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epa-my.sharepoint.com/personal/carroll_zane_epa_gov/Documents/ORD/COMET/COMET_NYC_v16.0.1/COMET_NYC_v16.0.1/SuppXLS/"/>
    </mc:Choice>
  </mc:AlternateContent>
  <xr:revisionPtr revIDLastSave="8" documentId="13_ncr:1_{27810BE0-7633-459A-AD50-722EFFB3575F}" xr6:coauthVersionLast="47" xr6:coauthVersionMax="47" xr10:uidLastSave="{3BFA89B5-81BC-43D9-860E-92D44CFE6372}"/>
  <bookViews>
    <workbookView xWindow="53880" yWindow="-120" windowWidth="29040" windowHeight="15720" tabRatio="877" firstSheet="11" activeTab="8" xr2:uid="{00000000-000D-0000-FFFF-FFFF00000000}"/>
  </bookViews>
  <sheets>
    <sheet name="UC_OIL" sheetId="61" r:id="rId1"/>
    <sheet name="UC_OIL2" sheetId="62" r:id="rId2"/>
    <sheet name="UC_OIL3" sheetId="63" r:id="rId3"/>
    <sheet name="TechData_R0" sheetId="12" r:id="rId4"/>
    <sheet name="&gt;&gt; Not used" sheetId="60" r:id="rId5"/>
    <sheet name="Commodities" sheetId="10" r:id="rId6"/>
    <sheet name="Technologies" sheetId="11" r:id="rId7"/>
    <sheet name="TechData_DelOILNYC" sheetId="58" r:id="rId8"/>
    <sheet name="Domestic Crude Prod Trends" sheetId="53" r:id="rId9"/>
    <sheet name="Domestic Crude Oil CUM" sheetId="52" r:id="rId10"/>
    <sheet name="Domestic Crude Oil Prices" sheetId="50" r:id="rId11"/>
    <sheet name="Domestic Crude Oil Prod" sheetId="51" r:id="rId12"/>
    <sheet name="Imported Prod Trend" sheetId="54" r:id="rId13"/>
    <sheet name="Imp Refined" sheetId="23" r:id="rId14"/>
    <sheet name="Agg prdcrv" sheetId="24" r:id="rId15"/>
    <sheet name="Agg prdcrv NYC" sheetId="56" r:id="rId16"/>
    <sheet name="Imp Refined NYC" sheetId="57" r:id="rId17"/>
    <sheet name="AEO 2012 prdcrv" sheetId="25" r:id="rId18"/>
    <sheet name="Imp Crude" sheetId="26" r:id="rId19"/>
    <sheet name="Agg crdcrv" sheetId="27" r:id="rId20"/>
    <sheet name="AEO 2012 crdcrv" sheetId="28" r:id="rId21"/>
    <sheet name="Emissions" sheetId="47" r:id="rId22"/>
    <sheet name="Types" sheetId="22" r:id="rId23"/>
    <sheet name="Conv" sheetId="19" r:id="rId24"/>
  </sheets>
  <externalReferences>
    <externalReference r:id="rId25"/>
    <externalReference r:id="rId26"/>
    <externalReference r:id="rId27"/>
    <externalReference r:id="rId28"/>
  </externalReferences>
  <definedNames>
    <definedName name="_xlnm._FilterDatabase" localSheetId="7" hidden="1">TechData_DelOILNYC!$B$5:$S$993</definedName>
    <definedName name="_xlnm._FilterDatabase" localSheetId="3" hidden="1">TechData_R0!$B$241:$BB$524</definedName>
    <definedName name="AnswerData" localSheetId="15">#REF!</definedName>
    <definedName name="AnswerData" localSheetId="23">#REF!</definedName>
    <definedName name="AnswerData" localSheetId="16">#REF!</definedName>
    <definedName name="AnswerData" localSheetId="7">#REF!</definedName>
    <definedName name="AnswerData">#REF!</definedName>
    <definedName name="BDSEFF" comment="Biomass Dutch Oven/Susp. Burner Boiler Efficiency">[1]TechInfo!$J$33</definedName>
    <definedName name="BFBEFF" comment="Boiler Fluidized Bed Boiler Efficiency">[1]TechInfo!$J$32</definedName>
    <definedName name="BFCEFF" comment="Biomass Fuel Cell Boiler Efficiency">[1]TechInfo!$J$34</definedName>
    <definedName name="blah">#REF!</definedName>
    <definedName name="bprint" localSheetId="15">#REF!</definedName>
    <definedName name="bprint" localSheetId="16">#REF!</definedName>
    <definedName name="bprint" localSheetId="7">#REF!</definedName>
    <definedName name="bprint">#REF!</definedName>
    <definedName name="BSGEFF" comment="Biomass Suspension Grate Boiler Efficiency">[1]TechInfo!$J$35</definedName>
    <definedName name="BSOEFF" comment="Boiler Stoker/Sloped Grate/Other Boiler">[1]TechInfo!$J$31</definedName>
    <definedName name="BST_AF">[1]CHPData!$B$40</definedName>
    <definedName name="BST2_INV" comment="Boiler/Steam Turbine System 2 INVCOST">[1]CHPData!$C$66</definedName>
    <definedName name="BST3_INV" comment="Boiler/Steam Turbine System 3 INVCOST">[1]CHPData!$D$66</definedName>
    <definedName name="CCT_AF">[1]CHPData!$B$81</definedName>
    <definedName name="CCT2_INV" comment="Combined Cycle/Combustion Turbine System 2 INVCOST">[1]CHPData!$C$91</definedName>
    <definedName name="CCT3_INV" comment="Combined Cycle/Combustion Turbine System 3 INVCOST">[1]CHPData!$D$91</definedName>
    <definedName name="CCT4_INV" comment="Combined Cycle/Combustion Turbine System 4 INVCOST">[1]CHPData!$E$91</definedName>
    <definedName name="CCT5_INV" comment="Combined Cycle/Combustion Turbine System 5 INVCOST">[1]CHPData!$F$91</definedName>
    <definedName name="CFBEFF" comment="Coal Fluidized Bed Boiler Efficiency">[1]TechInfo!$J$29</definedName>
    <definedName name="CMM_SUPPLY_CRV_TABLE" localSheetId="15">[2]cum2025curves!#REF!</definedName>
    <definedName name="CMM_SUPPLY_CRV_TABLE" localSheetId="16">[2]cum2025curves!#REF!</definedName>
    <definedName name="CMM_SUPPLY_CRV_TABLE" localSheetId="7">[2]cum2025curves!#REF!</definedName>
    <definedName name="CMM_SUPPLY_CRV_TABLE">[2]cum2025curves!#REF!</definedName>
    <definedName name="cprint" localSheetId="15">#REF!</definedName>
    <definedName name="cprint" localSheetId="16">#REF!</definedName>
    <definedName name="cprint" localSheetId="7">#REF!</definedName>
    <definedName name="cprint">#REF!</definedName>
    <definedName name="CPVEFF" comment="Pulverized coal boiler efficiency">[1]TechInfo!$J$27</definedName>
    <definedName name="CSOEFF" comment="Coal Stoker/Sloped Grate/Other Boiler Efficiency">[1]TechInfo!$J$28</definedName>
    <definedName name="DSTEFF" comment="Distillate Fuel Oil Boiler Efficiency">[1]TechInfo!$J$37</definedName>
    <definedName name="exch_rate" localSheetId="15">#REF!</definedName>
    <definedName name="exch_rate" localSheetId="23">#REF!</definedName>
    <definedName name="exch_rate" localSheetId="16">#REF!</definedName>
    <definedName name="exch_rate" localSheetId="7">#REF!</definedName>
    <definedName name="exch_rate">#REF!</definedName>
    <definedName name="FCL_AF">[1]CHPData!$B$154</definedName>
    <definedName name="FCL2_INV" comment="Fuel Cell System 2 INVCOST">[1]CHPData!$C$163</definedName>
    <definedName name="FCL3_INV" comment="Fuel Cell System 3 INVCOST">[1]CHPData!$D$163</definedName>
    <definedName name="fitfile">[3]MODEL!$D$38</definedName>
    <definedName name="INF">[3]MODEL!$H$14</definedName>
    <definedName name="million_short_tons_to_short_ton">[4]Steps!$Y$5</definedName>
    <definedName name="MMBTU_to_PJ">[4]Steps!$Y$6</definedName>
    <definedName name="MT2_INV" comment="Microturbine System 2 INVCOST">[1]CHPData!$C$141</definedName>
    <definedName name="MT3_INV" comment="Microturbine System 3 INVCOST">[1]CHPData!$D$141</definedName>
    <definedName name="neb">#REF!</definedName>
    <definedName name="PPP">[3]MODEL!$D$12</definedName>
    <definedName name="PPPEX">[3]MODEL!$D$13</definedName>
    <definedName name="rail_coal" localSheetId="15">#REF!</definedName>
    <definedName name="rail_coal" localSheetId="23">#REF!</definedName>
    <definedName name="rail_coal" localSheetId="16">#REF!</definedName>
    <definedName name="rail_coal" localSheetId="7">#REF!</definedName>
    <definedName name="rail_coal">#REF!</definedName>
    <definedName name="REG1_AF">[1]CHPData!$B$107</definedName>
    <definedName name="REG1_INV" comment="Reciprocating Engine System 1 INVCOST">[1]CHPData!$B$117</definedName>
    <definedName name="REG2_AF" comment="Reciprocating Engine System 2 Availability Factor">[1]CHPData!$C$107</definedName>
    <definedName name="REG3_AF" comment="Reciprocating Engine System 3 Availability Factor">[1]CHPData!$D$107</definedName>
    <definedName name="REG3_INV" comment="Reciprocating Engine System 3 INVCOST">[1]CHPData!$D$117</definedName>
    <definedName name="REG4_AF" comment="Reciprocating Engine System 4 Availability Factor">[1]CHPData!$E$107</definedName>
    <definedName name="REG5_AF" comment="Reciprocating Engine System 5 Availability Factor">[1]CHPData!$F$107</definedName>
    <definedName name="REG5_INV" comment="Reciprocating Engine System 5 INVCOST">[1]CHPData!$F$117</definedName>
    <definedName name="RFLEFF" comment="Residual Fuel Oil Boiler Efficiency">[1]TechInfo!$J$36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63" l="1"/>
  <c r="I6" i="63"/>
  <c r="J6" i="63"/>
  <c r="K6" i="63"/>
  <c r="L6" i="63"/>
  <c r="M6" i="63"/>
  <c r="N6" i="63"/>
  <c r="O6" i="63"/>
  <c r="P6" i="63"/>
  <c r="H7" i="63"/>
  <c r="I7" i="63"/>
  <c r="J7" i="63"/>
  <c r="K7" i="63"/>
  <c r="L7" i="63"/>
  <c r="M7" i="63"/>
  <c r="N7" i="63"/>
  <c r="O7" i="63"/>
  <c r="P7" i="63"/>
  <c r="H8" i="63"/>
  <c r="I8" i="63"/>
  <c r="J8" i="63"/>
  <c r="K8" i="63"/>
  <c r="L8" i="63"/>
  <c r="M8" i="63"/>
  <c r="N8" i="63"/>
  <c r="O8" i="63"/>
  <c r="P8" i="63"/>
  <c r="H9" i="63"/>
  <c r="I9" i="63"/>
  <c r="J9" i="63"/>
  <c r="K9" i="63"/>
  <c r="L9" i="63"/>
  <c r="M9" i="63"/>
  <c r="N9" i="63"/>
  <c r="O9" i="63"/>
  <c r="P9" i="63"/>
  <c r="H10" i="63"/>
  <c r="I10" i="63"/>
  <c r="J10" i="63"/>
  <c r="K10" i="63"/>
  <c r="L10" i="63"/>
  <c r="M10" i="63"/>
  <c r="N10" i="63"/>
  <c r="O10" i="63"/>
  <c r="P10" i="63"/>
  <c r="H11" i="63"/>
  <c r="I11" i="63"/>
  <c r="J11" i="63"/>
  <c r="K11" i="63"/>
  <c r="L11" i="63"/>
  <c r="M11" i="63"/>
  <c r="N11" i="63"/>
  <c r="O11" i="63"/>
  <c r="P11" i="63"/>
  <c r="H12" i="63"/>
  <c r="I12" i="63"/>
  <c r="J12" i="63"/>
  <c r="K12" i="63"/>
  <c r="L12" i="63"/>
  <c r="M12" i="63"/>
  <c r="N12" i="63"/>
  <c r="O12" i="63"/>
  <c r="P12" i="63"/>
  <c r="H13" i="63"/>
  <c r="I13" i="63"/>
  <c r="J13" i="63"/>
  <c r="K13" i="63"/>
  <c r="L13" i="63"/>
  <c r="M13" i="63"/>
  <c r="N13" i="63"/>
  <c r="O13" i="63"/>
  <c r="P13" i="63"/>
  <c r="H14" i="63"/>
  <c r="I14" i="63"/>
  <c r="J14" i="63"/>
  <c r="K14" i="63"/>
  <c r="L14" i="63"/>
  <c r="M14" i="63"/>
  <c r="N14" i="63"/>
  <c r="O14" i="63"/>
  <c r="P14" i="63"/>
  <c r="H15" i="63"/>
  <c r="I15" i="63"/>
  <c r="J15" i="63"/>
  <c r="K15" i="63"/>
  <c r="L15" i="63"/>
  <c r="M15" i="63"/>
  <c r="N15" i="63"/>
  <c r="O15" i="63"/>
  <c r="P15" i="63"/>
  <c r="H16" i="63"/>
  <c r="I16" i="63"/>
  <c r="J16" i="63"/>
  <c r="K16" i="63"/>
  <c r="L16" i="63"/>
  <c r="M16" i="63"/>
  <c r="N16" i="63"/>
  <c r="O16" i="63"/>
  <c r="P16" i="63"/>
  <c r="H17" i="63"/>
  <c r="I17" i="63"/>
  <c r="J17" i="63"/>
  <c r="K17" i="63"/>
  <c r="L17" i="63"/>
  <c r="M17" i="63"/>
  <c r="N17" i="63"/>
  <c r="O17" i="63"/>
  <c r="P17" i="63"/>
  <c r="H18" i="63"/>
  <c r="I18" i="63"/>
  <c r="J18" i="63"/>
  <c r="K18" i="63"/>
  <c r="L18" i="63"/>
  <c r="M18" i="63"/>
  <c r="N18" i="63"/>
  <c r="O18" i="63"/>
  <c r="P18" i="63"/>
  <c r="H19" i="63"/>
  <c r="I19" i="63"/>
  <c r="J19" i="63"/>
  <c r="K19" i="63"/>
  <c r="L19" i="63"/>
  <c r="M19" i="63"/>
  <c r="N19" i="63"/>
  <c r="O19" i="63"/>
  <c r="P19" i="63"/>
  <c r="H20" i="63"/>
  <c r="I20" i="63"/>
  <c r="J20" i="63"/>
  <c r="K20" i="63"/>
  <c r="L20" i="63"/>
  <c r="M20" i="63"/>
  <c r="N20" i="63"/>
  <c r="O20" i="63"/>
  <c r="P20" i="63"/>
  <c r="H21" i="63"/>
  <c r="I21" i="63"/>
  <c r="J21" i="63"/>
  <c r="K21" i="63"/>
  <c r="L21" i="63"/>
  <c r="M21" i="63"/>
  <c r="N21" i="63"/>
  <c r="O21" i="63"/>
  <c r="P21" i="63"/>
  <c r="H22" i="63"/>
  <c r="I22" i="63"/>
  <c r="J22" i="63"/>
  <c r="K22" i="63"/>
  <c r="L22" i="63"/>
  <c r="M22" i="63"/>
  <c r="N22" i="63"/>
  <c r="O22" i="63"/>
  <c r="P22" i="63"/>
  <c r="H23" i="63"/>
  <c r="I23" i="63"/>
  <c r="J23" i="63"/>
  <c r="K23" i="63"/>
  <c r="L23" i="63"/>
  <c r="M23" i="63"/>
  <c r="N23" i="63"/>
  <c r="O23" i="63"/>
  <c r="P23" i="63"/>
  <c r="H24" i="63"/>
  <c r="I24" i="63"/>
  <c r="J24" i="63"/>
  <c r="K24" i="63"/>
  <c r="L24" i="63"/>
  <c r="M24" i="63"/>
  <c r="N24" i="63"/>
  <c r="O24" i="63"/>
  <c r="P24" i="63"/>
  <c r="H25" i="63"/>
  <c r="I25" i="63"/>
  <c r="J25" i="63"/>
  <c r="K25" i="63"/>
  <c r="L25" i="63"/>
  <c r="M25" i="63"/>
  <c r="N25" i="63"/>
  <c r="O25" i="63"/>
  <c r="P25" i="63"/>
  <c r="H26" i="63"/>
  <c r="I26" i="63"/>
  <c r="J26" i="63"/>
  <c r="K26" i="63"/>
  <c r="L26" i="63"/>
  <c r="M26" i="63"/>
  <c r="N26" i="63"/>
  <c r="O26" i="63"/>
  <c r="P26" i="63"/>
  <c r="H27" i="63"/>
  <c r="I27" i="63"/>
  <c r="J27" i="63"/>
  <c r="K27" i="63"/>
  <c r="L27" i="63"/>
  <c r="M27" i="63"/>
  <c r="N27" i="63"/>
  <c r="O27" i="63"/>
  <c r="P27" i="63"/>
  <c r="H28" i="63"/>
  <c r="I28" i="63"/>
  <c r="J28" i="63"/>
  <c r="K28" i="63"/>
  <c r="L28" i="63"/>
  <c r="M28" i="63"/>
  <c r="N28" i="63"/>
  <c r="O28" i="63"/>
  <c r="P28" i="63"/>
  <c r="H29" i="63"/>
  <c r="I29" i="63"/>
  <c r="J29" i="63"/>
  <c r="K29" i="63"/>
  <c r="L29" i="63"/>
  <c r="M29" i="63"/>
  <c r="N29" i="63"/>
  <c r="O29" i="63"/>
  <c r="P29" i="63"/>
  <c r="H30" i="63"/>
  <c r="I30" i="63"/>
  <c r="J30" i="63"/>
  <c r="K30" i="63"/>
  <c r="L30" i="63"/>
  <c r="M30" i="63"/>
  <c r="N30" i="63"/>
  <c r="O30" i="63"/>
  <c r="P30" i="63"/>
  <c r="H31" i="63"/>
  <c r="I31" i="63"/>
  <c r="J31" i="63"/>
  <c r="K31" i="63"/>
  <c r="L31" i="63"/>
  <c r="M31" i="63"/>
  <c r="N31" i="63"/>
  <c r="O31" i="63"/>
  <c r="P31" i="63"/>
  <c r="H32" i="63"/>
  <c r="I32" i="63"/>
  <c r="J32" i="63"/>
  <c r="K32" i="63"/>
  <c r="L32" i="63"/>
  <c r="M32" i="63"/>
  <c r="N32" i="63"/>
  <c r="O32" i="63"/>
  <c r="P32" i="63"/>
  <c r="H33" i="63"/>
  <c r="I33" i="63"/>
  <c r="J33" i="63"/>
  <c r="K33" i="63"/>
  <c r="L33" i="63"/>
  <c r="M33" i="63"/>
  <c r="N33" i="63"/>
  <c r="O33" i="63"/>
  <c r="P33" i="63"/>
  <c r="H34" i="63"/>
  <c r="I34" i="63"/>
  <c r="J34" i="63"/>
  <c r="K34" i="63"/>
  <c r="L34" i="63"/>
  <c r="M34" i="63"/>
  <c r="N34" i="63"/>
  <c r="O34" i="63"/>
  <c r="P34" i="63"/>
  <c r="H35" i="63"/>
  <c r="I35" i="63"/>
  <c r="J35" i="63"/>
  <c r="K35" i="63"/>
  <c r="L35" i="63"/>
  <c r="M35" i="63"/>
  <c r="N35" i="63"/>
  <c r="O35" i="63"/>
  <c r="P35" i="63"/>
  <c r="G7" i="63"/>
  <c r="G8" i="63"/>
  <c r="G9" i="63"/>
  <c r="G10" i="63"/>
  <c r="G11" i="63"/>
  <c r="G12" i="63"/>
  <c r="G13" i="63"/>
  <c r="G14" i="63"/>
  <c r="G15" i="63"/>
  <c r="G16" i="63"/>
  <c r="G17" i="63"/>
  <c r="G18" i="63"/>
  <c r="G19" i="63"/>
  <c r="G20" i="63"/>
  <c r="G21" i="63"/>
  <c r="G22" i="63"/>
  <c r="G23" i="63"/>
  <c r="G24" i="63"/>
  <c r="G25" i="63"/>
  <c r="G26" i="63"/>
  <c r="G27" i="63"/>
  <c r="G28" i="63"/>
  <c r="G29" i="63"/>
  <c r="G30" i="63"/>
  <c r="G31" i="63"/>
  <c r="G32" i="63"/>
  <c r="G33" i="63"/>
  <c r="G34" i="63"/>
  <c r="G35" i="63"/>
  <c r="G6" i="63"/>
  <c r="B236" i="62" l="1"/>
  <c r="H236" i="62"/>
  <c r="I236" i="62"/>
  <c r="J236" i="62"/>
  <c r="K236" i="62"/>
  <c r="L236" i="62"/>
  <c r="M236" i="62" s="1"/>
  <c r="N236" i="62" s="1"/>
  <c r="O236" i="62" s="1"/>
  <c r="P236" i="62" s="1"/>
  <c r="Q236" i="62" s="1"/>
  <c r="B237" i="62"/>
  <c r="H237" i="62"/>
  <c r="I237" i="62"/>
  <c r="J237" i="62"/>
  <c r="K237" i="62"/>
  <c r="L237" i="62"/>
  <c r="M237" i="62"/>
  <c r="N237" i="62"/>
  <c r="O237" i="62"/>
  <c r="P237" i="62"/>
  <c r="Q237" i="62"/>
  <c r="B238" i="62"/>
  <c r="H238" i="62"/>
  <c r="I238" i="62"/>
  <c r="J238" i="62"/>
  <c r="K238" i="62" s="1"/>
  <c r="L238" i="62" s="1"/>
  <c r="M238" i="62" s="1"/>
  <c r="N238" i="62" s="1"/>
  <c r="O238" i="62" s="1"/>
  <c r="P238" i="62" s="1"/>
  <c r="Q238" i="62" s="1"/>
  <c r="B239" i="62"/>
  <c r="H239" i="62"/>
  <c r="I239" i="62"/>
  <c r="J239" i="62"/>
  <c r="K239" i="62"/>
  <c r="L239" i="62"/>
  <c r="M239" i="62"/>
  <c r="N239" i="62"/>
  <c r="O239" i="62"/>
  <c r="P239" i="62"/>
  <c r="Q239" i="62"/>
  <c r="B240" i="62"/>
  <c r="H240" i="62"/>
  <c r="I240" i="62"/>
  <c r="J240" i="62" s="1"/>
  <c r="K240" i="62" s="1"/>
  <c r="L240" i="62" s="1"/>
  <c r="M240" i="62" s="1"/>
  <c r="N240" i="62" s="1"/>
  <c r="O240" i="62" s="1"/>
  <c r="P240" i="62" s="1"/>
  <c r="Q240" i="62" s="1"/>
  <c r="B212" i="62"/>
  <c r="H212" i="62"/>
  <c r="I212" i="62"/>
  <c r="J212" i="62" s="1"/>
  <c r="K212" i="62" s="1"/>
  <c r="L212" i="62" s="1"/>
  <c r="M212" i="62" s="1"/>
  <c r="N212" i="62" s="1"/>
  <c r="O212" i="62" s="1"/>
  <c r="P212" i="62" s="1"/>
  <c r="Q212" i="62" s="1"/>
  <c r="B213" i="62"/>
  <c r="H213" i="62"/>
  <c r="I213" i="62"/>
  <c r="J213" i="62"/>
  <c r="K213" i="62"/>
  <c r="L213" i="62"/>
  <c r="M213" i="62"/>
  <c r="N213" i="62"/>
  <c r="O213" i="62"/>
  <c r="P213" i="62"/>
  <c r="Q213" i="62"/>
  <c r="B214" i="62"/>
  <c r="H214" i="62"/>
  <c r="I214" i="62" s="1"/>
  <c r="J214" i="62" s="1"/>
  <c r="K214" i="62" s="1"/>
  <c r="L214" i="62" s="1"/>
  <c r="M214" i="62" s="1"/>
  <c r="N214" i="62" s="1"/>
  <c r="O214" i="62" s="1"/>
  <c r="P214" i="62" s="1"/>
  <c r="Q214" i="62" s="1"/>
  <c r="B215" i="62"/>
  <c r="H215" i="62"/>
  <c r="I215" i="62"/>
  <c r="J215" i="62"/>
  <c r="K215" i="62"/>
  <c r="L215" i="62"/>
  <c r="M215" i="62"/>
  <c r="N215" i="62"/>
  <c r="O215" i="62"/>
  <c r="P215" i="62"/>
  <c r="Q215" i="62" s="1"/>
  <c r="B216" i="62"/>
  <c r="H216" i="62"/>
  <c r="I216" i="62" s="1"/>
  <c r="J216" i="62" s="1"/>
  <c r="K216" i="62" s="1"/>
  <c r="L216" i="62" s="1"/>
  <c r="M216" i="62" s="1"/>
  <c r="N216" i="62" s="1"/>
  <c r="O216" i="62" s="1"/>
  <c r="P216" i="62" s="1"/>
  <c r="Q216" i="62" s="1"/>
  <c r="B217" i="62"/>
  <c r="H217" i="62"/>
  <c r="I217" i="62"/>
  <c r="J217" i="62"/>
  <c r="K217" i="62"/>
  <c r="L217" i="62"/>
  <c r="M217" i="62"/>
  <c r="N217" i="62"/>
  <c r="O217" i="62" s="1"/>
  <c r="P217" i="62" s="1"/>
  <c r="Q217" i="62" s="1"/>
  <c r="B218" i="62"/>
  <c r="H218" i="62"/>
  <c r="I218" i="62" s="1"/>
  <c r="J218" i="62" s="1"/>
  <c r="K218" i="62" s="1"/>
  <c r="L218" i="62" s="1"/>
  <c r="M218" i="62" s="1"/>
  <c r="N218" i="62" s="1"/>
  <c r="O218" i="62" s="1"/>
  <c r="P218" i="62" s="1"/>
  <c r="Q218" i="62" s="1"/>
  <c r="B219" i="62"/>
  <c r="H219" i="62"/>
  <c r="I219" i="62"/>
  <c r="J219" i="62"/>
  <c r="K219" i="62"/>
  <c r="L219" i="62"/>
  <c r="M219" i="62" s="1"/>
  <c r="N219" i="62" s="1"/>
  <c r="O219" i="62" s="1"/>
  <c r="P219" i="62" s="1"/>
  <c r="Q219" i="62" s="1"/>
  <c r="B220" i="62"/>
  <c r="H220" i="62"/>
  <c r="I220" i="62"/>
  <c r="J220" i="62"/>
  <c r="K220" i="62"/>
  <c r="L220" i="62"/>
  <c r="M220" i="62"/>
  <c r="N220" i="62"/>
  <c r="O220" i="62"/>
  <c r="P220" i="62"/>
  <c r="Q220" i="62"/>
  <c r="B221" i="62"/>
  <c r="H221" i="62"/>
  <c r="I221" i="62"/>
  <c r="J221" i="62"/>
  <c r="K221" i="62" s="1"/>
  <c r="L221" i="62" s="1"/>
  <c r="M221" i="62" s="1"/>
  <c r="N221" i="62" s="1"/>
  <c r="O221" i="62" s="1"/>
  <c r="P221" i="62" s="1"/>
  <c r="Q221" i="62" s="1"/>
  <c r="B222" i="62"/>
  <c r="H222" i="62"/>
  <c r="I222" i="62"/>
  <c r="J222" i="62"/>
  <c r="K222" i="62"/>
  <c r="L222" i="62"/>
  <c r="M222" i="62"/>
  <c r="N222" i="62"/>
  <c r="O222" i="62"/>
  <c r="P222" i="62"/>
  <c r="Q222" i="62"/>
  <c r="B223" i="62"/>
  <c r="H223" i="62"/>
  <c r="I223" i="62" s="1"/>
  <c r="J223" i="62" s="1"/>
  <c r="K223" i="62" s="1"/>
  <c r="L223" i="62" s="1"/>
  <c r="M223" i="62" s="1"/>
  <c r="N223" i="62" s="1"/>
  <c r="O223" i="62" s="1"/>
  <c r="P223" i="62" s="1"/>
  <c r="Q223" i="62" s="1"/>
  <c r="B224" i="62"/>
  <c r="H224" i="62"/>
  <c r="I224" i="62"/>
  <c r="J224" i="62"/>
  <c r="K224" i="62"/>
  <c r="L224" i="62"/>
  <c r="M224" i="62"/>
  <c r="N224" i="62"/>
  <c r="O224" i="62"/>
  <c r="P224" i="62"/>
  <c r="Q224" i="62"/>
  <c r="B225" i="62"/>
  <c r="H225" i="62"/>
  <c r="I225" i="62"/>
  <c r="J225" i="62" s="1"/>
  <c r="K225" i="62" s="1"/>
  <c r="L225" i="62" s="1"/>
  <c r="M225" i="62" s="1"/>
  <c r="N225" i="62" s="1"/>
  <c r="O225" i="62" s="1"/>
  <c r="P225" i="62" s="1"/>
  <c r="Q225" i="62" s="1"/>
  <c r="B226" i="62"/>
  <c r="H226" i="62"/>
  <c r="I226" i="62"/>
  <c r="J226" i="62"/>
  <c r="K226" i="62"/>
  <c r="L226" i="62"/>
  <c r="M226" i="62"/>
  <c r="N226" i="62"/>
  <c r="O226" i="62"/>
  <c r="P226" i="62" s="1"/>
  <c r="Q226" i="62" s="1"/>
  <c r="B227" i="62"/>
  <c r="H227" i="62"/>
  <c r="I227" i="62"/>
  <c r="J227" i="62" s="1"/>
  <c r="K227" i="62" s="1"/>
  <c r="L227" i="62" s="1"/>
  <c r="M227" i="62" s="1"/>
  <c r="N227" i="62" s="1"/>
  <c r="O227" i="62" s="1"/>
  <c r="P227" i="62" s="1"/>
  <c r="Q227" i="62" s="1"/>
  <c r="B228" i="62"/>
  <c r="H228" i="62"/>
  <c r="I228" i="62"/>
  <c r="J228" i="62"/>
  <c r="K228" i="62"/>
  <c r="L228" i="62"/>
  <c r="M228" i="62"/>
  <c r="N228" i="62" s="1"/>
  <c r="O228" i="62" s="1"/>
  <c r="P228" i="62" s="1"/>
  <c r="Q228" i="62" s="1"/>
  <c r="B229" i="62"/>
  <c r="H229" i="62"/>
  <c r="I229" i="62" s="1"/>
  <c r="J229" i="62" s="1"/>
  <c r="K229" i="62" s="1"/>
  <c r="L229" i="62" s="1"/>
  <c r="M229" i="62" s="1"/>
  <c r="N229" i="62" s="1"/>
  <c r="O229" i="62" s="1"/>
  <c r="P229" i="62" s="1"/>
  <c r="Q229" i="62" s="1"/>
  <c r="B230" i="62"/>
  <c r="H230" i="62"/>
  <c r="I230" i="62"/>
  <c r="J230" i="62"/>
  <c r="K230" i="62"/>
  <c r="L230" i="62" s="1"/>
  <c r="M230" i="62" s="1"/>
  <c r="N230" i="62" s="1"/>
  <c r="O230" i="62" s="1"/>
  <c r="P230" i="62" s="1"/>
  <c r="Q230" i="62" s="1"/>
  <c r="B231" i="62"/>
  <c r="H231" i="62"/>
  <c r="I231" i="62"/>
  <c r="J231" i="62"/>
  <c r="K231" i="62"/>
  <c r="L231" i="62"/>
  <c r="M231" i="62"/>
  <c r="N231" i="62"/>
  <c r="O231" i="62"/>
  <c r="P231" i="62"/>
  <c r="Q231" i="62"/>
  <c r="B232" i="62"/>
  <c r="H232" i="62"/>
  <c r="I232" i="62"/>
  <c r="J232" i="62" s="1"/>
  <c r="K232" i="62" s="1"/>
  <c r="L232" i="62" s="1"/>
  <c r="M232" i="62" s="1"/>
  <c r="N232" i="62" s="1"/>
  <c r="O232" i="62" s="1"/>
  <c r="P232" i="62" s="1"/>
  <c r="Q232" i="62" s="1"/>
  <c r="B233" i="62"/>
  <c r="H233" i="62"/>
  <c r="I233" i="62"/>
  <c r="J233" i="62"/>
  <c r="K233" i="62"/>
  <c r="L233" i="62"/>
  <c r="M233" i="62"/>
  <c r="N233" i="62"/>
  <c r="O233" i="62"/>
  <c r="P233" i="62"/>
  <c r="Q233" i="62"/>
  <c r="B234" i="62"/>
  <c r="H234" i="62"/>
  <c r="I234" i="62"/>
  <c r="J234" i="62"/>
  <c r="K234" i="62" s="1"/>
  <c r="L234" i="62" s="1"/>
  <c r="M234" i="62" s="1"/>
  <c r="N234" i="62" s="1"/>
  <c r="O234" i="62" s="1"/>
  <c r="P234" i="62" s="1"/>
  <c r="Q234" i="62" s="1"/>
  <c r="B235" i="62"/>
  <c r="H235" i="62"/>
  <c r="I235" i="62"/>
  <c r="J235" i="62"/>
  <c r="K235" i="62"/>
  <c r="L235" i="62"/>
  <c r="M235" i="62"/>
  <c r="N235" i="62"/>
  <c r="O235" i="62"/>
  <c r="P235" i="62"/>
  <c r="Q235" i="62" s="1"/>
  <c r="H211" i="62"/>
  <c r="B211" i="62"/>
  <c r="I211" i="62"/>
  <c r="J211" i="62" s="1"/>
  <c r="K211" i="62" s="1"/>
  <c r="L211" i="62" s="1"/>
  <c r="M211" i="62" s="1"/>
  <c r="N211" i="62" s="1"/>
  <c r="O211" i="62" s="1"/>
  <c r="P211" i="62" s="1"/>
  <c r="Q211" i="62" s="1"/>
  <c r="B111" i="62"/>
  <c r="H111" i="62"/>
  <c r="I111" i="62"/>
  <c r="J111" i="62" s="1"/>
  <c r="K111" i="62" s="1"/>
  <c r="L111" i="62" s="1"/>
  <c r="M111" i="62" s="1"/>
  <c r="N111" i="62" s="1"/>
  <c r="O111" i="62" s="1"/>
  <c r="P111" i="62" s="1"/>
  <c r="Q111" i="62" s="1"/>
  <c r="R111" i="62"/>
  <c r="B112" i="62"/>
  <c r="H112" i="62"/>
  <c r="I112" i="62"/>
  <c r="J112" i="62"/>
  <c r="K112" i="62"/>
  <c r="L112" i="62"/>
  <c r="M112" i="62"/>
  <c r="N112" i="62"/>
  <c r="O112" i="62" s="1"/>
  <c r="P112" i="62" s="1"/>
  <c r="Q112" i="62" s="1"/>
  <c r="R112" i="62"/>
  <c r="B113" i="62"/>
  <c r="H113" i="62"/>
  <c r="I113" i="62" s="1"/>
  <c r="J113" i="62" s="1"/>
  <c r="K113" i="62" s="1"/>
  <c r="L113" i="62" s="1"/>
  <c r="M113" i="62" s="1"/>
  <c r="N113" i="62" s="1"/>
  <c r="O113" i="62" s="1"/>
  <c r="P113" i="62" s="1"/>
  <c r="Q113" i="62" s="1"/>
  <c r="R113" i="62"/>
  <c r="B114" i="62"/>
  <c r="H114" i="62"/>
  <c r="I114" i="62"/>
  <c r="J114" i="62"/>
  <c r="K114" i="62"/>
  <c r="L114" i="62"/>
  <c r="M114" i="62"/>
  <c r="N114" i="62"/>
  <c r="O114" i="62"/>
  <c r="P114" i="62" s="1"/>
  <c r="Q114" i="62" s="1"/>
  <c r="R114" i="62"/>
  <c r="B115" i="62"/>
  <c r="H115" i="62"/>
  <c r="I115" i="62" s="1"/>
  <c r="J115" i="62" s="1"/>
  <c r="K115" i="62" s="1"/>
  <c r="L115" i="62" s="1"/>
  <c r="M115" i="62" s="1"/>
  <c r="N115" i="62" s="1"/>
  <c r="O115" i="62" s="1"/>
  <c r="P115" i="62" s="1"/>
  <c r="Q115" i="62" s="1"/>
  <c r="R115" i="62"/>
  <c r="B116" i="62"/>
  <c r="H116" i="62"/>
  <c r="I116" i="62"/>
  <c r="J116" i="62"/>
  <c r="K116" i="62"/>
  <c r="L116" i="62" s="1"/>
  <c r="M116" i="62" s="1"/>
  <c r="N116" i="62" s="1"/>
  <c r="O116" i="62" s="1"/>
  <c r="P116" i="62" s="1"/>
  <c r="Q116" i="62" s="1"/>
  <c r="R116" i="62"/>
  <c r="B106" i="62"/>
  <c r="H106" i="62"/>
  <c r="I106" i="62"/>
  <c r="J106" i="62"/>
  <c r="K106" i="62" s="1"/>
  <c r="L106" i="62" s="1"/>
  <c r="M106" i="62" s="1"/>
  <c r="N106" i="62" s="1"/>
  <c r="O106" i="62" s="1"/>
  <c r="P106" i="62" s="1"/>
  <c r="Q106" i="62" s="1"/>
  <c r="R106" i="62"/>
  <c r="B107" i="62"/>
  <c r="H107" i="62"/>
  <c r="I107" i="62"/>
  <c r="J107" i="62"/>
  <c r="K107" i="62"/>
  <c r="L107" i="62"/>
  <c r="M107" i="62"/>
  <c r="N107" i="62"/>
  <c r="O107" i="62" s="1"/>
  <c r="P107" i="62" s="1"/>
  <c r="Q107" i="62" s="1"/>
  <c r="R107" i="62"/>
  <c r="B108" i="62"/>
  <c r="H108" i="62"/>
  <c r="I108" i="62" s="1"/>
  <c r="J108" i="62" s="1"/>
  <c r="K108" i="62" s="1"/>
  <c r="L108" i="62" s="1"/>
  <c r="M108" i="62" s="1"/>
  <c r="N108" i="62" s="1"/>
  <c r="O108" i="62" s="1"/>
  <c r="P108" i="62" s="1"/>
  <c r="Q108" i="62" s="1"/>
  <c r="R108" i="62"/>
  <c r="B109" i="62"/>
  <c r="H109" i="62"/>
  <c r="I109" i="62"/>
  <c r="J109" i="62"/>
  <c r="K109" i="62" s="1"/>
  <c r="L109" i="62" s="1"/>
  <c r="M109" i="62" s="1"/>
  <c r="N109" i="62" s="1"/>
  <c r="O109" i="62" s="1"/>
  <c r="P109" i="62" s="1"/>
  <c r="Q109" i="62" s="1"/>
  <c r="R109" i="62"/>
  <c r="B110" i="62"/>
  <c r="H110" i="62"/>
  <c r="I110" i="62"/>
  <c r="J110" i="62"/>
  <c r="K110" i="62"/>
  <c r="L110" i="62"/>
  <c r="M110" i="62"/>
  <c r="N110" i="62"/>
  <c r="O110" i="62"/>
  <c r="P110" i="62" s="1"/>
  <c r="Q110" i="62" s="1"/>
  <c r="R110" i="62"/>
  <c r="B88" i="62"/>
  <c r="H88" i="62"/>
  <c r="I88" i="62"/>
  <c r="J88" i="62" s="1"/>
  <c r="K88" i="62" s="1"/>
  <c r="L88" i="62" s="1"/>
  <c r="M88" i="62" s="1"/>
  <c r="N88" i="62" s="1"/>
  <c r="O88" i="62" s="1"/>
  <c r="P88" i="62" s="1"/>
  <c r="Q88" i="62" s="1"/>
  <c r="R88" i="62"/>
  <c r="B89" i="62"/>
  <c r="H89" i="62"/>
  <c r="I89" i="62" s="1"/>
  <c r="J89" i="62" s="1"/>
  <c r="K89" i="62" s="1"/>
  <c r="L89" i="62" s="1"/>
  <c r="M89" i="62" s="1"/>
  <c r="N89" i="62" s="1"/>
  <c r="O89" i="62" s="1"/>
  <c r="P89" i="62" s="1"/>
  <c r="Q89" i="62" s="1"/>
  <c r="R89" i="62"/>
  <c r="B90" i="62"/>
  <c r="H90" i="62"/>
  <c r="I90" i="62"/>
  <c r="J90" i="62"/>
  <c r="K90" i="62" s="1"/>
  <c r="L90" i="62" s="1"/>
  <c r="M90" i="62" s="1"/>
  <c r="N90" i="62" s="1"/>
  <c r="O90" i="62" s="1"/>
  <c r="P90" i="62" s="1"/>
  <c r="Q90" i="62" s="1"/>
  <c r="R90" i="62"/>
  <c r="B91" i="62"/>
  <c r="H91" i="62"/>
  <c r="I91" i="62"/>
  <c r="J91" i="62"/>
  <c r="K91" i="62" s="1"/>
  <c r="L91" i="62" s="1"/>
  <c r="M91" i="62" s="1"/>
  <c r="N91" i="62" s="1"/>
  <c r="O91" i="62" s="1"/>
  <c r="P91" i="62" s="1"/>
  <c r="Q91" i="62" s="1"/>
  <c r="R91" i="62"/>
  <c r="B92" i="62"/>
  <c r="H92" i="62"/>
  <c r="I92" i="62" s="1"/>
  <c r="J92" i="62" s="1"/>
  <c r="K92" i="62" s="1"/>
  <c r="L92" i="62" s="1"/>
  <c r="M92" i="62" s="1"/>
  <c r="N92" i="62" s="1"/>
  <c r="O92" i="62" s="1"/>
  <c r="P92" i="62" s="1"/>
  <c r="Q92" i="62" s="1"/>
  <c r="R92" i="62"/>
  <c r="B93" i="62"/>
  <c r="H93" i="62"/>
  <c r="I93" i="62"/>
  <c r="J93" i="62" s="1"/>
  <c r="K93" i="62" s="1"/>
  <c r="L93" i="62" s="1"/>
  <c r="M93" i="62" s="1"/>
  <c r="N93" i="62" s="1"/>
  <c r="O93" i="62" s="1"/>
  <c r="P93" i="62" s="1"/>
  <c r="Q93" i="62" s="1"/>
  <c r="R93" i="62"/>
  <c r="B94" i="62"/>
  <c r="H94" i="62"/>
  <c r="I94" i="62" s="1"/>
  <c r="J94" i="62" s="1"/>
  <c r="K94" i="62" s="1"/>
  <c r="L94" i="62" s="1"/>
  <c r="M94" i="62" s="1"/>
  <c r="N94" i="62" s="1"/>
  <c r="O94" i="62" s="1"/>
  <c r="P94" i="62" s="1"/>
  <c r="Q94" i="62" s="1"/>
  <c r="R94" i="62"/>
  <c r="B95" i="62"/>
  <c r="H95" i="62"/>
  <c r="I95" i="62"/>
  <c r="J95" i="62"/>
  <c r="K95" i="62" s="1"/>
  <c r="L95" i="62" s="1"/>
  <c r="M95" i="62" s="1"/>
  <c r="N95" i="62" s="1"/>
  <c r="O95" i="62" s="1"/>
  <c r="P95" i="62" s="1"/>
  <c r="Q95" i="62" s="1"/>
  <c r="R95" i="62"/>
  <c r="B96" i="62"/>
  <c r="H96" i="62"/>
  <c r="I96" i="62"/>
  <c r="J96" i="62"/>
  <c r="K96" i="62" s="1"/>
  <c r="L96" i="62" s="1"/>
  <c r="M96" i="62" s="1"/>
  <c r="N96" i="62" s="1"/>
  <c r="O96" i="62" s="1"/>
  <c r="P96" i="62" s="1"/>
  <c r="Q96" i="62" s="1"/>
  <c r="R96" i="62"/>
  <c r="B97" i="62"/>
  <c r="H97" i="62"/>
  <c r="I97" i="62" s="1"/>
  <c r="J97" i="62" s="1"/>
  <c r="K97" i="62" s="1"/>
  <c r="L97" i="62" s="1"/>
  <c r="M97" i="62" s="1"/>
  <c r="N97" i="62" s="1"/>
  <c r="O97" i="62" s="1"/>
  <c r="P97" i="62" s="1"/>
  <c r="Q97" i="62" s="1"/>
  <c r="R97" i="62"/>
  <c r="B98" i="62"/>
  <c r="H98" i="62"/>
  <c r="I98" i="62"/>
  <c r="J98" i="62"/>
  <c r="K98" i="62"/>
  <c r="L98" i="62"/>
  <c r="M98" i="62"/>
  <c r="N98" i="62"/>
  <c r="O98" i="62" s="1"/>
  <c r="P98" i="62" s="1"/>
  <c r="Q98" i="62" s="1"/>
  <c r="R98" i="62"/>
  <c r="B99" i="62"/>
  <c r="H99" i="62"/>
  <c r="I99" i="62" s="1"/>
  <c r="J99" i="62" s="1"/>
  <c r="K99" i="62" s="1"/>
  <c r="L99" i="62" s="1"/>
  <c r="M99" i="62" s="1"/>
  <c r="N99" i="62" s="1"/>
  <c r="O99" i="62" s="1"/>
  <c r="P99" i="62" s="1"/>
  <c r="Q99" i="62" s="1"/>
  <c r="R99" i="62"/>
  <c r="B100" i="62"/>
  <c r="H100" i="62"/>
  <c r="I100" i="62"/>
  <c r="J100" i="62"/>
  <c r="K100" i="62" s="1"/>
  <c r="L100" i="62" s="1"/>
  <c r="M100" i="62" s="1"/>
  <c r="N100" i="62" s="1"/>
  <c r="O100" i="62" s="1"/>
  <c r="P100" i="62" s="1"/>
  <c r="Q100" i="62" s="1"/>
  <c r="R100" i="62"/>
  <c r="B101" i="62"/>
  <c r="H101" i="62"/>
  <c r="I101" i="62"/>
  <c r="J101" i="62"/>
  <c r="K101" i="62" s="1"/>
  <c r="L101" i="62" s="1"/>
  <c r="M101" i="62" s="1"/>
  <c r="N101" i="62" s="1"/>
  <c r="O101" i="62" s="1"/>
  <c r="P101" i="62" s="1"/>
  <c r="Q101" i="62" s="1"/>
  <c r="R101" i="62"/>
  <c r="B102" i="62"/>
  <c r="H102" i="62"/>
  <c r="I102" i="62" s="1"/>
  <c r="J102" i="62" s="1"/>
  <c r="K102" i="62" s="1"/>
  <c r="L102" i="62" s="1"/>
  <c r="M102" i="62" s="1"/>
  <c r="N102" i="62" s="1"/>
  <c r="O102" i="62" s="1"/>
  <c r="P102" i="62" s="1"/>
  <c r="Q102" i="62" s="1"/>
  <c r="R102" i="62"/>
  <c r="B103" i="62"/>
  <c r="H103" i="62"/>
  <c r="I103" i="62"/>
  <c r="J103" i="62"/>
  <c r="K103" i="62"/>
  <c r="L103" i="62"/>
  <c r="M103" i="62"/>
  <c r="N103" i="62"/>
  <c r="O103" i="62" s="1"/>
  <c r="P103" i="62" s="1"/>
  <c r="Q103" i="62" s="1"/>
  <c r="R103" i="62"/>
  <c r="B104" i="62"/>
  <c r="H104" i="62"/>
  <c r="I104" i="62" s="1"/>
  <c r="J104" i="62" s="1"/>
  <c r="K104" i="62" s="1"/>
  <c r="L104" i="62" s="1"/>
  <c r="M104" i="62" s="1"/>
  <c r="N104" i="62" s="1"/>
  <c r="O104" i="62" s="1"/>
  <c r="P104" i="62" s="1"/>
  <c r="Q104" i="62" s="1"/>
  <c r="R104" i="62"/>
  <c r="B105" i="62"/>
  <c r="H105" i="62"/>
  <c r="I105" i="62"/>
  <c r="J105" i="62"/>
  <c r="K105" i="62" s="1"/>
  <c r="L105" i="62" s="1"/>
  <c r="M105" i="62" s="1"/>
  <c r="N105" i="62" s="1"/>
  <c r="O105" i="62" s="1"/>
  <c r="P105" i="62" s="1"/>
  <c r="Q105" i="62" s="1"/>
  <c r="R105" i="62"/>
  <c r="R87" i="62"/>
  <c r="H87" i="62"/>
  <c r="I87" i="62" s="1"/>
  <c r="J87" i="62" s="1"/>
  <c r="K87" i="62" s="1"/>
  <c r="L87" i="62" s="1"/>
  <c r="M87" i="62" s="1"/>
  <c r="N87" i="62" s="1"/>
  <c r="O87" i="62" s="1"/>
  <c r="P87" i="62" s="1"/>
  <c r="Q87" i="62" s="1"/>
  <c r="B87" i="62"/>
  <c r="R13" i="62"/>
  <c r="R14" i="62"/>
  <c r="R15" i="62"/>
  <c r="R16" i="62"/>
  <c r="R17" i="62"/>
  <c r="R18" i="62"/>
  <c r="R19" i="62"/>
  <c r="R20" i="62"/>
  <c r="R21" i="62"/>
  <c r="R22" i="62"/>
  <c r="R23" i="62"/>
  <c r="R24" i="62"/>
  <c r="R25" i="62"/>
  <c r="R26" i="62"/>
  <c r="R27" i="62"/>
  <c r="R28" i="62"/>
  <c r="R29" i="62"/>
  <c r="R30" i="62"/>
  <c r="R31" i="62"/>
  <c r="R32" i="62"/>
  <c r="R33" i="62"/>
  <c r="R34" i="62"/>
  <c r="R35" i="62"/>
  <c r="R36" i="62"/>
  <c r="R37" i="62"/>
  <c r="R38" i="62"/>
  <c r="R39" i="62"/>
  <c r="R40" i="62"/>
  <c r="R41" i="62"/>
  <c r="R42" i="62"/>
  <c r="R43" i="62"/>
  <c r="R44" i="62"/>
  <c r="R45" i="62"/>
  <c r="R46" i="62"/>
  <c r="R47" i="62"/>
  <c r="R48" i="62"/>
  <c r="R49" i="62"/>
  <c r="R50" i="62"/>
  <c r="R51" i="62"/>
  <c r="R52" i="62"/>
  <c r="R53" i="62"/>
  <c r="R54" i="62"/>
  <c r="R55" i="62"/>
  <c r="R56" i="62"/>
  <c r="R57" i="62"/>
  <c r="R58" i="62"/>
  <c r="R59" i="62"/>
  <c r="R60" i="62"/>
  <c r="R61" i="62"/>
  <c r="R62" i="62"/>
  <c r="R63" i="62"/>
  <c r="R64" i="62"/>
  <c r="R65" i="62"/>
  <c r="R66" i="62"/>
  <c r="R67" i="62"/>
  <c r="R68" i="62"/>
  <c r="R69" i="62"/>
  <c r="R70" i="62"/>
  <c r="R71" i="62"/>
  <c r="R72" i="62"/>
  <c r="R73" i="62"/>
  <c r="R74" i="62"/>
  <c r="R75" i="62"/>
  <c r="R76" i="62"/>
  <c r="R77" i="62"/>
  <c r="R78" i="62"/>
  <c r="R79" i="62"/>
  <c r="R80" i="62"/>
  <c r="R81" i="62"/>
  <c r="R82" i="62"/>
  <c r="R83" i="62"/>
  <c r="R84" i="62"/>
  <c r="R85" i="62"/>
  <c r="R86" i="62"/>
  <c r="R12" i="62"/>
  <c r="H155" i="62"/>
  <c r="I155" i="62" s="1"/>
  <c r="J155" i="62" s="1"/>
  <c r="K155" i="62" s="1"/>
  <c r="L155" i="62" s="1"/>
  <c r="M155" i="62" s="1"/>
  <c r="N155" i="62" s="1"/>
  <c r="O155" i="62" s="1"/>
  <c r="P155" i="62" s="1"/>
  <c r="Q155" i="62" s="1"/>
  <c r="H156" i="62"/>
  <c r="I156" i="62" s="1"/>
  <c r="J156" i="62" s="1"/>
  <c r="K156" i="62" s="1"/>
  <c r="L156" i="62" s="1"/>
  <c r="M156" i="62" s="1"/>
  <c r="N156" i="62" s="1"/>
  <c r="O156" i="62" s="1"/>
  <c r="P156" i="62" s="1"/>
  <c r="Q156" i="62" s="1"/>
  <c r="H157" i="62"/>
  <c r="I157" i="62" s="1"/>
  <c r="J157" i="62" s="1"/>
  <c r="K157" i="62" s="1"/>
  <c r="L157" i="62" s="1"/>
  <c r="M157" i="62" s="1"/>
  <c r="N157" i="62" s="1"/>
  <c r="O157" i="62" s="1"/>
  <c r="P157" i="62" s="1"/>
  <c r="Q157" i="62" s="1"/>
  <c r="H158" i="62"/>
  <c r="I158" i="62" s="1"/>
  <c r="J158" i="62" s="1"/>
  <c r="K158" i="62" s="1"/>
  <c r="L158" i="62" s="1"/>
  <c r="M158" i="62" s="1"/>
  <c r="N158" i="62" s="1"/>
  <c r="O158" i="62" s="1"/>
  <c r="P158" i="62" s="1"/>
  <c r="Q158" i="62" s="1"/>
  <c r="H159" i="62"/>
  <c r="I159" i="62" s="1"/>
  <c r="J159" i="62" s="1"/>
  <c r="K159" i="62" s="1"/>
  <c r="L159" i="62" s="1"/>
  <c r="M159" i="62" s="1"/>
  <c r="N159" i="62" s="1"/>
  <c r="O159" i="62" s="1"/>
  <c r="P159" i="62" s="1"/>
  <c r="Q159" i="62" s="1"/>
  <c r="H160" i="62"/>
  <c r="I160" i="62" s="1"/>
  <c r="J160" i="62" s="1"/>
  <c r="K160" i="62" s="1"/>
  <c r="L160" i="62" s="1"/>
  <c r="M160" i="62" s="1"/>
  <c r="N160" i="62" s="1"/>
  <c r="O160" i="62" s="1"/>
  <c r="P160" i="62" s="1"/>
  <c r="Q160" i="62" s="1"/>
  <c r="H161" i="62"/>
  <c r="I161" i="62" s="1"/>
  <c r="J161" i="62" s="1"/>
  <c r="K161" i="62" s="1"/>
  <c r="L161" i="62" s="1"/>
  <c r="M161" i="62" s="1"/>
  <c r="N161" i="62" s="1"/>
  <c r="O161" i="62" s="1"/>
  <c r="P161" i="62" s="1"/>
  <c r="Q161" i="62" s="1"/>
  <c r="H162" i="62"/>
  <c r="I162" i="62" s="1"/>
  <c r="J162" i="62" s="1"/>
  <c r="K162" i="62" s="1"/>
  <c r="L162" i="62" s="1"/>
  <c r="M162" i="62" s="1"/>
  <c r="N162" i="62" s="1"/>
  <c r="O162" i="62" s="1"/>
  <c r="P162" i="62" s="1"/>
  <c r="Q162" i="62" s="1"/>
  <c r="H163" i="62"/>
  <c r="I163" i="62" s="1"/>
  <c r="J163" i="62" s="1"/>
  <c r="K163" i="62" s="1"/>
  <c r="L163" i="62" s="1"/>
  <c r="M163" i="62" s="1"/>
  <c r="N163" i="62" s="1"/>
  <c r="O163" i="62" s="1"/>
  <c r="P163" i="62" s="1"/>
  <c r="Q163" i="62" s="1"/>
  <c r="H164" i="62"/>
  <c r="I164" i="62" s="1"/>
  <c r="J164" i="62" s="1"/>
  <c r="K164" i="62" s="1"/>
  <c r="L164" i="62" s="1"/>
  <c r="M164" i="62" s="1"/>
  <c r="N164" i="62" s="1"/>
  <c r="O164" i="62" s="1"/>
  <c r="P164" i="62" s="1"/>
  <c r="Q164" i="62" s="1"/>
  <c r="H165" i="62"/>
  <c r="I165" i="62" s="1"/>
  <c r="J165" i="62" s="1"/>
  <c r="K165" i="62" s="1"/>
  <c r="L165" i="62" s="1"/>
  <c r="M165" i="62" s="1"/>
  <c r="N165" i="62" s="1"/>
  <c r="O165" i="62" s="1"/>
  <c r="P165" i="62" s="1"/>
  <c r="Q165" i="62" s="1"/>
  <c r="H166" i="62"/>
  <c r="I166" i="62" s="1"/>
  <c r="J166" i="62" s="1"/>
  <c r="K166" i="62" s="1"/>
  <c r="L166" i="62" s="1"/>
  <c r="M166" i="62" s="1"/>
  <c r="N166" i="62" s="1"/>
  <c r="O166" i="62" s="1"/>
  <c r="P166" i="62" s="1"/>
  <c r="Q166" i="62" s="1"/>
  <c r="H167" i="62"/>
  <c r="I167" i="62" s="1"/>
  <c r="J167" i="62" s="1"/>
  <c r="K167" i="62" s="1"/>
  <c r="L167" i="62" s="1"/>
  <c r="M167" i="62" s="1"/>
  <c r="N167" i="62" s="1"/>
  <c r="O167" i="62" s="1"/>
  <c r="P167" i="62" s="1"/>
  <c r="Q167" i="62" s="1"/>
  <c r="H168" i="62"/>
  <c r="I168" i="62" s="1"/>
  <c r="J168" i="62" s="1"/>
  <c r="K168" i="62" s="1"/>
  <c r="L168" i="62" s="1"/>
  <c r="M168" i="62" s="1"/>
  <c r="N168" i="62" s="1"/>
  <c r="O168" i="62" s="1"/>
  <c r="P168" i="62" s="1"/>
  <c r="Q168" i="62" s="1"/>
  <c r="H169" i="62"/>
  <c r="I169" i="62" s="1"/>
  <c r="J169" i="62" s="1"/>
  <c r="K169" i="62" s="1"/>
  <c r="L169" i="62" s="1"/>
  <c r="M169" i="62" s="1"/>
  <c r="N169" i="62" s="1"/>
  <c r="O169" i="62" s="1"/>
  <c r="P169" i="62" s="1"/>
  <c r="Q169" i="62" s="1"/>
  <c r="H170" i="62"/>
  <c r="I170" i="62" s="1"/>
  <c r="J170" i="62" s="1"/>
  <c r="K170" i="62" s="1"/>
  <c r="L170" i="62" s="1"/>
  <c r="M170" i="62" s="1"/>
  <c r="N170" i="62" s="1"/>
  <c r="O170" i="62" s="1"/>
  <c r="P170" i="62" s="1"/>
  <c r="Q170" i="62" s="1"/>
  <c r="H171" i="62"/>
  <c r="I171" i="62" s="1"/>
  <c r="J171" i="62" s="1"/>
  <c r="K171" i="62" s="1"/>
  <c r="L171" i="62" s="1"/>
  <c r="M171" i="62" s="1"/>
  <c r="N171" i="62" s="1"/>
  <c r="O171" i="62" s="1"/>
  <c r="P171" i="62" s="1"/>
  <c r="Q171" i="62" s="1"/>
  <c r="H172" i="62"/>
  <c r="I172" i="62" s="1"/>
  <c r="J172" i="62" s="1"/>
  <c r="K172" i="62" s="1"/>
  <c r="L172" i="62" s="1"/>
  <c r="M172" i="62" s="1"/>
  <c r="N172" i="62" s="1"/>
  <c r="O172" i="62" s="1"/>
  <c r="P172" i="62" s="1"/>
  <c r="Q172" i="62" s="1"/>
  <c r="H173" i="62"/>
  <c r="I173" i="62" s="1"/>
  <c r="J173" i="62" s="1"/>
  <c r="K173" i="62" s="1"/>
  <c r="L173" i="62" s="1"/>
  <c r="M173" i="62" s="1"/>
  <c r="N173" i="62" s="1"/>
  <c r="O173" i="62" s="1"/>
  <c r="P173" i="62" s="1"/>
  <c r="Q173" i="62" s="1"/>
  <c r="H174" i="62"/>
  <c r="I174" i="62" s="1"/>
  <c r="J174" i="62" s="1"/>
  <c r="K174" i="62" s="1"/>
  <c r="L174" i="62" s="1"/>
  <c r="M174" i="62" s="1"/>
  <c r="N174" i="62" s="1"/>
  <c r="O174" i="62" s="1"/>
  <c r="P174" i="62" s="1"/>
  <c r="Q174" i="62" s="1"/>
  <c r="H175" i="62"/>
  <c r="I175" i="62" s="1"/>
  <c r="J175" i="62" s="1"/>
  <c r="K175" i="62" s="1"/>
  <c r="L175" i="62" s="1"/>
  <c r="M175" i="62" s="1"/>
  <c r="N175" i="62" s="1"/>
  <c r="O175" i="62" s="1"/>
  <c r="P175" i="62" s="1"/>
  <c r="Q175" i="62" s="1"/>
  <c r="H176" i="62"/>
  <c r="I176" i="62" s="1"/>
  <c r="J176" i="62" s="1"/>
  <c r="K176" i="62" s="1"/>
  <c r="L176" i="62" s="1"/>
  <c r="M176" i="62" s="1"/>
  <c r="N176" i="62" s="1"/>
  <c r="O176" i="62" s="1"/>
  <c r="P176" i="62" s="1"/>
  <c r="Q176" i="62" s="1"/>
  <c r="H177" i="62"/>
  <c r="I177" i="62" s="1"/>
  <c r="J177" i="62" s="1"/>
  <c r="K177" i="62" s="1"/>
  <c r="L177" i="62" s="1"/>
  <c r="M177" i="62" s="1"/>
  <c r="N177" i="62" s="1"/>
  <c r="O177" i="62" s="1"/>
  <c r="P177" i="62" s="1"/>
  <c r="Q177" i="62" s="1"/>
  <c r="H178" i="62"/>
  <c r="I178" i="62" s="1"/>
  <c r="J178" i="62" s="1"/>
  <c r="K178" i="62" s="1"/>
  <c r="L178" i="62" s="1"/>
  <c r="M178" i="62" s="1"/>
  <c r="N178" i="62" s="1"/>
  <c r="O178" i="62" s="1"/>
  <c r="P178" i="62" s="1"/>
  <c r="Q178" i="62" s="1"/>
  <c r="H179" i="62"/>
  <c r="I179" i="62" s="1"/>
  <c r="J179" i="62" s="1"/>
  <c r="K179" i="62" s="1"/>
  <c r="L179" i="62" s="1"/>
  <c r="M179" i="62" s="1"/>
  <c r="N179" i="62" s="1"/>
  <c r="O179" i="62" s="1"/>
  <c r="P179" i="62" s="1"/>
  <c r="Q179" i="62" s="1"/>
  <c r="H180" i="62"/>
  <c r="I180" i="62" s="1"/>
  <c r="J180" i="62" s="1"/>
  <c r="K180" i="62" s="1"/>
  <c r="L180" i="62" s="1"/>
  <c r="M180" i="62" s="1"/>
  <c r="N180" i="62" s="1"/>
  <c r="O180" i="62" s="1"/>
  <c r="P180" i="62" s="1"/>
  <c r="Q180" i="62" s="1"/>
  <c r="H181" i="62"/>
  <c r="I181" i="62" s="1"/>
  <c r="J181" i="62" s="1"/>
  <c r="K181" i="62" s="1"/>
  <c r="L181" i="62" s="1"/>
  <c r="M181" i="62" s="1"/>
  <c r="N181" i="62" s="1"/>
  <c r="O181" i="62" s="1"/>
  <c r="P181" i="62" s="1"/>
  <c r="Q181" i="62" s="1"/>
  <c r="H182" i="62"/>
  <c r="I182" i="62" s="1"/>
  <c r="J182" i="62" s="1"/>
  <c r="K182" i="62" s="1"/>
  <c r="L182" i="62" s="1"/>
  <c r="M182" i="62" s="1"/>
  <c r="N182" i="62" s="1"/>
  <c r="O182" i="62" s="1"/>
  <c r="P182" i="62" s="1"/>
  <c r="Q182" i="62" s="1"/>
  <c r="H183" i="62"/>
  <c r="I183" i="62" s="1"/>
  <c r="J183" i="62" s="1"/>
  <c r="K183" i="62" s="1"/>
  <c r="L183" i="62" s="1"/>
  <c r="M183" i="62" s="1"/>
  <c r="N183" i="62" s="1"/>
  <c r="O183" i="62" s="1"/>
  <c r="P183" i="62" s="1"/>
  <c r="Q183" i="62" s="1"/>
  <c r="H184" i="62"/>
  <c r="I184" i="62" s="1"/>
  <c r="J184" i="62" s="1"/>
  <c r="K184" i="62" s="1"/>
  <c r="L184" i="62" s="1"/>
  <c r="M184" i="62" s="1"/>
  <c r="N184" i="62" s="1"/>
  <c r="O184" i="62" s="1"/>
  <c r="P184" i="62" s="1"/>
  <c r="Q184" i="62" s="1"/>
  <c r="H185" i="62"/>
  <c r="I185" i="62" s="1"/>
  <c r="J185" i="62" s="1"/>
  <c r="K185" i="62" s="1"/>
  <c r="L185" i="62" s="1"/>
  <c r="M185" i="62" s="1"/>
  <c r="N185" i="62" s="1"/>
  <c r="O185" i="62" s="1"/>
  <c r="P185" i="62" s="1"/>
  <c r="Q185" i="62" s="1"/>
  <c r="H186" i="62"/>
  <c r="I186" i="62" s="1"/>
  <c r="J186" i="62" s="1"/>
  <c r="K186" i="62" s="1"/>
  <c r="L186" i="62" s="1"/>
  <c r="M186" i="62" s="1"/>
  <c r="N186" i="62" s="1"/>
  <c r="O186" i="62" s="1"/>
  <c r="P186" i="62" s="1"/>
  <c r="Q186" i="62" s="1"/>
  <c r="H187" i="62"/>
  <c r="I187" i="62" s="1"/>
  <c r="J187" i="62" s="1"/>
  <c r="K187" i="62" s="1"/>
  <c r="L187" i="62" s="1"/>
  <c r="M187" i="62" s="1"/>
  <c r="N187" i="62" s="1"/>
  <c r="O187" i="62" s="1"/>
  <c r="P187" i="62" s="1"/>
  <c r="Q187" i="62" s="1"/>
  <c r="H188" i="62"/>
  <c r="I188" i="62" s="1"/>
  <c r="J188" i="62" s="1"/>
  <c r="K188" i="62" s="1"/>
  <c r="L188" i="62" s="1"/>
  <c r="M188" i="62" s="1"/>
  <c r="N188" i="62" s="1"/>
  <c r="O188" i="62" s="1"/>
  <c r="P188" i="62" s="1"/>
  <c r="Q188" i="62" s="1"/>
  <c r="H189" i="62"/>
  <c r="I189" i="62"/>
  <c r="J189" i="62" s="1"/>
  <c r="K189" i="62" s="1"/>
  <c r="L189" i="62" s="1"/>
  <c r="M189" i="62" s="1"/>
  <c r="N189" i="62" s="1"/>
  <c r="O189" i="62" s="1"/>
  <c r="P189" i="62" s="1"/>
  <c r="Q189" i="62" s="1"/>
  <c r="H190" i="62"/>
  <c r="I190" i="62" s="1"/>
  <c r="J190" i="62" s="1"/>
  <c r="K190" i="62" s="1"/>
  <c r="L190" i="62" s="1"/>
  <c r="M190" i="62" s="1"/>
  <c r="N190" i="62" s="1"/>
  <c r="O190" i="62" s="1"/>
  <c r="P190" i="62" s="1"/>
  <c r="Q190" i="62" s="1"/>
  <c r="H191" i="62"/>
  <c r="I191" i="62" s="1"/>
  <c r="J191" i="62" s="1"/>
  <c r="K191" i="62" s="1"/>
  <c r="L191" i="62" s="1"/>
  <c r="M191" i="62" s="1"/>
  <c r="N191" i="62" s="1"/>
  <c r="O191" i="62" s="1"/>
  <c r="P191" i="62" s="1"/>
  <c r="Q191" i="62" s="1"/>
  <c r="H192" i="62"/>
  <c r="I192" i="62" s="1"/>
  <c r="J192" i="62" s="1"/>
  <c r="K192" i="62" s="1"/>
  <c r="L192" i="62" s="1"/>
  <c r="M192" i="62" s="1"/>
  <c r="N192" i="62" s="1"/>
  <c r="O192" i="62" s="1"/>
  <c r="P192" i="62" s="1"/>
  <c r="Q192" i="62" s="1"/>
  <c r="H193" i="62"/>
  <c r="I193" i="62" s="1"/>
  <c r="J193" i="62" s="1"/>
  <c r="K193" i="62" s="1"/>
  <c r="L193" i="62" s="1"/>
  <c r="M193" i="62" s="1"/>
  <c r="N193" i="62" s="1"/>
  <c r="O193" i="62" s="1"/>
  <c r="P193" i="62" s="1"/>
  <c r="Q193" i="62" s="1"/>
  <c r="H194" i="62"/>
  <c r="I194" i="62" s="1"/>
  <c r="J194" i="62" s="1"/>
  <c r="K194" i="62" s="1"/>
  <c r="L194" i="62" s="1"/>
  <c r="M194" i="62" s="1"/>
  <c r="N194" i="62" s="1"/>
  <c r="O194" i="62" s="1"/>
  <c r="P194" i="62" s="1"/>
  <c r="Q194" i="62" s="1"/>
  <c r="H195" i="62"/>
  <c r="I195" i="62" s="1"/>
  <c r="J195" i="62" s="1"/>
  <c r="K195" i="62" s="1"/>
  <c r="L195" i="62" s="1"/>
  <c r="M195" i="62" s="1"/>
  <c r="N195" i="62" s="1"/>
  <c r="O195" i="62" s="1"/>
  <c r="P195" i="62" s="1"/>
  <c r="Q195" i="62" s="1"/>
  <c r="H196" i="62"/>
  <c r="I196" i="62" s="1"/>
  <c r="J196" i="62" s="1"/>
  <c r="K196" i="62" s="1"/>
  <c r="L196" i="62" s="1"/>
  <c r="M196" i="62" s="1"/>
  <c r="N196" i="62" s="1"/>
  <c r="O196" i="62" s="1"/>
  <c r="P196" i="62" s="1"/>
  <c r="Q196" i="62" s="1"/>
  <c r="H197" i="62"/>
  <c r="I197" i="62" s="1"/>
  <c r="J197" i="62" s="1"/>
  <c r="K197" i="62" s="1"/>
  <c r="L197" i="62" s="1"/>
  <c r="M197" i="62" s="1"/>
  <c r="N197" i="62" s="1"/>
  <c r="O197" i="62" s="1"/>
  <c r="P197" i="62" s="1"/>
  <c r="Q197" i="62" s="1"/>
  <c r="H198" i="62"/>
  <c r="I198" i="62" s="1"/>
  <c r="J198" i="62" s="1"/>
  <c r="K198" i="62" s="1"/>
  <c r="L198" i="62" s="1"/>
  <c r="M198" i="62" s="1"/>
  <c r="N198" i="62" s="1"/>
  <c r="O198" i="62" s="1"/>
  <c r="P198" i="62" s="1"/>
  <c r="Q198" i="62" s="1"/>
  <c r="H199" i="62"/>
  <c r="I199" i="62" s="1"/>
  <c r="J199" i="62" s="1"/>
  <c r="K199" i="62" s="1"/>
  <c r="L199" i="62" s="1"/>
  <c r="M199" i="62" s="1"/>
  <c r="N199" i="62" s="1"/>
  <c r="O199" i="62" s="1"/>
  <c r="P199" i="62" s="1"/>
  <c r="Q199" i="62" s="1"/>
  <c r="H200" i="62"/>
  <c r="I200" i="62" s="1"/>
  <c r="J200" i="62" s="1"/>
  <c r="K200" i="62" s="1"/>
  <c r="L200" i="62" s="1"/>
  <c r="M200" i="62" s="1"/>
  <c r="N200" i="62" s="1"/>
  <c r="O200" i="62" s="1"/>
  <c r="P200" i="62" s="1"/>
  <c r="Q200" i="62" s="1"/>
  <c r="H201" i="62"/>
  <c r="I201" i="62" s="1"/>
  <c r="J201" i="62" s="1"/>
  <c r="K201" i="62" s="1"/>
  <c r="L201" i="62" s="1"/>
  <c r="M201" i="62" s="1"/>
  <c r="N201" i="62" s="1"/>
  <c r="O201" i="62" s="1"/>
  <c r="P201" i="62" s="1"/>
  <c r="Q201" i="62" s="1"/>
  <c r="H202" i="62"/>
  <c r="I202" i="62" s="1"/>
  <c r="J202" i="62" s="1"/>
  <c r="K202" i="62" s="1"/>
  <c r="L202" i="62" s="1"/>
  <c r="M202" i="62" s="1"/>
  <c r="N202" i="62" s="1"/>
  <c r="O202" i="62" s="1"/>
  <c r="P202" i="62" s="1"/>
  <c r="Q202" i="62" s="1"/>
  <c r="H203" i="62"/>
  <c r="I203" i="62" s="1"/>
  <c r="J203" i="62" s="1"/>
  <c r="K203" i="62" s="1"/>
  <c r="L203" i="62" s="1"/>
  <c r="M203" i="62" s="1"/>
  <c r="N203" i="62" s="1"/>
  <c r="O203" i="62" s="1"/>
  <c r="P203" i="62" s="1"/>
  <c r="Q203" i="62" s="1"/>
  <c r="H204" i="62"/>
  <c r="I204" i="62" s="1"/>
  <c r="J204" i="62" s="1"/>
  <c r="K204" i="62" s="1"/>
  <c r="L204" i="62" s="1"/>
  <c r="M204" i="62" s="1"/>
  <c r="N204" i="62" s="1"/>
  <c r="O204" i="62" s="1"/>
  <c r="P204" i="62" s="1"/>
  <c r="Q204" i="62" s="1"/>
  <c r="H205" i="62"/>
  <c r="I205" i="62" s="1"/>
  <c r="J205" i="62" s="1"/>
  <c r="K205" i="62" s="1"/>
  <c r="L205" i="62" s="1"/>
  <c r="M205" i="62" s="1"/>
  <c r="N205" i="62" s="1"/>
  <c r="O205" i="62" s="1"/>
  <c r="P205" i="62" s="1"/>
  <c r="Q205" i="62" s="1"/>
  <c r="H206" i="62"/>
  <c r="I206" i="62" s="1"/>
  <c r="J206" i="62" s="1"/>
  <c r="K206" i="62" s="1"/>
  <c r="L206" i="62" s="1"/>
  <c r="M206" i="62" s="1"/>
  <c r="N206" i="62" s="1"/>
  <c r="O206" i="62" s="1"/>
  <c r="P206" i="62" s="1"/>
  <c r="Q206" i="62" s="1"/>
  <c r="H207" i="62"/>
  <c r="I207" i="62" s="1"/>
  <c r="J207" i="62" s="1"/>
  <c r="K207" i="62" s="1"/>
  <c r="L207" i="62" s="1"/>
  <c r="M207" i="62" s="1"/>
  <c r="N207" i="62" s="1"/>
  <c r="O207" i="62" s="1"/>
  <c r="P207" i="62" s="1"/>
  <c r="Q207" i="62" s="1"/>
  <c r="H208" i="62"/>
  <c r="I208" i="62" s="1"/>
  <c r="J208" i="62" s="1"/>
  <c r="K208" i="62" s="1"/>
  <c r="L208" i="62" s="1"/>
  <c r="M208" i="62" s="1"/>
  <c r="N208" i="62" s="1"/>
  <c r="O208" i="62" s="1"/>
  <c r="P208" i="62" s="1"/>
  <c r="Q208" i="62" s="1"/>
  <c r="H209" i="62"/>
  <c r="I209" i="62" s="1"/>
  <c r="J209" i="62" s="1"/>
  <c r="K209" i="62" s="1"/>
  <c r="L209" i="62" s="1"/>
  <c r="M209" i="62" s="1"/>
  <c r="N209" i="62" s="1"/>
  <c r="O209" i="62" s="1"/>
  <c r="P209" i="62" s="1"/>
  <c r="Q209" i="62" s="1"/>
  <c r="H210" i="62"/>
  <c r="I210" i="62" s="1"/>
  <c r="J210" i="62" s="1"/>
  <c r="K210" i="62" s="1"/>
  <c r="L210" i="62" s="1"/>
  <c r="M210" i="62" s="1"/>
  <c r="N210" i="62" s="1"/>
  <c r="O210" i="62" s="1"/>
  <c r="P210" i="62" s="1"/>
  <c r="Q210" i="62" s="1"/>
  <c r="H137" i="62"/>
  <c r="I137" i="62" s="1"/>
  <c r="J137" i="62" s="1"/>
  <c r="K137" i="62" s="1"/>
  <c r="L137" i="62" s="1"/>
  <c r="M137" i="62" s="1"/>
  <c r="N137" i="62" s="1"/>
  <c r="O137" i="62" s="1"/>
  <c r="P137" i="62" s="1"/>
  <c r="Q137" i="62" s="1"/>
  <c r="H138" i="62"/>
  <c r="I138" i="62" s="1"/>
  <c r="J138" i="62" s="1"/>
  <c r="K138" i="62" s="1"/>
  <c r="L138" i="62" s="1"/>
  <c r="M138" i="62" s="1"/>
  <c r="N138" i="62" s="1"/>
  <c r="O138" i="62" s="1"/>
  <c r="P138" i="62" s="1"/>
  <c r="Q138" i="62" s="1"/>
  <c r="H139" i="62"/>
  <c r="I139" i="62" s="1"/>
  <c r="J139" i="62" s="1"/>
  <c r="K139" i="62" s="1"/>
  <c r="L139" i="62" s="1"/>
  <c r="M139" i="62" s="1"/>
  <c r="N139" i="62" s="1"/>
  <c r="O139" i="62" s="1"/>
  <c r="P139" i="62" s="1"/>
  <c r="Q139" i="62" s="1"/>
  <c r="H140" i="62"/>
  <c r="I140" i="62"/>
  <c r="J140" i="62" s="1"/>
  <c r="K140" i="62" s="1"/>
  <c r="L140" i="62" s="1"/>
  <c r="M140" i="62" s="1"/>
  <c r="N140" i="62" s="1"/>
  <c r="O140" i="62" s="1"/>
  <c r="P140" i="62" s="1"/>
  <c r="Q140" i="62" s="1"/>
  <c r="H141" i="62"/>
  <c r="I141" i="62" s="1"/>
  <c r="J141" i="62" s="1"/>
  <c r="K141" i="62" s="1"/>
  <c r="L141" i="62" s="1"/>
  <c r="M141" i="62" s="1"/>
  <c r="N141" i="62" s="1"/>
  <c r="O141" i="62" s="1"/>
  <c r="P141" i="62" s="1"/>
  <c r="Q141" i="62" s="1"/>
  <c r="H142" i="62"/>
  <c r="I142" i="62" s="1"/>
  <c r="J142" i="62" s="1"/>
  <c r="K142" i="62" s="1"/>
  <c r="L142" i="62" s="1"/>
  <c r="M142" i="62" s="1"/>
  <c r="N142" i="62" s="1"/>
  <c r="O142" i="62" s="1"/>
  <c r="P142" i="62" s="1"/>
  <c r="Q142" i="62" s="1"/>
  <c r="H143" i="62"/>
  <c r="I143" i="62" s="1"/>
  <c r="J143" i="62" s="1"/>
  <c r="K143" i="62" s="1"/>
  <c r="L143" i="62" s="1"/>
  <c r="M143" i="62" s="1"/>
  <c r="N143" i="62" s="1"/>
  <c r="O143" i="62" s="1"/>
  <c r="P143" i="62" s="1"/>
  <c r="Q143" i="62" s="1"/>
  <c r="H144" i="62"/>
  <c r="I144" i="62" s="1"/>
  <c r="J144" i="62" s="1"/>
  <c r="K144" i="62" s="1"/>
  <c r="L144" i="62" s="1"/>
  <c r="M144" i="62" s="1"/>
  <c r="N144" i="62" s="1"/>
  <c r="O144" i="62" s="1"/>
  <c r="P144" i="62" s="1"/>
  <c r="Q144" i="62" s="1"/>
  <c r="H145" i="62"/>
  <c r="I145" i="62" s="1"/>
  <c r="J145" i="62" s="1"/>
  <c r="K145" i="62" s="1"/>
  <c r="L145" i="62" s="1"/>
  <c r="M145" i="62" s="1"/>
  <c r="N145" i="62" s="1"/>
  <c r="O145" i="62" s="1"/>
  <c r="P145" i="62" s="1"/>
  <c r="Q145" i="62" s="1"/>
  <c r="H146" i="62"/>
  <c r="I146" i="62" s="1"/>
  <c r="J146" i="62" s="1"/>
  <c r="K146" i="62" s="1"/>
  <c r="L146" i="62" s="1"/>
  <c r="M146" i="62" s="1"/>
  <c r="N146" i="62" s="1"/>
  <c r="O146" i="62" s="1"/>
  <c r="P146" i="62" s="1"/>
  <c r="Q146" i="62" s="1"/>
  <c r="H147" i="62"/>
  <c r="I147" i="62" s="1"/>
  <c r="J147" i="62" s="1"/>
  <c r="K147" i="62" s="1"/>
  <c r="L147" i="62" s="1"/>
  <c r="M147" i="62" s="1"/>
  <c r="N147" i="62" s="1"/>
  <c r="O147" i="62" s="1"/>
  <c r="P147" i="62" s="1"/>
  <c r="Q147" i="62" s="1"/>
  <c r="H148" i="62"/>
  <c r="I148" i="62" s="1"/>
  <c r="J148" i="62" s="1"/>
  <c r="K148" i="62" s="1"/>
  <c r="L148" i="62" s="1"/>
  <c r="M148" i="62" s="1"/>
  <c r="N148" i="62" s="1"/>
  <c r="O148" i="62" s="1"/>
  <c r="P148" i="62" s="1"/>
  <c r="Q148" i="62" s="1"/>
  <c r="H149" i="62"/>
  <c r="I149" i="62" s="1"/>
  <c r="J149" i="62" s="1"/>
  <c r="K149" i="62" s="1"/>
  <c r="L149" i="62" s="1"/>
  <c r="M149" i="62" s="1"/>
  <c r="N149" i="62" s="1"/>
  <c r="O149" i="62" s="1"/>
  <c r="P149" i="62" s="1"/>
  <c r="Q149" i="62" s="1"/>
  <c r="H150" i="62"/>
  <c r="I150" i="62" s="1"/>
  <c r="J150" i="62" s="1"/>
  <c r="K150" i="62" s="1"/>
  <c r="L150" i="62" s="1"/>
  <c r="M150" i="62" s="1"/>
  <c r="N150" i="62" s="1"/>
  <c r="O150" i="62" s="1"/>
  <c r="P150" i="62" s="1"/>
  <c r="Q150" i="62" s="1"/>
  <c r="H151" i="62"/>
  <c r="I151" i="62" s="1"/>
  <c r="J151" i="62" s="1"/>
  <c r="K151" i="62" s="1"/>
  <c r="L151" i="62" s="1"/>
  <c r="M151" i="62" s="1"/>
  <c r="N151" i="62" s="1"/>
  <c r="O151" i="62" s="1"/>
  <c r="P151" i="62" s="1"/>
  <c r="Q151" i="62" s="1"/>
  <c r="H152" i="62"/>
  <c r="I152" i="62" s="1"/>
  <c r="J152" i="62" s="1"/>
  <c r="K152" i="62" s="1"/>
  <c r="L152" i="62" s="1"/>
  <c r="M152" i="62" s="1"/>
  <c r="N152" i="62" s="1"/>
  <c r="O152" i="62" s="1"/>
  <c r="P152" i="62" s="1"/>
  <c r="Q152" i="62" s="1"/>
  <c r="H153" i="62"/>
  <c r="I153" i="62" s="1"/>
  <c r="J153" i="62" s="1"/>
  <c r="K153" i="62" s="1"/>
  <c r="L153" i="62" s="1"/>
  <c r="M153" i="62" s="1"/>
  <c r="N153" i="62" s="1"/>
  <c r="O153" i="62" s="1"/>
  <c r="P153" i="62" s="1"/>
  <c r="Q153" i="62" s="1"/>
  <c r="H154" i="62"/>
  <c r="I154" i="62" s="1"/>
  <c r="J154" i="62" s="1"/>
  <c r="K154" i="62" s="1"/>
  <c r="L154" i="62" s="1"/>
  <c r="M154" i="62" s="1"/>
  <c r="N154" i="62" s="1"/>
  <c r="O154" i="62" s="1"/>
  <c r="P154" i="62" s="1"/>
  <c r="Q154" i="62" s="1"/>
  <c r="H136" i="62"/>
  <c r="I136" i="62" s="1"/>
  <c r="J136" i="62" s="1"/>
  <c r="K136" i="62" s="1"/>
  <c r="L136" i="62" s="1"/>
  <c r="M136" i="62" s="1"/>
  <c r="N136" i="62" s="1"/>
  <c r="O136" i="62" s="1"/>
  <c r="P136" i="62" s="1"/>
  <c r="Q136" i="62" s="1"/>
  <c r="H132" i="62"/>
  <c r="I132" i="62" s="1"/>
  <c r="J132" i="62" s="1"/>
  <c r="K132" i="62" s="1"/>
  <c r="L132" i="62" s="1"/>
  <c r="M132" i="62" s="1"/>
  <c r="N132" i="62" s="1"/>
  <c r="O132" i="62" s="1"/>
  <c r="P132" i="62" s="1"/>
  <c r="Q132" i="62" s="1"/>
  <c r="H133" i="62"/>
  <c r="I133" i="62" s="1"/>
  <c r="J133" i="62" s="1"/>
  <c r="K133" i="62" s="1"/>
  <c r="L133" i="62" s="1"/>
  <c r="M133" i="62" s="1"/>
  <c r="N133" i="62" s="1"/>
  <c r="O133" i="62" s="1"/>
  <c r="P133" i="62" s="1"/>
  <c r="Q133" i="62" s="1"/>
  <c r="H134" i="62"/>
  <c r="I134" i="62" s="1"/>
  <c r="J134" i="62" s="1"/>
  <c r="K134" i="62" s="1"/>
  <c r="L134" i="62" s="1"/>
  <c r="M134" i="62" s="1"/>
  <c r="N134" i="62" s="1"/>
  <c r="O134" i="62" s="1"/>
  <c r="P134" i="62" s="1"/>
  <c r="Q134" i="62" s="1"/>
  <c r="H135" i="62"/>
  <c r="I135" i="62" s="1"/>
  <c r="J135" i="62" s="1"/>
  <c r="K135" i="62" s="1"/>
  <c r="L135" i="62" s="1"/>
  <c r="M135" i="62" s="1"/>
  <c r="N135" i="62" s="1"/>
  <c r="O135" i="62" s="1"/>
  <c r="P135" i="62" s="1"/>
  <c r="Q135" i="62" s="1"/>
  <c r="H86" i="62"/>
  <c r="I86" i="62" s="1"/>
  <c r="J86" i="62" s="1"/>
  <c r="K86" i="62" s="1"/>
  <c r="L86" i="62" s="1"/>
  <c r="M86" i="62" s="1"/>
  <c r="N86" i="62" s="1"/>
  <c r="O86" i="62" s="1"/>
  <c r="P86" i="62" s="1"/>
  <c r="Q86" i="62" s="1"/>
  <c r="H69" i="62"/>
  <c r="I69" i="62" s="1"/>
  <c r="J69" i="62" s="1"/>
  <c r="K69" i="62" s="1"/>
  <c r="L69" i="62" s="1"/>
  <c r="M69" i="62" s="1"/>
  <c r="N69" i="62" s="1"/>
  <c r="O69" i="62" s="1"/>
  <c r="P69" i="62" s="1"/>
  <c r="Q69" i="62" s="1"/>
  <c r="H70" i="62"/>
  <c r="I70" i="62" s="1"/>
  <c r="J70" i="62" s="1"/>
  <c r="K70" i="62" s="1"/>
  <c r="L70" i="62" s="1"/>
  <c r="M70" i="62" s="1"/>
  <c r="N70" i="62" s="1"/>
  <c r="O70" i="62" s="1"/>
  <c r="P70" i="62" s="1"/>
  <c r="Q70" i="62" s="1"/>
  <c r="H71" i="62"/>
  <c r="I71" i="62" s="1"/>
  <c r="J71" i="62" s="1"/>
  <c r="K71" i="62" s="1"/>
  <c r="L71" i="62" s="1"/>
  <c r="M71" i="62" s="1"/>
  <c r="N71" i="62" s="1"/>
  <c r="O71" i="62" s="1"/>
  <c r="P71" i="62" s="1"/>
  <c r="Q71" i="62" s="1"/>
  <c r="H72" i="62"/>
  <c r="I72" i="62" s="1"/>
  <c r="J72" i="62" s="1"/>
  <c r="K72" i="62" s="1"/>
  <c r="L72" i="62" s="1"/>
  <c r="M72" i="62" s="1"/>
  <c r="N72" i="62" s="1"/>
  <c r="O72" i="62" s="1"/>
  <c r="P72" i="62" s="1"/>
  <c r="Q72" i="62" s="1"/>
  <c r="H73" i="62"/>
  <c r="I73" i="62" s="1"/>
  <c r="J73" i="62" s="1"/>
  <c r="K73" i="62" s="1"/>
  <c r="L73" i="62" s="1"/>
  <c r="M73" i="62" s="1"/>
  <c r="N73" i="62" s="1"/>
  <c r="O73" i="62" s="1"/>
  <c r="P73" i="62" s="1"/>
  <c r="Q73" i="62" s="1"/>
  <c r="H74" i="62"/>
  <c r="I74" i="62" s="1"/>
  <c r="J74" i="62" s="1"/>
  <c r="K74" i="62" s="1"/>
  <c r="L74" i="62" s="1"/>
  <c r="M74" i="62" s="1"/>
  <c r="N74" i="62" s="1"/>
  <c r="O74" i="62" s="1"/>
  <c r="P74" i="62" s="1"/>
  <c r="Q74" i="62" s="1"/>
  <c r="H75" i="62"/>
  <c r="I75" i="62" s="1"/>
  <c r="J75" i="62" s="1"/>
  <c r="K75" i="62" s="1"/>
  <c r="L75" i="62" s="1"/>
  <c r="M75" i="62" s="1"/>
  <c r="N75" i="62" s="1"/>
  <c r="O75" i="62" s="1"/>
  <c r="P75" i="62" s="1"/>
  <c r="Q75" i="62" s="1"/>
  <c r="H76" i="62"/>
  <c r="I76" i="62" s="1"/>
  <c r="J76" i="62" s="1"/>
  <c r="K76" i="62" s="1"/>
  <c r="L76" i="62" s="1"/>
  <c r="M76" i="62" s="1"/>
  <c r="N76" i="62" s="1"/>
  <c r="O76" i="62" s="1"/>
  <c r="P76" i="62" s="1"/>
  <c r="Q76" i="62" s="1"/>
  <c r="H77" i="62"/>
  <c r="I77" i="62" s="1"/>
  <c r="J77" i="62" s="1"/>
  <c r="K77" i="62" s="1"/>
  <c r="L77" i="62" s="1"/>
  <c r="M77" i="62" s="1"/>
  <c r="N77" i="62" s="1"/>
  <c r="O77" i="62" s="1"/>
  <c r="P77" i="62" s="1"/>
  <c r="Q77" i="62" s="1"/>
  <c r="H78" i="62"/>
  <c r="I78" i="62" s="1"/>
  <c r="J78" i="62" s="1"/>
  <c r="K78" i="62" s="1"/>
  <c r="L78" i="62" s="1"/>
  <c r="M78" i="62" s="1"/>
  <c r="N78" i="62" s="1"/>
  <c r="O78" i="62" s="1"/>
  <c r="P78" i="62" s="1"/>
  <c r="Q78" i="62" s="1"/>
  <c r="H79" i="62"/>
  <c r="I79" i="62" s="1"/>
  <c r="J79" i="62" s="1"/>
  <c r="K79" i="62" s="1"/>
  <c r="L79" i="62" s="1"/>
  <c r="M79" i="62" s="1"/>
  <c r="N79" i="62" s="1"/>
  <c r="O79" i="62" s="1"/>
  <c r="P79" i="62" s="1"/>
  <c r="Q79" i="62" s="1"/>
  <c r="H80" i="62"/>
  <c r="I80" i="62" s="1"/>
  <c r="J80" i="62" s="1"/>
  <c r="K80" i="62" s="1"/>
  <c r="L80" i="62" s="1"/>
  <c r="M80" i="62" s="1"/>
  <c r="N80" i="62" s="1"/>
  <c r="O80" i="62" s="1"/>
  <c r="P80" i="62" s="1"/>
  <c r="Q80" i="62" s="1"/>
  <c r="H81" i="62"/>
  <c r="I81" i="62" s="1"/>
  <c r="J81" i="62" s="1"/>
  <c r="K81" i="62" s="1"/>
  <c r="L81" i="62" s="1"/>
  <c r="M81" i="62" s="1"/>
  <c r="N81" i="62" s="1"/>
  <c r="O81" i="62" s="1"/>
  <c r="P81" i="62" s="1"/>
  <c r="Q81" i="62" s="1"/>
  <c r="H82" i="62"/>
  <c r="I82" i="62" s="1"/>
  <c r="J82" i="62" s="1"/>
  <c r="K82" i="62" s="1"/>
  <c r="L82" i="62" s="1"/>
  <c r="M82" i="62" s="1"/>
  <c r="N82" i="62" s="1"/>
  <c r="O82" i="62" s="1"/>
  <c r="P82" i="62" s="1"/>
  <c r="Q82" i="62" s="1"/>
  <c r="H83" i="62"/>
  <c r="I83" i="62" s="1"/>
  <c r="J83" i="62" s="1"/>
  <c r="K83" i="62" s="1"/>
  <c r="L83" i="62" s="1"/>
  <c r="M83" i="62" s="1"/>
  <c r="N83" i="62" s="1"/>
  <c r="O83" i="62" s="1"/>
  <c r="P83" i="62" s="1"/>
  <c r="Q83" i="62" s="1"/>
  <c r="H84" i="62"/>
  <c r="I84" i="62" s="1"/>
  <c r="J84" i="62" s="1"/>
  <c r="K84" i="62" s="1"/>
  <c r="L84" i="62" s="1"/>
  <c r="M84" i="62" s="1"/>
  <c r="N84" i="62" s="1"/>
  <c r="O84" i="62" s="1"/>
  <c r="P84" i="62" s="1"/>
  <c r="Q84" i="62" s="1"/>
  <c r="H85" i="62"/>
  <c r="I85" i="62" s="1"/>
  <c r="J85" i="62" s="1"/>
  <c r="K85" i="62" s="1"/>
  <c r="L85" i="62" s="1"/>
  <c r="M85" i="62" s="1"/>
  <c r="N85" i="62" s="1"/>
  <c r="O85" i="62" s="1"/>
  <c r="P85" i="62" s="1"/>
  <c r="Q85" i="62" s="1"/>
  <c r="H54" i="62"/>
  <c r="I54" i="62" s="1"/>
  <c r="J54" i="62" s="1"/>
  <c r="K54" i="62" s="1"/>
  <c r="L54" i="62" s="1"/>
  <c r="M54" i="62" s="1"/>
  <c r="N54" i="62" s="1"/>
  <c r="O54" i="62" s="1"/>
  <c r="P54" i="62" s="1"/>
  <c r="Q54" i="62" s="1"/>
  <c r="H55" i="62"/>
  <c r="I55" i="62" s="1"/>
  <c r="J55" i="62" s="1"/>
  <c r="K55" i="62" s="1"/>
  <c r="L55" i="62" s="1"/>
  <c r="M55" i="62" s="1"/>
  <c r="N55" i="62" s="1"/>
  <c r="O55" i="62" s="1"/>
  <c r="P55" i="62" s="1"/>
  <c r="Q55" i="62" s="1"/>
  <c r="H56" i="62"/>
  <c r="I56" i="62" s="1"/>
  <c r="J56" i="62" s="1"/>
  <c r="K56" i="62" s="1"/>
  <c r="L56" i="62" s="1"/>
  <c r="M56" i="62" s="1"/>
  <c r="N56" i="62" s="1"/>
  <c r="O56" i="62" s="1"/>
  <c r="P56" i="62" s="1"/>
  <c r="Q56" i="62" s="1"/>
  <c r="H57" i="62"/>
  <c r="I57" i="62" s="1"/>
  <c r="J57" i="62" s="1"/>
  <c r="K57" i="62" s="1"/>
  <c r="L57" i="62" s="1"/>
  <c r="M57" i="62" s="1"/>
  <c r="N57" i="62" s="1"/>
  <c r="O57" i="62" s="1"/>
  <c r="P57" i="62" s="1"/>
  <c r="Q57" i="62" s="1"/>
  <c r="H58" i="62"/>
  <c r="I58" i="62" s="1"/>
  <c r="J58" i="62" s="1"/>
  <c r="K58" i="62" s="1"/>
  <c r="L58" i="62" s="1"/>
  <c r="M58" i="62" s="1"/>
  <c r="N58" i="62" s="1"/>
  <c r="O58" i="62" s="1"/>
  <c r="P58" i="62" s="1"/>
  <c r="Q58" i="62" s="1"/>
  <c r="H59" i="62"/>
  <c r="I59" i="62" s="1"/>
  <c r="J59" i="62" s="1"/>
  <c r="K59" i="62" s="1"/>
  <c r="L59" i="62" s="1"/>
  <c r="M59" i="62" s="1"/>
  <c r="N59" i="62" s="1"/>
  <c r="O59" i="62" s="1"/>
  <c r="P59" i="62" s="1"/>
  <c r="Q59" i="62" s="1"/>
  <c r="H60" i="62"/>
  <c r="I60" i="62" s="1"/>
  <c r="J60" i="62" s="1"/>
  <c r="K60" i="62" s="1"/>
  <c r="L60" i="62" s="1"/>
  <c r="M60" i="62" s="1"/>
  <c r="N60" i="62" s="1"/>
  <c r="O60" i="62" s="1"/>
  <c r="P60" i="62" s="1"/>
  <c r="Q60" i="62" s="1"/>
  <c r="H61" i="62"/>
  <c r="I61" i="62" s="1"/>
  <c r="J61" i="62" s="1"/>
  <c r="K61" i="62" s="1"/>
  <c r="L61" i="62" s="1"/>
  <c r="M61" i="62" s="1"/>
  <c r="N61" i="62" s="1"/>
  <c r="O61" i="62" s="1"/>
  <c r="P61" i="62" s="1"/>
  <c r="Q61" i="62" s="1"/>
  <c r="H62" i="62"/>
  <c r="I62" i="62" s="1"/>
  <c r="J62" i="62" s="1"/>
  <c r="K62" i="62" s="1"/>
  <c r="L62" i="62" s="1"/>
  <c r="M62" i="62" s="1"/>
  <c r="N62" i="62" s="1"/>
  <c r="O62" i="62" s="1"/>
  <c r="P62" i="62" s="1"/>
  <c r="Q62" i="62" s="1"/>
  <c r="H63" i="62"/>
  <c r="I63" i="62" s="1"/>
  <c r="J63" i="62" s="1"/>
  <c r="K63" i="62" s="1"/>
  <c r="L63" i="62" s="1"/>
  <c r="M63" i="62" s="1"/>
  <c r="N63" i="62" s="1"/>
  <c r="O63" i="62" s="1"/>
  <c r="P63" i="62" s="1"/>
  <c r="Q63" i="62" s="1"/>
  <c r="H64" i="62"/>
  <c r="I64" i="62" s="1"/>
  <c r="J64" i="62" s="1"/>
  <c r="K64" i="62" s="1"/>
  <c r="L64" i="62" s="1"/>
  <c r="M64" i="62" s="1"/>
  <c r="N64" i="62" s="1"/>
  <c r="O64" i="62" s="1"/>
  <c r="P64" i="62" s="1"/>
  <c r="Q64" i="62" s="1"/>
  <c r="H65" i="62"/>
  <c r="I65" i="62" s="1"/>
  <c r="J65" i="62" s="1"/>
  <c r="K65" i="62" s="1"/>
  <c r="L65" i="62" s="1"/>
  <c r="M65" i="62" s="1"/>
  <c r="N65" i="62" s="1"/>
  <c r="O65" i="62" s="1"/>
  <c r="P65" i="62" s="1"/>
  <c r="Q65" i="62" s="1"/>
  <c r="H66" i="62"/>
  <c r="I66" i="62" s="1"/>
  <c r="J66" i="62" s="1"/>
  <c r="K66" i="62" s="1"/>
  <c r="L66" i="62" s="1"/>
  <c r="M66" i="62" s="1"/>
  <c r="N66" i="62" s="1"/>
  <c r="O66" i="62" s="1"/>
  <c r="P66" i="62" s="1"/>
  <c r="Q66" i="62" s="1"/>
  <c r="H67" i="62"/>
  <c r="I67" i="62" s="1"/>
  <c r="J67" i="62" s="1"/>
  <c r="K67" i="62" s="1"/>
  <c r="L67" i="62" s="1"/>
  <c r="M67" i="62" s="1"/>
  <c r="N67" i="62" s="1"/>
  <c r="O67" i="62" s="1"/>
  <c r="P67" i="62" s="1"/>
  <c r="Q67" i="62" s="1"/>
  <c r="H68" i="62"/>
  <c r="I68" i="62" s="1"/>
  <c r="J68" i="62" s="1"/>
  <c r="K68" i="62" s="1"/>
  <c r="L68" i="62" s="1"/>
  <c r="M68" i="62" s="1"/>
  <c r="N68" i="62" s="1"/>
  <c r="O68" i="62" s="1"/>
  <c r="P68" i="62" s="1"/>
  <c r="Q68" i="62" s="1"/>
  <c r="H39" i="62"/>
  <c r="I39" i="62" s="1"/>
  <c r="J39" i="62" s="1"/>
  <c r="K39" i="62" s="1"/>
  <c r="L39" i="62" s="1"/>
  <c r="M39" i="62" s="1"/>
  <c r="N39" i="62" s="1"/>
  <c r="O39" i="62" s="1"/>
  <c r="P39" i="62" s="1"/>
  <c r="Q39" i="62" s="1"/>
  <c r="H40" i="62"/>
  <c r="I40" i="62" s="1"/>
  <c r="J40" i="62" s="1"/>
  <c r="K40" i="62" s="1"/>
  <c r="L40" i="62" s="1"/>
  <c r="M40" i="62" s="1"/>
  <c r="N40" i="62" s="1"/>
  <c r="O40" i="62" s="1"/>
  <c r="P40" i="62" s="1"/>
  <c r="Q40" i="62" s="1"/>
  <c r="H41" i="62"/>
  <c r="I41" i="62" s="1"/>
  <c r="J41" i="62" s="1"/>
  <c r="K41" i="62" s="1"/>
  <c r="L41" i="62" s="1"/>
  <c r="M41" i="62" s="1"/>
  <c r="N41" i="62" s="1"/>
  <c r="O41" i="62" s="1"/>
  <c r="P41" i="62" s="1"/>
  <c r="Q41" i="62" s="1"/>
  <c r="H42" i="62"/>
  <c r="I42" i="62" s="1"/>
  <c r="J42" i="62" s="1"/>
  <c r="K42" i="62" s="1"/>
  <c r="L42" i="62" s="1"/>
  <c r="M42" i="62" s="1"/>
  <c r="N42" i="62" s="1"/>
  <c r="O42" i="62" s="1"/>
  <c r="P42" i="62" s="1"/>
  <c r="Q42" i="62" s="1"/>
  <c r="H43" i="62"/>
  <c r="I43" i="62" s="1"/>
  <c r="J43" i="62" s="1"/>
  <c r="K43" i="62" s="1"/>
  <c r="L43" i="62" s="1"/>
  <c r="M43" i="62" s="1"/>
  <c r="N43" i="62" s="1"/>
  <c r="O43" i="62" s="1"/>
  <c r="P43" i="62" s="1"/>
  <c r="Q43" i="62" s="1"/>
  <c r="H44" i="62"/>
  <c r="I44" i="62" s="1"/>
  <c r="J44" i="62" s="1"/>
  <c r="K44" i="62" s="1"/>
  <c r="L44" i="62" s="1"/>
  <c r="M44" i="62" s="1"/>
  <c r="N44" i="62" s="1"/>
  <c r="O44" i="62" s="1"/>
  <c r="P44" i="62" s="1"/>
  <c r="Q44" i="62" s="1"/>
  <c r="H45" i="62"/>
  <c r="I45" i="62" s="1"/>
  <c r="J45" i="62" s="1"/>
  <c r="K45" i="62" s="1"/>
  <c r="L45" i="62" s="1"/>
  <c r="M45" i="62" s="1"/>
  <c r="N45" i="62" s="1"/>
  <c r="O45" i="62" s="1"/>
  <c r="P45" i="62" s="1"/>
  <c r="Q45" i="62" s="1"/>
  <c r="H46" i="62"/>
  <c r="I46" i="62" s="1"/>
  <c r="J46" i="62" s="1"/>
  <c r="K46" i="62" s="1"/>
  <c r="L46" i="62" s="1"/>
  <c r="M46" i="62" s="1"/>
  <c r="N46" i="62" s="1"/>
  <c r="O46" i="62" s="1"/>
  <c r="P46" i="62" s="1"/>
  <c r="Q46" i="62" s="1"/>
  <c r="H47" i="62"/>
  <c r="I47" i="62" s="1"/>
  <c r="J47" i="62" s="1"/>
  <c r="K47" i="62" s="1"/>
  <c r="L47" i="62" s="1"/>
  <c r="M47" i="62" s="1"/>
  <c r="N47" i="62" s="1"/>
  <c r="O47" i="62" s="1"/>
  <c r="P47" i="62" s="1"/>
  <c r="Q47" i="62" s="1"/>
  <c r="H48" i="62"/>
  <c r="I48" i="62" s="1"/>
  <c r="J48" i="62" s="1"/>
  <c r="K48" i="62" s="1"/>
  <c r="L48" i="62" s="1"/>
  <c r="M48" i="62" s="1"/>
  <c r="N48" i="62" s="1"/>
  <c r="O48" i="62" s="1"/>
  <c r="P48" i="62" s="1"/>
  <c r="Q48" i="62" s="1"/>
  <c r="H49" i="62"/>
  <c r="I49" i="62" s="1"/>
  <c r="J49" i="62" s="1"/>
  <c r="K49" i="62" s="1"/>
  <c r="L49" i="62" s="1"/>
  <c r="M49" i="62" s="1"/>
  <c r="N49" i="62" s="1"/>
  <c r="O49" i="62" s="1"/>
  <c r="P49" i="62" s="1"/>
  <c r="Q49" i="62" s="1"/>
  <c r="H50" i="62"/>
  <c r="I50" i="62" s="1"/>
  <c r="J50" i="62" s="1"/>
  <c r="K50" i="62" s="1"/>
  <c r="L50" i="62" s="1"/>
  <c r="M50" i="62" s="1"/>
  <c r="N50" i="62" s="1"/>
  <c r="O50" i="62" s="1"/>
  <c r="P50" i="62" s="1"/>
  <c r="Q50" i="62" s="1"/>
  <c r="H51" i="62"/>
  <c r="I51" i="62" s="1"/>
  <c r="J51" i="62" s="1"/>
  <c r="K51" i="62" s="1"/>
  <c r="L51" i="62" s="1"/>
  <c r="M51" i="62" s="1"/>
  <c r="N51" i="62" s="1"/>
  <c r="O51" i="62" s="1"/>
  <c r="P51" i="62" s="1"/>
  <c r="Q51" i="62" s="1"/>
  <c r="H52" i="62"/>
  <c r="I52" i="62" s="1"/>
  <c r="J52" i="62" s="1"/>
  <c r="K52" i="62" s="1"/>
  <c r="L52" i="62" s="1"/>
  <c r="M52" i="62" s="1"/>
  <c r="N52" i="62" s="1"/>
  <c r="O52" i="62" s="1"/>
  <c r="P52" i="62" s="1"/>
  <c r="Q52" i="62" s="1"/>
  <c r="H53" i="62"/>
  <c r="I53" i="62" s="1"/>
  <c r="J53" i="62" s="1"/>
  <c r="K53" i="62" s="1"/>
  <c r="L53" i="62" s="1"/>
  <c r="M53" i="62" s="1"/>
  <c r="N53" i="62" s="1"/>
  <c r="O53" i="62" s="1"/>
  <c r="P53" i="62" s="1"/>
  <c r="Q53" i="62" s="1"/>
  <c r="H30" i="62"/>
  <c r="I30" i="62" s="1"/>
  <c r="J30" i="62" s="1"/>
  <c r="K30" i="62" s="1"/>
  <c r="L30" i="62" s="1"/>
  <c r="M30" i="62" s="1"/>
  <c r="N30" i="62" s="1"/>
  <c r="O30" i="62" s="1"/>
  <c r="P30" i="62" s="1"/>
  <c r="Q30" i="62" s="1"/>
  <c r="H31" i="62"/>
  <c r="I31" i="62" s="1"/>
  <c r="J31" i="62" s="1"/>
  <c r="K31" i="62" s="1"/>
  <c r="L31" i="62" s="1"/>
  <c r="M31" i="62" s="1"/>
  <c r="N31" i="62" s="1"/>
  <c r="O31" i="62" s="1"/>
  <c r="P31" i="62" s="1"/>
  <c r="Q31" i="62" s="1"/>
  <c r="H32" i="62"/>
  <c r="I32" i="62" s="1"/>
  <c r="J32" i="62" s="1"/>
  <c r="K32" i="62" s="1"/>
  <c r="L32" i="62" s="1"/>
  <c r="M32" i="62" s="1"/>
  <c r="N32" i="62" s="1"/>
  <c r="O32" i="62" s="1"/>
  <c r="P32" i="62" s="1"/>
  <c r="Q32" i="62" s="1"/>
  <c r="H33" i="62"/>
  <c r="I33" i="62" s="1"/>
  <c r="J33" i="62" s="1"/>
  <c r="K33" i="62" s="1"/>
  <c r="L33" i="62" s="1"/>
  <c r="M33" i="62" s="1"/>
  <c r="N33" i="62" s="1"/>
  <c r="O33" i="62" s="1"/>
  <c r="P33" i="62" s="1"/>
  <c r="Q33" i="62" s="1"/>
  <c r="H34" i="62"/>
  <c r="I34" i="62" s="1"/>
  <c r="J34" i="62" s="1"/>
  <c r="K34" i="62" s="1"/>
  <c r="L34" i="62" s="1"/>
  <c r="M34" i="62" s="1"/>
  <c r="N34" i="62" s="1"/>
  <c r="O34" i="62" s="1"/>
  <c r="P34" i="62" s="1"/>
  <c r="Q34" i="62" s="1"/>
  <c r="H35" i="62"/>
  <c r="I35" i="62" s="1"/>
  <c r="J35" i="62" s="1"/>
  <c r="K35" i="62" s="1"/>
  <c r="L35" i="62" s="1"/>
  <c r="M35" i="62" s="1"/>
  <c r="N35" i="62" s="1"/>
  <c r="O35" i="62" s="1"/>
  <c r="P35" i="62" s="1"/>
  <c r="Q35" i="62" s="1"/>
  <c r="H36" i="62"/>
  <c r="I36" i="62" s="1"/>
  <c r="J36" i="62" s="1"/>
  <c r="K36" i="62" s="1"/>
  <c r="L36" i="62" s="1"/>
  <c r="M36" i="62" s="1"/>
  <c r="N36" i="62" s="1"/>
  <c r="O36" i="62" s="1"/>
  <c r="P36" i="62" s="1"/>
  <c r="Q36" i="62" s="1"/>
  <c r="H37" i="62"/>
  <c r="I37" i="62" s="1"/>
  <c r="J37" i="62" s="1"/>
  <c r="K37" i="62" s="1"/>
  <c r="L37" i="62" s="1"/>
  <c r="M37" i="62" s="1"/>
  <c r="N37" i="62" s="1"/>
  <c r="O37" i="62" s="1"/>
  <c r="P37" i="62" s="1"/>
  <c r="Q37" i="62" s="1"/>
  <c r="H38" i="62"/>
  <c r="I38" i="62" s="1"/>
  <c r="J38" i="62" s="1"/>
  <c r="K38" i="62" s="1"/>
  <c r="L38" i="62" s="1"/>
  <c r="M38" i="62" s="1"/>
  <c r="N38" i="62" s="1"/>
  <c r="O38" i="62" s="1"/>
  <c r="P38" i="62" s="1"/>
  <c r="Q38" i="62" s="1"/>
  <c r="H13" i="62"/>
  <c r="I13" i="62" s="1"/>
  <c r="J13" i="62" s="1"/>
  <c r="K13" i="62" s="1"/>
  <c r="L13" i="62" s="1"/>
  <c r="M13" i="62" s="1"/>
  <c r="N13" i="62" s="1"/>
  <c r="O13" i="62" s="1"/>
  <c r="P13" i="62" s="1"/>
  <c r="Q13" i="62" s="1"/>
  <c r="H14" i="62"/>
  <c r="I14" i="62" s="1"/>
  <c r="J14" i="62" s="1"/>
  <c r="K14" i="62" s="1"/>
  <c r="L14" i="62" s="1"/>
  <c r="M14" i="62" s="1"/>
  <c r="N14" i="62" s="1"/>
  <c r="O14" i="62" s="1"/>
  <c r="P14" i="62" s="1"/>
  <c r="Q14" i="62" s="1"/>
  <c r="H15" i="62"/>
  <c r="I15" i="62" s="1"/>
  <c r="J15" i="62" s="1"/>
  <c r="K15" i="62" s="1"/>
  <c r="L15" i="62" s="1"/>
  <c r="M15" i="62" s="1"/>
  <c r="N15" i="62" s="1"/>
  <c r="O15" i="62" s="1"/>
  <c r="P15" i="62" s="1"/>
  <c r="Q15" i="62" s="1"/>
  <c r="H16" i="62"/>
  <c r="I16" i="62" s="1"/>
  <c r="J16" i="62" s="1"/>
  <c r="K16" i="62" s="1"/>
  <c r="L16" i="62" s="1"/>
  <c r="M16" i="62" s="1"/>
  <c r="N16" i="62" s="1"/>
  <c r="O16" i="62" s="1"/>
  <c r="P16" i="62" s="1"/>
  <c r="Q16" i="62" s="1"/>
  <c r="H17" i="62"/>
  <c r="I17" i="62" s="1"/>
  <c r="J17" i="62" s="1"/>
  <c r="K17" i="62" s="1"/>
  <c r="L17" i="62" s="1"/>
  <c r="M17" i="62" s="1"/>
  <c r="N17" i="62" s="1"/>
  <c r="O17" i="62" s="1"/>
  <c r="P17" i="62" s="1"/>
  <c r="Q17" i="62" s="1"/>
  <c r="H18" i="62"/>
  <c r="I18" i="62" s="1"/>
  <c r="J18" i="62" s="1"/>
  <c r="K18" i="62" s="1"/>
  <c r="L18" i="62" s="1"/>
  <c r="M18" i="62" s="1"/>
  <c r="N18" i="62" s="1"/>
  <c r="O18" i="62" s="1"/>
  <c r="P18" i="62" s="1"/>
  <c r="Q18" i="62" s="1"/>
  <c r="H19" i="62"/>
  <c r="I19" i="62" s="1"/>
  <c r="J19" i="62" s="1"/>
  <c r="K19" i="62" s="1"/>
  <c r="L19" i="62" s="1"/>
  <c r="M19" i="62" s="1"/>
  <c r="N19" i="62" s="1"/>
  <c r="O19" i="62" s="1"/>
  <c r="P19" i="62" s="1"/>
  <c r="Q19" i="62" s="1"/>
  <c r="H20" i="62"/>
  <c r="I20" i="62" s="1"/>
  <c r="J20" i="62" s="1"/>
  <c r="K20" i="62" s="1"/>
  <c r="L20" i="62" s="1"/>
  <c r="M20" i="62" s="1"/>
  <c r="N20" i="62" s="1"/>
  <c r="O20" i="62" s="1"/>
  <c r="P20" i="62" s="1"/>
  <c r="Q20" i="62" s="1"/>
  <c r="H21" i="62"/>
  <c r="I21" i="62" s="1"/>
  <c r="J21" i="62" s="1"/>
  <c r="K21" i="62" s="1"/>
  <c r="L21" i="62" s="1"/>
  <c r="M21" i="62" s="1"/>
  <c r="N21" i="62" s="1"/>
  <c r="O21" i="62" s="1"/>
  <c r="P21" i="62" s="1"/>
  <c r="Q21" i="62" s="1"/>
  <c r="H22" i="62"/>
  <c r="I22" i="62" s="1"/>
  <c r="J22" i="62" s="1"/>
  <c r="K22" i="62" s="1"/>
  <c r="L22" i="62" s="1"/>
  <c r="M22" i="62" s="1"/>
  <c r="N22" i="62" s="1"/>
  <c r="O22" i="62" s="1"/>
  <c r="P22" i="62" s="1"/>
  <c r="Q22" i="62" s="1"/>
  <c r="H23" i="62"/>
  <c r="I23" i="62" s="1"/>
  <c r="J23" i="62" s="1"/>
  <c r="K23" i="62" s="1"/>
  <c r="L23" i="62" s="1"/>
  <c r="M23" i="62" s="1"/>
  <c r="N23" i="62" s="1"/>
  <c r="O23" i="62" s="1"/>
  <c r="P23" i="62" s="1"/>
  <c r="Q23" i="62" s="1"/>
  <c r="H24" i="62"/>
  <c r="I24" i="62" s="1"/>
  <c r="J24" i="62" s="1"/>
  <c r="K24" i="62" s="1"/>
  <c r="L24" i="62" s="1"/>
  <c r="M24" i="62" s="1"/>
  <c r="N24" i="62" s="1"/>
  <c r="O24" i="62" s="1"/>
  <c r="P24" i="62" s="1"/>
  <c r="Q24" i="62" s="1"/>
  <c r="H25" i="62"/>
  <c r="I25" i="62" s="1"/>
  <c r="J25" i="62" s="1"/>
  <c r="K25" i="62" s="1"/>
  <c r="L25" i="62" s="1"/>
  <c r="M25" i="62" s="1"/>
  <c r="N25" i="62" s="1"/>
  <c r="O25" i="62" s="1"/>
  <c r="P25" i="62" s="1"/>
  <c r="Q25" i="62" s="1"/>
  <c r="H26" i="62"/>
  <c r="I26" i="62" s="1"/>
  <c r="J26" i="62" s="1"/>
  <c r="K26" i="62" s="1"/>
  <c r="L26" i="62" s="1"/>
  <c r="M26" i="62" s="1"/>
  <c r="N26" i="62" s="1"/>
  <c r="O26" i="62" s="1"/>
  <c r="P26" i="62" s="1"/>
  <c r="Q26" i="62" s="1"/>
  <c r="H27" i="62"/>
  <c r="I27" i="62" s="1"/>
  <c r="J27" i="62" s="1"/>
  <c r="K27" i="62" s="1"/>
  <c r="L27" i="62" s="1"/>
  <c r="M27" i="62" s="1"/>
  <c r="N27" i="62" s="1"/>
  <c r="O27" i="62" s="1"/>
  <c r="P27" i="62" s="1"/>
  <c r="Q27" i="62" s="1"/>
  <c r="H28" i="62"/>
  <c r="I28" i="62" s="1"/>
  <c r="J28" i="62" s="1"/>
  <c r="K28" i="62" s="1"/>
  <c r="L28" i="62" s="1"/>
  <c r="M28" i="62" s="1"/>
  <c r="N28" i="62" s="1"/>
  <c r="O28" i="62" s="1"/>
  <c r="P28" i="62" s="1"/>
  <c r="Q28" i="62" s="1"/>
  <c r="H29" i="62"/>
  <c r="I29" i="62" s="1"/>
  <c r="J29" i="62" s="1"/>
  <c r="K29" i="62" s="1"/>
  <c r="L29" i="62" s="1"/>
  <c r="M29" i="62" s="1"/>
  <c r="N29" i="62" s="1"/>
  <c r="O29" i="62" s="1"/>
  <c r="P29" i="62" s="1"/>
  <c r="Q29" i="62" s="1"/>
  <c r="H12" i="62"/>
  <c r="I12" i="62" s="1"/>
  <c r="J12" i="62" s="1"/>
  <c r="K12" i="62" s="1"/>
  <c r="L12" i="62" s="1"/>
  <c r="M12" i="62" s="1"/>
  <c r="N12" i="62" s="1"/>
  <c r="O12" i="62" s="1"/>
  <c r="P12" i="62" s="1"/>
  <c r="Q12" i="62" s="1"/>
  <c r="R8" i="62"/>
  <c r="R9" i="62"/>
  <c r="R7" i="62"/>
  <c r="H8" i="62"/>
  <c r="I8" i="62" s="1"/>
  <c r="J8" i="62" s="1"/>
  <c r="K8" i="62" s="1"/>
  <c r="L8" i="62" s="1"/>
  <c r="M8" i="62" s="1"/>
  <c r="N8" i="62" s="1"/>
  <c r="O8" i="62" s="1"/>
  <c r="P8" i="62" s="1"/>
  <c r="Q8" i="62" s="1"/>
  <c r="H9" i="62"/>
  <c r="I9" i="62" s="1"/>
  <c r="J9" i="62" s="1"/>
  <c r="K9" i="62" s="1"/>
  <c r="L9" i="62" s="1"/>
  <c r="M9" i="62" s="1"/>
  <c r="N9" i="62" s="1"/>
  <c r="O9" i="62" s="1"/>
  <c r="P9" i="62" s="1"/>
  <c r="Q9" i="62" s="1"/>
  <c r="H10" i="62"/>
  <c r="I10" i="62" s="1"/>
  <c r="J10" i="62" s="1"/>
  <c r="K10" i="62" s="1"/>
  <c r="L10" i="62" s="1"/>
  <c r="M10" i="62" s="1"/>
  <c r="N10" i="62" s="1"/>
  <c r="O10" i="62" s="1"/>
  <c r="P10" i="62" s="1"/>
  <c r="Q10" i="62" s="1"/>
  <c r="H11" i="62"/>
  <c r="I11" i="62" s="1"/>
  <c r="J11" i="62" s="1"/>
  <c r="K11" i="62" s="1"/>
  <c r="L11" i="62" s="1"/>
  <c r="M11" i="62" s="1"/>
  <c r="N11" i="62" s="1"/>
  <c r="O11" i="62" s="1"/>
  <c r="P11" i="62" s="1"/>
  <c r="Q11" i="62" s="1"/>
  <c r="H131" i="62"/>
  <c r="I131" i="62" s="1"/>
  <c r="J131" i="62" s="1"/>
  <c r="K131" i="62" s="1"/>
  <c r="L131" i="62" s="1"/>
  <c r="M131" i="62" s="1"/>
  <c r="N131" i="62" s="1"/>
  <c r="O131" i="62" s="1"/>
  <c r="P131" i="62" s="1"/>
  <c r="Q131" i="62" s="1"/>
  <c r="H7" i="62"/>
  <c r="I7" i="62" s="1"/>
  <c r="J7" i="62" s="1"/>
  <c r="K7" i="62" s="1"/>
  <c r="L7" i="62" s="1"/>
  <c r="M7" i="62" s="1"/>
  <c r="N7" i="62" s="1"/>
  <c r="O7" i="62" s="1"/>
  <c r="P7" i="62" s="1"/>
  <c r="Q7" i="62" s="1"/>
  <c r="J7" i="61" l="1"/>
  <c r="J8" i="61" s="1"/>
  <c r="J9" i="61" s="1"/>
  <c r="J10" i="61" s="1"/>
  <c r="J11" i="61" s="1"/>
  <c r="J12" i="61" s="1"/>
  <c r="J13" i="61" s="1"/>
  <c r="J14" i="61" s="1"/>
  <c r="J15" i="61" s="1"/>
  <c r="J16" i="61" s="1"/>
  <c r="N7" i="61"/>
  <c r="N8" i="61" s="1"/>
  <c r="M7" i="61"/>
  <c r="L7" i="61"/>
  <c r="L8" i="61" s="1"/>
  <c r="K7" i="61"/>
  <c r="K8" i="61" s="1"/>
  <c r="N9" i="61" l="1"/>
  <c r="M8" i="61"/>
  <c r="L9" i="61"/>
  <c r="K9" i="61"/>
  <c r="N10" i="61" l="1"/>
  <c r="M9" i="61"/>
  <c r="L10" i="61"/>
  <c r="K10" i="61"/>
  <c r="H168" i="58"/>
  <c r="H38" i="58" s="1"/>
  <c r="H532" i="58"/>
  <c r="D7" i="58"/>
  <c r="D8" i="58"/>
  <c r="D9" i="58"/>
  <c r="D10" i="58"/>
  <c r="D11" i="58"/>
  <c r="B8" i="58"/>
  <c r="C8" i="58"/>
  <c r="B9" i="58"/>
  <c r="C9" i="58"/>
  <c r="B10" i="58"/>
  <c r="C10" i="58"/>
  <c r="B11" i="58"/>
  <c r="C11" i="58"/>
  <c r="C7" i="58"/>
  <c r="B19" i="11"/>
  <c r="B7" i="58" s="1"/>
  <c r="C577" i="11"/>
  <c r="C552" i="11"/>
  <c r="C731" i="58" s="1"/>
  <c r="C527" i="11"/>
  <c r="B567" i="11"/>
  <c r="B566" i="11"/>
  <c r="B565" i="11"/>
  <c r="B560" i="11"/>
  <c r="B559" i="11"/>
  <c r="B542" i="11"/>
  <c r="B541" i="11"/>
  <c r="B540" i="11"/>
  <c r="B535" i="11"/>
  <c r="B534" i="11"/>
  <c r="E27" i="58"/>
  <c r="F27" i="58" s="1"/>
  <c r="D27" i="58" s="1"/>
  <c r="D188" i="11" s="1"/>
  <c r="E28" i="58"/>
  <c r="C28" i="58" s="1"/>
  <c r="C189" i="11" s="1"/>
  <c r="E29" i="58"/>
  <c r="C29" i="58" s="1"/>
  <c r="C190" i="11" s="1"/>
  <c r="E30" i="58"/>
  <c r="C30" i="58" s="1"/>
  <c r="C191" i="11" s="1"/>
  <c r="E31" i="58"/>
  <c r="C31" i="58" s="1"/>
  <c r="C192" i="11" s="1"/>
  <c r="E26" i="58"/>
  <c r="C26" i="58" s="1"/>
  <c r="C187" i="11" s="1"/>
  <c r="AF13" i="57"/>
  <c r="B170" i="12"/>
  <c r="C13" i="26"/>
  <c r="B142" i="10"/>
  <c r="B137" i="10"/>
  <c r="N11" i="61" l="1"/>
  <c r="M10" i="61"/>
  <c r="L11" i="61"/>
  <c r="K11" i="61"/>
  <c r="C781" i="58"/>
  <c r="C862" i="58"/>
  <c r="C887" i="58"/>
  <c r="C987" i="58"/>
  <c r="C962" i="58"/>
  <c r="C937" i="58"/>
  <c r="C912" i="58"/>
  <c r="C806" i="58"/>
  <c r="C706" i="58"/>
  <c r="C831" i="58"/>
  <c r="C756" i="58"/>
  <c r="C27" i="58"/>
  <c r="C188" i="11" s="1"/>
  <c r="F30" i="58"/>
  <c r="D30" i="58" s="1"/>
  <c r="D191" i="11" s="1"/>
  <c r="F26" i="58"/>
  <c r="D26" i="58" s="1"/>
  <c r="D187" i="11" s="1"/>
  <c r="F31" i="58"/>
  <c r="D31" i="58" s="1"/>
  <c r="D192" i="11" s="1"/>
  <c r="F28" i="58"/>
  <c r="D28" i="58" s="1"/>
  <c r="D189" i="11" s="1"/>
  <c r="F29" i="58"/>
  <c r="D29" i="58" s="1"/>
  <c r="D190" i="11" s="1"/>
  <c r="B18" i="11"/>
  <c r="N12" i="61" l="1"/>
  <c r="M11" i="61"/>
  <c r="L12" i="61"/>
  <c r="K12" i="61"/>
  <c r="E867" i="58"/>
  <c r="F887" i="58"/>
  <c r="F862" i="58" s="1"/>
  <c r="F912" i="58"/>
  <c r="F937" i="58"/>
  <c r="F962" i="58"/>
  <c r="F987" i="58"/>
  <c r="F731" i="58"/>
  <c r="F706" i="58" s="1"/>
  <c r="F756" i="58"/>
  <c r="F781" i="58"/>
  <c r="F806" i="58"/>
  <c r="F831" i="58"/>
  <c r="B1258" i="11"/>
  <c r="B1257" i="11"/>
  <c r="B1256" i="11"/>
  <c r="B1251" i="11"/>
  <c r="B1250" i="11"/>
  <c r="F575" i="58"/>
  <c r="F550" i="58" s="1"/>
  <c r="F600" i="58"/>
  <c r="F625" i="58"/>
  <c r="F650" i="58"/>
  <c r="F675" i="58"/>
  <c r="B185" i="11"/>
  <c r="B184" i="11"/>
  <c r="B183" i="11"/>
  <c r="B182" i="11"/>
  <c r="B181" i="11"/>
  <c r="B228" i="10"/>
  <c r="B377" i="11"/>
  <c r="B376" i="11"/>
  <c r="B375" i="11"/>
  <c r="B374" i="11"/>
  <c r="B373" i="11"/>
  <c r="B372" i="11"/>
  <c r="B371" i="11"/>
  <c r="B370" i="11"/>
  <c r="B369" i="11"/>
  <c r="B368" i="11"/>
  <c r="B367" i="11"/>
  <c r="B366" i="11"/>
  <c r="B365" i="11"/>
  <c r="B364" i="11"/>
  <c r="B363" i="11"/>
  <c r="B362" i="11"/>
  <c r="B361" i="11"/>
  <c r="B360" i="11"/>
  <c r="B359" i="11"/>
  <c r="B358" i="11"/>
  <c r="B357" i="11"/>
  <c r="B356" i="11"/>
  <c r="B355" i="11"/>
  <c r="B354" i="11"/>
  <c r="B353" i="11"/>
  <c r="B352" i="11"/>
  <c r="B351" i="11"/>
  <c r="B350" i="11"/>
  <c r="B349" i="11"/>
  <c r="B348" i="11"/>
  <c r="B347" i="11"/>
  <c r="B346" i="11"/>
  <c r="B345" i="11"/>
  <c r="B344" i="11"/>
  <c r="B343" i="11"/>
  <c r="B342" i="11"/>
  <c r="B341" i="11"/>
  <c r="B340" i="11"/>
  <c r="B339" i="11"/>
  <c r="B338" i="11"/>
  <c r="B337" i="11"/>
  <c r="B336" i="11"/>
  <c r="B335" i="11"/>
  <c r="B334" i="11"/>
  <c r="B333" i="11"/>
  <c r="B332" i="11"/>
  <c r="B331" i="11"/>
  <c r="B330" i="11"/>
  <c r="B329" i="11"/>
  <c r="B328" i="11"/>
  <c r="B327" i="11"/>
  <c r="B326" i="11"/>
  <c r="B325" i="11"/>
  <c r="B324" i="11"/>
  <c r="B323" i="11"/>
  <c r="B322" i="11"/>
  <c r="B321" i="11"/>
  <c r="B320" i="11"/>
  <c r="B319" i="11"/>
  <c r="B318" i="11"/>
  <c r="B315" i="11"/>
  <c r="B314" i="11"/>
  <c r="B313" i="11"/>
  <c r="B312" i="11"/>
  <c r="B311" i="11"/>
  <c r="B310" i="11"/>
  <c r="B309" i="11"/>
  <c r="B308" i="11"/>
  <c r="B307" i="11"/>
  <c r="B306" i="11"/>
  <c r="B305" i="11"/>
  <c r="B304" i="11"/>
  <c r="B303" i="11"/>
  <c r="B302" i="11"/>
  <c r="B301" i="11"/>
  <c r="B300" i="11"/>
  <c r="B299" i="11"/>
  <c r="B298" i="11"/>
  <c r="B297" i="11"/>
  <c r="B296" i="11"/>
  <c r="B295" i="11"/>
  <c r="B294" i="11"/>
  <c r="B293" i="11"/>
  <c r="B292" i="11"/>
  <c r="B291" i="11"/>
  <c r="B290" i="11"/>
  <c r="B289" i="11"/>
  <c r="B288" i="11"/>
  <c r="B287" i="11"/>
  <c r="B286" i="11"/>
  <c r="B285" i="11"/>
  <c r="B284" i="11"/>
  <c r="B283" i="11"/>
  <c r="B282" i="11"/>
  <c r="B281" i="11"/>
  <c r="B280" i="11"/>
  <c r="B279" i="11"/>
  <c r="B278" i="11"/>
  <c r="B277" i="11"/>
  <c r="B276" i="11"/>
  <c r="B275" i="11"/>
  <c r="B274" i="11"/>
  <c r="B273" i="11"/>
  <c r="B272" i="11"/>
  <c r="B271" i="11"/>
  <c r="B270" i="11"/>
  <c r="B269" i="11"/>
  <c r="B268" i="11"/>
  <c r="B267" i="11"/>
  <c r="B266" i="11"/>
  <c r="B265" i="11"/>
  <c r="B264" i="11"/>
  <c r="B263" i="11"/>
  <c r="B262" i="11"/>
  <c r="B261" i="11"/>
  <c r="B260" i="11"/>
  <c r="B259" i="11"/>
  <c r="B258" i="11"/>
  <c r="B257" i="11"/>
  <c r="B256" i="11"/>
  <c r="B253" i="11"/>
  <c r="B252" i="11"/>
  <c r="B251" i="11"/>
  <c r="B250" i="11"/>
  <c r="B249" i="11"/>
  <c r="B248" i="11"/>
  <c r="B247" i="11"/>
  <c r="B246" i="11"/>
  <c r="B245" i="11"/>
  <c r="B244" i="11"/>
  <c r="B243" i="11"/>
  <c r="B242" i="11"/>
  <c r="B241" i="11"/>
  <c r="B240" i="11"/>
  <c r="B239" i="11"/>
  <c r="B238" i="11"/>
  <c r="B237" i="11"/>
  <c r="B236" i="11"/>
  <c r="B235" i="11"/>
  <c r="B234" i="11"/>
  <c r="B233" i="11"/>
  <c r="B232" i="11"/>
  <c r="B231" i="11"/>
  <c r="B230" i="11"/>
  <c r="B229" i="11"/>
  <c r="B228" i="11"/>
  <c r="B227" i="11"/>
  <c r="B226" i="11"/>
  <c r="B225" i="11"/>
  <c r="B224" i="11"/>
  <c r="B223" i="11"/>
  <c r="B222" i="11"/>
  <c r="B221" i="11"/>
  <c r="B220" i="11"/>
  <c r="B219" i="11"/>
  <c r="B218" i="11"/>
  <c r="B217" i="11"/>
  <c r="B216" i="11"/>
  <c r="B215" i="11"/>
  <c r="B214" i="11"/>
  <c r="B213" i="11"/>
  <c r="B212" i="11"/>
  <c r="B211" i="11"/>
  <c r="B210" i="11"/>
  <c r="B209" i="11"/>
  <c r="B208" i="11"/>
  <c r="B207" i="11"/>
  <c r="B206" i="11"/>
  <c r="B205" i="11"/>
  <c r="B204" i="11"/>
  <c r="B203" i="11"/>
  <c r="B202" i="11"/>
  <c r="B201" i="11"/>
  <c r="B200" i="11"/>
  <c r="B199" i="11"/>
  <c r="B198" i="11"/>
  <c r="B197" i="11"/>
  <c r="B196" i="11"/>
  <c r="B195" i="11"/>
  <c r="B194" i="11"/>
  <c r="B19" i="12"/>
  <c r="B13" i="11"/>
  <c r="B12" i="11"/>
  <c r="B11" i="11"/>
  <c r="B10" i="11"/>
  <c r="B9" i="11"/>
  <c r="B177" i="11"/>
  <c r="B176" i="11"/>
  <c r="B175" i="11"/>
  <c r="B172" i="11"/>
  <c r="B171" i="11"/>
  <c r="B170" i="11"/>
  <c r="B167" i="11"/>
  <c r="B166" i="11"/>
  <c r="B165" i="11"/>
  <c r="B162" i="11"/>
  <c r="B161" i="11"/>
  <c r="B160" i="11"/>
  <c r="B157" i="11"/>
  <c r="B156" i="11"/>
  <c r="B155" i="11"/>
  <c r="N13" i="61" l="1"/>
  <c r="M12" i="61"/>
  <c r="L13" i="61"/>
  <c r="K13" i="61"/>
  <c r="F167" i="12"/>
  <c r="F172" i="12" s="1"/>
  <c r="F177" i="12" s="1"/>
  <c r="F182" i="12" s="1"/>
  <c r="F187" i="12" s="1"/>
  <c r="N14" i="61" l="1"/>
  <c r="M13" i="61"/>
  <c r="L14" i="61"/>
  <c r="K14" i="61"/>
  <c r="B191" i="12"/>
  <c r="B190" i="12"/>
  <c r="B189" i="12"/>
  <c r="B188" i="12"/>
  <c r="B187" i="12"/>
  <c r="B186" i="12"/>
  <c r="B185" i="12"/>
  <c r="B184" i="12"/>
  <c r="B183" i="12"/>
  <c r="B182" i="12"/>
  <c r="B181" i="12"/>
  <c r="B180" i="12"/>
  <c r="B179" i="12"/>
  <c r="B178" i="12"/>
  <c r="B177" i="12"/>
  <c r="B176" i="12"/>
  <c r="B175" i="12"/>
  <c r="B174" i="12"/>
  <c r="B173" i="12"/>
  <c r="B172" i="12"/>
  <c r="B171" i="12"/>
  <c r="B169" i="12"/>
  <c r="B168" i="12"/>
  <c r="B167"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N15" i="61" l="1"/>
  <c r="M14" i="61"/>
  <c r="L15" i="61"/>
  <c r="K15" i="61"/>
  <c r="F393" i="58"/>
  <c r="F367" i="58"/>
  <c r="F341" i="58"/>
  <c r="F315" i="58"/>
  <c r="F289" i="58"/>
  <c r="F263" i="58"/>
  <c r="F238" i="58"/>
  <c r="F212" i="58"/>
  <c r="F186" i="58"/>
  <c r="F160" i="58"/>
  <c r="F134" i="58"/>
  <c r="F108" i="58"/>
  <c r="F82" i="58"/>
  <c r="F56" i="58"/>
  <c r="B21" i="58"/>
  <c r="F20" i="58"/>
  <c r="D20" i="58"/>
  <c r="B20" i="58"/>
  <c r="F19" i="58"/>
  <c r="D19" i="58"/>
  <c r="B19" i="58"/>
  <c r="F18" i="58"/>
  <c r="D18" i="58"/>
  <c r="B18" i="58"/>
  <c r="F17" i="58"/>
  <c r="E17" i="58"/>
  <c r="D17" i="58"/>
  <c r="B17" i="58"/>
  <c r="F11" i="58"/>
  <c r="E11" i="58"/>
  <c r="F10" i="58"/>
  <c r="E10" i="58"/>
  <c r="F9" i="58"/>
  <c r="E9" i="58"/>
  <c r="F8" i="58"/>
  <c r="E8" i="58"/>
  <c r="F7" i="58"/>
  <c r="E7" i="58"/>
  <c r="N16" i="61" l="1"/>
  <c r="M15" i="61"/>
  <c r="L16" i="61"/>
  <c r="K16" i="61"/>
  <c r="B517" i="11"/>
  <c r="B516" i="11"/>
  <c r="B515" i="11"/>
  <c r="B510" i="11"/>
  <c r="B509" i="11"/>
  <c r="M16" i="61" l="1"/>
  <c r="B970" i="58"/>
  <c r="B945" i="58"/>
  <c r="B920" i="58"/>
  <c r="B895" i="58"/>
  <c r="B870" i="58"/>
  <c r="B845" i="58"/>
  <c r="B814" i="58"/>
  <c r="B789" i="58"/>
  <c r="B764" i="58"/>
  <c r="B739" i="58"/>
  <c r="B714" i="58"/>
  <c r="B689" i="58"/>
  <c r="B558" i="58"/>
  <c r="B583" i="58"/>
  <c r="B608" i="58"/>
  <c r="B633" i="58"/>
  <c r="B658" i="58"/>
  <c r="B533" i="58"/>
  <c r="B969" i="58"/>
  <c r="B944" i="58"/>
  <c r="B919" i="58"/>
  <c r="B894" i="58"/>
  <c r="B869" i="58"/>
  <c r="B844" i="58"/>
  <c r="B813" i="58"/>
  <c r="B788" i="58"/>
  <c r="B763" i="58"/>
  <c r="B738" i="58"/>
  <c r="B713" i="58"/>
  <c r="B688" i="58"/>
  <c r="B557" i="58"/>
  <c r="B582" i="58"/>
  <c r="B607" i="58"/>
  <c r="B632" i="58"/>
  <c r="B657" i="58"/>
  <c r="B532" i="58"/>
  <c r="B1366" i="11" l="1"/>
  <c r="B140" i="10"/>
  <c r="B1364" i="11" s="1"/>
  <c r="B139" i="10"/>
  <c r="B1363" i="11" s="1"/>
  <c r="B138" i="10"/>
  <c r="B1440" i="11" s="1"/>
  <c r="B1361" i="11"/>
  <c r="B136" i="10"/>
  <c r="B1438" i="11" s="1"/>
  <c r="B135" i="10"/>
  <c r="B1398" i="11" s="1"/>
  <c r="B1436" i="11"/>
  <c r="B1277" i="11"/>
  <c r="B1432" i="11"/>
  <c r="B2174" i="11"/>
  <c r="B2173" i="11"/>
  <c r="B2172" i="11"/>
  <c r="B2171" i="11"/>
  <c r="B2170" i="11"/>
  <c r="B2169" i="11"/>
  <c r="B2168" i="11"/>
  <c r="B2167" i="11"/>
  <c r="B2166" i="11"/>
  <c r="B2165" i="11"/>
  <c r="B2164" i="11"/>
  <c r="B2163" i="11"/>
  <c r="B2162" i="11"/>
  <c r="B2161" i="11"/>
  <c r="B2160" i="11"/>
  <c r="B2159" i="11"/>
  <c r="B2158" i="11"/>
  <c r="B2157" i="11"/>
  <c r="B2156" i="11"/>
  <c r="B2155" i="11"/>
  <c r="B2154" i="11"/>
  <c r="B2153" i="11"/>
  <c r="B2152" i="11"/>
  <c r="B2151" i="11"/>
  <c r="B2150" i="11"/>
  <c r="B2149" i="11"/>
  <c r="B2148" i="11"/>
  <c r="B2147" i="11"/>
  <c r="B2146" i="11"/>
  <c r="B2145" i="11"/>
  <c r="B2144" i="11"/>
  <c r="B2143" i="11"/>
  <c r="B2142" i="11"/>
  <c r="B2141" i="11"/>
  <c r="B2140" i="11"/>
  <c r="B2139" i="11"/>
  <c r="B2138" i="11"/>
  <c r="B2137" i="11"/>
  <c r="B2136" i="11"/>
  <c r="B2135" i="11"/>
  <c r="B2134" i="11"/>
  <c r="B2133" i="11"/>
  <c r="B2132" i="11"/>
  <c r="B2131" i="11"/>
  <c r="B2130" i="11"/>
  <c r="B2129" i="11"/>
  <c r="B2128" i="11"/>
  <c r="B2127" i="11"/>
  <c r="B2126" i="11"/>
  <c r="B2125" i="11"/>
  <c r="B2124" i="11"/>
  <c r="B2123" i="11"/>
  <c r="B2122" i="11"/>
  <c r="B2121" i="11"/>
  <c r="B2120" i="11"/>
  <c r="B2119" i="11"/>
  <c r="B2118" i="11"/>
  <c r="B2117" i="11"/>
  <c r="B2116" i="11"/>
  <c r="B2115" i="11"/>
  <c r="B2114" i="11"/>
  <c r="B2113" i="11"/>
  <c r="B2112" i="11"/>
  <c r="B2111" i="11"/>
  <c r="B2110" i="11"/>
  <c r="B2109" i="11"/>
  <c r="B2108" i="11"/>
  <c r="B2107" i="11"/>
  <c r="B2106" i="11"/>
  <c r="B2105" i="11"/>
  <c r="B2104" i="11"/>
  <c r="B2103" i="11"/>
  <c r="B2102" i="11"/>
  <c r="B2101" i="11"/>
  <c r="B2100" i="11"/>
  <c r="B2099" i="11"/>
  <c r="B2098" i="11"/>
  <c r="B2097" i="11"/>
  <c r="B2096" i="11"/>
  <c r="B2095" i="11"/>
  <c r="B2094" i="11"/>
  <c r="B2093" i="11"/>
  <c r="B2092" i="11"/>
  <c r="B2091" i="11"/>
  <c r="B2090" i="11"/>
  <c r="B2089" i="11"/>
  <c r="B2088" i="11"/>
  <c r="B2087" i="11"/>
  <c r="B2086" i="11"/>
  <c r="B2085" i="11"/>
  <c r="B2084" i="11"/>
  <c r="B1966" i="11"/>
  <c r="B1965" i="11"/>
  <c r="B1964" i="11"/>
  <c r="B1963" i="11"/>
  <c r="B1962" i="11"/>
  <c r="B1961" i="11"/>
  <c r="B1960" i="11"/>
  <c r="B1959" i="11"/>
  <c r="B1958" i="11"/>
  <c r="B1957" i="11"/>
  <c r="B1956" i="11"/>
  <c r="B1955" i="11"/>
  <c r="B1954" i="11"/>
  <c r="B1953" i="11"/>
  <c r="B1952" i="11"/>
  <c r="B1951" i="11"/>
  <c r="B1950" i="11"/>
  <c r="B1949" i="11"/>
  <c r="B1948" i="11"/>
  <c r="B1947" i="11"/>
  <c r="B1946" i="11"/>
  <c r="B1945" i="11"/>
  <c r="B1944" i="11"/>
  <c r="B1943" i="11"/>
  <c r="B1942" i="11"/>
  <c r="B1941" i="11"/>
  <c r="B1443" i="11"/>
  <c r="B1437" i="11"/>
  <c r="B1435" i="11"/>
  <c r="B1434" i="11"/>
  <c r="B1404" i="11"/>
  <c r="B1395" i="11"/>
  <c r="B1378" i="11"/>
  <c r="B1370" i="11"/>
  <c r="B1369" i="11"/>
  <c r="B1368" i="11"/>
  <c r="B1365" i="11"/>
  <c r="B1358" i="11"/>
  <c r="B1357" i="11"/>
  <c r="B1356" i="11"/>
  <c r="B1355" i="11"/>
  <c r="B1354" i="11"/>
  <c r="B1287" i="11"/>
  <c r="B1281" i="11"/>
  <c r="B1280" i="11"/>
  <c r="B1279" i="11"/>
  <c r="B1278" i="11"/>
  <c r="B194" i="10"/>
  <c r="B1431" i="11" s="1"/>
  <c r="B2070" i="11" s="1"/>
  <c r="B193" i="10"/>
  <c r="B706" i="11" s="1"/>
  <c r="B192" i="10"/>
  <c r="B1416" i="11" s="1"/>
  <c r="B2055" i="11" s="1"/>
  <c r="B191" i="10"/>
  <c r="B1428" i="11" s="1"/>
  <c r="B2067" i="11" s="1"/>
  <c r="B190" i="10"/>
  <c r="B1414" i="11" s="1"/>
  <c r="B2053" i="11" s="1"/>
  <c r="B189" i="10"/>
  <c r="B1413" i="11" s="1"/>
  <c r="B2052" i="11" s="1"/>
  <c r="B188" i="10"/>
  <c r="B1412" i="11" s="1"/>
  <c r="B2051" i="11" s="1"/>
  <c r="B187" i="10"/>
  <c r="B1424" i="11" s="1"/>
  <c r="B2063" i="11" s="1"/>
  <c r="B186" i="10"/>
  <c r="B185" i="10"/>
  <c r="B184" i="10"/>
  <c r="B1408" i="11" s="1"/>
  <c r="B2047" i="11" s="1"/>
  <c r="B183" i="10"/>
  <c r="B182" i="10"/>
  <c r="B181" i="10"/>
  <c r="B1392" i="11" s="1"/>
  <c r="B2031" i="11" s="1"/>
  <c r="B180" i="10"/>
  <c r="B681" i="11" s="1"/>
  <c r="B179" i="10"/>
  <c r="B1390" i="11" s="1"/>
  <c r="B2029" i="11" s="1"/>
  <c r="B178" i="10"/>
  <c r="B1389" i="11" s="1"/>
  <c r="B2028" i="11" s="1"/>
  <c r="B177" i="10"/>
  <c r="B1388" i="11" s="1"/>
  <c r="B2027" i="11" s="1"/>
  <c r="B176" i="10"/>
  <c r="B1387" i="11" s="1"/>
  <c r="B2026" i="11" s="1"/>
  <c r="B175" i="10"/>
  <c r="B1386" i="11" s="1"/>
  <c r="B2025" i="11" s="1"/>
  <c r="B174" i="10"/>
  <c r="B1385" i="11" s="1"/>
  <c r="B2024" i="11" s="1"/>
  <c r="B173" i="10"/>
  <c r="B172" i="10"/>
  <c r="B171" i="10"/>
  <c r="B1382" i="11" s="1"/>
  <c r="B2021" i="11" s="1"/>
  <c r="B170" i="10"/>
  <c r="B169" i="10"/>
  <c r="B168" i="10"/>
  <c r="B1340" i="11" s="1"/>
  <c r="B167" i="10"/>
  <c r="B656" i="11" s="1"/>
  <c r="B166" i="10"/>
  <c r="B1338" i="11" s="1"/>
  <c r="B1977" i="11" s="1"/>
  <c r="B165" i="10"/>
  <c r="B1337" i="11" s="1"/>
  <c r="B1976" i="11" s="1"/>
  <c r="B164" i="10"/>
  <c r="B1336" i="11" s="1"/>
  <c r="B163" i="10"/>
  <c r="B1335" i="11" s="1"/>
  <c r="B1974" i="11" s="1"/>
  <c r="B162" i="10"/>
  <c r="B1334" i="11" s="1"/>
  <c r="B1973" i="11" s="1"/>
  <c r="B161" i="10"/>
  <c r="B1333" i="11" s="1"/>
  <c r="B1972" i="11" s="1"/>
  <c r="B160" i="10"/>
  <c r="B159" i="10"/>
  <c r="B158" i="10"/>
  <c r="B1330" i="11" s="1"/>
  <c r="B1969" i="11" s="1"/>
  <c r="B157" i="10"/>
  <c r="B156" i="10"/>
  <c r="B155" i="10"/>
  <c r="B1301" i="11" s="1"/>
  <c r="B1940" i="11" s="1"/>
  <c r="B154" i="10"/>
  <c r="B631" i="11" s="1"/>
  <c r="B153" i="10"/>
  <c r="B1299" i="11" s="1"/>
  <c r="B1938" i="11" s="1"/>
  <c r="B152" i="10"/>
  <c r="B1298" i="11" s="1"/>
  <c r="B1937" i="11" s="1"/>
  <c r="B151" i="10"/>
  <c r="B1297" i="11" s="1"/>
  <c r="B1936" i="11" s="1"/>
  <c r="B150" i="10"/>
  <c r="B1296" i="11" s="1"/>
  <c r="B1935" i="11" s="1"/>
  <c r="B149" i="10"/>
  <c r="B1295" i="11" s="1"/>
  <c r="B1934" i="11" s="1"/>
  <c r="B148" i="10"/>
  <c r="B1294" i="11" s="1"/>
  <c r="B1933" i="11" s="1"/>
  <c r="B147" i="10"/>
  <c r="B146" i="10"/>
  <c r="B145" i="10"/>
  <c r="B615" i="11" s="1"/>
  <c r="B144" i="10"/>
  <c r="B611" i="11" s="1"/>
  <c r="B143" i="10"/>
  <c r="B1289" i="11" s="1"/>
  <c r="B1928" i="11" s="1"/>
  <c r="B102" i="10"/>
  <c r="B101" i="10"/>
  <c r="B100" i="10"/>
  <c r="B99" i="10"/>
  <c r="B98" i="10"/>
  <c r="B97" i="10"/>
  <c r="B96" i="10"/>
  <c r="B95" i="10"/>
  <c r="B89" i="10"/>
  <c r="B88" i="10"/>
  <c r="B87" i="10"/>
  <c r="B86" i="10"/>
  <c r="B85" i="10"/>
  <c r="B84" i="10"/>
  <c r="B83" i="10"/>
  <c r="B82" i="10"/>
  <c r="B76" i="10"/>
  <c r="B75" i="10"/>
  <c r="B74" i="10"/>
  <c r="B73" i="10"/>
  <c r="B72" i="10"/>
  <c r="B71" i="10"/>
  <c r="B70" i="10"/>
  <c r="B69" i="10"/>
  <c r="B693" i="11"/>
  <c r="B253" i="58" s="1"/>
  <c r="B668" i="11"/>
  <c r="B228" i="58" s="1"/>
  <c r="B643" i="11"/>
  <c r="B202" i="58" s="1"/>
  <c r="B618" i="11"/>
  <c r="B176" i="58" s="1"/>
  <c r="B1376" i="11" l="1"/>
  <c r="B1400" i="11"/>
  <c r="B1374" i="11"/>
  <c r="B1288" i="11"/>
  <c r="B1405" i="11"/>
  <c r="B1379" i="11"/>
  <c r="B1399" i="11"/>
  <c r="B1403" i="11"/>
  <c r="B1282" i="11"/>
  <c r="B1283" i="11"/>
  <c r="B1360" i="11"/>
  <c r="B1439" i="11"/>
  <c r="B1444" i="11"/>
  <c r="B1286" i="11"/>
  <c r="B1401" i="11"/>
  <c r="B1285" i="11"/>
  <c r="B1402" i="11"/>
  <c r="B1293" i="11"/>
  <c r="B1932" i="11" s="1"/>
  <c r="B617" i="11"/>
  <c r="B175" i="58" s="1"/>
  <c r="B1331" i="11"/>
  <c r="B1970" i="11" s="1"/>
  <c r="B641" i="11"/>
  <c r="B200" i="58" s="1"/>
  <c r="B1420" i="11"/>
  <c r="B2059" i="11" s="1"/>
  <c r="B686" i="11"/>
  <c r="B247" i="58" s="1"/>
  <c r="B640" i="11"/>
  <c r="B199" i="58" s="1"/>
  <c r="B635" i="11"/>
  <c r="B194" i="58" s="1"/>
  <c r="B1332" i="11"/>
  <c r="B1971" i="11" s="1"/>
  <c r="B642" i="11"/>
  <c r="B201" i="58" s="1"/>
  <c r="B1383" i="11"/>
  <c r="B2022" i="11" s="1"/>
  <c r="B666" i="11"/>
  <c r="B226" i="58" s="1"/>
  <c r="B1329" i="11"/>
  <c r="B1968" i="11" s="1"/>
  <c r="B636" i="11"/>
  <c r="B195" i="58" s="1"/>
  <c r="B665" i="11"/>
  <c r="B660" i="11"/>
  <c r="B220" i="58" s="1"/>
  <c r="B1384" i="11"/>
  <c r="B2023" i="11" s="1"/>
  <c r="B667" i="11"/>
  <c r="B227" i="58" s="1"/>
  <c r="B1409" i="11"/>
  <c r="B2048" i="11" s="1"/>
  <c r="B691" i="11"/>
  <c r="B251" i="58" s="1"/>
  <c r="B1292" i="11"/>
  <c r="B1931" i="11" s="1"/>
  <c r="B616" i="11"/>
  <c r="B1381" i="11"/>
  <c r="B2020" i="11" s="1"/>
  <c r="B661" i="11"/>
  <c r="B690" i="11"/>
  <c r="B250" i="58" s="1"/>
  <c r="B685" i="11"/>
  <c r="B246" i="58" s="1"/>
  <c r="B1423" i="11"/>
  <c r="B2062" i="11" s="1"/>
  <c r="B692" i="11"/>
  <c r="B252" i="58" s="1"/>
  <c r="B1367" i="11"/>
  <c r="B688" i="11"/>
  <c r="B248" i="58" s="1"/>
  <c r="B1396" i="11"/>
  <c r="B591" i="11"/>
  <c r="B122" i="58" s="1"/>
  <c r="B950" i="58"/>
  <c r="B900" i="58"/>
  <c r="B850" i="58"/>
  <c r="B794" i="58"/>
  <c r="B744" i="58"/>
  <c r="B694" i="58"/>
  <c r="B538" i="58"/>
  <c r="B975" i="58"/>
  <c r="B925" i="58"/>
  <c r="B875" i="58"/>
  <c r="B819" i="58"/>
  <c r="B769" i="58"/>
  <c r="B719" i="58"/>
  <c r="B563" i="58"/>
  <c r="B613" i="58"/>
  <c r="B638" i="58"/>
  <c r="B663" i="58"/>
  <c r="B588" i="58"/>
  <c r="B540" i="58"/>
  <c r="B952" i="58"/>
  <c r="B902" i="58"/>
  <c r="B852" i="58"/>
  <c r="B796" i="58"/>
  <c r="B746" i="58"/>
  <c r="B696" i="58"/>
  <c r="B590" i="58"/>
  <c r="B977" i="58"/>
  <c r="B927" i="58"/>
  <c r="B877" i="58"/>
  <c r="B821" i="58"/>
  <c r="B771" i="58"/>
  <c r="B721" i="58"/>
  <c r="B565" i="58"/>
  <c r="B615" i="58"/>
  <c r="B640" i="58"/>
  <c r="B665" i="58"/>
  <c r="B976" i="58"/>
  <c r="B951" i="58"/>
  <c r="B926" i="58"/>
  <c r="B901" i="58"/>
  <c r="B876" i="58"/>
  <c r="B851" i="58"/>
  <c r="B820" i="58"/>
  <c r="B795" i="58"/>
  <c r="B770" i="58"/>
  <c r="B745" i="58"/>
  <c r="B720" i="58"/>
  <c r="B695" i="58"/>
  <c r="B564" i="58"/>
  <c r="B589" i="58"/>
  <c r="B614" i="58"/>
  <c r="B639" i="58"/>
  <c r="B664" i="58"/>
  <c r="B539" i="58"/>
  <c r="B1406" i="11"/>
  <c r="B2045" i="11" s="1"/>
  <c r="B1418" i="11"/>
  <c r="B2057" i="11" s="1"/>
  <c r="B1419" i="11"/>
  <c r="B2058" i="11" s="1"/>
  <c r="B664" i="11"/>
  <c r="B1426" i="11"/>
  <c r="B2065" i="11" s="1"/>
  <c r="B1410" i="11"/>
  <c r="B2049" i="11" s="1"/>
  <c r="B1427" i="11"/>
  <c r="B2066" i="11" s="1"/>
  <c r="B689" i="11"/>
  <c r="B249" i="58" s="1"/>
  <c r="B1020" i="11"/>
  <c r="B1177" i="11" s="1"/>
  <c r="B968" i="11"/>
  <c r="B1125" i="11" s="1"/>
  <c r="B994" i="11"/>
  <c r="B1151" i="11" s="1"/>
  <c r="B942" i="11"/>
  <c r="B1099" i="11" s="1"/>
  <c r="B1059" i="11"/>
  <c r="B1216" i="11" s="1"/>
  <c r="B981" i="11"/>
  <c r="B1138" i="11" s="1"/>
  <c r="B1007" i="11"/>
  <c r="B1164" i="11" s="1"/>
  <c r="B955" i="11"/>
  <c r="B1112" i="11" s="1"/>
  <c r="B1004" i="11"/>
  <c r="B1161" i="11" s="1"/>
  <c r="B952" i="11"/>
  <c r="B1109" i="11" s="1"/>
  <c r="B1056" i="11"/>
  <c r="B1213" i="11" s="1"/>
  <c r="B978" i="11"/>
  <c r="B1135" i="11" s="1"/>
  <c r="B1017" i="11"/>
  <c r="B1174" i="11" s="1"/>
  <c r="B965" i="11"/>
  <c r="B1122" i="11" s="1"/>
  <c r="B991" i="11"/>
  <c r="B1148" i="11" s="1"/>
  <c r="B939" i="11"/>
  <c r="B1096" i="11" s="1"/>
  <c r="B988" i="11"/>
  <c r="B1145" i="11" s="1"/>
  <c r="B936" i="11"/>
  <c r="B1093" i="11" s="1"/>
  <c r="B1014" i="11"/>
  <c r="B1171" i="11" s="1"/>
  <c r="B962" i="11"/>
  <c r="B1119" i="11" s="1"/>
  <c r="B1001" i="11"/>
  <c r="B1158" i="11" s="1"/>
  <c r="B949" i="11"/>
  <c r="B1106" i="11" s="1"/>
  <c r="B1053" i="11"/>
  <c r="B1210" i="11" s="1"/>
  <c r="B975" i="11"/>
  <c r="B1132" i="11" s="1"/>
  <c r="B992" i="11"/>
  <c r="B1149" i="11" s="1"/>
  <c r="B940" i="11"/>
  <c r="B1097" i="11" s="1"/>
  <c r="B1018" i="11"/>
  <c r="B1175" i="11" s="1"/>
  <c r="B966" i="11"/>
  <c r="B1123" i="11" s="1"/>
  <c r="B1005" i="11"/>
  <c r="B1162" i="11" s="1"/>
  <c r="B953" i="11"/>
  <c r="B1110" i="11" s="1"/>
  <c r="B1057" i="11"/>
  <c r="B1214" i="11" s="1"/>
  <c r="B979" i="11"/>
  <c r="B1136" i="11" s="1"/>
  <c r="B996" i="11"/>
  <c r="B1153" i="11" s="1"/>
  <c r="B944" i="11"/>
  <c r="B1101" i="11" s="1"/>
  <c r="B1022" i="11"/>
  <c r="B1179" i="11" s="1"/>
  <c r="B970" i="11"/>
  <c r="B1127" i="11" s="1"/>
  <c r="B1009" i="11"/>
  <c r="B1166" i="11" s="1"/>
  <c r="B957" i="11"/>
  <c r="B1114" i="11" s="1"/>
  <c r="B1061" i="11"/>
  <c r="B1218" i="11" s="1"/>
  <c r="B983" i="11"/>
  <c r="B1140" i="11" s="1"/>
  <c r="B1000" i="11"/>
  <c r="B1157" i="11" s="1"/>
  <c r="B948" i="11"/>
  <c r="B1105" i="11" s="1"/>
  <c r="B1026" i="11"/>
  <c r="B1183" i="11" s="1"/>
  <c r="B974" i="11"/>
  <c r="B1131" i="11" s="1"/>
  <c r="B1013" i="11"/>
  <c r="B1170" i="11" s="1"/>
  <c r="B961" i="11"/>
  <c r="B1118" i="11" s="1"/>
  <c r="B1065" i="11"/>
  <c r="B1222" i="11" s="1"/>
  <c r="B987" i="11"/>
  <c r="B1144" i="11" s="1"/>
  <c r="B1016" i="11"/>
  <c r="B1173" i="11" s="1"/>
  <c r="B964" i="11"/>
  <c r="B1121" i="11" s="1"/>
  <c r="B990" i="11"/>
  <c r="B1147" i="11" s="1"/>
  <c r="B938" i="11"/>
  <c r="B1095" i="11" s="1"/>
  <c r="B1055" i="11"/>
  <c r="B1212" i="11" s="1"/>
  <c r="B977" i="11"/>
  <c r="B1134" i="11" s="1"/>
  <c r="B1003" i="11"/>
  <c r="B1160" i="11" s="1"/>
  <c r="B951" i="11"/>
  <c r="B1108" i="11" s="1"/>
  <c r="B1024" i="11"/>
  <c r="B1181" i="11" s="1"/>
  <c r="B972" i="11"/>
  <c r="B1129" i="11" s="1"/>
  <c r="B998" i="11"/>
  <c r="B1155" i="11" s="1"/>
  <c r="B946" i="11"/>
  <c r="B1103" i="11" s="1"/>
  <c r="B1063" i="11"/>
  <c r="B1220" i="11" s="1"/>
  <c r="B985" i="11"/>
  <c r="B1142" i="11" s="1"/>
  <c r="B1011" i="11"/>
  <c r="B1168" i="11" s="1"/>
  <c r="B959" i="11"/>
  <c r="B1116" i="11" s="1"/>
  <c r="B1008" i="11"/>
  <c r="B1165" i="11" s="1"/>
  <c r="B956" i="11"/>
  <c r="B1113" i="11" s="1"/>
  <c r="B1060" i="11"/>
  <c r="B1217" i="11" s="1"/>
  <c r="B982" i="11"/>
  <c r="B1139" i="11" s="1"/>
  <c r="B1021" i="11"/>
  <c r="B1178" i="11" s="1"/>
  <c r="B969" i="11"/>
  <c r="B1126" i="11" s="1"/>
  <c r="B995" i="11"/>
  <c r="B1152" i="11" s="1"/>
  <c r="B943" i="11"/>
  <c r="B1100" i="11" s="1"/>
  <c r="B1012" i="11"/>
  <c r="B1169" i="11" s="1"/>
  <c r="B960" i="11"/>
  <c r="B1117" i="11" s="1"/>
  <c r="B1064" i="11"/>
  <c r="B1221" i="11" s="1"/>
  <c r="B986" i="11"/>
  <c r="B1143" i="11" s="1"/>
  <c r="B1025" i="11"/>
  <c r="B1182" i="11" s="1"/>
  <c r="B973" i="11"/>
  <c r="B1130" i="11" s="1"/>
  <c r="B999" i="11"/>
  <c r="B1156" i="11" s="1"/>
  <c r="B947" i="11"/>
  <c r="B1104" i="11" s="1"/>
  <c r="B1054" i="11"/>
  <c r="B1211" i="11" s="1"/>
  <c r="B976" i="11"/>
  <c r="B1133" i="11" s="1"/>
  <c r="B1002" i="11"/>
  <c r="B1159" i="11" s="1"/>
  <c r="B950" i="11"/>
  <c r="B1107" i="11" s="1"/>
  <c r="B989" i="11"/>
  <c r="B1146" i="11" s="1"/>
  <c r="B937" i="11"/>
  <c r="B1094" i="11" s="1"/>
  <c r="B1015" i="11"/>
  <c r="B1172" i="11" s="1"/>
  <c r="B963" i="11"/>
  <c r="B1120" i="11" s="1"/>
  <c r="B1058" i="11"/>
  <c r="B1215" i="11" s="1"/>
  <c r="B980" i="11"/>
  <c r="B1137" i="11" s="1"/>
  <c r="B1006" i="11"/>
  <c r="B1163" i="11" s="1"/>
  <c r="B954" i="11"/>
  <c r="B1111" i="11" s="1"/>
  <c r="B993" i="11"/>
  <c r="B1150" i="11" s="1"/>
  <c r="B941" i="11"/>
  <c r="B1098" i="11" s="1"/>
  <c r="B1019" i="11"/>
  <c r="B1176" i="11" s="1"/>
  <c r="B967" i="11"/>
  <c r="B1124" i="11" s="1"/>
  <c r="B1062" i="11"/>
  <c r="B1219" i="11" s="1"/>
  <c r="B984" i="11"/>
  <c r="B1141" i="11" s="1"/>
  <c r="B1010" i="11"/>
  <c r="B1167" i="11" s="1"/>
  <c r="B958" i="11"/>
  <c r="B1115" i="11" s="1"/>
  <c r="B997" i="11"/>
  <c r="B1154" i="11" s="1"/>
  <c r="B945" i="11"/>
  <c r="B1102" i="11" s="1"/>
  <c r="B1023" i="11"/>
  <c r="B1180" i="11" s="1"/>
  <c r="B971" i="11"/>
  <c r="B1128" i="11" s="1"/>
  <c r="B630" i="11"/>
  <c r="B188" i="58" s="1"/>
  <c r="B613" i="11"/>
  <c r="B171" i="58" s="1"/>
  <c r="B614" i="11"/>
  <c r="B172" i="58" s="1"/>
  <c r="B1371" i="11"/>
  <c r="B1397" i="11"/>
  <c r="B679" i="11"/>
  <c r="B239" i="58" s="1"/>
  <c r="B1291" i="11"/>
  <c r="B1930" i="11" s="1"/>
  <c r="B1372" i="11"/>
  <c r="B1441" i="11"/>
  <c r="B1422" i="11"/>
  <c r="B2061" i="11" s="1"/>
  <c r="B1430" i="11"/>
  <c r="B2069" i="11" s="1"/>
  <c r="B638" i="11"/>
  <c r="B197" i="58" s="1"/>
  <c r="B704" i="11"/>
  <c r="B264" i="58" s="1"/>
  <c r="B1300" i="11"/>
  <c r="B1939" i="11" s="1"/>
  <c r="B1393" i="11"/>
  <c r="B1442" i="11"/>
  <c r="B663" i="11"/>
  <c r="B223" i="58" s="1"/>
  <c r="B629" i="11"/>
  <c r="B187" i="58" s="1"/>
  <c r="B705" i="11"/>
  <c r="B215" i="58"/>
  <c r="B173" i="58"/>
  <c r="B266" i="58"/>
  <c r="B169" i="58"/>
  <c r="B1975" i="11"/>
  <c r="B1349" i="11"/>
  <c r="B1988" i="11" s="1"/>
  <c r="B1353" i="11"/>
  <c r="B1992" i="11" s="1"/>
  <c r="B1979" i="11"/>
  <c r="B189" i="58"/>
  <c r="B654" i="11"/>
  <c r="B1407" i="11"/>
  <c r="B2046" i="11" s="1"/>
  <c r="B1411" i="11"/>
  <c r="B2050" i="11" s="1"/>
  <c r="B1415" i="11"/>
  <c r="B2054" i="11" s="1"/>
  <c r="B639" i="11"/>
  <c r="B1290" i="11"/>
  <c r="B1929" i="11" s="1"/>
  <c r="B1328" i="11"/>
  <c r="B1347" i="11"/>
  <c r="B1986" i="11" s="1"/>
  <c r="B1380" i="11"/>
  <c r="B2019" i="11" s="1"/>
  <c r="B1417" i="11"/>
  <c r="B2056" i="11" s="1"/>
  <c r="B1421" i="11"/>
  <c r="B2060" i="11" s="1"/>
  <c r="B1425" i="11"/>
  <c r="B2064" i="11" s="1"/>
  <c r="B1429" i="11"/>
  <c r="B2068" i="11" s="1"/>
  <c r="B612" i="11"/>
  <c r="B637" i="11"/>
  <c r="B662" i="11"/>
  <c r="B687" i="11"/>
  <c r="B628" i="11"/>
  <c r="B653" i="11"/>
  <c r="B678" i="11"/>
  <c r="B703" i="11"/>
  <c r="B263" i="58" s="1"/>
  <c r="B610" i="11"/>
  <c r="B1343" i="11"/>
  <c r="B1982" i="11" s="1"/>
  <c r="B1351" i="11"/>
  <c r="B1990" i="11" s="1"/>
  <c r="B655" i="11"/>
  <c r="B680" i="11"/>
  <c r="B1339" i="11"/>
  <c r="B1978" i="11" s="1"/>
  <c r="B1391" i="11"/>
  <c r="B2030" i="11" s="1"/>
  <c r="B2077" i="11"/>
  <c r="B1348" i="11"/>
  <c r="B1987" i="11" s="1"/>
  <c r="B2005" i="11"/>
  <c r="B2076" i="11"/>
  <c r="B2037" i="11"/>
  <c r="B2002" i="11"/>
  <c r="B1920" i="11"/>
  <c r="B2003" i="11"/>
  <c r="B1346" i="11"/>
  <c r="B1985" i="11" s="1"/>
  <c r="B1350" i="11"/>
  <c r="B1989" i="11" s="1"/>
  <c r="B2000" i="11"/>
  <c r="B2079" i="11"/>
  <c r="B241" i="58"/>
  <c r="B1377" i="11"/>
  <c r="B1284" i="11"/>
  <c r="B1362" i="11"/>
  <c r="B1375" i="11"/>
  <c r="B1373" i="11"/>
  <c r="B1359" i="11"/>
  <c r="B1394" i="11"/>
  <c r="B1433" i="11"/>
  <c r="B1276" i="11"/>
  <c r="B2083" i="11" l="1"/>
  <c r="B1925" i="11"/>
  <c r="B2013" i="11"/>
  <c r="B2015" i="11"/>
  <c r="B2038" i="11"/>
  <c r="B2018" i="11"/>
  <c r="B2039" i="11"/>
  <c r="B1999" i="11"/>
  <c r="B2040" i="11"/>
  <c r="B2078" i="11"/>
  <c r="B1924" i="11"/>
  <c r="B2044" i="11"/>
  <c r="B1921" i="11"/>
  <c r="B1922" i="11"/>
  <c r="B2042" i="11"/>
  <c r="B1927" i="11"/>
  <c r="B1342" i="11"/>
  <c r="B1981" i="11" s="1"/>
  <c r="B2041" i="11"/>
  <c r="B70" i="58"/>
  <c r="B148" i="58"/>
  <c r="B1344" i="11"/>
  <c r="B1983" i="11" s="1"/>
  <c r="B44" i="58"/>
  <c r="B1345" i="11"/>
  <c r="B1984" i="11" s="1"/>
  <c r="B96" i="58"/>
  <c r="B221" i="58"/>
  <c r="B186" i="58"/>
  <c r="B212" i="58"/>
  <c r="B2080" i="11"/>
  <c r="B225" i="58"/>
  <c r="B174" i="58"/>
  <c r="B2081" i="11"/>
  <c r="B2011" i="11"/>
  <c r="B224" i="58"/>
  <c r="B265" i="58"/>
  <c r="B168" i="58"/>
  <c r="B1352" i="11"/>
  <c r="B1991" i="11" s="1"/>
  <c r="B198" i="58"/>
  <c r="B213" i="58"/>
  <c r="B238" i="58"/>
  <c r="B222" i="58"/>
  <c r="B214" i="58"/>
  <c r="B170" i="58"/>
  <c r="B1967" i="11"/>
  <c r="B1341" i="11"/>
  <c r="B1980" i="11" s="1"/>
  <c r="B240" i="58"/>
  <c r="B196" i="58"/>
  <c r="B2012" i="11"/>
  <c r="B2014" i="11"/>
  <c r="B2001" i="11"/>
  <c r="B2016" i="11"/>
  <c r="B1998" i="11"/>
  <c r="B1923" i="11"/>
  <c r="B241" i="10"/>
  <c r="B240" i="10"/>
  <c r="B578" i="11" l="1"/>
  <c r="B553" i="11"/>
  <c r="B577" i="11"/>
  <c r="B552" i="11"/>
  <c r="B603" i="11"/>
  <c r="B1268" i="11"/>
  <c r="B604" i="11"/>
  <c r="B1269" i="11"/>
  <c r="B527" i="11"/>
  <c r="B528" i="11"/>
  <c r="B243" i="10"/>
  <c r="B226" i="10"/>
  <c r="AK1" i="12"/>
  <c r="AJ1" i="12"/>
  <c r="AI1" i="12"/>
  <c r="AH1" i="12"/>
  <c r="AG1" i="12"/>
  <c r="AF1" i="12"/>
  <c r="AE1" i="12"/>
  <c r="AD1" i="12"/>
  <c r="AC1" i="12"/>
  <c r="AF463" i="12"/>
  <c r="AE463" i="12"/>
  <c r="AD463" i="12"/>
  <c r="AF462" i="12"/>
  <c r="AE462" i="12"/>
  <c r="AD462" i="12"/>
  <c r="AF461" i="12"/>
  <c r="AE461" i="12"/>
  <c r="AD461" i="12"/>
  <c r="AF460" i="12"/>
  <c r="AE460" i="12"/>
  <c r="AD460" i="12"/>
  <c r="AF459" i="12"/>
  <c r="AE459" i="12"/>
  <c r="AD459" i="12"/>
  <c r="AF431" i="12"/>
  <c r="AE431" i="12"/>
  <c r="AD431" i="12"/>
  <c r="AF430" i="12"/>
  <c r="AE430" i="12"/>
  <c r="AD430" i="12"/>
  <c r="AF429" i="12"/>
  <c r="AE429" i="12"/>
  <c r="AD429" i="12"/>
  <c r="AF428" i="12"/>
  <c r="AE428" i="12"/>
  <c r="AD428" i="12"/>
  <c r="AF427" i="12"/>
  <c r="AE427" i="12"/>
  <c r="AD427" i="12"/>
  <c r="AF406" i="12"/>
  <c r="AE406" i="12"/>
  <c r="AD406" i="12"/>
  <c r="AF405" i="12"/>
  <c r="AE405" i="12"/>
  <c r="AD405" i="12"/>
  <c r="AF404" i="12"/>
  <c r="AE404" i="12"/>
  <c r="AD404" i="12"/>
  <c r="AF403" i="12"/>
  <c r="AE403" i="12"/>
  <c r="AD403" i="12"/>
  <c r="AF402" i="12"/>
  <c r="AE402" i="12"/>
  <c r="AD402" i="12"/>
  <c r="AF349" i="12"/>
  <c r="AE349" i="12"/>
  <c r="AD349" i="12"/>
  <c r="AF348" i="12"/>
  <c r="AE348" i="12"/>
  <c r="AD348" i="12"/>
  <c r="AF347" i="12"/>
  <c r="AE347" i="12"/>
  <c r="AD347" i="12"/>
  <c r="AF346" i="12"/>
  <c r="AE346" i="12"/>
  <c r="AD346" i="12"/>
  <c r="AF345" i="12"/>
  <c r="AE345" i="12"/>
  <c r="AD345" i="12"/>
  <c r="AF212" i="12"/>
  <c r="AE212" i="12"/>
  <c r="AD212" i="12"/>
  <c r="AF211" i="12"/>
  <c r="AE211" i="12"/>
  <c r="AD211" i="12"/>
  <c r="AF210" i="12"/>
  <c r="AE210" i="12"/>
  <c r="AD210" i="12"/>
  <c r="AF209" i="12"/>
  <c r="AE209" i="12"/>
  <c r="AD209" i="12"/>
  <c r="AF208" i="12"/>
  <c r="AE208" i="12"/>
  <c r="AD208" i="12"/>
  <c r="AF245" i="12"/>
  <c r="AE245" i="12"/>
  <c r="AD245" i="12"/>
  <c r="Z245" i="12"/>
  <c r="AF244" i="12"/>
  <c r="AE244" i="12"/>
  <c r="AD244" i="12"/>
  <c r="Z244" i="12"/>
  <c r="AF243" i="12"/>
  <c r="AE243" i="12"/>
  <c r="AD243" i="12"/>
  <c r="Z243" i="12"/>
  <c r="AF242" i="12"/>
  <c r="AE242" i="12"/>
  <c r="AD242" i="12"/>
  <c r="Z242" i="12"/>
  <c r="AF241" i="12"/>
  <c r="AE241" i="12"/>
  <c r="AD241" i="12"/>
  <c r="Z241" i="12"/>
  <c r="A316" i="57"/>
  <c r="A311" i="57"/>
  <c r="A306" i="57"/>
  <c r="A307" i="57" s="1"/>
  <c r="A301" i="57"/>
  <c r="A296" i="57"/>
  <c r="A291" i="57"/>
  <c r="F291" i="57" s="1"/>
  <c r="D489" i="12" s="1"/>
  <c r="A286" i="57"/>
  <c r="A281" i="57"/>
  <c r="F281" i="57" s="1"/>
  <c r="D479" i="12" s="1"/>
  <c r="A276" i="57"/>
  <c r="A271" i="57"/>
  <c r="G271" i="57" s="1"/>
  <c r="A266" i="57"/>
  <c r="A261" i="57"/>
  <c r="A255" i="57"/>
  <c r="G255" i="57" s="1"/>
  <c r="A254" i="57"/>
  <c r="G254" i="57" s="1"/>
  <c r="A249" i="57"/>
  <c r="A244" i="57"/>
  <c r="A245" i="57" s="1"/>
  <c r="A239" i="57"/>
  <c r="A234" i="57"/>
  <c r="G234" i="57" s="1"/>
  <c r="A229" i="57"/>
  <c r="A224" i="57"/>
  <c r="G224" i="57" s="1"/>
  <c r="A219" i="57"/>
  <c r="A214" i="57"/>
  <c r="G214" i="57" s="1"/>
  <c r="G209" i="57"/>
  <c r="E407" i="12" s="1"/>
  <c r="A209" i="57"/>
  <c r="F209" i="57" s="1"/>
  <c r="D407" i="12" s="1"/>
  <c r="A204" i="57"/>
  <c r="G204" i="57" s="1"/>
  <c r="A199" i="57"/>
  <c r="G199" i="57" s="1"/>
  <c r="A192" i="57"/>
  <c r="X192" i="57" s="1" a="1"/>
  <c r="X192" i="57" s="1"/>
  <c r="A187" i="57"/>
  <c r="A188" i="57" s="1"/>
  <c r="A182" i="57"/>
  <c r="X182" i="57" s="1" a="1"/>
  <c r="X182" i="57" s="1"/>
  <c r="A177" i="57"/>
  <c r="Y177" i="57" s="1" a="1"/>
  <c r="A172" i="57"/>
  <c r="Z172" i="57" s="1" a="1"/>
  <c r="A167" i="57"/>
  <c r="Z167" i="57" s="1" a="1"/>
  <c r="A162" i="57"/>
  <c r="Z162" i="57" s="1" a="1"/>
  <c r="A157" i="57"/>
  <c r="A152" i="57"/>
  <c r="Z152" i="57" s="1" a="1"/>
  <c r="A147" i="57"/>
  <c r="Z147" i="57" s="1" a="1"/>
  <c r="A142" i="57"/>
  <c r="Z142" i="57" s="1" a="1"/>
  <c r="A137" i="57"/>
  <c r="AA137" i="57" s="1" a="1"/>
  <c r="A130" i="57"/>
  <c r="Y130" i="57" s="1" a="1"/>
  <c r="A125" i="57"/>
  <c r="A126" i="57" s="1"/>
  <c r="A120" i="57"/>
  <c r="A115" i="57"/>
  <c r="AA115" i="57" s="1" a="1"/>
  <c r="AA115" i="57" s="1"/>
  <c r="A110" i="57"/>
  <c r="Y110" i="57" s="1" a="1"/>
  <c r="G105" i="57"/>
  <c r="E105" i="57" s="1"/>
  <c r="C208" i="12" s="1"/>
  <c r="A105" i="57"/>
  <c r="Y105" i="57" s="1" a="1"/>
  <c r="A100" i="57"/>
  <c r="Y100" i="57" s="1" a="1"/>
  <c r="Y100" i="57" s="1"/>
  <c r="A96" i="57"/>
  <c r="A97" i="57" s="1"/>
  <c r="A95" i="57"/>
  <c r="Z95" i="57" s="1" a="1"/>
  <c r="A90" i="57"/>
  <c r="B90" i="57" s="1"/>
  <c r="A85" i="57"/>
  <c r="X85" i="57" s="1" a="1"/>
  <c r="X85" i="57" s="1"/>
  <c r="A80" i="57"/>
  <c r="X80" i="57" s="1" a="1"/>
  <c r="X80" i="57" s="1"/>
  <c r="A75" i="57"/>
  <c r="Y75" i="57" s="1" a="1"/>
  <c r="A68" i="57"/>
  <c r="AA68" i="57" s="1" a="1"/>
  <c r="AA68" i="57" s="1"/>
  <c r="A63" i="57"/>
  <c r="AA63" i="57" s="1" a="1"/>
  <c r="A58" i="57"/>
  <c r="AA58" i="57" s="1" a="1"/>
  <c r="A53" i="57"/>
  <c r="A48" i="57"/>
  <c r="Z48" i="57" s="1" a="1"/>
  <c r="Z48" i="57" s="1"/>
  <c r="A43" i="57"/>
  <c r="Z43" i="57" s="1" a="1"/>
  <c r="A38" i="57"/>
  <c r="X38" i="57" s="1" a="1"/>
  <c r="X38" i="57" s="1"/>
  <c r="A33" i="57"/>
  <c r="Y33" i="57" s="1" a="1"/>
  <c r="A28" i="57"/>
  <c r="AA28" i="57" s="1" a="1"/>
  <c r="A23" i="57"/>
  <c r="AA23" i="57" s="1" a="1"/>
  <c r="A18" i="57"/>
  <c r="AA18" i="57" s="1" a="1"/>
  <c r="A13" i="57"/>
  <c r="AA13" i="57" s="1" a="1"/>
  <c r="B13" i="12"/>
  <c r="B12" i="12"/>
  <c r="B11" i="12"/>
  <c r="B10" i="12"/>
  <c r="B9" i="12"/>
  <c r="C770" i="11"/>
  <c r="C768" i="11"/>
  <c r="C767" i="11"/>
  <c r="C1144" i="11"/>
  <c r="D352" i="10"/>
  <c r="D770" i="11" s="1"/>
  <c r="D350" i="10"/>
  <c r="D768" i="11" s="1"/>
  <c r="D349" i="10"/>
  <c r="D767" i="11" s="1"/>
  <c r="B580" i="11" l="1"/>
  <c r="B555" i="11"/>
  <c r="B538" i="11"/>
  <c r="B563" i="11"/>
  <c r="A215" i="57"/>
  <c r="B215" i="57" s="1"/>
  <c r="F199" i="57"/>
  <c r="D397" i="12" s="1"/>
  <c r="A14" i="57"/>
  <c r="G14" i="57" s="1"/>
  <c r="E412" i="12"/>
  <c r="E214" i="57"/>
  <c r="C412" i="12" s="1"/>
  <c r="F245" i="57"/>
  <c r="D443" i="12" s="1"/>
  <c r="A246" i="57"/>
  <c r="A247" i="57" s="1"/>
  <c r="A248" i="57" s="1"/>
  <c r="F75" i="57"/>
  <c r="D293" i="12" s="1"/>
  <c r="G75" i="57"/>
  <c r="E293" i="12" s="1"/>
  <c r="F234" i="57"/>
  <c r="D432" i="12" s="1"/>
  <c r="G244" i="57"/>
  <c r="E244" i="57" s="1"/>
  <c r="C442" i="12" s="1"/>
  <c r="G68" i="57"/>
  <c r="G95" i="57"/>
  <c r="E95" i="57" s="1"/>
  <c r="C308" i="12" s="1"/>
  <c r="F105" i="57"/>
  <c r="D208" i="12" s="1"/>
  <c r="G110" i="57"/>
  <c r="A148" i="57"/>
  <c r="G148" i="57" s="1"/>
  <c r="E148" i="57" s="1"/>
  <c r="C224" i="12" s="1"/>
  <c r="E14" i="57"/>
  <c r="C242" i="12" s="1"/>
  <c r="E242" i="12"/>
  <c r="E255" i="57"/>
  <c r="C453" i="12" s="1"/>
  <c r="E453" i="12"/>
  <c r="A24" i="57"/>
  <c r="G24" i="57" s="1"/>
  <c r="A34" i="57"/>
  <c r="G34" i="57" s="1"/>
  <c r="A44" i="57"/>
  <c r="G63" i="57"/>
  <c r="B120" i="57"/>
  <c r="G130" i="57"/>
  <c r="F137" i="57"/>
  <c r="D345" i="12" s="1"/>
  <c r="F147" i="57"/>
  <c r="D223" i="12" s="1"/>
  <c r="A158" i="57"/>
  <c r="G158" i="57" s="1"/>
  <c r="F167" i="57"/>
  <c r="D218" i="12" s="1"/>
  <c r="A178" i="57"/>
  <c r="B178" i="57" s="1"/>
  <c r="A183" i="57"/>
  <c r="A184" i="57" s="1"/>
  <c r="B229" i="57"/>
  <c r="B245" i="57"/>
  <c r="G261" i="57"/>
  <c r="A277" i="57"/>
  <c r="A282" i="57"/>
  <c r="A283" i="57" s="1"/>
  <c r="A297" i="57"/>
  <c r="F297" i="57" s="1"/>
  <c r="D495" i="12" s="1"/>
  <c r="X13" i="57" a="1"/>
  <c r="X13" i="57" s="1"/>
  <c r="X18" i="57" a="1"/>
  <c r="X18" i="57" s="1"/>
  <c r="X23" i="57" a="1"/>
  <c r="X23" i="57" s="1"/>
  <c r="X24" i="57" s="1"/>
  <c r="X28" i="57" a="1"/>
  <c r="X28" i="57" s="1"/>
  <c r="Z33" i="57" a="1"/>
  <c r="Y38" i="57" a="1"/>
  <c r="Y38" i="57" s="1"/>
  <c r="X43" i="57" a="1"/>
  <c r="X43" i="57" s="1"/>
  <c r="X45" i="57" s="1"/>
  <c r="AA43" i="57" a="1"/>
  <c r="AA43" i="57" s="1"/>
  <c r="AA48" i="57" a="1"/>
  <c r="AA48" i="57" s="1"/>
  <c r="Y53" i="57" a="1"/>
  <c r="X58" i="57" a="1"/>
  <c r="X58" i="57" s="1"/>
  <c r="X61" i="57" s="1"/>
  <c r="X63" i="57" a="1"/>
  <c r="X63" i="57" s="1"/>
  <c r="X68" i="57" a="1"/>
  <c r="X68" i="57" s="1"/>
  <c r="Z75" i="57" a="1"/>
  <c r="Y80" i="57" a="1"/>
  <c r="Y80" i="57" s="1"/>
  <c r="Y82" i="57" s="1"/>
  <c r="Y85" i="57" a="1"/>
  <c r="Y85" i="57" s="1"/>
  <c r="Y90" i="57" a="1"/>
  <c r="X95" i="57" a="1"/>
  <c r="X95" i="57" s="1"/>
  <c r="AA95" i="57" a="1"/>
  <c r="Z100" i="57" a="1"/>
  <c r="Z105" i="57" a="1"/>
  <c r="Z110" i="57" a="1"/>
  <c r="Z120" i="57" a="1"/>
  <c r="Z125" i="57" a="1"/>
  <c r="Z125" i="57" s="1"/>
  <c r="Z130" i="57" a="1"/>
  <c r="AA142" i="57" a="1"/>
  <c r="AA147" i="57" a="1"/>
  <c r="AA147" i="57" s="1"/>
  <c r="AA152" i="57" a="1"/>
  <c r="AA152" i="57" s="1"/>
  <c r="Y157" i="57" a="1"/>
  <c r="X162" i="57" a="1"/>
  <c r="X162" i="57" s="1"/>
  <c r="AA162" i="57" a="1"/>
  <c r="AA162" i="57" s="1"/>
  <c r="AA167" i="57" a="1"/>
  <c r="AA167" i="57" s="1"/>
  <c r="AA172" i="57" a="1"/>
  <c r="AA172" i="57" s="1"/>
  <c r="Z177" i="57" a="1"/>
  <c r="Y182" i="57" a="1"/>
  <c r="Y187" i="57" a="1"/>
  <c r="Y187" i="57" s="1"/>
  <c r="Y192" i="57" a="1"/>
  <c r="F13" i="57"/>
  <c r="D241" i="12" s="1"/>
  <c r="G18" i="57"/>
  <c r="G58" i="57"/>
  <c r="E75" i="57"/>
  <c r="C293" i="12" s="1"/>
  <c r="A81" i="57"/>
  <c r="F95" i="57"/>
  <c r="D308" i="12" s="1"/>
  <c r="B110" i="57"/>
  <c r="A111" i="57"/>
  <c r="F115" i="57"/>
  <c r="D323" i="12" s="1"/>
  <c r="A121" i="57"/>
  <c r="F121" i="57" s="1"/>
  <c r="D329" i="12" s="1"/>
  <c r="A131" i="57"/>
  <c r="G131" i="57" s="1"/>
  <c r="A138" i="57"/>
  <c r="G152" i="57"/>
  <c r="G167" i="57"/>
  <c r="G172" i="57"/>
  <c r="E209" i="57"/>
  <c r="C407" i="12" s="1"/>
  <c r="B214" i="57"/>
  <c r="F229" i="57"/>
  <c r="D427" i="12" s="1"/>
  <c r="B234" i="57"/>
  <c r="A262" i="57"/>
  <c r="A263" i="57" s="1"/>
  <c r="B271" i="57"/>
  <c r="B281" i="57"/>
  <c r="B291" i="57"/>
  <c r="A292" i="57"/>
  <c r="G311" i="57"/>
  <c r="Y13" i="57" a="1"/>
  <c r="Y18" i="57" a="1"/>
  <c r="Y18" i="57" s="1"/>
  <c r="Y21" i="57" s="1"/>
  <c r="Y23" i="57" a="1"/>
  <c r="Y23" i="57" s="1"/>
  <c r="Y28" i="57" a="1"/>
  <c r="Y28" i="57" s="1"/>
  <c r="X33" i="57" a="1"/>
  <c r="X33" i="57" s="1"/>
  <c r="X37" i="57" s="1"/>
  <c r="AA33" i="57" a="1"/>
  <c r="Z38" i="57" a="1"/>
  <c r="X48" i="57" a="1"/>
  <c r="X48" i="57" s="1"/>
  <c r="Z53" i="57" a="1"/>
  <c r="Z53" i="57" s="1"/>
  <c r="Z54" i="57" s="1"/>
  <c r="Y58" i="57" a="1"/>
  <c r="Y58" i="57" s="1"/>
  <c r="Y63" i="57" a="1"/>
  <c r="Y68" i="57" a="1"/>
  <c r="X75" i="57" a="1"/>
  <c r="X75" i="57" s="1"/>
  <c r="AA75" i="57" a="1"/>
  <c r="Z80" i="57" a="1"/>
  <c r="Z85" i="57" a="1"/>
  <c r="Z90" i="57" a="1"/>
  <c r="Z90" i="57" s="1"/>
  <c r="Z93" i="57" s="1"/>
  <c r="AA100" i="57" a="1"/>
  <c r="AA105" i="57" a="1"/>
  <c r="AA110" i="57" a="1"/>
  <c r="AA110" i="57" s="1"/>
  <c r="AA113" i="57" s="1"/>
  <c r="Y115" i="57" a="1"/>
  <c r="Y115" i="57" s="1"/>
  <c r="Y116" i="57" s="1"/>
  <c r="X120" i="57" a="1"/>
  <c r="X120" i="57" s="1"/>
  <c r="X124" i="57" s="1"/>
  <c r="AA120" i="57" a="1"/>
  <c r="AA125" i="57" a="1"/>
  <c r="AA130" i="57" a="1"/>
  <c r="AA130" i="57" s="1"/>
  <c r="Y137" i="57" a="1"/>
  <c r="Y137" i="57" s="1"/>
  <c r="Y141" i="57" s="1"/>
  <c r="X142" i="57" a="1"/>
  <c r="X142" i="57" s="1"/>
  <c r="X147" i="57" a="1"/>
  <c r="X147" i="57" s="1"/>
  <c r="X152" i="57" a="1"/>
  <c r="X152" i="57" s="1"/>
  <c r="Z157" i="57" a="1"/>
  <c r="Y162" i="57" a="1"/>
  <c r="Y162" i="57" s="1"/>
  <c r="X167" i="57" a="1"/>
  <c r="X167" i="57" s="1"/>
  <c r="X172" i="57" a="1"/>
  <c r="X172" i="57" s="1"/>
  <c r="X176" i="57" s="1"/>
  <c r="AA177" i="57" a="1"/>
  <c r="Z182" i="57" a="1"/>
  <c r="Z187" i="57" a="1"/>
  <c r="Z192" i="57" a="1"/>
  <c r="Z192" i="57" s="1"/>
  <c r="A173" i="57"/>
  <c r="E204" i="57"/>
  <c r="C402" i="12" s="1"/>
  <c r="E402" i="12"/>
  <c r="E224" i="57"/>
  <c r="C422" i="12" s="1"/>
  <c r="E422" i="12"/>
  <c r="E254" i="57"/>
  <c r="C452" i="12" s="1"/>
  <c r="E452" i="12"/>
  <c r="E271" i="57"/>
  <c r="C469" i="12" s="1"/>
  <c r="E469" i="12"/>
  <c r="Z13" i="57" a="1"/>
  <c r="Z13" i="57" s="1"/>
  <c r="Z16" i="57" s="1"/>
  <c r="Z18" i="57" a="1"/>
  <c r="Z23" i="57" a="1"/>
  <c r="Z28" i="57" a="1"/>
  <c r="Z28" i="57" s="1"/>
  <c r="AA38" i="57" a="1"/>
  <c r="AA38" i="57" s="1"/>
  <c r="AA40" i="57" s="1"/>
  <c r="Y43" i="57" a="1"/>
  <c r="Y48" i="57" a="1"/>
  <c r="X53" i="57" a="1"/>
  <c r="X53" i="57" s="1"/>
  <c r="AA53" i="57" a="1"/>
  <c r="AA53" i="57" s="1"/>
  <c r="Z58" i="57" a="1"/>
  <c r="Z63" i="57" a="1"/>
  <c r="Z63" i="57" s="1"/>
  <c r="Z68" i="57" a="1"/>
  <c r="Z68" i="57" s="1"/>
  <c r="AA80" i="57" a="1"/>
  <c r="AA80" i="57" s="1"/>
  <c r="AA85" i="57" a="1"/>
  <c r="AA90" i="57" a="1"/>
  <c r="AA90" i="57" s="1"/>
  <c r="Y95" i="57" a="1"/>
  <c r="X100" i="57" a="1"/>
  <c r="X100" i="57" s="1"/>
  <c r="X105" i="57" a="1"/>
  <c r="X105" i="57" s="1"/>
  <c r="X110" i="57" a="1"/>
  <c r="X110" i="57" s="1"/>
  <c r="Z115" i="57" a="1"/>
  <c r="Z115" i="57" s="1"/>
  <c r="Y120" i="57" a="1"/>
  <c r="Y120" i="57" s="1"/>
  <c r="Y124" i="57" s="1"/>
  <c r="X125" i="57" a="1"/>
  <c r="X125" i="57" s="1"/>
  <c r="X130" i="57" a="1"/>
  <c r="X130" i="57" s="1"/>
  <c r="Z137" i="57" a="1"/>
  <c r="Y142" i="57" a="1"/>
  <c r="Y142" i="57" s="1"/>
  <c r="Y147" i="57" a="1"/>
  <c r="Y152" i="57" a="1"/>
  <c r="X157" i="57" a="1"/>
  <c r="X157" i="57" s="1"/>
  <c r="X160" i="57" s="1"/>
  <c r="AA157" i="57" a="1"/>
  <c r="AA157" i="57" s="1"/>
  <c r="Y167" i="57" a="1"/>
  <c r="Y167" i="57" s="1"/>
  <c r="Y172" i="57" a="1"/>
  <c r="X177" i="57" a="1"/>
  <c r="X177" i="57" s="1"/>
  <c r="AA182" i="57" a="1"/>
  <c r="AA187" i="57" a="1"/>
  <c r="AA187" i="57" s="1"/>
  <c r="AA192" i="57" a="1"/>
  <c r="F23" i="57"/>
  <c r="D203" i="12" s="1"/>
  <c r="F33" i="57"/>
  <c r="D256" i="12" s="1"/>
  <c r="F43" i="57"/>
  <c r="D198" i="12" s="1"/>
  <c r="G53" i="57"/>
  <c r="F63" i="57"/>
  <c r="D281" i="12" s="1"/>
  <c r="F157" i="57"/>
  <c r="D360" i="12" s="1"/>
  <c r="B162" i="57"/>
  <c r="B172" i="57"/>
  <c r="B182" i="57"/>
  <c r="E199" i="57"/>
  <c r="C397" i="12" s="1"/>
  <c r="E397" i="12"/>
  <c r="A230" i="57"/>
  <c r="E234" i="57"/>
  <c r="C432" i="12" s="1"/>
  <c r="E432" i="12"/>
  <c r="A272" i="57"/>
  <c r="F276" i="57"/>
  <c r="D474" i="12" s="1"/>
  <c r="G306" i="57"/>
  <c r="A317" i="57"/>
  <c r="G317" i="57" s="1"/>
  <c r="X90" i="57" a="1"/>
  <c r="X90" i="57" s="1"/>
  <c r="X115" i="57" a="1"/>
  <c r="X115" i="57" s="1"/>
  <c r="Y125" i="57" a="1"/>
  <c r="Y125" i="57" s="1"/>
  <c r="X137" i="57" a="1"/>
  <c r="X137" i="57" s="1"/>
  <c r="X187" i="57" a="1"/>
  <c r="X187" i="57" s="1"/>
  <c r="E308" i="12"/>
  <c r="E208" i="12"/>
  <c r="B606" i="11"/>
  <c r="B1271" i="11"/>
  <c r="B988" i="58"/>
  <c r="B888" i="58"/>
  <c r="B782" i="58"/>
  <c r="B576" i="58"/>
  <c r="B551" i="58"/>
  <c r="B963" i="58"/>
  <c r="B863" i="58"/>
  <c r="B757" i="58"/>
  <c r="B601" i="58"/>
  <c r="B626" i="58"/>
  <c r="B938" i="58"/>
  <c r="B832" i="58"/>
  <c r="B732" i="58"/>
  <c r="B651" i="58"/>
  <c r="B913" i="58"/>
  <c r="B807" i="58"/>
  <c r="B707" i="58"/>
  <c r="B676" i="58"/>
  <c r="B887" i="58"/>
  <c r="B575" i="58"/>
  <c r="B962" i="58"/>
  <c r="B756" i="58"/>
  <c r="B550" i="58"/>
  <c r="B831" i="58"/>
  <c r="B912" i="58"/>
  <c r="B706" i="58"/>
  <c r="B625" i="58"/>
  <c r="B987" i="58"/>
  <c r="B781" i="58"/>
  <c r="B862" i="58"/>
  <c r="B600" i="58"/>
  <c r="B650" i="58"/>
  <c r="B937" i="58"/>
  <c r="B731" i="58"/>
  <c r="B806" i="58"/>
  <c r="B675" i="58"/>
  <c r="B589" i="11"/>
  <c r="B1254" i="11"/>
  <c r="B590" i="11"/>
  <c r="B1255" i="11"/>
  <c r="B57" i="58"/>
  <c r="B135" i="58"/>
  <c r="B109" i="58"/>
  <c r="B161" i="58"/>
  <c r="B83" i="58"/>
  <c r="B513" i="11"/>
  <c r="B108" i="58"/>
  <c r="B160" i="58"/>
  <c r="B56" i="58"/>
  <c r="B82" i="58"/>
  <c r="B134" i="58"/>
  <c r="B530" i="11"/>
  <c r="AA175" i="57"/>
  <c r="AA176" i="57"/>
  <c r="AA173" i="57"/>
  <c r="Z147" i="57"/>
  <c r="Z149" i="57" s="1"/>
  <c r="Z152" i="57"/>
  <c r="Z167" i="57"/>
  <c r="Z171" i="57" s="1"/>
  <c r="Z187" i="57"/>
  <c r="AA142" i="57"/>
  <c r="Y192" i="57"/>
  <c r="AA192" i="57"/>
  <c r="Z177" i="57"/>
  <c r="Y182" i="57"/>
  <c r="Z137" i="57"/>
  <c r="Z162" i="57"/>
  <c r="Y172" i="57"/>
  <c r="Y176" i="57" s="1"/>
  <c r="AA177" i="57"/>
  <c r="AA180" i="57" s="1"/>
  <c r="Z182" i="57"/>
  <c r="AA137" i="57"/>
  <c r="Y147" i="57"/>
  <c r="Y157" i="57"/>
  <c r="Z172" i="57"/>
  <c r="AA182" i="57"/>
  <c r="AA184" i="57" s="1"/>
  <c r="Y152" i="57"/>
  <c r="Y156" i="57" s="1"/>
  <c r="Z157" i="57"/>
  <c r="Z161" i="57" s="1"/>
  <c r="Y177" i="57"/>
  <c r="Y75" i="57"/>
  <c r="Z105" i="57"/>
  <c r="Z107" i="57" s="1"/>
  <c r="Z110" i="57"/>
  <c r="Y95" i="57"/>
  <c r="Y98" i="57" s="1"/>
  <c r="AA100" i="57"/>
  <c r="Z85" i="57"/>
  <c r="AA75" i="57"/>
  <c r="AA77" i="57" s="1"/>
  <c r="Z80" i="57"/>
  <c r="Z83" i="57" s="1"/>
  <c r="Y90" i="57"/>
  <c r="Z95" i="57"/>
  <c r="Z97" i="57" s="1"/>
  <c r="AA105" i="57"/>
  <c r="AA108" i="57" s="1"/>
  <c r="Z120" i="57"/>
  <c r="Z124" i="57" s="1"/>
  <c r="Y130" i="57"/>
  <c r="AA95" i="57"/>
  <c r="Y105" i="57"/>
  <c r="Y109" i="57" s="1"/>
  <c r="AA120" i="57"/>
  <c r="Z130" i="57"/>
  <c r="Z133" i="57" s="1"/>
  <c r="Z75" i="57"/>
  <c r="Z76" i="57" s="1"/>
  <c r="AA85" i="57"/>
  <c r="Z100" i="57"/>
  <c r="Z101" i="57" s="1"/>
  <c r="Y110" i="57"/>
  <c r="Y111" i="57" s="1"/>
  <c r="AA125" i="57"/>
  <c r="Y68" i="57"/>
  <c r="Y71" i="57" s="1"/>
  <c r="Y63" i="57"/>
  <c r="Y67" i="57" s="1"/>
  <c r="AA63" i="57"/>
  <c r="Z58" i="57"/>
  <c r="AA58" i="57"/>
  <c r="Y53" i="57"/>
  <c r="Y48" i="57"/>
  <c r="Z43" i="57"/>
  <c r="Z46" i="57" s="1"/>
  <c r="Y43" i="57"/>
  <c r="Z38" i="57"/>
  <c r="Z33" i="57"/>
  <c r="Z35" i="57" s="1"/>
  <c r="Y33" i="57"/>
  <c r="AA33" i="57"/>
  <c r="AA28" i="57"/>
  <c r="Z23" i="57"/>
  <c r="Z25" i="57" s="1"/>
  <c r="AA23" i="57"/>
  <c r="Z18" i="57"/>
  <c r="AA18" i="57"/>
  <c r="AA22" i="57" s="1"/>
  <c r="Y13" i="57"/>
  <c r="AA13" i="57"/>
  <c r="X17" i="57"/>
  <c r="X15" i="57"/>
  <c r="X16" i="57"/>
  <c r="X14" i="57"/>
  <c r="Z121" i="57"/>
  <c r="AA174" i="57"/>
  <c r="X89" i="57"/>
  <c r="X87" i="57"/>
  <c r="X88" i="57"/>
  <c r="X86" i="57"/>
  <c r="F28" i="57"/>
  <c r="D251" i="12" s="1"/>
  <c r="A29" i="57"/>
  <c r="B28" i="57"/>
  <c r="F44" i="57"/>
  <c r="D199" i="12" s="1"/>
  <c r="B44" i="57"/>
  <c r="F48" i="57"/>
  <c r="D266" i="12" s="1"/>
  <c r="G48" i="57"/>
  <c r="A49" i="57"/>
  <c r="B48" i="57"/>
  <c r="X27" i="57"/>
  <c r="G28" i="57"/>
  <c r="G44" i="57"/>
  <c r="X44" i="57"/>
  <c r="Z77" i="57"/>
  <c r="Y83" i="57"/>
  <c r="F126" i="57"/>
  <c r="D334" i="12" s="1"/>
  <c r="A127" i="57"/>
  <c r="G126" i="57"/>
  <c r="B126" i="57"/>
  <c r="F188" i="57"/>
  <c r="D386" i="12" s="1"/>
  <c r="B188" i="57"/>
  <c r="G188" i="57"/>
  <c r="A189" i="57"/>
  <c r="Y22" i="57"/>
  <c r="F24" i="57"/>
  <c r="D204" i="12" s="1"/>
  <c r="Y42" i="57"/>
  <c r="Y41" i="57"/>
  <c r="Y40" i="57"/>
  <c r="Y39" i="57"/>
  <c r="X62" i="57"/>
  <c r="B81" i="57"/>
  <c r="F81" i="57"/>
  <c r="D299" i="12" s="1"/>
  <c r="A82" i="57"/>
  <c r="G81" i="57"/>
  <c r="F14" i="57"/>
  <c r="D242" i="12" s="1"/>
  <c r="B14" i="57"/>
  <c r="A15" i="57"/>
  <c r="F18" i="57"/>
  <c r="D246" i="12" s="1"/>
  <c r="A19" i="57"/>
  <c r="B18" i="57"/>
  <c r="F38" i="57"/>
  <c r="D261" i="12" s="1"/>
  <c r="A39" i="57"/>
  <c r="B38" i="57"/>
  <c r="AA79" i="57"/>
  <c r="AA78" i="57"/>
  <c r="B85" i="57"/>
  <c r="F85" i="57"/>
  <c r="D213" i="12" s="1"/>
  <c r="G85" i="57"/>
  <c r="A86" i="57"/>
  <c r="Z99" i="57"/>
  <c r="AA156" i="57"/>
  <c r="AA155" i="57"/>
  <c r="AA154" i="57"/>
  <c r="AA153" i="57"/>
  <c r="B184" i="57"/>
  <c r="F184" i="57"/>
  <c r="D382" i="12" s="1"/>
  <c r="G184" i="57"/>
  <c r="A185" i="57"/>
  <c r="X46" i="57"/>
  <c r="A45" i="57"/>
  <c r="X35" i="57"/>
  <c r="G38" i="57"/>
  <c r="Z67" i="57"/>
  <c r="Z66" i="57"/>
  <c r="Z65" i="57"/>
  <c r="Z64" i="57"/>
  <c r="F97" i="57"/>
  <c r="D310" i="12" s="1"/>
  <c r="B97" i="57"/>
  <c r="A98" i="57"/>
  <c r="G97" i="57"/>
  <c r="Z150" i="57"/>
  <c r="B53" i="57"/>
  <c r="X114" i="57"/>
  <c r="X113" i="57"/>
  <c r="X112" i="57"/>
  <c r="X111" i="57"/>
  <c r="Y121" i="57"/>
  <c r="F138" i="57"/>
  <c r="D346" i="12" s="1"/>
  <c r="B138" i="57"/>
  <c r="Z158" i="57"/>
  <c r="F80" i="57"/>
  <c r="D298" i="12" s="1"/>
  <c r="G80" i="57"/>
  <c r="B111" i="57"/>
  <c r="G111" i="57"/>
  <c r="B115" i="57"/>
  <c r="G115" i="57"/>
  <c r="X122" i="57"/>
  <c r="F130" i="57"/>
  <c r="D338" i="12" s="1"/>
  <c r="G137" i="57"/>
  <c r="X148" i="57"/>
  <c r="X149" i="57"/>
  <c r="X150" i="57"/>
  <c r="X151" i="57"/>
  <c r="A54" i="57"/>
  <c r="F58" i="57"/>
  <c r="D276" i="12" s="1"/>
  <c r="F90" i="57"/>
  <c r="D303" i="12" s="1"/>
  <c r="AA112" i="57"/>
  <c r="AA114" i="57"/>
  <c r="B121" i="57"/>
  <c r="B125" i="57"/>
  <c r="F125" i="57"/>
  <c r="D333" i="12" s="1"/>
  <c r="F142" i="57"/>
  <c r="D350" i="12" s="1"/>
  <c r="A143" i="57"/>
  <c r="B142" i="57"/>
  <c r="Y173" i="57"/>
  <c r="X186" i="57"/>
  <c r="X185" i="57"/>
  <c r="X184" i="57"/>
  <c r="X183" i="57"/>
  <c r="G13" i="57"/>
  <c r="G23" i="57"/>
  <c r="G33" i="57"/>
  <c r="G43" i="57"/>
  <c r="B58" i="57"/>
  <c r="A59" i="57"/>
  <c r="B63" i="57"/>
  <c r="A64" i="57"/>
  <c r="F68" i="57"/>
  <c r="D286" i="12" s="1"/>
  <c r="Y78" i="57"/>
  <c r="Z82" i="57"/>
  <c r="G96" i="57"/>
  <c r="G100" i="57"/>
  <c r="B13" i="57"/>
  <c r="B23" i="57"/>
  <c r="B33" i="57"/>
  <c r="B43" i="57"/>
  <c r="F53" i="57"/>
  <c r="D271" i="12" s="1"/>
  <c r="B68" i="57"/>
  <c r="A69" i="57"/>
  <c r="B75" i="57"/>
  <c r="A76" i="57"/>
  <c r="B80" i="57"/>
  <c r="G90" i="57"/>
  <c r="A91" i="57"/>
  <c r="B95" i="57"/>
  <c r="AA111" i="57"/>
  <c r="A116" i="57"/>
  <c r="F120" i="57"/>
  <c r="D328" i="12" s="1"/>
  <c r="G120" i="57"/>
  <c r="G125" i="57"/>
  <c r="B130" i="57"/>
  <c r="G138" i="57"/>
  <c r="A139" i="57"/>
  <c r="G142" i="57"/>
  <c r="B148" i="57"/>
  <c r="F152" i="57"/>
  <c r="D355" i="12" s="1"/>
  <c r="A153" i="57"/>
  <c r="B152" i="57"/>
  <c r="X158" i="57"/>
  <c r="F96" i="57"/>
  <c r="D309" i="12" s="1"/>
  <c r="B96" i="57"/>
  <c r="Y96" i="57"/>
  <c r="F100" i="57"/>
  <c r="D313" i="12" s="1"/>
  <c r="A101" i="57"/>
  <c r="B100" i="57"/>
  <c r="Y107" i="57"/>
  <c r="Y106" i="57"/>
  <c r="X121" i="57"/>
  <c r="X123" i="57"/>
  <c r="B137" i="57"/>
  <c r="Y154" i="57"/>
  <c r="Y153" i="57"/>
  <c r="Y171" i="57"/>
  <c r="Y170" i="57"/>
  <c r="Y169" i="57"/>
  <c r="Y168" i="57"/>
  <c r="B183" i="57"/>
  <c r="F183" i="57"/>
  <c r="D381" i="12" s="1"/>
  <c r="G183" i="57"/>
  <c r="B187" i="57"/>
  <c r="F187" i="57"/>
  <c r="D385" i="12" s="1"/>
  <c r="G187" i="57"/>
  <c r="F162" i="57"/>
  <c r="D365" i="12" s="1"/>
  <c r="A163" i="57"/>
  <c r="X173" i="57"/>
  <c r="F178" i="57"/>
  <c r="D376" i="12" s="1"/>
  <c r="G178" i="57"/>
  <c r="A179" i="57"/>
  <c r="F182" i="57"/>
  <c r="D380" i="12" s="1"/>
  <c r="G182" i="57"/>
  <c r="F192" i="57"/>
  <c r="D390" i="12" s="1"/>
  <c r="G192" i="57"/>
  <c r="A193" i="57"/>
  <c r="B192" i="57"/>
  <c r="B105" i="57"/>
  <c r="A106" i="57"/>
  <c r="F110" i="57"/>
  <c r="D318" i="12" s="1"/>
  <c r="G162" i="57"/>
  <c r="B173" i="57"/>
  <c r="G173" i="57"/>
  <c r="F173" i="57"/>
  <c r="D371" i="12" s="1"/>
  <c r="A174" i="57"/>
  <c r="B177" i="57"/>
  <c r="G177" i="57"/>
  <c r="F177" i="57"/>
  <c r="D375" i="12" s="1"/>
  <c r="G247" i="57"/>
  <c r="G147" i="57"/>
  <c r="G157" i="57"/>
  <c r="B199" i="57"/>
  <c r="A200" i="57"/>
  <c r="F204" i="57"/>
  <c r="D402" i="12" s="1"/>
  <c r="F215" i="57"/>
  <c r="D413" i="12" s="1"/>
  <c r="F219" i="57"/>
  <c r="D417" i="12" s="1"/>
  <c r="A220" i="57"/>
  <c r="A225" i="57"/>
  <c r="F224" i="57"/>
  <c r="D422" i="12" s="1"/>
  <c r="F239" i="57"/>
  <c r="D437" i="12" s="1"/>
  <c r="G239" i="57"/>
  <c r="A240" i="57"/>
  <c r="B239" i="57"/>
  <c r="B246" i="57"/>
  <c r="B147" i="57"/>
  <c r="B157" i="57"/>
  <c r="B167" i="57"/>
  <c r="A168" i="57"/>
  <c r="F172" i="57"/>
  <c r="D370" i="12" s="1"/>
  <c r="B204" i="57"/>
  <c r="A205" i="57"/>
  <c r="B209" i="57"/>
  <c r="A210" i="57"/>
  <c r="F214" i="57"/>
  <c r="D412" i="12" s="1"/>
  <c r="G215" i="57"/>
  <c r="G219" i="57"/>
  <c r="B224" i="57"/>
  <c r="B249" i="57"/>
  <c r="F249" i="57"/>
  <c r="D447" i="12" s="1"/>
  <c r="A250" i="57"/>
  <c r="G249" i="57"/>
  <c r="B297" i="57"/>
  <c r="A216" i="57"/>
  <c r="B219" i="57"/>
  <c r="F263" i="57"/>
  <c r="D461" i="12" s="1"/>
  <c r="B263" i="57"/>
  <c r="G263" i="57"/>
  <c r="A264" i="57"/>
  <c r="G245" i="57"/>
  <c r="B307" i="57"/>
  <c r="F307" i="57"/>
  <c r="D505" i="12" s="1"/>
  <c r="A308" i="57"/>
  <c r="G307" i="57"/>
  <c r="A235" i="57"/>
  <c r="B244" i="57"/>
  <c r="F244" i="57"/>
  <c r="D442" i="12" s="1"/>
  <c r="F277" i="57"/>
  <c r="D475" i="12" s="1"/>
  <c r="B277" i="57"/>
  <c r="G277" i="57"/>
  <c r="A278" i="57"/>
  <c r="G282" i="57"/>
  <c r="A287" i="57"/>
  <c r="F286" i="57"/>
  <c r="D484" i="12" s="1"/>
  <c r="B286" i="57"/>
  <c r="G286" i="57"/>
  <c r="F262" i="57"/>
  <c r="D460" i="12" s="1"/>
  <c r="B262" i="57"/>
  <c r="G262" i="57"/>
  <c r="F266" i="57"/>
  <c r="D464" i="12" s="1"/>
  <c r="B266" i="57"/>
  <c r="G266" i="57"/>
  <c r="A267" i="57"/>
  <c r="B272" i="57"/>
  <c r="G272" i="57"/>
  <c r="B255" i="57"/>
  <c r="F255" i="57"/>
  <c r="D453" i="12" s="1"/>
  <c r="A256" i="57"/>
  <c r="B261" i="57"/>
  <c r="F261" i="57"/>
  <c r="D459" i="12" s="1"/>
  <c r="B301" i="57"/>
  <c r="F301" i="57"/>
  <c r="D499" i="12" s="1"/>
  <c r="A302" i="57"/>
  <c r="G301" i="57"/>
  <c r="G229" i="57"/>
  <c r="F254" i="57"/>
  <c r="D452" i="12" s="1"/>
  <c r="B254" i="57"/>
  <c r="B317" i="57"/>
  <c r="F271" i="57"/>
  <c r="D469" i="12" s="1"/>
  <c r="G276" i="57"/>
  <c r="B276" i="57"/>
  <c r="G281" i="57"/>
  <c r="G291" i="57"/>
  <c r="F296" i="57"/>
  <c r="D494" i="12" s="1"/>
  <c r="B296" i="57"/>
  <c r="G296" i="57"/>
  <c r="F311" i="57"/>
  <c r="D509" i="12" s="1"/>
  <c r="B311" i="57"/>
  <c r="A312" i="57"/>
  <c r="F306" i="57"/>
  <c r="D504" i="12" s="1"/>
  <c r="B306" i="57"/>
  <c r="B316" i="57"/>
  <c r="F316" i="57"/>
  <c r="D514" i="12" s="1"/>
  <c r="G316" i="57"/>
  <c r="AA169" i="57" l="1"/>
  <c r="AA170" i="57"/>
  <c r="X159" i="57"/>
  <c r="F148" i="57"/>
  <c r="D224" i="12" s="1"/>
  <c r="Y140" i="57"/>
  <c r="AA181" i="57"/>
  <c r="A35" i="57"/>
  <c r="X161" i="57"/>
  <c r="Y139" i="57"/>
  <c r="B34" i="57"/>
  <c r="F34" i="57"/>
  <c r="D257" i="12" s="1"/>
  <c r="E224" i="12"/>
  <c r="A298" i="57"/>
  <c r="Y19" i="57"/>
  <c r="Z47" i="57"/>
  <c r="G297" i="57"/>
  <c r="E297" i="57" s="1"/>
  <c r="C495" i="12" s="1"/>
  <c r="A132" i="57"/>
  <c r="Y20" i="57"/>
  <c r="A149" i="57"/>
  <c r="Y138" i="57"/>
  <c r="Z195" i="57"/>
  <c r="Z193" i="57"/>
  <c r="Z196" i="57"/>
  <c r="Y144" i="57"/>
  <c r="Y145" i="57"/>
  <c r="E318" i="12"/>
  <c r="E110" i="57"/>
  <c r="C318" i="12" s="1"/>
  <c r="F317" i="57"/>
  <c r="D515" i="12" s="1"/>
  <c r="B282" i="57"/>
  <c r="F247" i="57"/>
  <c r="D445" i="12" s="1"/>
  <c r="X174" i="57"/>
  <c r="Z122" i="57"/>
  <c r="Z132" i="57"/>
  <c r="Y122" i="57"/>
  <c r="X34" i="57"/>
  <c r="X47" i="57"/>
  <c r="X60" i="57"/>
  <c r="Y113" i="57"/>
  <c r="Y84" i="57"/>
  <c r="X26" i="57"/>
  <c r="E442" i="12"/>
  <c r="F282" i="57"/>
  <c r="D480" i="12" s="1"/>
  <c r="G246" i="57"/>
  <c r="B247" i="57"/>
  <c r="X175" i="57"/>
  <c r="A159" i="57"/>
  <c r="Z131" i="57"/>
  <c r="A122" i="57"/>
  <c r="F122" i="57" s="1"/>
  <c r="D330" i="12" s="1"/>
  <c r="AA185" i="57"/>
  <c r="Y123" i="57"/>
  <c r="X59" i="57"/>
  <c r="A25" i="57"/>
  <c r="Y81" i="57"/>
  <c r="X25" i="57"/>
  <c r="A318" i="57"/>
  <c r="F246" i="57"/>
  <c r="D444" i="12" s="1"/>
  <c r="G121" i="57"/>
  <c r="X36" i="57"/>
  <c r="B24" i="57"/>
  <c r="E286" i="12"/>
  <c r="E68" i="57"/>
  <c r="C286" i="12" s="1"/>
  <c r="E142" i="57"/>
  <c r="C350" i="12" s="1"/>
  <c r="E350" i="12"/>
  <c r="E43" i="57"/>
  <c r="C198" i="12" s="1"/>
  <c r="E198" i="12"/>
  <c r="E111" i="57"/>
  <c r="C319" i="12" s="1"/>
  <c r="E319" i="12"/>
  <c r="E48" i="57"/>
  <c r="C266" i="12" s="1"/>
  <c r="E266" i="12"/>
  <c r="E306" i="57"/>
  <c r="C504" i="12" s="1"/>
  <c r="E504" i="12"/>
  <c r="E218" i="12"/>
  <c r="E167" i="57"/>
  <c r="C218" i="12" s="1"/>
  <c r="E18" i="57"/>
  <c r="C246" i="12" s="1"/>
  <c r="E246" i="12"/>
  <c r="E63" i="57"/>
  <c r="C281" i="12" s="1"/>
  <c r="E281" i="12"/>
  <c r="E316" i="57"/>
  <c r="C514" i="12" s="1"/>
  <c r="E514" i="12"/>
  <c r="E262" i="57"/>
  <c r="C460" i="12" s="1"/>
  <c r="E460" i="12"/>
  <c r="E263" i="57"/>
  <c r="C461" i="12" s="1"/>
  <c r="E461" i="12"/>
  <c r="E249" i="57"/>
  <c r="C447" i="12" s="1"/>
  <c r="E447" i="12"/>
  <c r="E247" i="57"/>
  <c r="C445" i="12" s="1"/>
  <c r="E445" i="12"/>
  <c r="E162" i="57"/>
  <c r="C365" i="12" s="1"/>
  <c r="E365" i="12"/>
  <c r="E182" i="57"/>
  <c r="C380" i="12" s="1"/>
  <c r="E380" i="12"/>
  <c r="Y155" i="57"/>
  <c r="Y108" i="57"/>
  <c r="E125" i="57"/>
  <c r="C333" i="12" s="1"/>
  <c r="E333" i="12"/>
  <c r="E120" i="57"/>
  <c r="C328" i="12" s="1"/>
  <c r="E328" i="12"/>
  <c r="E90" i="57"/>
  <c r="C303" i="12" s="1"/>
  <c r="E303" i="12"/>
  <c r="E100" i="57"/>
  <c r="C313" i="12" s="1"/>
  <c r="E313" i="12"/>
  <c r="E33" i="57"/>
  <c r="C256" i="12" s="1"/>
  <c r="E256" i="12"/>
  <c r="AA178" i="57"/>
  <c r="E137" i="57"/>
  <c r="C345" i="12" s="1"/>
  <c r="E345" i="12"/>
  <c r="E131" i="57"/>
  <c r="C339" i="12" s="1"/>
  <c r="E339" i="12"/>
  <c r="E115" i="57"/>
  <c r="C323" i="12" s="1"/>
  <c r="E323" i="12"/>
  <c r="E38" i="57"/>
  <c r="C261" i="12" s="1"/>
  <c r="E261" i="12"/>
  <c r="E34" i="57"/>
  <c r="C257" i="12" s="1"/>
  <c r="E257" i="12"/>
  <c r="E85" i="57"/>
  <c r="C213" i="12" s="1"/>
  <c r="E213" i="12"/>
  <c r="Z79" i="57"/>
  <c r="E28" i="57"/>
  <c r="C251" i="12" s="1"/>
  <c r="E251" i="12"/>
  <c r="A231" i="57"/>
  <c r="G230" i="57"/>
  <c r="F230" i="57"/>
  <c r="D428" i="12" s="1"/>
  <c r="B230" i="57"/>
  <c r="E311" i="57"/>
  <c r="C509" i="12" s="1"/>
  <c r="E509" i="12"/>
  <c r="E152" i="57"/>
  <c r="C355" i="12" s="1"/>
  <c r="E355" i="12"/>
  <c r="E261" i="57"/>
  <c r="C459" i="12" s="1"/>
  <c r="E459" i="12"/>
  <c r="E301" i="57"/>
  <c r="C499" i="12" s="1"/>
  <c r="E499" i="12"/>
  <c r="E286" i="57"/>
  <c r="C484" i="12" s="1"/>
  <c r="E484" i="12"/>
  <c r="E178" i="57"/>
  <c r="C376" i="12" s="1"/>
  <c r="E376" i="12"/>
  <c r="E187" i="57"/>
  <c r="C385" i="12" s="1"/>
  <c r="E385" i="12"/>
  <c r="E121" i="57"/>
  <c r="C329" i="12" s="1"/>
  <c r="E329" i="12"/>
  <c r="E317" i="57"/>
  <c r="C515" i="12" s="1"/>
  <c r="E515" i="12"/>
  <c r="E266" i="57"/>
  <c r="C464" i="12" s="1"/>
  <c r="E464" i="12"/>
  <c r="E282" i="57"/>
  <c r="C480" i="12" s="1"/>
  <c r="E480" i="12"/>
  <c r="E291" i="57"/>
  <c r="C489" i="12" s="1"/>
  <c r="E489" i="12"/>
  <c r="E272" i="57"/>
  <c r="C470" i="12" s="1"/>
  <c r="E470" i="12"/>
  <c r="E246" i="57"/>
  <c r="C444" i="12" s="1"/>
  <c r="E444" i="12"/>
  <c r="E157" i="57"/>
  <c r="C360" i="12" s="1"/>
  <c r="E360" i="12"/>
  <c r="E158" i="57"/>
  <c r="C361" i="12" s="1"/>
  <c r="E361" i="12"/>
  <c r="Y97" i="57"/>
  <c r="E23" i="57"/>
  <c r="C203" i="12" s="1"/>
  <c r="E203" i="12"/>
  <c r="AA179" i="57"/>
  <c r="Z134" i="57"/>
  <c r="Z159" i="57"/>
  <c r="E184" i="57"/>
  <c r="C382" i="12" s="1"/>
  <c r="E382" i="12"/>
  <c r="Z98" i="57"/>
  <c r="Y112" i="57"/>
  <c r="Z78" i="57"/>
  <c r="Y117" i="57"/>
  <c r="B940" i="58"/>
  <c r="B834" i="58"/>
  <c r="B734" i="58"/>
  <c r="B628" i="58"/>
  <c r="B915" i="58"/>
  <c r="B809" i="58"/>
  <c r="B709" i="58"/>
  <c r="B653" i="58"/>
  <c r="B990" i="58"/>
  <c r="B890" i="58"/>
  <c r="B784" i="58"/>
  <c r="B578" i="58"/>
  <c r="B678" i="58"/>
  <c r="B965" i="58"/>
  <c r="B865" i="58"/>
  <c r="B759" i="58"/>
  <c r="B603" i="58"/>
  <c r="B553" i="58"/>
  <c r="A273" i="57"/>
  <c r="F272" i="57"/>
  <c r="D470" i="12" s="1"/>
  <c r="E53" i="57"/>
  <c r="C271" i="12" s="1"/>
  <c r="E271" i="12"/>
  <c r="A293" i="57"/>
  <c r="F292" i="57"/>
  <c r="D490" i="12" s="1"/>
  <c r="B292" i="57"/>
  <c r="G292" i="57"/>
  <c r="A112" i="57"/>
  <c r="F111" i="57"/>
  <c r="D319" i="12" s="1"/>
  <c r="E130" i="57"/>
  <c r="C338" i="12" s="1"/>
  <c r="E338" i="12"/>
  <c r="E296" i="57"/>
  <c r="C494" i="12" s="1"/>
  <c r="E494" i="12"/>
  <c r="E281" i="57"/>
  <c r="C479" i="12" s="1"/>
  <c r="E479" i="12"/>
  <c r="E276" i="57"/>
  <c r="C474" i="12" s="1"/>
  <c r="E474" i="12"/>
  <c r="E229" i="57"/>
  <c r="C427" i="12" s="1"/>
  <c r="E427" i="12"/>
  <c r="E277" i="57"/>
  <c r="C475" i="12" s="1"/>
  <c r="E475" i="12"/>
  <c r="E307" i="57"/>
  <c r="C505" i="12" s="1"/>
  <c r="E505" i="12"/>
  <c r="E245" i="57"/>
  <c r="C443" i="12" s="1"/>
  <c r="E443" i="12"/>
  <c r="E219" i="57"/>
  <c r="C417" i="12" s="1"/>
  <c r="E417" i="12"/>
  <c r="E215" i="57"/>
  <c r="C413" i="12" s="1"/>
  <c r="E413" i="12"/>
  <c r="E239" i="57"/>
  <c r="C437" i="12" s="1"/>
  <c r="E437" i="12"/>
  <c r="E147" i="57"/>
  <c r="C223" i="12" s="1"/>
  <c r="E223" i="12"/>
  <c r="E177" i="57"/>
  <c r="C375" i="12" s="1"/>
  <c r="E375" i="12"/>
  <c r="E173" i="57"/>
  <c r="C371" i="12" s="1"/>
  <c r="E371" i="12"/>
  <c r="E192" i="57"/>
  <c r="C390" i="12" s="1"/>
  <c r="E390" i="12"/>
  <c r="E183" i="57"/>
  <c r="C381" i="12" s="1"/>
  <c r="E381" i="12"/>
  <c r="E138" i="57"/>
  <c r="C346" i="12" s="1"/>
  <c r="E346" i="12"/>
  <c r="E96" i="57"/>
  <c r="C309" i="12" s="1"/>
  <c r="E309" i="12"/>
  <c r="E13" i="57"/>
  <c r="C241" i="12" s="1"/>
  <c r="E241" i="12"/>
  <c r="E80" i="57"/>
  <c r="C298" i="12" s="1"/>
  <c r="E298" i="12"/>
  <c r="E97" i="57"/>
  <c r="C310" i="12" s="1"/>
  <c r="E310" i="12"/>
  <c r="E81" i="57"/>
  <c r="C299" i="12" s="1"/>
  <c r="E299" i="12"/>
  <c r="E188" i="57"/>
  <c r="C386" i="12" s="1"/>
  <c r="E386" i="12"/>
  <c r="E126" i="57"/>
  <c r="C334" i="12" s="1"/>
  <c r="E334" i="12"/>
  <c r="E44" i="57"/>
  <c r="C199" i="12" s="1"/>
  <c r="E199" i="12"/>
  <c r="E370" i="12"/>
  <c r="E172" i="57"/>
  <c r="C370" i="12" s="1"/>
  <c r="B131" i="57"/>
  <c r="F131" i="57"/>
  <c r="D339" i="12" s="1"/>
  <c r="E58" i="57"/>
  <c r="C276" i="12" s="1"/>
  <c r="E276" i="12"/>
  <c r="F158" i="57"/>
  <c r="D361" i="12" s="1"/>
  <c r="B158" i="57"/>
  <c r="E24" i="57"/>
  <c r="C204" i="12" s="1"/>
  <c r="E204" i="12"/>
  <c r="B873" i="58"/>
  <c r="B561" i="58"/>
  <c r="B948" i="58"/>
  <c r="B742" i="58"/>
  <c r="B817" i="58"/>
  <c r="B611" i="58"/>
  <c r="B898" i="58"/>
  <c r="B692" i="58"/>
  <c r="B973" i="58"/>
  <c r="B767" i="58"/>
  <c r="B636" i="58"/>
  <c r="B848" i="58"/>
  <c r="B586" i="58"/>
  <c r="B536" i="58"/>
  <c r="B923" i="58"/>
  <c r="B717" i="58"/>
  <c r="B661" i="58"/>
  <c r="B792" i="58"/>
  <c r="B924" i="58"/>
  <c r="B818" i="58"/>
  <c r="B718" i="58"/>
  <c r="B612" i="58"/>
  <c r="B537" i="58"/>
  <c r="B899" i="58"/>
  <c r="B793" i="58"/>
  <c r="B693" i="58"/>
  <c r="B637" i="58"/>
  <c r="B974" i="58"/>
  <c r="B874" i="58"/>
  <c r="B768" i="58"/>
  <c r="B562" i="58"/>
  <c r="B662" i="58"/>
  <c r="B949" i="58"/>
  <c r="B849" i="58"/>
  <c r="B743" i="58"/>
  <c r="B587" i="58"/>
  <c r="B59" i="58"/>
  <c r="B111" i="58"/>
  <c r="B137" i="58"/>
  <c r="B163" i="58"/>
  <c r="B85" i="58"/>
  <c r="B43" i="58"/>
  <c r="B95" i="58"/>
  <c r="B121" i="58"/>
  <c r="B147" i="58"/>
  <c r="B69" i="58"/>
  <c r="B120" i="58"/>
  <c r="B146" i="58"/>
  <c r="B94" i="58"/>
  <c r="B42" i="58"/>
  <c r="B68" i="58"/>
  <c r="AA109" i="57"/>
  <c r="Z194" i="57"/>
  <c r="Z160" i="57"/>
  <c r="Z148" i="57"/>
  <c r="Z96" i="57"/>
  <c r="AA76" i="57"/>
  <c r="Y143" i="57"/>
  <c r="Y72" i="57"/>
  <c r="AA41" i="57"/>
  <c r="Z151" i="57"/>
  <c r="Y146" i="57"/>
  <c r="Z55" i="57"/>
  <c r="Y99" i="57"/>
  <c r="Y69" i="57"/>
  <c r="Z56" i="57"/>
  <c r="Z44" i="57"/>
  <c r="AA42" i="57"/>
  <c r="Y70" i="57"/>
  <c r="Z57" i="57"/>
  <c r="Z45" i="57"/>
  <c r="AA39" i="57"/>
  <c r="Y174" i="57"/>
  <c r="AA186" i="57"/>
  <c r="AA171" i="57"/>
  <c r="Z168" i="57"/>
  <c r="Z170" i="57"/>
  <c r="Z169" i="57"/>
  <c r="Y175" i="57"/>
  <c r="AA183" i="57"/>
  <c r="AA168" i="57"/>
  <c r="Z142" i="57"/>
  <c r="Z145" i="57" s="1"/>
  <c r="Z102" i="57"/>
  <c r="AA106" i="57"/>
  <c r="Y114" i="57"/>
  <c r="Z103" i="57"/>
  <c r="Y119" i="57"/>
  <c r="Y118" i="57"/>
  <c r="Z109" i="57"/>
  <c r="Z106" i="57"/>
  <c r="Z108" i="57"/>
  <c r="Z91" i="57"/>
  <c r="AA107" i="57"/>
  <c r="Z94" i="57"/>
  <c r="Z104" i="57"/>
  <c r="Z92" i="57"/>
  <c r="Z123" i="57"/>
  <c r="Z84" i="57"/>
  <c r="Z81" i="57"/>
  <c r="Y76" i="57"/>
  <c r="Y79" i="57"/>
  <c r="Y77" i="57"/>
  <c r="Y64" i="57"/>
  <c r="Y66" i="57"/>
  <c r="Y65" i="57"/>
  <c r="Z34" i="57"/>
  <c r="Z36" i="57"/>
  <c r="Z37" i="57"/>
  <c r="AA19" i="57"/>
  <c r="Z26" i="57"/>
  <c r="AA20" i="57"/>
  <c r="Z27" i="57"/>
  <c r="AA21" i="57"/>
  <c r="Z24" i="57"/>
  <c r="Z15" i="57"/>
  <c r="Z14" i="57"/>
  <c r="Z17" i="57"/>
  <c r="X133" i="57"/>
  <c r="X131" i="57"/>
  <c r="X134" i="57"/>
  <c r="X132" i="57"/>
  <c r="AA124" i="57"/>
  <c r="AA122" i="57"/>
  <c r="AA123" i="57"/>
  <c r="AA121" i="57"/>
  <c r="F116" i="57"/>
  <c r="D324" i="12" s="1"/>
  <c r="G116" i="57"/>
  <c r="B116" i="57"/>
  <c r="A117" i="57"/>
  <c r="X79" i="57"/>
  <c r="X78" i="57"/>
  <c r="X77" i="57"/>
  <c r="X76" i="57"/>
  <c r="Y62" i="57"/>
  <c r="Y61" i="57"/>
  <c r="Y60" i="57"/>
  <c r="Y59" i="57"/>
  <c r="AA62" i="57"/>
  <c r="AA61" i="57"/>
  <c r="AA60" i="57"/>
  <c r="AA59" i="57"/>
  <c r="AA145" i="57"/>
  <c r="AA143" i="57"/>
  <c r="AA146" i="57"/>
  <c r="AA144" i="57"/>
  <c r="F54" i="57"/>
  <c r="D272" i="12" s="1"/>
  <c r="B54" i="57"/>
  <c r="A55" i="57"/>
  <c r="G54" i="57"/>
  <c r="Z141" i="57"/>
  <c r="Z140" i="57"/>
  <c r="Z139" i="57"/>
  <c r="Z138" i="57"/>
  <c r="B132" i="57"/>
  <c r="A133" i="57"/>
  <c r="G132" i="57"/>
  <c r="F132" i="57"/>
  <c r="D340" i="12" s="1"/>
  <c r="Y134" i="57"/>
  <c r="Y133" i="57"/>
  <c r="Y132" i="57"/>
  <c r="Y131" i="57"/>
  <c r="Y17" i="57"/>
  <c r="Y16" i="57"/>
  <c r="Y15" i="57"/>
  <c r="Y14" i="57"/>
  <c r="B185" i="57"/>
  <c r="F185" i="57"/>
  <c r="D383" i="12" s="1"/>
  <c r="G185" i="57"/>
  <c r="A186" i="57"/>
  <c r="F86" i="57"/>
  <c r="D214" i="12" s="1"/>
  <c r="A87" i="57"/>
  <c r="G86" i="57"/>
  <c r="B86" i="57"/>
  <c r="B19" i="57"/>
  <c r="A20" i="57"/>
  <c r="G19" i="57"/>
  <c r="F19" i="57"/>
  <c r="D247" i="12" s="1"/>
  <c r="Z52" i="57"/>
  <c r="Z51" i="57"/>
  <c r="Z50" i="57"/>
  <c r="Z49" i="57"/>
  <c r="B29" i="57"/>
  <c r="A30" i="57"/>
  <c r="F29" i="57"/>
  <c r="D252" i="12" s="1"/>
  <c r="G29" i="57"/>
  <c r="B312" i="57"/>
  <c r="F312" i="57"/>
  <c r="D510" i="12" s="1"/>
  <c r="G312" i="57"/>
  <c r="A313" i="57"/>
  <c r="F278" i="57"/>
  <c r="D476" i="12" s="1"/>
  <c r="B278" i="57"/>
  <c r="A279" i="57"/>
  <c r="G278" i="57"/>
  <c r="Y196" i="57"/>
  <c r="Y195" i="57"/>
  <c r="Y194" i="57"/>
  <c r="Y193" i="57"/>
  <c r="X191" i="57"/>
  <c r="X190" i="57"/>
  <c r="X189" i="57"/>
  <c r="X188" i="57"/>
  <c r="AA191" i="57"/>
  <c r="AA190" i="57"/>
  <c r="AA189" i="57"/>
  <c r="AA188" i="57"/>
  <c r="Z146" i="57"/>
  <c r="Z144" i="57"/>
  <c r="Z143" i="57"/>
  <c r="AA141" i="57"/>
  <c r="AA140" i="57"/>
  <c r="AA139" i="57"/>
  <c r="AA138" i="57"/>
  <c r="B101" i="57"/>
  <c r="A102" i="57"/>
  <c r="G101" i="57"/>
  <c r="F101" i="57"/>
  <c r="D314" i="12" s="1"/>
  <c r="X156" i="57"/>
  <c r="X155" i="57"/>
  <c r="X154" i="57"/>
  <c r="X153" i="57"/>
  <c r="B256" i="57"/>
  <c r="F256" i="57"/>
  <c r="D454" i="12" s="1"/>
  <c r="A257" i="57"/>
  <c r="G256" i="57"/>
  <c r="A288" i="57"/>
  <c r="G287" i="57"/>
  <c r="B287" i="57"/>
  <c r="F287" i="57"/>
  <c r="D485" i="12" s="1"/>
  <c r="F250" i="57"/>
  <c r="D448" i="12" s="1"/>
  <c r="B250" i="57"/>
  <c r="A251" i="57"/>
  <c r="G250" i="57"/>
  <c r="Z176" i="57"/>
  <c r="Z175" i="57"/>
  <c r="Z174" i="57"/>
  <c r="Z173" i="57"/>
  <c r="F168" i="57"/>
  <c r="D219" i="12" s="1"/>
  <c r="A169" i="57"/>
  <c r="G168" i="57"/>
  <c r="B168" i="57"/>
  <c r="AA161" i="57"/>
  <c r="AA160" i="57"/>
  <c r="AA159" i="57"/>
  <c r="AA158" i="57"/>
  <c r="Y151" i="57"/>
  <c r="Y150" i="57"/>
  <c r="Y149" i="57"/>
  <c r="Y148" i="57"/>
  <c r="Z185" i="57"/>
  <c r="Z183" i="57"/>
  <c r="Z186" i="57"/>
  <c r="Z184" i="57"/>
  <c r="Y181" i="57"/>
  <c r="Y180" i="57"/>
  <c r="Y179" i="57"/>
  <c r="Y178" i="57"/>
  <c r="X196" i="57"/>
  <c r="X193" i="57"/>
  <c r="X195" i="57"/>
  <c r="X194" i="57"/>
  <c r="Y186" i="57"/>
  <c r="Y185" i="57"/>
  <c r="Y184" i="57"/>
  <c r="Y183" i="57"/>
  <c r="X166" i="57"/>
  <c r="X165" i="57"/>
  <c r="X164" i="57"/>
  <c r="X163" i="57"/>
  <c r="Z156" i="57"/>
  <c r="Z155" i="57"/>
  <c r="Z154" i="57"/>
  <c r="Z153" i="57"/>
  <c r="F149" i="57"/>
  <c r="D225" i="12" s="1"/>
  <c r="B149" i="57"/>
  <c r="G149" i="57"/>
  <c r="A150" i="57"/>
  <c r="AA99" i="57"/>
  <c r="AA98" i="57"/>
  <c r="AA97" i="57"/>
  <c r="AA96" i="57"/>
  <c r="X83" i="57"/>
  <c r="X81" i="57"/>
  <c r="X84" i="57"/>
  <c r="X82" i="57"/>
  <c r="B69" i="57"/>
  <c r="A70" i="57"/>
  <c r="G69" i="57"/>
  <c r="F69" i="57"/>
  <c r="D287" i="12" s="1"/>
  <c r="Y57" i="57"/>
  <c r="Y56" i="57"/>
  <c r="Y55" i="57"/>
  <c r="Y54" i="57"/>
  <c r="AA84" i="57"/>
  <c r="AA82" i="57"/>
  <c r="AA81" i="57"/>
  <c r="AA83" i="57"/>
  <c r="Z72" i="57"/>
  <c r="Z71" i="57"/>
  <c r="Z70" i="57"/>
  <c r="Z69" i="57"/>
  <c r="F64" i="57"/>
  <c r="D282" i="12" s="1"/>
  <c r="B64" i="57"/>
  <c r="A65" i="57"/>
  <c r="G64" i="57"/>
  <c r="AA47" i="57"/>
  <c r="AA46" i="57"/>
  <c r="AA45" i="57"/>
  <c r="AA44" i="57"/>
  <c r="AA27" i="57"/>
  <c r="AA26" i="57"/>
  <c r="AA25" i="57"/>
  <c r="AA24" i="57"/>
  <c r="B143" i="57"/>
  <c r="A144" i="57"/>
  <c r="F143" i="57"/>
  <c r="D351" i="12" s="1"/>
  <c r="G143" i="57"/>
  <c r="AA119" i="57"/>
  <c r="AA118" i="57"/>
  <c r="AA117" i="57"/>
  <c r="AA116" i="57"/>
  <c r="Z118" i="57"/>
  <c r="Z116" i="57"/>
  <c r="Z119" i="57"/>
  <c r="Z117" i="57"/>
  <c r="Y45" i="57"/>
  <c r="Y44" i="57"/>
  <c r="Y46" i="57"/>
  <c r="Y47" i="57"/>
  <c r="X56" i="57"/>
  <c r="X54" i="57"/>
  <c r="X57" i="57"/>
  <c r="X55" i="57"/>
  <c r="F45" i="57"/>
  <c r="D200" i="12" s="1"/>
  <c r="B45" i="57"/>
  <c r="A46" i="57"/>
  <c r="G45" i="57"/>
  <c r="Z88" i="57"/>
  <c r="Z86" i="57"/>
  <c r="Z87" i="57"/>
  <c r="Z89" i="57"/>
  <c r="Y89" i="57"/>
  <c r="Y87" i="57"/>
  <c r="Y88" i="57"/>
  <c r="Y86" i="57"/>
  <c r="X42" i="57"/>
  <c r="X41" i="57"/>
  <c r="X40" i="57"/>
  <c r="X39" i="57"/>
  <c r="Y32" i="57"/>
  <c r="Y31" i="57"/>
  <c r="Y30" i="57"/>
  <c r="Y29" i="57"/>
  <c r="B82" i="57"/>
  <c r="F82" i="57"/>
  <c r="D300" i="12" s="1"/>
  <c r="A83" i="57"/>
  <c r="G82" i="57"/>
  <c r="AA52" i="57"/>
  <c r="AA51" i="57"/>
  <c r="AA50" i="57"/>
  <c r="AA49" i="57"/>
  <c r="F318" i="57"/>
  <c r="D516" i="12" s="1"/>
  <c r="B318" i="57"/>
  <c r="G318" i="57"/>
  <c r="A319" i="57"/>
  <c r="B267" i="57"/>
  <c r="A268" i="57"/>
  <c r="F267" i="57"/>
  <c r="D465" i="12" s="1"/>
  <c r="G267" i="57"/>
  <c r="F283" i="57"/>
  <c r="D481" i="12" s="1"/>
  <c r="B283" i="57"/>
  <c r="G283" i="57"/>
  <c r="A284" i="57"/>
  <c r="B308" i="57"/>
  <c r="F308" i="57"/>
  <c r="D506" i="12" s="1"/>
  <c r="A309" i="57"/>
  <c r="G308" i="57"/>
  <c r="B216" i="57"/>
  <c r="A217" i="57"/>
  <c r="G216" i="57"/>
  <c r="F216" i="57"/>
  <c r="D414" i="12" s="1"/>
  <c r="B298" i="57"/>
  <c r="F298" i="57"/>
  <c r="D496" i="12" s="1"/>
  <c r="G298" i="57"/>
  <c r="A299" i="57"/>
  <c r="B205" i="57"/>
  <c r="A206" i="57"/>
  <c r="G205" i="57"/>
  <c r="F205" i="57"/>
  <c r="D403" i="12" s="1"/>
  <c r="X171" i="57"/>
  <c r="X170" i="57"/>
  <c r="X169" i="57"/>
  <c r="X168" i="57"/>
  <c r="A226" i="57"/>
  <c r="G225" i="57"/>
  <c r="B225" i="57"/>
  <c r="F225" i="57"/>
  <c r="D423" i="12" s="1"/>
  <c r="Y161" i="57"/>
  <c r="Y160" i="57"/>
  <c r="Y159" i="57"/>
  <c r="Y158" i="57"/>
  <c r="Z114" i="57"/>
  <c r="Z112" i="57"/>
  <c r="Z113" i="57"/>
  <c r="Z111" i="57"/>
  <c r="F106" i="57"/>
  <c r="D209" i="12" s="1"/>
  <c r="A107" i="57"/>
  <c r="B106" i="57"/>
  <c r="G106" i="57"/>
  <c r="AA196" i="57"/>
  <c r="AA195" i="57"/>
  <c r="AA194" i="57"/>
  <c r="AA193" i="57"/>
  <c r="F179" i="57"/>
  <c r="D377" i="12" s="1"/>
  <c r="G179" i="57"/>
  <c r="A180" i="57"/>
  <c r="B179" i="57"/>
  <c r="Z166" i="57"/>
  <c r="Z165" i="57"/>
  <c r="Z164" i="57"/>
  <c r="Z163" i="57"/>
  <c r="F159" i="57"/>
  <c r="D362" i="12" s="1"/>
  <c r="G159" i="57"/>
  <c r="A160" i="57"/>
  <c r="B159" i="57"/>
  <c r="Z191" i="57"/>
  <c r="Z190" i="57"/>
  <c r="Z189" i="57"/>
  <c r="Z188" i="57"/>
  <c r="Y191" i="57"/>
  <c r="Y190" i="57"/>
  <c r="Y188" i="57"/>
  <c r="Y189" i="57"/>
  <c r="X140" i="57"/>
  <c r="X138" i="57"/>
  <c r="X141" i="57"/>
  <c r="X139" i="57"/>
  <c r="X104" i="57"/>
  <c r="X102" i="57"/>
  <c r="X103" i="57"/>
  <c r="X101" i="57"/>
  <c r="B153" i="57"/>
  <c r="A154" i="57"/>
  <c r="G153" i="57"/>
  <c r="F153" i="57"/>
  <c r="D356" i="12" s="1"/>
  <c r="F139" i="57"/>
  <c r="D347" i="12" s="1"/>
  <c r="B139" i="57"/>
  <c r="A140" i="57"/>
  <c r="G139" i="57"/>
  <c r="B122" i="57"/>
  <c r="A123" i="57"/>
  <c r="G122" i="57"/>
  <c r="B91" i="57"/>
  <c r="F91" i="57"/>
  <c r="D304" i="12" s="1"/>
  <c r="A92" i="57"/>
  <c r="G91" i="57"/>
  <c r="AA72" i="57"/>
  <c r="AA70" i="57"/>
  <c r="AA71" i="57"/>
  <c r="AA69" i="57"/>
  <c r="AA67" i="57"/>
  <c r="AA66" i="57"/>
  <c r="AA65" i="57"/>
  <c r="AA64" i="57"/>
  <c r="X94" i="57"/>
  <c r="X92" i="57"/>
  <c r="X93" i="57"/>
  <c r="X91" i="57"/>
  <c r="X67" i="57"/>
  <c r="X66" i="57"/>
  <c r="X65" i="57"/>
  <c r="X64" i="57"/>
  <c r="AA129" i="57"/>
  <c r="AA128" i="57"/>
  <c r="AA127" i="57"/>
  <c r="AA126" i="57"/>
  <c r="Y129" i="57"/>
  <c r="Y127" i="57"/>
  <c r="Y128" i="57"/>
  <c r="Y126" i="57"/>
  <c r="Y104" i="57"/>
  <c r="Y103" i="57"/>
  <c r="Y102" i="57"/>
  <c r="Y101" i="57"/>
  <c r="AA94" i="57"/>
  <c r="AA93" i="57"/>
  <c r="AA92" i="57"/>
  <c r="AA91" i="57"/>
  <c r="AA134" i="57"/>
  <c r="AA133" i="57"/>
  <c r="AA132" i="57"/>
  <c r="AA131" i="57"/>
  <c r="X119" i="57"/>
  <c r="X118" i="57"/>
  <c r="X117" i="57"/>
  <c r="X116" i="57"/>
  <c r="Y37" i="57"/>
  <c r="Y36" i="57"/>
  <c r="Y35" i="57"/>
  <c r="Y34" i="57"/>
  <c r="AA32" i="57"/>
  <c r="AA31" i="57"/>
  <c r="AA30" i="57"/>
  <c r="AA29" i="57"/>
  <c r="Z42" i="57"/>
  <c r="Z41" i="57"/>
  <c r="Z40" i="57"/>
  <c r="Z39" i="57"/>
  <c r="F35" i="57"/>
  <c r="D258" i="12" s="1"/>
  <c r="B35" i="57"/>
  <c r="G35" i="57"/>
  <c r="A36" i="57"/>
  <c r="Z22" i="57"/>
  <c r="Z21" i="57"/>
  <c r="Z20" i="57"/>
  <c r="Z19" i="57"/>
  <c r="F127" i="57"/>
  <c r="D335" i="12" s="1"/>
  <c r="B127" i="57"/>
  <c r="A128" i="57"/>
  <c r="G127" i="57"/>
  <c r="X51" i="57"/>
  <c r="X49" i="57"/>
  <c r="X52" i="57"/>
  <c r="X50" i="57"/>
  <c r="B49" i="57"/>
  <c r="F49" i="57"/>
  <c r="D267" i="12" s="1"/>
  <c r="A50" i="57"/>
  <c r="G49" i="57"/>
  <c r="X31" i="57"/>
  <c r="X30" i="57"/>
  <c r="X29" i="57"/>
  <c r="X32" i="57"/>
  <c r="F210" i="57"/>
  <c r="D408" i="12" s="1"/>
  <c r="B210" i="57"/>
  <c r="A211" i="57"/>
  <c r="G210" i="57"/>
  <c r="AA151" i="57"/>
  <c r="AA150" i="57"/>
  <c r="AA149" i="57"/>
  <c r="AA148" i="57"/>
  <c r="B248" i="57"/>
  <c r="F248" i="57"/>
  <c r="D446" i="12" s="1"/>
  <c r="G248" i="57"/>
  <c r="F302" i="57"/>
  <c r="D500" i="12" s="1"/>
  <c r="B302" i="57"/>
  <c r="A303" i="57"/>
  <c r="G302" i="57"/>
  <c r="A236" i="57"/>
  <c r="G235" i="57"/>
  <c r="F235" i="57"/>
  <c r="D433" i="12" s="1"/>
  <c r="B235" i="57"/>
  <c r="F264" i="57"/>
  <c r="D462" i="12" s="1"/>
  <c r="B264" i="57"/>
  <c r="G264" i="57"/>
  <c r="A265" i="57"/>
  <c r="B240" i="57"/>
  <c r="F240" i="57"/>
  <c r="D438" i="12" s="1"/>
  <c r="A241" i="57"/>
  <c r="G240" i="57"/>
  <c r="F220" i="57"/>
  <c r="D418" i="12" s="1"/>
  <c r="A221" i="57"/>
  <c r="G220" i="57"/>
  <c r="B220" i="57"/>
  <c r="F200" i="57"/>
  <c r="D398" i="12" s="1"/>
  <c r="B200" i="57"/>
  <c r="A201" i="57"/>
  <c r="G200" i="57"/>
  <c r="X181" i="57"/>
  <c r="X180" i="57"/>
  <c r="X179" i="57"/>
  <c r="X178" i="57"/>
  <c r="Z180" i="57"/>
  <c r="Z178" i="57"/>
  <c r="Z181" i="57"/>
  <c r="Z179" i="57"/>
  <c r="B174" i="57"/>
  <c r="G174" i="57"/>
  <c r="F174" i="57"/>
  <c r="D372" i="12" s="1"/>
  <c r="A175" i="57"/>
  <c r="AA166" i="57"/>
  <c r="AA165" i="57"/>
  <c r="AA164" i="57"/>
  <c r="AA163" i="57"/>
  <c r="X108" i="57"/>
  <c r="X106" i="57"/>
  <c r="X109" i="57"/>
  <c r="X107" i="57"/>
  <c r="B193" i="57"/>
  <c r="F193" i="57"/>
  <c r="D391" i="12" s="1"/>
  <c r="A194" i="57"/>
  <c r="G193" i="57"/>
  <c r="Y166" i="57"/>
  <c r="Y165" i="57"/>
  <c r="Y164" i="57"/>
  <c r="Y163" i="57"/>
  <c r="A164" i="57"/>
  <c r="B163" i="57"/>
  <c r="G163" i="57"/>
  <c r="F163" i="57"/>
  <c r="D366" i="12" s="1"/>
  <c r="AA104" i="57"/>
  <c r="AA102" i="57"/>
  <c r="AA103" i="57"/>
  <c r="AA101" i="57"/>
  <c r="Z128" i="57"/>
  <c r="Z126" i="57"/>
  <c r="Z129" i="57"/>
  <c r="Z127" i="57"/>
  <c r="X98" i="57"/>
  <c r="X96" i="57"/>
  <c r="X99" i="57"/>
  <c r="X97" i="57"/>
  <c r="F76" i="57"/>
  <c r="D294" i="12" s="1"/>
  <c r="A77" i="57"/>
  <c r="G76" i="57"/>
  <c r="B76" i="57"/>
  <c r="X72" i="57"/>
  <c r="X71" i="57"/>
  <c r="X70" i="57"/>
  <c r="X69" i="57"/>
  <c r="B59" i="57"/>
  <c r="A60" i="57"/>
  <c r="G59" i="57"/>
  <c r="F59" i="57"/>
  <c r="D277" i="12" s="1"/>
  <c r="AA57" i="57"/>
  <c r="AA56" i="57"/>
  <c r="AA55" i="57"/>
  <c r="AA54" i="57"/>
  <c r="AA37" i="57"/>
  <c r="AA36" i="57"/>
  <c r="AA35" i="57"/>
  <c r="AA34" i="57"/>
  <c r="AA17" i="57"/>
  <c r="AA16" i="57"/>
  <c r="AA15" i="57"/>
  <c r="AA14" i="57"/>
  <c r="X146" i="57"/>
  <c r="X144" i="57"/>
  <c r="X145" i="57"/>
  <c r="X143" i="57"/>
  <c r="X129" i="57"/>
  <c r="X127" i="57"/>
  <c r="X128" i="57"/>
  <c r="X126" i="57"/>
  <c r="Y94" i="57"/>
  <c r="Y93" i="57"/>
  <c r="Y92" i="57"/>
  <c r="Y91" i="57"/>
  <c r="Y27" i="57"/>
  <c r="Y26" i="57"/>
  <c r="Y25" i="57"/>
  <c r="Y24" i="57"/>
  <c r="Z62" i="57"/>
  <c r="Z61" i="57"/>
  <c r="Z60" i="57"/>
  <c r="Z59" i="57"/>
  <c r="F98" i="57"/>
  <c r="D311" i="12" s="1"/>
  <c r="B98" i="57"/>
  <c r="A99" i="57"/>
  <c r="G98" i="57"/>
  <c r="AA89" i="57"/>
  <c r="AA88" i="57"/>
  <c r="AA87" i="57"/>
  <c r="AA86" i="57"/>
  <c r="B39" i="57"/>
  <c r="F39" i="57"/>
  <c r="D262" i="12" s="1"/>
  <c r="A40" i="57"/>
  <c r="G39" i="57"/>
  <c r="X22" i="57"/>
  <c r="X21" i="57"/>
  <c r="X20" i="57"/>
  <c r="X19" i="57"/>
  <c r="F15" i="57"/>
  <c r="D243" i="12" s="1"/>
  <c r="B15" i="57"/>
  <c r="G15" i="57"/>
  <c r="A16" i="57"/>
  <c r="F25" i="57"/>
  <c r="D205" i="12" s="1"/>
  <c r="B25" i="57"/>
  <c r="A26" i="57"/>
  <c r="G25" i="57"/>
  <c r="F189" i="57"/>
  <c r="D387" i="12" s="1"/>
  <c r="B189" i="57"/>
  <c r="G189" i="57"/>
  <c r="A190" i="57"/>
  <c r="Y52" i="57"/>
  <c r="Y51" i="57"/>
  <c r="Y50" i="57"/>
  <c r="Y49" i="57"/>
  <c r="Z32" i="57"/>
  <c r="Z31" i="57"/>
  <c r="Z30" i="57"/>
  <c r="Z29" i="57"/>
  <c r="E495" i="12" l="1"/>
  <c r="E39" i="57"/>
  <c r="C262" i="12" s="1"/>
  <c r="E262" i="12"/>
  <c r="E193" i="57"/>
  <c r="C391" i="12" s="1"/>
  <c r="E391" i="12"/>
  <c r="E200" i="57"/>
  <c r="C398" i="12" s="1"/>
  <c r="E398" i="12"/>
  <c r="E302" i="57"/>
  <c r="C500" i="12" s="1"/>
  <c r="E500" i="12"/>
  <c r="E248" i="57"/>
  <c r="C446" i="12" s="1"/>
  <c r="E446" i="12"/>
  <c r="E91" i="57"/>
  <c r="C304" i="12" s="1"/>
  <c r="E304" i="12"/>
  <c r="E179" i="57"/>
  <c r="C377" i="12" s="1"/>
  <c r="E377" i="12"/>
  <c r="E106" i="57"/>
  <c r="C209" i="12" s="1"/>
  <c r="E209" i="12"/>
  <c r="E267" i="57"/>
  <c r="C465" i="12" s="1"/>
  <c r="E465" i="12"/>
  <c r="E82" i="57"/>
  <c r="C300" i="12" s="1"/>
  <c r="E300" i="12"/>
  <c r="E64" i="57"/>
  <c r="C282" i="12" s="1"/>
  <c r="E282" i="12"/>
  <c r="E287" i="57"/>
  <c r="C485" i="12" s="1"/>
  <c r="E485" i="12"/>
  <c r="E19" i="57"/>
  <c r="C247" i="12" s="1"/>
  <c r="E247" i="12"/>
  <c r="E132" i="57"/>
  <c r="C340" i="12" s="1"/>
  <c r="E340" i="12"/>
  <c r="E116" i="57"/>
  <c r="C324" i="12" s="1"/>
  <c r="E324" i="12"/>
  <c r="A113" i="57"/>
  <c r="F112" i="57"/>
  <c r="D320" i="12" s="1"/>
  <c r="B112" i="57"/>
  <c r="G112" i="57"/>
  <c r="F293" i="57"/>
  <c r="D491" i="12" s="1"/>
  <c r="G293" i="57"/>
  <c r="B293" i="57"/>
  <c r="A294" i="57"/>
  <c r="B273" i="57"/>
  <c r="A274" i="57"/>
  <c r="G273" i="57"/>
  <c r="F273" i="57"/>
  <c r="D471" i="12" s="1"/>
  <c r="E298" i="57"/>
  <c r="C496" i="12" s="1"/>
  <c r="E496" i="12"/>
  <c r="E216" i="57"/>
  <c r="C414" i="12" s="1"/>
  <c r="E414" i="12"/>
  <c r="E308" i="57"/>
  <c r="C506" i="12" s="1"/>
  <c r="E506" i="12"/>
  <c r="E45" i="57"/>
  <c r="C200" i="12" s="1"/>
  <c r="E200" i="12"/>
  <c r="E168" i="57"/>
  <c r="C219" i="12" s="1"/>
  <c r="E219" i="12"/>
  <c r="E256" i="57"/>
  <c r="C454" i="12" s="1"/>
  <c r="E454" i="12"/>
  <c r="E101" i="57"/>
  <c r="C314" i="12" s="1"/>
  <c r="E314" i="12"/>
  <c r="E86" i="57"/>
  <c r="C214" i="12" s="1"/>
  <c r="E214" i="12"/>
  <c r="E292" i="57"/>
  <c r="C490" i="12" s="1"/>
  <c r="E490" i="12"/>
  <c r="E25" i="57"/>
  <c r="C205" i="12" s="1"/>
  <c r="E205" i="12"/>
  <c r="E174" i="57"/>
  <c r="C372" i="12" s="1"/>
  <c r="E372" i="12"/>
  <c r="E220" i="57"/>
  <c r="C418" i="12" s="1"/>
  <c r="E418" i="12"/>
  <c r="E235" i="57"/>
  <c r="C433" i="12" s="1"/>
  <c r="E433" i="12"/>
  <c r="E210" i="57"/>
  <c r="C408" i="12" s="1"/>
  <c r="E408" i="12"/>
  <c r="E49" i="57"/>
  <c r="C267" i="12" s="1"/>
  <c r="E267" i="12"/>
  <c r="E35" i="57"/>
  <c r="C258" i="12" s="1"/>
  <c r="E258" i="12"/>
  <c r="E159" i="57"/>
  <c r="C362" i="12" s="1"/>
  <c r="E362" i="12"/>
  <c r="E76" i="57"/>
  <c r="C294" i="12" s="1"/>
  <c r="E294" i="12"/>
  <c r="E240" i="57"/>
  <c r="C438" i="12" s="1"/>
  <c r="E438" i="12"/>
  <c r="E264" i="57"/>
  <c r="C462" i="12" s="1"/>
  <c r="E462" i="12"/>
  <c r="E122" i="57"/>
  <c r="C330" i="12" s="1"/>
  <c r="E330" i="12"/>
  <c r="E139" i="57"/>
  <c r="C347" i="12" s="1"/>
  <c r="E347" i="12"/>
  <c r="E225" i="57"/>
  <c r="C423" i="12" s="1"/>
  <c r="E423" i="12"/>
  <c r="E205" i="57"/>
  <c r="C403" i="12" s="1"/>
  <c r="E403" i="12"/>
  <c r="E283" i="57"/>
  <c r="C481" i="12" s="1"/>
  <c r="E481" i="12"/>
  <c r="E318" i="57"/>
  <c r="C516" i="12" s="1"/>
  <c r="E516" i="12"/>
  <c r="E143" i="57"/>
  <c r="C351" i="12" s="1"/>
  <c r="E351" i="12"/>
  <c r="E69" i="57"/>
  <c r="C287" i="12" s="1"/>
  <c r="E287" i="12"/>
  <c r="E250" i="57"/>
  <c r="C448" i="12" s="1"/>
  <c r="E448" i="12"/>
  <c r="E278" i="57"/>
  <c r="C476" i="12" s="1"/>
  <c r="E476" i="12"/>
  <c r="E29" i="57"/>
  <c r="C252" i="12" s="1"/>
  <c r="E252" i="12"/>
  <c r="E54" i="57"/>
  <c r="C272" i="12" s="1"/>
  <c r="E272" i="12"/>
  <c r="E230" i="57"/>
  <c r="C428" i="12" s="1"/>
  <c r="E428" i="12"/>
  <c r="E189" i="57"/>
  <c r="C387" i="12" s="1"/>
  <c r="E387" i="12"/>
  <c r="E59" i="57"/>
  <c r="C277" i="12" s="1"/>
  <c r="E277" i="12"/>
  <c r="E15" i="57"/>
  <c r="C243" i="12" s="1"/>
  <c r="E243" i="12"/>
  <c r="E98" i="57"/>
  <c r="C311" i="12" s="1"/>
  <c r="E311" i="12"/>
  <c r="E163" i="57"/>
  <c r="C366" i="12" s="1"/>
  <c r="E366" i="12"/>
  <c r="E127" i="57"/>
  <c r="C335" i="12" s="1"/>
  <c r="E335" i="12"/>
  <c r="E153" i="57"/>
  <c r="C356" i="12" s="1"/>
  <c r="E356" i="12"/>
  <c r="E149" i="57"/>
  <c r="C225" i="12" s="1"/>
  <c r="E225" i="12"/>
  <c r="E312" i="57"/>
  <c r="C510" i="12" s="1"/>
  <c r="E510" i="12"/>
  <c r="E185" i="57"/>
  <c r="C383" i="12" s="1"/>
  <c r="E383" i="12"/>
  <c r="F231" i="57"/>
  <c r="D429" i="12" s="1"/>
  <c r="B231" i="57"/>
  <c r="G231" i="57"/>
  <c r="A232" i="57"/>
  <c r="B50" i="57"/>
  <c r="F50" i="57"/>
  <c r="D268" i="12" s="1"/>
  <c r="A51" i="57"/>
  <c r="G50" i="57"/>
  <c r="F180" i="57"/>
  <c r="D378" i="12" s="1"/>
  <c r="G180" i="57"/>
  <c r="A181" i="57"/>
  <c r="B180" i="57"/>
  <c r="B309" i="57"/>
  <c r="F309" i="57"/>
  <c r="D507" i="12" s="1"/>
  <c r="A310" i="57"/>
  <c r="G309" i="57"/>
  <c r="F99" i="57"/>
  <c r="D312" i="12" s="1"/>
  <c r="B99" i="57"/>
  <c r="G99" i="57"/>
  <c r="B60" i="57"/>
  <c r="A61" i="57"/>
  <c r="G60" i="57"/>
  <c r="F60" i="57"/>
  <c r="D278" i="12" s="1"/>
  <c r="F128" i="57"/>
  <c r="D336" i="12" s="1"/>
  <c r="A129" i="57"/>
  <c r="G128" i="57"/>
  <c r="B128" i="57"/>
  <c r="B123" i="57"/>
  <c r="F123" i="57"/>
  <c r="D331" i="12" s="1"/>
  <c r="A124" i="57"/>
  <c r="G123" i="57"/>
  <c r="F140" i="57"/>
  <c r="D348" i="12" s="1"/>
  <c r="B140" i="57"/>
  <c r="A141" i="57"/>
  <c r="G140" i="57"/>
  <c r="F160" i="57"/>
  <c r="D363" i="12" s="1"/>
  <c r="G160" i="57"/>
  <c r="A161" i="57"/>
  <c r="B160" i="57"/>
  <c r="F107" i="57"/>
  <c r="D210" i="12" s="1"/>
  <c r="A108" i="57"/>
  <c r="G107" i="57"/>
  <c r="B107" i="57"/>
  <c r="B83" i="57"/>
  <c r="F83" i="57"/>
  <c r="D301" i="12" s="1"/>
  <c r="A84" i="57"/>
  <c r="G83" i="57"/>
  <c r="F46" i="57"/>
  <c r="D201" i="12" s="1"/>
  <c r="G46" i="57"/>
  <c r="B46" i="57"/>
  <c r="A47" i="57"/>
  <c r="A289" i="57"/>
  <c r="G288" i="57"/>
  <c r="B288" i="57"/>
  <c r="F288" i="57"/>
  <c r="D486" i="12" s="1"/>
  <c r="B257" i="57"/>
  <c r="F257" i="57"/>
  <c r="D455" i="12" s="1"/>
  <c r="A258" i="57"/>
  <c r="G257" i="57"/>
  <c r="A280" i="57"/>
  <c r="F279" i="57"/>
  <c r="D477" i="12" s="1"/>
  <c r="B279" i="57"/>
  <c r="G279" i="57"/>
  <c r="B30" i="57"/>
  <c r="A31" i="57"/>
  <c r="F30" i="57"/>
  <c r="D253" i="12" s="1"/>
  <c r="G30" i="57"/>
  <c r="F16" i="57"/>
  <c r="D244" i="12" s="1"/>
  <c r="B16" i="57"/>
  <c r="G16" i="57"/>
  <c r="A17" i="57"/>
  <c r="F221" i="57"/>
  <c r="D419" i="12" s="1"/>
  <c r="A222" i="57"/>
  <c r="G221" i="57"/>
  <c r="B221" i="57"/>
  <c r="F265" i="57"/>
  <c r="D463" i="12" s="1"/>
  <c r="B265" i="57"/>
  <c r="G265" i="57"/>
  <c r="B154" i="57"/>
  <c r="A155" i="57"/>
  <c r="G154" i="57"/>
  <c r="F154" i="57"/>
  <c r="D357" i="12" s="1"/>
  <c r="A227" i="57"/>
  <c r="G226" i="57"/>
  <c r="F226" i="57"/>
  <c r="D424" i="12" s="1"/>
  <c r="B226" i="57"/>
  <c r="B217" i="57"/>
  <c r="A218" i="57"/>
  <c r="G217" i="57"/>
  <c r="F217" i="57"/>
  <c r="D415" i="12" s="1"/>
  <c r="F65" i="57"/>
  <c r="D283" i="12" s="1"/>
  <c r="B65" i="57"/>
  <c r="A66" i="57"/>
  <c r="G65" i="57"/>
  <c r="B70" i="57"/>
  <c r="A71" i="57"/>
  <c r="G70" i="57"/>
  <c r="F70" i="57"/>
  <c r="D288" i="12" s="1"/>
  <c r="F169" i="57"/>
  <c r="D220" i="12" s="1"/>
  <c r="A170" i="57"/>
  <c r="G169" i="57"/>
  <c r="B169" i="57"/>
  <c r="F251" i="57"/>
  <c r="D449" i="12" s="1"/>
  <c r="B251" i="57"/>
  <c r="A252" i="57"/>
  <c r="G251" i="57"/>
  <c r="B102" i="57"/>
  <c r="A103" i="57"/>
  <c r="G102" i="57"/>
  <c r="F102" i="57"/>
  <c r="D315" i="12" s="1"/>
  <c r="B313" i="57"/>
  <c r="F313" i="57"/>
  <c r="D511" i="12" s="1"/>
  <c r="G313" i="57"/>
  <c r="A314" i="57"/>
  <c r="F87" i="57"/>
  <c r="D215" i="12" s="1"/>
  <c r="A88" i="57"/>
  <c r="G87" i="57"/>
  <c r="B87" i="57"/>
  <c r="B133" i="57"/>
  <c r="A134" i="57"/>
  <c r="G133" i="57"/>
  <c r="F133" i="57"/>
  <c r="D341" i="12" s="1"/>
  <c r="F117" i="57"/>
  <c r="D325" i="12" s="1"/>
  <c r="G117" i="57"/>
  <c r="A118" i="57"/>
  <c r="B117" i="57"/>
  <c r="F26" i="57"/>
  <c r="D206" i="12" s="1"/>
  <c r="B26" i="57"/>
  <c r="A27" i="57"/>
  <c r="G26" i="57"/>
  <c r="B40" i="57"/>
  <c r="A41" i="57"/>
  <c r="G40" i="57"/>
  <c r="F40" i="57"/>
  <c r="D263" i="12" s="1"/>
  <c r="F201" i="57"/>
  <c r="D399" i="12" s="1"/>
  <c r="B201" i="57"/>
  <c r="A202" i="57"/>
  <c r="G201" i="57"/>
  <c r="F303" i="57"/>
  <c r="D501" i="12" s="1"/>
  <c r="B303" i="57"/>
  <c r="A304" i="57"/>
  <c r="G303" i="57"/>
  <c r="F211" i="57"/>
  <c r="D409" i="12" s="1"/>
  <c r="B211" i="57"/>
  <c r="A212" i="57"/>
  <c r="G211" i="57"/>
  <c r="F190" i="57"/>
  <c r="D388" i="12" s="1"/>
  <c r="G190" i="57"/>
  <c r="B190" i="57"/>
  <c r="A191" i="57"/>
  <c r="F77" i="57"/>
  <c r="D295" i="12" s="1"/>
  <c r="A78" i="57"/>
  <c r="G77" i="57"/>
  <c r="B77" i="57"/>
  <c r="B164" i="57"/>
  <c r="A165" i="57"/>
  <c r="G164" i="57"/>
  <c r="F164" i="57"/>
  <c r="D367" i="12" s="1"/>
  <c r="B194" i="57"/>
  <c r="F194" i="57"/>
  <c r="D392" i="12" s="1"/>
  <c r="A195" i="57"/>
  <c r="G194" i="57"/>
  <c r="B175" i="57"/>
  <c r="G175" i="57"/>
  <c r="F175" i="57"/>
  <c r="D373" i="12" s="1"/>
  <c r="A176" i="57"/>
  <c r="B241" i="57"/>
  <c r="F241" i="57"/>
  <c r="D439" i="12" s="1"/>
  <c r="A242" i="57"/>
  <c r="G241" i="57"/>
  <c r="A237" i="57"/>
  <c r="G236" i="57"/>
  <c r="F236" i="57"/>
  <c r="D434" i="12" s="1"/>
  <c r="B236" i="57"/>
  <c r="F36" i="57"/>
  <c r="D259" i="12" s="1"/>
  <c r="B36" i="57"/>
  <c r="G36" i="57"/>
  <c r="A37" i="57"/>
  <c r="B92" i="57"/>
  <c r="A93" i="57"/>
  <c r="G92" i="57"/>
  <c r="F92" i="57"/>
  <c r="D305" i="12" s="1"/>
  <c r="B206" i="57"/>
  <c r="A207" i="57"/>
  <c r="G206" i="57"/>
  <c r="F206" i="57"/>
  <c r="D404" i="12" s="1"/>
  <c r="B299" i="57"/>
  <c r="F299" i="57"/>
  <c r="D497" i="12" s="1"/>
  <c r="G299" i="57"/>
  <c r="A300" i="57"/>
  <c r="F284" i="57"/>
  <c r="D482" i="12" s="1"/>
  <c r="B284" i="57"/>
  <c r="G284" i="57"/>
  <c r="A285" i="57"/>
  <c r="F319" i="57"/>
  <c r="D517" i="12" s="1"/>
  <c r="B319" i="57"/>
  <c r="G319" i="57"/>
  <c r="A320" i="57"/>
  <c r="B20" i="57"/>
  <c r="A21" i="57"/>
  <c r="G20" i="57"/>
  <c r="F20" i="57"/>
  <c r="D248" i="12" s="1"/>
  <c r="B186" i="57"/>
  <c r="F186" i="57"/>
  <c r="D384" i="12" s="1"/>
  <c r="G186" i="57"/>
  <c r="F268" i="57"/>
  <c r="D466" i="12" s="1"/>
  <c r="A269" i="57"/>
  <c r="B268" i="57"/>
  <c r="G268" i="57"/>
  <c r="B144" i="57"/>
  <c r="A145" i="57"/>
  <c r="G144" i="57"/>
  <c r="F144" i="57"/>
  <c r="D352" i="12" s="1"/>
  <c r="F150" i="57"/>
  <c r="D226" i="12" s="1"/>
  <c r="B150" i="57"/>
  <c r="G150" i="57"/>
  <c r="A151" i="57"/>
  <c r="F55" i="57"/>
  <c r="D273" i="12" s="1"/>
  <c r="B55" i="57"/>
  <c r="A56" i="57"/>
  <c r="G55" i="57"/>
  <c r="E206" i="57" l="1"/>
  <c r="C404" i="12" s="1"/>
  <c r="E404" i="12"/>
  <c r="E236" i="57"/>
  <c r="C434" i="12" s="1"/>
  <c r="E434" i="12"/>
  <c r="E194" i="57"/>
  <c r="C392" i="12" s="1"/>
  <c r="E392" i="12"/>
  <c r="E26" i="57"/>
  <c r="C206" i="12" s="1"/>
  <c r="E206" i="12"/>
  <c r="E87" i="57"/>
  <c r="C215" i="12" s="1"/>
  <c r="E215" i="12"/>
  <c r="E102" i="57"/>
  <c r="C315" i="12" s="1"/>
  <c r="E315" i="12"/>
  <c r="E265" i="57"/>
  <c r="C463" i="12" s="1"/>
  <c r="E463" i="12"/>
  <c r="E16" i="57"/>
  <c r="C244" i="12" s="1"/>
  <c r="E244" i="12"/>
  <c r="E288" i="57"/>
  <c r="C486" i="12" s="1"/>
  <c r="E486" i="12"/>
  <c r="E83" i="57"/>
  <c r="C301" i="12" s="1"/>
  <c r="E301" i="12"/>
  <c r="E128" i="57"/>
  <c r="C336" i="12" s="1"/>
  <c r="E336" i="12"/>
  <c r="G274" i="57"/>
  <c r="F274" i="57"/>
  <c r="D472" i="12" s="1"/>
  <c r="B274" i="57"/>
  <c r="A275" i="57"/>
  <c r="E293" i="57"/>
  <c r="C491" i="12" s="1"/>
  <c r="E491" i="12"/>
  <c r="E55" i="57"/>
  <c r="C273" i="12" s="1"/>
  <c r="E273" i="12"/>
  <c r="E150" i="57"/>
  <c r="C226" i="12" s="1"/>
  <c r="E226" i="12"/>
  <c r="E268" i="57"/>
  <c r="C466" i="12" s="1"/>
  <c r="E466" i="12"/>
  <c r="E175" i="57"/>
  <c r="C373" i="12" s="1"/>
  <c r="E373" i="12"/>
  <c r="E164" i="57"/>
  <c r="C367" i="12" s="1"/>
  <c r="E367" i="12"/>
  <c r="E211" i="57"/>
  <c r="C409" i="12" s="1"/>
  <c r="E409" i="12"/>
  <c r="E40" i="57"/>
  <c r="C263" i="12" s="1"/>
  <c r="E263" i="12"/>
  <c r="E133" i="57"/>
  <c r="C341" i="12" s="1"/>
  <c r="E341" i="12"/>
  <c r="E217" i="57"/>
  <c r="C415" i="12" s="1"/>
  <c r="E415" i="12"/>
  <c r="E107" i="57"/>
  <c r="C210" i="12" s="1"/>
  <c r="E210" i="12"/>
  <c r="E309" i="57"/>
  <c r="C507" i="12" s="1"/>
  <c r="E507" i="12"/>
  <c r="E50" i="57"/>
  <c r="C268" i="12" s="1"/>
  <c r="E268" i="12"/>
  <c r="F232" i="57"/>
  <c r="D430" i="12" s="1"/>
  <c r="B232" i="57"/>
  <c r="A233" i="57"/>
  <c r="G232" i="57"/>
  <c r="A114" i="57"/>
  <c r="F113" i="57"/>
  <c r="D321" i="12" s="1"/>
  <c r="B113" i="57"/>
  <c r="G113" i="57"/>
  <c r="E144" i="57"/>
  <c r="C352" i="12" s="1"/>
  <c r="E352" i="12"/>
  <c r="E186" i="57"/>
  <c r="C384" i="12" s="1"/>
  <c r="E384" i="12"/>
  <c r="E20" i="57"/>
  <c r="C248" i="12" s="1"/>
  <c r="E248" i="12"/>
  <c r="E319" i="57"/>
  <c r="C517" i="12" s="1"/>
  <c r="E517" i="12"/>
  <c r="E92" i="57"/>
  <c r="C305" i="12" s="1"/>
  <c r="E305" i="12"/>
  <c r="E241" i="57"/>
  <c r="C439" i="12" s="1"/>
  <c r="E439" i="12"/>
  <c r="E77" i="57"/>
  <c r="C295" i="12" s="1"/>
  <c r="E295" i="12"/>
  <c r="E190" i="57"/>
  <c r="C388" i="12" s="1"/>
  <c r="E388" i="12"/>
  <c r="E303" i="57"/>
  <c r="C501" i="12" s="1"/>
  <c r="E501" i="12"/>
  <c r="E201" i="57"/>
  <c r="C399" i="12" s="1"/>
  <c r="E399" i="12"/>
  <c r="E313" i="57"/>
  <c r="C511" i="12" s="1"/>
  <c r="E511" i="12"/>
  <c r="E251" i="57"/>
  <c r="C449" i="12" s="1"/>
  <c r="E449" i="12"/>
  <c r="E65" i="57"/>
  <c r="C283" i="12" s="1"/>
  <c r="E283" i="12"/>
  <c r="E226" i="57"/>
  <c r="C424" i="12" s="1"/>
  <c r="E424" i="12"/>
  <c r="E154" i="57"/>
  <c r="C357" i="12" s="1"/>
  <c r="E357" i="12"/>
  <c r="E30" i="57"/>
  <c r="C253" i="12" s="1"/>
  <c r="E253" i="12"/>
  <c r="E257" i="57"/>
  <c r="C455" i="12" s="1"/>
  <c r="E455" i="12"/>
  <c r="E46" i="57"/>
  <c r="C201" i="12" s="1"/>
  <c r="E201" i="12"/>
  <c r="E60" i="57"/>
  <c r="C278" i="12" s="1"/>
  <c r="E278" i="12"/>
  <c r="E99" i="57"/>
  <c r="C312" i="12" s="1"/>
  <c r="E312" i="12"/>
  <c r="E231" i="57"/>
  <c r="C429" i="12" s="1"/>
  <c r="E429" i="12"/>
  <c r="B294" i="57"/>
  <c r="F294" i="57"/>
  <c r="D492" i="12" s="1"/>
  <c r="A295" i="57"/>
  <c r="G294" i="57"/>
  <c r="E112" i="57"/>
  <c r="C320" i="12" s="1"/>
  <c r="E320" i="12"/>
  <c r="E284" i="57"/>
  <c r="C482" i="12" s="1"/>
  <c r="E482" i="12"/>
  <c r="E299" i="57"/>
  <c r="C497" i="12" s="1"/>
  <c r="E497" i="12"/>
  <c r="E36" i="57"/>
  <c r="C259" i="12" s="1"/>
  <c r="E259" i="12"/>
  <c r="E117" i="57"/>
  <c r="C325" i="12" s="1"/>
  <c r="E325" i="12"/>
  <c r="E169" i="57"/>
  <c r="C220" i="12" s="1"/>
  <c r="E220" i="12"/>
  <c r="E70" i="57"/>
  <c r="C288" i="12" s="1"/>
  <c r="E288" i="12"/>
  <c r="E221" i="57"/>
  <c r="C419" i="12" s="1"/>
  <c r="E419" i="12"/>
  <c r="E279" i="57"/>
  <c r="C477" i="12" s="1"/>
  <c r="E477" i="12"/>
  <c r="E160" i="57"/>
  <c r="C363" i="12" s="1"/>
  <c r="E363" i="12"/>
  <c r="E140" i="57"/>
  <c r="C348" i="12" s="1"/>
  <c r="E348" i="12"/>
  <c r="E123" i="57"/>
  <c r="C331" i="12" s="1"/>
  <c r="E331" i="12"/>
  <c r="E180" i="57"/>
  <c r="C378" i="12" s="1"/>
  <c r="E378" i="12"/>
  <c r="E273" i="57"/>
  <c r="C471" i="12" s="1"/>
  <c r="E471" i="12"/>
  <c r="B93" i="57"/>
  <c r="F93" i="57"/>
  <c r="D306" i="12" s="1"/>
  <c r="A94" i="57"/>
  <c r="G93" i="57"/>
  <c r="F37" i="57"/>
  <c r="D260" i="12" s="1"/>
  <c r="B37" i="57"/>
  <c r="G37" i="57"/>
  <c r="F66" i="57"/>
  <c r="D284" i="12" s="1"/>
  <c r="B66" i="57"/>
  <c r="A67" i="57"/>
  <c r="G66" i="57"/>
  <c r="F47" i="57"/>
  <c r="D202" i="12" s="1"/>
  <c r="G47" i="57"/>
  <c r="B47" i="57"/>
  <c r="B310" i="57"/>
  <c r="F310" i="57"/>
  <c r="D508" i="12" s="1"/>
  <c r="G310" i="57"/>
  <c r="B51" i="57"/>
  <c r="F51" i="57"/>
  <c r="D269" i="12" s="1"/>
  <c r="A52" i="57"/>
  <c r="G51" i="57"/>
  <c r="F151" i="57"/>
  <c r="D227" i="12" s="1"/>
  <c r="B151" i="57"/>
  <c r="G151" i="57"/>
  <c r="B176" i="57"/>
  <c r="G176" i="57"/>
  <c r="F176" i="57"/>
  <c r="D374" i="12" s="1"/>
  <c r="F191" i="57"/>
  <c r="D389" i="12" s="1"/>
  <c r="G191" i="57"/>
  <c r="B191" i="57"/>
  <c r="F212" i="57"/>
  <c r="D410" i="12" s="1"/>
  <c r="B212" i="57"/>
  <c r="A213" i="57"/>
  <c r="G212" i="57"/>
  <c r="F202" i="57"/>
  <c r="D400" i="12" s="1"/>
  <c r="B202" i="57"/>
  <c r="A203" i="57"/>
  <c r="G202" i="57"/>
  <c r="B134" i="57"/>
  <c r="G134" i="57"/>
  <c r="F134" i="57"/>
  <c r="D342" i="12" s="1"/>
  <c r="F88" i="57"/>
  <c r="D216" i="12" s="1"/>
  <c r="A89" i="57"/>
  <c r="G88" i="57"/>
  <c r="B88" i="57"/>
  <c r="F252" i="57"/>
  <c r="D450" i="12" s="1"/>
  <c r="B252" i="57"/>
  <c r="A253" i="57"/>
  <c r="G252" i="57"/>
  <c r="B71" i="57"/>
  <c r="A72" i="57"/>
  <c r="G71" i="57"/>
  <c r="F71" i="57"/>
  <c r="D289" i="12" s="1"/>
  <c r="B218" i="57"/>
  <c r="G218" i="57"/>
  <c r="F218" i="57"/>
  <c r="D416" i="12" s="1"/>
  <c r="A228" i="57"/>
  <c r="G227" i="57"/>
  <c r="B227" i="57"/>
  <c r="F227" i="57"/>
  <c r="D425" i="12" s="1"/>
  <c r="F17" i="57"/>
  <c r="D245" i="12" s="1"/>
  <c r="B17" i="57"/>
  <c r="G17" i="57"/>
  <c r="G280" i="57"/>
  <c r="F280" i="57"/>
  <c r="D478" i="12" s="1"/>
  <c r="B280" i="57"/>
  <c r="F269" i="57"/>
  <c r="D467" i="12" s="1"/>
  <c r="A270" i="57"/>
  <c r="G269" i="57"/>
  <c r="B269" i="57"/>
  <c r="B21" i="57"/>
  <c r="F21" i="57"/>
  <c r="D249" i="12" s="1"/>
  <c r="A22" i="57"/>
  <c r="G21" i="57"/>
  <c r="B300" i="57"/>
  <c r="F300" i="57"/>
  <c r="D498" i="12" s="1"/>
  <c r="G300" i="57"/>
  <c r="B207" i="57"/>
  <c r="A208" i="57"/>
  <c r="G207" i="57"/>
  <c r="F207" i="57"/>
  <c r="D405" i="12" s="1"/>
  <c r="A238" i="57"/>
  <c r="G237" i="57"/>
  <c r="F237" i="57"/>
  <c r="D435" i="12" s="1"/>
  <c r="B237" i="57"/>
  <c r="F78" i="57"/>
  <c r="D296" i="12" s="1"/>
  <c r="G78" i="57"/>
  <c r="B78" i="57"/>
  <c r="A79" i="57"/>
  <c r="F304" i="57"/>
  <c r="D502" i="12" s="1"/>
  <c r="B304" i="57"/>
  <c r="A305" i="57"/>
  <c r="G304" i="57"/>
  <c r="B41" i="57"/>
  <c r="A42" i="57"/>
  <c r="F41" i="57"/>
  <c r="D264" i="12" s="1"/>
  <c r="G41" i="57"/>
  <c r="F27" i="57"/>
  <c r="D207" i="12" s="1"/>
  <c r="B27" i="57"/>
  <c r="G27" i="57"/>
  <c r="B155" i="57"/>
  <c r="A156" i="57"/>
  <c r="G155" i="57"/>
  <c r="F155" i="57"/>
  <c r="D358" i="12" s="1"/>
  <c r="B258" i="57"/>
  <c r="F258" i="57"/>
  <c r="D456" i="12" s="1"/>
  <c r="G258" i="57"/>
  <c r="A290" i="57"/>
  <c r="G289" i="57"/>
  <c r="B289" i="57"/>
  <c r="F289" i="57"/>
  <c r="D487" i="12" s="1"/>
  <c r="B84" i="57"/>
  <c r="F84" i="57"/>
  <c r="D302" i="12" s="1"/>
  <c r="G84" i="57"/>
  <c r="F141" i="57"/>
  <c r="D349" i="12" s="1"/>
  <c r="B141" i="57"/>
  <c r="G141" i="57"/>
  <c r="B124" i="57"/>
  <c r="F124" i="57"/>
  <c r="D332" i="12" s="1"/>
  <c r="G124" i="57"/>
  <c r="F129" i="57"/>
  <c r="D337" i="12" s="1"/>
  <c r="B129" i="57"/>
  <c r="G129" i="57"/>
  <c r="B61" i="57"/>
  <c r="A62" i="57"/>
  <c r="G61" i="57"/>
  <c r="F61" i="57"/>
  <c r="D279" i="12" s="1"/>
  <c r="F181" i="57"/>
  <c r="D379" i="12" s="1"/>
  <c r="G181" i="57"/>
  <c r="B181" i="57"/>
  <c r="F285" i="57"/>
  <c r="D483" i="12" s="1"/>
  <c r="B285" i="57"/>
  <c r="G285" i="57"/>
  <c r="B165" i="57"/>
  <c r="A166" i="57"/>
  <c r="G165" i="57"/>
  <c r="F165" i="57"/>
  <c r="D368" i="12" s="1"/>
  <c r="B103" i="57"/>
  <c r="A104" i="57"/>
  <c r="G103" i="57"/>
  <c r="F103" i="57"/>
  <c r="D316" i="12" s="1"/>
  <c r="F170" i="57"/>
  <c r="D221" i="12" s="1"/>
  <c r="A171" i="57"/>
  <c r="G170" i="57"/>
  <c r="B170" i="57"/>
  <c r="F108" i="57"/>
  <c r="D211" i="12" s="1"/>
  <c r="A109" i="57"/>
  <c r="B108" i="57"/>
  <c r="G108" i="57"/>
  <c r="F56" i="57"/>
  <c r="D274" i="12" s="1"/>
  <c r="B56" i="57"/>
  <c r="A57" i="57"/>
  <c r="G56" i="57"/>
  <c r="B145" i="57"/>
  <c r="A146" i="57"/>
  <c r="F145" i="57"/>
  <c r="D353" i="12" s="1"/>
  <c r="G145" i="57"/>
  <c r="F320" i="57"/>
  <c r="D518" i="12" s="1"/>
  <c r="B320" i="57"/>
  <c r="G320" i="57"/>
  <c r="B242" i="57"/>
  <c r="F242" i="57"/>
  <c r="D440" i="12" s="1"/>
  <c r="G242" i="57"/>
  <c r="A243" i="57"/>
  <c r="B195" i="57"/>
  <c r="F195" i="57"/>
  <c r="D393" i="12" s="1"/>
  <c r="A196" i="57"/>
  <c r="G195" i="57"/>
  <c r="F118" i="57"/>
  <c r="D326" i="12" s="1"/>
  <c r="G118" i="57"/>
  <c r="B118" i="57"/>
  <c r="A119" i="57"/>
  <c r="B314" i="57"/>
  <c r="F314" i="57"/>
  <c r="D512" i="12" s="1"/>
  <c r="G314" i="57"/>
  <c r="A315" i="57"/>
  <c r="F222" i="57"/>
  <c r="D420" i="12" s="1"/>
  <c r="A223" i="57"/>
  <c r="G222" i="57"/>
  <c r="B222" i="57"/>
  <c r="B31" i="57"/>
  <c r="A32" i="57"/>
  <c r="G31" i="57"/>
  <c r="F31" i="57"/>
  <c r="D254" i="12" s="1"/>
  <c r="F161" i="57"/>
  <c r="D364" i="12" s="1"/>
  <c r="G161" i="57"/>
  <c r="B161" i="57"/>
  <c r="E195" i="57" l="1"/>
  <c r="C393" i="12" s="1"/>
  <c r="E393" i="12"/>
  <c r="E145" i="57"/>
  <c r="C353" i="12" s="1"/>
  <c r="E353" i="12"/>
  <c r="E56" i="57"/>
  <c r="C274" i="12" s="1"/>
  <c r="E274" i="12"/>
  <c r="E108" i="57"/>
  <c r="C211" i="12" s="1"/>
  <c r="E211" i="12"/>
  <c r="E170" i="57"/>
  <c r="C221" i="12" s="1"/>
  <c r="E221" i="12"/>
  <c r="E103" i="57"/>
  <c r="C316" i="12" s="1"/>
  <c r="E316" i="12"/>
  <c r="E165" i="57"/>
  <c r="C368" i="12" s="1"/>
  <c r="E368" i="12"/>
  <c r="E285" i="57"/>
  <c r="C483" i="12" s="1"/>
  <c r="E483" i="12"/>
  <c r="E61" i="57"/>
  <c r="C279" i="12" s="1"/>
  <c r="E279" i="12"/>
  <c r="E289" i="57"/>
  <c r="C487" i="12" s="1"/>
  <c r="E487" i="12"/>
  <c r="E41" i="57"/>
  <c r="C264" i="12" s="1"/>
  <c r="E264" i="12"/>
  <c r="E269" i="57"/>
  <c r="C467" i="12" s="1"/>
  <c r="E467" i="12"/>
  <c r="E17" i="57"/>
  <c r="C245" i="12" s="1"/>
  <c r="E245" i="12"/>
  <c r="E176" i="57"/>
  <c r="C374" i="12" s="1"/>
  <c r="E374" i="12"/>
  <c r="E151" i="57"/>
  <c r="C227" i="12" s="1"/>
  <c r="E227" i="12"/>
  <c r="E47" i="57"/>
  <c r="C202" i="12" s="1"/>
  <c r="E202" i="12"/>
  <c r="E93" i="57"/>
  <c r="C306" i="12" s="1"/>
  <c r="E306" i="12"/>
  <c r="G295" i="57"/>
  <c r="B295" i="57"/>
  <c r="F295" i="57"/>
  <c r="D493" i="12" s="1"/>
  <c r="G114" i="57"/>
  <c r="F114" i="57"/>
  <c r="D322" i="12" s="1"/>
  <c r="B114" i="57"/>
  <c r="E31" i="57"/>
  <c r="C254" i="12" s="1"/>
  <c r="E254" i="12"/>
  <c r="E118" i="57"/>
  <c r="C326" i="12" s="1"/>
  <c r="E326" i="12"/>
  <c r="E242" i="57"/>
  <c r="C440" i="12" s="1"/>
  <c r="E440" i="12"/>
  <c r="E84" i="57"/>
  <c r="C302" i="12" s="1"/>
  <c r="E302" i="12"/>
  <c r="E155" i="57"/>
  <c r="C358" i="12" s="1"/>
  <c r="E358" i="12"/>
  <c r="E27" i="57"/>
  <c r="C207" i="12" s="1"/>
  <c r="E207" i="12"/>
  <c r="E78" i="57"/>
  <c r="C296" i="12" s="1"/>
  <c r="E296" i="12"/>
  <c r="E300" i="57"/>
  <c r="C498" i="12" s="1"/>
  <c r="E498" i="12"/>
  <c r="E218" i="57"/>
  <c r="C416" i="12" s="1"/>
  <c r="E416" i="12"/>
  <c r="E202" i="57"/>
  <c r="C400" i="12" s="1"/>
  <c r="E400" i="12"/>
  <c r="E66" i="57"/>
  <c r="C284" i="12" s="1"/>
  <c r="E284" i="12"/>
  <c r="E37" i="57"/>
  <c r="C260" i="12" s="1"/>
  <c r="E260" i="12"/>
  <c r="E113" i="57"/>
  <c r="C321" i="12" s="1"/>
  <c r="E321" i="12"/>
  <c r="E232" i="57"/>
  <c r="C430" i="12" s="1"/>
  <c r="E430" i="12"/>
  <c r="E161" i="57"/>
  <c r="C364" i="12" s="1"/>
  <c r="E364" i="12"/>
  <c r="E314" i="57"/>
  <c r="C512" i="12" s="1"/>
  <c r="E512" i="12"/>
  <c r="E141" i="57"/>
  <c r="C349" i="12" s="1"/>
  <c r="E349" i="12"/>
  <c r="E258" i="57"/>
  <c r="C456" i="12" s="1"/>
  <c r="E456" i="12"/>
  <c r="E304" i="57"/>
  <c r="C502" i="12" s="1"/>
  <c r="E502" i="12"/>
  <c r="E237" i="57"/>
  <c r="C435" i="12" s="1"/>
  <c r="E435" i="12"/>
  <c r="E207" i="57"/>
  <c r="C405" i="12" s="1"/>
  <c r="E405" i="12"/>
  <c r="E227" i="57"/>
  <c r="C425" i="12" s="1"/>
  <c r="E425" i="12"/>
  <c r="E71" i="57"/>
  <c r="C289" i="12" s="1"/>
  <c r="E289" i="12"/>
  <c r="E212" i="57"/>
  <c r="C410" i="12" s="1"/>
  <c r="E410" i="12"/>
  <c r="E51" i="57"/>
  <c r="C269" i="12" s="1"/>
  <c r="E269" i="12"/>
  <c r="E310" i="57"/>
  <c r="C508" i="12" s="1"/>
  <c r="E508" i="12"/>
  <c r="B233" i="57"/>
  <c r="G233" i="57"/>
  <c r="F233" i="57"/>
  <c r="D431" i="12" s="1"/>
  <c r="E274" i="57"/>
  <c r="C472" i="12" s="1"/>
  <c r="E472" i="12"/>
  <c r="E222" i="57"/>
  <c r="C420" i="12" s="1"/>
  <c r="E420" i="12"/>
  <c r="E320" i="57"/>
  <c r="C518" i="12" s="1"/>
  <c r="E518" i="12"/>
  <c r="E181" i="57"/>
  <c r="C379" i="12" s="1"/>
  <c r="E379" i="12"/>
  <c r="E129" i="57"/>
  <c r="C337" i="12" s="1"/>
  <c r="E337" i="12"/>
  <c r="E124" i="57"/>
  <c r="C332" i="12" s="1"/>
  <c r="E332" i="12"/>
  <c r="E21" i="57"/>
  <c r="C249" i="12" s="1"/>
  <c r="E249" i="12"/>
  <c r="E280" i="57"/>
  <c r="C478" i="12" s="1"/>
  <c r="E478" i="12"/>
  <c r="E252" i="57"/>
  <c r="C450" i="12" s="1"/>
  <c r="E450" i="12"/>
  <c r="E88" i="57"/>
  <c r="C216" i="12" s="1"/>
  <c r="E216" i="12"/>
  <c r="E134" i="57"/>
  <c r="C342" i="12" s="1"/>
  <c r="E342" i="12"/>
  <c r="E191" i="57"/>
  <c r="C389" i="12" s="1"/>
  <c r="E389" i="12"/>
  <c r="E294" i="57"/>
  <c r="C492" i="12" s="1"/>
  <c r="E492" i="12"/>
  <c r="G275" i="57"/>
  <c r="F275" i="57"/>
  <c r="D473" i="12" s="1"/>
  <c r="B275" i="57"/>
  <c r="F305" i="57"/>
  <c r="D503" i="12" s="1"/>
  <c r="B305" i="57"/>
  <c r="G305" i="57"/>
  <c r="F79" i="57"/>
  <c r="D297" i="12" s="1"/>
  <c r="G79" i="57"/>
  <c r="B79" i="57"/>
  <c r="B208" i="57"/>
  <c r="G208" i="57"/>
  <c r="F208" i="57"/>
  <c r="D406" i="12" s="1"/>
  <c r="F223" i="57"/>
  <c r="D421" i="12" s="1"/>
  <c r="G223" i="57"/>
  <c r="B223" i="57"/>
  <c r="B22" i="57"/>
  <c r="G22" i="57"/>
  <c r="F22" i="57"/>
  <c r="D250" i="12" s="1"/>
  <c r="G228" i="57"/>
  <c r="F228" i="57"/>
  <c r="D426" i="12" s="1"/>
  <c r="B228" i="57"/>
  <c r="B72" i="57"/>
  <c r="G72" i="57"/>
  <c r="F72" i="57"/>
  <c r="D290" i="12" s="1"/>
  <c r="F203" i="57"/>
  <c r="D401" i="12" s="1"/>
  <c r="B203" i="57"/>
  <c r="G203" i="57"/>
  <c r="B315" i="57"/>
  <c r="F315" i="57"/>
  <c r="D513" i="12" s="1"/>
  <c r="G315" i="57"/>
  <c r="B196" i="57"/>
  <c r="F196" i="57"/>
  <c r="D394" i="12" s="1"/>
  <c r="G196" i="57"/>
  <c r="F57" i="57"/>
  <c r="D275" i="12" s="1"/>
  <c r="B57" i="57"/>
  <c r="G57" i="57"/>
  <c r="F171" i="57"/>
  <c r="D222" i="12" s="1"/>
  <c r="G171" i="57"/>
  <c r="B171" i="57"/>
  <c r="B104" i="57"/>
  <c r="G104" i="57"/>
  <c r="F104" i="57"/>
  <c r="D317" i="12" s="1"/>
  <c r="B166" i="57"/>
  <c r="G166" i="57"/>
  <c r="F166" i="57"/>
  <c r="D369" i="12" s="1"/>
  <c r="B62" i="57"/>
  <c r="G62" i="57"/>
  <c r="F62" i="57"/>
  <c r="D280" i="12" s="1"/>
  <c r="G290" i="57"/>
  <c r="B290" i="57"/>
  <c r="F290" i="57"/>
  <c r="D488" i="12" s="1"/>
  <c r="F270" i="57"/>
  <c r="D468" i="12" s="1"/>
  <c r="G270" i="57"/>
  <c r="B270" i="57"/>
  <c r="F253" i="57"/>
  <c r="D451" i="12" s="1"/>
  <c r="B253" i="57"/>
  <c r="G253" i="57"/>
  <c r="F89" i="57"/>
  <c r="D217" i="12" s="1"/>
  <c r="G89" i="57"/>
  <c r="B89" i="57"/>
  <c r="F213" i="57"/>
  <c r="D411" i="12" s="1"/>
  <c r="B213" i="57"/>
  <c r="G213" i="57"/>
  <c r="B94" i="57"/>
  <c r="G94" i="57"/>
  <c r="F94" i="57"/>
  <c r="D307" i="12" s="1"/>
  <c r="B32" i="57"/>
  <c r="F32" i="57"/>
  <c r="D255" i="12" s="1"/>
  <c r="G32" i="57"/>
  <c r="F119" i="57"/>
  <c r="D327" i="12" s="1"/>
  <c r="G119" i="57"/>
  <c r="B119" i="57"/>
  <c r="G238" i="57"/>
  <c r="B238" i="57"/>
  <c r="F238" i="57"/>
  <c r="D436" i="12" s="1"/>
  <c r="B243" i="57"/>
  <c r="F243" i="57"/>
  <c r="D441" i="12" s="1"/>
  <c r="G243" i="57"/>
  <c r="B146" i="57"/>
  <c r="G146" i="57"/>
  <c r="F146" i="57"/>
  <c r="D354" i="12" s="1"/>
  <c r="F109" i="57"/>
  <c r="D212" i="12" s="1"/>
  <c r="G109" i="57"/>
  <c r="B109" i="57"/>
  <c r="B156" i="57"/>
  <c r="G156" i="57"/>
  <c r="F156" i="57"/>
  <c r="D359" i="12" s="1"/>
  <c r="B42" i="57"/>
  <c r="F42" i="57"/>
  <c r="D265" i="12" s="1"/>
  <c r="G42" i="57"/>
  <c r="B52" i="57"/>
  <c r="F52" i="57"/>
  <c r="D270" i="12" s="1"/>
  <c r="G52" i="57"/>
  <c r="F67" i="57"/>
  <c r="D285" i="12" s="1"/>
  <c r="B67" i="57"/>
  <c r="G67" i="57"/>
  <c r="E52" i="57" l="1"/>
  <c r="C270" i="12" s="1"/>
  <c r="E270" i="12"/>
  <c r="E171" i="57"/>
  <c r="C222" i="12" s="1"/>
  <c r="E222" i="12"/>
  <c r="E57" i="57"/>
  <c r="C275" i="12" s="1"/>
  <c r="E275" i="12"/>
  <c r="E223" i="57"/>
  <c r="C421" i="12" s="1"/>
  <c r="E421" i="12"/>
  <c r="E79" i="57"/>
  <c r="C297" i="12" s="1"/>
  <c r="E297" i="12"/>
  <c r="E233" i="57"/>
  <c r="C431" i="12" s="1"/>
  <c r="E431" i="12"/>
  <c r="E42" i="57"/>
  <c r="C265" i="12" s="1"/>
  <c r="E265" i="12"/>
  <c r="E238" i="57"/>
  <c r="C436" i="12" s="1"/>
  <c r="E436" i="12"/>
  <c r="E119" i="57"/>
  <c r="C327" i="12" s="1"/>
  <c r="E327" i="12"/>
  <c r="E213" i="57"/>
  <c r="C411" i="12" s="1"/>
  <c r="E411" i="12"/>
  <c r="E89" i="57"/>
  <c r="C217" i="12" s="1"/>
  <c r="E217" i="12"/>
  <c r="E62" i="57"/>
  <c r="C280" i="12" s="1"/>
  <c r="E280" i="12"/>
  <c r="E104" i="57"/>
  <c r="C317" i="12" s="1"/>
  <c r="E317" i="12"/>
  <c r="E196" i="57"/>
  <c r="C394" i="12" s="1"/>
  <c r="E394" i="12"/>
  <c r="E203" i="57"/>
  <c r="C401" i="12" s="1"/>
  <c r="E401" i="12"/>
  <c r="E228" i="57"/>
  <c r="C426" i="12" s="1"/>
  <c r="E426" i="12"/>
  <c r="E208" i="57"/>
  <c r="C406" i="12" s="1"/>
  <c r="E406" i="12"/>
  <c r="E295" i="57"/>
  <c r="C493" i="12" s="1"/>
  <c r="E493" i="12"/>
  <c r="E67" i="57"/>
  <c r="C285" i="12" s="1"/>
  <c r="E285" i="12"/>
  <c r="E109" i="57"/>
  <c r="C212" i="12" s="1"/>
  <c r="E212" i="12"/>
  <c r="E166" i="57"/>
  <c r="C369" i="12" s="1"/>
  <c r="E369" i="12"/>
  <c r="E315" i="57"/>
  <c r="C513" i="12" s="1"/>
  <c r="E513" i="12"/>
  <c r="E305" i="57"/>
  <c r="C503" i="12" s="1"/>
  <c r="E503" i="12"/>
  <c r="E114" i="57"/>
  <c r="C322" i="12" s="1"/>
  <c r="E322" i="12"/>
  <c r="E156" i="57"/>
  <c r="C359" i="12" s="1"/>
  <c r="E359" i="12"/>
  <c r="E146" i="57"/>
  <c r="C354" i="12" s="1"/>
  <c r="E354" i="12"/>
  <c r="E243" i="57"/>
  <c r="C441" i="12" s="1"/>
  <c r="E441" i="12"/>
  <c r="E32" i="57"/>
  <c r="C255" i="12" s="1"/>
  <c r="E255" i="12"/>
  <c r="E94" i="57"/>
  <c r="C307" i="12" s="1"/>
  <c r="E307" i="12"/>
  <c r="E253" i="57"/>
  <c r="C451" i="12" s="1"/>
  <c r="E451" i="12"/>
  <c r="E270" i="57"/>
  <c r="C468" i="12" s="1"/>
  <c r="E468" i="12"/>
  <c r="E290" i="57"/>
  <c r="C488" i="12" s="1"/>
  <c r="E488" i="12"/>
  <c r="E72" i="57"/>
  <c r="C290" i="12" s="1"/>
  <c r="E290" i="12"/>
  <c r="E22" i="57"/>
  <c r="C250" i="12" s="1"/>
  <c r="E250" i="12"/>
  <c r="E275" i="57"/>
  <c r="C473" i="12" s="1"/>
  <c r="E473" i="12"/>
  <c r="B796" i="11" l="1"/>
  <c r="C796" i="11"/>
  <c r="C1379" i="11" l="1"/>
  <c r="C1378" i="11"/>
  <c r="C1377" i="11"/>
  <c r="C1376" i="11"/>
  <c r="C1375" i="11"/>
  <c r="C1374" i="11"/>
  <c r="C1373" i="11"/>
  <c r="C1372" i="11"/>
  <c r="C1371" i="11"/>
  <c r="C1370" i="11"/>
  <c r="C1369" i="11"/>
  <c r="C1368" i="11"/>
  <c r="C1367" i="11"/>
  <c r="D1370" i="11" l="1"/>
  <c r="D1374" i="11"/>
  <c r="D1378" i="11"/>
  <c r="D1371" i="11"/>
  <c r="D1375" i="11"/>
  <c r="D1379" i="11"/>
  <c r="D1367" i="11"/>
  <c r="D1372" i="11"/>
  <c r="D1376" i="11"/>
  <c r="D1369" i="11"/>
  <c r="D1373" i="11"/>
  <c r="D1377" i="11"/>
  <c r="D1368" i="11"/>
  <c r="D1966" i="11"/>
  <c r="D1965" i="11"/>
  <c r="D1964" i="11"/>
  <c r="D1963" i="11"/>
  <c r="D1962" i="11"/>
  <c r="D1961" i="11"/>
  <c r="D1960" i="11"/>
  <c r="D1959" i="11"/>
  <c r="D1958" i="11"/>
  <c r="D1957" i="11"/>
  <c r="D1956" i="11"/>
  <c r="D1955" i="11"/>
  <c r="D1954" i="11"/>
  <c r="D1952" i="11"/>
  <c r="D1951" i="11"/>
  <c r="D1950" i="11"/>
  <c r="D1949" i="11"/>
  <c r="D1948" i="11"/>
  <c r="D1947" i="11"/>
  <c r="D1946" i="11"/>
  <c r="D1945" i="11"/>
  <c r="D1944" i="11"/>
  <c r="D1943" i="11"/>
  <c r="D1942" i="11"/>
  <c r="D1941" i="11"/>
  <c r="D2018" i="11"/>
  <c r="D1953" i="11"/>
  <c r="C1291" i="11"/>
  <c r="C1930" i="11" s="1"/>
  <c r="C1405" i="11"/>
  <c r="C1404" i="11"/>
  <c r="C1403" i="11"/>
  <c r="C1402" i="11"/>
  <c r="C1401" i="11"/>
  <c r="C1400" i="11"/>
  <c r="C1399" i="11"/>
  <c r="C1398" i="11"/>
  <c r="C1397" i="11"/>
  <c r="C1396" i="11"/>
  <c r="C1395" i="11"/>
  <c r="C1394" i="11"/>
  <c r="C1393" i="11"/>
  <c r="C2084" i="11"/>
  <c r="D2084" i="11"/>
  <c r="C2085" i="11"/>
  <c r="D2085" i="11"/>
  <c r="C2086" i="11"/>
  <c r="D2086" i="11"/>
  <c r="C2087" i="11"/>
  <c r="D2087" i="11"/>
  <c r="C2088" i="11"/>
  <c r="D2088" i="11"/>
  <c r="C2089" i="11"/>
  <c r="D2089" i="11"/>
  <c r="C2090" i="11"/>
  <c r="D2090" i="11"/>
  <c r="C2091" i="11"/>
  <c r="D2091" i="11"/>
  <c r="C2092" i="11"/>
  <c r="D2092" i="11"/>
  <c r="C2093" i="11"/>
  <c r="D2093" i="11"/>
  <c r="C2094" i="11"/>
  <c r="D2094" i="11"/>
  <c r="C2095" i="11"/>
  <c r="D2095" i="11"/>
  <c r="C2096" i="11"/>
  <c r="D2096" i="11"/>
  <c r="C2097" i="11"/>
  <c r="D2097" i="11"/>
  <c r="C2098" i="11"/>
  <c r="D2098" i="11"/>
  <c r="C2099" i="11"/>
  <c r="D2099" i="11"/>
  <c r="C2100" i="11"/>
  <c r="D2100" i="11"/>
  <c r="C2101" i="11"/>
  <c r="D2101" i="11"/>
  <c r="C2102" i="11"/>
  <c r="D2102" i="11"/>
  <c r="C2103" i="11"/>
  <c r="D2103" i="11"/>
  <c r="C2104" i="11"/>
  <c r="D2104" i="11"/>
  <c r="C2105" i="11"/>
  <c r="D2105" i="11"/>
  <c r="C2106" i="11"/>
  <c r="D2106" i="11"/>
  <c r="C2107" i="11"/>
  <c r="D2107" i="11"/>
  <c r="C2108" i="11"/>
  <c r="D2108" i="11"/>
  <c r="C2109" i="11"/>
  <c r="D2109" i="11"/>
  <c r="C2110" i="11"/>
  <c r="D2110" i="11"/>
  <c r="C2111" i="11"/>
  <c r="D2111" i="11"/>
  <c r="C2112" i="11"/>
  <c r="D2112" i="11"/>
  <c r="C2113" i="11"/>
  <c r="D2113" i="11"/>
  <c r="C2114" i="11"/>
  <c r="D2114" i="11"/>
  <c r="C2115" i="11"/>
  <c r="D2115" i="11"/>
  <c r="C2116" i="11"/>
  <c r="D2116" i="11"/>
  <c r="C2117" i="11"/>
  <c r="D2117" i="11"/>
  <c r="C2118" i="11"/>
  <c r="D2118" i="11"/>
  <c r="C2119" i="11"/>
  <c r="D2119" i="11"/>
  <c r="C2120" i="11"/>
  <c r="D2120" i="11"/>
  <c r="C2121" i="11"/>
  <c r="D2121" i="11"/>
  <c r="C2122" i="11"/>
  <c r="D2122" i="11"/>
  <c r="C2123" i="11"/>
  <c r="D2123" i="11"/>
  <c r="C2124" i="11"/>
  <c r="D2124" i="11"/>
  <c r="C2125" i="11"/>
  <c r="D2125" i="11"/>
  <c r="C2126" i="11"/>
  <c r="D2126" i="11"/>
  <c r="C2127" i="11"/>
  <c r="D2127" i="11"/>
  <c r="C2128" i="11"/>
  <c r="D2128" i="11"/>
  <c r="C2129" i="11"/>
  <c r="D2129" i="11"/>
  <c r="C2130" i="11"/>
  <c r="D2130" i="11"/>
  <c r="C2131" i="11"/>
  <c r="D2131" i="11"/>
  <c r="C2132" i="11"/>
  <c r="D2132" i="11"/>
  <c r="C2133" i="11"/>
  <c r="D2133" i="11"/>
  <c r="C2134" i="11"/>
  <c r="D2134" i="11"/>
  <c r="C2135" i="11"/>
  <c r="D2135" i="11"/>
  <c r="C2136" i="11"/>
  <c r="D2136" i="11"/>
  <c r="C2137" i="11"/>
  <c r="D2137" i="11"/>
  <c r="C2138" i="11"/>
  <c r="D2138" i="11"/>
  <c r="C2139" i="11"/>
  <c r="D2139" i="11"/>
  <c r="C2140" i="11"/>
  <c r="D2140" i="11"/>
  <c r="C2141" i="11"/>
  <c r="D2141" i="11"/>
  <c r="C2142" i="11"/>
  <c r="D2142" i="11"/>
  <c r="C2143" i="11"/>
  <c r="D2143" i="11"/>
  <c r="C2144" i="11"/>
  <c r="D2144" i="11"/>
  <c r="C2145" i="11"/>
  <c r="D2145" i="11"/>
  <c r="C2146" i="11"/>
  <c r="D2146" i="11"/>
  <c r="C2147" i="11"/>
  <c r="D2147" i="11"/>
  <c r="C2148" i="11"/>
  <c r="D2148" i="11"/>
  <c r="C2149" i="11"/>
  <c r="D2149" i="11"/>
  <c r="C2150" i="11"/>
  <c r="D2150" i="11"/>
  <c r="C2151" i="11"/>
  <c r="D2151" i="11"/>
  <c r="C2152" i="11"/>
  <c r="D2152" i="11"/>
  <c r="C2153" i="11"/>
  <c r="D2153" i="11"/>
  <c r="C2154" i="11"/>
  <c r="D2154" i="11"/>
  <c r="C2155" i="11"/>
  <c r="D2155" i="11"/>
  <c r="C2156" i="11"/>
  <c r="D2156" i="11"/>
  <c r="C2157" i="11"/>
  <c r="D2157" i="11"/>
  <c r="C2158" i="11"/>
  <c r="D2158" i="11"/>
  <c r="C2159" i="11"/>
  <c r="D2159" i="11"/>
  <c r="C2160" i="11"/>
  <c r="D2160" i="11"/>
  <c r="C2161" i="11"/>
  <c r="D2161" i="11"/>
  <c r="C2162" i="11"/>
  <c r="D2162" i="11"/>
  <c r="C2163" i="11"/>
  <c r="D2163" i="11"/>
  <c r="C2164" i="11"/>
  <c r="D2164" i="11"/>
  <c r="C2165" i="11"/>
  <c r="D2165" i="11"/>
  <c r="C2166" i="11"/>
  <c r="D2166" i="11"/>
  <c r="C2167" i="11"/>
  <c r="D2167" i="11"/>
  <c r="C2168" i="11"/>
  <c r="D2168" i="11"/>
  <c r="C2169" i="11"/>
  <c r="D2169" i="11"/>
  <c r="C2170" i="11"/>
  <c r="D2170" i="11"/>
  <c r="C2171" i="11"/>
  <c r="D2171" i="11"/>
  <c r="C2172" i="11"/>
  <c r="D2172" i="11"/>
  <c r="C2173" i="11"/>
  <c r="D2173" i="11"/>
  <c r="C2174" i="11"/>
  <c r="D2174" i="11"/>
  <c r="C1288" i="11"/>
  <c r="C1287" i="11"/>
  <c r="C1286" i="11"/>
  <c r="C1285" i="11"/>
  <c r="C1284" i="11"/>
  <c r="C1283" i="11"/>
  <c r="C1282" i="11"/>
  <c r="C1281" i="11"/>
  <c r="C1280" i="11"/>
  <c r="C1279" i="11"/>
  <c r="C1278" i="11"/>
  <c r="C1277" i="11"/>
  <c r="C1276" i="11"/>
  <c r="C1444" i="11"/>
  <c r="C1443" i="11"/>
  <c r="C1442" i="11"/>
  <c r="C1441" i="11"/>
  <c r="C1440" i="11"/>
  <c r="C1439" i="11"/>
  <c r="C1438" i="11"/>
  <c r="C1437" i="11"/>
  <c r="C1436" i="11"/>
  <c r="C1435" i="11"/>
  <c r="C1434" i="11"/>
  <c r="C1433" i="11"/>
  <c r="C1432" i="11"/>
  <c r="D2081" i="11"/>
  <c r="C2072" i="11" l="1"/>
  <c r="C1915" i="11"/>
  <c r="C1927" i="11"/>
  <c r="C2033" i="11"/>
  <c r="C2041" i="11"/>
  <c r="C2078" i="11"/>
  <c r="C2071" i="11"/>
  <c r="C2075" i="11"/>
  <c r="C2079" i="11"/>
  <c r="C2083" i="11"/>
  <c r="C1918" i="11"/>
  <c r="C1922" i="11"/>
  <c r="C1926" i="11"/>
  <c r="C2032" i="11"/>
  <c r="C2036" i="11"/>
  <c r="C2040" i="11"/>
  <c r="C2044" i="11"/>
  <c r="C2076" i="11"/>
  <c r="C1919" i="11"/>
  <c r="C2073" i="11"/>
  <c r="C2077" i="11"/>
  <c r="C2081" i="11"/>
  <c r="C1916" i="11"/>
  <c r="C1920" i="11"/>
  <c r="C1924" i="11"/>
  <c r="C2034" i="11"/>
  <c r="C2038" i="11"/>
  <c r="C2042" i="11"/>
  <c r="C2080" i="11"/>
  <c r="C1923" i="11"/>
  <c r="C2037" i="11"/>
  <c r="C2074" i="11"/>
  <c r="C2082" i="11"/>
  <c r="C1917" i="11"/>
  <c r="C1921" i="11"/>
  <c r="C1925" i="11"/>
  <c r="C2035" i="11"/>
  <c r="C2039" i="11"/>
  <c r="C2043" i="11"/>
  <c r="D2078" i="11"/>
  <c r="D1927" i="11"/>
  <c r="D2013" i="11"/>
  <c r="D1924" i="11"/>
  <c r="D1921" i="11"/>
  <c r="D1923" i="11"/>
  <c r="D1920" i="11"/>
  <c r="D2038" i="11"/>
  <c r="D2042" i="11"/>
  <c r="D2076" i="11"/>
  <c r="D2083" i="11"/>
  <c r="D1925" i="11"/>
  <c r="D2037" i="11"/>
  <c r="D2039" i="11"/>
  <c r="D2077" i="11"/>
  <c r="D2014" i="11"/>
  <c r="D1922" i="11"/>
  <c r="D2040" i="11"/>
  <c r="D2044" i="11"/>
  <c r="D2079" i="11"/>
  <c r="D2011" i="11"/>
  <c r="D2015" i="11"/>
  <c r="D2041" i="11"/>
  <c r="D2080" i="11"/>
  <c r="D2012" i="11"/>
  <c r="D2016" i="11"/>
  <c r="D2005" i="11"/>
  <c r="D2003" i="11"/>
  <c r="D2001" i="11"/>
  <c r="D2000" i="11"/>
  <c r="C1366" i="11"/>
  <c r="C1365" i="11"/>
  <c r="C1364" i="11"/>
  <c r="C1363" i="11"/>
  <c r="C1362" i="11"/>
  <c r="C1361" i="11"/>
  <c r="C1360" i="11"/>
  <c r="C1359" i="11"/>
  <c r="C1358" i="11"/>
  <c r="C1357" i="11"/>
  <c r="C1356" i="11"/>
  <c r="C1355" i="11"/>
  <c r="C1354" i="11"/>
  <c r="D603" i="11"/>
  <c r="D628" i="11"/>
  <c r="C603" i="11"/>
  <c r="C628" i="11"/>
  <c r="D378" i="10"/>
  <c r="D377" i="10"/>
  <c r="D376" i="10"/>
  <c r="D375" i="10"/>
  <c r="D374" i="10"/>
  <c r="C142" i="10"/>
  <c r="C141" i="10"/>
  <c r="C140" i="10"/>
  <c r="C139" i="10"/>
  <c r="C138" i="10"/>
  <c r="C137" i="10"/>
  <c r="C136" i="10"/>
  <c r="C135" i="10"/>
  <c r="C134" i="10"/>
  <c r="C133" i="10"/>
  <c r="C132" i="10"/>
  <c r="C131" i="10"/>
  <c r="C130" i="10"/>
  <c r="B2074" i="11" l="1"/>
  <c r="B2073" i="11"/>
  <c r="B2075" i="11"/>
  <c r="B2033" i="11"/>
  <c r="B2043" i="11"/>
  <c r="B1916" i="11"/>
  <c r="B1919" i="11"/>
  <c r="B2036" i="11"/>
  <c r="B1918" i="11"/>
  <c r="B2071" i="11"/>
  <c r="B1917" i="11"/>
  <c r="B2034" i="11"/>
  <c r="B2032" i="11"/>
  <c r="B1915" i="11"/>
  <c r="B2035" i="11"/>
  <c r="B2082" i="11"/>
  <c r="B1926" i="11"/>
  <c r="B2072" i="11"/>
  <c r="E44" i="58"/>
  <c r="E148" i="58"/>
  <c r="E96" i="58"/>
  <c r="E122" i="58"/>
  <c r="E70" i="58"/>
  <c r="E157" i="58"/>
  <c r="E105" i="58"/>
  <c r="E103" i="58"/>
  <c r="E78" i="58"/>
  <c r="E53" i="58"/>
  <c r="E52" i="58"/>
  <c r="E50" i="58"/>
  <c r="E156" i="58"/>
  <c r="E154" i="58"/>
  <c r="E131" i="58"/>
  <c r="E129" i="58"/>
  <c r="E76" i="58"/>
  <c r="E128" i="58"/>
  <c r="E104" i="58"/>
  <c r="E79" i="58"/>
  <c r="E77" i="58"/>
  <c r="E155" i="58"/>
  <c r="E130" i="58"/>
  <c r="E51" i="58"/>
  <c r="E102" i="58"/>
  <c r="E163" i="58"/>
  <c r="E161" i="58"/>
  <c r="E162" i="58"/>
  <c r="E111" i="58"/>
  <c r="E109" i="58"/>
  <c r="E84" i="58"/>
  <c r="E82" i="58"/>
  <c r="E59" i="58"/>
  <c r="E56" i="58"/>
  <c r="E137" i="58"/>
  <c r="E135" i="58"/>
  <c r="E57" i="58"/>
  <c r="E136" i="58"/>
  <c r="E160" i="58"/>
  <c r="E108" i="58"/>
  <c r="E83" i="58"/>
  <c r="E134" i="58"/>
  <c r="E110" i="58"/>
  <c r="E85" i="58"/>
  <c r="E58" i="58"/>
  <c r="E142" i="58"/>
  <c r="E90" i="58"/>
  <c r="E64" i="58"/>
  <c r="E38" i="58"/>
  <c r="E116" i="58"/>
  <c r="E97" i="58"/>
  <c r="E71" i="58"/>
  <c r="E123" i="58"/>
  <c r="E149" i="58"/>
  <c r="E45" i="58"/>
  <c r="E80" i="58"/>
  <c r="E54" i="58"/>
  <c r="E158" i="58"/>
  <c r="E106" i="58"/>
  <c r="E132" i="58"/>
  <c r="E88" i="58"/>
  <c r="E114" i="58"/>
  <c r="E62" i="58"/>
  <c r="E140" i="58"/>
  <c r="E166" i="58"/>
  <c r="D131" i="10"/>
  <c r="E91" i="58"/>
  <c r="E39" i="58"/>
  <c r="E117" i="58"/>
  <c r="E65" i="58"/>
  <c r="E143" i="58"/>
  <c r="E150" i="58"/>
  <c r="E72" i="58"/>
  <c r="E98" i="58"/>
  <c r="E124" i="58"/>
  <c r="E46" i="58"/>
  <c r="D139" i="10"/>
  <c r="E159" i="58"/>
  <c r="E107" i="58"/>
  <c r="E133" i="58"/>
  <c r="E81" i="58"/>
  <c r="E55" i="58"/>
  <c r="D130" i="10"/>
  <c r="E95" i="58"/>
  <c r="E93" i="58"/>
  <c r="E69" i="58"/>
  <c r="E146" i="58"/>
  <c r="E144" i="58"/>
  <c r="E121" i="58"/>
  <c r="E119" i="58"/>
  <c r="E67" i="58"/>
  <c r="E42" i="58"/>
  <c r="E145" i="58"/>
  <c r="E120" i="58"/>
  <c r="E147" i="58"/>
  <c r="E40" i="58"/>
  <c r="E92" i="58"/>
  <c r="E66" i="58"/>
  <c r="E41" i="58"/>
  <c r="E118" i="58"/>
  <c r="E94" i="58"/>
  <c r="E68" i="58"/>
  <c r="E43" i="58"/>
  <c r="E101" i="58"/>
  <c r="E99" i="58"/>
  <c r="E75" i="58"/>
  <c r="E73" i="58"/>
  <c r="E48" i="58"/>
  <c r="E152" i="58"/>
  <c r="E127" i="58"/>
  <c r="E125" i="58"/>
  <c r="E153" i="58"/>
  <c r="E49" i="58"/>
  <c r="E74" i="58"/>
  <c r="E100" i="58"/>
  <c r="E151" i="58"/>
  <c r="E126" i="58"/>
  <c r="E47" i="58"/>
  <c r="E165" i="58"/>
  <c r="E86" i="58"/>
  <c r="E61" i="58"/>
  <c r="E164" i="58"/>
  <c r="E139" i="58"/>
  <c r="E112" i="58"/>
  <c r="E87" i="58"/>
  <c r="E138" i="58"/>
  <c r="E113" i="58"/>
  <c r="E60" i="58"/>
  <c r="C2002" i="11"/>
  <c r="C2004" i="11"/>
  <c r="C134" i="58"/>
  <c r="C160" i="58"/>
  <c r="C82" i="58"/>
  <c r="C56" i="58"/>
  <c r="C108" i="58"/>
  <c r="C1993" i="11"/>
  <c r="C1997" i="11"/>
  <c r="C2001" i="11"/>
  <c r="C2005" i="11"/>
  <c r="D341" i="58"/>
  <c r="D186" i="58"/>
  <c r="C1998" i="11"/>
  <c r="D108" i="58"/>
  <c r="D56" i="58"/>
  <c r="D160" i="58"/>
  <c r="D134" i="58"/>
  <c r="D82" i="58"/>
  <c r="C1999" i="11"/>
  <c r="C2003" i="11"/>
  <c r="C1994" i="11"/>
  <c r="C341" i="58"/>
  <c r="C186" i="58"/>
  <c r="D135" i="10"/>
  <c r="D138" i="10"/>
  <c r="D134" i="10"/>
  <c r="D142" i="10"/>
  <c r="D2002" i="11"/>
  <c r="D1999" i="11"/>
  <c r="D1998" i="11"/>
  <c r="D140" i="10"/>
  <c r="D132" i="10"/>
  <c r="D136" i="10"/>
  <c r="D133" i="10"/>
  <c r="D137" i="10"/>
  <c r="D141" i="10"/>
  <c r="D1356" i="11"/>
  <c r="C1995" i="11"/>
  <c r="C1996" i="11"/>
  <c r="C2000" i="11"/>
  <c r="D1357" i="11"/>
  <c r="D1361" i="11"/>
  <c r="D1364" i="11"/>
  <c r="D1365" i="11"/>
  <c r="D1355" i="11"/>
  <c r="D1359" i="11"/>
  <c r="D1363" i="11"/>
  <c r="D1366" i="11"/>
  <c r="D1360" i="11"/>
  <c r="D1358" i="11"/>
  <c r="D1362" i="11"/>
  <c r="B1995" i="11" l="1"/>
  <c r="B1997" i="11"/>
  <c r="B2004" i="11"/>
  <c r="D1918" i="11"/>
  <c r="D1919" i="11"/>
  <c r="D2043" i="11"/>
  <c r="D2075" i="11"/>
  <c r="D2074" i="11"/>
  <c r="B1996" i="11"/>
  <c r="B1993" i="11"/>
  <c r="D1926" i="11"/>
  <c r="D2035" i="11"/>
  <c r="D2032" i="11"/>
  <c r="D1917" i="11"/>
  <c r="B1994" i="11"/>
  <c r="D2071" i="11"/>
  <c r="D2036" i="11"/>
  <c r="D1916" i="11"/>
  <c r="D2033" i="11"/>
  <c r="D2073" i="11"/>
  <c r="D2072" i="11"/>
  <c r="D2082" i="11"/>
  <c r="D1915" i="11"/>
  <c r="D2034" i="11"/>
  <c r="D1995" i="11" l="1"/>
  <c r="D1993" i="11"/>
  <c r="D1997" i="11"/>
  <c r="D1994" i="11"/>
  <c r="D1996" i="11"/>
  <c r="D2004" i="11"/>
  <c r="B246" i="10" l="1"/>
  <c r="B245" i="10"/>
  <c r="B244" i="10"/>
  <c r="B242" i="10"/>
  <c r="B239" i="10"/>
  <c r="B238" i="10"/>
  <c r="B237" i="10"/>
  <c r="B236" i="10"/>
  <c r="B235" i="10"/>
  <c r="B234" i="10"/>
  <c r="B233" i="10"/>
  <c r="B232" i="10"/>
  <c r="B231" i="10"/>
  <c r="B230" i="10"/>
  <c r="B593" i="11" s="1"/>
  <c r="B229" i="10"/>
  <c r="B592" i="11" s="1"/>
  <c r="B225" i="10"/>
  <c r="B224" i="10"/>
  <c r="B223" i="10"/>
  <c r="B586" i="11" s="1"/>
  <c r="B222" i="10"/>
  <c r="B585" i="11" s="1"/>
  <c r="D703" i="11"/>
  <c r="C703" i="11"/>
  <c r="D678" i="11"/>
  <c r="C678" i="11"/>
  <c r="D653" i="11"/>
  <c r="C653" i="11"/>
  <c r="C1268" i="11"/>
  <c r="D240" i="10"/>
  <c r="D2070" i="11"/>
  <c r="D2068" i="11"/>
  <c r="D2067" i="11"/>
  <c r="D2066" i="11"/>
  <c r="D2065" i="11"/>
  <c r="D2064" i="11"/>
  <c r="D2063" i="11"/>
  <c r="D2062" i="11"/>
  <c r="D2061" i="11"/>
  <c r="D2059" i="11"/>
  <c r="D2058" i="11"/>
  <c r="D2057" i="11"/>
  <c r="D2055" i="11"/>
  <c r="D2054" i="11"/>
  <c r="D2053" i="11"/>
  <c r="D2052" i="11"/>
  <c r="D2051" i="11"/>
  <c r="D2050" i="11"/>
  <c r="D2049" i="11"/>
  <c r="D2048" i="11"/>
  <c r="D2046" i="11"/>
  <c r="D2045" i="11"/>
  <c r="D2031" i="11"/>
  <c r="D2029" i="11"/>
  <c r="D2028" i="11"/>
  <c r="D2027" i="11"/>
  <c r="D2026" i="11"/>
  <c r="D2025" i="11"/>
  <c r="D2024" i="11"/>
  <c r="D2023" i="11"/>
  <c r="D2022" i="11"/>
  <c r="D2020" i="11"/>
  <c r="D2019" i="11"/>
  <c r="D1992" i="11"/>
  <c r="D1990" i="11"/>
  <c r="D1989" i="11"/>
  <c r="D1988" i="11"/>
  <c r="D1987" i="11"/>
  <c r="D1986" i="11"/>
  <c r="D1985" i="11"/>
  <c r="D1984" i="11"/>
  <c r="D1983" i="11"/>
  <c r="D1981" i="11"/>
  <c r="D1980" i="11"/>
  <c r="D1979" i="11"/>
  <c r="D1977" i="11"/>
  <c r="D1976" i="11"/>
  <c r="D1975" i="11"/>
  <c r="D1974" i="11"/>
  <c r="D1973" i="11"/>
  <c r="D1972" i="11"/>
  <c r="D1971" i="11"/>
  <c r="D1970" i="11"/>
  <c r="D1968" i="11"/>
  <c r="D1967" i="11"/>
  <c r="D1940" i="11"/>
  <c r="D1938" i="11"/>
  <c r="D1937" i="11"/>
  <c r="D1936" i="11"/>
  <c r="D1935" i="11"/>
  <c r="D1934" i="11"/>
  <c r="D1933" i="11"/>
  <c r="D1932" i="11"/>
  <c r="D1931" i="11"/>
  <c r="D1928" i="11"/>
  <c r="B536" i="11" l="1"/>
  <c r="B561" i="11"/>
  <c r="B537" i="11"/>
  <c r="B562" i="11"/>
  <c r="B568" i="11"/>
  <c r="B543" i="11"/>
  <c r="B546" i="11"/>
  <c r="B571" i="11"/>
  <c r="B572" i="11"/>
  <c r="B547" i="11"/>
  <c r="B573" i="11"/>
  <c r="B548" i="11"/>
  <c r="B574" i="11"/>
  <c r="B549" i="11"/>
  <c r="B575" i="11"/>
  <c r="B550" i="11"/>
  <c r="B545" i="11"/>
  <c r="B570" i="11"/>
  <c r="B576" i="11"/>
  <c r="B551" i="11"/>
  <c r="B579" i="11"/>
  <c r="B554" i="11"/>
  <c r="B556" i="11"/>
  <c r="B581" i="11"/>
  <c r="D1268" i="11"/>
  <c r="D577" i="11"/>
  <c r="D527" i="11"/>
  <c r="D552" i="11"/>
  <c r="B569" i="11"/>
  <c r="B544" i="11"/>
  <c r="B557" i="11"/>
  <c r="B582" i="11"/>
  <c r="B558" i="11"/>
  <c r="B583" i="11"/>
  <c r="B595" i="11"/>
  <c r="B1260" i="11"/>
  <c r="B599" i="11"/>
  <c r="B1264" i="11"/>
  <c r="B605" i="11"/>
  <c r="B1270" i="11"/>
  <c r="B596" i="11"/>
  <c r="B1261" i="11"/>
  <c r="B600" i="11"/>
  <c r="B1265" i="11"/>
  <c r="B607" i="11"/>
  <c r="B1272" i="11"/>
  <c r="C575" i="58"/>
  <c r="C550" i="58" s="1"/>
  <c r="C600" i="58"/>
  <c r="C625" i="58"/>
  <c r="C650" i="58"/>
  <c r="C675" i="58"/>
  <c r="B72" i="58"/>
  <c r="B150" i="58"/>
  <c r="B98" i="58"/>
  <c r="B124" i="58"/>
  <c r="B46" i="58"/>
  <c r="B597" i="11"/>
  <c r="B1262" i="11"/>
  <c r="B601" i="11"/>
  <c r="B1266" i="11"/>
  <c r="B608" i="11"/>
  <c r="B1273" i="11"/>
  <c r="B594" i="11"/>
  <c r="B1259" i="11"/>
  <c r="B598" i="11"/>
  <c r="B1263" i="11"/>
  <c r="B602" i="11"/>
  <c r="B1267" i="11"/>
  <c r="B609" i="11"/>
  <c r="B1274" i="11"/>
  <c r="B38" i="58"/>
  <c r="B142" i="58"/>
  <c r="B90" i="58"/>
  <c r="B64" i="58"/>
  <c r="B116" i="58"/>
  <c r="B143" i="58"/>
  <c r="B39" i="58"/>
  <c r="B91" i="58"/>
  <c r="B117" i="58"/>
  <c r="B65" i="58"/>
  <c r="B149" i="58"/>
  <c r="B45" i="58"/>
  <c r="B97" i="58"/>
  <c r="B71" i="58"/>
  <c r="B123" i="58"/>
  <c r="B588" i="11"/>
  <c r="B1253" i="11"/>
  <c r="B587" i="11"/>
  <c r="B1252" i="11"/>
  <c r="B519" i="11"/>
  <c r="B620" i="11"/>
  <c r="B695" i="11"/>
  <c r="B670" i="11"/>
  <c r="B645" i="11"/>
  <c r="B529" i="11"/>
  <c r="B520" i="11"/>
  <c r="B696" i="11"/>
  <c r="B671" i="11"/>
  <c r="B646" i="11"/>
  <c r="B621" i="11"/>
  <c r="B531" i="11"/>
  <c r="B632" i="11"/>
  <c r="B707" i="11"/>
  <c r="B682" i="11"/>
  <c r="B657" i="11"/>
  <c r="B511" i="11"/>
  <c r="B521" i="11"/>
  <c r="B672" i="11"/>
  <c r="B647" i="11"/>
  <c r="B622" i="11"/>
  <c r="B697" i="11"/>
  <c r="B525" i="11"/>
  <c r="B676" i="11"/>
  <c r="B651" i="11"/>
  <c r="B626" i="11"/>
  <c r="B701" i="11"/>
  <c r="B532" i="11"/>
  <c r="B708" i="11"/>
  <c r="B683" i="11"/>
  <c r="B658" i="11"/>
  <c r="B633" i="11"/>
  <c r="B523" i="11"/>
  <c r="B624" i="11"/>
  <c r="B699" i="11"/>
  <c r="B674" i="11"/>
  <c r="B649" i="11"/>
  <c r="B524" i="11"/>
  <c r="B700" i="11"/>
  <c r="B675" i="11"/>
  <c r="B650" i="11"/>
  <c r="B625" i="11"/>
  <c r="B512" i="11"/>
  <c r="B518" i="11"/>
  <c r="B644" i="11"/>
  <c r="B619" i="11"/>
  <c r="B694" i="11"/>
  <c r="B669" i="11"/>
  <c r="B522" i="11"/>
  <c r="B648" i="11"/>
  <c r="B623" i="11"/>
  <c r="B698" i="11"/>
  <c r="B673" i="11"/>
  <c r="B526" i="11"/>
  <c r="B961" i="58" s="1"/>
  <c r="B652" i="11"/>
  <c r="B627" i="11"/>
  <c r="B702" i="11"/>
  <c r="B677" i="11"/>
  <c r="B533" i="11"/>
  <c r="B684" i="11"/>
  <c r="B659" i="11"/>
  <c r="B634" i="11"/>
  <c r="B709" i="11"/>
  <c r="C393" i="58"/>
  <c r="C238" i="58"/>
  <c r="D238" i="58"/>
  <c r="D393" i="58"/>
  <c r="C367" i="58"/>
  <c r="C212" i="58"/>
  <c r="C315" i="58"/>
  <c r="C289" i="58"/>
  <c r="C263" i="58"/>
  <c r="D367" i="58"/>
  <c r="D212" i="58"/>
  <c r="D289" i="58"/>
  <c r="D263" i="58"/>
  <c r="D315" i="58"/>
  <c r="D1929" i="11"/>
  <c r="D1291" i="11"/>
  <c r="D1930" i="11"/>
  <c r="B978" i="58" l="1"/>
  <c r="B878" i="58"/>
  <c r="B772" i="58"/>
  <c r="B566" i="58"/>
  <c r="B666" i="58"/>
  <c r="B953" i="58"/>
  <c r="B853" i="58"/>
  <c r="B747" i="58"/>
  <c r="B591" i="58"/>
  <c r="B928" i="58"/>
  <c r="B822" i="58"/>
  <c r="B722" i="58"/>
  <c r="B616" i="58"/>
  <c r="B541" i="58"/>
  <c r="B903" i="58"/>
  <c r="B797" i="58"/>
  <c r="B697" i="58"/>
  <c r="B641" i="58"/>
  <c r="B993" i="58"/>
  <c r="B837" i="58"/>
  <c r="B942" i="58"/>
  <c r="B836" i="58"/>
  <c r="B736" i="58"/>
  <c r="B630" i="58"/>
  <c r="B680" i="58"/>
  <c r="B917" i="58"/>
  <c r="B811" i="58"/>
  <c r="B711" i="58"/>
  <c r="B555" i="58"/>
  <c r="B992" i="58"/>
  <c r="B892" i="58"/>
  <c r="B786" i="58"/>
  <c r="B580" i="58"/>
  <c r="B967" i="58"/>
  <c r="B867" i="58"/>
  <c r="B761" i="58"/>
  <c r="B605" i="58"/>
  <c r="B655" i="58"/>
  <c r="B810" i="58"/>
  <c r="B991" i="58"/>
  <c r="B785" i="58"/>
  <c r="B654" i="58"/>
  <c r="B966" i="58"/>
  <c r="B760" i="58"/>
  <c r="B941" i="58"/>
  <c r="B735" i="58"/>
  <c r="B679" i="58"/>
  <c r="B916" i="58"/>
  <c r="B710" i="58"/>
  <c r="B891" i="58"/>
  <c r="B579" i="58"/>
  <c r="B554" i="58"/>
  <c r="B866" i="58"/>
  <c r="B604" i="58"/>
  <c r="B835" i="58"/>
  <c r="B629" i="58"/>
  <c r="B830" i="58"/>
  <c r="B886" i="58"/>
  <c r="B649" i="58"/>
  <c r="B805" i="58"/>
  <c r="D887" i="58"/>
  <c r="D862" i="58" s="1"/>
  <c r="D912" i="58"/>
  <c r="D937" i="58"/>
  <c r="D962" i="58"/>
  <c r="D987" i="58"/>
  <c r="D731" i="58"/>
  <c r="D706" i="58" s="1"/>
  <c r="D756" i="58"/>
  <c r="D781" i="58"/>
  <c r="D806" i="58"/>
  <c r="D831" i="58"/>
  <c r="D575" i="58"/>
  <c r="D550" i="58" s="1"/>
  <c r="D600" i="58"/>
  <c r="D625" i="58"/>
  <c r="D650" i="58"/>
  <c r="D675" i="58"/>
  <c r="B960" i="58"/>
  <c r="B910" i="58"/>
  <c r="B860" i="58"/>
  <c r="B804" i="58"/>
  <c r="B754" i="58"/>
  <c r="B704" i="58"/>
  <c r="B598" i="58"/>
  <c r="B648" i="58"/>
  <c r="B985" i="58"/>
  <c r="B935" i="58"/>
  <c r="B885" i="58"/>
  <c r="B829" i="58"/>
  <c r="B779" i="58"/>
  <c r="B729" i="58"/>
  <c r="B573" i="58"/>
  <c r="B623" i="58"/>
  <c r="B673" i="58"/>
  <c r="B548" i="58"/>
  <c r="B905" i="58"/>
  <c r="B799" i="58"/>
  <c r="B699" i="58"/>
  <c r="B668" i="58"/>
  <c r="B980" i="58"/>
  <c r="B880" i="58"/>
  <c r="B774" i="58"/>
  <c r="B568" i="58"/>
  <c r="B955" i="58"/>
  <c r="B855" i="58"/>
  <c r="B749" i="58"/>
  <c r="B593" i="58"/>
  <c r="B543" i="58"/>
  <c r="B618" i="58"/>
  <c r="B930" i="58"/>
  <c r="B824" i="58"/>
  <c r="B724" i="58"/>
  <c r="B643" i="58"/>
  <c r="B674" i="58"/>
  <c r="B936" i="58"/>
  <c r="B986" i="58"/>
  <c r="B599" i="58"/>
  <c r="B861" i="58"/>
  <c r="B984" i="58"/>
  <c r="B884" i="58"/>
  <c r="B778" i="58"/>
  <c r="B572" i="58"/>
  <c r="B959" i="58"/>
  <c r="B859" i="58"/>
  <c r="B753" i="58"/>
  <c r="B597" i="58"/>
  <c r="B622" i="58"/>
  <c r="B547" i="58"/>
  <c r="B934" i="58"/>
  <c r="B828" i="58"/>
  <c r="B728" i="58"/>
  <c r="B647" i="58"/>
  <c r="B909" i="58"/>
  <c r="B803" i="58"/>
  <c r="B703" i="58"/>
  <c r="B672" i="58"/>
  <c r="B881" i="58"/>
  <c r="B569" i="58"/>
  <c r="B956" i="58"/>
  <c r="B750" i="58"/>
  <c r="B644" i="58"/>
  <c r="B825" i="58"/>
  <c r="B906" i="58"/>
  <c r="B700" i="58"/>
  <c r="B669" i="58"/>
  <c r="B981" i="58"/>
  <c r="B775" i="58"/>
  <c r="B856" i="58"/>
  <c r="B594" i="58"/>
  <c r="B544" i="58"/>
  <c r="B931" i="58"/>
  <c r="B725" i="58"/>
  <c r="B800" i="58"/>
  <c r="B619" i="58"/>
  <c r="B808" i="58"/>
  <c r="B939" i="58"/>
  <c r="B733" i="58"/>
  <c r="B552" i="58"/>
  <c r="B964" i="58"/>
  <c r="B758" i="58"/>
  <c r="B889" i="58"/>
  <c r="B577" i="58"/>
  <c r="B677" i="58"/>
  <c r="B914" i="58"/>
  <c r="B708" i="58"/>
  <c r="B833" i="58"/>
  <c r="B627" i="58"/>
  <c r="B864" i="58"/>
  <c r="B602" i="58"/>
  <c r="B989" i="58"/>
  <c r="B783" i="58"/>
  <c r="B652" i="58"/>
  <c r="B624" i="58"/>
  <c r="B574" i="58"/>
  <c r="B705" i="58"/>
  <c r="B911" i="58"/>
  <c r="B932" i="58"/>
  <c r="B826" i="58"/>
  <c r="B726" i="58"/>
  <c r="B620" i="58"/>
  <c r="B907" i="58"/>
  <c r="B801" i="58"/>
  <c r="B701" i="58"/>
  <c r="B645" i="58"/>
  <c r="B545" i="58"/>
  <c r="B982" i="58"/>
  <c r="B882" i="58"/>
  <c r="B776" i="58"/>
  <c r="B570" i="58"/>
  <c r="B670" i="58"/>
  <c r="B957" i="58"/>
  <c r="B857" i="58"/>
  <c r="B751" i="58"/>
  <c r="B595" i="58"/>
  <c r="B546" i="58"/>
  <c r="B802" i="58"/>
  <c r="B883" i="58"/>
  <c r="B571" i="58"/>
  <c r="B646" i="58"/>
  <c r="B958" i="58"/>
  <c r="B752" i="58"/>
  <c r="B827" i="58"/>
  <c r="B908" i="58"/>
  <c r="B702" i="58"/>
  <c r="B983" i="58"/>
  <c r="B777" i="58"/>
  <c r="B621" i="58"/>
  <c r="B858" i="58"/>
  <c r="B596" i="58"/>
  <c r="B933" i="58"/>
  <c r="B727" i="58"/>
  <c r="B671" i="58"/>
  <c r="B642" i="58"/>
  <c r="B929" i="58"/>
  <c r="B723" i="58"/>
  <c r="B904" i="58"/>
  <c r="B698" i="58"/>
  <c r="B667" i="58"/>
  <c r="B879" i="58"/>
  <c r="B567" i="58"/>
  <c r="B854" i="58"/>
  <c r="B592" i="58"/>
  <c r="B542" i="58"/>
  <c r="B823" i="58"/>
  <c r="B798" i="58"/>
  <c r="B617" i="58"/>
  <c r="B979" i="58"/>
  <c r="B773" i="58"/>
  <c r="B954" i="58"/>
  <c r="B748" i="58"/>
  <c r="B780" i="58"/>
  <c r="B730" i="58"/>
  <c r="B549" i="58"/>
  <c r="B755" i="58"/>
  <c r="B972" i="58"/>
  <c r="B872" i="58"/>
  <c r="B766" i="58"/>
  <c r="B560" i="58"/>
  <c r="B535" i="58"/>
  <c r="B610" i="58"/>
  <c r="B947" i="58"/>
  <c r="B847" i="58"/>
  <c r="B741" i="58"/>
  <c r="B585" i="58"/>
  <c r="B635" i="58"/>
  <c r="B660" i="58"/>
  <c r="B922" i="58"/>
  <c r="B816" i="58"/>
  <c r="B716" i="58"/>
  <c r="B897" i="58"/>
  <c r="B791" i="58"/>
  <c r="B691" i="58"/>
  <c r="B815" i="58"/>
  <c r="B634" i="58"/>
  <c r="B846" i="58"/>
  <c r="B971" i="58"/>
  <c r="B765" i="58"/>
  <c r="B659" i="58"/>
  <c r="B790" i="58"/>
  <c r="B921" i="58"/>
  <c r="B715" i="58"/>
  <c r="B946" i="58"/>
  <c r="B740" i="58"/>
  <c r="B534" i="58"/>
  <c r="B871" i="58"/>
  <c r="B559" i="58"/>
  <c r="B609" i="58"/>
  <c r="B896" i="58"/>
  <c r="B690" i="58"/>
  <c r="B584" i="58"/>
  <c r="B218" i="58"/>
  <c r="B151" i="58"/>
  <c r="B73" i="58"/>
  <c r="B47" i="58"/>
  <c r="B99" i="58"/>
  <c r="B125" i="58"/>
  <c r="B209" i="58"/>
  <c r="B216" i="58"/>
  <c r="B75" i="58"/>
  <c r="B153" i="58"/>
  <c r="B101" i="58"/>
  <c r="B127" i="58"/>
  <c r="B49" i="58"/>
  <c r="B178" i="58"/>
  <c r="B62" i="58"/>
  <c r="B166" i="58"/>
  <c r="B114" i="58"/>
  <c r="B88" i="58"/>
  <c r="B140" i="58"/>
  <c r="B262" i="58"/>
  <c r="B207" i="58"/>
  <c r="B254" i="58"/>
  <c r="B235" i="58"/>
  <c r="B78" i="58"/>
  <c r="B130" i="58"/>
  <c r="B104" i="58"/>
  <c r="B156" i="58"/>
  <c r="B52" i="58"/>
  <c r="B261" i="58"/>
  <c r="B92" i="58"/>
  <c r="B144" i="58"/>
  <c r="B66" i="58"/>
  <c r="B118" i="58"/>
  <c r="B40" i="58"/>
  <c r="B242" i="58"/>
  <c r="B256" i="58"/>
  <c r="B48" i="58"/>
  <c r="B152" i="58"/>
  <c r="B74" i="58"/>
  <c r="B126" i="58"/>
  <c r="B100" i="58"/>
  <c r="B269" i="58"/>
  <c r="B192" i="58"/>
  <c r="B237" i="58"/>
  <c r="B211" i="58"/>
  <c r="B258" i="58"/>
  <c r="B229" i="58"/>
  <c r="B203" i="58"/>
  <c r="B183" i="58"/>
  <c r="B260" i="58"/>
  <c r="B259" i="58"/>
  <c r="B113" i="58"/>
  <c r="B165" i="58"/>
  <c r="B139" i="58"/>
  <c r="B87" i="58"/>
  <c r="B61" i="58"/>
  <c r="B268" i="58"/>
  <c r="B106" i="58"/>
  <c r="B54" i="58"/>
  <c r="B158" i="58"/>
  <c r="B132" i="58"/>
  <c r="B80" i="58"/>
  <c r="B257" i="58"/>
  <c r="B232" i="58"/>
  <c r="B138" i="58"/>
  <c r="B60" i="58"/>
  <c r="B164" i="58"/>
  <c r="B112" i="58"/>
  <c r="B86" i="58"/>
  <c r="B190" i="58"/>
  <c r="B231" i="58"/>
  <c r="B162" i="58"/>
  <c r="B136" i="58"/>
  <c r="B58" i="58"/>
  <c r="B84" i="58"/>
  <c r="B110" i="58"/>
  <c r="B255" i="58"/>
  <c r="B159" i="58"/>
  <c r="B81" i="58"/>
  <c r="B55" i="58"/>
  <c r="B107" i="58"/>
  <c r="B133" i="58"/>
  <c r="B181" i="58"/>
  <c r="B182" i="58"/>
  <c r="B191" i="58"/>
  <c r="B210" i="58"/>
  <c r="B180" i="58"/>
  <c r="B244" i="58"/>
  <c r="B233" i="58"/>
  <c r="B93" i="58"/>
  <c r="B119" i="58"/>
  <c r="B67" i="58"/>
  <c r="B145" i="58"/>
  <c r="B41" i="58"/>
  <c r="B208" i="58"/>
  <c r="B217" i="58"/>
  <c r="B236" i="58"/>
  <c r="B76" i="58"/>
  <c r="B50" i="58"/>
  <c r="B102" i="58"/>
  <c r="B154" i="58"/>
  <c r="B128" i="58"/>
  <c r="B179" i="58"/>
  <c r="B204" i="58"/>
  <c r="B185" i="58"/>
  <c r="B129" i="58"/>
  <c r="B103" i="58"/>
  <c r="B77" i="58"/>
  <c r="B155" i="58"/>
  <c r="B51" i="58"/>
  <c r="B177" i="58"/>
  <c r="B157" i="58"/>
  <c r="B79" i="58"/>
  <c r="B53" i="58"/>
  <c r="B131" i="58"/>
  <c r="B105" i="58"/>
  <c r="B234" i="58"/>
  <c r="B243" i="58"/>
  <c r="B184" i="58"/>
  <c r="B206" i="58"/>
  <c r="B267" i="58"/>
  <c r="B205" i="58"/>
  <c r="B230" i="58"/>
  <c r="C918" i="11" l="1"/>
  <c r="C927" i="11"/>
  <c r="B1248" i="11" l="1"/>
  <c r="B1235" i="11"/>
  <c r="B1209" i="11"/>
  <c r="B1196" i="11"/>
  <c r="B524" i="12"/>
  <c r="B523" i="12"/>
  <c r="B522" i="12"/>
  <c r="B521" i="12"/>
  <c r="B520" i="12"/>
  <c r="B518" i="12"/>
  <c r="B517" i="12"/>
  <c r="B516" i="12"/>
  <c r="B515" i="12"/>
  <c r="B514" i="12"/>
  <c r="B513" i="12"/>
  <c r="B512" i="12"/>
  <c r="B511" i="12"/>
  <c r="B510" i="12"/>
  <c r="B509" i="12"/>
  <c r="B508" i="12"/>
  <c r="B507" i="12"/>
  <c r="B506" i="12"/>
  <c r="B505" i="12"/>
  <c r="B504" i="12"/>
  <c r="B503" i="12"/>
  <c r="B502" i="12"/>
  <c r="B501" i="12"/>
  <c r="B500" i="12"/>
  <c r="B499" i="12"/>
  <c r="B498" i="12"/>
  <c r="B497" i="12"/>
  <c r="B496" i="12"/>
  <c r="B495" i="12"/>
  <c r="B494" i="12"/>
  <c r="B493" i="12"/>
  <c r="B492" i="12"/>
  <c r="B491" i="12"/>
  <c r="B490" i="12"/>
  <c r="B489" i="12"/>
  <c r="B488" i="12"/>
  <c r="B487" i="12"/>
  <c r="B486" i="12"/>
  <c r="B485" i="12"/>
  <c r="B484" i="12"/>
  <c r="B483" i="12"/>
  <c r="B482" i="12"/>
  <c r="B481" i="12"/>
  <c r="B480" i="12"/>
  <c r="B479" i="12"/>
  <c r="B478" i="12"/>
  <c r="B477" i="12"/>
  <c r="B476" i="12"/>
  <c r="B475" i="12"/>
  <c r="B474" i="12"/>
  <c r="B473" i="12"/>
  <c r="B472" i="12"/>
  <c r="B471" i="12"/>
  <c r="B470" i="12"/>
  <c r="B469" i="12"/>
  <c r="B468" i="12"/>
  <c r="B467" i="12"/>
  <c r="B466" i="12"/>
  <c r="B465" i="12"/>
  <c r="B464" i="12"/>
  <c r="B463" i="12"/>
  <c r="B462" i="12"/>
  <c r="B461" i="12"/>
  <c r="B460" i="12"/>
  <c r="B459" i="12"/>
  <c r="B458" i="12"/>
  <c r="B457" i="12"/>
  <c r="B456" i="12"/>
  <c r="B455" i="12"/>
  <c r="B454" i="12"/>
  <c r="B453" i="12"/>
  <c r="B452" i="12"/>
  <c r="B451" i="12"/>
  <c r="B450" i="12"/>
  <c r="B449" i="12"/>
  <c r="B448" i="12"/>
  <c r="B447" i="12"/>
  <c r="B446" i="12"/>
  <c r="B445" i="12"/>
  <c r="B444" i="12"/>
  <c r="B443" i="12"/>
  <c r="B442" i="12"/>
  <c r="B441" i="12"/>
  <c r="B440" i="12"/>
  <c r="B439" i="12"/>
  <c r="B438" i="12"/>
  <c r="B437" i="12"/>
  <c r="B436" i="12"/>
  <c r="B435" i="12"/>
  <c r="B434" i="12"/>
  <c r="B433" i="12"/>
  <c r="B432" i="12"/>
  <c r="B431" i="12"/>
  <c r="B430" i="12"/>
  <c r="B429" i="12"/>
  <c r="B428" i="12"/>
  <c r="B427" i="12"/>
  <c r="B426" i="12"/>
  <c r="B425" i="12"/>
  <c r="B424" i="12"/>
  <c r="B423" i="12"/>
  <c r="B422" i="12"/>
  <c r="B421" i="12"/>
  <c r="B420" i="12"/>
  <c r="B419" i="12"/>
  <c r="B418" i="12"/>
  <c r="B417" i="12"/>
  <c r="B416" i="12"/>
  <c r="B415" i="12"/>
  <c r="B414" i="12"/>
  <c r="B413" i="12"/>
  <c r="B412" i="12"/>
  <c r="B411" i="12"/>
  <c r="B410" i="12"/>
  <c r="B409" i="12"/>
  <c r="B408" i="12"/>
  <c r="B407" i="12"/>
  <c r="B406" i="12"/>
  <c r="B405" i="12"/>
  <c r="B404" i="12"/>
  <c r="B403" i="12"/>
  <c r="B402" i="12"/>
  <c r="B401" i="12"/>
  <c r="B400" i="12"/>
  <c r="B399" i="12"/>
  <c r="B398" i="12"/>
  <c r="B397" i="12"/>
  <c r="B396" i="12"/>
  <c r="B395" i="12"/>
  <c r="B394" i="12"/>
  <c r="B393" i="12"/>
  <c r="B392" i="12"/>
  <c r="B391" i="12"/>
  <c r="B390" i="12"/>
  <c r="B389" i="12"/>
  <c r="B388" i="12"/>
  <c r="B387" i="12"/>
  <c r="B386" i="12"/>
  <c r="B385" i="12"/>
  <c r="B384" i="12"/>
  <c r="B383" i="12"/>
  <c r="B382" i="12"/>
  <c r="B381" i="12"/>
  <c r="B380" i="12"/>
  <c r="B379" i="12"/>
  <c r="B378" i="12"/>
  <c r="B377" i="12"/>
  <c r="B376" i="12"/>
  <c r="B375" i="12"/>
  <c r="B374" i="12"/>
  <c r="B373" i="12"/>
  <c r="B372" i="12"/>
  <c r="B371" i="12"/>
  <c r="B370" i="12"/>
  <c r="B369" i="12"/>
  <c r="B368" i="12"/>
  <c r="B367" i="12"/>
  <c r="B366" i="12"/>
  <c r="B365" i="12"/>
  <c r="B364" i="12"/>
  <c r="B363" i="12"/>
  <c r="B362" i="12"/>
  <c r="B361" i="12"/>
  <c r="B360" i="12"/>
  <c r="B359" i="12"/>
  <c r="B358" i="12"/>
  <c r="B357" i="12"/>
  <c r="B356" i="12"/>
  <c r="B355" i="12"/>
  <c r="B227" i="12"/>
  <c r="B226" i="12"/>
  <c r="B225" i="12"/>
  <c r="B224" i="12"/>
  <c r="B223" i="12"/>
  <c r="B354" i="12"/>
  <c r="B353" i="12"/>
  <c r="B352" i="12"/>
  <c r="B351" i="12"/>
  <c r="B350" i="12"/>
  <c r="B349" i="12"/>
  <c r="B348" i="12"/>
  <c r="B347" i="12"/>
  <c r="B346" i="12"/>
  <c r="B345" i="12"/>
  <c r="B344" i="12"/>
  <c r="B343" i="12"/>
  <c r="B342" i="12"/>
  <c r="B341" i="12"/>
  <c r="B340" i="12"/>
  <c r="B339" i="12"/>
  <c r="B338" i="12"/>
  <c r="B337" i="12"/>
  <c r="B336" i="12"/>
  <c r="B335" i="12"/>
  <c r="B334" i="12"/>
  <c r="B333" i="12"/>
  <c r="B332" i="12"/>
  <c r="B331" i="12"/>
  <c r="B330" i="12"/>
  <c r="B329" i="12"/>
  <c r="B328" i="12"/>
  <c r="B327" i="12"/>
  <c r="B326" i="12"/>
  <c r="B325" i="12"/>
  <c r="B324" i="12"/>
  <c r="B323" i="12"/>
  <c r="B322" i="12"/>
  <c r="B321" i="12"/>
  <c r="B320" i="12"/>
  <c r="B319" i="12"/>
  <c r="B318" i="12"/>
  <c r="B317" i="12"/>
  <c r="B316" i="12"/>
  <c r="B315" i="12"/>
  <c r="B314" i="12"/>
  <c r="B313" i="12"/>
  <c r="B312" i="12"/>
  <c r="B311" i="12"/>
  <c r="B310" i="12"/>
  <c r="B309" i="12"/>
  <c r="B308" i="12"/>
  <c r="B307" i="12"/>
  <c r="B306" i="12"/>
  <c r="B305" i="12"/>
  <c r="B304" i="12"/>
  <c r="B303" i="12"/>
  <c r="B217" i="12"/>
  <c r="B216" i="12"/>
  <c r="B215" i="12"/>
  <c r="B214" i="12"/>
  <c r="B213" i="12"/>
  <c r="B302" i="12"/>
  <c r="B301" i="12"/>
  <c r="B300" i="12"/>
  <c r="B299" i="12"/>
  <c r="B298" i="12"/>
  <c r="B297" i="12"/>
  <c r="B296" i="12"/>
  <c r="B295" i="12"/>
  <c r="B294" i="12"/>
  <c r="B293" i="12"/>
  <c r="B290" i="12"/>
  <c r="B289" i="12"/>
  <c r="B288" i="12"/>
  <c r="B287" i="12"/>
  <c r="B286" i="12"/>
  <c r="B285" i="12"/>
  <c r="B284" i="12"/>
  <c r="B283" i="12"/>
  <c r="B282" i="12"/>
  <c r="B281" i="12"/>
  <c r="B280" i="12"/>
  <c r="B279" i="12"/>
  <c r="B278" i="12"/>
  <c r="B277" i="12"/>
  <c r="B276" i="12"/>
  <c r="B275" i="12"/>
  <c r="B274" i="12"/>
  <c r="B273" i="12"/>
  <c r="B272" i="12"/>
  <c r="B271" i="12"/>
  <c r="B270" i="12"/>
  <c r="B269" i="12"/>
  <c r="B268" i="12"/>
  <c r="B267" i="12"/>
  <c r="B266" i="12"/>
  <c r="B265" i="12"/>
  <c r="B264" i="12"/>
  <c r="B263" i="12"/>
  <c r="B262" i="12"/>
  <c r="B261" i="12"/>
  <c r="B260" i="12"/>
  <c r="B259" i="12"/>
  <c r="B258" i="12"/>
  <c r="B257" i="12"/>
  <c r="B256" i="12"/>
  <c r="B255" i="12"/>
  <c r="B254" i="12"/>
  <c r="B253" i="12"/>
  <c r="B252" i="12"/>
  <c r="B251" i="12"/>
  <c r="B207" i="12"/>
  <c r="B206" i="12"/>
  <c r="B205" i="12"/>
  <c r="B204" i="12"/>
  <c r="B203" i="12"/>
  <c r="B250" i="12"/>
  <c r="B249" i="12"/>
  <c r="B248" i="12"/>
  <c r="B247" i="12"/>
  <c r="B246" i="12"/>
  <c r="B245" i="12"/>
  <c r="B244" i="12"/>
  <c r="B243" i="12"/>
  <c r="B242" i="12"/>
  <c r="B241" i="12"/>
  <c r="E24" i="12" l="1"/>
  <c r="E23" i="12"/>
  <c r="E22" i="12"/>
  <c r="E21" i="12"/>
  <c r="E20" i="12"/>
  <c r="E19" i="12"/>
  <c r="E13" i="12"/>
  <c r="E12" i="12"/>
  <c r="E11" i="12"/>
  <c r="E10" i="12"/>
  <c r="E9" i="12"/>
  <c r="F24" i="12"/>
  <c r="F23" i="12"/>
  <c r="F22" i="12"/>
  <c r="F21" i="12"/>
  <c r="F20" i="12"/>
  <c r="F19" i="12"/>
  <c r="C24" i="12"/>
  <c r="C23" i="12"/>
  <c r="C22" i="12"/>
  <c r="C21" i="12"/>
  <c r="C20" i="12"/>
  <c r="C19" i="12"/>
  <c r="C13" i="12"/>
  <c r="C12" i="12"/>
  <c r="C11" i="12"/>
  <c r="C10" i="12"/>
  <c r="C9" i="12"/>
  <c r="B132" i="62" l="1"/>
  <c r="B8" i="62"/>
  <c r="B10" i="62"/>
  <c r="B134" i="62"/>
  <c r="B7" i="62"/>
  <c r="B131" i="62"/>
  <c r="B133" i="62"/>
  <c r="B9" i="62"/>
  <c r="B135" i="62"/>
  <c r="B11" i="62"/>
  <c r="B380" i="10"/>
  <c r="B379" i="10"/>
  <c r="B358" i="10"/>
  <c r="B357" i="10"/>
  <c r="B355" i="10"/>
  <c r="B354" i="10"/>
  <c r="G26" i="52" l="1"/>
  <c r="G25" i="52"/>
  <c r="G23" i="52"/>
  <c r="G22" i="52"/>
  <c r="G21" i="52"/>
  <c r="G20" i="52"/>
  <c r="G19" i="52"/>
  <c r="C73" i="47" l="1"/>
  <c r="B73" i="47"/>
  <c r="C53" i="47"/>
  <c r="C74" i="47" s="1"/>
  <c r="B53" i="47"/>
  <c r="B74" i="47" s="1"/>
  <c r="K59" i="47"/>
  <c r="H62" i="47"/>
  <c r="I62" i="47" s="1"/>
  <c r="F61" i="47" l="1"/>
  <c r="G61" i="47" s="1"/>
  <c r="F63" i="47"/>
  <c r="G63" i="47" s="1"/>
  <c r="I63" i="47" s="1"/>
  <c r="F64" i="47"/>
  <c r="G64" i="47" s="1"/>
  <c r="F65" i="47"/>
  <c r="G65" i="47" s="1"/>
  <c r="F58" i="47"/>
  <c r="G58" i="47" s="1"/>
  <c r="Y20" i="12"/>
  <c r="Z20" i="12"/>
  <c r="AA20" i="12"/>
  <c r="AB20" i="12"/>
  <c r="AC20" i="12"/>
  <c r="AE20" i="12"/>
  <c r="AG20" i="12"/>
  <c r="AH20" i="12"/>
  <c r="X20" i="12"/>
  <c r="I65" i="47" l="1"/>
  <c r="K65" i="47"/>
  <c r="I64" i="47"/>
  <c r="K64" i="47"/>
  <c r="K61" i="47"/>
  <c r="I61" i="47"/>
  <c r="K67" i="47" l="1"/>
  <c r="K68" i="47" s="1"/>
  <c r="C75" i="47" s="1"/>
  <c r="AD20" i="12" s="1"/>
  <c r="I67" i="47"/>
  <c r="I68" i="47" s="1"/>
  <c r="B75" i="47" s="1"/>
  <c r="AF20" i="12" s="1"/>
  <c r="B29" i="51" l="1"/>
  <c r="C29" i="51"/>
  <c r="D29" i="51"/>
  <c r="E29" i="51"/>
  <c r="F29" i="51"/>
  <c r="G29" i="51"/>
  <c r="H29" i="51"/>
  <c r="I29" i="51"/>
  <c r="J29" i="51" l="1"/>
  <c r="J45" i="19"/>
  <c r="J44" i="19"/>
  <c r="J43" i="19"/>
  <c r="J42" i="19"/>
  <c r="J41" i="19"/>
  <c r="J40" i="19"/>
  <c r="J39" i="19"/>
  <c r="J38" i="19"/>
  <c r="J37" i="19"/>
  <c r="J36" i="19"/>
  <c r="J35" i="19"/>
  <c r="J34" i="19"/>
  <c r="J33" i="19"/>
  <c r="J32" i="19"/>
  <c r="J31" i="19"/>
  <c r="J30" i="19"/>
  <c r="J29" i="19"/>
  <c r="J28" i="19"/>
  <c r="J27" i="19"/>
  <c r="J26" i="19"/>
  <c r="J25" i="19"/>
  <c r="J24" i="19"/>
  <c r="J23" i="19"/>
  <c r="J22" i="19"/>
  <c r="J21" i="19"/>
  <c r="J20" i="19"/>
  <c r="J19" i="19"/>
  <c r="J18" i="19"/>
  <c r="J17" i="19"/>
  <c r="J16" i="19"/>
  <c r="M27" i="50" l="1"/>
  <c r="M38" i="50"/>
  <c r="M37" i="50"/>
  <c r="M36" i="50"/>
  <c r="M35" i="50"/>
  <c r="M34" i="50"/>
  <c r="M33" i="50"/>
  <c r="M32" i="50"/>
  <c r="M31" i="50"/>
  <c r="L11" i="12" s="1"/>
  <c r="M30" i="50"/>
  <c r="L30" i="50"/>
  <c r="L27" i="50"/>
  <c r="L38" i="50"/>
  <c r="L37" i="50"/>
  <c r="L36" i="50"/>
  <c r="L35" i="50"/>
  <c r="L34" i="50"/>
  <c r="L33" i="50"/>
  <c r="L32" i="50"/>
  <c r="L31" i="50"/>
  <c r="S27" i="50"/>
  <c r="O27" i="50"/>
  <c r="S38" i="50"/>
  <c r="O38" i="50"/>
  <c r="S37" i="50"/>
  <c r="O37" i="50"/>
  <c r="S36" i="50"/>
  <c r="O36" i="50"/>
  <c r="S35" i="50"/>
  <c r="O35" i="50"/>
  <c r="S34" i="50"/>
  <c r="O34" i="50"/>
  <c r="S33" i="50"/>
  <c r="O33" i="50"/>
  <c r="S32" i="50"/>
  <c r="O32" i="50"/>
  <c r="S31" i="50"/>
  <c r="R11" i="12" s="1"/>
  <c r="O31" i="50"/>
  <c r="N11" i="12" s="1"/>
  <c r="S30" i="50"/>
  <c r="O30" i="50"/>
  <c r="R27" i="50"/>
  <c r="N27" i="50"/>
  <c r="R38" i="50"/>
  <c r="N38" i="50"/>
  <c r="R37" i="50"/>
  <c r="N37" i="50"/>
  <c r="R36" i="50"/>
  <c r="N36" i="50"/>
  <c r="R35" i="50"/>
  <c r="N35" i="50"/>
  <c r="R34" i="50"/>
  <c r="N34" i="50"/>
  <c r="R33" i="50"/>
  <c r="N33" i="50"/>
  <c r="R32" i="50"/>
  <c r="N32" i="50"/>
  <c r="R31" i="50"/>
  <c r="Q11" i="12" s="1"/>
  <c r="N31" i="50"/>
  <c r="M11" i="12" s="1"/>
  <c r="R30" i="50"/>
  <c r="N30" i="50"/>
  <c r="Q27" i="50"/>
  <c r="Q38" i="50"/>
  <c r="Q37" i="50"/>
  <c r="Q36" i="50"/>
  <c r="Q35" i="50"/>
  <c r="Q34" i="50"/>
  <c r="Q33" i="50"/>
  <c r="Q32" i="50"/>
  <c r="Q31" i="50"/>
  <c r="P11" i="12" s="1"/>
  <c r="Q30" i="50"/>
  <c r="P27" i="50"/>
  <c r="P38" i="50"/>
  <c r="P37" i="50"/>
  <c r="P36" i="50"/>
  <c r="P35" i="50"/>
  <c r="P34" i="50"/>
  <c r="P33" i="50"/>
  <c r="P32" i="50"/>
  <c r="P31" i="50"/>
  <c r="O11" i="12" s="1"/>
  <c r="P30" i="50"/>
  <c r="I1200" i="54"/>
  <c r="I1199" i="54"/>
  <c r="I1198" i="54"/>
  <c r="I1197" i="54"/>
  <c r="I1196" i="54"/>
  <c r="I1195" i="54"/>
  <c r="I1194" i="54"/>
  <c r="I1193" i="54"/>
  <c r="I1192" i="54"/>
  <c r="I1191" i="54"/>
  <c r="I1190" i="54"/>
  <c r="I1189" i="54"/>
  <c r="I1188" i="54"/>
  <c r="I1187" i="54"/>
  <c r="I1186" i="54"/>
  <c r="I1185" i="54"/>
  <c r="I1184" i="54"/>
  <c r="I1183" i="54"/>
  <c r="I1182" i="54"/>
  <c r="I1181" i="54"/>
  <c r="I1180" i="54"/>
  <c r="I1179" i="54"/>
  <c r="I1178" i="54"/>
  <c r="I1177" i="54"/>
  <c r="I1176" i="54"/>
  <c r="I1175" i="54"/>
  <c r="I1174" i="54"/>
  <c r="I1173" i="54"/>
  <c r="I1172" i="54"/>
  <c r="I1171" i="54"/>
  <c r="I1170" i="54"/>
  <c r="I1169" i="54"/>
  <c r="I1168" i="54"/>
  <c r="I1167" i="54"/>
  <c r="I1166" i="54"/>
  <c r="I1165" i="54"/>
  <c r="I1164" i="54"/>
  <c r="I1163" i="54"/>
  <c r="I1162" i="54"/>
  <c r="I1161" i="54"/>
  <c r="I1160" i="54"/>
  <c r="I1159" i="54"/>
  <c r="I1158" i="54"/>
  <c r="I1157" i="54"/>
  <c r="I1156" i="54"/>
  <c r="I1155" i="54"/>
  <c r="I1154" i="54"/>
  <c r="I1153" i="54"/>
  <c r="I1152" i="54"/>
  <c r="I1151" i="54"/>
  <c r="I1150" i="54"/>
  <c r="I1149" i="54"/>
  <c r="I1148" i="54"/>
  <c r="I1147" i="54"/>
  <c r="I1146" i="54"/>
  <c r="I1145" i="54"/>
  <c r="I1144" i="54"/>
  <c r="I1143" i="54"/>
  <c r="I1142" i="54"/>
  <c r="I1141" i="54"/>
  <c r="I1140" i="54"/>
  <c r="I1139" i="54"/>
  <c r="I1138" i="54"/>
  <c r="I1137" i="54"/>
  <c r="I1136" i="54"/>
  <c r="I1135" i="54"/>
  <c r="I1134" i="54"/>
  <c r="I1133" i="54"/>
  <c r="I1132" i="54"/>
  <c r="I1131" i="54"/>
  <c r="I1130" i="54"/>
  <c r="I1129" i="54"/>
  <c r="I1128" i="54"/>
  <c r="I1127" i="54"/>
  <c r="I1126" i="54"/>
  <c r="I1125" i="54"/>
  <c r="I1124" i="54"/>
  <c r="I1123" i="54"/>
  <c r="I1122" i="54"/>
  <c r="I1121" i="54"/>
  <c r="I1120" i="54"/>
  <c r="I1119" i="54"/>
  <c r="I1118" i="54"/>
  <c r="I1117" i="54"/>
  <c r="I1116" i="54"/>
  <c r="I1115" i="54"/>
  <c r="I1114" i="54"/>
  <c r="I1113" i="54"/>
  <c r="I1112" i="54"/>
  <c r="I1111" i="54"/>
  <c r="I1110" i="54"/>
  <c r="I1109" i="54"/>
  <c r="I1108" i="54"/>
  <c r="I1107" i="54"/>
  <c r="I1106" i="54"/>
  <c r="I1105" i="54"/>
  <c r="I1104" i="54"/>
  <c r="I1103" i="54"/>
  <c r="I1102" i="54"/>
  <c r="I1101" i="54"/>
  <c r="I1100" i="54"/>
  <c r="I1099" i="54"/>
  <c r="I1098" i="54"/>
  <c r="I1097" i="54"/>
  <c r="I1096" i="54"/>
  <c r="I1095" i="54"/>
  <c r="I1094" i="54"/>
  <c r="I1093" i="54"/>
  <c r="I1092" i="54"/>
  <c r="I1091" i="54"/>
  <c r="I1090" i="54"/>
  <c r="I1089" i="54"/>
  <c r="I1088" i="54"/>
  <c r="I1087" i="54"/>
  <c r="I1086" i="54"/>
  <c r="I1085" i="54"/>
  <c r="I1084" i="54"/>
  <c r="I1083" i="54"/>
  <c r="I1082" i="54"/>
  <c r="I1081" i="54"/>
  <c r="I1080" i="54"/>
  <c r="I1079" i="54"/>
  <c r="I1078" i="54"/>
  <c r="I1077" i="54"/>
  <c r="I1076" i="54"/>
  <c r="I1075" i="54"/>
  <c r="I1074" i="54"/>
  <c r="I1073" i="54"/>
  <c r="I1072" i="54"/>
  <c r="I1071" i="54"/>
  <c r="I1070" i="54"/>
  <c r="I1069" i="54"/>
  <c r="I1068" i="54"/>
  <c r="I1067" i="54"/>
  <c r="I1066" i="54"/>
  <c r="I1065" i="54"/>
  <c r="I1064" i="54"/>
  <c r="I1063" i="54"/>
  <c r="I1062" i="54"/>
  <c r="I1061" i="54"/>
  <c r="I1060" i="54"/>
  <c r="I1059" i="54"/>
  <c r="I1058" i="54"/>
  <c r="I1057" i="54"/>
  <c r="I1056" i="54"/>
  <c r="I1055" i="54"/>
  <c r="I1054" i="54"/>
  <c r="I1053" i="54"/>
  <c r="I1052" i="54"/>
  <c r="I1051" i="54"/>
  <c r="I1050" i="54"/>
  <c r="I1049" i="54"/>
  <c r="I1048" i="54"/>
  <c r="I1047" i="54"/>
  <c r="I1046" i="54"/>
  <c r="I1045" i="54"/>
  <c r="I1044" i="54"/>
  <c r="I1043" i="54"/>
  <c r="I1042" i="54"/>
  <c r="I1041" i="54"/>
  <c r="I1040" i="54"/>
  <c r="I1039" i="54"/>
  <c r="I1038" i="54"/>
  <c r="I1037" i="54"/>
  <c r="I1036" i="54"/>
  <c r="I1035" i="54"/>
  <c r="I1034" i="54"/>
  <c r="I1033" i="54"/>
  <c r="I1032" i="54"/>
  <c r="I1031" i="54"/>
  <c r="I1030" i="54"/>
  <c r="I1029" i="54"/>
  <c r="I1028" i="54"/>
  <c r="I1027" i="54"/>
  <c r="I1026" i="54"/>
  <c r="I1025" i="54"/>
  <c r="I1024" i="54"/>
  <c r="I1023" i="54"/>
  <c r="I1022" i="54"/>
  <c r="I1021" i="54"/>
  <c r="I1020" i="54"/>
  <c r="I1019" i="54"/>
  <c r="I1018" i="54"/>
  <c r="I1017" i="54"/>
  <c r="I1016" i="54"/>
  <c r="I1015" i="54"/>
  <c r="I1014" i="54"/>
  <c r="I1013" i="54"/>
  <c r="I1012" i="54"/>
  <c r="I1011" i="54"/>
  <c r="I1010" i="54"/>
  <c r="I1009" i="54"/>
  <c r="I1008" i="54"/>
  <c r="I1007" i="54"/>
  <c r="I1006" i="54"/>
  <c r="I1005" i="54"/>
  <c r="I1004" i="54"/>
  <c r="I1003" i="54"/>
  <c r="I1002" i="54"/>
  <c r="I1001" i="54"/>
  <c r="I1000" i="54"/>
  <c r="I999" i="54"/>
  <c r="I998" i="54"/>
  <c r="I997" i="54"/>
  <c r="I996" i="54"/>
  <c r="I995" i="54"/>
  <c r="I994" i="54"/>
  <c r="I993" i="54"/>
  <c r="I992" i="54"/>
  <c r="I991" i="54"/>
  <c r="I990" i="54"/>
  <c r="I989" i="54"/>
  <c r="I988" i="54"/>
  <c r="I987" i="54"/>
  <c r="I986" i="54"/>
  <c r="I985" i="54"/>
  <c r="I984" i="54"/>
  <c r="I983" i="54"/>
  <c r="I982" i="54"/>
  <c r="I981" i="54"/>
  <c r="I980" i="54"/>
  <c r="I979" i="54"/>
  <c r="I978" i="54"/>
  <c r="I977" i="54"/>
  <c r="I976" i="54"/>
  <c r="I975" i="54"/>
  <c r="I974" i="54"/>
  <c r="I973" i="54"/>
  <c r="I972" i="54"/>
  <c r="I971" i="54"/>
  <c r="I970" i="54"/>
  <c r="I969" i="54"/>
  <c r="I968" i="54"/>
  <c r="I967" i="54"/>
  <c r="I966" i="54"/>
  <c r="I965" i="54"/>
  <c r="I964" i="54"/>
  <c r="I963" i="54"/>
  <c r="I962" i="54"/>
  <c r="I961" i="54"/>
  <c r="I960" i="54"/>
  <c r="I959" i="54"/>
  <c r="I958" i="54"/>
  <c r="I957" i="54"/>
  <c r="I956" i="54"/>
  <c r="I955" i="54"/>
  <c r="I954" i="54"/>
  <c r="I953" i="54"/>
  <c r="I952" i="54"/>
  <c r="I951" i="54"/>
  <c r="I950" i="54"/>
  <c r="I949" i="54"/>
  <c r="I948" i="54"/>
  <c r="I947" i="54"/>
  <c r="I946" i="54"/>
  <c r="I945" i="54"/>
  <c r="I944" i="54"/>
  <c r="I943" i="54"/>
  <c r="I942" i="54"/>
  <c r="I941" i="54"/>
  <c r="I940" i="54"/>
  <c r="I939" i="54"/>
  <c r="I938" i="54"/>
  <c r="I937" i="54"/>
  <c r="I936" i="54"/>
  <c r="I935" i="54"/>
  <c r="I934" i="54"/>
  <c r="I933" i="54"/>
  <c r="I932" i="54"/>
  <c r="I931" i="54"/>
  <c r="I930" i="54"/>
  <c r="I929" i="54"/>
  <c r="I928" i="54"/>
  <c r="I927" i="54"/>
  <c r="I926" i="54"/>
  <c r="I925" i="54"/>
  <c r="I924" i="54"/>
  <c r="I923" i="54"/>
  <c r="I922" i="54"/>
  <c r="I921" i="54"/>
  <c r="I920" i="54"/>
  <c r="I919" i="54"/>
  <c r="I918" i="54"/>
  <c r="I917" i="54"/>
  <c r="I916" i="54"/>
  <c r="I915" i="54"/>
  <c r="I914" i="54"/>
  <c r="I913" i="54"/>
  <c r="I912" i="54"/>
  <c r="I911" i="54"/>
  <c r="I910" i="54"/>
  <c r="I909" i="54"/>
  <c r="I908" i="54"/>
  <c r="I907" i="54"/>
  <c r="I906" i="54"/>
  <c r="I905" i="54"/>
  <c r="I904" i="54"/>
  <c r="I903" i="54"/>
  <c r="I902" i="54"/>
  <c r="I901" i="54"/>
  <c r="I900" i="54"/>
  <c r="I899" i="54"/>
  <c r="I898" i="54"/>
  <c r="I897" i="54"/>
  <c r="I896" i="54"/>
  <c r="I895" i="54"/>
  <c r="I894" i="54"/>
  <c r="I893" i="54"/>
  <c r="I892" i="54"/>
  <c r="I891" i="54"/>
  <c r="I890" i="54"/>
  <c r="I889" i="54"/>
  <c r="I888" i="54"/>
  <c r="I887" i="54"/>
  <c r="I886" i="54"/>
  <c r="I885" i="54"/>
  <c r="I884" i="54"/>
  <c r="I883" i="54"/>
  <c r="I882" i="54"/>
  <c r="I881" i="54"/>
  <c r="I880" i="54"/>
  <c r="I879" i="54"/>
  <c r="I878" i="54"/>
  <c r="I877" i="54"/>
  <c r="I876" i="54"/>
  <c r="I875" i="54"/>
  <c r="I874" i="54"/>
  <c r="I873" i="54"/>
  <c r="I872" i="54"/>
  <c r="I871" i="54"/>
  <c r="I870" i="54"/>
  <c r="I869" i="54"/>
  <c r="I868" i="54"/>
  <c r="I867" i="54"/>
  <c r="I866" i="54"/>
  <c r="I865" i="54"/>
  <c r="I864" i="54"/>
  <c r="I863" i="54"/>
  <c r="I862" i="54"/>
  <c r="I861" i="54"/>
  <c r="I860" i="54"/>
  <c r="I859" i="54"/>
  <c r="I858" i="54"/>
  <c r="I857" i="54"/>
  <c r="I856" i="54"/>
  <c r="I855" i="54"/>
  <c r="I854" i="54"/>
  <c r="I853" i="54"/>
  <c r="I852" i="54"/>
  <c r="I851" i="54"/>
  <c r="I850" i="54"/>
  <c r="I849" i="54"/>
  <c r="I848" i="54"/>
  <c r="I847" i="54"/>
  <c r="I846" i="54"/>
  <c r="I845" i="54"/>
  <c r="I844" i="54"/>
  <c r="I843" i="54"/>
  <c r="I842" i="54"/>
  <c r="I841" i="54"/>
  <c r="I840" i="54"/>
  <c r="I839" i="54"/>
  <c r="I838" i="54"/>
  <c r="I837" i="54"/>
  <c r="I836" i="54"/>
  <c r="I835" i="54"/>
  <c r="I834" i="54"/>
  <c r="I833" i="54"/>
  <c r="I832" i="54"/>
  <c r="I831" i="54"/>
  <c r="I830" i="54"/>
  <c r="I829" i="54"/>
  <c r="I828" i="54"/>
  <c r="I827" i="54"/>
  <c r="I826" i="54"/>
  <c r="I825" i="54"/>
  <c r="I824" i="54"/>
  <c r="I823" i="54"/>
  <c r="I822" i="54"/>
  <c r="I821" i="54"/>
  <c r="I820" i="54"/>
  <c r="I819" i="54"/>
  <c r="I818" i="54"/>
  <c r="I817" i="54"/>
  <c r="I816" i="54"/>
  <c r="I815" i="54"/>
  <c r="I814" i="54"/>
  <c r="I813" i="54"/>
  <c r="I812" i="54"/>
  <c r="I811" i="54"/>
  <c r="I810" i="54"/>
  <c r="I809" i="54"/>
  <c r="I808" i="54"/>
  <c r="I807" i="54"/>
  <c r="I806" i="54"/>
  <c r="I805" i="54"/>
  <c r="I804" i="54"/>
  <c r="I803" i="54"/>
  <c r="I802" i="54"/>
  <c r="I801" i="54"/>
  <c r="I800" i="54"/>
  <c r="I799" i="54"/>
  <c r="I798" i="54"/>
  <c r="I797" i="54"/>
  <c r="I796" i="54"/>
  <c r="I795" i="54"/>
  <c r="I794" i="54"/>
  <c r="I793" i="54"/>
  <c r="I792" i="54"/>
  <c r="I791" i="54"/>
  <c r="I790" i="54"/>
  <c r="I789" i="54"/>
  <c r="I788" i="54"/>
  <c r="I787" i="54"/>
  <c r="I786" i="54"/>
  <c r="I785" i="54"/>
  <c r="I784" i="54"/>
  <c r="I783" i="54"/>
  <c r="I782" i="54"/>
  <c r="I781" i="54"/>
  <c r="I780" i="54"/>
  <c r="I779" i="54"/>
  <c r="I778" i="54"/>
  <c r="I777" i="54"/>
  <c r="I776" i="54"/>
  <c r="I775" i="54"/>
  <c r="I774" i="54"/>
  <c r="I773" i="54"/>
  <c r="I772" i="54"/>
  <c r="I771" i="54"/>
  <c r="I770" i="54"/>
  <c r="I769" i="54"/>
  <c r="I768" i="54"/>
  <c r="I767" i="54"/>
  <c r="I766" i="54"/>
  <c r="I765" i="54"/>
  <c r="I764" i="54"/>
  <c r="I763" i="54"/>
  <c r="I762" i="54"/>
  <c r="I761" i="54"/>
  <c r="I760" i="54"/>
  <c r="I759" i="54"/>
  <c r="I758" i="54"/>
  <c r="I757" i="54"/>
  <c r="I756" i="54"/>
  <c r="I755" i="54"/>
  <c r="I754" i="54"/>
  <c r="I753" i="54"/>
  <c r="I752" i="54"/>
  <c r="I751" i="54"/>
  <c r="I750" i="54"/>
  <c r="I749" i="54"/>
  <c r="I748" i="54"/>
  <c r="I747" i="54"/>
  <c r="I746" i="54"/>
  <c r="I745" i="54"/>
  <c r="I744" i="54"/>
  <c r="I743" i="54"/>
  <c r="I742" i="54"/>
  <c r="I741" i="54"/>
  <c r="I740" i="54"/>
  <c r="I739" i="54"/>
  <c r="I738" i="54"/>
  <c r="I737" i="54"/>
  <c r="I736" i="54"/>
  <c r="I735" i="54"/>
  <c r="I734" i="54"/>
  <c r="I733" i="54"/>
  <c r="I732" i="54"/>
  <c r="I731" i="54"/>
  <c r="I730" i="54"/>
  <c r="I729" i="54"/>
  <c r="I728" i="54"/>
  <c r="I727" i="54"/>
  <c r="I726" i="54"/>
  <c r="I725" i="54"/>
  <c r="I724" i="54"/>
  <c r="I723" i="54"/>
  <c r="I722" i="54"/>
  <c r="I721" i="54"/>
  <c r="I720" i="54"/>
  <c r="I719" i="54"/>
  <c r="I718" i="54"/>
  <c r="I717" i="54"/>
  <c r="I716" i="54"/>
  <c r="I715" i="54"/>
  <c r="I714" i="54"/>
  <c r="I713" i="54"/>
  <c r="I712" i="54"/>
  <c r="I711" i="54"/>
  <c r="I710" i="54"/>
  <c r="I709" i="54"/>
  <c r="I708" i="54"/>
  <c r="I707" i="54"/>
  <c r="I706" i="54"/>
  <c r="I705" i="54"/>
  <c r="I704" i="54"/>
  <c r="I703" i="54"/>
  <c r="I702" i="54"/>
  <c r="I701" i="54"/>
  <c r="I700" i="54"/>
  <c r="I699" i="54"/>
  <c r="I698" i="54"/>
  <c r="I697" i="54"/>
  <c r="I696" i="54"/>
  <c r="I695" i="54"/>
  <c r="I694" i="54"/>
  <c r="I693" i="54"/>
  <c r="I692" i="54"/>
  <c r="I691" i="54"/>
  <c r="I690" i="54"/>
  <c r="I689" i="54"/>
  <c r="I688" i="54"/>
  <c r="I687" i="54"/>
  <c r="I686" i="54"/>
  <c r="I685" i="54"/>
  <c r="I684" i="54"/>
  <c r="I683" i="54"/>
  <c r="I682" i="54"/>
  <c r="I681" i="54"/>
  <c r="I680" i="54"/>
  <c r="I679" i="54"/>
  <c r="I678" i="54"/>
  <c r="I677" i="54"/>
  <c r="I676" i="54"/>
  <c r="I675" i="54"/>
  <c r="I674" i="54"/>
  <c r="I673" i="54"/>
  <c r="I672" i="54"/>
  <c r="I671" i="54"/>
  <c r="I670" i="54"/>
  <c r="I669" i="54"/>
  <c r="I668" i="54"/>
  <c r="I667" i="54"/>
  <c r="I666" i="54"/>
  <c r="I665" i="54"/>
  <c r="I664" i="54"/>
  <c r="I663" i="54"/>
  <c r="I662" i="54"/>
  <c r="I661" i="54"/>
  <c r="I660" i="54"/>
  <c r="I659" i="54"/>
  <c r="I658" i="54"/>
  <c r="I657" i="54"/>
  <c r="I656" i="54"/>
  <c r="I655" i="54"/>
  <c r="I654" i="54"/>
  <c r="I653" i="54"/>
  <c r="I652" i="54"/>
  <c r="I651" i="54"/>
  <c r="I650" i="54"/>
  <c r="I649" i="54"/>
  <c r="I648" i="54"/>
  <c r="I647" i="54"/>
  <c r="I646" i="54"/>
  <c r="I645" i="54"/>
  <c r="I644" i="54"/>
  <c r="I643" i="54"/>
  <c r="I642" i="54"/>
  <c r="I641" i="54"/>
  <c r="I640" i="54"/>
  <c r="I639" i="54"/>
  <c r="I638" i="54"/>
  <c r="I637" i="54"/>
  <c r="I636" i="54"/>
  <c r="I635" i="54"/>
  <c r="I634" i="54"/>
  <c r="I633" i="54"/>
  <c r="I632" i="54"/>
  <c r="I631" i="54"/>
  <c r="I630" i="54"/>
  <c r="I629" i="54"/>
  <c r="I628" i="54"/>
  <c r="I627" i="54"/>
  <c r="I626" i="54"/>
  <c r="I625" i="54"/>
  <c r="I624" i="54"/>
  <c r="I623" i="54"/>
  <c r="I622" i="54"/>
  <c r="I621" i="54"/>
  <c r="I620" i="54"/>
  <c r="I619" i="54"/>
  <c r="I618" i="54"/>
  <c r="I617" i="54"/>
  <c r="I616" i="54"/>
  <c r="I615" i="54"/>
  <c r="I614" i="54"/>
  <c r="I613" i="54"/>
  <c r="I612" i="54"/>
  <c r="I611" i="54"/>
  <c r="I610" i="54"/>
  <c r="I609" i="54"/>
  <c r="I608" i="54"/>
  <c r="I607" i="54"/>
  <c r="I606" i="54"/>
  <c r="I605" i="54"/>
  <c r="I604" i="54"/>
  <c r="I603" i="54"/>
  <c r="I602" i="54"/>
  <c r="I601" i="54"/>
  <c r="I600" i="54"/>
  <c r="I599" i="54"/>
  <c r="I598" i="54"/>
  <c r="I597" i="54"/>
  <c r="I596" i="54"/>
  <c r="I595" i="54"/>
  <c r="I594" i="54"/>
  <c r="I593" i="54"/>
  <c r="I592" i="54"/>
  <c r="I591" i="54"/>
  <c r="I590" i="54"/>
  <c r="I589" i="54"/>
  <c r="I588" i="54"/>
  <c r="I587" i="54"/>
  <c r="I586" i="54"/>
  <c r="I585" i="54"/>
  <c r="I584" i="54"/>
  <c r="I583" i="54"/>
  <c r="I582" i="54"/>
  <c r="I581" i="54"/>
  <c r="I580" i="54"/>
  <c r="I579" i="54"/>
  <c r="I578" i="54"/>
  <c r="I577" i="54"/>
  <c r="I576" i="54"/>
  <c r="I575" i="54"/>
  <c r="I574" i="54"/>
  <c r="I573" i="54"/>
  <c r="I572" i="54"/>
  <c r="I571" i="54"/>
  <c r="I570" i="54"/>
  <c r="I569" i="54"/>
  <c r="I568" i="54"/>
  <c r="I567" i="54"/>
  <c r="I566" i="54"/>
  <c r="I565" i="54"/>
  <c r="I564" i="54"/>
  <c r="I563" i="54"/>
  <c r="I562" i="54"/>
  <c r="I561" i="54"/>
  <c r="I560" i="54"/>
  <c r="I559" i="54"/>
  <c r="I558" i="54"/>
  <c r="I557" i="54"/>
  <c r="I556" i="54"/>
  <c r="I555" i="54"/>
  <c r="I554" i="54"/>
  <c r="I553" i="54"/>
  <c r="I552" i="54"/>
  <c r="I551" i="54"/>
  <c r="I550" i="54"/>
  <c r="I549" i="54"/>
  <c r="I548" i="54"/>
  <c r="I547" i="54"/>
  <c r="I546" i="54"/>
  <c r="I545" i="54"/>
  <c r="I544" i="54"/>
  <c r="I543" i="54"/>
  <c r="I542" i="54"/>
  <c r="I541" i="54"/>
  <c r="I540" i="54"/>
  <c r="I539" i="54"/>
  <c r="I538" i="54"/>
  <c r="I537" i="54"/>
  <c r="I536" i="54"/>
  <c r="I535" i="54"/>
  <c r="I534" i="54"/>
  <c r="I533" i="54"/>
  <c r="I532" i="54"/>
  <c r="I531" i="54"/>
  <c r="I530" i="54"/>
  <c r="I529" i="54"/>
  <c r="I528" i="54"/>
  <c r="I527" i="54"/>
  <c r="I526" i="54"/>
  <c r="I525" i="54"/>
  <c r="I524" i="54"/>
  <c r="I523" i="54"/>
  <c r="I522" i="54"/>
  <c r="I521" i="54"/>
  <c r="I520" i="54"/>
  <c r="I519" i="54"/>
  <c r="I518" i="54"/>
  <c r="I517" i="54"/>
  <c r="I516" i="54"/>
  <c r="I515" i="54"/>
  <c r="I514" i="54"/>
  <c r="I513" i="54"/>
  <c r="I512" i="54"/>
  <c r="I511" i="54"/>
  <c r="I510" i="54"/>
  <c r="I509" i="54"/>
  <c r="I508" i="54"/>
  <c r="I507" i="54"/>
  <c r="I506" i="54"/>
  <c r="I505" i="54"/>
  <c r="I504" i="54"/>
  <c r="I503" i="54"/>
  <c r="I502" i="54"/>
  <c r="I501" i="54"/>
  <c r="I500" i="54"/>
  <c r="I499" i="54"/>
  <c r="I498" i="54"/>
  <c r="I497" i="54"/>
  <c r="I496" i="54"/>
  <c r="I495" i="54"/>
  <c r="I494" i="54"/>
  <c r="I493" i="54"/>
  <c r="I492" i="54"/>
  <c r="I491" i="54"/>
  <c r="I490" i="54"/>
  <c r="I489" i="54"/>
  <c r="I488" i="54"/>
  <c r="I487" i="54"/>
  <c r="I486" i="54"/>
  <c r="I485" i="54"/>
  <c r="I484" i="54"/>
  <c r="I483" i="54"/>
  <c r="I482" i="54"/>
  <c r="I481" i="54"/>
  <c r="I480" i="54"/>
  <c r="I479" i="54"/>
  <c r="I478" i="54"/>
  <c r="I477" i="54"/>
  <c r="I476" i="54"/>
  <c r="I475" i="54"/>
  <c r="I474" i="54"/>
  <c r="I473" i="54"/>
  <c r="I472" i="54"/>
  <c r="I471" i="54"/>
  <c r="I470" i="54"/>
  <c r="I469" i="54"/>
  <c r="I468" i="54"/>
  <c r="I467" i="54"/>
  <c r="I466" i="54"/>
  <c r="I465" i="54"/>
  <c r="I464" i="54"/>
  <c r="I463" i="54"/>
  <c r="I462" i="54"/>
  <c r="I461" i="54"/>
  <c r="I460" i="54"/>
  <c r="I459" i="54"/>
  <c r="I458" i="54"/>
  <c r="I457" i="54"/>
  <c r="I456" i="54"/>
  <c r="I455" i="54"/>
  <c r="I454" i="54"/>
  <c r="I453" i="54"/>
  <c r="I452" i="54"/>
  <c r="I451" i="54"/>
  <c r="I450" i="54"/>
  <c r="I449" i="54"/>
  <c r="I448" i="54"/>
  <c r="I447" i="54"/>
  <c r="I446" i="54"/>
  <c r="I445" i="54"/>
  <c r="I444" i="54"/>
  <c r="I443" i="54"/>
  <c r="I442" i="54"/>
  <c r="I441" i="54"/>
  <c r="I440" i="54"/>
  <c r="I439" i="54"/>
  <c r="I438" i="54"/>
  <c r="I437" i="54"/>
  <c r="I436" i="54"/>
  <c r="I435" i="54"/>
  <c r="I434" i="54"/>
  <c r="I433" i="54"/>
  <c r="I432" i="54"/>
  <c r="I431" i="54"/>
  <c r="I430" i="54"/>
  <c r="I429" i="54"/>
  <c r="I428" i="54"/>
  <c r="I427" i="54"/>
  <c r="I426" i="54"/>
  <c r="I425" i="54"/>
  <c r="I424" i="54"/>
  <c r="I423" i="54"/>
  <c r="I422" i="54"/>
  <c r="I421" i="54"/>
  <c r="I420" i="54"/>
  <c r="I419" i="54"/>
  <c r="I418" i="54"/>
  <c r="I417" i="54"/>
  <c r="I416" i="54"/>
  <c r="I415" i="54"/>
  <c r="I414" i="54"/>
  <c r="I413" i="54"/>
  <c r="I412" i="54"/>
  <c r="I411" i="54"/>
  <c r="I410" i="54"/>
  <c r="I409" i="54"/>
  <c r="I408" i="54"/>
  <c r="I407" i="54"/>
  <c r="I406" i="54"/>
  <c r="I405" i="54"/>
  <c r="I404" i="54"/>
  <c r="I403" i="54"/>
  <c r="I402" i="54"/>
  <c r="I401" i="54"/>
  <c r="I400" i="54"/>
  <c r="I399" i="54"/>
  <c r="I398" i="54"/>
  <c r="I397" i="54"/>
  <c r="I396" i="54"/>
  <c r="I395" i="54"/>
  <c r="I394" i="54"/>
  <c r="I393" i="54"/>
  <c r="I392" i="54"/>
  <c r="I391" i="54"/>
  <c r="I390" i="54"/>
  <c r="I389" i="54"/>
  <c r="I388" i="54"/>
  <c r="I387" i="54"/>
  <c r="I386" i="54"/>
  <c r="I385" i="54"/>
  <c r="I384" i="54"/>
  <c r="I383" i="54"/>
  <c r="I382" i="54"/>
  <c r="I381" i="54"/>
  <c r="I380" i="54"/>
  <c r="I379" i="54"/>
  <c r="I378" i="54"/>
  <c r="I377" i="54"/>
  <c r="I376" i="54"/>
  <c r="I375" i="54"/>
  <c r="I374" i="54"/>
  <c r="I373" i="54"/>
  <c r="I372" i="54"/>
  <c r="I371" i="54"/>
  <c r="I370" i="54"/>
  <c r="I369" i="54"/>
  <c r="I368" i="54"/>
  <c r="I367" i="54"/>
  <c r="I366" i="54"/>
  <c r="I365" i="54"/>
  <c r="I364" i="54"/>
  <c r="I363" i="54"/>
  <c r="I362" i="54"/>
  <c r="I361" i="54"/>
  <c r="I360" i="54"/>
  <c r="I359" i="54"/>
  <c r="I358" i="54"/>
  <c r="I357" i="54"/>
  <c r="I356" i="54"/>
  <c r="I355" i="54"/>
  <c r="I354" i="54"/>
  <c r="I353" i="54"/>
  <c r="I352" i="54"/>
  <c r="I351" i="54"/>
  <c r="I350" i="54"/>
  <c r="I349" i="54"/>
  <c r="I348" i="54"/>
  <c r="I347" i="54"/>
  <c r="I346" i="54"/>
  <c r="I345" i="54"/>
  <c r="I344" i="54"/>
  <c r="I343" i="54"/>
  <c r="I342" i="54"/>
  <c r="I341" i="54"/>
  <c r="I340" i="54"/>
  <c r="I339" i="54"/>
  <c r="I338" i="54"/>
  <c r="I337" i="54"/>
  <c r="I336" i="54"/>
  <c r="I335" i="54"/>
  <c r="I334" i="54"/>
  <c r="I333" i="54"/>
  <c r="I332" i="54"/>
  <c r="I331" i="54"/>
  <c r="I330" i="54"/>
  <c r="I329" i="54"/>
  <c r="I328" i="54"/>
  <c r="I327" i="54"/>
  <c r="I326" i="54"/>
  <c r="I325" i="54"/>
  <c r="I324" i="54"/>
  <c r="I323" i="54"/>
  <c r="I322" i="54"/>
  <c r="I321" i="54"/>
  <c r="I320" i="54"/>
  <c r="I319" i="54"/>
  <c r="I318" i="54"/>
  <c r="I317" i="54"/>
  <c r="I316" i="54"/>
  <c r="I315" i="54"/>
  <c r="I314" i="54"/>
  <c r="I313" i="54"/>
  <c r="I312" i="54"/>
  <c r="I311" i="54"/>
  <c r="I310" i="54"/>
  <c r="I309" i="54"/>
  <c r="I308" i="54"/>
  <c r="I307" i="54"/>
  <c r="I306" i="54"/>
  <c r="I305" i="54"/>
  <c r="I304" i="54"/>
  <c r="I303" i="54"/>
  <c r="I302" i="54"/>
  <c r="I301" i="54"/>
  <c r="I300" i="54"/>
  <c r="I299" i="54"/>
  <c r="I298" i="54"/>
  <c r="I297" i="54"/>
  <c r="I296" i="54"/>
  <c r="I295" i="54"/>
  <c r="I294" i="54"/>
  <c r="I293" i="54"/>
  <c r="I292" i="54"/>
  <c r="I291" i="54"/>
  <c r="I290" i="54"/>
  <c r="I289" i="54"/>
  <c r="I288" i="54"/>
  <c r="I287" i="54"/>
  <c r="I286" i="54"/>
  <c r="I285" i="54"/>
  <c r="I284" i="54"/>
  <c r="I283" i="54"/>
  <c r="I282" i="54"/>
  <c r="I281" i="54"/>
  <c r="I280" i="54"/>
  <c r="I279" i="54"/>
  <c r="I278" i="54"/>
  <c r="I277" i="54"/>
  <c r="I276" i="54"/>
  <c r="I275" i="54"/>
  <c r="I274" i="54"/>
  <c r="I273" i="54"/>
  <c r="I272" i="54"/>
  <c r="I271" i="54"/>
  <c r="I270" i="54"/>
  <c r="I269" i="54"/>
  <c r="I268" i="54"/>
  <c r="I267" i="54"/>
  <c r="I266" i="54"/>
  <c r="I265" i="54"/>
  <c r="I264" i="54"/>
  <c r="I263" i="54"/>
  <c r="I262" i="54"/>
  <c r="I261" i="54"/>
  <c r="I260" i="54"/>
  <c r="I259" i="54"/>
  <c r="I258" i="54"/>
  <c r="I257" i="54"/>
  <c r="I256" i="54"/>
  <c r="I255" i="54"/>
  <c r="I254" i="54"/>
  <c r="I253" i="54"/>
  <c r="I252" i="54"/>
  <c r="I251" i="54"/>
  <c r="I250" i="54"/>
  <c r="I249" i="54"/>
  <c r="I248" i="54"/>
  <c r="I247" i="54"/>
  <c r="I246" i="54"/>
  <c r="I245" i="54"/>
  <c r="I244" i="54"/>
  <c r="I243" i="54"/>
  <c r="I242" i="54"/>
  <c r="I241" i="54"/>
  <c r="I240" i="54"/>
  <c r="I239" i="54"/>
  <c r="I238" i="54"/>
  <c r="I237" i="54"/>
  <c r="I236" i="54"/>
  <c r="I235" i="54"/>
  <c r="I234" i="54"/>
  <c r="I233" i="54"/>
  <c r="I232" i="54"/>
  <c r="I231" i="54"/>
  <c r="I230" i="54"/>
  <c r="I229" i="54"/>
  <c r="I228" i="54"/>
  <c r="I227" i="54"/>
  <c r="I226" i="54"/>
  <c r="I225" i="54"/>
  <c r="I224" i="54"/>
  <c r="I223" i="54"/>
  <c r="I222" i="54"/>
  <c r="I221" i="54"/>
  <c r="I220" i="54"/>
  <c r="I219" i="54"/>
  <c r="I218" i="54"/>
  <c r="I217" i="54"/>
  <c r="I216" i="54"/>
  <c r="I215" i="54"/>
  <c r="I214" i="54"/>
  <c r="I213" i="54"/>
  <c r="I212" i="54"/>
  <c r="I211" i="54"/>
  <c r="I210" i="54"/>
  <c r="I209" i="54"/>
  <c r="I208" i="54"/>
  <c r="I207" i="54"/>
  <c r="I206" i="54"/>
  <c r="I205" i="54"/>
  <c r="I204" i="54"/>
  <c r="I203" i="54"/>
  <c r="I202" i="54"/>
  <c r="I201" i="54"/>
  <c r="I200" i="54"/>
  <c r="I199" i="54"/>
  <c r="I198" i="54"/>
  <c r="I197" i="54"/>
  <c r="I196" i="54"/>
  <c r="I195" i="54"/>
  <c r="I194" i="54"/>
  <c r="I193" i="54"/>
  <c r="I192" i="54"/>
  <c r="I191" i="54"/>
  <c r="I190" i="54"/>
  <c r="I189" i="54"/>
  <c r="I188" i="54"/>
  <c r="I187" i="54"/>
  <c r="I186" i="54"/>
  <c r="I185" i="54"/>
  <c r="I184" i="54"/>
  <c r="I183" i="54"/>
  <c r="I182" i="54"/>
  <c r="I181" i="54"/>
  <c r="I180" i="54"/>
  <c r="I179" i="54"/>
  <c r="I178" i="54"/>
  <c r="I177" i="54"/>
  <c r="I176" i="54"/>
  <c r="I175" i="54"/>
  <c r="I174" i="54"/>
  <c r="I173" i="54"/>
  <c r="I172" i="54"/>
  <c r="I171" i="54"/>
  <c r="I170" i="54"/>
  <c r="I169" i="54"/>
  <c r="I168" i="54"/>
  <c r="I167" i="54"/>
  <c r="I166" i="54"/>
  <c r="I165" i="54"/>
  <c r="I164" i="54"/>
  <c r="I163" i="54"/>
  <c r="I162" i="54"/>
  <c r="I161" i="54"/>
  <c r="I160" i="54"/>
  <c r="I159" i="54"/>
  <c r="I158" i="54"/>
  <c r="I157" i="54"/>
  <c r="I156" i="54"/>
  <c r="I155" i="54"/>
  <c r="I154" i="54"/>
  <c r="I153" i="54"/>
  <c r="I152" i="54"/>
  <c r="I151" i="54"/>
  <c r="I150" i="54"/>
  <c r="I149" i="54"/>
  <c r="I148" i="54"/>
  <c r="I147" i="54"/>
  <c r="I146" i="54"/>
  <c r="I145" i="54"/>
  <c r="I144" i="54"/>
  <c r="I143" i="54"/>
  <c r="I142" i="54"/>
  <c r="I141" i="54"/>
  <c r="I140" i="54"/>
  <c r="I139" i="54"/>
  <c r="I138" i="54"/>
  <c r="I137" i="54"/>
  <c r="I136" i="54"/>
  <c r="I135" i="54"/>
  <c r="I134" i="54"/>
  <c r="I133" i="54"/>
  <c r="I132" i="54"/>
  <c r="I131" i="54"/>
  <c r="I130" i="54"/>
  <c r="I129" i="54"/>
  <c r="I128" i="54"/>
  <c r="I127" i="54"/>
  <c r="I126" i="54"/>
  <c r="I125" i="54"/>
  <c r="I124" i="54"/>
  <c r="I123" i="54"/>
  <c r="I122" i="54"/>
  <c r="I121" i="54"/>
  <c r="I120" i="54"/>
  <c r="I119" i="54"/>
  <c r="I118" i="54"/>
  <c r="I117" i="54"/>
  <c r="I116" i="54"/>
  <c r="I115" i="54"/>
  <c r="I114" i="54"/>
  <c r="I113" i="54"/>
  <c r="I112" i="54"/>
  <c r="I111" i="54"/>
  <c r="I110" i="54"/>
  <c r="I109" i="54"/>
  <c r="I108" i="54"/>
  <c r="I107" i="54"/>
  <c r="I106" i="54"/>
  <c r="I105" i="54"/>
  <c r="I104" i="54"/>
  <c r="I103" i="54"/>
  <c r="I102" i="54"/>
  <c r="I101" i="54"/>
  <c r="I100" i="54"/>
  <c r="I99" i="54"/>
  <c r="I98" i="54"/>
  <c r="I97" i="54"/>
  <c r="I96" i="54"/>
  <c r="I95" i="54"/>
  <c r="I94" i="54"/>
  <c r="I93" i="54"/>
  <c r="I92" i="54"/>
  <c r="I91" i="54"/>
  <c r="I90" i="54"/>
  <c r="I89" i="54"/>
  <c r="I88" i="54"/>
  <c r="I87" i="54"/>
  <c r="I86" i="54"/>
  <c r="I85" i="54"/>
  <c r="I84" i="54"/>
  <c r="I83" i="54"/>
  <c r="I82" i="54"/>
  <c r="I81" i="54"/>
  <c r="I80" i="54"/>
  <c r="I79" i="54"/>
  <c r="I78" i="54"/>
  <c r="I77" i="54"/>
  <c r="I76" i="54"/>
  <c r="I75" i="54"/>
  <c r="I74" i="54"/>
  <c r="I73" i="54"/>
  <c r="I72" i="54"/>
  <c r="I71" i="54"/>
  <c r="I70" i="54"/>
  <c r="I69" i="54"/>
  <c r="I68" i="54"/>
  <c r="I67" i="54"/>
  <c r="I66" i="54"/>
  <c r="I65" i="54"/>
  <c r="I64" i="54"/>
  <c r="I63" i="54"/>
  <c r="I62" i="54"/>
  <c r="I61" i="54"/>
  <c r="I60" i="54"/>
  <c r="I59" i="54"/>
  <c r="I58" i="54"/>
  <c r="I57" i="54"/>
  <c r="I56" i="54"/>
  <c r="I55" i="54"/>
  <c r="I54" i="54"/>
  <c r="I53" i="54"/>
  <c r="I52" i="54"/>
  <c r="I51" i="54"/>
  <c r="I50" i="54"/>
  <c r="I49" i="54"/>
  <c r="I48" i="54"/>
  <c r="I47" i="54"/>
  <c r="I46" i="54"/>
  <c r="I45" i="54"/>
  <c r="I44" i="54"/>
  <c r="I43" i="54"/>
  <c r="I42" i="54"/>
  <c r="I41" i="54"/>
  <c r="I40" i="54"/>
  <c r="I39" i="54"/>
  <c r="I38" i="54"/>
  <c r="I37" i="54"/>
  <c r="I36" i="54"/>
  <c r="I35" i="54"/>
  <c r="I34" i="54"/>
  <c r="I33" i="54"/>
  <c r="I32" i="54"/>
  <c r="I31" i="54"/>
  <c r="I30" i="54"/>
  <c r="I29" i="54"/>
  <c r="I28" i="54"/>
  <c r="I27" i="54"/>
  <c r="I26" i="54"/>
  <c r="I25" i="54"/>
  <c r="D25" i="54"/>
  <c r="D1200" i="54"/>
  <c r="D1199" i="54"/>
  <c r="D1198" i="54"/>
  <c r="D1197" i="54"/>
  <c r="D1196" i="54"/>
  <c r="D1195" i="54"/>
  <c r="D1194" i="54"/>
  <c r="D1193" i="54"/>
  <c r="D1192" i="54"/>
  <c r="D1191" i="54"/>
  <c r="D1190" i="54"/>
  <c r="D1189" i="54"/>
  <c r="D1188" i="54"/>
  <c r="D1187" i="54"/>
  <c r="D1186" i="54"/>
  <c r="D1185" i="54"/>
  <c r="D1184" i="54"/>
  <c r="D1183" i="54"/>
  <c r="D1182" i="54"/>
  <c r="D1181" i="54"/>
  <c r="D1180" i="54"/>
  <c r="D1179" i="54"/>
  <c r="D1178" i="54"/>
  <c r="D1177" i="54"/>
  <c r="D1176" i="54"/>
  <c r="D1175" i="54"/>
  <c r="D1174" i="54"/>
  <c r="D1173" i="54"/>
  <c r="D1172" i="54"/>
  <c r="D1171" i="54"/>
  <c r="D1170" i="54"/>
  <c r="D1169" i="54"/>
  <c r="D1168" i="54"/>
  <c r="D1167" i="54"/>
  <c r="D1166" i="54"/>
  <c r="D1165" i="54"/>
  <c r="D1164" i="54"/>
  <c r="D1163" i="54"/>
  <c r="D1162" i="54"/>
  <c r="D1161" i="54"/>
  <c r="D1160" i="54"/>
  <c r="D1159" i="54"/>
  <c r="D1158" i="54"/>
  <c r="D1157" i="54"/>
  <c r="D1156" i="54"/>
  <c r="D1155" i="54"/>
  <c r="D1154" i="54"/>
  <c r="D1153" i="54"/>
  <c r="D1152" i="54"/>
  <c r="D1151" i="54"/>
  <c r="D1150" i="54"/>
  <c r="D1149" i="54"/>
  <c r="D1148" i="54"/>
  <c r="D1147" i="54"/>
  <c r="D1146" i="54"/>
  <c r="D1145" i="54"/>
  <c r="D1144" i="54"/>
  <c r="D1143" i="54"/>
  <c r="D1142" i="54"/>
  <c r="D1141" i="54"/>
  <c r="D1140" i="54"/>
  <c r="D1139" i="54"/>
  <c r="D1138" i="54"/>
  <c r="D1137" i="54"/>
  <c r="D1136" i="54"/>
  <c r="D1135" i="54"/>
  <c r="D1134" i="54"/>
  <c r="D1133" i="54"/>
  <c r="D1132" i="54"/>
  <c r="D1131" i="54"/>
  <c r="D1130" i="54"/>
  <c r="D1129" i="54"/>
  <c r="D1128" i="54"/>
  <c r="D1127" i="54"/>
  <c r="D1126" i="54"/>
  <c r="D1125" i="54"/>
  <c r="D1124" i="54"/>
  <c r="D1123" i="54"/>
  <c r="D1122" i="54"/>
  <c r="D1121" i="54"/>
  <c r="D1120" i="54"/>
  <c r="D1119" i="54"/>
  <c r="D1118" i="54"/>
  <c r="D1117" i="54"/>
  <c r="D1116" i="54"/>
  <c r="D1115" i="54"/>
  <c r="D1114" i="54"/>
  <c r="D1113" i="54"/>
  <c r="D1112" i="54"/>
  <c r="D1111" i="54"/>
  <c r="D1110" i="54"/>
  <c r="D1109" i="54"/>
  <c r="D1108" i="54"/>
  <c r="D1107" i="54"/>
  <c r="D1106" i="54"/>
  <c r="D1105" i="54"/>
  <c r="D1104" i="54"/>
  <c r="D1103" i="54"/>
  <c r="D1102" i="54"/>
  <c r="D1101" i="54"/>
  <c r="D1100" i="54"/>
  <c r="D1099" i="54"/>
  <c r="D1098" i="54"/>
  <c r="D1097" i="54"/>
  <c r="D1096" i="54"/>
  <c r="D1095" i="54"/>
  <c r="D1094" i="54"/>
  <c r="D1093" i="54"/>
  <c r="D1092" i="54"/>
  <c r="D1091" i="54"/>
  <c r="D1090" i="54"/>
  <c r="D1089" i="54"/>
  <c r="D1088" i="54"/>
  <c r="D1087" i="54"/>
  <c r="D1086" i="54"/>
  <c r="D1085" i="54"/>
  <c r="D1084" i="54"/>
  <c r="D1083" i="54"/>
  <c r="D1082" i="54"/>
  <c r="D1081" i="54"/>
  <c r="D1080" i="54"/>
  <c r="D1079" i="54"/>
  <c r="D1078" i="54"/>
  <c r="D1077" i="54"/>
  <c r="D1076" i="54"/>
  <c r="D1075" i="54"/>
  <c r="D1074" i="54"/>
  <c r="D1073" i="54"/>
  <c r="D1072" i="54"/>
  <c r="D1071" i="54"/>
  <c r="D1070" i="54"/>
  <c r="D1069" i="54"/>
  <c r="D1068" i="54"/>
  <c r="D1067" i="54"/>
  <c r="D1066" i="54"/>
  <c r="D1065" i="54"/>
  <c r="D1064" i="54"/>
  <c r="D1063" i="54"/>
  <c r="D1062" i="54"/>
  <c r="D1061" i="54"/>
  <c r="D1060" i="54"/>
  <c r="D1059" i="54"/>
  <c r="D1058" i="54"/>
  <c r="D1057" i="54"/>
  <c r="D1056" i="54"/>
  <c r="D1055" i="54"/>
  <c r="D1054" i="54"/>
  <c r="D1053" i="54"/>
  <c r="D1052" i="54"/>
  <c r="D1051" i="54"/>
  <c r="D1050" i="54"/>
  <c r="D1049" i="54"/>
  <c r="D1048" i="54"/>
  <c r="D1047" i="54"/>
  <c r="D1046" i="54"/>
  <c r="D1045" i="54"/>
  <c r="D1044" i="54"/>
  <c r="D1043" i="54"/>
  <c r="D1042" i="54"/>
  <c r="D1041" i="54"/>
  <c r="D1040" i="54"/>
  <c r="D1039" i="54"/>
  <c r="D1038" i="54"/>
  <c r="D1037" i="54"/>
  <c r="D1036" i="54"/>
  <c r="D1035" i="54"/>
  <c r="D1034" i="54"/>
  <c r="D1033" i="54"/>
  <c r="D1032" i="54"/>
  <c r="D1031" i="54"/>
  <c r="D1030" i="54"/>
  <c r="D1029" i="54"/>
  <c r="D1028" i="54"/>
  <c r="D1027" i="54"/>
  <c r="D1026" i="54"/>
  <c r="D1025" i="54"/>
  <c r="D1024" i="54"/>
  <c r="D1023" i="54"/>
  <c r="D1022" i="54"/>
  <c r="D1021" i="54"/>
  <c r="D1020" i="54"/>
  <c r="D1019" i="54"/>
  <c r="D1018" i="54"/>
  <c r="D1017" i="54"/>
  <c r="D1016" i="54"/>
  <c r="D1015" i="54"/>
  <c r="D1014" i="54"/>
  <c r="D1013" i="54"/>
  <c r="D1012" i="54"/>
  <c r="D1011" i="54"/>
  <c r="D1010" i="54"/>
  <c r="D1009" i="54"/>
  <c r="D1008" i="54"/>
  <c r="D1007" i="54"/>
  <c r="D1006" i="54"/>
  <c r="D1005" i="54"/>
  <c r="D1004" i="54"/>
  <c r="D1003" i="54"/>
  <c r="D1002" i="54"/>
  <c r="D1001" i="54"/>
  <c r="D1000" i="54"/>
  <c r="D999" i="54"/>
  <c r="D998" i="54"/>
  <c r="D997" i="54"/>
  <c r="D996" i="54"/>
  <c r="D995" i="54"/>
  <c r="D994" i="54"/>
  <c r="D993" i="54"/>
  <c r="D992" i="54"/>
  <c r="D991" i="54"/>
  <c r="D990" i="54"/>
  <c r="D989" i="54"/>
  <c r="D988" i="54"/>
  <c r="D987" i="54"/>
  <c r="D986" i="54"/>
  <c r="D985" i="54"/>
  <c r="D984" i="54"/>
  <c r="D983" i="54"/>
  <c r="D982" i="54"/>
  <c r="D981" i="54"/>
  <c r="D980" i="54"/>
  <c r="D979" i="54"/>
  <c r="D978" i="54"/>
  <c r="D977" i="54"/>
  <c r="D976" i="54"/>
  <c r="D975" i="54"/>
  <c r="D974" i="54"/>
  <c r="D973" i="54"/>
  <c r="D972" i="54"/>
  <c r="D971" i="54"/>
  <c r="D970" i="54"/>
  <c r="D969" i="54"/>
  <c r="D968" i="54"/>
  <c r="D967" i="54"/>
  <c r="D966" i="54"/>
  <c r="D965" i="54"/>
  <c r="D964" i="54"/>
  <c r="D963" i="54"/>
  <c r="D962" i="54"/>
  <c r="D961" i="54"/>
  <c r="D960" i="54"/>
  <c r="D959" i="54"/>
  <c r="D958" i="54"/>
  <c r="D957" i="54"/>
  <c r="D956" i="54"/>
  <c r="D955" i="54"/>
  <c r="D954" i="54"/>
  <c r="D953" i="54"/>
  <c r="D952" i="54"/>
  <c r="D951" i="54"/>
  <c r="D950" i="54"/>
  <c r="D949" i="54"/>
  <c r="D948" i="54"/>
  <c r="D947" i="54"/>
  <c r="D946" i="54"/>
  <c r="D945" i="54"/>
  <c r="D944" i="54"/>
  <c r="D943" i="54"/>
  <c r="D942" i="54"/>
  <c r="D941" i="54"/>
  <c r="D940" i="54"/>
  <c r="D939" i="54"/>
  <c r="D938" i="54"/>
  <c r="D937" i="54"/>
  <c r="D936" i="54"/>
  <c r="D935" i="54"/>
  <c r="D934" i="54"/>
  <c r="D933" i="54"/>
  <c r="D932" i="54"/>
  <c r="D931" i="54"/>
  <c r="D930" i="54"/>
  <c r="D929" i="54"/>
  <c r="D928" i="54"/>
  <c r="D927" i="54"/>
  <c r="D926" i="54"/>
  <c r="D925" i="54"/>
  <c r="D924" i="54"/>
  <c r="D923" i="54"/>
  <c r="D922" i="54"/>
  <c r="D921" i="54"/>
  <c r="D920" i="54"/>
  <c r="D919" i="54"/>
  <c r="D918" i="54"/>
  <c r="D917" i="54"/>
  <c r="D916" i="54"/>
  <c r="D915" i="54"/>
  <c r="D914" i="54"/>
  <c r="D913" i="54"/>
  <c r="D912" i="54"/>
  <c r="D911" i="54"/>
  <c r="D910" i="54"/>
  <c r="D909" i="54"/>
  <c r="D908" i="54"/>
  <c r="D907" i="54"/>
  <c r="D906" i="54"/>
  <c r="D905" i="54"/>
  <c r="D904" i="54"/>
  <c r="D903" i="54"/>
  <c r="D902" i="54"/>
  <c r="D901" i="54"/>
  <c r="D900" i="54"/>
  <c r="D899" i="54"/>
  <c r="D898" i="54"/>
  <c r="D897" i="54"/>
  <c r="D896" i="54"/>
  <c r="D895" i="54"/>
  <c r="D894" i="54"/>
  <c r="D893" i="54"/>
  <c r="D892" i="54"/>
  <c r="D891" i="54"/>
  <c r="D890" i="54"/>
  <c r="D889" i="54"/>
  <c r="D888" i="54"/>
  <c r="D887" i="54"/>
  <c r="D886" i="54"/>
  <c r="D885" i="54"/>
  <c r="D884" i="54"/>
  <c r="D883" i="54"/>
  <c r="D882" i="54"/>
  <c r="D881" i="54"/>
  <c r="D880" i="54"/>
  <c r="D879" i="54"/>
  <c r="D878" i="54"/>
  <c r="D877" i="54"/>
  <c r="D876" i="54"/>
  <c r="D875" i="54"/>
  <c r="D874" i="54"/>
  <c r="D873" i="54"/>
  <c r="D872" i="54"/>
  <c r="D871" i="54"/>
  <c r="D870" i="54"/>
  <c r="D869" i="54"/>
  <c r="D868" i="54"/>
  <c r="D867" i="54"/>
  <c r="D866" i="54"/>
  <c r="D865" i="54"/>
  <c r="D864" i="54"/>
  <c r="D863" i="54"/>
  <c r="D862" i="54"/>
  <c r="D861" i="54"/>
  <c r="D860" i="54"/>
  <c r="D859" i="54"/>
  <c r="D858" i="54"/>
  <c r="D857" i="54"/>
  <c r="D856" i="54"/>
  <c r="D855" i="54"/>
  <c r="D854" i="54"/>
  <c r="D853" i="54"/>
  <c r="D852" i="54"/>
  <c r="D851" i="54"/>
  <c r="D850" i="54"/>
  <c r="D849" i="54"/>
  <c r="D848" i="54"/>
  <c r="D847" i="54"/>
  <c r="D846" i="54"/>
  <c r="D845" i="54"/>
  <c r="D844" i="54"/>
  <c r="D843" i="54"/>
  <c r="D842" i="54"/>
  <c r="D841" i="54"/>
  <c r="D840" i="54"/>
  <c r="D839" i="54"/>
  <c r="D838" i="54"/>
  <c r="D837" i="54"/>
  <c r="D836" i="54"/>
  <c r="D835" i="54"/>
  <c r="D834" i="54"/>
  <c r="D833" i="54"/>
  <c r="D832" i="54"/>
  <c r="D831" i="54"/>
  <c r="D830" i="54"/>
  <c r="D829" i="54"/>
  <c r="D828" i="54"/>
  <c r="D827" i="54"/>
  <c r="D826" i="54"/>
  <c r="D825" i="54"/>
  <c r="D824" i="54"/>
  <c r="D823" i="54"/>
  <c r="D822" i="54"/>
  <c r="D821" i="54"/>
  <c r="D820" i="54"/>
  <c r="D819" i="54"/>
  <c r="D818" i="54"/>
  <c r="D817" i="54"/>
  <c r="D816" i="54"/>
  <c r="D815" i="54"/>
  <c r="D814" i="54"/>
  <c r="D813" i="54"/>
  <c r="D812" i="54"/>
  <c r="D811" i="54"/>
  <c r="D810" i="54"/>
  <c r="D809" i="54"/>
  <c r="D808" i="54"/>
  <c r="D807" i="54"/>
  <c r="D806" i="54"/>
  <c r="D805" i="54"/>
  <c r="D804" i="54"/>
  <c r="D803" i="54"/>
  <c r="D802" i="54"/>
  <c r="D801" i="54"/>
  <c r="D800" i="54"/>
  <c r="D799" i="54"/>
  <c r="D798" i="54"/>
  <c r="D797" i="54"/>
  <c r="D796" i="54"/>
  <c r="D795" i="54"/>
  <c r="D794" i="54"/>
  <c r="D793" i="54"/>
  <c r="D792" i="54"/>
  <c r="D791" i="54"/>
  <c r="D790" i="54"/>
  <c r="D789" i="54"/>
  <c r="D788" i="54"/>
  <c r="D787" i="54"/>
  <c r="D786" i="54"/>
  <c r="D785" i="54"/>
  <c r="D784" i="54"/>
  <c r="D783" i="54"/>
  <c r="D782" i="54"/>
  <c r="D781" i="54"/>
  <c r="D780" i="54"/>
  <c r="D779" i="54"/>
  <c r="D778" i="54"/>
  <c r="D777" i="54"/>
  <c r="D776" i="54"/>
  <c r="D775" i="54"/>
  <c r="D774" i="54"/>
  <c r="D773" i="54"/>
  <c r="D772" i="54"/>
  <c r="D771" i="54"/>
  <c r="D770" i="54"/>
  <c r="D769" i="54"/>
  <c r="D768" i="54"/>
  <c r="D767" i="54"/>
  <c r="D766" i="54"/>
  <c r="D765" i="54"/>
  <c r="D764" i="54"/>
  <c r="D763" i="54"/>
  <c r="D762" i="54"/>
  <c r="D761" i="54"/>
  <c r="D760" i="54"/>
  <c r="D759" i="54"/>
  <c r="D758" i="54"/>
  <c r="D757" i="54"/>
  <c r="D756" i="54"/>
  <c r="D755" i="54"/>
  <c r="D754" i="54"/>
  <c r="D753" i="54"/>
  <c r="D752" i="54"/>
  <c r="D751" i="54"/>
  <c r="D750" i="54"/>
  <c r="D749" i="54"/>
  <c r="D748" i="54"/>
  <c r="D747" i="54"/>
  <c r="D746" i="54"/>
  <c r="D745" i="54"/>
  <c r="D744" i="54"/>
  <c r="D743" i="54"/>
  <c r="D742" i="54"/>
  <c r="D741" i="54"/>
  <c r="D740" i="54"/>
  <c r="D739" i="54"/>
  <c r="D738" i="54"/>
  <c r="D737" i="54"/>
  <c r="D736" i="54"/>
  <c r="D735" i="54"/>
  <c r="D734" i="54"/>
  <c r="D733" i="54"/>
  <c r="D732" i="54"/>
  <c r="D731" i="54"/>
  <c r="D730" i="54"/>
  <c r="D729" i="54"/>
  <c r="D728" i="54"/>
  <c r="D727" i="54"/>
  <c r="D726" i="54"/>
  <c r="D725" i="54"/>
  <c r="D724" i="54"/>
  <c r="D723" i="54"/>
  <c r="D722" i="54"/>
  <c r="D721" i="54"/>
  <c r="D720" i="54"/>
  <c r="D719" i="54"/>
  <c r="D718" i="54"/>
  <c r="D717" i="54"/>
  <c r="D716" i="54"/>
  <c r="D715" i="54"/>
  <c r="D714" i="54"/>
  <c r="D713" i="54"/>
  <c r="D712" i="54"/>
  <c r="D711" i="54"/>
  <c r="D710" i="54"/>
  <c r="D709" i="54"/>
  <c r="D708" i="54"/>
  <c r="D707" i="54"/>
  <c r="D706" i="54"/>
  <c r="D705" i="54"/>
  <c r="D704" i="54"/>
  <c r="D703" i="54"/>
  <c r="D702" i="54"/>
  <c r="D701" i="54"/>
  <c r="D700" i="54"/>
  <c r="D699" i="54"/>
  <c r="D698" i="54"/>
  <c r="D697" i="54"/>
  <c r="D696" i="54"/>
  <c r="D695" i="54"/>
  <c r="D694" i="54"/>
  <c r="D693" i="54"/>
  <c r="D692" i="54"/>
  <c r="D691" i="54"/>
  <c r="D690" i="54"/>
  <c r="D689" i="54"/>
  <c r="D688" i="54"/>
  <c r="D687" i="54"/>
  <c r="D686" i="54"/>
  <c r="D685" i="54"/>
  <c r="D684" i="54"/>
  <c r="D683" i="54"/>
  <c r="D682" i="54"/>
  <c r="D681" i="54"/>
  <c r="D680" i="54"/>
  <c r="D679" i="54"/>
  <c r="D678" i="54"/>
  <c r="D677" i="54"/>
  <c r="D676" i="54"/>
  <c r="D675" i="54"/>
  <c r="D674" i="54"/>
  <c r="D673" i="54"/>
  <c r="D672" i="54"/>
  <c r="D671" i="54"/>
  <c r="D670" i="54"/>
  <c r="D669" i="54"/>
  <c r="D668" i="54"/>
  <c r="D667" i="54"/>
  <c r="D666" i="54"/>
  <c r="D665" i="54"/>
  <c r="D664" i="54"/>
  <c r="D663" i="54"/>
  <c r="D662" i="54"/>
  <c r="D661" i="54"/>
  <c r="D660" i="54"/>
  <c r="D659" i="54"/>
  <c r="D658" i="54"/>
  <c r="D657" i="54"/>
  <c r="D656" i="54"/>
  <c r="D655" i="54"/>
  <c r="D654" i="54"/>
  <c r="D653" i="54"/>
  <c r="D652" i="54"/>
  <c r="D651" i="54"/>
  <c r="D650" i="54"/>
  <c r="D649" i="54"/>
  <c r="D648" i="54"/>
  <c r="D647" i="54"/>
  <c r="D646" i="54"/>
  <c r="D645" i="54"/>
  <c r="D644" i="54"/>
  <c r="D643" i="54"/>
  <c r="D642" i="54"/>
  <c r="D641" i="54"/>
  <c r="D640" i="54"/>
  <c r="D639" i="54"/>
  <c r="D638" i="54"/>
  <c r="D637" i="54"/>
  <c r="D636" i="54"/>
  <c r="D635" i="54"/>
  <c r="D634" i="54"/>
  <c r="D633" i="54"/>
  <c r="D632" i="54"/>
  <c r="D631" i="54"/>
  <c r="D630" i="54"/>
  <c r="D629" i="54"/>
  <c r="D628" i="54"/>
  <c r="D627" i="54"/>
  <c r="D626" i="54"/>
  <c r="D625" i="54"/>
  <c r="D624" i="54"/>
  <c r="D623" i="54"/>
  <c r="D622" i="54"/>
  <c r="D621" i="54"/>
  <c r="D620" i="54"/>
  <c r="D619" i="54"/>
  <c r="D618" i="54"/>
  <c r="D617" i="54"/>
  <c r="D616" i="54"/>
  <c r="D615" i="54"/>
  <c r="D614" i="54"/>
  <c r="D613" i="54"/>
  <c r="D612" i="54"/>
  <c r="D611" i="54"/>
  <c r="D610" i="54"/>
  <c r="D609" i="54"/>
  <c r="D608" i="54"/>
  <c r="D607" i="54"/>
  <c r="D606" i="54"/>
  <c r="D605" i="54"/>
  <c r="D604" i="54"/>
  <c r="D603" i="54"/>
  <c r="D602" i="54"/>
  <c r="D601" i="54"/>
  <c r="D600" i="54"/>
  <c r="D599" i="54"/>
  <c r="D598" i="54"/>
  <c r="D597" i="54"/>
  <c r="D596" i="54"/>
  <c r="D595" i="54"/>
  <c r="D594" i="54"/>
  <c r="D593" i="54"/>
  <c r="D592" i="54"/>
  <c r="D591" i="54"/>
  <c r="D590" i="54"/>
  <c r="D589" i="54"/>
  <c r="D588" i="54"/>
  <c r="D587" i="54"/>
  <c r="D586" i="54"/>
  <c r="D585" i="54"/>
  <c r="D584" i="54"/>
  <c r="D583" i="54"/>
  <c r="D582" i="54"/>
  <c r="D581" i="54"/>
  <c r="D580" i="54"/>
  <c r="D579" i="54"/>
  <c r="D578" i="54"/>
  <c r="D577" i="54"/>
  <c r="D576" i="54"/>
  <c r="D575" i="54"/>
  <c r="D574" i="54"/>
  <c r="D573" i="54"/>
  <c r="D572" i="54"/>
  <c r="D571" i="54"/>
  <c r="D570" i="54"/>
  <c r="D569" i="54"/>
  <c r="D568" i="54"/>
  <c r="D567" i="54"/>
  <c r="D566" i="54"/>
  <c r="D565" i="54"/>
  <c r="D564" i="54"/>
  <c r="D563" i="54"/>
  <c r="D562" i="54"/>
  <c r="D561" i="54"/>
  <c r="D560" i="54"/>
  <c r="D559" i="54"/>
  <c r="D558" i="54"/>
  <c r="D557" i="54"/>
  <c r="D556" i="54"/>
  <c r="D555" i="54"/>
  <c r="D554" i="54"/>
  <c r="D553" i="54"/>
  <c r="D552" i="54"/>
  <c r="D551" i="54"/>
  <c r="D550" i="54"/>
  <c r="D549" i="54"/>
  <c r="D548" i="54"/>
  <c r="D547" i="54"/>
  <c r="D546" i="54"/>
  <c r="D545" i="54"/>
  <c r="D544" i="54"/>
  <c r="D543" i="54"/>
  <c r="D542" i="54"/>
  <c r="D541" i="54"/>
  <c r="D540" i="54"/>
  <c r="D539" i="54"/>
  <c r="D538" i="54"/>
  <c r="D537" i="54"/>
  <c r="D536" i="54"/>
  <c r="D535" i="54"/>
  <c r="D534" i="54"/>
  <c r="D533" i="54"/>
  <c r="D532" i="54"/>
  <c r="D531" i="54"/>
  <c r="D530" i="54"/>
  <c r="D529" i="54"/>
  <c r="D528" i="54"/>
  <c r="D527" i="54"/>
  <c r="D526" i="54"/>
  <c r="D525" i="54"/>
  <c r="D524" i="54"/>
  <c r="D523" i="54"/>
  <c r="D522" i="54"/>
  <c r="D521" i="54"/>
  <c r="D520" i="54"/>
  <c r="D519" i="54"/>
  <c r="D518" i="54"/>
  <c r="D517" i="54"/>
  <c r="D516" i="54"/>
  <c r="D515" i="54"/>
  <c r="D514" i="54"/>
  <c r="D513" i="54"/>
  <c r="D512" i="54"/>
  <c r="D511" i="54"/>
  <c r="D510" i="54"/>
  <c r="D509" i="54"/>
  <c r="D508" i="54"/>
  <c r="D507" i="54"/>
  <c r="D506" i="54"/>
  <c r="D505" i="54"/>
  <c r="D504" i="54"/>
  <c r="D503" i="54"/>
  <c r="D502" i="54"/>
  <c r="D501" i="54"/>
  <c r="D500" i="54"/>
  <c r="D499" i="54"/>
  <c r="D498" i="54"/>
  <c r="D497" i="54"/>
  <c r="D496" i="54"/>
  <c r="D495" i="54"/>
  <c r="D494" i="54"/>
  <c r="D493" i="54"/>
  <c r="D492" i="54"/>
  <c r="D491" i="54"/>
  <c r="D490" i="54"/>
  <c r="D489" i="54"/>
  <c r="D488" i="54"/>
  <c r="D487" i="54"/>
  <c r="D486" i="54"/>
  <c r="D485" i="54"/>
  <c r="D484" i="54"/>
  <c r="D483" i="54"/>
  <c r="D482" i="54"/>
  <c r="D481" i="54"/>
  <c r="D480" i="54"/>
  <c r="D479" i="54"/>
  <c r="D478" i="54"/>
  <c r="D477" i="54"/>
  <c r="D476" i="54"/>
  <c r="D475" i="54"/>
  <c r="D474" i="54"/>
  <c r="D473" i="54"/>
  <c r="D472" i="54"/>
  <c r="D471" i="54"/>
  <c r="D470" i="54"/>
  <c r="D469" i="54"/>
  <c r="D468" i="54"/>
  <c r="D467" i="54"/>
  <c r="D466" i="54"/>
  <c r="D465" i="54"/>
  <c r="D464" i="54"/>
  <c r="D463" i="54"/>
  <c r="D462" i="54"/>
  <c r="D461" i="54"/>
  <c r="D460" i="54"/>
  <c r="D459" i="54"/>
  <c r="D458" i="54"/>
  <c r="D457" i="54"/>
  <c r="D456" i="54"/>
  <c r="D455" i="54"/>
  <c r="D454" i="54"/>
  <c r="D453" i="54"/>
  <c r="D452" i="54"/>
  <c r="D451" i="54"/>
  <c r="D450" i="54"/>
  <c r="D449" i="54"/>
  <c r="D448" i="54"/>
  <c r="D447" i="54"/>
  <c r="D446" i="54"/>
  <c r="D445" i="54"/>
  <c r="D444" i="54"/>
  <c r="D443" i="54"/>
  <c r="D442" i="54"/>
  <c r="D441" i="54"/>
  <c r="D440" i="54"/>
  <c r="D439" i="54"/>
  <c r="D438" i="54"/>
  <c r="D437" i="54"/>
  <c r="D436" i="54"/>
  <c r="D435" i="54"/>
  <c r="D434" i="54"/>
  <c r="D433" i="54"/>
  <c r="D432" i="54"/>
  <c r="D431" i="54"/>
  <c r="D430" i="54"/>
  <c r="D429" i="54"/>
  <c r="D428" i="54"/>
  <c r="D427" i="54"/>
  <c r="D426" i="54"/>
  <c r="D425" i="54"/>
  <c r="D424" i="54"/>
  <c r="D423" i="54"/>
  <c r="D422" i="54"/>
  <c r="D421" i="54"/>
  <c r="D420" i="54"/>
  <c r="D419" i="54"/>
  <c r="D418" i="54"/>
  <c r="D417" i="54"/>
  <c r="D416" i="54"/>
  <c r="D415" i="54"/>
  <c r="D414" i="54"/>
  <c r="D413" i="54"/>
  <c r="D412" i="54"/>
  <c r="D411" i="54"/>
  <c r="D410" i="54"/>
  <c r="D409" i="54"/>
  <c r="D408" i="54"/>
  <c r="D407" i="54"/>
  <c r="D406" i="54"/>
  <c r="D405" i="54"/>
  <c r="D404" i="54"/>
  <c r="D403" i="54"/>
  <c r="D402" i="54"/>
  <c r="D401" i="54"/>
  <c r="D400" i="54"/>
  <c r="D399" i="54"/>
  <c r="D398" i="54"/>
  <c r="D397" i="54"/>
  <c r="D396" i="54"/>
  <c r="D395" i="54"/>
  <c r="D394" i="54"/>
  <c r="D393" i="54"/>
  <c r="D392" i="54"/>
  <c r="D391" i="54"/>
  <c r="D390" i="54"/>
  <c r="D389" i="54"/>
  <c r="D388" i="54"/>
  <c r="D387" i="54"/>
  <c r="D386" i="54"/>
  <c r="D385" i="54"/>
  <c r="D384" i="54"/>
  <c r="D383" i="54"/>
  <c r="D382" i="54"/>
  <c r="D381" i="54"/>
  <c r="D380" i="54"/>
  <c r="D379" i="54"/>
  <c r="D378" i="54"/>
  <c r="D377" i="54"/>
  <c r="D376" i="54"/>
  <c r="D375" i="54"/>
  <c r="D374" i="54"/>
  <c r="D373" i="54"/>
  <c r="D372" i="54"/>
  <c r="D371" i="54"/>
  <c r="D370" i="54"/>
  <c r="D369" i="54"/>
  <c r="D368" i="54"/>
  <c r="D367" i="54"/>
  <c r="D366" i="54"/>
  <c r="D365" i="54"/>
  <c r="D364" i="54"/>
  <c r="D363" i="54"/>
  <c r="D362" i="54"/>
  <c r="D361" i="54"/>
  <c r="D360" i="54"/>
  <c r="D359" i="54"/>
  <c r="D358" i="54"/>
  <c r="D357" i="54"/>
  <c r="D356" i="54"/>
  <c r="D355" i="54"/>
  <c r="D354" i="54"/>
  <c r="D353" i="54"/>
  <c r="D352" i="54"/>
  <c r="D351" i="54"/>
  <c r="D350" i="54"/>
  <c r="D349" i="54"/>
  <c r="D348" i="54"/>
  <c r="D347" i="54"/>
  <c r="D346" i="54"/>
  <c r="D345" i="54"/>
  <c r="D344" i="54"/>
  <c r="D343" i="54"/>
  <c r="D342" i="54"/>
  <c r="D341" i="54"/>
  <c r="D340" i="54"/>
  <c r="D339" i="54"/>
  <c r="D338" i="54"/>
  <c r="D337" i="54"/>
  <c r="D336" i="54"/>
  <c r="D335" i="54"/>
  <c r="D334" i="54"/>
  <c r="D333" i="54"/>
  <c r="D332" i="54"/>
  <c r="D331" i="54"/>
  <c r="D330" i="54"/>
  <c r="D329" i="54"/>
  <c r="D328" i="54"/>
  <c r="D327" i="54"/>
  <c r="D326" i="54"/>
  <c r="D325" i="54"/>
  <c r="D324" i="54"/>
  <c r="D323" i="54"/>
  <c r="D322" i="54"/>
  <c r="D321" i="54"/>
  <c r="D320" i="54"/>
  <c r="D319" i="54"/>
  <c r="D318" i="54"/>
  <c r="D317" i="54"/>
  <c r="D316" i="54"/>
  <c r="D315" i="54"/>
  <c r="D314" i="54"/>
  <c r="D313" i="54"/>
  <c r="D312" i="54"/>
  <c r="D311" i="54"/>
  <c r="D310" i="54"/>
  <c r="D309" i="54"/>
  <c r="D308" i="54"/>
  <c r="D307" i="54"/>
  <c r="D306" i="54"/>
  <c r="D305" i="54"/>
  <c r="D304" i="54"/>
  <c r="D303" i="54"/>
  <c r="D302" i="54"/>
  <c r="D301" i="54"/>
  <c r="D300" i="54"/>
  <c r="D299" i="54"/>
  <c r="D298" i="54"/>
  <c r="D297" i="54"/>
  <c r="D296" i="54"/>
  <c r="D295" i="54"/>
  <c r="D294" i="54"/>
  <c r="D293" i="54"/>
  <c r="D292" i="54"/>
  <c r="D291" i="54"/>
  <c r="D290" i="54"/>
  <c r="D289" i="54"/>
  <c r="D288" i="54"/>
  <c r="D287" i="54"/>
  <c r="D286" i="54"/>
  <c r="D285" i="54"/>
  <c r="D284" i="54"/>
  <c r="D283" i="54"/>
  <c r="D282" i="54"/>
  <c r="D281" i="54"/>
  <c r="D280" i="54"/>
  <c r="D279" i="54"/>
  <c r="D278" i="54"/>
  <c r="D277" i="54"/>
  <c r="D276" i="54"/>
  <c r="D275" i="54"/>
  <c r="D274" i="54"/>
  <c r="D273" i="54"/>
  <c r="D272" i="54"/>
  <c r="D271" i="54"/>
  <c r="D270" i="54"/>
  <c r="D269" i="54"/>
  <c r="D268" i="54"/>
  <c r="D267" i="54"/>
  <c r="D266" i="54"/>
  <c r="D265" i="54"/>
  <c r="D264" i="54"/>
  <c r="D263" i="54"/>
  <c r="D262" i="54"/>
  <c r="D261" i="54"/>
  <c r="D260" i="54"/>
  <c r="D259" i="54"/>
  <c r="D258" i="54"/>
  <c r="D257" i="54"/>
  <c r="D256" i="54"/>
  <c r="D255" i="54"/>
  <c r="D254" i="54"/>
  <c r="D253" i="54"/>
  <c r="D252" i="54"/>
  <c r="D251" i="54"/>
  <c r="D250" i="54"/>
  <c r="D249" i="54"/>
  <c r="D248" i="54"/>
  <c r="D247" i="54"/>
  <c r="D246" i="54"/>
  <c r="D245" i="54"/>
  <c r="D244" i="54"/>
  <c r="D243" i="54"/>
  <c r="D242" i="54"/>
  <c r="D241" i="54"/>
  <c r="D240" i="54"/>
  <c r="D239" i="54"/>
  <c r="D238" i="54"/>
  <c r="D237" i="54"/>
  <c r="D236" i="54"/>
  <c r="D235" i="54"/>
  <c r="D234" i="54"/>
  <c r="D233" i="54"/>
  <c r="D232" i="54"/>
  <c r="D231" i="54"/>
  <c r="D230" i="54"/>
  <c r="D229" i="54"/>
  <c r="D228" i="54"/>
  <c r="D227" i="54"/>
  <c r="D226" i="54"/>
  <c r="D225" i="54"/>
  <c r="D224" i="54"/>
  <c r="D223" i="54"/>
  <c r="D222" i="54"/>
  <c r="D221" i="54"/>
  <c r="D220" i="54"/>
  <c r="D219" i="54"/>
  <c r="D218" i="54"/>
  <c r="D217" i="54"/>
  <c r="D216" i="54"/>
  <c r="D215" i="54"/>
  <c r="D214" i="54"/>
  <c r="D213" i="54"/>
  <c r="D212" i="54"/>
  <c r="D211" i="54"/>
  <c r="D210" i="54"/>
  <c r="D209" i="54"/>
  <c r="D208" i="54"/>
  <c r="D207" i="54"/>
  <c r="D206" i="54"/>
  <c r="D205" i="54"/>
  <c r="D204" i="54"/>
  <c r="D203" i="54"/>
  <c r="D202" i="54"/>
  <c r="D201" i="54"/>
  <c r="D200" i="54"/>
  <c r="D199" i="54"/>
  <c r="D198" i="54"/>
  <c r="D197" i="54"/>
  <c r="D196" i="54"/>
  <c r="D195" i="54"/>
  <c r="D194" i="54"/>
  <c r="D193" i="54"/>
  <c r="D192" i="54"/>
  <c r="D191" i="54"/>
  <c r="D190" i="54"/>
  <c r="D189" i="54"/>
  <c r="D188" i="54"/>
  <c r="D187" i="54"/>
  <c r="D186" i="54"/>
  <c r="D185" i="54"/>
  <c r="D184" i="54"/>
  <c r="D183" i="54"/>
  <c r="D182" i="54"/>
  <c r="D181" i="54"/>
  <c r="D180" i="54"/>
  <c r="D179" i="54"/>
  <c r="D178" i="54"/>
  <c r="D177" i="54"/>
  <c r="D176" i="54"/>
  <c r="D175" i="54"/>
  <c r="D174" i="54"/>
  <c r="D173" i="54"/>
  <c r="D172" i="54"/>
  <c r="D171" i="54"/>
  <c r="D170" i="54"/>
  <c r="D169" i="54"/>
  <c r="D168" i="54"/>
  <c r="D167" i="54"/>
  <c r="D166" i="54"/>
  <c r="D165" i="54"/>
  <c r="D164" i="54"/>
  <c r="D163" i="54"/>
  <c r="D162" i="54"/>
  <c r="D161" i="54"/>
  <c r="D160" i="54"/>
  <c r="D159" i="54"/>
  <c r="D158" i="54"/>
  <c r="D157" i="54"/>
  <c r="D156" i="54"/>
  <c r="D155" i="54"/>
  <c r="D154" i="54"/>
  <c r="D153" i="54"/>
  <c r="D152" i="54"/>
  <c r="D151" i="54"/>
  <c r="D150" i="54"/>
  <c r="D149" i="54"/>
  <c r="D148" i="54"/>
  <c r="D147" i="54"/>
  <c r="D146" i="54"/>
  <c r="D145" i="54"/>
  <c r="D144" i="54"/>
  <c r="D143" i="54"/>
  <c r="D142" i="54"/>
  <c r="D141" i="54"/>
  <c r="D140" i="54"/>
  <c r="D139" i="54"/>
  <c r="D138" i="54"/>
  <c r="D137" i="54"/>
  <c r="D136" i="54"/>
  <c r="D135" i="54"/>
  <c r="D134" i="54"/>
  <c r="D133" i="54"/>
  <c r="D132" i="54"/>
  <c r="D131" i="54"/>
  <c r="D130" i="54"/>
  <c r="D129" i="54"/>
  <c r="D128" i="54"/>
  <c r="D127" i="54"/>
  <c r="D126" i="54"/>
  <c r="D125" i="54"/>
  <c r="D124" i="54"/>
  <c r="D123" i="54"/>
  <c r="D122" i="54"/>
  <c r="D121" i="54"/>
  <c r="D120" i="54"/>
  <c r="D119" i="54"/>
  <c r="D118" i="54"/>
  <c r="D117" i="54"/>
  <c r="D116" i="54"/>
  <c r="D115" i="54"/>
  <c r="D114" i="54"/>
  <c r="D113" i="54"/>
  <c r="D112" i="54"/>
  <c r="D111" i="54"/>
  <c r="D110" i="54"/>
  <c r="D109" i="54"/>
  <c r="D108" i="54"/>
  <c r="D107" i="54"/>
  <c r="D106" i="54"/>
  <c r="D105" i="54"/>
  <c r="D104" i="54"/>
  <c r="D103" i="54"/>
  <c r="D102" i="54"/>
  <c r="D101" i="54"/>
  <c r="D100" i="54"/>
  <c r="D99" i="54"/>
  <c r="D98" i="54"/>
  <c r="D97" i="54"/>
  <c r="D96" i="54"/>
  <c r="D95" i="54"/>
  <c r="D94" i="54"/>
  <c r="D93" i="54"/>
  <c r="D92" i="54"/>
  <c r="D91" i="54"/>
  <c r="D90" i="54"/>
  <c r="D89" i="54"/>
  <c r="D88" i="54"/>
  <c r="D87" i="54"/>
  <c r="D86" i="54"/>
  <c r="D85" i="54"/>
  <c r="D84" i="54"/>
  <c r="D83" i="54"/>
  <c r="D82" i="54"/>
  <c r="D81" i="54"/>
  <c r="D80" i="54"/>
  <c r="D79" i="54"/>
  <c r="D78" i="54"/>
  <c r="D77" i="54"/>
  <c r="D76" i="54"/>
  <c r="D75" i="54"/>
  <c r="D74" i="54"/>
  <c r="D73" i="54"/>
  <c r="D72" i="54"/>
  <c r="D71" i="54"/>
  <c r="D70" i="54"/>
  <c r="D69" i="54"/>
  <c r="D68" i="54"/>
  <c r="D67" i="54"/>
  <c r="D66" i="54"/>
  <c r="D65" i="54"/>
  <c r="D64" i="54"/>
  <c r="D63" i="54"/>
  <c r="D62" i="54"/>
  <c r="D61" i="54"/>
  <c r="D60" i="54"/>
  <c r="D59" i="54"/>
  <c r="D58" i="54"/>
  <c r="D57" i="54"/>
  <c r="D56" i="54"/>
  <c r="D55" i="54"/>
  <c r="D54" i="54"/>
  <c r="D53" i="54"/>
  <c r="D52" i="54"/>
  <c r="D51" i="54"/>
  <c r="D50" i="54"/>
  <c r="D49" i="54"/>
  <c r="D48" i="54"/>
  <c r="D47" i="54"/>
  <c r="D46" i="54"/>
  <c r="D45" i="54"/>
  <c r="D44" i="54"/>
  <c r="D43" i="54"/>
  <c r="D42" i="54"/>
  <c r="D41" i="54"/>
  <c r="D40" i="54"/>
  <c r="D39" i="54"/>
  <c r="D38" i="54"/>
  <c r="D37" i="54"/>
  <c r="D36" i="54"/>
  <c r="D35" i="54"/>
  <c r="D34" i="54"/>
  <c r="D33" i="54"/>
  <c r="D32" i="54"/>
  <c r="D31" i="54"/>
  <c r="D30" i="54"/>
  <c r="D29" i="54"/>
  <c r="D28" i="54"/>
  <c r="D27" i="54"/>
  <c r="D26" i="54"/>
  <c r="AO34" i="53"/>
  <c r="AO33" i="53"/>
  <c r="AO32" i="53"/>
  <c r="AO31" i="53"/>
  <c r="AO30" i="53"/>
  <c r="AO29" i="53"/>
  <c r="AO28" i="53"/>
  <c r="AO27" i="53"/>
  <c r="AO26" i="53"/>
  <c r="AO25" i="53"/>
  <c r="AO24" i="53"/>
  <c r="AO23" i="53"/>
  <c r="AO22" i="53"/>
  <c r="AO21" i="53"/>
  <c r="AO20" i="53"/>
  <c r="AO19" i="53"/>
  <c r="AO18" i="53"/>
  <c r="AO17" i="53"/>
  <c r="AO16" i="53"/>
  <c r="AO15" i="53"/>
  <c r="AO14" i="53"/>
  <c r="AO13" i="53"/>
  <c r="AO12" i="53"/>
  <c r="AO11" i="53"/>
  <c r="AO10" i="53"/>
  <c r="AO9" i="53"/>
  <c r="AO8" i="53"/>
  <c r="AO7" i="53"/>
  <c r="AO6" i="53"/>
  <c r="AO5" i="53"/>
  <c r="AI34" i="53"/>
  <c r="AI33" i="53"/>
  <c r="AI32" i="53"/>
  <c r="AI31" i="53"/>
  <c r="AI30" i="53"/>
  <c r="AI29" i="53"/>
  <c r="AI28" i="53"/>
  <c r="AI27" i="53"/>
  <c r="AI26" i="53"/>
  <c r="AI25" i="53"/>
  <c r="AI24" i="53"/>
  <c r="AI23" i="53"/>
  <c r="AI22" i="53"/>
  <c r="AI21" i="53"/>
  <c r="AI20" i="53"/>
  <c r="AI19" i="53"/>
  <c r="AI18" i="53"/>
  <c r="AI17" i="53"/>
  <c r="AI16" i="53"/>
  <c r="AI15" i="53"/>
  <c r="AI14" i="53"/>
  <c r="AI13" i="53"/>
  <c r="AI12" i="53"/>
  <c r="AI11" i="53"/>
  <c r="AI10" i="53"/>
  <c r="AI9" i="53"/>
  <c r="AI8" i="53"/>
  <c r="AI7" i="53"/>
  <c r="AI6" i="53"/>
  <c r="AI5" i="53"/>
  <c r="Z34" i="53"/>
  <c r="Z33" i="53"/>
  <c r="Z32" i="53"/>
  <c r="Z31" i="53"/>
  <c r="Z30" i="53"/>
  <c r="Z29" i="53"/>
  <c r="Z28" i="53"/>
  <c r="Z27" i="53"/>
  <c r="Z26" i="53"/>
  <c r="Z25" i="53"/>
  <c r="Z24" i="53"/>
  <c r="Z23" i="53"/>
  <c r="Z22" i="53"/>
  <c r="Z21" i="53"/>
  <c r="Z20" i="53"/>
  <c r="Z19" i="53"/>
  <c r="Z18" i="53"/>
  <c r="Z17" i="53"/>
  <c r="Z16" i="53"/>
  <c r="Z15" i="53"/>
  <c r="Z14" i="53"/>
  <c r="Z13" i="53"/>
  <c r="Z12" i="53"/>
  <c r="Z11" i="53"/>
  <c r="Z10" i="53"/>
  <c r="Z9" i="53"/>
  <c r="Z8" i="53"/>
  <c r="Z7" i="53"/>
  <c r="Z6" i="53"/>
  <c r="Z5" i="53"/>
  <c r="L34" i="53"/>
  <c r="L33" i="53"/>
  <c r="L32" i="53"/>
  <c r="L31" i="53"/>
  <c r="L30" i="53"/>
  <c r="L29" i="53"/>
  <c r="L28" i="53"/>
  <c r="L27" i="53"/>
  <c r="L26" i="53"/>
  <c r="L25" i="53"/>
  <c r="L24" i="53"/>
  <c r="L23" i="53"/>
  <c r="L22" i="53"/>
  <c r="L21" i="53"/>
  <c r="L20" i="53"/>
  <c r="L19" i="53"/>
  <c r="L18" i="53"/>
  <c r="L17" i="53"/>
  <c r="L16" i="53"/>
  <c r="L15" i="53"/>
  <c r="L14" i="53"/>
  <c r="L13" i="53"/>
  <c r="L12" i="53"/>
  <c r="L11" i="53"/>
  <c r="L10" i="53"/>
  <c r="L9" i="53"/>
  <c r="L8" i="53"/>
  <c r="L7" i="53"/>
  <c r="L6" i="53"/>
  <c r="L5" i="53"/>
  <c r="E34" i="53"/>
  <c r="E33" i="53"/>
  <c r="E32" i="53"/>
  <c r="E31" i="53"/>
  <c r="E30" i="53"/>
  <c r="E29" i="53"/>
  <c r="E28" i="53"/>
  <c r="E27" i="53"/>
  <c r="E26" i="53"/>
  <c r="E25" i="53"/>
  <c r="E24" i="53"/>
  <c r="E23" i="53"/>
  <c r="E22" i="53"/>
  <c r="E21" i="53"/>
  <c r="E20" i="53"/>
  <c r="E19" i="53"/>
  <c r="E18" i="53"/>
  <c r="E17" i="53"/>
  <c r="E16" i="53"/>
  <c r="E15" i="53"/>
  <c r="E14" i="53"/>
  <c r="E13" i="53"/>
  <c r="E12" i="53"/>
  <c r="E11" i="53"/>
  <c r="E10" i="53"/>
  <c r="E9" i="53"/>
  <c r="E8" i="53"/>
  <c r="E7" i="53"/>
  <c r="E6" i="53"/>
  <c r="E5" i="53"/>
  <c r="C34" i="53"/>
  <c r="C33" i="53"/>
  <c r="C32" i="53"/>
  <c r="C31" i="53"/>
  <c r="C30" i="53"/>
  <c r="C29" i="53"/>
  <c r="C28" i="53"/>
  <c r="C27" i="53"/>
  <c r="C26" i="53"/>
  <c r="C25" i="53"/>
  <c r="C24" i="53"/>
  <c r="C23" i="53"/>
  <c r="C22" i="53"/>
  <c r="C21" i="53"/>
  <c r="C20" i="53"/>
  <c r="C19" i="53"/>
  <c r="C18" i="53"/>
  <c r="C17" i="53"/>
  <c r="C16" i="53"/>
  <c r="C15" i="53"/>
  <c r="C14" i="53"/>
  <c r="C13" i="53"/>
  <c r="C12" i="53"/>
  <c r="C11" i="53"/>
  <c r="C10" i="53"/>
  <c r="C9" i="53"/>
  <c r="C8" i="53"/>
  <c r="C7" i="53"/>
  <c r="C6" i="53"/>
  <c r="C5" i="53"/>
  <c r="G14" i="52"/>
  <c r="G13" i="52"/>
  <c r="G12" i="52"/>
  <c r="G11" i="52"/>
  <c r="G10" i="52"/>
  <c r="G9" i="52"/>
  <c r="G8" i="52"/>
  <c r="G7" i="52"/>
  <c r="C35" i="52"/>
  <c r="D20" i="52" l="1"/>
  <c r="G24" i="52"/>
  <c r="H24" i="52" s="1"/>
  <c r="H22" i="52"/>
  <c r="H25" i="52"/>
  <c r="H26" i="52"/>
  <c r="H21" i="52"/>
  <c r="H19" i="52"/>
  <c r="H23" i="52"/>
  <c r="H20" i="52"/>
  <c r="D8" i="52"/>
  <c r="D13" i="52"/>
  <c r="D9" i="52"/>
  <c r="H7" i="52"/>
  <c r="H12" i="52"/>
  <c r="H10" i="52"/>
  <c r="H8" i="52"/>
  <c r="H14" i="52"/>
  <c r="H13" i="52"/>
  <c r="H11" i="52"/>
  <c r="H9" i="52"/>
  <c r="D25" i="52"/>
  <c r="D16" i="52"/>
  <c r="D7" i="52"/>
  <c r="D10" i="52"/>
  <c r="D15" i="52"/>
  <c r="D17" i="52"/>
  <c r="D31" i="52"/>
  <c r="D33" i="52"/>
  <c r="D29" i="52"/>
  <c r="D11" i="52"/>
  <c r="D27" i="52"/>
  <c r="D18" i="52"/>
  <c r="D32" i="52"/>
  <c r="D34" i="52"/>
  <c r="D24" i="52"/>
  <c r="D30" i="52"/>
  <c r="D23" i="52"/>
  <c r="D22" i="52"/>
  <c r="D14" i="52"/>
  <c r="D28" i="52"/>
  <c r="D19" i="52"/>
  <c r="D21" i="52"/>
  <c r="D12" i="52"/>
  <c r="D26" i="52"/>
  <c r="H27" i="52" l="1"/>
  <c r="D35" i="52"/>
  <c r="H15" i="52"/>
  <c r="Y21" i="12" l="1"/>
  <c r="Y22" i="12" s="1"/>
  <c r="Y23" i="12" s="1"/>
  <c r="Y24" i="12" s="1"/>
  <c r="Z21" i="12"/>
  <c r="Z22" i="12" s="1"/>
  <c r="Z23" i="12" s="1"/>
  <c r="Z24" i="12" s="1"/>
  <c r="AA21" i="12"/>
  <c r="AA22" i="12" s="1"/>
  <c r="AA23" i="12" s="1"/>
  <c r="AA24" i="12" s="1"/>
  <c r="AB21" i="12"/>
  <c r="AB22" i="12" s="1"/>
  <c r="AB23" i="12" s="1"/>
  <c r="AB24" i="12" s="1"/>
  <c r="AC21" i="12"/>
  <c r="AC22" i="12" s="1"/>
  <c r="AC23" i="12" s="1"/>
  <c r="AC24" i="12" s="1"/>
  <c r="AD21" i="12"/>
  <c r="AD22" i="12" s="1"/>
  <c r="AD23" i="12" s="1"/>
  <c r="AD24" i="12" s="1"/>
  <c r="AE21" i="12"/>
  <c r="AE22" i="12" s="1"/>
  <c r="AE23" i="12" s="1"/>
  <c r="AE24" i="12" s="1"/>
  <c r="AF21" i="12"/>
  <c r="AF22" i="12" s="1"/>
  <c r="AF23" i="12" s="1"/>
  <c r="AF24" i="12" s="1"/>
  <c r="AG21" i="12"/>
  <c r="AG22" i="12" s="1"/>
  <c r="AG23" i="12" s="1"/>
  <c r="AG24" i="12" s="1"/>
  <c r="AH21" i="12"/>
  <c r="AH22" i="12" s="1"/>
  <c r="AH23" i="12" s="1"/>
  <c r="AH24" i="12" s="1"/>
  <c r="X21" i="12"/>
  <c r="X22" i="12" s="1"/>
  <c r="X23" i="12" s="1"/>
  <c r="X24" i="12" s="1"/>
  <c r="B20" i="51" l="1"/>
  <c r="C20" i="51"/>
  <c r="D20" i="51"/>
  <c r="E20" i="51"/>
  <c r="F20" i="51"/>
  <c r="G20" i="51"/>
  <c r="H20" i="51"/>
  <c r="I20" i="51"/>
  <c r="B21" i="51"/>
  <c r="C21" i="51"/>
  <c r="D21" i="51"/>
  <c r="E21" i="51"/>
  <c r="F21" i="51"/>
  <c r="G21" i="51"/>
  <c r="H21" i="51"/>
  <c r="I21" i="51"/>
  <c r="B22" i="51"/>
  <c r="C22" i="51"/>
  <c r="D22" i="51"/>
  <c r="E22" i="51"/>
  <c r="F22" i="51"/>
  <c r="G22" i="51"/>
  <c r="H22" i="51"/>
  <c r="I22" i="51"/>
  <c r="B23" i="51"/>
  <c r="C23" i="51"/>
  <c r="D23" i="51"/>
  <c r="E23" i="51"/>
  <c r="F23" i="51"/>
  <c r="G23" i="51"/>
  <c r="H23" i="51"/>
  <c r="I23" i="51"/>
  <c r="B24" i="51"/>
  <c r="C24" i="51"/>
  <c r="D24" i="51"/>
  <c r="E24" i="51"/>
  <c r="F24" i="51"/>
  <c r="G24" i="51"/>
  <c r="H24" i="51"/>
  <c r="I24" i="51"/>
  <c r="B25" i="51"/>
  <c r="C25" i="51"/>
  <c r="D25" i="51"/>
  <c r="E25" i="51"/>
  <c r="F25" i="51"/>
  <c r="G25" i="51"/>
  <c r="H25" i="51"/>
  <c r="I25" i="51"/>
  <c r="B26" i="51"/>
  <c r="C26" i="51"/>
  <c r="D26" i="51"/>
  <c r="E26" i="51"/>
  <c r="F26" i="51"/>
  <c r="G26" i="51"/>
  <c r="H26" i="51"/>
  <c r="I26" i="51"/>
  <c r="B27" i="51"/>
  <c r="C27" i="51"/>
  <c r="D27" i="51"/>
  <c r="E27" i="51"/>
  <c r="F27" i="51"/>
  <c r="G27" i="51"/>
  <c r="H27" i="51"/>
  <c r="I27" i="51"/>
  <c r="B28" i="51"/>
  <c r="C28" i="51"/>
  <c r="D28" i="51"/>
  <c r="E28" i="51"/>
  <c r="F28" i="51"/>
  <c r="G28" i="51"/>
  <c r="H28" i="51"/>
  <c r="I28" i="51"/>
  <c r="I19" i="51"/>
  <c r="G19" i="51"/>
  <c r="F19" i="51"/>
  <c r="C19" i="51"/>
  <c r="B19" i="51"/>
  <c r="H19" i="51"/>
  <c r="E19" i="51"/>
  <c r="D19" i="51"/>
  <c r="I32" i="51" l="1"/>
  <c r="E32" i="51"/>
  <c r="H32" i="51"/>
  <c r="D32" i="51"/>
  <c r="C32" i="51"/>
  <c r="G32" i="51"/>
  <c r="F32" i="51"/>
  <c r="B32" i="51"/>
  <c r="B31" i="51"/>
  <c r="H31" i="51"/>
  <c r="F31" i="51"/>
  <c r="D31" i="51"/>
  <c r="J19" i="51"/>
  <c r="I31" i="51"/>
  <c r="G31" i="51"/>
  <c r="E31" i="51"/>
  <c r="C31" i="51"/>
  <c r="J28" i="51"/>
  <c r="J27" i="51"/>
  <c r="J26" i="51"/>
  <c r="J25" i="51"/>
  <c r="J24" i="51"/>
  <c r="J23" i="51"/>
  <c r="J22" i="51"/>
  <c r="J21" i="51"/>
  <c r="J20" i="51"/>
  <c r="J31" i="51" l="1"/>
  <c r="B34" i="51" s="1"/>
  <c r="J32" i="51"/>
  <c r="D35" i="51" s="1"/>
  <c r="G34" i="51" l="1"/>
  <c r="C34" i="51"/>
  <c r="E34" i="51"/>
  <c r="B35" i="51"/>
  <c r="I34" i="51"/>
  <c r="H34" i="51"/>
  <c r="F34" i="51"/>
  <c r="D34" i="51"/>
  <c r="I35" i="51"/>
  <c r="C35" i="51"/>
  <c r="G35" i="51"/>
  <c r="H35" i="51"/>
  <c r="E35" i="51"/>
  <c r="F35" i="51"/>
  <c r="C155" i="11" l="1"/>
  <c r="D155" i="11"/>
  <c r="C156" i="11"/>
  <c r="D156" i="11"/>
  <c r="C157" i="11"/>
  <c r="D157" i="11"/>
  <c r="C158" i="11"/>
  <c r="D158" i="11"/>
  <c r="C159" i="11"/>
  <c r="D159" i="11"/>
  <c r="C160" i="11"/>
  <c r="D160" i="11"/>
  <c r="C161" i="11"/>
  <c r="D161" i="11"/>
  <c r="C162" i="11"/>
  <c r="D162" i="11"/>
  <c r="C163" i="11"/>
  <c r="D163" i="11"/>
  <c r="C164" i="11"/>
  <c r="D164" i="11"/>
  <c r="C165" i="11"/>
  <c r="D165" i="11"/>
  <c r="C166" i="11"/>
  <c r="D166" i="11"/>
  <c r="C167" i="11"/>
  <c r="D167" i="11"/>
  <c r="C168" i="11"/>
  <c r="D168" i="11"/>
  <c r="C169" i="11"/>
  <c r="D169" i="11"/>
  <c r="C170" i="11"/>
  <c r="D170" i="11"/>
  <c r="C171" i="11"/>
  <c r="D171" i="11"/>
  <c r="C172" i="11"/>
  <c r="D172" i="11"/>
  <c r="C173" i="11"/>
  <c r="D173" i="11"/>
  <c r="C174" i="11"/>
  <c r="D174" i="11"/>
  <c r="C175" i="11"/>
  <c r="D175" i="11"/>
  <c r="C176" i="11"/>
  <c r="D176" i="11"/>
  <c r="C177" i="11"/>
  <c r="D177" i="11"/>
  <c r="C178" i="11"/>
  <c r="D178" i="11"/>
  <c r="C179" i="11"/>
  <c r="D179" i="11"/>
  <c r="I397" i="28" l="1"/>
  <c r="I403" i="28" s="1"/>
  <c r="I384" i="28"/>
  <c r="I390" i="28" s="1"/>
  <c r="I371" i="28"/>
  <c r="I377" i="28" s="1"/>
  <c r="I358" i="28"/>
  <c r="I364" i="28" s="1"/>
  <c r="I345" i="28"/>
  <c r="I351" i="28" s="1"/>
  <c r="I332" i="28"/>
  <c r="I338" i="28" s="1"/>
  <c r="I319" i="28"/>
  <c r="I325" i="28" s="1"/>
  <c r="I306" i="28"/>
  <c r="I312" i="28" s="1"/>
  <c r="I293" i="28"/>
  <c r="I299" i="28" s="1"/>
  <c r="I280" i="28"/>
  <c r="I286" i="28" s="1"/>
  <c r="I267" i="28"/>
  <c r="I273" i="28" s="1"/>
  <c r="I254" i="28"/>
  <c r="I260" i="28" s="1"/>
  <c r="I241" i="28"/>
  <c r="I247" i="28" s="1"/>
  <c r="I228" i="28"/>
  <c r="I234" i="28" s="1"/>
  <c r="I215" i="28"/>
  <c r="I221" i="28" s="1"/>
  <c r="I202" i="28"/>
  <c r="I208" i="28" s="1"/>
  <c r="I189" i="28"/>
  <c r="I195" i="28" s="1"/>
  <c r="I176" i="28"/>
  <c r="I182" i="28" s="1"/>
  <c r="I163" i="28"/>
  <c r="I169" i="28" s="1"/>
  <c r="I150" i="28"/>
  <c r="I156" i="28" s="1"/>
  <c r="I137" i="28"/>
  <c r="I143" i="28" s="1"/>
  <c r="I124" i="28"/>
  <c r="I125" i="28" s="1"/>
  <c r="I131" i="28" s="1"/>
  <c r="I111" i="28"/>
  <c r="I117" i="28" s="1"/>
  <c r="I98" i="28"/>
  <c r="I99" i="28" s="1"/>
  <c r="I105" i="28" s="1"/>
  <c r="I85" i="28"/>
  <c r="I91" i="28" s="1"/>
  <c r="I72" i="28"/>
  <c r="I73" i="28" s="1"/>
  <c r="I79" i="28" s="1"/>
  <c r="I59" i="28"/>
  <c r="I65" i="28" s="1"/>
  <c r="I46" i="28"/>
  <c r="I52" i="28" s="1"/>
  <c r="I33" i="28"/>
  <c r="I39" i="28" s="1"/>
  <c r="I20" i="28"/>
  <c r="I26" i="28" s="1"/>
  <c r="I7" i="28"/>
  <c r="I112" i="28" l="1"/>
  <c r="I118" i="28" s="1"/>
  <c r="I86" i="28"/>
  <c r="I92" i="28" s="1"/>
  <c r="I78" i="28"/>
  <c r="I104" i="28"/>
  <c r="I130" i="28"/>
  <c r="I13" i="28"/>
  <c r="I398" i="28"/>
  <c r="I333" i="28"/>
  <c r="I346" i="28"/>
  <c r="I359" i="28"/>
  <c r="I372" i="28"/>
  <c r="I385" i="28"/>
  <c r="I268" i="28"/>
  <c r="I281" i="28"/>
  <c r="I294" i="28"/>
  <c r="I307" i="28"/>
  <c r="I320" i="28"/>
  <c r="I203" i="28"/>
  <c r="I216" i="28"/>
  <c r="I229" i="28"/>
  <c r="I242" i="28"/>
  <c r="I255" i="28"/>
  <c r="I138" i="28"/>
  <c r="I151" i="28"/>
  <c r="I164" i="28"/>
  <c r="I177" i="28"/>
  <c r="I190" i="28"/>
  <c r="I74" i="28"/>
  <c r="I100" i="28"/>
  <c r="I113" i="28"/>
  <c r="I126" i="28"/>
  <c r="I60" i="28"/>
  <c r="I47" i="28"/>
  <c r="I34" i="28"/>
  <c r="I21" i="28"/>
  <c r="I8" i="28"/>
  <c r="C52" i="19"/>
  <c r="I87" i="28" l="1"/>
  <c r="I93" i="28" s="1"/>
  <c r="I404" i="28"/>
  <c r="I399" i="28"/>
  <c r="I378" i="28"/>
  <c r="I373" i="28"/>
  <c r="I352" i="28"/>
  <c r="I347" i="28"/>
  <c r="I391" i="28"/>
  <c r="I386" i="28"/>
  <c r="I365" i="28"/>
  <c r="I360" i="28"/>
  <c r="I339" i="28"/>
  <c r="I334" i="28"/>
  <c r="I313" i="28"/>
  <c r="I308" i="28"/>
  <c r="I326" i="28"/>
  <c r="I321" i="28"/>
  <c r="I300" i="28"/>
  <c r="I295" i="28"/>
  <c r="I274" i="28"/>
  <c r="I269" i="28"/>
  <c r="I287" i="28"/>
  <c r="I282" i="28"/>
  <c r="I248" i="28"/>
  <c r="I243" i="28"/>
  <c r="I222" i="28"/>
  <c r="I217" i="28"/>
  <c r="I261" i="28"/>
  <c r="I256" i="28"/>
  <c r="I235" i="28"/>
  <c r="I230" i="28"/>
  <c r="I209" i="28"/>
  <c r="I204" i="28"/>
  <c r="I183" i="28"/>
  <c r="I178" i="28"/>
  <c r="I196" i="28"/>
  <c r="I191" i="28"/>
  <c r="I170" i="28"/>
  <c r="I165" i="28"/>
  <c r="I139" i="28"/>
  <c r="I144" i="28"/>
  <c r="I157" i="28"/>
  <c r="I152" i="28"/>
  <c r="I132" i="28"/>
  <c r="I127" i="28"/>
  <c r="I106" i="28"/>
  <c r="I101" i="28"/>
  <c r="I80" i="28"/>
  <c r="I75" i="28"/>
  <c r="I119" i="28"/>
  <c r="I114" i="28"/>
  <c r="I66" i="28"/>
  <c r="I61" i="28"/>
  <c r="I53" i="28"/>
  <c r="I48" i="28"/>
  <c r="I40" i="28"/>
  <c r="I35" i="28"/>
  <c r="I27" i="28"/>
  <c r="I22" i="28"/>
  <c r="I14" i="28"/>
  <c r="I9" i="28"/>
  <c r="I88" i="28" l="1"/>
  <c r="I94" i="28" s="1"/>
  <c r="I405" i="28"/>
  <c r="I400" i="28"/>
  <c r="I366" i="28"/>
  <c r="I361" i="28"/>
  <c r="I353" i="28"/>
  <c r="I348" i="28"/>
  <c r="I340" i="28"/>
  <c r="I335" i="28"/>
  <c r="I392" i="28"/>
  <c r="I387" i="28"/>
  <c r="I379" i="28"/>
  <c r="I374" i="28"/>
  <c r="I288" i="28"/>
  <c r="I283" i="28"/>
  <c r="I301" i="28"/>
  <c r="I296" i="28"/>
  <c r="I327" i="28"/>
  <c r="I322" i="28"/>
  <c r="I275" i="28"/>
  <c r="I270" i="28"/>
  <c r="I314" i="28"/>
  <c r="I309" i="28"/>
  <c r="I236" i="28"/>
  <c r="I231" i="28"/>
  <c r="I262" i="28"/>
  <c r="I257" i="28"/>
  <c r="I223" i="28"/>
  <c r="I218" i="28"/>
  <c r="I249" i="28"/>
  <c r="I244" i="28"/>
  <c r="I210" i="28"/>
  <c r="I205" i="28"/>
  <c r="I145" i="28"/>
  <c r="I140" i="28"/>
  <c r="I158" i="28"/>
  <c r="I153" i="28"/>
  <c r="I171" i="28"/>
  <c r="I166" i="28"/>
  <c r="I197" i="28"/>
  <c r="I192" i="28"/>
  <c r="I184" i="28"/>
  <c r="I179" i="28"/>
  <c r="I120" i="28"/>
  <c r="I115" i="28"/>
  <c r="I121" i="28" s="1"/>
  <c r="I81" i="28"/>
  <c r="I76" i="28"/>
  <c r="I82" i="28" s="1"/>
  <c r="I107" i="28"/>
  <c r="I102" i="28"/>
  <c r="I108" i="28" s="1"/>
  <c r="I133" i="28"/>
  <c r="I128" i="28"/>
  <c r="I134" i="28" s="1"/>
  <c r="I67" i="28"/>
  <c r="I62" i="28"/>
  <c r="I54" i="28"/>
  <c r="I49" i="28"/>
  <c r="I41" i="28"/>
  <c r="I36" i="28"/>
  <c r="I28" i="28"/>
  <c r="I23" i="28"/>
  <c r="I15" i="28"/>
  <c r="I10" i="28"/>
  <c r="A316" i="23"/>
  <c r="A311" i="23"/>
  <c r="A306" i="23"/>
  <c r="A301" i="23"/>
  <c r="A296" i="23"/>
  <c r="A291" i="23"/>
  <c r="A286" i="23"/>
  <c r="A281" i="23"/>
  <c r="A276" i="23"/>
  <c r="A271" i="23"/>
  <c r="A266" i="23"/>
  <c r="A261" i="23"/>
  <c r="A254" i="23"/>
  <c r="A249" i="23"/>
  <c r="A244" i="23"/>
  <c r="A239" i="23"/>
  <c r="A234" i="23"/>
  <c r="A229" i="23"/>
  <c r="A224" i="23"/>
  <c r="A219" i="23"/>
  <c r="A214" i="23"/>
  <c r="A209" i="23"/>
  <c r="A204" i="23"/>
  <c r="A199" i="23"/>
  <c r="A192" i="23"/>
  <c r="A187" i="23"/>
  <c r="A182" i="23"/>
  <c r="A177" i="23"/>
  <c r="A172" i="23"/>
  <c r="A167" i="23"/>
  <c r="A162" i="23"/>
  <c r="A157" i="23"/>
  <c r="A152" i="23"/>
  <c r="A147" i="23"/>
  <c r="A142" i="23"/>
  <c r="A137" i="23"/>
  <c r="A130" i="23"/>
  <c r="A125" i="23"/>
  <c r="A120" i="23"/>
  <c r="A115" i="23"/>
  <c r="A110" i="23"/>
  <c r="A105" i="23"/>
  <c r="A100" i="23"/>
  <c r="A95" i="23"/>
  <c r="A90" i="23"/>
  <c r="A85" i="23"/>
  <c r="A80" i="23"/>
  <c r="A75" i="23"/>
  <c r="A68" i="23"/>
  <c r="I89" i="28" l="1"/>
  <c r="I95" i="28" s="1"/>
  <c r="A106" i="23"/>
  <c r="B311" i="23"/>
  <c r="A86" i="23"/>
  <c r="B316" i="23"/>
  <c r="B147" i="23"/>
  <c r="A91" i="23"/>
  <c r="A76" i="23"/>
  <c r="A116" i="23"/>
  <c r="A126" i="23"/>
  <c r="A111" i="23"/>
  <c r="A131" i="23"/>
  <c r="A96" i="23"/>
  <c r="A81" i="23"/>
  <c r="A121" i="23"/>
  <c r="B80" i="23"/>
  <c r="B90" i="23"/>
  <c r="F157" i="23"/>
  <c r="F167" i="23"/>
  <c r="F177" i="23"/>
  <c r="F187" i="23"/>
  <c r="F199" i="23"/>
  <c r="F209" i="23"/>
  <c r="F219" i="23"/>
  <c r="F239" i="23"/>
  <c r="F249" i="23"/>
  <c r="F261" i="23"/>
  <c r="F271" i="23"/>
  <c r="F291" i="23"/>
  <c r="F301" i="23"/>
  <c r="F85" i="23"/>
  <c r="B75" i="23"/>
  <c r="F80" i="23"/>
  <c r="B85" i="23"/>
  <c r="F90" i="23"/>
  <c r="B95" i="23"/>
  <c r="F311" i="23"/>
  <c r="F152" i="23"/>
  <c r="F162" i="23"/>
  <c r="F172" i="23"/>
  <c r="F182" i="23"/>
  <c r="F192" i="23"/>
  <c r="F204" i="23"/>
  <c r="F214" i="23"/>
  <c r="F224" i="23"/>
  <c r="F244" i="23"/>
  <c r="F254" i="23"/>
  <c r="F266" i="23"/>
  <c r="F286" i="23"/>
  <c r="F296" i="23"/>
  <c r="F306" i="23"/>
  <c r="F75" i="23"/>
  <c r="F95" i="23"/>
  <c r="F316" i="23"/>
  <c r="I406" i="28"/>
  <c r="I401" i="28"/>
  <c r="I407" i="28" s="1"/>
  <c r="I380" i="28"/>
  <c r="I375" i="28"/>
  <c r="I381" i="28" s="1"/>
  <c r="I393" i="28"/>
  <c r="I388" i="28"/>
  <c r="I394" i="28" s="1"/>
  <c r="I341" i="28"/>
  <c r="I336" i="28"/>
  <c r="I342" i="28" s="1"/>
  <c r="I354" i="28"/>
  <c r="I349" i="28"/>
  <c r="I355" i="28" s="1"/>
  <c r="I367" i="28"/>
  <c r="I362" i="28"/>
  <c r="I368" i="28" s="1"/>
  <c r="I315" i="28"/>
  <c r="I310" i="28"/>
  <c r="I316" i="28" s="1"/>
  <c r="I276" i="28"/>
  <c r="I271" i="28"/>
  <c r="I277" i="28" s="1"/>
  <c r="I328" i="28"/>
  <c r="I323" i="28"/>
  <c r="I329" i="28" s="1"/>
  <c r="I302" i="28"/>
  <c r="I297" i="28"/>
  <c r="I303" i="28" s="1"/>
  <c r="I289" i="28"/>
  <c r="I284" i="28"/>
  <c r="I290" i="28" s="1"/>
  <c r="I211" i="28"/>
  <c r="I206" i="28"/>
  <c r="I212" i="28" s="1"/>
  <c r="I250" i="28"/>
  <c r="I245" i="28"/>
  <c r="I251" i="28" s="1"/>
  <c r="I224" i="28"/>
  <c r="I219" i="28"/>
  <c r="I225" i="28" s="1"/>
  <c r="I263" i="28"/>
  <c r="I258" i="28"/>
  <c r="I264" i="28" s="1"/>
  <c r="I237" i="28"/>
  <c r="I232" i="28"/>
  <c r="I238" i="28" s="1"/>
  <c r="I185" i="28"/>
  <c r="I180" i="28"/>
  <c r="I186" i="28" s="1"/>
  <c r="I198" i="28"/>
  <c r="I193" i="28"/>
  <c r="I199" i="28" s="1"/>
  <c r="I172" i="28"/>
  <c r="I167" i="28"/>
  <c r="I173" i="28" s="1"/>
  <c r="I159" i="28"/>
  <c r="I154" i="28"/>
  <c r="I160" i="28" s="1"/>
  <c r="I146" i="28"/>
  <c r="I141" i="28"/>
  <c r="I147" i="28" s="1"/>
  <c r="I68" i="28"/>
  <c r="I63" i="28"/>
  <c r="I69" i="28" s="1"/>
  <c r="I55" i="28"/>
  <c r="I50" i="28"/>
  <c r="I56" i="28" s="1"/>
  <c r="I42" i="28"/>
  <c r="I37" i="28"/>
  <c r="I43" i="28" s="1"/>
  <c r="I29" i="28"/>
  <c r="I24" i="28"/>
  <c r="I30" i="28" s="1"/>
  <c r="I16" i="28"/>
  <c r="I11" i="28"/>
  <c r="G137" i="23"/>
  <c r="A138" i="23"/>
  <c r="G142" i="23"/>
  <c r="A143" i="23"/>
  <c r="G147" i="23"/>
  <c r="A148" i="23"/>
  <c r="B137" i="23"/>
  <c r="F137" i="23"/>
  <c r="B142" i="23"/>
  <c r="F142" i="23"/>
  <c r="F147" i="23"/>
  <c r="B152" i="23"/>
  <c r="B157" i="23"/>
  <c r="B162" i="23"/>
  <c r="B167" i="23"/>
  <c r="B172" i="23"/>
  <c r="B177" i="23"/>
  <c r="B182" i="23"/>
  <c r="B187" i="23"/>
  <c r="B192" i="23"/>
  <c r="B199" i="23"/>
  <c r="B204" i="23"/>
  <c r="B209" i="23"/>
  <c r="B214" i="23"/>
  <c r="B219" i="23"/>
  <c r="B224" i="23"/>
  <c r="F229" i="23"/>
  <c r="B229" i="23"/>
  <c r="F234" i="23"/>
  <c r="B234" i="23"/>
  <c r="G152" i="23"/>
  <c r="A153" i="23"/>
  <c r="G157" i="23"/>
  <c r="A158" i="23"/>
  <c r="G162" i="23"/>
  <c r="A163" i="23"/>
  <c r="G167" i="23"/>
  <c r="A168" i="23"/>
  <c r="G172" i="23"/>
  <c r="A173" i="23"/>
  <c r="G177" i="23"/>
  <c r="A178" i="23"/>
  <c r="G182" i="23"/>
  <c r="A183" i="23"/>
  <c r="G187" i="23"/>
  <c r="A188" i="23"/>
  <c r="G192" i="23"/>
  <c r="A193" i="23"/>
  <c r="G199" i="23"/>
  <c r="A200" i="23"/>
  <c r="G204" i="23"/>
  <c r="A205" i="23"/>
  <c r="G209" i="23"/>
  <c r="A210" i="23"/>
  <c r="G214" i="23"/>
  <c r="A215" i="23"/>
  <c r="G219" i="23"/>
  <c r="A220" i="23"/>
  <c r="G224" i="23"/>
  <c r="A225" i="23"/>
  <c r="G229" i="23"/>
  <c r="A230" i="23"/>
  <c r="G234" i="23"/>
  <c r="A235" i="23"/>
  <c r="F276" i="23"/>
  <c r="B276" i="23"/>
  <c r="A282" i="23"/>
  <c r="F281" i="23"/>
  <c r="B281" i="23"/>
  <c r="B239" i="23"/>
  <c r="B244" i="23"/>
  <c r="B249" i="23"/>
  <c r="B254" i="23"/>
  <c r="B261" i="23"/>
  <c r="B266" i="23"/>
  <c r="B271" i="23"/>
  <c r="G276" i="23"/>
  <c r="A277" i="23"/>
  <c r="G281" i="23"/>
  <c r="G239" i="23"/>
  <c r="A240" i="23"/>
  <c r="G244" i="23"/>
  <c r="A245" i="23"/>
  <c r="G249" i="23"/>
  <c r="A250" i="23"/>
  <c r="G254" i="23"/>
  <c r="A255" i="23"/>
  <c r="G261" i="23"/>
  <c r="A262" i="23"/>
  <c r="G266" i="23"/>
  <c r="A267" i="23"/>
  <c r="G271" i="23"/>
  <c r="A272" i="23"/>
  <c r="B286" i="23"/>
  <c r="B291" i="23"/>
  <c r="B296" i="23"/>
  <c r="B301" i="23"/>
  <c r="B306" i="23"/>
  <c r="G286" i="23"/>
  <c r="A287" i="23"/>
  <c r="G291" i="23"/>
  <c r="A292" i="23"/>
  <c r="G296" i="23"/>
  <c r="A297" i="23"/>
  <c r="G301" i="23"/>
  <c r="A302" i="23"/>
  <c r="G306" i="23"/>
  <c r="A307" i="23"/>
  <c r="G311" i="23"/>
  <c r="A312" i="23"/>
  <c r="G316" i="23"/>
  <c r="A317" i="23"/>
  <c r="A82" i="23"/>
  <c r="G81" i="23"/>
  <c r="F81" i="23"/>
  <c r="B81" i="23"/>
  <c r="A92" i="23"/>
  <c r="G91" i="23"/>
  <c r="F91" i="23"/>
  <c r="B91" i="23"/>
  <c r="A77" i="23"/>
  <c r="G76" i="23"/>
  <c r="F76" i="23"/>
  <c r="B76" i="23"/>
  <c r="A87" i="23"/>
  <c r="G86" i="23"/>
  <c r="F86" i="23"/>
  <c r="B86" i="23"/>
  <c r="A97" i="23"/>
  <c r="G96" i="23"/>
  <c r="F96" i="23"/>
  <c r="B96" i="23"/>
  <c r="A112" i="23"/>
  <c r="G111" i="23"/>
  <c r="F111" i="23"/>
  <c r="B111" i="23"/>
  <c r="A101" i="23"/>
  <c r="F100" i="23"/>
  <c r="B100" i="23"/>
  <c r="A107" i="23"/>
  <c r="G106" i="23"/>
  <c r="F106" i="23"/>
  <c r="B106" i="23"/>
  <c r="A117" i="23"/>
  <c r="G116" i="23"/>
  <c r="F116" i="23"/>
  <c r="B116" i="23"/>
  <c r="G75" i="23"/>
  <c r="G80" i="23"/>
  <c r="G85" i="23"/>
  <c r="G90" i="23"/>
  <c r="G95" i="23"/>
  <c r="G100" i="23"/>
  <c r="A122" i="23"/>
  <c r="G121" i="23"/>
  <c r="F121" i="23"/>
  <c r="B121" i="23"/>
  <c r="A132" i="23"/>
  <c r="G131" i="23"/>
  <c r="F131" i="23"/>
  <c r="B131" i="23"/>
  <c r="B105" i="23"/>
  <c r="F105" i="23"/>
  <c r="B110" i="23"/>
  <c r="F110" i="23"/>
  <c r="B115" i="23"/>
  <c r="F115" i="23"/>
  <c r="A127" i="23"/>
  <c r="G126" i="23"/>
  <c r="F126" i="23"/>
  <c r="B126" i="23"/>
  <c r="G105" i="23"/>
  <c r="G110" i="23"/>
  <c r="G115" i="23"/>
  <c r="B120" i="23"/>
  <c r="F120" i="23"/>
  <c r="B125" i="23"/>
  <c r="F125" i="23"/>
  <c r="B130" i="23"/>
  <c r="F130" i="23"/>
  <c r="G120" i="23"/>
  <c r="G125" i="23"/>
  <c r="G130" i="23"/>
  <c r="D291" i="11" l="1"/>
  <c r="D277" i="11"/>
  <c r="D272" i="11"/>
  <c r="D311" i="11"/>
  <c r="D306" i="11"/>
  <c r="D301" i="11"/>
  <c r="D307" i="11"/>
  <c r="D312" i="11"/>
  <c r="D302" i="11"/>
  <c r="D297" i="11"/>
  <c r="D287" i="11"/>
  <c r="D281" i="11"/>
  <c r="D462" i="11"/>
  <c r="D323" i="11"/>
  <c r="D318" i="11"/>
  <c r="D497" i="11"/>
  <c r="D276" i="11"/>
  <c r="D487" i="11"/>
  <c r="D467" i="11"/>
  <c r="D435" i="11"/>
  <c r="D405" i="11"/>
  <c r="D385" i="11"/>
  <c r="D363" i="11"/>
  <c r="D343" i="11"/>
  <c r="D482" i="11"/>
  <c r="D452" i="11"/>
  <c r="D430" i="11"/>
  <c r="D400" i="11"/>
  <c r="D380" i="11"/>
  <c r="D358" i="11"/>
  <c r="D338" i="11"/>
  <c r="D296" i="11"/>
  <c r="D286" i="11"/>
  <c r="D292" i="11"/>
  <c r="D267" i="11"/>
  <c r="D257" i="11"/>
  <c r="D262" i="11"/>
  <c r="E316" i="23"/>
  <c r="D457" i="11"/>
  <c r="D415" i="11"/>
  <c r="D410" i="11"/>
  <c r="D328" i="11"/>
  <c r="D256" i="11"/>
  <c r="D477" i="11"/>
  <c r="D447" i="11"/>
  <c r="D425" i="11"/>
  <c r="D395" i="11"/>
  <c r="D373" i="11"/>
  <c r="D353" i="11"/>
  <c r="D333" i="11"/>
  <c r="D492" i="11"/>
  <c r="D271" i="11"/>
  <c r="D261" i="11"/>
  <c r="D266" i="11"/>
  <c r="D472" i="11"/>
  <c r="D442" i="11"/>
  <c r="D420" i="11"/>
  <c r="D390" i="11"/>
  <c r="D368" i="11"/>
  <c r="D348" i="11"/>
  <c r="I17" i="28"/>
  <c r="E93" i="27" s="1" a="1"/>
  <c r="E93" i="27" s="1"/>
  <c r="H93" i="27" s="1"/>
  <c r="H137" i="26" s="1"/>
  <c r="E130" i="23"/>
  <c r="E120" i="23"/>
  <c r="E110" i="23"/>
  <c r="E126" i="23"/>
  <c r="E131" i="23"/>
  <c r="E121" i="23"/>
  <c r="E100" i="23"/>
  <c r="E90" i="23"/>
  <c r="E80" i="23"/>
  <c r="E116" i="23"/>
  <c r="E106" i="23"/>
  <c r="E311" i="23"/>
  <c r="E306" i="23"/>
  <c r="E301" i="23"/>
  <c r="E296" i="23"/>
  <c r="E291" i="23"/>
  <c r="E286" i="23"/>
  <c r="E281" i="23"/>
  <c r="E276" i="23"/>
  <c r="E234" i="23"/>
  <c r="E229" i="23"/>
  <c r="E224" i="23"/>
  <c r="E219" i="23"/>
  <c r="E214" i="23"/>
  <c r="E209" i="23"/>
  <c r="E204" i="23"/>
  <c r="E199" i="23"/>
  <c r="E192" i="23"/>
  <c r="E187" i="23"/>
  <c r="E182" i="23"/>
  <c r="E177" i="23"/>
  <c r="E172" i="23"/>
  <c r="E167" i="23"/>
  <c r="E162" i="23"/>
  <c r="E157" i="23"/>
  <c r="E152" i="23"/>
  <c r="E147" i="23"/>
  <c r="E142" i="23"/>
  <c r="E137" i="23"/>
  <c r="E125" i="23"/>
  <c r="E115" i="23"/>
  <c r="E105" i="23"/>
  <c r="E95" i="23"/>
  <c r="E85" i="23"/>
  <c r="E75" i="23"/>
  <c r="E111" i="23"/>
  <c r="E96" i="23"/>
  <c r="E86" i="23"/>
  <c r="E76" i="23"/>
  <c r="E91" i="23"/>
  <c r="E81" i="23"/>
  <c r="E271" i="23"/>
  <c r="E266" i="23"/>
  <c r="E261" i="23"/>
  <c r="E254" i="23"/>
  <c r="E249" i="23"/>
  <c r="E244" i="23"/>
  <c r="E239" i="23"/>
  <c r="A273" i="23"/>
  <c r="G272" i="23"/>
  <c r="F272" i="23"/>
  <c r="B272" i="23"/>
  <c r="A268" i="23"/>
  <c r="G267" i="23"/>
  <c r="F267" i="23"/>
  <c r="B267" i="23"/>
  <c r="A263" i="23"/>
  <c r="G262" i="23"/>
  <c r="F262" i="23"/>
  <c r="B262" i="23"/>
  <c r="A256" i="23"/>
  <c r="G255" i="23"/>
  <c r="F255" i="23"/>
  <c r="B255" i="23"/>
  <c r="A251" i="23"/>
  <c r="G250" i="23"/>
  <c r="F250" i="23"/>
  <c r="B250" i="23"/>
  <c r="A246" i="23"/>
  <c r="G245" i="23"/>
  <c r="F245" i="23"/>
  <c r="B245" i="23"/>
  <c r="A241" i="23"/>
  <c r="G240" i="23"/>
  <c r="F240" i="23"/>
  <c r="B240" i="23"/>
  <c r="A283" i="23"/>
  <c r="G282" i="23"/>
  <c r="F282" i="23"/>
  <c r="B282" i="23"/>
  <c r="F317" i="23"/>
  <c r="B317" i="23"/>
  <c r="A318" i="23"/>
  <c r="G317" i="23"/>
  <c r="A313" i="23"/>
  <c r="G312" i="23"/>
  <c r="F312" i="23"/>
  <c r="B312" i="23"/>
  <c r="A308" i="23"/>
  <c r="G307" i="23"/>
  <c r="F307" i="23"/>
  <c r="B307" i="23"/>
  <c r="A303" i="23"/>
  <c r="G302" i="23"/>
  <c r="F302" i="23"/>
  <c r="B302" i="23"/>
  <c r="A298" i="23"/>
  <c r="G297" i="23"/>
  <c r="F297" i="23"/>
  <c r="B297" i="23"/>
  <c r="A293" i="23"/>
  <c r="G292" i="23"/>
  <c r="F292" i="23"/>
  <c r="B292" i="23"/>
  <c r="A288" i="23"/>
  <c r="G287" i="23"/>
  <c r="F287" i="23"/>
  <c r="B287" i="23"/>
  <c r="F277" i="23"/>
  <c r="B277" i="23"/>
  <c r="A278" i="23"/>
  <c r="G277" i="23"/>
  <c r="F235" i="23"/>
  <c r="B235" i="23"/>
  <c r="A236" i="23"/>
  <c r="G235" i="23"/>
  <c r="F230" i="23"/>
  <c r="B230" i="23"/>
  <c r="A231" i="23"/>
  <c r="G230" i="23"/>
  <c r="A226" i="23"/>
  <c r="G225" i="23"/>
  <c r="F225" i="23"/>
  <c r="B225" i="23"/>
  <c r="A221" i="23"/>
  <c r="G220" i="23"/>
  <c r="F220" i="23"/>
  <c r="B220" i="23"/>
  <c r="A216" i="23"/>
  <c r="G215" i="23"/>
  <c r="F215" i="23"/>
  <c r="B215" i="23"/>
  <c r="A211" i="23"/>
  <c r="G210" i="23"/>
  <c r="F210" i="23"/>
  <c r="B210" i="23"/>
  <c r="A206" i="23"/>
  <c r="G205" i="23"/>
  <c r="F205" i="23"/>
  <c r="B205" i="23"/>
  <c r="A201" i="23"/>
  <c r="G200" i="23"/>
  <c r="F200" i="23"/>
  <c r="B200" i="23"/>
  <c r="A194" i="23"/>
  <c r="G193" i="23"/>
  <c r="F193" i="23"/>
  <c r="B193" i="23"/>
  <c r="A189" i="23"/>
  <c r="G188" i="23"/>
  <c r="F188" i="23"/>
  <c r="B188" i="23"/>
  <c r="A184" i="23"/>
  <c r="G183" i="23"/>
  <c r="F183" i="23"/>
  <c r="B183" i="23"/>
  <c r="A179" i="23"/>
  <c r="G178" i="23"/>
  <c r="F178" i="23"/>
  <c r="B178" i="23"/>
  <c r="A174" i="23"/>
  <c r="G173" i="23"/>
  <c r="F173" i="23"/>
  <c r="B173" i="23"/>
  <c r="A169" i="23"/>
  <c r="G168" i="23"/>
  <c r="F168" i="23"/>
  <c r="B168" i="23"/>
  <c r="A164" i="23"/>
  <c r="G163" i="23"/>
  <c r="F163" i="23"/>
  <c r="B163" i="23"/>
  <c r="A159" i="23"/>
  <c r="G158" i="23"/>
  <c r="F158" i="23"/>
  <c r="B158" i="23"/>
  <c r="A154" i="23"/>
  <c r="G153" i="23"/>
  <c r="F153" i="23"/>
  <c r="B153" i="23"/>
  <c r="F148" i="23"/>
  <c r="B148" i="23"/>
  <c r="A149" i="23"/>
  <c r="G148" i="23"/>
  <c r="F143" i="23"/>
  <c r="B143" i="23"/>
  <c r="A144" i="23"/>
  <c r="G143" i="23"/>
  <c r="F138" i="23"/>
  <c r="B138" i="23"/>
  <c r="A139" i="23"/>
  <c r="G138" i="23"/>
  <c r="A102" i="23"/>
  <c r="G101" i="23"/>
  <c r="F101" i="23"/>
  <c r="B101" i="23"/>
  <c r="A113" i="23"/>
  <c r="G112" i="23"/>
  <c r="F112" i="23"/>
  <c r="B112" i="23"/>
  <c r="A98" i="23"/>
  <c r="G97" i="23"/>
  <c r="F97" i="23"/>
  <c r="B97" i="23"/>
  <c r="A88" i="23"/>
  <c r="G87" i="23"/>
  <c r="F87" i="23"/>
  <c r="B87" i="23"/>
  <c r="A78" i="23"/>
  <c r="G77" i="23"/>
  <c r="F77" i="23"/>
  <c r="B77" i="23"/>
  <c r="A93" i="23"/>
  <c r="G92" i="23"/>
  <c r="F92" i="23"/>
  <c r="B92" i="23"/>
  <c r="A83" i="23"/>
  <c r="G82" i="23"/>
  <c r="F82" i="23"/>
  <c r="B82" i="23"/>
  <c r="A128" i="23"/>
  <c r="G127" i="23"/>
  <c r="F127" i="23"/>
  <c r="B127" i="23"/>
  <c r="A133" i="23"/>
  <c r="G132" i="23"/>
  <c r="F132" i="23"/>
  <c r="B132" i="23"/>
  <c r="A123" i="23"/>
  <c r="G122" i="23"/>
  <c r="F122" i="23"/>
  <c r="B122" i="23"/>
  <c r="A118" i="23"/>
  <c r="G117" i="23"/>
  <c r="F117" i="23"/>
  <c r="B117" i="23"/>
  <c r="A108" i="23"/>
  <c r="G107" i="23"/>
  <c r="F107" i="23"/>
  <c r="B107" i="23"/>
  <c r="F77" i="27" l="1" a="1"/>
  <c r="F77" i="27" s="1"/>
  <c r="E97" i="27" a="1"/>
  <c r="E97" i="27" s="1"/>
  <c r="H97" i="27" s="1"/>
  <c r="I132" i="26" s="1"/>
  <c r="F103" i="27" a="1"/>
  <c r="F103" i="27" s="1"/>
  <c r="F79" i="27" a="1"/>
  <c r="F79" i="27" s="1"/>
  <c r="E75" i="27" a="1"/>
  <c r="E75" i="27" s="1"/>
  <c r="H75" i="27" s="1"/>
  <c r="I96" i="26" s="1"/>
  <c r="E43" i="27" a="1"/>
  <c r="E43" i="27" s="1"/>
  <c r="H43" i="27" s="1"/>
  <c r="J59" i="26" s="1"/>
  <c r="E15" i="27" a="1"/>
  <c r="E15" i="27" s="1"/>
  <c r="H15" i="27" s="1"/>
  <c r="I18" i="26" s="1"/>
  <c r="F96" i="27" a="1"/>
  <c r="F96" i="27" s="1"/>
  <c r="F64" i="27" a="1"/>
  <c r="F64" i="27" s="1"/>
  <c r="E78" i="27" a="1"/>
  <c r="E78" i="27" s="1"/>
  <c r="H78" i="27" s="1"/>
  <c r="I111" i="26" s="1"/>
  <c r="E46" i="27" a="1"/>
  <c r="E46" i="27" s="1"/>
  <c r="H46" i="27" s="1"/>
  <c r="G75" i="26" s="1"/>
  <c r="E14" i="27" a="1"/>
  <c r="E14" i="27" s="1"/>
  <c r="H14" i="27" s="1"/>
  <c r="I13" i="26" s="1"/>
  <c r="F50" i="27" a="1"/>
  <c r="F50" i="27" s="1"/>
  <c r="F15" i="27" a="1"/>
  <c r="F15" i="27" s="1"/>
  <c r="F43" i="27" a="1"/>
  <c r="F43" i="27" s="1"/>
  <c r="E61" i="27" a="1"/>
  <c r="E61" i="27" s="1"/>
  <c r="H61" i="27" s="1"/>
  <c r="J75" i="26" s="1"/>
  <c r="E29" i="27" a="1"/>
  <c r="E29" i="27" s="1"/>
  <c r="H29" i="27" s="1"/>
  <c r="H39" i="26" s="1"/>
  <c r="F23" i="27" a="1"/>
  <c r="F23" i="27" s="1"/>
  <c r="F82" i="27" a="1"/>
  <c r="F82" i="27" s="1"/>
  <c r="E96" i="27" a="1"/>
  <c r="E96" i="27" s="1"/>
  <c r="H96" i="27" s="1"/>
  <c r="I127" i="26" s="1"/>
  <c r="E48" i="27" a="1"/>
  <c r="E48" i="27" s="1"/>
  <c r="H48" i="27" s="1"/>
  <c r="G85" i="26" s="1"/>
  <c r="F46" i="27" a="1"/>
  <c r="F46" i="27" s="1"/>
  <c r="F35" i="27" a="1"/>
  <c r="F35" i="27" s="1"/>
  <c r="F101" i="27" a="1"/>
  <c r="F101" i="27" s="1"/>
  <c r="E87" i="27" a="1"/>
  <c r="E87" i="27" s="1"/>
  <c r="H87" i="27" s="1"/>
  <c r="G132" i="26" s="1"/>
  <c r="E23" i="27" a="1"/>
  <c r="E23" i="27" s="1"/>
  <c r="H23" i="27" s="1"/>
  <c r="J33" i="26" s="1"/>
  <c r="F76" i="27" a="1"/>
  <c r="F76" i="27" s="1"/>
  <c r="E58" i="27" a="1"/>
  <c r="E58" i="27" s="1"/>
  <c r="H58" i="27" s="1"/>
  <c r="I85" i="26" s="1"/>
  <c r="F26" i="27" a="1"/>
  <c r="F26" i="27" s="1"/>
  <c r="F20" i="27" a="1"/>
  <c r="F20" i="27" s="1"/>
  <c r="E57" i="27" a="1"/>
  <c r="E57" i="27" s="1"/>
  <c r="H57" i="27" s="1"/>
  <c r="I80" i="26" s="1"/>
  <c r="F39" i="27" a="1"/>
  <c r="F39" i="27" s="1"/>
  <c r="E92" i="27" a="1"/>
  <c r="E92" i="27" s="1"/>
  <c r="H92" i="27" s="1"/>
  <c r="H132" i="26" s="1"/>
  <c r="E28" i="27" a="1"/>
  <c r="E28" i="27" s="1"/>
  <c r="H28" i="27" s="1"/>
  <c r="G59" i="26" s="1"/>
  <c r="F37" i="27" a="1"/>
  <c r="F37" i="27" s="1"/>
  <c r="E101" i="27" a="1"/>
  <c r="E101" i="27" s="1"/>
  <c r="H101" i="27" s="1"/>
  <c r="J127" i="26" s="1"/>
  <c r="F87" i="27" a="1"/>
  <c r="F87" i="27" s="1"/>
  <c r="E67" i="27" a="1"/>
  <c r="E67" i="27" s="1"/>
  <c r="H67" i="27" s="1"/>
  <c r="G106" i="26" s="1"/>
  <c r="E35" i="27" a="1"/>
  <c r="E35" i="27" s="1"/>
  <c r="H35" i="27" s="1"/>
  <c r="I44" i="26" s="1"/>
  <c r="F9" i="27" a="1"/>
  <c r="F9" i="27" s="1"/>
  <c r="F88" i="27" a="1"/>
  <c r="F88" i="27" s="1"/>
  <c r="E102" i="27" a="1"/>
  <c r="E102" i="27" s="1"/>
  <c r="H102" i="27" s="1"/>
  <c r="J132" i="26" s="1"/>
  <c r="E70" i="27" a="1"/>
  <c r="E70" i="27" s="1"/>
  <c r="H70" i="27" s="1"/>
  <c r="H96" i="26" s="1"/>
  <c r="E38" i="27" a="1"/>
  <c r="E38" i="27" s="1"/>
  <c r="H38" i="27" s="1"/>
  <c r="I59" i="26" s="1"/>
  <c r="F10" i="27" a="1"/>
  <c r="F10" i="27" s="1"/>
  <c r="E16" i="27" a="1"/>
  <c r="E16" i="27" s="1"/>
  <c r="H16" i="27" s="1"/>
  <c r="I23" i="26" s="1"/>
  <c r="F28" i="27" a="1"/>
  <c r="F28" i="27" s="1"/>
  <c r="E85" i="27" a="1"/>
  <c r="E85" i="27" s="1"/>
  <c r="H85" i="27" s="1"/>
  <c r="G122" i="26" s="1"/>
  <c r="E53" i="27" a="1"/>
  <c r="E53" i="27" s="1"/>
  <c r="H53" i="27" s="1"/>
  <c r="H85" i="26" s="1"/>
  <c r="E21" i="27" a="1"/>
  <c r="E21" i="27" s="1"/>
  <c r="H21" i="27" s="1"/>
  <c r="J23" i="26" s="1"/>
  <c r="F51" i="27" a="1"/>
  <c r="F51" i="27" s="1"/>
  <c r="F74" i="27" a="1"/>
  <c r="F74" i="27" s="1"/>
  <c r="E88" i="27" a="1"/>
  <c r="E88" i="27" s="1"/>
  <c r="H88" i="27" s="1"/>
  <c r="G137" i="26" s="1"/>
  <c r="E56" i="27" a="1"/>
  <c r="E56" i="27" s="1"/>
  <c r="H56" i="27" s="1"/>
  <c r="I75" i="26" s="1"/>
  <c r="E24" i="27" a="1"/>
  <c r="E24" i="27" s="1"/>
  <c r="H24" i="27" s="1"/>
  <c r="G39" i="26" s="1"/>
  <c r="F30" i="27" a="1"/>
  <c r="F30" i="27" s="1"/>
  <c r="F45" i="27" a="1"/>
  <c r="F45" i="27" s="1"/>
  <c r="F56" i="27" a="1"/>
  <c r="F56" i="27" s="1"/>
  <c r="F61" i="27" a="1"/>
  <c r="F61" i="27" s="1"/>
  <c r="F93" i="27" a="1"/>
  <c r="F93" i="27" s="1"/>
  <c r="F67" i="27" a="1"/>
  <c r="F67" i="27" s="1"/>
  <c r="F99" i="27" a="1"/>
  <c r="F99" i="27" s="1"/>
  <c r="E63" i="27" a="1"/>
  <c r="E63" i="27" s="1"/>
  <c r="H63" i="27" s="1"/>
  <c r="J85" i="26" s="1"/>
  <c r="E31" i="27" a="1"/>
  <c r="E31" i="27" s="1"/>
  <c r="H31" i="27" s="1"/>
  <c r="H49" i="26" s="1"/>
  <c r="E13" i="27" a="1"/>
  <c r="E13" i="27" s="1"/>
  <c r="H13" i="27" s="1"/>
  <c r="H33" i="26" s="1"/>
  <c r="F84" i="27" a="1"/>
  <c r="F84" i="27" s="1"/>
  <c r="E98" i="27" a="1"/>
  <c r="E98" i="27" s="1"/>
  <c r="H98" i="27" s="1"/>
  <c r="I137" i="26" s="1"/>
  <c r="E66" i="27" a="1"/>
  <c r="E66" i="27" s="1"/>
  <c r="H66" i="27" s="1"/>
  <c r="G101" i="26" s="1"/>
  <c r="E34" i="27" a="1"/>
  <c r="E34" i="27" s="1"/>
  <c r="H34" i="27" s="1"/>
  <c r="I39" i="26" s="1"/>
  <c r="F14" i="27" a="1"/>
  <c r="F14" i="27" s="1"/>
  <c r="F25" i="27" a="1"/>
  <c r="F25" i="27" s="1"/>
  <c r="F36" i="27" a="1"/>
  <c r="F36" i="27" s="1"/>
  <c r="E81" i="27" a="1"/>
  <c r="E81" i="27" s="1"/>
  <c r="H81" i="27" s="1"/>
  <c r="J101" i="26" s="1"/>
  <c r="E49" i="27" a="1"/>
  <c r="E49" i="27" s="1"/>
  <c r="H49" i="27" s="1"/>
  <c r="H65" i="26" s="1"/>
  <c r="F8" i="27" a="1"/>
  <c r="F8" i="27" s="1"/>
  <c r="F102" i="27" a="1"/>
  <c r="F102" i="27" s="1"/>
  <c r="F70" i="27" a="1"/>
  <c r="F70" i="27" s="1"/>
  <c r="E84" i="27" a="1"/>
  <c r="E84" i="27" s="1"/>
  <c r="H84" i="27" s="1"/>
  <c r="G117" i="26" s="1"/>
  <c r="E52" i="27" a="1"/>
  <c r="E52" i="27" s="1"/>
  <c r="H52" i="27" s="1"/>
  <c r="H80" i="26" s="1"/>
  <c r="E20" i="27" a="1"/>
  <c r="E20" i="27" s="1"/>
  <c r="H20" i="27" s="1"/>
  <c r="J18" i="26" s="1"/>
  <c r="F38" i="27" a="1"/>
  <c r="F38" i="27" s="1"/>
  <c r="F53" i="27" a="1"/>
  <c r="F53" i="27" s="1"/>
  <c r="E18" i="27" a="1"/>
  <c r="E18" i="27" s="1"/>
  <c r="H18" i="27" s="1"/>
  <c r="I33" i="26" s="1"/>
  <c r="E32" i="27" a="1"/>
  <c r="E32" i="27" s="1"/>
  <c r="H32" i="27" s="1"/>
  <c r="H54" i="26" s="1"/>
  <c r="F29" i="27" a="1"/>
  <c r="F29" i="27" s="1"/>
  <c r="E99" i="27" a="1"/>
  <c r="E99" i="27" s="1"/>
  <c r="H99" i="27" s="1"/>
  <c r="J117" i="26" s="1"/>
  <c r="F59" i="27" a="1"/>
  <c r="F59" i="27" s="1"/>
  <c r="E71" i="27" a="1"/>
  <c r="E71" i="27" s="1"/>
  <c r="H71" i="27" s="1"/>
  <c r="H101" i="26" s="1"/>
  <c r="E8" i="27" a="1"/>
  <c r="E8" i="27" s="1"/>
  <c r="H8" i="27" s="1"/>
  <c r="G33" i="26" s="1"/>
  <c r="F60" i="27" a="1"/>
  <c r="F60" i="27" s="1"/>
  <c r="E42" i="27" a="1"/>
  <c r="E42" i="27" s="1"/>
  <c r="H42" i="27" s="1"/>
  <c r="J54" i="26" s="1"/>
  <c r="F7" i="27" a="1"/>
  <c r="F7" i="27" s="1"/>
  <c r="E73" i="27" a="1"/>
  <c r="E73" i="27" s="1"/>
  <c r="H73" i="27" s="1"/>
  <c r="H111" i="26" s="1"/>
  <c r="F19" i="27" a="1"/>
  <c r="F19" i="27" s="1"/>
  <c r="F62" i="27" a="1"/>
  <c r="F62" i="27" s="1"/>
  <c r="E44" i="27" a="1"/>
  <c r="E44" i="27" s="1"/>
  <c r="H44" i="27" s="1"/>
  <c r="G65" i="26" s="1"/>
  <c r="F54" i="27" a="1"/>
  <c r="F54" i="27" s="1"/>
  <c r="E95" i="27" a="1"/>
  <c r="E95" i="27" s="1"/>
  <c r="H95" i="27" s="1"/>
  <c r="I122" i="26" s="1"/>
  <c r="F81" i="27" a="1"/>
  <c r="F81" i="27" s="1"/>
  <c r="E103" i="27" a="1"/>
  <c r="E103" i="27" s="1"/>
  <c r="H103" i="27" s="1"/>
  <c r="J137" i="26" s="1"/>
  <c r="F89" i="27" a="1"/>
  <c r="F89" i="27" s="1"/>
  <c r="F63" i="27" a="1"/>
  <c r="F63" i="27" s="1"/>
  <c r="F95" i="27" a="1"/>
  <c r="F95" i="27" s="1"/>
  <c r="E59" i="27" a="1"/>
  <c r="E59" i="27" s="1"/>
  <c r="H59" i="27" s="1"/>
  <c r="J65" i="26" s="1"/>
  <c r="E27" i="27" a="1"/>
  <c r="E27" i="27" s="1"/>
  <c r="H27" i="27" s="1"/>
  <c r="G54" i="26" s="1"/>
  <c r="F31" i="27" a="1"/>
  <c r="F31" i="27" s="1"/>
  <c r="F80" i="27" a="1"/>
  <c r="F80" i="27" s="1"/>
  <c r="E94" i="27" a="1"/>
  <c r="E94" i="27" s="1"/>
  <c r="H94" i="27" s="1"/>
  <c r="I117" i="26" s="1"/>
  <c r="E62" i="27" a="1"/>
  <c r="E62" i="27" s="1"/>
  <c r="H62" i="27" s="1"/>
  <c r="J80" i="26" s="1"/>
  <c r="E30" i="27" a="1"/>
  <c r="E30" i="27" s="1"/>
  <c r="H30" i="27" s="1"/>
  <c r="H44" i="26" s="1"/>
  <c r="F18" i="27" a="1"/>
  <c r="F18" i="27" s="1"/>
  <c r="F33" i="27" a="1"/>
  <c r="F33" i="27" s="1"/>
  <c r="F44" i="27" a="1"/>
  <c r="F44" i="27" s="1"/>
  <c r="E77" i="27" a="1"/>
  <c r="E77" i="27" s="1"/>
  <c r="H77" i="27" s="1"/>
  <c r="I106" i="26" s="1"/>
  <c r="E45" i="27" a="1"/>
  <c r="E45" i="27" s="1"/>
  <c r="H45" i="27" s="1"/>
  <c r="G70" i="26" s="1"/>
  <c r="E12" i="27" a="1"/>
  <c r="E12" i="27" s="1"/>
  <c r="H12" i="27" s="1"/>
  <c r="H28" i="26" s="1"/>
  <c r="F98" i="27" a="1"/>
  <c r="F98" i="27" s="1"/>
  <c r="F66" i="27" a="1"/>
  <c r="F66" i="27" s="1"/>
  <c r="E80" i="27" a="1"/>
  <c r="E80" i="27" s="1"/>
  <c r="H80" i="27" s="1"/>
  <c r="J96" i="26" s="1"/>
  <c r="E10" i="27" a="1"/>
  <c r="E10" i="27" s="1"/>
  <c r="H10" i="27" s="1"/>
  <c r="H18" i="26" s="1"/>
  <c r="F13" i="27" a="1"/>
  <c r="F13" i="27" s="1"/>
  <c r="F69" i="27" a="1"/>
  <c r="F69" i="27" s="1"/>
  <c r="F75" i="27" a="1"/>
  <c r="F75" i="27" s="1"/>
  <c r="E55" i="27" a="1"/>
  <c r="E55" i="27" s="1"/>
  <c r="H55" i="27" s="1"/>
  <c r="I70" i="26" s="1"/>
  <c r="F47" i="27" a="1"/>
  <c r="F47" i="27" s="1"/>
  <c r="E90" i="27" a="1"/>
  <c r="E90" i="27" s="1"/>
  <c r="H90" i="27" s="1"/>
  <c r="H122" i="26" s="1"/>
  <c r="E26" i="27" a="1"/>
  <c r="E26" i="27" s="1"/>
  <c r="H26" i="27" s="1"/>
  <c r="G49" i="26" s="1"/>
  <c r="F41" i="27" a="1"/>
  <c r="F41" i="27" s="1"/>
  <c r="E89" i="27" a="1"/>
  <c r="E89" i="27" s="1"/>
  <c r="H89" i="27" s="1"/>
  <c r="H117" i="26" s="1"/>
  <c r="E25" i="27" a="1"/>
  <c r="E25" i="27" s="1"/>
  <c r="H25" i="27" s="1"/>
  <c r="G44" i="26" s="1"/>
  <c r="F78" i="27" a="1"/>
  <c r="F78" i="27" s="1"/>
  <c r="E60" i="27" a="1"/>
  <c r="E60" i="27" s="1"/>
  <c r="H60" i="27" s="1"/>
  <c r="J70" i="26" s="1"/>
  <c r="F22" i="27" a="1"/>
  <c r="F22" i="27" s="1"/>
  <c r="F48" i="27" a="1"/>
  <c r="F48" i="27" s="1"/>
  <c r="F71" i="27" a="1"/>
  <c r="F71" i="27" s="1"/>
  <c r="E83" i="27" a="1"/>
  <c r="E83" i="27" s="1"/>
  <c r="H83" i="27" s="1"/>
  <c r="J111" i="26" s="1"/>
  <c r="E51" i="27" a="1"/>
  <c r="E51" i="27" s="1"/>
  <c r="H51" i="27" s="1"/>
  <c r="H75" i="26" s="1"/>
  <c r="E19" i="27" a="1"/>
  <c r="E19" i="27" s="1"/>
  <c r="H19" i="27" s="1"/>
  <c r="J13" i="26" s="1"/>
  <c r="F55" i="27" a="1"/>
  <c r="F55" i="27" s="1"/>
  <c r="F72" i="27" a="1"/>
  <c r="F72" i="27" s="1"/>
  <c r="E86" i="27" a="1"/>
  <c r="E86" i="27" s="1"/>
  <c r="H86" i="27" s="1"/>
  <c r="G127" i="26" s="1"/>
  <c r="E54" i="27" a="1"/>
  <c r="E54" i="27" s="1"/>
  <c r="H54" i="27" s="1"/>
  <c r="I65" i="26" s="1"/>
  <c r="E22" i="27" a="1"/>
  <c r="E22" i="27" s="1"/>
  <c r="H22" i="27" s="1"/>
  <c r="J28" i="26" s="1"/>
  <c r="F34" i="27" a="1"/>
  <c r="F34" i="27" s="1"/>
  <c r="F49" i="27" a="1"/>
  <c r="F49" i="27" s="1"/>
  <c r="E9" i="27" a="1"/>
  <c r="E9" i="27" s="1"/>
  <c r="H9" i="27" s="1"/>
  <c r="H13" i="26" s="1"/>
  <c r="E69" i="27" a="1"/>
  <c r="E69" i="27" s="1"/>
  <c r="H69" i="27" s="1"/>
  <c r="H91" i="26" s="1"/>
  <c r="E37" i="27" a="1"/>
  <c r="E37" i="27" s="1"/>
  <c r="H37" i="27" s="1"/>
  <c r="I54" i="26" s="1"/>
  <c r="E6" i="27" a="1"/>
  <c r="E6" i="27" s="1"/>
  <c r="H6" i="27" s="1"/>
  <c r="G23" i="26" s="1"/>
  <c r="F90" i="27" a="1"/>
  <c r="F90" i="27" s="1"/>
  <c r="F58" i="27" a="1"/>
  <c r="F58" i="27" s="1"/>
  <c r="E72" i="27" a="1"/>
  <c r="E72" i="27" s="1"/>
  <c r="H72" i="27" s="1"/>
  <c r="H106" i="26" s="1"/>
  <c r="E40" i="27" a="1"/>
  <c r="E40" i="27" s="1"/>
  <c r="H40" i="27" s="1"/>
  <c r="J44" i="26" s="1"/>
  <c r="E5" i="27" a="1"/>
  <c r="E5" i="27" s="1"/>
  <c r="H5" i="27" s="1"/>
  <c r="G18" i="26" s="1"/>
  <c r="E11" i="27" a="1"/>
  <c r="E11" i="27" s="1"/>
  <c r="H11" i="27" s="1"/>
  <c r="H23" i="26" s="1"/>
  <c r="F24" i="27" a="1"/>
  <c r="F24" i="27" s="1"/>
  <c r="E91" i="27" a="1"/>
  <c r="E91" i="27" s="1"/>
  <c r="H91" i="27" s="1"/>
  <c r="H127" i="26" s="1"/>
  <c r="F83" i="27" a="1"/>
  <c r="F83" i="27" s="1"/>
  <c r="E79" i="27" a="1"/>
  <c r="E79" i="27" s="1"/>
  <c r="H79" i="27" s="1"/>
  <c r="J91" i="26" s="1"/>
  <c r="E47" i="27" a="1"/>
  <c r="E47" i="27" s="1"/>
  <c r="H47" i="27" s="1"/>
  <c r="G80" i="26" s="1"/>
  <c r="F5" i="27" a="1"/>
  <c r="F5" i="27" s="1"/>
  <c r="F100" i="27" a="1"/>
  <c r="F100" i="27" s="1"/>
  <c r="F68" i="27" a="1"/>
  <c r="F68" i="27" s="1"/>
  <c r="E82" i="27" a="1"/>
  <c r="E82" i="27" s="1"/>
  <c r="H82" i="27" s="1"/>
  <c r="J106" i="26" s="1"/>
  <c r="E50" i="27" a="1"/>
  <c r="E50" i="27" s="1"/>
  <c r="H50" i="27" s="1"/>
  <c r="H70" i="26" s="1"/>
  <c r="F6" i="27" a="1"/>
  <c r="F6" i="27" s="1"/>
  <c r="F42" i="27" a="1"/>
  <c r="F42" i="27" s="1"/>
  <c r="F57" i="27" a="1"/>
  <c r="F57" i="27" s="1"/>
  <c r="F27" i="27" a="1"/>
  <c r="F27" i="27" s="1"/>
  <c r="E65" i="27" a="1"/>
  <c r="E65" i="27" s="1"/>
  <c r="H65" i="27" s="1"/>
  <c r="G96" i="26" s="1"/>
  <c r="E33" i="27" a="1"/>
  <c r="E33" i="27" s="1"/>
  <c r="H33" i="27" s="1"/>
  <c r="H59" i="26" s="1"/>
  <c r="F11" i="27" a="1"/>
  <c r="F11" i="27" s="1"/>
  <c r="F86" i="27" a="1"/>
  <c r="F86" i="27" s="1"/>
  <c r="E100" i="27" a="1"/>
  <c r="E100" i="27" s="1"/>
  <c r="H100" i="27" s="1"/>
  <c r="J122" i="26" s="1"/>
  <c r="E68" i="27" a="1"/>
  <c r="E68" i="27" s="1"/>
  <c r="H68" i="27" s="1"/>
  <c r="G111" i="26" s="1"/>
  <c r="E36" i="27" a="1"/>
  <c r="E36" i="27" s="1"/>
  <c r="H36" i="27" s="1"/>
  <c r="I49" i="26" s="1"/>
  <c r="F12" i="27" a="1"/>
  <c r="F12" i="27" s="1"/>
  <c r="F21" i="27" a="1"/>
  <c r="F21" i="27" s="1"/>
  <c r="F32" i="27" a="1"/>
  <c r="F32" i="27" s="1"/>
  <c r="E64" i="27" a="1"/>
  <c r="E64" i="27" s="1"/>
  <c r="H64" i="27" s="1"/>
  <c r="G91" i="26" s="1"/>
  <c r="F16" i="27" a="1"/>
  <c r="F16" i="27" s="1"/>
  <c r="F40" i="27" a="1"/>
  <c r="F40" i="27" s="1"/>
  <c r="F85" i="27" a="1"/>
  <c r="F85" i="27" s="1"/>
  <c r="F91" i="27" a="1"/>
  <c r="F91" i="27" s="1"/>
  <c r="E39" i="27" a="1"/>
  <c r="E39" i="27" s="1"/>
  <c r="H39" i="27" s="1"/>
  <c r="J39" i="26" s="1"/>
  <c r="F92" i="27" a="1"/>
  <c r="F92" i="27" s="1"/>
  <c r="E74" i="27" a="1"/>
  <c r="E74" i="27" s="1"/>
  <c r="H74" i="27" s="1"/>
  <c r="I91" i="26" s="1"/>
  <c r="E7" i="27" a="1"/>
  <c r="E7" i="27" s="1"/>
  <c r="H7" i="27" s="1"/>
  <c r="G28" i="26" s="1"/>
  <c r="F52" i="27" a="1"/>
  <c r="F52" i="27" s="1"/>
  <c r="E41" i="27" a="1"/>
  <c r="E41" i="27" s="1"/>
  <c r="H41" i="27" s="1"/>
  <c r="J49" i="26" s="1"/>
  <c r="F94" i="27" a="1"/>
  <c r="F94" i="27" s="1"/>
  <c r="E76" i="27" a="1"/>
  <c r="E76" i="27" s="1"/>
  <c r="H76" i="27" s="1"/>
  <c r="I101" i="26" s="1"/>
  <c r="E17" i="27" a="1"/>
  <c r="E17" i="27" s="1"/>
  <c r="H17" i="27" s="1"/>
  <c r="I28" i="26" s="1"/>
  <c r="F17" i="27" a="1"/>
  <c r="F17" i="27" s="1"/>
  <c r="F65" i="27" a="1"/>
  <c r="F65" i="27" s="1"/>
  <c r="F97" i="27" a="1"/>
  <c r="F97" i="27" s="1"/>
  <c r="F73" i="27" a="1"/>
  <c r="F73" i="27" s="1"/>
  <c r="E317" i="23"/>
  <c r="C497" i="11"/>
  <c r="D288" i="11"/>
  <c r="D298" i="11"/>
  <c r="D303" i="11"/>
  <c r="D313" i="11"/>
  <c r="D308" i="11"/>
  <c r="D263" i="11"/>
  <c r="D273" i="11"/>
  <c r="D258" i="11"/>
  <c r="D268" i="11"/>
  <c r="D278" i="11"/>
  <c r="D293" i="11"/>
  <c r="D282" i="11"/>
  <c r="D319" i="11"/>
  <c r="D324" i="11"/>
  <c r="D329" i="11"/>
  <c r="D334" i="11"/>
  <c r="D339" i="11"/>
  <c r="D344" i="11"/>
  <c r="D349" i="11"/>
  <c r="D354" i="11"/>
  <c r="D359" i="11"/>
  <c r="D364" i="11"/>
  <c r="D369" i="11"/>
  <c r="D374" i="11"/>
  <c r="D381" i="11"/>
  <c r="D386" i="11"/>
  <c r="D391" i="11"/>
  <c r="D396" i="11"/>
  <c r="D401" i="11"/>
  <c r="D406" i="11"/>
  <c r="D411" i="11"/>
  <c r="D416" i="11"/>
  <c r="D458" i="11"/>
  <c r="D468" i="11"/>
  <c r="D473" i="11"/>
  <c r="D478" i="11"/>
  <c r="D483" i="11"/>
  <c r="D488" i="11"/>
  <c r="D493" i="11"/>
  <c r="D498" i="11"/>
  <c r="D463" i="11"/>
  <c r="D421" i="11"/>
  <c r="D426" i="11"/>
  <c r="D431" i="11"/>
  <c r="D436" i="11"/>
  <c r="D443" i="11"/>
  <c r="D448" i="11"/>
  <c r="D453" i="11"/>
  <c r="C420" i="11"/>
  <c r="C425" i="11"/>
  <c r="C430" i="11"/>
  <c r="C435" i="11"/>
  <c r="C442" i="11"/>
  <c r="C447" i="11"/>
  <c r="C452" i="11"/>
  <c r="C262" i="11"/>
  <c r="C272" i="11"/>
  <c r="C257" i="11"/>
  <c r="C267" i="11"/>
  <c r="C277" i="11"/>
  <c r="C292" i="11"/>
  <c r="C256" i="11"/>
  <c r="C266" i="11"/>
  <c r="C276" i="11"/>
  <c r="C286" i="11"/>
  <c r="C296" i="11"/>
  <c r="C306" i="11"/>
  <c r="C318" i="11"/>
  <c r="C323" i="11"/>
  <c r="C328" i="11"/>
  <c r="C333" i="11"/>
  <c r="C338" i="11"/>
  <c r="C343" i="11"/>
  <c r="C348" i="11"/>
  <c r="C353" i="11"/>
  <c r="C358" i="11"/>
  <c r="C363" i="11"/>
  <c r="C368" i="11"/>
  <c r="C373" i="11"/>
  <c r="C380" i="11"/>
  <c r="C385" i="11"/>
  <c r="C390" i="11"/>
  <c r="C395" i="11"/>
  <c r="C400" i="11"/>
  <c r="C405" i="11"/>
  <c r="C410" i="11"/>
  <c r="C415" i="11"/>
  <c r="C457" i="11"/>
  <c r="C462" i="11"/>
  <c r="C467" i="11"/>
  <c r="C472" i="11"/>
  <c r="C477" i="11"/>
  <c r="C482" i="11"/>
  <c r="C487" i="11"/>
  <c r="C492" i="11"/>
  <c r="C287" i="11"/>
  <c r="C297" i="11"/>
  <c r="C261" i="11"/>
  <c r="C271" i="11"/>
  <c r="C281" i="11"/>
  <c r="C302" i="11"/>
  <c r="C312" i="11"/>
  <c r="C307" i="11"/>
  <c r="C291" i="11"/>
  <c r="C301" i="11"/>
  <c r="C311" i="11"/>
  <c r="E153" i="23"/>
  <c r="E158" i="23"/>
  <c r="E163" i="23"/>
  <c r="E168" i="23"/>
  <c r="E173" i="23"/>
  <c r="E178" i="23"/>
  <c r="E183" i="23"/>
  <c r="E188" i="23"/>
  <c r="E193" i="23"/>
  <c r="E200" i="23"/>
  <c r="E205" i="23"/>
  <c r="E210" i="23"/>
  <c r="E215" i="23"/>
  <c r="E220" i="23"/>
  <c r="E225" i="23"/>
  <c r="E235" i="23"/>
  <c r="E282" i="23"/>
  <c r="E107" i="23"/>
  <c r="E117" i="23"/>
  <c r="E122" i="23"/>
  <c r="E132" i="23"/>
  <c r="E127" i="23"/>
  <c r="E82" i="23"/>
  <c r="E92" i="23"/>
  <c r="E77" i="23"/>
  <c r="E87" i="23"/>
  <c r="E97" i="23"/>
  <c r="E112" i="23"/>
  <c r="E101" i="23"/>
  <c r="E138" i="23"/>
  <c r="E143" i="23"/>
  <c r="E148" i="23"/>
  <c r="E230" i="23"/>
  <c r="E277" i="23"/>
  <c r="E287" i="23"/>
  <c r="E292" i="23"/>
  <c r="E297" i="23"/>
  <c r="E302" i="23"/>
  <c r="E307" i="23"/>
  <c r="E312" i="23"/>
  <c r="E240" i="23"/>
  <c r="E245" i="23"/>
  <c r="E250" i="23"/>
  <c r="E255" i="23"/>
  <c r="E262" i="23"/>
  <c r="E267" i="23"/>
  <c r="E272" i="23"/>
  <c r="F139" i="23"/>
  <c r="B139" i="23"/>
  <c r="A140" i="23"/>
  <c r="G139" i="23"/>
  <c r="F144" i="23"/>
  <c r="B144" i="23"/>
  <c r="A145" i="23"/>
  <c r="G144" i="23"/>
  <c r="F149" i="23"/>
  <c r="B149" i="23"/>
  <c r="A150" i="23"/>
  <c r="G149" i="23"/>
  <c r="A155" i="23"/>
  <c r="G154" i="23"/>
  <c r="F154" i="23"/>
  <c r="B154" i="23"/>
  <c r="A160" i="23"/>
  <c r="G159" i="23"/>
  <c r="F159" i="23"/>
  <c r="B159" i="23"/>
  <c r="A165" i="23"/>
  <c r="G164" i="23"/>
  <c r="F164" i="23"/>
  <c r="B164" i="23"/>
  <c r="A170" i="23"/>
  <c r="G169" i="23"/>
  <c r="F169" i="23"/>
  <c r="B169" i="23"/>
  <c r="A175" i="23"/>
  <c r="G174" i="23"/>
  <c r="F174" i="23"/>
  <c r="B174" i="23"/>
  <c r="A180" i="23"/>
  <c r="G179" i="23"/>
  <c r="F179" i="23"/>
  <c r="B179" i="23"/>
  <c r="A185" i="23"/>
  <c r="G184" i="23"/>
  <c r="F184" i="23"/>
  <c r="B184" i="23"/>
  <c r="A190" i="23"/>
  <c r="G189" i="23"/>
  <c r="F189" i="23"/>
  <c r="B189" i="23"/>
  <c r="A195" i="23"/>
  <c r="G194" i="23"/>
  <c r="F194" i="23"/>
  <c r="B194" i="23"/>
  <c r="A202" i="23"/>
  <c r="G201" i="23"/>
  <c r="F201" i="23"/>
  <c r="B201" i="23"/>
  <c r="A207" i="23"/>
  <c r="G206" i="23"/>
  <c r="F206" i="23"/>
  <c r="B206" i="23"/>
  <c r="A212" i="23"/>
  <c r="G211" i="23"/>
  <c r="F211" i="23"/>
  <c r="B211" i="23"/>
  <c r="A217" i="23"/>
  <c r="G216" i="23"/>
  <c r="F216" i="23"/>
  <c r="B216" i="23"/>
  <c r="A222" i="23"/>
  <c r="G221" i="23"/>
  <c r="F221" i="23"/>
  <c r="B221" i="23"/>
  <c r="A227" i="23"/>
  <c r="G226" i="23"/>
  <c r="F226" i="23"/>
  <c r="B226" i="23"/>
  <c r="F231" i="23"/>
  <c r="B231" i="23"/>
  <c r="A232" i="23"/>
  <c r="G231" i="23"/>
  <c r="F236" i="23"/>
  <c r="B236" i="23"/>
  <c r="A237" i="23"/>
  <c r="G236" i="23"/>
  <c r="F278" i="23"/>
  <c r="B278" i="23"/>
  <c r="A279" i="23"/>
  <c r="G278" i="23"/>
  <c r="A289" i="23"/>
  <c r="G288" i="23"/>
  <c r="F288" i="23"/>
  <c r="B288" i="23"/>
  <c r="A294" i="23"/>
  <c r="G293" i="23"/>
  <c r="F293" i="23"/>
  <c r="B293" i="23"/>
  <c r="A299" i="23"/>
  <c r="G298" i="23"/>
  <c r="F298" i="23"/>
  <c r="B298" i="23"/>
  <c r="A304" i="23"/>
  <c r="G303" i="23"/>
  <c r="F303" i="23"/>
  <c r="B303" i="23"/>
  <c r="A309" i="23"/>
  <c r="G308" i="23"/>
  <c r="F308" i="23"/>
  <c r="B308" i="23"/>
  <c r="A314" i="23"/>
  <c r="G313" i="23"/>
  <c r="F313" i="23"/>
  <c r="B313" i="23"/>
  <c r="F318" i="23"/>
  <c r="B318" i="23"/>
  <c r="A319" i="23"/>
  <c r="G318" i="23"/>
  <c r="A284" i="23"/>
  <c r="G283" i="23"/>
  <c r="F283" i="23"/>
  <c r="B283" i="23"/>
  <c r="A242" i="23"/>
  <c r="G241" i="23"/>
  <c r="F241" i="23"/>
  <c r="B241" i="23"/>
  <c r="A247" i="23"/>
  <c r="G246" i="23"/>
  <c r="F246" i="23"/>
  <c r="B246" i="23"/>
  <c r="A252" i="23"/>
  <c r="G251" i="23"/>
  <c r="F251" i="23"/>
  <c r="B251" i="23"/>
  <c r="A257" i="23"/>
  <c r="G256" i="23"/>
  <c r="F256" i="23"/>
  <c r="B256" i="23"/>
  <c r="A264" i="23"/>
  <c r="G263" i="23"/>
  <c r="F263" i="23"/>
  <c r="B263" i="23"/>
  <c r="A269" i="23"/>
  <c r="G268" i="23"/>
  <c r="F268" i="23"/>
  <c r="B268" i="23"/>
  <c r="A274" i="23"/>
  <c r="G273" i="23"/>
  <c r="F273" i="23"/>
  <c r="B273" i="23"/>
  <c r="A109" i="23"/>
  <c r="G108" i="23"/>
  <c r="F108" i="23"/>
  <c r="B108" i="23"/>
  <c r="A119" i="23"/>
  <c r="G118" i="23"/>
  <c r="F118" i="23"/>
  <c r="B118" i="23"/>
  <c r="A124" i="23"/>
  <c r="G123" i="23"/>
  <c r="F123" i="23"/>
  <c r="B123" i="23"/>
  <c r="A134" i="23"/>
  <c r="G133" i="23"/>
  <c r="F133" i="23"/>
  <c r="B133" i="23"/>
  <c r="A129" i="23"/>
  <c r="G128" i="23"/>
  <c r="F128" i="23"/>
  <c r="B128" i="23"/>
  <c r="A84" i="23"/>
  <c r="G83" i="23"/>
  <c r="F83" i="23"/>
  <c r="B83" i="23"/>
  <c r="A94" i="23"/>
  <c r="G93" i="23"/>
  <c r="F93" i="23"/>
  <c r="B93" i="23"/>
  <c r="A79" i="23"/>
  <c r="G78" i="23"/>
  <c r="F78" i="23"/>
  <c r="B78" i="23"/>
  <c r="A89" i="23"/>
  <c r="G88" i="23"/>
  <c r="F88" i="23"/>
  <c r="B88" i="23"/>
  <c r="A99" i="23"/>
  <c r="G98" i="23"/>
  <c r="F98" i="23"/>
  <c r="B98" i="23"/>
  <c r="A114" i="23"/>
  <c r="G113" i="23"/>
  <c r="F113" i="23"/>
  <c r="B113" i="23"/>
  <c r="A103" i="23"/>
  <c r="G102" i="23"/>
  <c r="F102" i="23"/>
  <c r="B102" i="23"/>
  <c r="D294" i="11" l="1"/>
  <c r="D259" i="11"/>
  <c r="D264" i="11"/>
  <c r="D309" i="11"/>
  <c r="D314" i="11"/>
  <c r="D289" i="11"/>
  <c r="D454" i="11"/>
  <c r="D444" i="11"/>
  <c r="D437" i="11"/>
  <c r="D432" i="11"/>
  <c r="D427" i="11"/>
  <c r="D422" i="11"/>
  <c r="D464" i="11"/>
  <c r="D499" i="11"/>
  <c r="D494" i="11"/>
  <c r="D489" i="11"/>
  <c r="D484" i="11"/>
  <c r="D479" i="11"/>
  <c r="D474" i="11"/>
  <c r="D469" i="11"/>
  <c r="D459" i="11"/>
  <c r="D417" i="11"/>
  <c r="D412" i="11"/>
  <c r="D407" i="11"/>
  <c r="D402" i="11"/>
  <c r="D397" i="11"/>
  <c r="D392" i="11"/>
  <c r="D387" i="11"/>
  <c r="D382" i="11"/>
  <c r="D375" i="11"/>
  <c r="D370" i="11"/>
  <c r="D365" i="11"/>
  <c r="D360" i="11"/>
  <c r="D355" i="11"/>
  <c r="D350" i="11"/>
  <c r="D345" i="11"/>
  <c r="D340" i="11"/>
  <c r="D335" i="11"/>
  <c r="D330" i="11"/>
  <c r="D325" i="11"/>
  <c r="D320" i="11"/>
  <c r="C453" i="11"/>
  <c r="C448" i="11"/>
  <c r="C443" i="11"/>
  <c r="C436" i="11"/>
  <c r="C431" i="11"/>
  <c r="C426" i="11"/>
  <c r="C421" i="11"/>
  <c r="C493" i="11"/>
  <c r="C488" i="11"/>
  <c r="C483" i="11"/>
  <c r="C478" i="11"/>
  <c r="C473" i="11"/>
  <c r="C468" i="11"/>
  <c r="C458" i="11"/>
  <c r="C411" i="11"/>
  <c r="C329" i="11"/>
  <c r="C324" i="11"/>
  <c r="C319" i="11"/>
  <c r="C282" i="11"/>
  <c r="C293" i="11"/>
  <c r="C278" i="11"/>
  <c r="C268" i="11"/>
  <c r="C258" i="11"/>
  <c r="C273" i="11"/>
  <c r="C263" i="11"/>
  <c r="C308" i="11"/>
  <c r="C313" i="11"/>
  <c r="C303" i="11"/>
  <c r="C298" i="11"/>
  <c r="C288" i="11"/>
  <c r="C463" i="11"/>
  <c r="C416" i="11"/>
  <c r="C406" i="11"/>
  <c r="C401" i="11"/>
  <c r="C396" i="11"/>
  <c r="C391" i="11"/>
  <c r="C386" i="11"/>
  <c r="C381" i="11"/>
  <c r="C374" i="11"/>
  <c r="C369" i="11"/>
  <c r="C364" i="11"/>
  <c r="C359" i="11"/>
  <c r="C354" i="11"/>
  <c r="C349" i="11"/>
  <c r="C344" i="11"/>
  <c r="C339" i="11"/>
  <c r="C334" i="11"/>
  <c r="C498" i="11"/>
  <c r="D283" i="11"/>
  <c r="D279" i="11"/>
  <c r="D269" i="11"/>
  <c r="D274" i="11"/>
  <c r="D304" i="11"/>
  <c r="D299" i="11"/>
  <c r="D449" i="11"/>
  <c r="E318" i="23"/>
  <c r="E313" i="23"/>
  <c r="E236" i="23"/>
  <c r="E226" i="23"/>
  <c r="E221" i="23"/>
  <c r="E216" i="23"/>
  <c r="E211" i="23"/>
  <c r="E206" i="23"/>
  <c r="E201" i="23"/>
  <c r="E194" i="23"/>
  <c r="E189" i="23"/>
  <c r="E184" i="23"/>
  <c r="E179" i="23"/>
  <c r="E174" i="23"/>
  <c r="E169" i="23"/>
  <c r="E164" i="23"/>
  <c r="E159" i="23"/>
  <c r="E154" i="23"/>
  <c r="E102" i="23"/>
  <c r="E113" i="23"/>
  <c r="E98" i="23"/>
  <c r="E88" i="23"/>
  <c r="E78" i="23"/>
  <c r="E93" i="23"/>
  <c r="E83" i="23"/>
  <c r="E128" i="23"/>
  <c r="E133" i="23"/>
  <c r="E123" i="23"/>
  <c r="E118" i="23"/>
  <c r="E108" i="23"/>
  <c r="E273" i="23"/>
  <c r="E268" i="23"/>
  <c r="E263" i="23"/>
  <c r="E256" i="23"/>
  <c r="E251" i="23"/>
  <c r="E246" i="23"/>
  <c r="E241" i="23"/>
  <c r="E283" i="23"/>
  <c r="E308" i="23"/>
  <c r="E303" i="23"/>
  <c r="E298" i="23"/>
  <c r="E293" i="23"/>
  <c r="E288" i="23"/>
  <c r="E278" i="23"/>
  <c r="E231" i="23"/>
  <c r="E149" i="23"/>
  <c r="E144" i="23"/>
  <c r="E139" i="23"/>
  <c r="G274" i="23"/>
  <c r="A275" i="23"/>
  <c r="F274" i="23"/>
  <c r="B274" i="23"/>
  <c r="A270" i="23"/>
  <c r="G269" i="23"/>
  <c r="F269" i="23"/>
  <c r="B269" i="23"/>
  <c r="A265" i="23"/>
  <c r="G264" i="23"/>
  <c r="F264" i="23"/>
  <c r="B264" i="23"/>
  <c r="A258" i="23"/>
  <c r="G257" i="23"/>
  <c r="F257" i="23"/>
  <c r="B257" i="23"/>
  <c r="A253" i="23"/>
  <c r="G252" i="23"/>
  <c r="F252" i="23"/>
  <c r="B252" i="23"/>
  <c r="A248" i="23"/>
  <c r="G247" i="23"/>
  <c r="F247" i="23"/>
  <c r="B247" i="23"/>
  <c r="A243" i="23"/>
  <c r="G242" i="23"/>
  <c r="F242" i="23"/>
  <c r="B242" i="23"/>
  <c r="A285" i="23"/>
  <c r="G284" i="23"/>
  <c r="F284" i="23"/>
  <c r="B284" i="23"/>
  <c r="F319" i="23"/>
  <c r="B319" i="23"/>
  <c r="A320" i="23"/>
  <c r="G319" i="23"/>
  <c r="F314" i="23"/>
  <c r="B314" i="23"/>
  <c r="A315" i="23"/>
  <c r="G314" i="23"/>
  <c r="A310" i="23"/>
  <c r="G309" i="23"/>
  <c r="B309" i="23"/>
  <c r="F309" i="23"/>
  <c r="A305" i="23"/>
  <c r="G304" i="23"/>
  <c r="F304" i="23"/>
  <c r="B304" i="23"/>
  <c r="A300" i="23"/>
  <c r="G299" i="23"/>
  <c r="F299" i="23"/>
  <c r="B299" i="23"/>
  <c r="A295" i="23"/>
  <c r="G294" i="23"/>
  <c r="F294" i="23"/>
  <c r="B294" i="23"/>
  <c r="A290" i="23"/>
  <c r="G289" i="23"/>
  <c r="F289" i="23"/>
  <c r="B289" i="23"/>
  <c r="F279" i="23"/>
  <c r="B279" i="23"/>
  <c r="A280" i="23"/>
  <c r="G279" i="23"/>
  <c r="F237" i="23"/>
  <c r="B237" i="23"/>
  <c r="A238" i="23"/>
  <c r="G237" i="23"/>
  <c r="F232" i="23"/>
  <c r="B232" i="23"/>
  <c r="A233" i="23"/>
  <c r="G232" i="23"/>
  <c r="A228" i="23"/>
  <c r="G227" i="23"/>
  <c r="F227" i="23"/>
  <c r="B227" i="23"/>
  <c r="A223" i="23"/>
  <c r="G222" i="23"/>
  <c r="F222" i="23"/>
  <c r="B222" i="23"/>
  <c r="A218" i="23"/>
  <c r="G217" i="23"/>
  <c r="F217" i="23"/>
  <c r="B217" i="23"/>
  <c r="A213" i="23"/>
  <c r="G212" i="23"/>
  <c r="F212" i="23"/>
  <c r="B212" i="23"/>
  <c r="A208" i="23"/>
  <c r="G207" i="23"/>
  <c r="F207" i="23"/>
  <c r="B207" i="23"/>
  <c r="A203" i="23"/>
  <c r="G202" i="23"/>
  <c r="F202" i="23"/>
  <c r="B202" i="23"/>
  <c r="A196" i="23"/>
  <c r="G195" i="23"/>
  <c r="F195" i="23"/>
  <c r="B195" i="23"/>
  <c r="A191" i="23"/>
  <c r="G190" i="23"/>
  <c r="F190" i="23"/>
  <c r="B190" i="23"/>
  <c r="A186" i="23"/>
  <c r="G185" i="23"/>
  <c r="F185" i="23"/>
  <c r="B185" i="23"/>
  <c r="A181" i="23"/>
  <c r="G180" i="23"/>
  <c r="F180" i="23"/>
  <c r="B180" i="23"/>
  <c r="A176" i="23"/>
  <c r="G175" i="23"/>
  <c r="F175" i="23"/>
  <c r="B175" i="23"/>
  <c r="A171" i="23"/>
  <c r="G170" i="23"/>
  <c r="F170" i="23"/>
  <c r="B170" i="23"/>
  <c r="A166" i="23"/>
  <c r="G165" i="23"/>
  <c r="F165" i="23"/>
  <c r="B165" i="23"/>
  <c r="A161" i="23"/>
  <c r="G160" i="23"/>
  <c r="F160" i="23"/>
  <c r="B160" i="23"/>
  <c r="A156" i="23"/>
  <c r="G155" i="23"/>
  <c r="F155" i="23"/>
  <c r="B155" i="23"/>
  <c r="A151" i="23"/>
  <c r="F150" i="23"/>
  <c r="G150" i="23"/>
  <c r="B150" i="23"/>
  <c r="F145" i="23"/>
  <c r="B145" i="23"/>
  <c r="A146" i="23"/>
  <c r="G145" i="23"/>
  <c r="F140" i="23"/>
  <c r="B140" i="23"/>
  <c r="A141" i="23"/>
  <c r="G140" i="23"/>
  <c r="A104" i="23"/>
  <c r="G103" i="23"/>
  <c r="F103" i="23"/>
  <c r="B103" i="23"/>
  <c r="G114" i="23"/>
  <c r="F114" i="23"/>
  <c r="B114" i="23"/>
  <c r="G99" i="23"/>
  <c r="F99" i="23"/>
  <c r="B99" i="23"/>
  <c r="G89" i="23"/>
  <c r="F89" i="23"/>
  <c r="B89" i="23"/>
  <c r="G79" i="23"/>
  <c r="F79" i="23"/>
  <c r="B79" i="23"/>
  <c r="G94" i="23"/>
  <c r="F94" i="23"/>
  <c r="B94" i="23"/>
  <c r="G84" i="23"/>
  <c r="F84" i="23"/>
  <c r="B84" i="23"/>
  <c r="G129" i="23"/>
  <c r="F129" i="23"/>
  <c r="B129" i="23"/>
  <c r="G134" i="23"/>
  <c r="F134" i="23"/>
  <c r="B134" i="23"/>
  <c r="G124" i="23"/>
  <c r="F124" i="23"/>
  <c r="B124" i="23"/>
  <c r="G119" i="23"/>
  <c r="F119" i="23"/>
  <c r="B119" i="23"/>
  <c r="G109" i="23"/>
  <c r="F109" i="23"/>
  <c r="B109" i="23"/>
  <c r="D300" i="11" l="1"/>
  <c r="D315" i="11"/>
  <c r="D265" i="11"/>
  <c r="D260" i="11"/>
  <c r="D280" i="11"/>
  <c r="D284" i="11"/>
  <c r="D321" i="11"/>
  <c r="D326" i="11"/>
  <c r="D336" i="11"/>
  <c r="D341" i="11"/>
  <c r="D346" i="11"/>
  <c r="D351" i="11"/>
  <c r="D356" i="11"/>
  <c r="D361" i="11"/>
  <c r="D366" i="11"/>
  <c r="D371" i="11"/>
  <c r="D376" i="11"/>
  <c r="D383" i="11"/>
  <c r="D388" i="11"/>
  <c r="D393" i="11"/>
  <c r="D398" i="11"/>
  <c r="D403" i="11"/>
  <c r="D408" i="11"/>
  <c r="D413" i="11"/>
  <c r="D418" i="11"/>
  <c r="D460" i="11"/>
  <c r="D470" i="11"/>
  <c r="D475" i="11"/>
  <c r="D480" i="11"/>
  <c r="D485" i="11"/>
  <c r="D495" i="11"/>
  <c r="D500" i="11"/>
  <c r="D465" i="11"/>
  <c r="D423" i="11"/>
  <c r="D428" i="11"/>
  <c r="D433" i="11"/>
  <c r="D438" i="11"/>
  <c r="D445" i="11"/>
  <c r="D450" i="11"/>
  <c r="D455" i="11"/>
  <c r="C320" i="11"/>
  <c r="C325" i="11"/>
  <c r="C330" i="11"/>
  <c r="C412" i="11"/>
  <c r="C459" i="11"/>
  <c r="C469" i="11"/>
  <c r="C474" i="11"/>
  <c r="C479" i="11"/>
  <c r="C484" i="11"/>
  <c r="C489" i="11"/>
  <c r="C464" i="11"/>
  <c r="C422" i="11"/>
  <c r="C427" i="11"/>
  <c r="C432" i="11"/>
  <c r="C437" i="11"/>
  <c r="C444" i="11"/>
  <c r="C449" i="11"/>
  <c r="C454" i="11"/>
  <c r="C289" i="11"/>
  <c r="C299" i="11"/>
  <c r="C304" i="11"/>
  <c r="C314" i="11"/>
  <c r="C309" i="11"/>
  <c r="C264" i="11"/>
  <c r="C274" i="11"/>
  <c r="C259" i="11"/>
  <c r="C269" i="11"/>
  <c r="C279" i="11"/>
  <c r="C294" i="11"/>
  <c r="C283" i="11"/>
  <c r="C335" i="11"/>
  <c r="C340" i="11"/>
  <c r="C345" i="11"/>
  <c r="C350" i="11"/>
  <c r="C355" i="11"/>
  <c r="C360" i="11"/>
  <c r="C365" i="11"/>
  <c r="C370" i="11"/>
  <c r="C375" i="11"/>
  <c r="C382" i="11"/>
  <c r="C387" i="11"/>
  <c r="C392" i="11"/>
  <c r="C397" i="11"/>
  <c r="C402" i="11"/>
  <c r="C407" i="11"/>
  <c r="C417" i="11"/>
  <c r="C494" i="11"/>
  <c r="C499" i="11"/>
  <c r="D290" i="11"/>
  <c r="D305" i="11"/>
  <c r="D310" i="11"/>
  <c r="D275" i="11"/>
  <c r="D270" i="11"/>
  <c r="D295" i="11"/>
  <c r="D331" i="11"/>
  <c r="D490" i="11"/>
  <c r="E314" i="23"/>
  <c r="E319" i="23"/>
  <c r="E109" i="23"/>
  <c r="E124" i="23"/>
  <c r="E129" i="23"/>
  <c r="E94" i="23"/>
  <c r="E89" i="23"/>
  <c r="E114" i="23"/>
  <c r="E150" i="23"/>
  <c r="E274" i="23"/>
  <c r="E119" i="23"/>
  <c r="E134" i="23"/>
  <c r="E84" i="23"/>
  <c r="E79" i="23"/>
  <c r="E99" i="23"/>
  <c r="E103" i="23"/>
  <c r="E140" i="23"/>
  <c r="E145" i="23"/>
  <c r="E155" i="23"/>
  <c r="E160" i="23"/>
  <c r="E165" i="23"/>
  <c r="E170" i="23"/>
  <c r="E175" i="23"/>
  <c r="E180" i="23"/>
  <c r="E185" i="23"/>
  <c r="E190" i="23"/>
  <c r="E195" i="23"/>
  <c r="E202" i="23"/>
  <c r="E207" i="23"/>
  <c r="E212" i="23"/>
  <c r="E217" i="23"/>
  <c r="E222" i="23"/>
  <c r="E227" i="23"/>
  <c r="E232" i="23"/>
  <c r="E237" i="23"/>
  <c r="E279" i="23"/>
  <c r="E289" i="23"/>
  <c r="E294" i="23"/>
  <c r="E299" i="23"/>
  <c r="E304" i="23"/>
  <c r="E309" i="23"/>
  <c r="E284" i="23"/>
  <c r="E242" i="23"/>
  <c r="E247" i="23"/>
  <c r="E252" i="23"/>
  <c r="E257" i="23"/>
  <c r="E264" i="23"/>
  <c r="E269" i="23"/>
  <c r="F141" i="23"/>
  <c r="B141" i="23"/>
  <c r="G141" i="23"/>
  <c r="F146" i="23"/>
  <c r="B146" i="23"/>
  <c r="G146" i="23"/>
  <c r="G151" i="23"/>
  <c r="F151" i="23"/>
  <c r="B151" i="23"/>
  <c r="G156" i="23"/>
  <c r="F156" i="23"/>
  <c r="B156" i="23"/>
  <c r="G161" i="23"/>
  <c r="F161" i="23"/>
  <c r="B161" i="23"/>
  <c r="G166" i="23"/>
  <c r="F166" i="23"/>
  <c r="B166" i="23"/>
  <c r="G171" i="23"/>
  <c r="F171" i="23"/>
  <c r="B171" i="23"/>
  <c r="G176" i="23"/>
  <c r="F176" i="23"/>
  <c r="B176" i="23"/>
  <c r="G181" i="23"/>
  <c r="F181" i="23"/>
  <c r="B181" i="23"/>
  <c r="G186" i="23"/>
  <c r="F186" i="23"/>
  <c r="B186" i="23"/>
  <c r="G191" i="23"/>
  <c r="F191" i="23"/>
  <c r="B191" i="23"/>
  <c r="G196" i="23"/>
  <c r="F196" i="23"/>
  <c r="B196" i="23"/>
  <c r="G203" i="23"/>
  <c r="F203" i="23"/>
  <c r="B203" i="23"/>
  <c r="G208" i="23"/>
  <c r="F208" i="23"/>
  <c r="B208" i="23"/>
  <c r="G213" i="23"/>
  <c r="F213" i="23"/>
  <c r="B213" i="23"/>
  <c r="G218" i="23"/>
  <c r="F218" i="23"/>
  <c r="B218" i="23"/>
  <c r="G223" i="23"/>
  <c r="F223" i="23"/>
  <c r="B223" i="23"/>
  <c r="F228" i="23"/>
  <c r="B228" i="23"/>
  <c r="G228" i="23"/>
  <c r="F233" i="23"/>
  <c r="B233" i="23"/>
  <c r="G233" i="23"/>
  <c r="F238" i="23"/>
  <c r="B238" i="23"/>
  <c r="G238" i="23"/>
  <c r="F280" i="23"/>
  <c r="B280" i="23"/>
  <c r="G280" i="23"/>
  <c r="G290" i="23"/>
  <c r="F290" i="23"/>
  <c r="B290" i="23"/>
  <c r="G295" i="23"/>
  <c r="F295" i="23"/>
  <c r="B295" i="23"/>
  <c r="G300" i="23"/>
  <c r="F300" i="23"/>
  <c r="B300" i="23"/>
  <c r="G305" i="23"/>
  <c r="F305" i="23"/>
  <c r="B305" i="23"/>
  <c r="G310" i="23"/>
  <c r="B310" i="23"/>
  <c r="F310" i="23"/>
  <c r="F315" i="23"/>
  <c r="B315" i="23"/>
  <c r="G315" i="23"/>
  <c r="F320" i="23"/>
  <c r="B320" i="23"/>
  <c r="G320" i="23"/>
  <c r="G285" i="23"/>
  <c r="F285" i="23"/>
  <c r="B285" i="23"/>
  <c r="G243" i="23"/>
  <c r="F243" i="23"/>
  <c r="B243" i="23"/>
  <c r="G248" i="23"/>
  <c r="F248" i="23"/>
  <c r="B248" i="23"/>
  <c r="G253" i="23"/>
  <c r="F253" i="23"/>
  <c r="B253" i="23"/>
  <c r="G258" i="23"/>
  <c r="F258" i="23"/>
  <c r="B258" i="23"/>
  <c r="G265" i="23"/>
  <c r="F265" i="23"/>
  <c r="B265" i="23"/>
  <c r="G270" i="23"/>
  <c r="F270" i="23"/>
  <c r="B270" i="23"/>
  <c r="F275" i="23"/>
  <c r="B275" i="23"/>
  <c r="G275" i="23"/>
  <c r="G104" i="23"/>
  <c r="F104" i="23"/>
  <c r="B104" i="23"/>
  <c r="D446" i="11" l="1"/>
  <c r="D434" i="11"/>
  <c r="D424" i="11"/>
  <c r="D496" i="11"/>
  <c r="D481" i="11"/>
  <c r="D471" i="11"/>
  <c r="D461" i="11"/>
  <c r="D414" i="11"/>
  <c r="D399" i="11"/>
  <c r="D389" i="11"/>
  <c r="D377" i="11"/>
  <c r="D367" i="11"/>
  <c r="D357" i="11"/>
  <c r="D347" i="11"/>
  <c r="D337" i="11"/>
  <c r="D322" i="11"/>
  <c r="C450" i="11"/>
  <c r="C445" i="11"/>
  <c r="C438" i="11"/>
  <c r="C433" i="11"/>
  <c r="C428" i="11"/>
  <c r="C423" i="11"/>
  <c r="C465" i="11"/>
  <c r="C490" i="11"/>
  <c r="C485" i="11"/>
  <c r="C480" i="11"/>
  <c r="C475" i="11"/>
  <c r="C470" i="11"/>
  <c r="C460" i="11"/>
  <c r="C418" i="11"/>
  <c r="C413" i="11"/>
  <c r="C408" i="11"/>
  <c r="C403" i="11"/>
  <c r="C398" i="11"/>
  <c r="C393" i="11"/>
  <c r="C388" i="11"/>
  <c r="C383" i="11"/>
  <c r="C376" i="11"/>
  <c r="C371" i="11"/>
  <c r="C366" i="11"/>
  <c r="C361" i="11"/>
  <c r="C356" i="11"/>
  <c r="C351" i="11"/>
  <c r="C346" i="11"/>
  <c r="C341" i="11"/>
  <c r="C336" i="11"/>
  <c r="C326" i="11"/>
  <c r="C321" i="11"/>
  <c r="C284" i="11"/>
  <c r="C280" i="11"/>
  <c r="C260" i="11"/>
  <c r="C265" i="11"/>
  <c r="C315" i="11"/>
  <c r="C300" i="11"/>
  <c r="C455" i="11"/>
  <c r="C331" i="11"/>
  <c r="C295" i="11"/>
  <c r="C270" i="11"/>
  <c r="C275" i="11"/>
  <c r="C310" i="11"/>
  <c r="C305" i="11"/>
  <c r="C290" i="11"/>
  <c r="C500" i="11"/>
  <c r="C495" i="11"/>
  <c r="E315" i="23"/>
  <c r="D285" i="11"/>
  <c r="D456" i="11"/>
  <c r="D451" i="11"/>
  <c r="D439" i="11"/>
  <c r="D429" i="11"/>
  <c r="D466" i="11"/>
  <c r="E320" i="23"/>
  <c r="D501" i="11"/>
  <c r="D491" i="11"/>
  <c r="D486" i="11"/>
  <c r="D476" i="11"/>
  <c r="D419" i="11"/>
  <c r="D409" i="11"/>
  <c r="D404" i="11"/>
  <c r="D394" i="11"/>
  <c r="D384" i="11"/>
  <c r="D372" i="11"/>
  <c r="D362" i="11"/>
  <c r="D352" i="11"/>
  <c r="D342" i="11"/>
  <c r="D332" i="11"/>
  <c r="D327" i="11"/>
  <c r="E104" i="23"/>
  <c r="E270" i="23"/>
  <c r="E258" i="23"/>
  <c r="E248" i="23"/>
  <c r="E285" i="23"/>
  <c r="E305" i="23"/>
  <c r="E295" i="23"/>
  <c r="E280" i="23"/>
  <c r="E233" i="23"/>
  <c r="E223" i="23"/>
  <c r="E213" i="23"/>
  <c r="E203" i="23"/>
  <c r="E191" i="23"/>
  <c r="E181" i="23"/>
  <c r="E171" i="23"/>
  <c r="E161" i="23"/>
  <c r="E151" i="23"/>
  <c r="E141" i="23"/>
  <c r="E275" i="23"/>
  <c r="E265" i="23"/>
  <c r="E253" i="23"/>
  <c r="E243" i="23"/>
  <c r="E310" i="23"/>
  <c r="E300" i="23"/>
  <c r="E290" i="23"/>
  <c r="E238" i="23"/>
  <c r="E228" i="23"/>
  <c r="E218" i="23"/>
  <c r="E208" i="23"/>
  <c r="E196" i="23"/>
  <c r="E186" i="23"/>
  <c r="E176" i="23"/>
  <c r="E166" i="23"/>
  <c r="E156" i="23"/>
  <c r="E146" i="23"/>
  <c r="C337" i="11" l="1"/>
  <c r="C357" i="11"/>
  <c r="C377" i="11"/>
  <c r="C399" i="11"/>
  <c r="C419" i="11"/>
  <c r="C481" i="11"/>
  <c r="C424" i="11"/>
  <c r="C446" i="11"/>
  <c r="C322" i="11"/>
  <c r="C342" i="11"/>
  <c r="C352" i="11"/>
  <c r="C372" i="11"/>
  <c r="C394" i="11"/>
  <c r="C404" i="11"/>
  <c r="C461" i="11"/>
  <c r="C476" i="11"/>
  <c r="C486" i="11"/>
  <c r="C466" i="11"/>
  <c r="C429" i="11"/>
  <c r="C439" i="11"/>
  <c r="C451" i="11"/>
  <c r="C285" i="11"/>
  <c r="C501" i="11"/>
  <c r="C496" i="11"/>
  <c r="C327" i="11"/>
  <c r="C347" i="11"/>
  <c r="C367" i="11"/>
  <c r="C389" i="11"/>
  <c r="C409" i="11"/>
  <c r="C471" i="11"/>
  <c r="C491" i="11"/>
  <c r="C434" i="11"/>
  <c r="C456" i="11"/>
  <c r="C332" i="11"/>
  <c r="C362" i="11"/>
  <c r="C384" i="11"/>
  <c r="C414" i="11"/>
  <c r="A63" i="23"/>
  <c r="A58" i="23"/>
  <c r="A53" i="23"/>
  <c r="A48" i="23"/>
  <c r="A43" i="23"/>
  <c r="A38" i="23"/>
  <c r="A33" i="23"/>
  <c r="A28" i="23"/>
  <c r="A23" i="23"/>
  <c r="A18" i="23"/>
  <c r="A13" i="23"/>
  <c r="H1117" i="25"/>
  <c r="H1080" i="25"/>
  <c r="H1098" i="25" s="1"/>
  <c r="H1043" i="25"/>
  <c r="H1006" i="25"/>
  <c r="H1024" i="25" s="1"/>
  <c r="H969" i="25"/>
  <c r="H932" i="25"/>
  <c r="H933" i="25" s="1"/>
  <c r="H895" i="25"/>
  <c r="H858" i="25"/>
  <c r="H821" i="25"/>
  <c r="H784" i="25"/>
  <c r="H785" i="25" s="1"/>
  <c r="H747" i="25"/>
  <c r="H710" i="25"/>
  <c r="H673" i="25"/>
  <c r="H636" i="25"/>
  <c r="H637" i="25" s="1"/>
  <c r="H599" i="25"/>
  <c r="H562" i="25"/>
  <c r="H525" i="25"/>
  <c r="H543" i="25" s="1"/>
  <c r="H488" i="25"/>
  <c r="H451" i="25"/>
  <c r="H469" i="25" s="1"/>
  <c r="H414" i="25"/>
  <c r="H377" i="25"/>
  <c r="H395" i="25" s="1"/>
  <c r="H340" i="25"/>
  <c r="H303" i="25"/>
  <c r="H321" i="25" s="1"/>
  <c r="H266" i="25"/>
  <c r="H229" i="25"/>
  <c r="H247" i="25" s="1"/>
  <c r="H192" i="25"/>
  <c r="H193" i="25" s="1"/>
  <c r="H194" i="25" s="1"/>
  <c r="H155" i="25"/>
  <c r="H173" i="25" s="1"/>
  <c r="H154" i="25"/>
  <c r="H118" i="25"/>
  <c r="H119" i="25" s="1"/>
  <c r="H120" i="25" s="1"/>
  <c r="H121" i="25" s="1"/>
  <c r="H122" i="25" s="1"/>
  <c r="H123" i="25" s="1"/>
  <c r="H124" i="25" s="1"/>
  <c r="H125" i="25" s="1"/>
  <c r="H126" i="25" s="1"/>
  <c r="H127" i="25" s="1"/>
  <c r="H128" i="25" s="1"/>
  <c r="H129" i="25" s="1"/>
  <c r="H130" i="25" s="1"/>
  <c r="H131" i="25" s="1"/>
  <c r="H132" i="25" s="1"/>
  <c r="H133" i="25" s="1"/>
  <c r="H134" i="25" s="1"/>
  <c r="H152" i="25" s="1"/>
  <c r="H81" i="25"/>
  <c r="H82" i="25" s="1"/>
  <c r="H83" i="25" s="1"/>
  <c r="H84" i="25" s="1"/>
  <c r="H85" i="25" s="1"/>
  <c r="H86" i="25" s="1"/>
  <c r="H87" i="25" s="1"/>
  <c r="H88" i="25" s="1"/>
  <c r="H89" i="25" s="1"/>
  <c r="H90" i="25" s="1"/>
  <c r="H91" i="25" s="1"/>
  <c r="H92" i="25" s="1"/>
  <c r="H93" i="25" s="1"/>
  <c r="H94" i="25" s="1"/>
  <c r="H95" i="25" s="1"/>
  <c r="H96" i="25" s="1"/>
  <c r="H97" i="25" s="1"/>
  <c r="H115" i="25" s="1"/>
  <c r="H44" i="25"/>
  <c r="H45" i="25" s="1"/>
  <c r="H46" i="25" s="1"/>
  <c r="H47" i="25" s="1"/>
  <c r="H48" i="25" s="1"/>
  <c r="H49" i="25" s="1"/>
  <c r="H50" i="25" s="1"/>
  <c r="H51" i="25" s="1"/>
  <c r="H52" i="25" s="1"/>
  <c r="H53" i="25" s="1"/>
  <c r="H54" i="25" s="1"/>
  <c r="H55" i="25" s="1"/>
  <c r="H56" i="25" s="1"/>
  <c r="H57" i="25" s="1"/>
  <c r="H58" i="25" s="1"/>
  <c r="H59" i="25" s="1"/>
  <c r="H60" i="25" s="1"/>
  <c r="H78" i="25" s="1"/>
  <c r="H7" i="25"/>
  <c r="H156" i="25" l="1"/>
  <c r="H157" i="25" s="1"/>
  <c r="H158" i="25" s="1"/>
  <c r="H159" i="25" s="1"/>
  <c r="H160" i="25" s="1"/>
  <c r="H161" i="25" s="1"/>
  <c r="H162" i="25" s="1"/>
  <c r="H163" i="25" s="1"/>
  <c r="H164" i="25" s="1"/>
  <c r="H165" i="25" s="1"/>
  <c r="H166" i="25" s="1"/>
  <c r="H167" i="25" s="1"/>
  <c r="H168" i="25" s="1"/>
  <c r="H169" i="25" s="1"/>
  <c r="H170" i="25" s="1"/>
  <c r="H171" i="25" s="1"/>
  <c r="H189" i="25" s="1"/>
  <c r="H304" i="25"/>
  <c r="H452" i="25"/>
  <c r="H1007" i="25"/>
  <c r="H1008" i="25" s="1"/>
  <c r="H934" i="25"/>
  <c r="H951" i="25"/>
  <c r="H8" i="25"/>
  <c r="H267" i="25"/>
  <c r="H284" i="25"/>
  <c r="H305" i="25"/>
  <c r="H322" i="25"/>
  <c r="H415" i="25"/>
  <c r="H432" i="25"/>
  <c r="H453" i="25"/>
  <c r="H470" i="25"/>
  <c r="H563" i="25"/>
  <c r="H580" i="25"/>
  <c r="H638" i="25"/>
  <c r="H655" i="25"/>
  <c r="H711" i="25"/>
  <c r="H728" i="25"/>
  <c r="H786" i="25"/>
  <c r="H803" i="25"/>
  <c r="H859" i="25"/>
  <c r="H876" i="25"/>
  <c r="H970" i="25"/>
  <c r="H987" i="25"/>
  <c r="H1118" i="25"/>
  <c r="H1135" i="25"/>
  <c r="H62" i="25"/>
  <c r="H64" i="25"/>
  <c r="H66" i="25"/>
  <c r="H68" i="25"/>
  <c r="H70" i="25"/>
  <c r="H72" i="25"/>
  <c r="H74" i="25"/>
  <c r="H76" i="25"/>
  <c r="H100" i="25"/>
  <c r="H102" i="25"/>
  <c r="H104" i="25"/>
  <c r="H106" i="25"/>
  <c r="H108" i="25"/>
  <c r="H110" i="25"/>
  <c r="H112" i="25"/>
  <c r="H114" i="25"/>
  <c r="H136" i="25"/>
  <c r="H138" i="25"/>
  <c r="H140" i="25"/>
  <c r="H142" i="25"/>
  <c r="H144" i="25"/>
  <c r="H146" i="25"/>
  <c r="H148" i="25"/>
  <c r="H150" i="25"/>
  <c r="H176" i="25"/>
  <c r="H178" i="25"/>
  <c r="H180" i="25"/>
  <c r="H184" i="25"/>
  <c r="H186" i="25"/>
  <c r="H188" i="25"/>
  <c r="H210" i="25"/>
  <c r="H654" i="25"/>
  <c r="H950" i="25"/>
  <c r="H195" i="25"/>
  <c r="H212" i="25"/>
  <c r="H230" i="25"/>
  <c r="H341" i="25"/>
  <c r="H358" i="25"/>
  <c r="H378" i="25"/>
  <c r="H489" i="25"/>
  <c r="H506" i="25"/>
  <c r="H526" i="25"/>
  <c r="H600" i="25"/>
  <c r="H617" i="25"/>
  <c r="H674" i="25"/>
  <c r="H691" i="25"/>
  <c r="H748" i="25"/>
  <c r="H765" i="25"/>
  <c r="H822" i="25"/>
  <c r="H839" i="25"/>
  <c r="H896" i="25"/>
  <c r="H913" i="25"/>
  <c r="H1044" i="25"/>
  <c r="H1061" i="25"/>
  <c r="H1081" i="25"/>
  <c r="H25" i="25"/>
  <c r="H63" i="25"/>
  <c r="H65" i="25"/>
  <c r="H67" i="25"/>
  <c r="H69" i="25"/>
  <c r="H71" i="25"/>
  <c r="H73" i="25"/>
  <c r="H75" i="25"/>
  <c r="H77" i="25"/>
  <c r="H99" i="25"/>
  <c r="H101" i="25"/>
  <c r="H103" i="25"/>
  <c r="H105" i="25"/>
  <c r="H107" i="25"/>
  <c r="H109" i="25"/>
  <c r="H111" i="25"/>
  <c r="H113" i="25"/>
  <c r="H137" i="25"/>
  <c r="H139" i="25"/>
  <c r="H141" i="25"/>
  <c r="H143" i="25"/>
  <c r="H145" i="25"/>
  <c r="H147" i="25"/>
  <c r="H149" i="25"/>
  <c r="H151" i="25"/>
  <c r="H175" i="25"/>
  <c r="H177" i="25"/>
  <c r="H181" i="25"/>
  <c r="H183" i="25"/>
  <c r="H185" i="25"/>
  <c r="H211" i="25"/>
  <c r="H802" i="25"/>
  <c r="F41" i="47"/>
  <c r="F40" i="47"/>
  <c r="F39" i="47"/>
  <c r="F38" i="47"/>
  <c r="F37" i="47"/>
  <c r="F36" i="47"/>
  <c r="F35" i="47"/>
  <c r="F34" i="47"/>
  <c r="F33" i="47"/>
  <c r="F32" i="47"/>
  <c r="H1025" i="25" l="1"/>
  <c r="H187" i="25"/>
  <c r="H179" i="25"/>
  <c r="H182" i="25"/>
  <c r="H174" i="25"/>
  <c r="H527" i="25"/>
  <c r="H544" i="25"/>
  <c r="H490" i="25"/>
  <c r="H507" i="25"/>
  <c r="H231" i="25"/>
  <c r="H248" i="25"/>
  <c r="H196" i="25"/>
  <c r="H213" i="25"/>
  <c r="H1082" i="25"/>
  <c r="H1099" i="25"/>
  <c r="H1045" i="25"/>
  <c r="H1062" i="25"/>
  <c r="H897" i="25"/>
  <c r="H914" i="25"/>
  <c r="H823" i="25"/>
  <c r="H840" i="25"/>
  <c r="H749" i="25"/>
  <c r="H766" i="25"/>
  <c r="H675" i="25"/>
  <c r="H692" i="25"/>
  <c r="H601" i="25"/>
  <c r="H618" i="25"/>
  <c r="H379" i="25"/>
  <c r="H396" i="25"/>
  <c r="H342" i="25"/>
  <c r="H359" i="25"/>
  <c r="H1119" i="25"/>
  <c r="H1136" i="25"/>
  <c r="H1009" i="25"/>
  <c r="H1026" i="25"/>
  <c r="H971" i="25"/>
  <c r="H988" i="25"/>
  <c r="H860" i="25"/>
  <c r="H877" i="25"/>
  <c r="H787" i="25"/>
  <c r="H804" i="25"/>
  <c r="H712" i="25"/>
  <c r="H729" i="25"/>
  <c r="H639" i="25"/>
  <c r="H656" i="25"/>
  <c r="H564" i="25"/>
  <c r="H581" i="25"/>
  <c r="H454" i="25"/>
  <c r="H471" i="25"/>
  <c r="H416" i="25"/>
  <c r="H433" i="25"/>
  <c r="H306" i="25"/>
  <c r="H323" i="25"/>
  <c r="H268" i="25"/>
  <c r="H285" i="25"/>
  <c r="H9" i="25"/>
  <c r="H26" i="25"/>
  <c r="H935" i="25"/>
  <c r="H952" i="25"/>
  <c r="G47" i="47"/>
  <c r="A18" i="26"/>
  <c r="A19" i="26" s="1"/>
  <c r="A23" i="26"/>
  <c r="A24" i="26" s="1"/>
  <c r="A28" i="26"/>
  <c r="A29" i="26" s="1"/>
  <c r="A33" i="26"/>
  <c r="A34" i="26" s="1"/>
  <c r="X137" i="26"/>
  <c r="Z137" i="26"/>
  <c r="F13" i="26"/>
  <c r="F14" i="26" s="1"/>
  <c r="F15" i="26" s="1"/>
  <c r="F16" i="26" s="1"/>
  <c r="F17" i="26" s="1"/>
  <c r="F18" i="26"/>
  <c r="F19" i="26" s="1"/>
  <c r="F20" i="26" s="1"/>
  <c r="F21" i="26" s="1"/>
  <c r="F22" i="26" s="1"/>
  <c r="F23" i="26"/>
  <c r="F24" i="26" s="1"/>
  <c r="F25" i="26" s="1"/>
  <c r="F26" i="26" s="1"/>
  <c r="F27" i="26" s="1"/>
  <c r="W23" i="26"/>
  <c r="F28" i="26"/>
  <c r="F29" i="26" s="1"/>
  <c r="F30" i="26" s="1"/>
  <c r="F31" i="26" s="1"/>
  <c r="F32" i="26" s="1"/>
  <c r="F33" i="26"/>
  <c r="F34" i="26" s="1"/>
  <c r="F35" i="26" s="1"/>
  <c r="F36" i="26" s="1"/>
  <c r="F37" i="26" s="1"/>
  <c r="W33" i="26"/>
  <c r="X23" i="26"/>
  <c r="Y13" i="26"/>
  <c r="Z18" i="26"/>
  <c r="Z23" i="26"/>
  <c r="A39" i="26"/>
  <c r="A40" i="26" s="1"/>
  <c r="F39" i="26"/>
  <c r="W39" i="26"/>
  <c r="A44" i="26"/>
  <c r="A45" i="26" s="1"/>
  <c r="F44" i="26"/>
  <c r="F45" i="26" s="1"/>
  <c r="F46" i="26" s="1"/>
  <c r="F47" i="26" s="1"/>
  <c r="F48" i="26" s="1"/>
  <c r="A49" i="26"/>
  <c r="A50" i="26" s="1"/>
  <c r="F49" i="26"/>
  <c r="F50" i="26" s="1"/>
  <c r="F51" i="26" s="1"/>
  <c r="F52" i="26" s="1"/>
  <c r="F53" i="26" s="1"/>
  <c r="A54" i="26"/>
  <c r="A55" i="26" s="1"/>
  <c r="F54" i="26"/>
  <c r="F55" i="26" s="1"/>
  <c r="F56" i="26" s="1"/>
  <c r="F57" i="26" s="1"/>
  <c r="F58" i="26" s="1"/>
  <c r="A59" i="26"/>
  <c r="A60" i="26" s="1"/>
  <c r="F59" i="26"/>
  <c r="F60" i="26" s="1"/>
  <c r="F61" i="26" s="1"/>
  <c r="F62" i="26" s="1"/>
  <c r="F63" i="26" s="1"/>
  <c r="X49" i="26"/>
  <c r="X54" i="26"/>
  <c r="Z44" i="26"/>
  <c r="Z59" i="26"/>
  <c r="A65" i="26"/>
  <c r="A66" i="26" s="1"/>
  <c r="F65" i="26"/>
  <c r="F66" i="26" s="1"/>
  <c r="F67" i="26" s="1"/>
  <c r="F68" i="26" s="1"/>
  <c r="F69" i="26" s="1"/>
  <c r="A70" i="26"/>
  <c r="A71" i="26" s="1"/>
  <c r="F70" i="26"/>
  <c r="F71" i="26" s="1"/>
  <c r="F72" i="26" s="1"/>
  <c r="F73" i="26" s="1"/>
  <c r="F74" i="26" s="1"/>
  <c r="A75" i="26"/>
  <c r="A76" i="26" s="1"/>
  <c r="F75" i="26"/>
  <c r="F76" i="26" s="1"/>
  <c r="F77" i="26" s="1"/>
  <c r="F78" i="26" s="1"/>
  <c r="F79" i="26" s="1"/>
  <c r="A80" i="26"/>
  <c r="A81" i="26" s="1"/>
  <c r="F80" i="26"/>
  <c r="A85" i="26"/>
  <c r="A86" i="26" s="1"/>
  <c r="F85" i="26"/>
  <c r="F86" i="26" s="1"/>
  <c r="F87" i="26" s="1"/>
  <c r="F88" i="26" s="1"/>
  <c r="F89" i="26" s="1"/>
  <c r="Z65" i="26"/>
  <c r="Z75" i="26"/>
  <c r="Z85" i="26"/>
  <c r="A91" i="26"/>
  <c r="A92" i="26" s="1"/>
  <c r="F91" i="26"/>
  <c r="F92" i="26" s="1"/>
  <c r="F93" i="26" s="1"/>
  <c r="F94" i="26" s="1"/>
  <c r="F95" i="26" s="1"/>
  <c r="A96" i="26"/>
  <c r="A97" i="26" s="1"/>
  <c r="F96" i="26"/>
  <c r="F97" i="26" s="1"/>
  <c r="F98" i="26" s="1"/>
  <c r="F99" i="26" s="1"/>
  <c r="F100" i="26" s="1"/>
  <c r="W96" i="26"/>
  <c r="A101" i="26"/>
  <c r="A102" i="26" s="1"/>
  <c r="F101" i="26"/>
  <c r="F102" i="26" s="1"/>
  <c r="F103" i="26" s="1"/>
  <c r="F104" i="26" s="1"/>
  <c r="F105" i="26" s="1"/>
  <c r="A106" i="26"/>
  <c r="A107" i="26" s="1"/>
  <c r="F106" i="26"/>
  <c r="F107" i="26" s="1"/>
  <c r="F108" i="26" s="1"/>
  <c r="F109" i="26" s="1"/>
  <c r="F110" i="26" s="1"/>
  <c r="W106" i="26"/>
  <c r="A111" i="26"/>
  <c r="A112" i="26" s="1"/>
  <c r="F111" i="26"/>
  <c r="F112" i="26" s="1"/>
  <c r="F113" i="26" s="1"/>
  <c r="F114" i="26" s="1"/>
  <c r="F115" i="26" s="1"/>
  <c r="X91" i="26"/>
  <c r="X96" i="26"/>
  <c r="X101" i="26"/>
  <c r="X106" i="26"/>
  <c r="X111" i="26"/>
  <c r="Y106" i="26"/>
  <c r="F117" i="26"/>
  <c r="F118" i="26" s="1"/>
  <c r="F119" i="26" s="1"/>
  <c r="F120" i="26" s="1"/>
  <c r="F121" i="26" s="1"/>
  <c r="A122" i="26"/>
  <c r="A123" i="26" s="1"/>
  <c r="F122" i="26"/>
  <c r="F123" i="26" s="1"/>
  <c r="F124" i="26" s="1"/>
  <c r="F125" i="26" s="1"/>
  <c r="F126" i="26" s="1"/>
  <c r="A127" i="26"/>
  <c r="A128" i="26" s="1"/>
  <c r="F127" i="26"/>
  <c r="F128" i="26" s="1"/>
  <c r="F129" i="26" s="1"/>
  <c r="F130" i="26" s="1"/>
  <c r="F131" i="26" s="1"/>
  <c r="A132" i="26"/>
  <c r="A133" i="26" s="1"/>
  <c r="F132" i="26"/>
  <c r="F133" i="26" s="1"/>
  <c r="F134" i="26" s="1"/>
  <c r="F135" i="26" s="1"/>
  <c r="F136" i="26" s="1"/>
  <c r="A137" i="26"/>
  <c r="A138" i="26" s="1"/>
  <c r="F137" i="26"/>
  <c r="F138" i="26" s="1"/>
  <c r="F139" i="26" s="1"/>
  <c r="F140" i="26" s="1"/>
  <c r="F141" i="26" s="1"/>
  <c r="X117" i="26"/>
  <c r="X127" i="26"/>
  <c r="Y132" i="26"/>
  <c r="Z117" i="26"/>
  <c r="Z122" i="26"/>
  <c r="Z127" i="26"/>
  <c r="Z132" i="26"/>
  <c r="F68" i="23"/>
  <c r="D2" i="22"/>
  <c r="D3" i="22"/>
  <c r="D4" i="22"/>
  <c r="D5" i="22"/>
  <c r="D6" i="22"/>
  <c r="D7" i="22"/>
  <c r="D8" i="22"/>
  <c r="D9" i="22"/>
  <c r="D12" i="22"/>
  <c r="D13" i="22"/>
  <c r="H24" i="22"/>
  <c r="H25" i="22"/>
  <c r="H26" i="22"/>
  <c r="H27" i="22"/>
  <c r="H28" i="22"/>
  <c r="H31" i="22"/>
  <c r="H32" i="22"/>
  <c r="H33" i="22"/>
  <c r="D7" i="19"/>
  <c r="D8" i="19"/>
  <c r="D9" i="19"/>
  <c r="D10" i="19"/>
  <c r="D11" i="19"/>
  <c r="D12" i="19"/>
  <c r="D13" i="19"/>
  <c r="D14" i="19"/>
  <c r="D15" i="19"/>
  <c r="D16" i="19"/>
  <c r="D17" i="19"/>
  <c r="D18" i="19"/>
  <c r="D20" i="19"/>
  <c r="D21" i="19"/>
  <c r="D22" i="19"/>
  <c r="D23" i="19"/>
  <c r="D24" i="19"/>
  <c r="D25" i="19"/>
  <c r="C26" i="19"/>
  <c r="D11" i="22" s="1"/>
  <c r="D27" i="19"/>
  <c r="D28" i="19"/>
  <c r="D29" i="19"/>
  <c r="D30" i="19"/>
  <c r="D31" i="19"/>
  <c r="D32" i="19"/>
  <c r="D33" i="19"/>
  <c r="D34" i="19"/>
  <c r="D35" i="19"/>
  <c r="D36" i="19"/>
  <c r="D37" i="19"/>
  <c r="D38" i="19"/>
  <c r="D39" i="19"/>
  <c r="D40" i="19"/>
  <c r="C42" i="19"/>
  <c r="D10" i="22" s="1"/>
  <c r="D45" i="19"/>
  <c r="D46" i="19"/>
  <c r="D47" i="19"/>
  <c r="C48" i="19"/>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C167" i="12"/>
  <c r="D167" i="12"/>
  <c r="C168" i="12"/>
  <c r="D168" i="12"/>
  <c r="C169" i="12"/>
  <c r="D169" i="12"/>
  <c r="C170" i="12"/>
  <c r="D170" i="12"/>
  <c r="C171" i="12"/>
  <c r="D171" i="12"/>
  <c r="C172" i="12"/>
  <c r="D172" i="12"/>
  <c r="C173" i="12"/>
  <c r="D173" i="12"/>
  <c r="C174" i="12"/>
  <c r="D174" i="12"/>
  <c r="C175" i="12"/>
  <c r="D175" i="12"/>
  <c r="C176" i="12"/>
  <c r="D176" i="12"/>
  <c r="C177" i="12"/>
  <c r="D177" i="12"/>
  <c r="C178" i="12"/>
  <c r="D178" i="12"/>
  <c r="C179" i="12"/>
  <c r="D179" i="12"/>
  <c r="C180" i="12"/>
  <c r="D180" i="12"/>
  <c r="C181" i="12"/>
  <c r="D181" i="12"/>
  <c r="C182" i="12"/>
  <c r="D182" i="12"/>
  <c r="C183" i="12"/>
  <c r="D183" i="12"/>
  <c r="C184" i="12"/>
  <c r="D184" i="12"/>
  <c r="C185" i="12"/>
  <c r="D185" i="12"/>
  <c r="C186" i="12"/>
  <c r="D186" i="12"/>
  <c r="C187" i="12"/>
  <c r="D187" i="12"/>
  <c r="C188" i="12"/>
  <c r="D188" i="12"/>
  <c r="C189" i="12"/>
  <c r="D189" i="12"/>
  <c r="C190" i="12"/>
  <c r="D190" i="12"/>
  <c r="C191" i="12"/>
  <c r="D191" i="12"/>
  <c r="C919" i="11"/>
  <c r="C928" i="11"/>
  <c r="C181" i="11"/>
  <c r="D1274" i="11"/>
  <c r="D1277" i="11"/>
  <c r="D1278" i="11"/>
  <c r="D1280" i="11"/>
  <c r="D1281" i="11"/>
  <c r="D1282" i="11"/>
  <c r="D1285" i="11"/>
  <c r="D1286" i="11"/>
  <c r="D1288" i="11"/>
  <c r="C1289" i="11"/>
  <c r="C1928" i="11" s="1"/>
  <c r="C1290" i="11"/>
  <c r="D1290" i="11" s="1"/>
  <c r="C1292" i="11"/>
  <c r="C1293" i="11"/>
  <c r="C1932" i="11" s="1"/>
  <c r="C1294" i="11"/>
  <c r="C1295" i="11"/>
  <c r="C1934" i="11" s="1"/>
  <c r="C1296" i="11"/>
  <c r="C1297" i="11"/>
  <c r="C1936" i="11" s="1"/>
  <c r="C1298" i="11"/>
  <c r="C1299" i="11"/>
  <c r="C1938" i="11" s="1"/>
  <c r="C1300" i="11"/>
  <c r="D1300" i="11" s="1"/>
  <c r="C1301" i="11"/>
  <c r="C1940" i="11" s="1"/>
  <c r="C1302" i="11"/>
  <c r="C1941" i="11" s="1"/>
  <c r="C1303" i="11"/>
  <c r="C1942" i="11" s="1"/>
  <c r="C1304" i="11"/>
  <c r="C1943" i="11" s="1"/>
  <c r="C1305" i="11"/>
  <c r="C1944" i="11" s="1"/>
  <c r="C1306" i="11"/>
  <c r="C1945" i="11" s="1"/>
  <c r="C1307" i="11"/>
  <c r="C1946" i="11" s="1"/>
  <c r="C1308" i="11"/>
  <c r="C1947" i="11" s="1"/>
  <c r="C1309" i="11"/>
  <c r="C1948" i="11" s="1"/>
  <c r="C1310" i="11"/>
  <c r="C1949" i="11" s="1"/>
  <c r="C1311" i="11"/>
  <c r="C1950" i="11" s="1"/>
  <c r="C1312" i="11"/>
  <c r="C1951" i="11" s="1"/>
  <c r="C1313" i="11"/>
  <c r="C1952" i="11" s="1"/>
  <c r="C1314" i="11"/>
  <c r="C1953" i="11" s="1"/>
  <c r="C1315" i="11"/>
  <c r="C1954" i="11" s="1"/>
  <c r="C1316" i="11"/>
  <c r="C1955" i="11" s="1"/>
  <c r="C1317" i="11"/>
  <c r="C1956" i="11" s="1"/>
  <c r="C1318" i="11"/>
  <c r="C1957" i="11" s="1"/>
  <c r="C1319" i="11"/>
  <c r="C1958" i="11" s="1"/>
  <c r="C1320" i="11"/>
  <c r="C1959" i="11" s="1"/>
  <c r="C1321" i="11"/>
  <c r="C1960" i="11" s="1"/>
  <c r="C1322" i="11"/>
  <c r="C1961" i="11" s="1"/>
  <c r="C1323" i="11"/>
  <c r="C1962" i="11" s="1"/>
  <c r="C1324" i="11"/>
  <c r="C1963" i="11" s="1"/>
  <c r="C1325" i="11"/>
  <c r="C1964" i="11" s="1"/>
  <c r="C1326" i="11"/>
  <c r="C1965" i="11" s="1"/>
  <c r="C1327" i="11"/>
  <c r="C1966" i="11" s="1"/>
  <c r="C1328" i="11"/>
  <c r="C1967" i="11" s="1"/>
  <c r="C1329" i="11"/>
  <c r="C1968" i="11" s="1"/>
  <c r="C1330" i="11"/>
  <c r="C1969" i="11" s="1"/>
  <c r="C1331" i="11"/>
  <c r="C1970" i="11" s="1"/>
  <c r="C1332" i="11"/>
  <c r="C1971" i="11" s="1"/>
  <c r="C1333" i="11"/>
  <c r="C1972" i="11" s="1"/>
  <c r="C1334" i="11"/>
  <c r="C1973" i="11" s="1"/>
  <c r="C1335" i="11"/>
  <c r="C1974" i="11" s="1"/>
  <c r="C1336" i="11"/>
  <c r="C1975" i="11" s="1"/>
  <c r="C1337" i="11"/>
  <c r="C1976" i="11" s="1"/>
  <c r="C1338" i="11"/>
  <c r="C1977" i="11" s="1"/>
  <c r="C1339" i="11"/>
  <c r="C1978" i="11" s="1"/>
  <c r="C1340" i="11"/>
  <c r="C1341" i="11"/>
  <c r="C1980" i="11" s="1"/>
  <c r="C1342" i="11"/>
  <c r="C1981" i="11" s="1"/>
  <c r="C1343" i="11"/>
  <c r="C1982" i="11" s="1"/>
  <c r="C1344" i="11"/>
  <c r="C1983" i="11" s="1"/>
  <c r="C1345" i="11"/>
  <c r="C1984" i="11" s="1"/>
  <c r="C1346" i="11"/>
  <c r="C1985" i="11" s="1"/>
  <c r="C1347" i="11"/>
  <c r="C1986" i="11" s="1"/>
  <c r="C1348" i="11"/>
  <c r="C1987" i="11" s="1"/>
  <c r="C1349" i="11"/>
  <c r="C1988" i="11" s="1"/>
  <c r="C1350" i="11"/>
  <c r="C1989" i="11" s="1"/>
  <c r="C1351" i="11"/>
  <c r="C1990" i="11" s="1"/>
  <c r="C1352" i="11"/>
  <c r="C1991" i="11" s="1"/>
  <c r="C1353" i="11"/>
  <c r="C1992" i="11" s="1"/>
  <c r="D1354" i="11"/>
  <c r="C2006" i="11"/>
  <c r="C2007" i="11"/>
  <c r="C2008" i="11"/>
  <c r="C2009" i="11"/>
  <c r="C2010" i="11"/>
  <c r="C2011" i="11"/>
  <c r="C2012" i="11"/>
  <c r="C2013" i="11"/>
  <c r="C2014" i="11"/>
  <c r="C2015" i="11"/>
  <c r="C2016" i="11"/>
  <c r="C2017" i="11"/>
  <c r="C2018" i="11"/>
  <c r="C1380" i="11"/>
  <c r="C1381" i="11"/>
  <c r="C2020" i="11" s="1"/>
  <c r="C1382" i="11"/>
  <c r="C1383" i="11"/>
  <c r="C2022" i="11" s="1"/>
  <c r="C1384" i="11"/>
  <c r="C2023" i="11" s="1"/>
  <c r="C1385" i="11"/>
  <c r="C2024" i="11" s="1"/>
  <c r="C1386" i="11"/>
  <c r="C1387" i="11"/>
  <c r="C2026" i="11" s="1"/>
  <c r="C1388" i="11"/>
  <c r="C2027" i="11" s="1"/>
  <c r="C1389" i="11"/>
  <c r="C2028" i="11" s="1"/>
  <c r="C1390" i="11"/>
  <c r="C1391" i="11"/>
  <c r="C2030" i="11" s="1"/>
  <c r="C1392" i="11"/>
  <c r="C2031" i="11" s="1"/>
  <c r="D1394" i="11"/>
  <c r="D1398" i="11"/>
  <c r="D1400" i="11"/>
  <c r="D1402" i="11"/>
  <c r="D1404" i="11"/>
  <c r="C1406" i="11"/>
  <c r="C2045" i="11" s="1"/>
  <c r="C1407" i="11"/>
  <c r="C2046" i="11" s="1"/>
  <c r="C1408" i="11"/>
  <c r="C2047" i="11" s="1"/>
  <c r="C1409" i="11"/>
  <c r="C2048" i="11" s="1"/>
  <c r="C1410" i="11"/>
  <c r="C2049" i="11" s="1"/>
  <c r="C1411" i="11"/>
  <c r="C2050" i="11" s="1"/>
  <c r="C1412" i="11"/>
  <c r="C2051" i="11" s="1"/>
  <c r="C1413" i="11"/>
  <c r="C2052" i="11" s="1"/>
  <c r="C1414" i="11"/>
  <c r="C2053" i="11" s="1"/>
  <c r="C1415" i="11"/>
  <c r="C2054" i="11" s="1"/>
  <c r="C1416" i="11"/>
  <c r="C2055" i="11" s="1"/>
  <c r="C1417" i="11"/>
  <c r="C2056" i="11" s="1"/>
  <c r="C1418" i="11"/>
  <c r="C2057" i="11" s="1"/>
  <c r="C1419" i="11"/>
  <c r="C2058" i="11" s="1"/>
  <c r="C1420" i="11"/>
  <c r="C2059" i="11" s="1"/>
  <c r="C1421" i="11"/>
  <c r="C2060" i="11" s="1"/>
  <c r="C1422" i="11"/>
  <c r="C2061" i="11" s="1"/>
  <c r="C1423" i="11"/>
  <c r="C2062" i="11" s="1"/>
  <c r="C1424" i="11"/>
  <c r="C2063" i="11" s="1"/>
  <c r="C1425" i="11"/>
  <c r="C2064" i="11" s="1"/>
  <c r="C1426" i="11"/>
  <c r="C2065" i="11" s="1"/>
  <c r="C1427" i="11"/>
  <c r="C2066" i="11" s="1"/>
  <c r="C1428" i="11"/>
  <c r="C2067" i="11" s="1"/>
  <c r="C1429" i="11"/>
  <c r="C2068" i="11" s="1"/>
  <c r="C1430" i="11"/>
  <c r="C2069" i="11" s="1"/>
  <c r="C1431" i="11"/>
  <c r="C2070" i="11" s="1"/>
  <c r="D1433" i="11"/>
  <c r="D1434" i="11"/>
  <c r="D1435" i="11"/>
  <c r="D1436" i="11"/>
  <c r="D1437" i="11"/>
  <c r="D1438" i="11"/>
  <c r="D1439" i="11"/>
  <c r="D1440" i="11"/>
  <c r="D1441" i="11"/>
  <c r="D1442" i="11"/>
  <c r="D1443" i="11"/>
  <c r="D1444" i="11"/>
  <c r="C1445" i="11"/>
  <c r="D1445" i="11" s="1"/>
  <c r="C1446" i="11"/>
  <c r="D1446" i="11" s="1"/>
  <c r="C1447" i="11"/>
  <c r="D1447" i="11" s="1"/>
  <c r="C1448" i="11"/>
  <c r="D1448" i="11" s="1"/>
  <c r="C1449" i="11"/>
  <c r="D1449" i="11" s="1"/>
  <c r="C1450" i="11"/>
  <c r="D1450" i="11" s="1"/>
  <c r="C1451" i="11"/>
  <c r="D1451" i="11" s="1"/>
  <c r="C1452" i="11"/>
  <c r="D1452" i="11" s="1"/>
  <c r="C1453" i="11"/>
  <c r="D1453" i="11" s="1"/>
  <c r="C1454" i="11"/>
  <c r="D1454" i="11" s="1"/>
  <c r="C1455" i="11"/>
  <c r="D1455" i="11" s="1"/>
  <c r="C1456" i="11"/>
  <c r="D1456" i="11" s="1"/>
  <c r="C1457" i="11"/>
  <c r="D1457" i="11" s="1"/>
  <c r="C1458" i="11"/>
  <c r="D1458" i="11" s="1"/>
  <c r="C1459" i="11"/>
  <c r="D1459" i="11" s="1"/>
  <c r="C1460" i="11"/>
  <c r="D1460" i="11" s="1"/>
  <c r="C1461" i="11"/>
  <c r="D1461" i="11" s="1"/>
  <c r="C1462" i="11"/>
  <c r="D1462" i="11" s="1"/>
  <c r="C1463" i="11"/>
  <c r="D1463" i="11" s="1"/>
  <c r="C1464" i="11"/>
  <c r="D1464" i="11" s="1"/>
  <c r="C1465" i="11"/>
  <c r="D1465" i="11" s="1"/>
  <c r="C1466" i="11"/>
  <c r="D1466" i="11" s="1"/>
  <c r="C1467" i="11"/>
  <c r="D1467" i="11" s="1"/>
  <c r="C1468" i="11"/>
  <c r="D1468" i="11" s="1"/>
  <c r="C1469" i="11"/>
  <c r="D1469" i="11" s="1"/>
  <c r="C1470" i="11"/>
  <c r="D1470" i="11" s="1"/>
  <c r="C1471" i="11"/>
  <c r="D1471" i="11" s="1"/>
  <c r="C1472" i="11"/>
  <c r="D1472" i="11" s="1"/>
  <c r="C1473" i="11"/>
  <c r="D1473" i="11" s="1"/>
  <c r="C1474" i="11"/>
  <c r="D1474" i="11" s="1"/>
  <c r="C1475" i="11"/>
  <c r="D1475" i="11" s="1"/>
  <c r="C1476" i="11"/>
  <c r="D1476" i="11" s="1"/>
  <c r="C1477" i="11"/>
  <c r="D1477" i="11" s="1"/>
  <c r="C1478" i="11"/>
  <c r="D1478" i="11" s="1"/>
  <c r="C1479" i="11"/>
  <c r="D1479" i="11" s="1"/>
  <c r="C1480" i="11"/>
  <c r="D1480" i="11" s="1"/>
  <c r="C1481" i="11"/>
  <c r="D1481" i="11" s="1"/>
  <c r="C1482" i="11"/>
  <c r="D1482" i="11" s="1"/>
  <c r="C1483" i="11"/>
  <c r="D1483" i="11" s="1"/>
  <c r="C1484" i="11"/>
  <c r="D1484" i="11" s="1"/>
  <c r="C1485" i="11"/>
  <c r="D1485" i="11" s="1"/>
  <c r="C1486" i="11"/>
  <c r="D1486" i="11" s="1"/>
  <c r="C1487" i="11"/>
  <c r="D1487" i="11" s="1"/>
  <c r="C1488" i="11"/>
  <c r="D1488" i="11" s="1"/>
  <c r="C1489" i="11"/>
  <c r="D1489" i="11" s="1"/>
  <c r="C1490" i="11"/>
  <c r="D1490" i="11" s="1"/>
  <c r="C1491" i="11"/>
  <c r="D1491" i="11" s="1"/>
  <c r="C1492" i="11"/>
  <c r="D1492" i="11" s="1"/>
  <c r="C1493" i="11"/>
  <c r="D1493" i="11" s="1"/>
  <c r="C1494" i="11"/>
  <c r="D1494" i="11" s="1"/>
  <c r="C1495" i="11"/>
  <c r="D1495" i="11" s="1"/>
  <c r="C1496" i="11"/>
  <c r="D1496" i="11" s="1"/>
  <c r="C1497" i="11"/>
  <c r="D1497" i="11" s="1"/>
  <c r="C1498" i="11"/>
  <c r="D1498" i="11" s="1"/>
  <c r="C1499" i="11"/>
  <c r="D1499" i="11" s="1"/>
  <c r="C1500" i="11"/>
  <c r="D1500" i="11" s="1"/>
  <c r="C1501" i="11"/>
  <c r="D1501" i="11" s="1"/>
  <c r="C1502" i="11"/>
  <c r="D1502" i="11" s="1"/>
  <c r="C1503" i="11"/>
  <c r="D1503" i="11" s="1"/>
  <c r="C1504" i="11"/>
  <c r="D1504" i="11" s="1"/>
  <c r="C1505" i="11"/>
  <c r="D1505" i="11" s="1"/>
  <c r="C1506" i="11"/>
  <c r="D1506" i="11" s="1"/>
  <c r="C1507" i="11"/>
  <c r="D1507" i="11" s="1"/>
  <c r="C1508" i="11"/>
  <c r="D1508" i="11" s="1"/>
  <c r="C1509" i="11"/>
  <c r="D1509" i="11" s="1"/>
  <c r="C1510" i="11"/>
  <c r="D1510" i="11" s="1"/>
  <c r="C1511" i="11"/>
  <c r="D1511" i="11" s="1"/>
  <c r="C1512" i="11"/>
  <c r="D1512" i="11" s="1"/>
  <c r="C1513" i="11"/>
  <c r="D1513" i="11" s="1"/>
  <c r="C1514" i="11"/>
  <c r="D1514" i="11" s="1"/>
  <c r="C1515" i="11"/>
  <c r="D1515" i="11" s="1"/>
  <c r="C1516" i="11"/>
  <c r="D1516" i="11" s="1"/>
  <c r="C1517" i="11"/>
  <c r="D1517" i="11" s="1"/>
  <c r="C1518" i="11"/>
  <c r="D1518" i="11" s="1"/>
  <c r="C1519" i="11"/>
  <c r="D1519" i="11" s="1"/>
  <c r="C1520" i="11"/>
  <c r="D1520" i="11" s="1"/>
  <c r="C1521" i="11"/>
  <c r="D1521" i="11" s="1"/>
  <c r="C1522" i="11"/>
  <c r="D1522" i="11" s="1"/>
  <c r="C1523" i="11"/>
  <c r="D1523" i="11" s="1"/>
  <c r="C1524" i="11"/>
  <c r="D1524" i="11" s="1"/>
  <c r="C1525" i="11"/>
  <c r="D1525" i="11" s="1"/>
  <c r="C1526" i="11"/>
  <c r="D1526" i="11" s="1"/>
  <c r="C1527" i="11"/>
  <c r="D1527" i="11" s="1"/>
  <c r="C1528" i="11"/>
  <c r="D1528" i="11" s="1"/>
  <c r="C1529" i="11"/>
  <c r="D1529" i="11" s="1"/>
  <c r="C1530" i="11"/>
  <c r="D1530" i="11" s="1"/>
  <c r="C1531" i="11"/>
  <c r="D1531" i="11" s="1"/>
  <c r="C1532" i="11"/>
  <c r="D1532" i="11" s="1"/>
  <c r="C1533" i="11"/>
  <c r="D1533" i="11" s="1"/>
  <c r="C1534" i="11"/>
  <c r="D1534" i="11" s="1"/>
  <c r="C1535" i="11"/>
  <c r="D1535" i="11" s="1"/>
  <c r="C1537" i="11"/>
  <c r="C1538" i="11"/>
  <c r="D1538" i="11" s="1"/>
  <c r="C1539" i="11"/>
  <c r="D1539" i="11" s="1"/>
  <c r="C1540" i="11"/>
  <c r="C1541" i="11"/>
  <c r="C1542" i="11"/>
  <c r="C1543" i="11"/>
  <c r="D1543" i="11" s="1"/>
  <c r="C1544" i="11"/>
  <c r="C1545" i="11"/>
  <c r="C1546" i="11"/>
  <c r="D1546" i="11" s="1"/>
  <c r="C1547" i="11"/>
  <c r="C1548" i="11"/>
  <c r="C1549" i="11"/>
  <c r="C1550" i="11"/>
  <c r="C1551" i="11"/>
  <c r="C1552" i="11"/>
  <c r="C1553" i="11"/>
  <c r="C1554" i="11"/>
  <c r="C1555" i="11"/>
  <c r="C1556" i="11"/>
  <c r="C1557" i="11"/>
  <c r="C1558" i="11"/>
  <c r="C1559" i="11"/>
  <c r="C1560" i="11"/>
  <c r="C1561" i="11"/>
  <c r="C1562" i="11"/>
  <c r="C1563" i="11"/>
  <c r="D1563" i="11" s="1"/>
  <c r="C1564" i="11"/>
  <c r="D1564" i="11" s="1"/>
  <c r="C1565" i="11"/>
  <c r="D1565" i="11" s="1"/>
  <c r="C1566" i="11"/>
  <c r="D1566" i="11" s="1"/>
  <c r="C1567" i="11"/>
  <c r="D1567" i="11" s="1"/>
  <c r="C1568" i="11"/>
  <c r="D1568" i="11" s="1"/>
  <c r="C1569" i="11"/>
  <c r="D1569" i="11" s="1"/>
  <c r="C1570" i="11"/>
  <c r="D1570" i="11" s="1"/>
  <c r="C1571" i="11"/>
  <c r="D1571" i="11" s="1"/>
  <c r="C1572" i="11"/>
  <c r="D1572" i="11" s="1"/>
  <c r="C1573" i="11"/>
  <c r="D1573" i="11" s="1"/>
  <c r="C1574" i="11"/>
  <c r="D1574" i="11" s="1"/>
  <c r="C1575" i="11"/>
  <c r="D1575" i="11" s="1"/>
  <c r="C1576" i="11"/>
  <c r="C1577" i="11"/>
  <c r="C1578" i="11"/>
  <c r="C1579" i="11"/>
  <c r="C1580" i="11"/>
  <c r="C1581" i="11"/>
  <c r="C1582" i="11"/>
  <c r="C1583" i="11"/>
  <c r="C1584" i="11"/>
  <c r="C1585" i="11"/>
  <c r="C1586" i="11"/>
  <c r="C1587" i="11"/>
  <c r="C1588" i="11"/>
  <c r="C1589" i="11"/>
  <c r="C1590" i="11"/>
  <c r="D1590" i="11" s="1"/>
  <c r="C1591" i="11"/>
  <c r="D1591" i="11" s="1"/>
  <c r="C1592" i="11"/>
  <c r="C1593" i="11"/>
  <c r="C1594" i="11"/>
  <c r="D1594" i="11" s="1"/>
  <c r="C1595" i="11"/>
  <c r="D1595" i="11" s="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D1641" i="11" s="1"/>
  <c r="C1642" i="11"/>
  <c r="C1643" i="11"/>
  <c r="C1644" i="11"/>
  <c r="D1644" i="11" s="1"/>
  <c r="C1645" i="11"/>
  <c r="C1646" i="11"/>
  <c r="C1647" i="11"/>
  <c r="C1648" i="11"/>
  <c r="C1649" i="11"/>
  <c r="C1650" i="11"/>
  <c r="C1651" i="11"/>
  <c r="D1651" i="11" s="1"/>
  <c r="C1652" i="11"/>
  <c r="C1653" i="11"/>
  <c r="D1653" i="11" s="1"/>
  <c r="C1654" i="11"/>
  <c r="C1655" i="11"/>
  <c r="C1656" i="11"/>
  <c r="C1657" i="11"/>
  <c r="C1658" i="11"/>
  <c r="C1659" i="11"/>
  <c r="C1660" i="11"/>
  <c r="C1661" i="11"/>
  <c r="C1662" i="11"/>
  <c r="C1663" i="11"/>
  <c r="C1664" i="11"/>
  <c r="C1665" i="11"/>
  <c r="C1666" i="11"/>
  <c r="C1667" i="11"/>
  <c r="D1667" i="11" s="1"/>
  <c r="C1668" i="11"/>
  <c r="D1668" i="11" s="1"/>
  <c r="C1669" i="11"/>
  <c r="D1669" i="11" s="1"/>
  <c r="C1670" i="11"/>
  <c r="D1670" i="11" s="1"/>
  <c r="C1671" i="11"/>
  <c r="D1671" i="11" s="1"/>
  <c r="C1672" i="11"/>
  <c r="D1672" i="11" s="1"/>
  <c r="C1673" i="11"/>
  <c r="D1673" i="11" s="1"/>
  <c r="C1674" i="11"/>
  <c r="D1674" i="11" s="1"/>
  <c r="C1675" i="11"/>
  <c r="D1675" i="11" s="1"/>
  <c r="C1676" i="11"/>
  <c r="D1676" i="11" s="1"/>
  <c r="C1677" i="11"/>
  <c r="D1677" i="11" s="1"/>
  <c r="C1678" i="11"/>
  <c r="D1678" i="11" s="1"/>
  <c r="C1679" i="11"/>
  <c r="D1679" i="11" s="1"/>
  <c r="C1680" i="11"/>
  <c r="C1681" i="11"/>
  <c r="C1682" i="11"/>
  <c r="C1683" i="11"/>
  <c r="C1684" i="11"/>
  <c r="C1685" i="11"/>
  <c r="C1686" i="11"/>
  <c r="C1687" i="11"/>
  <c r="C1688" i="11"/>
  <c r="C1689" i="11"/>
  <c r="C1690" i="11"/>
  <c r="C1691" i="11"/>
  <c r="C1692" i="11"/>
  <c r="C1693" i="11"/>
  <c r="D1693" i="11" s="1"/>
  <c r="C1694" i="11"/>
  <c r="D1694" i="11" s="1"/>
  <c r="C1695" i="11"/>
  <c r="C1696" i="11"/>
  <c r="D1696" i="11" s="1"/>
  <c r="C1697" i="11"/>
  <c r="C1698" i="11"/>
  <c r="D1698" i="11" s="1"/>
  <c r="C1699" i="11"/>
  <c r="C1700" i="11"/>
  <c r="C1701" i="11"/>
  <c r="C1702" i="11"/>
  <c r="D1702" i="11" s="1"/>
  <c r="C1703" i="11"/>
  <c r="C1704" i="11"/>
  <c r="C1705" i="11"/>
  <c r="D1705" i="11" s="1"/>
  <c r="C1706" i="11"/>
  <c r="D1706" i="11" s="1"/>
  <c r="C1707" i="11"/>
  <c r="D1707" i="11" s="1"/>
  <c r="C1708" i="11"/>
  <c r="D1708" i="11" s="1"/>
  <c r="C1709" i="11"/>
  <c r="D1709" i="11" s="1"/>
  <c r="C1710" i="11"/>
  <c r="D1710" i="11" s="1"/>
  <c r="C1711" i="11"/>
  <c r="D1711" i="11" s="1"/>
  <c r="C1712" i="11"/>
  <c r="D1712" i="11" s="1"/>
  <c r="C1713" i="11"/>
  <c r="D1713" i="11" s="1"/>
  <c r="C1714" i="11"/>
  <c r="D1714" i="11" s="1"/>
  <c r="C1715" i="11"/>
  <c r="D1715" i="11" s="1"/>
  <c r="C1716" i="11"/>
  <c r="D1716" i="11" s="1"/>
  <c r="C1717" i="11"/>
  <c r="D1717" i="11" s="1"/>
  <c r="C1718" i="11"/>
  <c r="D1718" i="11" s="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D1745" i="11" s="1"/>
  <c r="C1746" i="11"/>
  <c r="C1747" i="11"/>
  <c r="C1748" i="11"/>
  <c r="C1749" i="11"/>
  <c r="D1749" i="11" s="1"/>
  <c r="C1750" i="11"/>
  <c r="D1750" i="11" s="1"/>
  <c r="C1751" i="11"/>
  <c r="C1752" i="11"/>
  <c r="C1753" i="11"/>
  <c r="D1753" i="11" s="1"/>
  <c r="C1754" i="11"/>
  <c r="D1754" i="11" s="1"/>
  <c r="C1755" i="11"/>
  <c r="C1756" i="11"/>
  <c r="C1757" i="11"/>
  <c r="D1757" i="11" s="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D1784" i="11" s="1"/>
  <c r="C1785" i="11"/>
  <c r="C1786" i="11"/>
  <c r="D1786" i="11" s="1"/>
  <c r="C1787" i="11"/>
  <c r="C1788" i="11"/>
  <c r="D1788" i="11" s="1"/>
  <c r="C1789" i="11"/>
  <c r="C1790" i="11"/>
  <c r="D1790" i="11" s="1"/>
  <c r="C1791" i="11"/>
  <c r="C1792" i="11"/>
  <c r="D1792" i="11" s="1"/>
  <c r="C1793" i="11"/>
  <c r="C1794" i="11"/>
  <c r="D1794" i="11" s="1"/>
  <c r="C1795" i="11"/>
  <c r="C1796" i="11"/>
  <c r="D1796" i="11" s="1"/>
  <c r="C1797" i="11"/>
  <c r="D1797" i="11" s="1"/>
  <c r="C1798" i="11"/>
  <c r="D1798" i="11" s="1"/>
  <c r="C1799" i="11"/>
  <c r="D1799" i="11" s="1"/>
  <c r="C1800" i="11"/>
  <c r="D1800" i="11" s="1"/>
  <c r="C1801" i="11"/>
  <c r="D1801" i="11" s="1"/>
  <c r="C1802" i="11"/>
  <c r="D1802" i="11" s="1"/>
  <c r="C1803" i="11"/>
  <c r="D1803" i="11" s="1"/>
  <c r="C1804" i="11"/>
  <c r="D1804" i="11" s="1"/>
  <c r="C1805" i="11"/>
  <c r="D1805" i="11" s="1"/>
  <c r="C1806" i="11"/>
  <c r="D1806" i="11" s="1"/>
  <c r="C1807" i="11"/>
  <c r="D1807" i="11" s="1"/>
  <c r="C1808" i="11"/>
  <c r="D1808" i="11" s="1"/>
  <c r="C1809" i="11"/>
  <c r="D1809" i="11" s="1"/>
  <c r="C1810" i="11"/>
  <c r="C1811" i="11"/>
  <c r="D1811" i="11" s="1"/>
  <c r="C1812" i="11"/>
  <c r="C1813" i="11"/>
  <c r="D1813" i="11" s="1"/>
  <c r="C1814" i="11"/>
  <c r="C1815" i="11"/>
  <c r="D1815" i="11" s="1"/>
  <c r="C1816" i="11"/>
  <c r="C1817" i="11"/>
  <c r="D1817" i="11" s="1"/>
  <c r="C1818" i="11"/>
  <c r="C1819" i="11"/>
  <c r="D1819" i="11" s="1"/>
  <c r="C1820" i="11"/>
  <c r="C1821" i="11"/>
  <c r="D1821" i="11" s="1"/>
  <c r="C1822" i="11"/>
  <c r="C1823" i="11"/>
  <c r="D1823" i="11" s="1"/>
  <c r="C1824" i="11"/>
  <c r="D1824" i="11" s="1"/>
  <c r="C1825" i="11"/>
  <c r="D1825" i="11" s="1"/>
  <c r="C1826" i="11"/>
  <c r="D1826" i="11" s="1"/>
  <c r="C1827" i="11"/>
  <c r="D1827" i="11" s="1"/>
  <c r="C1828" i="11"/>
  <c r="D1828" i="11" s="1"/>
  <c r="C1829" i="11"/>
  <c r="D1829" i="11" s="1"/>
  <c r="C1830" i="11"/>
  <c r="D1830" i="11" s="1"/>
  <c r="C1831" i="11"/>
  <c r="D1831" i="11" s="1"/>
  <c r="C1832" i="11"/>
  <c r="D1832" i="11" s="1"/>
  <c r="C1833" i="11"/>
  <c r="D1833" i="11" s="1"/>
  <c r="C1834" i="11"/>
  <c r="D1834" i="11" s="1"/>
  <c r="C1835" i="11"/>
  <c r="D1835" i="11" s="1"/>
  <c r="C1836" i="11"/>
  <c r="D1836" i="11" s="1"/>
  <c r="C1837" i="11"/>
  <c r="C1838" i="11"/>
  <c r="D1838" i="11" s="1"/>
  <c r="C1839" i="11"/>
  <c r="C1840" i="11"/>
  <c r="D1840" i="11" s="1"/>
  <c r="C1841" i="11"/>
  <c r="C1842" i="11"/>
  <c r="D1842" i="11" s="1"/>
  <c r="C1843" i="11"/>
  <c r="C1844" i="11"/>
  <c r="D1844" i="11" s="1"/>
  <c r="C1845" i="11"/>
  <c r="C1846" i="11"/>
  <c r="D1846" i="11" s="1"/>
  <c r="C1847" i="11"/>
  <c r="C1848" i="11"/>
  <c r="D1848" i="11" s="1"/>
  <c r="C1849" i="11"/>
  <c r="D1849" i="11" s="1"/>
  <c r="C1850" i="11"/>
  <c r="D1850" i="11" s="1"/>
  <c r="C1851" i="11"/>
  <c r="D1851" i="11" s="1"/>
  <c r="C1852" i="11"/>
  <c r="D1852" i="11" s="1"/>
  <c r="C1853" i="11"/>
  <c r="D1853" i="11" s="1"/>
  <c r="C1854" i="11"/>
  <c r="D1854" i="11" s="1"/>
  <c r="C1855" i="11"/>
  <c r="D1855" i="11" s="1"/>
  <c r="C1856" i="11"/>
  <c r="D1856" i="11" s="1"/>
  <c r="C1857" i="11"/>
  <c r="D1857" i="11" s="1"/>
  <c r="C1858" i="11"/>
  <c r="D1858" i="11" s="1"/>
  <c r="C1859" i="11"/>
  <c r="D1859" i="11" s="1"/>
  <c r="C1860" i="11"/>
  <c r="D1860" i="11" s="1"/>
  <c r="C1861" i="11"/>
  <c r="D1861" i="11" s="1"/>
  <c r="C1862" i="11"/>
  <c r="C1863" i="11"/>
  <c r="D1863" i="11" s="1"/>
  <c r="C1864" i="11"/>
  <c r="C1865" i="11"/>
  <c r="D1865" i="11" s="1"/>
  <c r="C1866" i="11"/>
  <c r="C1867" i="11"/>
  <c r="D1867" i="11" s="1"/>
  <c r="C1868" i="11"/>
  <c r="C1869" i="11"/>
  <c r="D1869" i="11" s="1"/>
  <c r="C1870" i="11"/>
  <c r="C1871" i="11"/>
  <c r="D1871" i="11" s="1"/>
  <c r="C1872" i="11"/>
  <c r="C1873" i="11"/>
  <c r="D1873" i="11" s="1"/>
  <c r="C1874" i="11"/>
  <c r="C1875" i="11"/>
  <c r="D1875" i="11" s="1"/>
  <c r="C1876" i="11"/>
  <c r="D1876" i="11" s="1"/>
  <c r="C1877" i="11"/>
  <c r="D1877" i="11" s="1"/>
  <c r="C1878" i="11"/>
  <c r="D1878" i="11" s="1"/>
  <c r="C1879" i="11"/>
  <c r="D1879" i="11" s="1"/>
  <c r="C1880" i="11"/>
  <c r="D1880" i="11" s="1"/>
  <c r="C1881" i="11"/>
  <c r="D1881" i="11" s="1"/>
  <c r="C1882" i="11"/>
  <c r="D1882" i="11" s="1"/>
  <c r="C1883" i="11"/>
  <c r="D1883" i="11" s="1"/>
  <c r="C1884" i="11"/>
  <c r="D1884" i="11" s="1"/>
  <c r="C1885" i="11"/>
  <c r="D1885" i="11" s="1"/>
  <c r="C1886" i="11"/>
  <c r="D1886" i="11" s="1"/>
  <c r="C1887" i="11"/>
  <c r="D1887" i="11" s="1"/>
  <c r="C1888" i="11"/>
  <c r="D1888" i="11" s="1"/>
  <c r="C1889" i="11"/>
  <c r="C1890" i="11"/>
  <c r="D1890" i="11" s="1"/>
  <c r="C1891" i="11"/>
  <c r="C1892" i="11"/>
  <c r="D1892" i="11" s="1"/>
  <c r="C1893" i="11"/>
  <c r="C1894" i="11"/>
  <c r="D1894" i="11" s="1"/>
  <c r="C1895" i="11"/>
  <c r="C1896" i="11"/>
  <c r="D1896" i="11" s="1"/>
  <c r="C1897" i="11"/>
  <c r="C1898" i="11"/>
  <c r="D1898" i="11" s="1"/>
  <c r="C1899" i="11"/>
  <c r="C1900" i="11"/>
  <c r="D1900" i="11" s="1"/>
  <c r="C1901" i="11"/>
  <c r="C1902" i="11"/>
  <c r="C1903" i="11"/>
  <c r="C1904" i="11"/>
  <c r="C1905" i="11"/>
  <c r="C1906" i="11"/>
  <c r="C1907" i="11"/>
  <c r="C1908" i="11"/>
  <c r="C1909" i="11"/>
  <c r="C1910" i="11"/>
  <c r="C1911" i="11"/>
  <c r="C1912" i="11"/>
  <c r="C1913" i="11"/>
  <c r="C2176" i="11"/>
  <c r="C2177" i="11"/>
  <c r="D2177" i="11"/>
  <c r="C2178" i="11"/>
  <c r="C2179" i="11"/>
  <c r="D2179" i="11"/>
  <c r="C2180" i="11"/>
  <c r="C2181" i="11"/>
  <c r="D2181" i="11"/>
  <c r="C2182" i="11"/>
  <c r="C2183" i="11"/>
  <c r="D2183" i="11"/>
  <c r="C2184" i="11"/>
  <c r="C2185" i="11"/>
  <c r="D2185" i="11"/>
  <c r="C2186" i="11"/>
  <c r="C2187" i="11"/>
  <c r="D2187" i="11"/>
  <c r="C2188" i="11"/>
  <c r="C2189" i="11"/>
  <c r="C2190" i="11"/>
  <c r="C2191" i="11"/>
  <c r="C2192" i="11"/>
  <c r="C2193" i="11"/>
  <c r="C2194" i="11"/>
  <c r="D2194" i="11"/>
  <c r="C2195" i="11"/>
  <c r="C2196" i="11"/>
  <c r="D2196" i="11"/>
  <c r="C2197" i="11"/>
  <c r="C2198" i="11"/>
  <c r="C2199" i="11"/>
  <c r="C2200" i="11"/>
  <c r="C2201" i="11"/>
  <c r="C2202" i="11"/>
  <c r="D2202" i="11"/>
  <c r="C2203" i="11"/>
  <c r="D2203" i="11"/>
  <c r="C2204" i="11"/>
  <c r="D2204" i="11"/>
  <c r="C2205" i="11"/>
  <c r="D2205" i="11"/>
  <c r="C2206" i="11"/>
  <c r="D2206" i="11"/>
  <c r="C2207" i="11"/>
  <c r="D2207" i="11"/>
  <c r="C2208" i="11"/>
  <c r="D2208" i="11"/>
  <c r="C2209" i="11"/>
  <c r="D2209" i="11"/>
  <c r="C2210" i="11"/>
  <c r="D2210" i="11"/>
  <c r="C2211" i="11"/>
  <c r="D2211" i="11"/>
  <c r="C2212" i="11"/>
  <c r="D2212" i="11"/>
  <c r="C2213" i="11"/>
  <c r="D2213" i="11"/>
  <c r="C2214" i="11"/>
  <c r="D2214" i="11"/>
  <c r="C2215" i="11"/>
  <c r="D2215" i="11"/>
  <c r="C2216" i="11"/>
  <c r="D2216" i="11"/>
  <c r="C2217" i="11"/>
  <c r="D2217" i="11"/>
  <c r="C2218" i="11"/>
  <c r="D2218" i="11"/>
  <c r="C2219" i="11"/>
  <c r="D2219" i="11"/>
  <c r="C2220" i="11"/>
  <c r="D2220" i="11"/>
  <c r="C2221" i="11"/>
  <c r="D2221" i="11"/>
  <c r="C2222" i="11"/>
  <c r="D2222" i="11"/>
  <c r="C2223" i="11"/>
  <c r="D2223" i="11"/>
  <c r="C2224" i="11"/>
  <c r="D2224" i="11"/>
  <c r="C2225" i="11"/>
  <c r="D2225" i="11"/>
  <c r="C2226" i="11"/>
  <c r="D2226" i="11"/>
  <c r="C2227" i="11"/>
  <c r="D2227" i="11"/>
  <c r="C2228" i="11"/>
  <c r="C2229" i="11"/>
  <c r="D2229" i="11"/>
  <c r="C2230" i="11"/>
  <c r="C2231" i="11"/>
  <c r="D2231" i="11"/>
  <c r="C2232" i="11"/>
  <c r="C2233" i="11"/>
  <c r="D2233" i="11"/>
  <c r="C2234" i="11"/>
  <c r="C2235" i="11"/>
  <c r="D2235" i="11"/>
  <c r="C2236" i="11"/>
  <c r="C2237" i="11"/>
  <c r="D2237" i="11"/>
  <c r="C2238" i="11"/>
  <c r="C2239" i="11"/>
  <c r="D2239" i="11"/>
  <c r="C2240" i="11"/>
  <c r="C2241" i="11"/>
  <c r="C2242" i="11"/>
  <c r="D2242" i="11"/>
  <c r="C2243" i="11"/>
  <c r="C2244" i="11"/>
  <c r="D2244" i="11"/>
  <c r="C2245" i="11"/>
  <c r="C2246" i="11"/>
  <c r="D2246" i="11"/>
  <c r="C2247" i="11"/>
  <c r="C2248" i="11"/>
  <c r="D2248" i="11"/>
  <c r="C2249" i="11"/>
  <c r="C2250" i="11"/>
  <c r="D2250" i="11"/>
  <c r="C2251" i="11"/>
  <c r="C2252" i="11"/>
  <c r="D2252" i="11"/>
  <c r="C2253" i="11"/>
  <c r="C2254" i="11"/>
  <c r="D2254" i="11"/>
  <c r="C2255" i="11"/>
  <c r="D2255" i="11"/>
  <c r="C2256" i="11"/>
  <c r="D2256" i="11"/>
  <c r="C2257" i="11"/>
  <c r="D2257" i="11"/>
  <c r="C2258" i="11"/>
  <c r="D2258" i="11"/>
  <c r="C2259" i="11"/>
  <c r="D2259" i="11"/>
  <c r="C2260" i="11"/>
  <c r="D2260" i="11"/>
  <c r="C2261" i="11"/>
  <c r="D2261" i="11"/>
  <c r="C2262" i="11"/>
  <c r="D2262" i="11"/>
  <c r="C2263" i="11"/>
  <c r="D2263" i="11"/>
  <c r="C2264" i="11"/>
  <c r="D2264" i="11"/>
  <c r="C2265" i="11"/>
  <c r="D2265" i="11"/>
  <c r="C2266" i="11"/>
  <c r="D2266" i="11"/>
  <c r="C2267" i="11"/>
  <c r="D2267" i="11"/>
  <c r="C2268" i="11"/>
  <c r="D2268" i="11"/>
  <c r="C2269" i="11"/>
  <c r="D2269" i="11"/>
  <c r="C2270" i="11"/>
  <c r="D2270" i="11"/>
  <c r="C2271" i="11"/>
  <c r="D2271" i="11"/>
  <c r="C2272" i="11"/>
  <c r="D2272" i="11"/>
  <c r="C2273" i="11"/>
  <c r="D2273" i="11"/>
  <c r="C2274" i="11"/>
  <c r="D2274" i="11"/>
  <c r="C2275" i="11"/>
  <c r="D2275" i="11"/>
  <c r="C2276" i="11"/>
  <c r="D2276" i="11"/>
  <c r="C2277" i="11"/>
  <c r="D2277" i="11"/>
  <c r="C2278" i="11"/>
  <c r="D2278" i="11"/>
  <c r="C2279" i="11"/>
  <c r="D2279" i="11"/>
  <c r="C2280" i="11"/>
  <c r="C2281" i="11"/>
  <c r="D2281" i="11"/>
  <c r="C2282" i="11"/>
  <c r="C2283" i="11"/>
  <c r="D2283" i="11"/>
  <c r="C2284" i="11"/>
  <c r="C2285" i="11"/>
  <c r="D2285" i="11"/>
  <c r="C2286" i="11"/>
  <c r="C2287" i="11"/>
  <c r="D2287" i="11"/>
  <c r="C2288" i="11"/>
  <c r="C2289" i="11"/>
  <c r="D2289" i="11"/>
  <c r="C2290" i="11"/>
  <c r="C2291" i="11"/>
  <c r="D2291" i="11"/>
  <c r="C2292" i="11"/>
  <c r="C2293" i="11"/>
  <c r="C2294" i="11"/>
  <c r="C2295" i="11"/>
  <c r="C2296" i="11"/>
  <c r="C2297" i="11"/>
  <c r="C2298" i="11"/>
  <c r="D2298" i="11"/>
  <c r="C2299" i="11"/>
  <c r="C2300" i="11"/>
  <c r="D2300" i="11"/>
  <c r="C2301" i="11"/>
  <c r="C2302" i="11"/>
  <c r="C2303" i="11"/>
  <c r="C2304" i="11"/>
  <c r="C2305" i="11"/>
  <c r="C2306" i="11"/>
  <c r="D2306" i="11"/>
  <c r="C2307" i="11"/>
  <c r="D2307" i="11"/>
  <c r="C2308" i="11"/>
  <c r="D2308" i="11"/>
  <c r="C2309" i="11"/>
  <c r="D2309" i="11"/>
  <c r="C2310" i="11"/>
  <c r="D2310" i="11"/>
  <c r="C2311" i="11"/>
  <c r="D2311" i="11"/>
  <c r="C2312" i="11"/>
  <c r="D2312" i="11"/>
  <c r="C2313" i="11"/>
  <c r="D2313" i="11"/>
  <c r="C2314" i="11"/>
  <c r="D2314" i="11"/>
  <c r="C2315" i="11"/>
  <c r="D2315" i="11"/>
  <c r="C2316" i="11"/>
  <c r="D2316" i="11"/>
  <c r="C2317" i="11"/>
  <c r="D2317" i="11"/>
  <c r="C2318" i="11"/>
  <c r="D2318" i="11"/>
  <c r="C2319" i="11"/>
  <c r="D2319" i="11"/>
  <c r="C2320" i="11"/>
  <c r="D2320" i="11"/>
  <c r="C2321" i="11"/>
  <c r="D2321" i="11"/>
  <c r="C2322" i="11"/>
  <c r="D2322" i="11"/>
  <c r="C2323" i="11"/>
  <c r="D2323" i="11"/>
  <c r="C2324" i="11"/>
  <c r="D2324" i="11"/>
  <c r="C2325" i="11"/>
  <c r="D2325" i="11"/>
  <c r="C2326" i="11"/>
  <c r="D2326" i="11"/>
  <c r="C2327" i="11"/>
  <c r="D2327" i="11"/>
  <c r="C2328" i="11"/>
  <c r="D2328" i="11"/>
  <c r="C2329" i="11"/>
  <c r="D2329" i="11"/>
  <c r="C2330" i="11"/>
  <c r="D2330" i="11"/>
  <c r="C2331" i="11"/>
  <c r="D2331" i="11"/>
  <c r="C2332" i="11"/>
  <c r="C2333" i="11"/>
  <c r="D2333" i="11"/>
  <c r="C2334" i="11"/>
  <c r="C2335" i="11"/>
  <c r="D2335" i="11"/>
  <c r="C2336" i="11"/>
  <c r="C2337" i="11"/>
  <c r="D2337" i="11"/>
  <c r="C2338" i="11"/>
  <c r="C2339" i="11"/>
  <c r="D2339" i="11"/>
  <c r="C2340" i="11"/>
  <c r="C2341" i="11"/>
  <c r="D2341" i="11"/>
  <c r="C2342" i="11"/>
  <c r="C2343" i="11"/>
  <c r="D2343" i="11"/>
  <c r="C2344" i="11"/>
  <c r="C2345" i="11"/>
  <c r="C2346" i="11"/>
  <c r="D2346" i="11"/>
  <c r="C2347" i="11"/>
  <c r="C2348" i="11"/>
  <c r="D2348" i="11"/>
  <c r="C2349" i="11"/>
  <c r="C2350" i="11"/>
  <c r="D2350" i="11"/>
  <c r="C2351" i="11"/>
  <c r="C2352" i="11"/>
  <c r="D2352" i="11"/>
  <c r="C2353" i="11"/>
  <c r="C2354" i="11"/>
  <c r="D2354" i="11"/>
  <c r="C2355" i="11"/>
  <c r="C2356" i="11"/>
  <c r="D2356" i="11"/>
  <c r="C2357" i="11"/>
  <c r="C2358" i="11"/>
  <c r="D2358" i="11"/>
  <c r="C2359" i="11"/>
  <c r="D2359" i="11"/>
  <c r="C2360" i="11"/>
  <c r="D2360" i="11"/>
  <c r="C2361" i="11"/>
  <c r="D2361" i="11"/>
  <c r="C2362" i="11"/>
  <c r="D2362" i="11"/>
  <c r="C2363" i="11"/>
  <c r="D2363" i="11"/>
  <c r="C2364" i="11"/>
  <c r="D2364" i="11"/>
  <c r="C2365" i="11"/>
  <c r="D2365" i="11"/>
  <c r="C2366" i="11"/>
  <c r="D2366" i="11"/>
  <c r="C2367" i="11"/>
  <c r="D2367" i="11"/>
  <c r="C2368" i="11"/>
  <c r="D2368" i="11"/>
  <c r="C2369" i="11"/>
  <c r="D2369" i="11"/>
  <c r="C2370" i="11"/>
  <c r="D2370" i="11"/>
  <c r="C2371" i="11"/>
  <c r="D2371" i="11"/>
  <c r="C2372" i="11"/>
  <c r="D2372" i="11"/>
  <c r="C2373" i="11"/>
  <c r="D2373" i="11"/>
  <c r="C2374" i="11"/>
  <c r="D2374" i="11"/>
  <c r="C2375" i="11"/>
  <c r="D2375" i="11"/>
  <c r="C2376" i="11"/>
  <c r="D2376" i="11"/>
  <c r="C2377" i="11"/>
  <c r="D2377" i="11"/>
  <c r="C2378" i="11"/>
  <c r="D2378" i="11"/>
  <c r="C2379" i="11"/>
  <c r="D2379" i="11"/>
  <c r="C2380" i="11"/>
  <c r="D2380" i="11"/>
  <c r="C2381" i="11"/>
  <c r="D2381" i="11"/>
  <c r="C2382" i="11"/>
  <c r="D2382" i="11"/>
  <c r="C2383" i="11"/>
  <c r="D2383" i="11"/>
  <c r="C2384" i="11"/>
  <c r="C2385" i="11"/>
  <c r="D2385" i="11"/>
  <c r="C2386" i="11"/>
  <c r="C2387" i="11"/>
  <c r="D2387" i="11"/>
  <c r="C2388" i="11"/>
  <c r="C2389" i="11"/>
  <c r="D2389" i="11"/>
  <c r="C2390" i="11"/>
  <c r="C2391" i="11"/>
  <c r="D2391" i="11"/>
  <c r="C2392" i="11"/>
  <c r="C2393" i="11"/>
  <c r="D2393" i="11"/>
  <c r="C2394" i="11"/>
  <c r="C2395" i="11"/>
  <c r="D2395" i="11"/>
  <c r="C2396" i="11"/>
  <c r="C2397" i="11"/>
  <c r="C2398" i="11"/>
  <c r="C2399" i="11"/>
  <c r="C2400" i="11"/>
  <c r="C2401" i="11"/>
  <c r="C2402" i="11"/>
  <c r="D2402" i="11"/>
  <c r="C2403" i="11"/>
  <c r="C2404" i="11"/>
  <c r="D2404" i="11"/>
  <c r="C2405" i="11"/>
  <c r="C2406" i="11"/>
  <c r="C2407" i="11"/>
  <c r="C2408" i="11"/>
  <c r="C2409" i="11"/>
  <c r="C2410" i="11"/>
  <c r="D2410" i="11"/>
  <c r="C2411" i="11"/>
  <c r="D2411" i="11"/>
  <c r="C2412" i="11"/>
  <c r="D2412" i="11"/>
  <c r="C2413" i="11"/>
  <c r="D2413" i="11"/>
  <c r="C2414" i="11"/>
  <c r="D2414" i="11"/>
  <c r="C2415" i="11"/>
  <c r="D2415" i="11"/>
  <c r="C2416" i="11"/>
  <c r="D2416" i="11"/>
  <c r="C2417" i="11"/>
  <c r="D2417" i="11"/>
  <c r="C2418" i="11"/>
  <c r="D2418" i="11"/>
  <c r="C2419" i="11"/>
  <c r="D2419" i="11"/>
  <c r="C2420" i="11"/>
  <c r="D2420" i="11"/>
  <c r="C2421" i="11"/>
  <c r="D2421" i="11"/>
  <c r="C2422" i="11"/>
  <c r="D2422" i="11"/>
  <c r="C2423" i="11"/>
  <c r="D2423" i="11"/>
  <c r="C2424" i="11"/>
  <c r="D2424" i="11"/>
  <c r="C2425" i="11"/>
  <c r="D2425" i="11"/>
  <c r="C2426" i="11"/>
  <c r="D2426" i="11"/>
  <c r="C2427" i="11"/>
  <c r="D2427" i="11"/>
  <c r="C2428" i="11"/>
  <c r="D2428" i="11"/>
  <c r="C2429" i="11"/>
  <c r="D2429" i="11"/>
  <c r="C2430" i="11"/>
  <c r="D2430" i="11"/>
  <c r="C2431" i="11"/>
  <c r="D2431" i="11"/>
  <c r="C2432" i="11"/>
  <c r="D2432" i="11"/>
  <c r="C2433" i="11"/>
  <c r="D2433" i="11"/>
  <c r="C2434" i="11"/>
  <c r="D2434" i="11"/>
  <c r="C2435" i="11"/>
  <c r="D2435" i="11"/>
  <c r="C2436" i="11"/>
  <c r="C2437" i="11"/>
  <c r="D2437" i="11"/>
  <c r="C2438" i="11"/>
  <c r="C2439" i="11"/>
  <c r="D2439" i="11"/>
  <c r="C2440" i="11"/>
  <c r="C2441" i="11"/>
  <c r="D2441" i="11"/>
  <c r="C2442" i="11"/>
  <c r="C2443" i="11"/>
  <c r="D2443" i="11"/>
  <c r="C2444" i="11"/>
  <c r="C2445" i="11"/>
  <c r="D2445" i="11"/>
  <c r="C2446" i="11"/>
  <c r="C2447" i="11"/>
  <c r="D2447" i="11"/>
  <c r="C2448" i="11"/>
  <c r="C2449" i="11"/>
  <c r="C2450" i="11"/>
  <c r="D2450" i="11"/>
  <c r="C2451" i="11"/>
  <c r="C2452" i="11"/>
  <c r="D2452" i="11"/>
  <c r="C2453" i="11"/>
  <c r="C2454" i="11"/>
  <c r="D2454" i="11"/>
  <c r="C2455" i="11"/>
  <c r="C2456" i="11"/>
  <c r="D2456" i="11"/>
  <c r="C2457" i="11"/>
  <c r="C2458" i="11"/>
  <c r="D2458" i="11"/>
  <c r="C2459" i="11"/>
  <c r="C2460" i="11"/>
  <c r="D2460" i="11"/>
  <c r="C2461" i="11"/>
  <c r="C2462" i="11"/>
  <c r="D2462" i="11"/>
  <c r="C2463" i="11"/>
  <c r="D2463" i="11"/>
  <c r="C2464" i="11"/>
  <c r="D2464" i="11"/>
  <c r="C2465" i="11"/>
  <c r="D2465" i="11"/>
  <c r="C2466" i="11"/>
  <c r="D2466" i="11"/>
  <c r="C2467" i="11"/>
  <c r="D2467" i="11"/>
  <c r="C2468" i="11"/>
  <c r="D2468" i="11"/>
  <c r="C2469" i="11"/>
  <c r="D2469" i="11"/>
  <c r="C2470" i="11"/>
  <c r="D2470" i="11"/>
  <c r="C2471" i="11"/>
  <c r="D2471" i="11"/>
  <c r="C2472" i="11"/>
  <c r="D2472" i="11"/>
  <c r="C2473" i="11"/>
  <c r="D2473" i="11"/>
  <c r="C2474" i="11"/>
  <c r="D2474" i="11"/>
  <c r="C2475" i="11"/>
  <c r="D2475" i="11"/>
  <c r="C2476" i="11"/>
  <c r="D2476" i="11"/>
  <c r="C2477" i="11"/>
  <c r="D2477" i="11"/>
  <c r="C2478" i="11"/>
  <c r="D2478" i="11"/>
  <c r="C2479" i="11"/>
  <c r="D2479" i="11"/>
  <c r="C2480" i="11"/>
  <c r="D2480" i="11"/>
  <c r="C2481" i="11"/>
  <c r="D2481" i="11"/>
  <c r="C2482" i="11"/>
  <c r="D2482" i="11"/>
  <c r="C2483" i="11"/>
  <c r="D2483" i="11"/>
  <c r="C2484" i="11"/>
  <c r="D2484" i="11"/>
  <c r="C2485" i="11"/>
  <c r="D2485" i="11"/>
  <c r="C2486" i="11"/>
  <c r="D2486" i="11"/>
  <c r="C2487" i="11"/>
  <c r="D2487" i="11"/>
  <c r="C2488" i="11"/>
  <c r="C2489" i="11"/>
  <c r="C2490" i="11"/>
  <c r="C2491" i="11"/>
  <c r="C2492" i="11"/>
  <c r="C2493" i="11"/>
  <c r="D2493" i="11"/>
  <c r="C2494" i="11"/>
  <c r="C2495" i="11"/>
  <c r="D2495" i="11"/>
  <c r="C2496" i="11"/>
  <c r="C2497" i="11"/>
  <c r="C2498" i="11"/>
  <c r="C2499" i="11"/>
  <c r="C2500" i="11"/>
  <c r="C2501" i="11"/>
  <c r="C2502" i="11"/>
  <c r="C2503" i="11"/>
  <c r="C2504" i="11"/>
  <c r="C2505" i="11"/>
  <c r="C2506" i="11"/>
  <c r="D2506" i="11"/>
  <c r="C2507" i="11"/>
  <c r="C2508" i="11"/>
  <c r="D2508" i="11"/>
  <c r="C2509" i="11"/>
  <c r="C2510" i="11"/>
  <c r="C2511" i="11"/>
  <c r="C2512" i="11"/>
  <c r="C2513" i="11"/>
  <c r="D2513" i="11"/>
  <c r="C2514" i="11"/>
  <c r="C2515" i="11"/>
  <c r="C2516" i="11"/>
  <c r="C2517" i="11"/>
  <c r="C2518" i="11"/>
  <c r="C2519" i="11"/>
  <c r="D2519" i="11"/>
  <c r="C2520" i="11"/>
  <c r="C2521" i="11"/>
  <c r="D2521" i="11"/>
  <c r="C2522" i="11"/>
  <c r="C2523" i="11"/>
  <c r="C2524" i="11"/>
  <c r="C2525" i="11"/>
  <c r="C2526" i="11"/>
  <c r="C2527" i="11"/>
  <c r="C2528" i="11"/>
  <c r="D2528" i="11"/>
  <c r="C2529" i="11"/>
  <c r="C2530" i="11"/>
  <c r="D2530" i="11"/>
  <c r="C2531" i="11"/>
  <c r="C2532" i="11"/>
  <c r="D2532" i="11"/>
  <c r="C2533" i="11"/>
  <c r="C2534" i="11"/>
  <c r="D2534" i="11"/>
  <c r="C2535" i="11"/>
  <c r="C2536" i="11"/>
  <c r="D2536" i="11"/>
  <c r="C2537" i="11"/>
  <c r="C2538" i="11"/>
  <c r="D2538" i="11"/>
  <c r="C2539" i="11"/>
  <c r="C2540" i="11"/>
  <c r="C2541" i="11"/>
  <c r="C2542" i="11"/>
  <c r="C2543" i="11"/>
  <c r="C2544" i="11"/>
  <c r="C2545" i="11"/>
  <c r="C2546" i="11"/>
  <c r="C2547" i="11"/>
  <c r="C2548" i="11"/>
  <c r="C2549" i="11"/>
  <c r="C2550" i="11"/>
  <c r="C2551" i="11"/>
  <c r="C2552" i="11"/>
  <c r="C2554" i="11"/>
  <c r="D2554" i="11"/>
  <c r="C2555" i="11"/>
  <c r="D2555" i="11"/>
  <c r="C2556" i="11"/>
  <c r="D2556" i="11"/>
  <c r="C2557" i="11"/>
  <c r="D2557" i="11"/>
  <c r="C2558" i="11"/>
  <c r="D2558" i="11"/>
  <c r="C2559" i="11"/>
  <c r="D2559" i="11"/>
  <c r="C2560" i="11"/>
  <c r="D2560" i="11"/>
  <c r="C2561" i="11"/>
  <c r="D2561" i="11"/>
  <c r="C2562" i="11"/>
  <c r="D2562" i="11"/>
  <c r="C2563" i="11"/>
  <c r="D2563" i="11"/>
  <c r="C2564" i="11"/>
  <c r="D2564" i="11"/>
  <c r="C2565" i="11"/>
  <c r="D2565" i="11"/>
  <c r="C2566" i="11"/>
  <c r="D2566" i="11"/>
  <c r="C765" i="11"/>
  <c r="C766" i="11"/>
  <c r="C769" i="11"/>
  <c r="C771" i="11"/>
  <c r="C772" i="11"/>
  <c r="C773" i="11"/>
  <c r="C774" i="11"/>
  <c r="C775" i="11"/>
  <c r="C776" i="11"/>
  <c r="C777" i="11"/>
  <c r="C778" i="11"/>
  <c r="C779" i="11"/>
  <c r="C780" i="11"/>
  <c r="C781" i="11"/>
  <c r="C782" i="11"/>
  <c r="C783" i="11"/>
  <c r="C784" i="11"/>
  <c r="C785" i="11"/>
  <c r="C787" i="11"/>
  <c r="C788" i="11"/>
  <c r="C789" i="11"/>
  <c r="C790" i="11"/>
  <c r="C791" i="11"/>
  <c r="C792" i="11"/>
  <c r="C793" i="11"/>
  <c r="C794" i="11"/>
  <c r="C795"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D17" i="10"/>
  <c r="D18" i="10" s="1"/>
  <c r="D19" i="10" s="1"/>
  <c r="D20" i="10" s="1"/>
  <c r="D21" i="10" s="1"/>
  <c r="C18" i="10"/>
  <c r="C64" i="10"/>
  <c r="D64" i="10"/>
  <c r="C65" i="10"/>
  <c r="C950" i="11" s="1"/>
  <c r="D65" i="10"/>
  <c r="C66" i="10"/>
  <c r="D66" i="10"/>
  <c r="C67" i="10"/>
  <c r="D67" i="10"/>
  <c r="C68" i="10"/>
  <c r="D68" i="10"/>
  <c r="C69" i="10"/>
  <c r="D69" i="10"/>
  <c r="C70" i="10"/>
  <c r="D70" i="10"/>
  <c r="C71" i="10"/>
  <c r="C995" i="11" s="1"/>
  <c r="D71" i="10"/>
  <c r="C72" i="10"/>
  <c r="D72" i="10"/>
  <c r="C73" i="10"/>
  <c r="D73" i="10"/>
  <c r="C74" i="10"/>
  <c r="D74" i="10"/>
  <c r="C75" i="10"/>
  <c r="C947" i="11" s="1"/>
  <c r="D947" i="11" s="1"/>
  <c r="D75" i="10"/>
  <c r="C77" i="10"/>
  <c r="D77" i="10"/>
  <c r="C78" i="10"/>
  <c r="D78" i="10"/>
  <c r="C79" i="10"/>
  <c r="D79" i="10"/>
  <c r="C80" i="10"/>
  <c r="C1030" i="11" s="1"/>
  <c r="D80" i="10"/>
  <c r="C81" i="10"/>
  <c r="D81" i="10"/>
  <c r="C82" i="10"/>
  <c r="D82" i="10"/>
  <c r="C83" i="10"/>
  <c r="D83" i="10"/>
  <c r="C84" i="10"/>
  <c r="D84" i="10"/>
  <c r="C85" i="10"/>
  <c r="D85" i="10"/>
  <c r="C86" i="10"/>
  <c r="D86" i="10"/>
  <c r="C87" i="10"/>
  <c r="D87" i="10"/>
  <c r="C88" i="10"/>
  <c r="D88" i="10"/>
  <c r="C90" i="10"/>
  <c r="D90" i="10"/>
  <c r="C91" i="10"/>
  <c r="D91" i="10"/>
  <c r="C92" i="10"/>
  <c r="D92" i="10"/>
  <c r="C93" i="10"/>
  <c r="D93" i="10"/>
  <c r="C94" i="10"/>
  <c r="D94" i="10"/>
  <c r="C95" i="10"/>
  <c r="D95" i="10"/>
  <c r="C96" i="10"/>
  <c r="D96" i="10"/>
  <c r="C97" i="10"/>
  <c r="C1047" i="11" s="1"/>
  <c r="D1047" i="11" s="1"/>
  <c r="D97" i="10"/>
  <c r="C98" i="10"/>
  <c r="D98" i="10"/>
  <c r="C99" i="10"/>
  <c r="D99" i="10"/>
  <c r="C100" i="10"/>
  <c r="D100" i="10"/>
  <c r="C101" i="10"/>
  <c r="D101" i="10"/>
  <c r="C103" i="10"/>
  <c r="D103" i="10"/>
  <c r="C104" i="10"/>
  <c r="D104" i="10"/>
  <c r="C105" i="10"/>
  <c r="D105" i="10"/>
  <c r="C106" i="10"/>
  <c r="D106" i="10"/>
  <c r="C107" i="10"/>
  <c r="D107" i="10"/>
  <c r="C108" i="10"/>
  <c r="C1228" i="11" s="1"/>
  <c r="D1228" i="11" s="1"/>
  <c r="B1228" i="11" s="1"/>
  <c r="D108" i="10"/>
  <c r="C109" i="10"/>
  <c r="D109" i="10"/>
  <c r="C110" i="10"/>
  <c r="D110" i="10"/>
  <c r="C111" i="10"/>
  <c r="D111" i="10"/>
  <c r="C112" i="10"/>
  <c r="C1075" i="11" s="1"/>
  <c r="D1075" i="11" s="1"/>
  <c r="D112" i="10"/>
  <c r="C113" i="10"/>
  <c r="D113" i="10"/>
  <c r="C114" i="10"/>
  <c r="D114" i="10"/>
  <c r="C116" i="10"/>
  <c r="C1079" i="11" s="1"/>
  <c r="D116" i="10"/>
  <c r="C117" i="10"/>
  <c r="C1237" i="11" s="1"/>
  <c r="D1237" i="11" s="1"/>
  <c r="B1237" i="11" s="1"/>
  <c r="D117" i="10"/>
  <c r="C118" i="10"/>
  <c r="D118" i="10"/>
  <c r="C119" i="10"/>
  <c r="D119" i="10"/>
  <c r="C120" i="10"/>
  <c r="C1240" i="11" s="1"/>
  <c r="D1240" i="11" s="1"/>
  <c r="B1240" i="11" s="1"/>
  <c r="D120" i="10"/>
  <c r="C121" i="10"/>
  <c r="D121" i="10"/>
  <c r="C122" i="10"/>
  <c r="C1242" i="11" s="1"/>
  <c r="D1242" i="11" s="1"/>
  <c r="B1242" i="11" s="1"/>
  <c r="D122" i="10"/>
  <c r="C123" i="10"/>
  <c r="D123" i="10"/>
  <c r="C124" i="10"/>
  <c r="D124" i="10"/>
  <c r="C125" i="10"/>
  <c r="C1088" i="11" s="1"/>
  <c r="D1088" i="11" s="1"/>
  <c r="D125" i="10"/>
  <c r="C126" i="10"/>
  <c r="D126" i="10"/>
  <c r="C127" i="10"/>
  <c r="D127" i="10"/>
  <c r="C143" i="10"/>
  <c r="D143" i="10"/>
  <c r="C144" i="10"/>
  <c r="D144" i="10"/>
  <c r="C145" i="10"/>
  <c r="D145" i="10"/>
  <c r="C146" i="10"/>
  <c r="D146" i="10"/>
  <c r="C147" i="10"/>
  <c r="D147" i="10"/>
  <c r="C148" i="10"/>
  <c r="D148" i="10"/>
  <c r="C149" i="10"/>
  <c r="D149" i="10"/>
  <c r="C150" i="10"/>
  <c r="D150" i="10"/>
  <c r="C151" i="10"/>
  <c r="D151" i="10"/>
  <c r="C152" i="10"/>
  <c r="E891" i="58" s="1"/>
  <c r="D152" i="10"/>
  <c r="C153" i="10"/>
  <c r="E892" i="58" s="1"/>
  <c r="D153" i="10"/>
  <c r="C154" i="10"/>
  <c r="D154" i="10"/>
  <c r="C155" i="10"/>
  <c r="D155" i="10"/>
  <c r="C156" i="10"/>
  <c r="D156" i="10"/>
  <c r="C157" i="10"/>
  <c r="D157" i="10"/>
  <c r="C158" i="10"/>
  <c r="D158" i="10"/>
  <c r="C159" i="10"/>
  <c r="D159" i="10"/>
  <c r="C160" i="10"/>
  <c r="D160" i="10"/>
  <c r="C161" i="10"/>
  <c r="D161" i="10"/>
  <c r="C162" i="10"/>
  <c r="D162" i="10"/>
  <c r="C163" i="10"/>
  <c r="D163" i="10"/>
  <c r="C164" i="10"/>
  <c r="D164" i="10"/>
  <c r="C165" i="10"/>
  <c r="D165" i="10"/>
  <c r="C166" i="10"/>
  <c r="D166" i="10"/>
  <c r="C167" i="10"/>
  <c r="D167" i="10"/>
  <c r="C168" i="10"/>
  <c r="D168" i="10"/>
  <c r="C169" i="10"/>
  <c r="D169" i="10"/>
  <c r="C170" i="10"/>
  <c r="D170" i="10"/>
  <c r="C171" i="10"/>
  <c r="D171" i="10"/>
  <c r="C172" i="10"/>
  <c r="D172" i="10"/>
  <c r="C173" i="10"/>
  <c r="D173" i="10"/>
  <c r="C174" i="10"/>
  <c r="D174" i="10"/>
  <c r="C175" i="10"/>
  <c r="D175" i="10"/>
  <c r="C176" i="10"/>
  <c r="D176" i="10"/>
  <c r="C177" i="10"/>
  <c r="E916" i="58" s="1"/>
  <c r="D177" i="10"/>
  <c r="C178" i="10"/>
  <c r="E917" i="58" s="1"/>
  <c r="D178" i="10"/>
  <c r="C179" i="10"/>
  <c r="D179" i="10"/>
  <c r="C180" i="10"/>
  <c r="D180" i="10"/>
  <c r="C181" i="10"/>
  <c r="D181" i="10"/>
  <c r="C182" i="10"/>
  <c r="D182" i="10"/>
  <c r="C183" i="10"/>
  <c r="D183" i="10"/>
  <c r="C184" i="10"/>
  <c r="D184" i="10"/>
  <c r="C185" i="10"/>
  <c r="D185" i="10"/>
  <c r="C186" i="10"/>
  <c r="D186" i="10"/>
  <c r="C187" i="10"/>
  <c r="D187" i="10"/>
  <c r="C188" i="10"/>
  <c r="D188" i="10"/>
  <c r="C189" i="10"/>
  <c r="D189" i="10"/>
  <c r="C190" i="10"/>
  <c r="D190" i="10"/>
  <c r="C191" i="10"/>
  <c r="D191" i="10"/>
  <c r="C192" i="10"/>
  <c r="D192" i="10"/>
  <c r="C193" i="10"/>
  <c r="D193" i="10"/>
  <c r="C194" i="10"/>
  <c r="D194" i="10"/>
  <c r="C195" i="10"/>
  <c r="D195" i="10"/>
  <c r="C196" i="10"/>
  <c r="D196" i="10"/>
  <c r="C197" i="10"/>
  <c r="D197" i="10"/>
  <c r="C198" i="10"/>
  <c r="D198" i="10"/>
  <c r="C199" i="10"/>
  <c r="D199" i="10"/>
  <c r="C200" i="10"/>
  <c r="D200" i="10"/>
  <c r="C201" i="10"/>
  <c r="D201" i="10"/>
  <c r="C202" i="10"/>
  <c r="D202" i="10"/>
  <c r="C203" i="10"/>
  <c r="E942" i="58" s="1"/>
  <c r="D203" i="10"/>
  <c r="C204" i="10"/>
  <c r="D204" i="10"/>
  <c r="C205" i="10"/>
  <c r="D205" i="10"/>
  <c r="C206" i="10"/>
  <c r="D206" i="10"/>
  <c r="C207" i="10"/>
  <c r="D207" i="10"/>
  <c r="C208" i="10"/>
  <c r="D208" i="10"/>
  <c r="C209" i="10"/>
  <c r="D209" i="10"/>
  <c r="C210" i="10"/>
  <c r="D210" i="10"/>
  <c r="C211" i="10"/>
  <c r="D211" i="10"/>
  <c r="C212" i="10"/>
  <c r="D212" i="10"/>
  <c r="C213" i="10"/>
  <c r="D213" i="10"/>
  <c r="C214" i="10"/>
  <c r="D214" i="10"/>
  <c r="C215" i="10"/>
  <c r="D215" i="10"/>
  <c r="C216" i="10"/>
  <c r="D216" i="10"/>
  <c r="C217" i="10"/>
  <c r="D217" i="10"/>
  <c r="C218" i="10"/>
  <c r="D218" i="10"/>
  <c r="C219" i="10"/>
  <c r="D219" i="10"/>
  <c r="C220" i="10"/>
  <c r="D220" i="10"/>
  <c r="C255" i="10"/>
  <c r="C281" i="10" s="1"/>
  <c r="D255" i="10"/>
  <c r="C256" i="10"/>
  <c r="D256" i="10"/>
  <c r="D321" i="10" s="1"/>
  <c r="C257" i="10"/>
  <c r="D257" i="10"/>
  <c r="C258" i="10"/>
  <c r="D258" i="10"/>
  <c r="D310" i="10" s="1"/>
  <c r="C259" i="10"/>
  <c r="D259" i="10"/>
  <c r="D272" i="10" s="1"/>
  <c r="C260" i="10"/>
  <c r="D260" i="10"/>
  <c r="D286" i="10" s="1"/>
  <c r="C261" i="10"/>
  <c r="D261" i="10"/>
  <c r="C262" i="10"/>
  <c r="D262" i="10"/>
  <c r="D288" i="10" s="1"/>
  <c r="C263" i="10"/>
  <c r="D263" i="10"/>
  <c r="C264" i="10"/>
  <c r="D264" i="10"/>
  <c r="D303" i="10" s="1"/>
  <c r="C265" i="10"/>
  <c r="D265" i="10"/>
  <c r="C266" i="10"/>
  <c r="D266" i="10"/>
  <c r="D292" i="10" s="1"/>
  <c r="C267" i="10"/>
  <c r="D267" i="10"/>
  <c r="C222" i="10"/>
  <c r="D222" i="10"/>
  <c r="C223" i="10"/>
  <c r="D223" i="10"/>
  <c r="C224" i="10"/>
  <c r="D224" i="10"/>
  <c r="C225" i="10"/>
  <c r="D225" i="10"/>
  <c r="C226" i="10"/>
  <c r="D226" i="10"/>
  <c r="C227" i="10"/>
  <c r="D227" i="10"/>
  <c r="C228" i="10"/>
  <c r="D228" i="10"/>
  <c r="C229" i="10"/>
  <c r="D229" i="10"/>
  <c r="C230" i="10"/>
  <c r="D230" i="10"/>
  <c r="C231" i="10"/>
  <c r="D231" i="10"/>
  <c r="C232" i="10"/>
  <c r="D232" i="10"/>
  <c r="C233" i="10"/>
  <c r="D233" i="10"/>
  <c r="C234" i="10"/>
  <c r="D234" i="10"/>
  <c r="C235" i="10"/>
  <c r="D235" i="10"/>
  <c r="C236" i="10"/>
  <c r="D236" i="10"/>
  <c r="C237" i="10"/>
  <c r="D237" i="10"/>
  <c r="C238" i="10"/>
  <c r="D238" i="10"/>
  <c r="C239" i="10"/>
  <c r="D239" i="10"/>
  <c r="C241" i="10"/>
  <c r="D241" i="10"/>
  <c r="C242" i="10"/>
  <c r="D242" i="10"/>
  <c r="C243" i="10"/>
  <c r="D243" i="10"/>
  <c r="C244" i="10"/>
  <c r="D244" i="10"/>
  <c r="C245" i="10"/>
  <c r="D245" i="10"/>
  <c r="C246" i="10"/>
  <c r="B765" i="11"/>
  <c r="B771" i="11"/>
  <c r="B772" i="11"/>
  <c r="B774" i="11"/>
  <c r="D356" i="10"/>
  <c r="D774" i="11" s="1"/>
  <c r="B775" i="11"/>
  <c r="B788" i="11"/>
  <c r="D362" i="10"/>
  <c r="B789" i="11"/>
  <c r="B790" i="11"/>
  <c r="B791" i="11"/>
  <c r="B793" i="11"/>
  <c r="B794" i="11"/>
  <c r="B795" i="11"/>
  <c r="B797" i="11"/>
  <c r="B798" i="11"/>
  <c r="B799" i="11"/>
  <c r="B800" i="11"/>
  <c r="D800" i="11"/>
  <c r="B801" i="11"/>
  <c r="B802" i="11"/>
  <c r="B803" i="11"/>
  <c r="B804" i="11"/>
  <c r="B805" i="11"/>
  <c r="B806" i="11"/>
  <c r="F191" i="12"/>
  <c r="F185" i="12"/>
  <c r="F181" i="12"/>
  <c r="F175" i="12"/>
  <c r="F171" i="12"/>
  <c r="F53" i="23"/>
  <c r="F43" i="23"/>
  <c r="F33" i="23"/>
  <c r="F23" i="23"/>
  <c r="F13" i="23"/>
  <c r="D2540" i="11"/>
  <c r="D2544" i="11"/>
  <c r="D2548" i="11"/>
  <c r="D2552" i="11"/>
  <c r="G33" i="23"/>
  <c r="E33" i="23" s="1"/>
  <c r="B23" i="23"/>
  <c r="F58" i="23"/>
  <c r="F18" i="23"/>
  <c r="D127" i="26"/>
  <c r="E146" i="12" s="1"/>
  <c r="D918" i="11"/>
  <c r="D804" i="11"/>
  <c r="D824" i="11"/>
  <c r="B826" i="11"/>
  <c r="B825" i="11"/>
  <c r="B824" i="11"/>
  <c r="B823" i="11"/>
  <c r="B822" i="11"/>
  <c r="B821" i="11"/>
  <c r="B820" i="11"/>
  <c r="B818" i="11"/>
  <c r="B817" i="11"/>
  <c r="B815" i="11"/>
  <c r="B814" i="11"/>
  <c r="B813" i="11"/>
  <c r="B811" i="11"/>
  <c r="B810" i="11"/>
  <c r="B809" i="11"/>
  <c r="B808" i="11"/>
  <c r="B784" i="11"/>
  <c r="B783" i="11"/>
  <c r="B781" i="11"/>
  <c r="B780" i="11"/>
  <c r="B779" i="11"/>
  <c r="B778" i="11"/>
  <c r="B777" i="11"/>
  <c r="B53" i="23"/>
  <c r="B48" i="23"/>
  <c r="G48" i="23"/>
  <c r="B13" i="23"/>
  <c r="B33" i="23"/>
  <c r="B28" i="23"/>
  <c r="G28" i="23"/>
  <c r="E28" i="23" s="1"/>
  <c r="G53" i="23"/>
  <c r="F48" i="23"/>
  <c r="G13" i="23"/>
  <c r="E13" i="23" s="1"/>
  <c r="G38" i="23"/>
  <c r="D518" i="11" l="1"/>
  <c r="D568" i="11"/>
  <c r="D543" i="11"/>
  <c r="C1107" i="11"/>
  <c r="C567" i="11"/>
  <c r="C517" i="11"/>
  <c r="C542" i="11"/>
  <c r="D1267" i="11"/>
  <c r="D576" i="11"/>
  <c r="D551" i="11"/>
  <c r="D526" i="11"/>
  <c r="D1257" i="11"/>
  <c r="D541" i="11"/>
  <c r="D516" i="11"/>
  <c r="D566" i="11"/>
  <c r="C551" i="11"/>
  <c r="C576" i="11"/>
  <c r="C526" i="11"/>
  <c r="C566" i="11"/>
  <c r="C516" i="11"/>
  <c r="C541" i="11"/>
  <c r="D578" i="11"/>
  <c r="D528" i="11"/>
  <c r="D553" i="11"/>
  <c r="D515" i="11"/>
  <c r="D540" i="11"/>
  <c r="D565" i="11"/>
  <c r="D539" i="11"/>
  <c r="D514" i="11"/>
  <c r="D849" i="58" s="1"/>
  <c r="D564" i="11"/>
  <c r="C574" i="11"/>
  <c r="C524" i="11"/>
  <c r="C549" i="11"/>
  <c r="C514" i="11"/>
  <c r="C564" i="11"/>
  <c r="C539" i="11"/>
  <c r="D573" i="11"/>
  <c r="D548" i="11"/>
  <c r="D523" i="11"/>
  <c r="D546" i="58" s="1"/>
  <c r="D538" i="11"/>
  <c r="D513" i="11"/>
  <c r="D563" i="11"/>
  <c r="C573" i="11"/>
  <c r="C523" i="11"/>
  <c r="C548" i="11"/>
  <c r="D572" i="11"/>
  <c r="D522" i="11"/>
  <c r="D547" i="11"/>
  <c r="D1253" i="11"/>
  <c r="D537" i="11"/>
  <c r="D512" i="11"/>
  <c r="D897" i="58" s="1"/>
  <c r="D562" i="11"/>
  <c r="C534" i="11"/>
  <c r="C509" i="11"/>
  <c r="C559" i="11"/>
  <c r="D542" i="11"/>
  <c r="D517" i="11"/>
  <c r="D665" i="58" s="1"/>
  <c r="D567" i="11"/>
  <c r="C568" i="11"/>
  <c r="C518" i="11"/>
  <c r="C543" i="11"/>
  <c r="C728" i="11"/>
  <c r="C553" i="11"/>
  <c r="C528" i="11"/>
  <c r="C578" i="11"/>
  <c r="D2584" i="11"/>
  <c r="C575" i="11"/>
  <c r="C525" i="11"/>
  <c r="C550" i="11"/>
  <c r="D1265" i="11"/>
  <c r="D574" i="11"/>
  <c r="D549" i="11"/>
  <c r="D524" i="11"/>
  <c r="C572" i="11"/>
  <c r="C522" i="11"/>
  <c r="C547" i="11"/>
  <c r="C555" i="11"/>
  <c r="C530" i="11"/>
  <c r="C580" i="11"/>
  <c r="C538" i="11"/>
  <c r="C563" i="11"/>
  <c r="C513" i="11"/>
  <c r="C536" i="11"/>
  <c r="C561" i="11"/>
  <c r="C511" i="11"/>
  <c r="C569" i="11"/>
  <c r="C519" i="11"/>
  <c r="C544" i="11"/>
  <c r="C554" i="11"/>
  <c r="C529" i="11"/>
  <c r="C579" i="11"/>
  <c r="D575" i="11"/>
  <c r="D550" i="11"/>
  <c r="D525" i="11"/>
  <c r="C537" i="11"/>
  <c r="C512" i="11"/>
  <c r="C562" i="11"/>
  <c r="D557" i="11"/>
  <c r="D532" i="11"/>
  <c r="D582" i="11"/>
  <c r="D536" i="11"/>
  <c r="D511" i="11"/>
  <c r="D561" i="11"/>
  <c r="C557" i="11"/>
  <c r="C582" i="11"/>
  <c r="C532" i="11"/>
  <c r="D535" i="11"/>
  <c r="D510" i="11"/>
  <c r="D920" i="58" s="1"/>
  <c r="D560" i="11"/>
  <c r="C556" i="11"/>
  <c r="C581" i="11"/>
  <c r="C531" i="11"/>
  <c r="C535" i="11"/>
  <c r="C560" i="11"/>
  <c r="C510" i="11"/>
  <c r="D1270" i="11"/>
  <c r="D579" i="11"/>
  <c r="D554" i="11"/>
  <c r="D529" i="11"/>
  <c r="C2694" i="11"/>
  <c r="C515" i="11"/>
  <c r="C565" i="11"/>
  <c r="C540" i="11"/>
  <c r="D521" i="11"/>
  <c r="D571" i="11"/>
  <c r="D546" i="11"/>
  <c r="C521" i="11"/>
  <c r="C571" i="11"/>
  <c r="C546" i="11"/>
  <c r="D556" i="11"/>
  <c r="D531" i="11"/>
  <c r="D679" i="58" s="1"/>
  <c r="D581" i="11"/>
  <c r="D520" i="11"/>
  <c r="D570" i="11"/>
  <c r="D545" i="11"/>
  <c r="C520" i="11"/>
  <c r="C570" i="11"/>
  <c r="C545" i="11"/>
  <c r="D555" i="11"/>
  <c r="D530" i="11"/>
  <c r="D580" i="11"/>
  <c r="D519" i="11"/>
  <c r="D569" i="11"/>
  <c r="D544" i="11"/>
  <c r="D559" i="11"/>
  <c r="D534" i="11"/>
  <c r="D509" i="11"/>
  <c r="D688" i="58" s="1"/>
  <c r="C1152" i="11"/>
  <c r="C1069" i="11"/>
  <c r="D1069" i="11" s="1"/>
  <c r="D269" i="10"/>
  <c r="C269" i="10"/>
  <c r="C1187" i="11"/>
  <c r="D1187" i="11" s="1"/>
  <c r="B1187" i="11" s="1"/>
  <c r="C1036" i="11"/>
  <c r="D1263" i="11"/>
  <c r="D889" i="58"/>
  <c r="C1041" i="11"/>
  <c r="D1041" i="11" s="1"/>
  <c r="C1084" i="11"/>
  <c r="D1084" i="11" s="1"/>
  <c r="D308" i="10"/>
  <c r="D275" i="10"/>
  <c r="D1681" i="11"/>
  <c r="H844" i="58"/>
  <c r="H688" i="58"/>
  <c r="H860" i="58"/>
  <c r="H704" i="58"/>
  <c r="H548" i="58"/>
  <c r="F859" i="58"/>
  <c r="F884" i="58"/>
  <c r="F909" i="58"/>
  <c r="F934" i="58"/>
  <c r="F959" i="58"/>
  <c r="F984" i="58"/>
  <c r="F728" i="58"/>
  <c r="F703" i="58"/>
  <c r="F753" i="58"/>
  <c r="F778" i="58"/>
  <c r="F803" i="58"/>
  <c r="F828" i="58"/>
  <c r="F547" i="58"/>
  <c r="F572" i="58"/>
  <c r="F597" i="58"/>
  <c r="F622" i="58"/>
  <c r="F647" i="58"/>
  <c r="F672" i="58"/>
  <c r="F516" i="58"/>
  <c r="F491" i="58"/>
  <c r="F466" i="58"/>
  <c r="F441" i="58"/>
  <c r="F416" i="58"/>
  <c r="F390" i="58"/>
  <c r="F364" i="58"/>
  <c r="F338" i="58"/>
  <c r="F312" i="58"/>
  <c r="F286" i="58"/>
  <c r="F260" i="58"/>
  <c r="F235" i="58"/>
  <c r="F209" i="58"/>
  <c r="F79" i="58"/>
  <c r="F157" i="58"/>
  <c r="F131" i="58"/>
  <c r="F53" i="58"/>
  <c r="F183" i="58"/>
  <c r="F105" i="58"/>
  <c r="F853" i="58"/>
  <c r="F878" i="58"/>
  <c r="F903" i="58"/>
  <c r="F928" i="58"/>
  <c r="F953" i="58"/>
  <c r="F978" i="58"/>
  <c r="F697" i="58"/>
  <c r="F722" i="58"/>
  <c r="F747" i="58"/>
  <c r="F772" i="58"/>
  <c r="F797" i="58"/>
  <c r="F822" i="58"/>
  <c r="F541" i="58"/>
  <c r="F566" i="58"/>
  <c r="F591" i="58"/>
  <c r="F616" i="58"/>
  <c r="F641" i="58"/>
  <c r="F666" i="58"/>
  <c r="F510" i="58"/>
  <c r="F485" i="58"/>
  <c r="F460" i="58"/>
  <c r="F435" i="58"/>
  <c r="F410" i="58"/>
  <c r="F384" i="58"/>
  <c r="F358" i="58"/>
  <c r="F332" i="58"/>
  <c r="F306" i="58"/>
  <c r="F280" i="58"/>
  <c r="F254" i="58"/>
  <c r="F229" i="58"/>
  <c r="F125" i="58"/>
  <c r="F47" i="58"/>
  <c r="F99" i="58"/>
  <c r="F203" i="58"/>
  <c r="F177" i="58"/>
  <c r="F151" i="58"/>
  <c r="F73" i="58"/>
  <c r="D2641" i="11"/>
  <c r="F845" i="58"/>
  <c r="F870" i="58"/>
  <c r="F895" i="58"/>
  <c r="F920" i="58"/>
  <c r="F945" i="58"/>
  <c r="F970" i="58"/>
  <c r="F689" i="58"/>
  <c r="F714" i="58"/>
  <c r="F739" i="58"/>
  <c r="F764" i="58"/>
  <c r="F789" i="58"/>
  <c r="F814" i="58"/>
  <c r="F533" i="58"/>
  <c r="F558" i="58"/>
  <c r="F583" i="58"/>
  <c r="F608" i="58"/>
  <c r="F633" i="58"/>
  <c r="F658" i="58"/>
  <c r="F502" i="58"/>
  <c r="F477" i="58"/>
  <c r="F452" i="58"/>
  <c r="F427" i="58"/>
  <c r="F402" i="58"/>
  <c r="F376" i="58"/>
  <c r="F350" i="58"/>
  <c r="F324" i="58"/>
  <c r="F298" i="58"/>
  <c r="F272" i="58"/>
  <c r="F247" i="58"/>
  <c r="F221" i="58"/>
  <c r="F117" i="58"/>
  <c r="F39" i="58"/>
  <c r="F91" i="58"/>
  <c r="F195" i="58"/>
  <c r="F169" i="58"/>
  <c r="F143" i="58"/>
  <c r="F65" i="58"/>
  <c r="C1247" i="11"/>
  <c r="D1247" i="11" s="1"/>
  <c r="B1247" i="11" s="1"/>
  <c r="E866" i="58"/>
  <c r="E894" i="58"/>
  <c r="E869" i="58"/>
  <c r="E844" i="58"/>
  <c r="E969" i="58"/>
  <c r="E944" i="58"/>
  <c r="E919" i="58"/>
  <c r="E826" i="58"/>
  <c r="E825" i="58"/>
  <c r="E828" i="58"/>
  <c r="E827" i="58"/>
  <c r="E803" i="58"/>
  <c r="E776" i="58"/>
  <c r="E753" i="58"/>
  <c r="E726" i="58"/>
  <c r="E703" i="58"/>
  <c r="E802" i="58"/>
  <c r="E775" i="58"/>
  <c r="E752" i="58"/>
  <c r="E725" i="58"/>
  <c r="E702" i="58"/>
  <c r="E801" i="58"/>
  <c r="E778" i="58"/>
  <c r="E751" i="58"/>
  <c r="E728" i="58"/>
  <c r="E701" i="58"/>
  <c r="E800" i="58"/>
  <c r="E777" i="58"/>
  <c r="E750" i="58"/>
  <c r="E727" i="58"/>
  <c r="E700" i="58"/>
  <c r="E676" i="58"/>
  <c r="E651" i="58"/>
  <c r="E626" i="58"/>
  <c r="E601" i="58"/>
  <c r="E576" i="58"/>
  <c r="E675" i="58"/>
  <c r="E650" i="58"/>
  <c r="E625" i="58"/>
  <c r="E600" i="58"/>
  <c r="E575" i="58"/>
  <c r="E678" i="58"/>
  <c r="E653" i="58"/>
  <c r="E628" i="58"/>
  <c r="E603" i="58"/>
  <c r="E578" i="58"/>
  <c r="E677" i="58"/>
  <c r="E652" i="58"/>
  <c r="E627" i="58"/>
  <c r="E602" i="58"/>
  <c r="E577" i="58"/>
  <c r="E550" i="58"/>
  <c r="E552" i="58"/>
  <c r="E551" i="58"/>
  <c r="E553" i="58"/>
  <c r="C1012" i="11"/>
  <c r="C1169" i="11"/>
  <c r="C1130" i="11"/>
  <c r="C986" i="11"/>
  <c r="C1143" i="11"/>
  <c r="C973" i="11"/>
  <c r="B2010" i="11"/>
  <c r="B2006" i="11"/>
  <c r="AB157" i="57"/>
  <c r="AE157" i="57"/>
  <c r="AE95" i="57"/>
  <c r="AD157" i="57"/>
  <c r="AC157" i="57"/>
  <c r="AC33" i="57"/>
  <c r="AD33" i="57"/>
  <c r="AB34" i="57"/>
  <c r="AF34" i="57" s="1"/>
  <c r="V257" i="12" s="1"/>
  <c r="AD95" i="57"/>
  <c r="AC96" i="57"/>
  <c r="AG96" i="57" s="1"/>
  <c r="W309" i="12" s="1"/>
  <c r="AE33" i="57"/>
  <c r="AC95" i="57"/>
  <c r="AB33" i="57"/>
  <c r="AD97" i="57"/>
  <c r="AB95" i="57"/>
  <c r="AD159" i="57"/>
  <c r="AD96" i="57"/>
  <c r="AH96" i="57" s="1"/>
  <c r="X309" i="12" s="1"/>
  <c r="AB159" i="57"/>
  <c r="AC34" i="57"/>
  <c r="AG34" i="57" s="1"/>
  <c r="W257" i="12" s="1"/>
  <c r="AC97" i="57"/>
  <c r="AC98" i="57"/>
  <c r="AE158" i="57"/>
  <c r="AI158" i="57" s="1"/>
  <c r="Y361" i="12" s="1"/>
  <c r="AD34" i="57"/>
  <c r="AH34" i="57" s="1"/>
  <c r="X257" i="12" s="1"/>
  <c r="AD35" i="57"/>
  <c r="AD98" i="57"/>
  <c r="AH98" i="57" s="1"/>
  <c r="X311" i="12" s="1"/>
  <c r="AE35" i="57"/>
  <c r="AB99" i="57"/>
  <c r="AE159" i="57"/>
  <c r="AI159" i="57" s="1"/>
  <c r="Y362" i="12" s="1"/>
  <c r="AB158" i="57"/>
  <c r="AF158" i="57" s="1"/>
  <c r="V361" i="12" s="1"/>
  <c r="AC158" i="57"/>
  <c r="AG158" i="57" s="1"/>
  <c r="W361" i="12" s="1"/>
  <c r="AD158" i="57"/>
  <c r="AH158" i="57" s="1"/>
  <c r="X361" i="12" s="1"/>
  <c r="AE97" i="57"/>
  <c r="AB97" i="57"/>
  <c r="AE34" i="57"/>
  <c r="AI34" i="57" s="1"/>
  <c r="Y257" i="12" s="1"/>
  <c r="AE160" i="57"/>
  <c r="AB98" i="57"/>
  <c r="AF98" i="57" s="1"/>
  <c r="V311" i="12" s="1"/>
  <c r="AB35" i="57"/>
  <c r="AC160" i="57"/>
  <c r="AG160" i="57" s="1"/>
  <c r="W363" i="12" s="1"/>
  <c r="AE96" i="57"/>
  <c r="AI96" i="57" s="1"/>
  <c r="Y309" i="12" s="1"/>
  <c r="AC35" i="57"/>
  <c r="AG35" i="57" s="1"/>
  <c r="W258" i="12" s="1"/>
  <c r="AB96" i="57"/>
  <c r="AF96" i="57" s="1"/>
  <c r="V309" i="12" s="1"/>
  <c r="AC159" i="57"/>
  <c r="AG159" i="57" s="1"/>
  <c r="W362" i="12" s="1"/>
  <c r="AE98" i="57"/>
  <c r="AI98" i="57" s="1"/>
  <c r="Y311" i="12" s="1"/>
  <c r="AE99" i="57"/>
  <c r="AD160" i="57"/>
  <c r="AH160" i="57" s="1"/>
  <c r="X363" i="12" s="1"/>
  <c r="AB36" i="57"/>
  <c r="AF36" i="57" s="1"/>
  <c r="V259" i="12" s="1"/>
  <c r="AB160" i="57"/>
  <c r="AF160" i="57" s="1"/>
  <c r="V363" i="12" s="1"/>
  <c r="AD99" i="57"/>
  <c r="AH99" i="57" s="1"/>
  <c r="X312" i="12" s="1"/>
  <c r="AC36" i="57"/>
  <c r="AG36" i="57" s="1"/>
  <c r="W259" i="12" s="1"/>
  <c r="AE36" i="57"/>
  <c r="AI36" i="57" s="1"/>
  <c r="Y259" i="12" s="1"/>
  <c r="AD36" i="57"/>
  <c r="AH36" i="57" s="1"/>
  <c r="X259" i="12" s="1"/>
  <c r="AC99" i="57"/>
  <c r="AG99" i="57" s="1"/>
  <c r="W312" i="12" s="1"/>
  <c r="AE161" i="57"/>
  <c r="AI161" i="57" s="1"/>
  <c r="Y364" i="12" s="1"/>
  <c r="AD161" i="57"/>
  <c r="AH161" i="57" s="1"/>
  <c r="X364" i="12" s="1"/>
  <c r="AC161" i="57"/>
  <c r="AB37" i="57"/>
  <c r="AF37" i="57" s="1"/>
  <c r="V260" i="12" s="1"/>
  <c r="AE37" i="57"/>
  <c r="AB161" i="57"/>
  <c r="AF161" i="57" s="1"/>
  <c r="V364" i="12" s="1"/>
  <c r="AC37" i="57"/>
  <c r="AD37" i="57"/>
  <c r="AH37" i="57" s="1"/>
  <c r="X260" i="12" s="1"/>
  <c r="AE167" i="57"/>
  <c r="AB167" i="57"/>
  <c r="AC167" i="57"/>
  <c r="AD45" i="57"/>
  <c r="AC105" i="57"/>
  <c r="AE105" i="57"/>
  <c r="AC43" i="57"/>
  <c r="AB105" i="57"/>
  <c r="AE168" i="57"/>
  <c r="AI168" i="57" s="1"/>
  <c r="Y219" i="12" s="1"/>
  <c r="AB44" i="57"/>
  <c r="AF44" i="57" s="1"/>
  <c r="V199" i="12" s="1"/>
  <c r="AE43" i="57"/>
  <c r="AD43" i="57"/>
  <c r="AH43" i="57" s="1"/>
  <c r="X198" i="12" s="1"/>
  <c r="AB43" i="57"/>
  <c r="AD105" i="57"/>
  <c r="AD167" i="57"/>
  <c r="AB45" i="57"/>
  <c r="AF45" i="57" s="1"/>
  <c r="V200" i="12" s="1"/>
  <c r="AC168" i="57"/>
  <c r="AG168" i="57" s="1"/>
  <c r="W219" i="12" s="1"/>
  <c r="AB106" i="57"/>
  <c r="AF106" i="57" s="1"/>
  <c r="AC106" i="57"/>
  <c r="AG106" i="57" s="1"/>
  <c r="AE44" i="57"/>
  <c r="AI44" i="57" s="1"/>
  <c r="Y199" i="12" s="1"/>
  <c r="AC44" i="57"/>
  <c r="AG44" i="57" s="1"/>
  <c r="W199" i="12" s="1"/>
  <c r="AE106" i="57"/>
  <c r="AI106" i="57" s="1"/>
  <c r="AD168" i="57"/>
  <c r="AH168" i="57" s="1"/>
  <c r="X219" i="12" s="1"/>
  <c r="AD44" i="57"/>
  <c r="AH44" i="57" s="1"/>
  <c r="X199" i="12" s="1"/>
  <c r="AB168" i="57"/>
  <c r="AF168" i="57" s="1"/>
  <c r="V219" i="12" s="1"/>
  <c r="AD106" i="57"/>
  <c r="AH106" i="57" s="1"/>
  <c r="AE45" i="57"/>
  <c r="AC45" i="57"/>
  <c r="AB107" i="57"/>
  <c r="AF107" i="57" s="1"/>
  <c r="AC46" i="57"/>
  <c r="AG46" i="57" s="1"/>
  <c r="W201" i="12" s="1"/>
  <c r="AD169" i="57"/>
  <c r="AH169" i="57" s="1"/>
  <c r="X220" i="12" s="1"/>
  <c r="AC107" i="57"/>
  <c r="AG107" i="57" s="1"/>
  <c r="AB169" i="57"/>
  <c r="AF169" i="57" s="1"/>
  <c r="V220" i="12" s="1"/>
  <c r="AD46" i="57"/>
  <c r="AC169" i="57"/>
  <c r="AE107" i="57"/>
  <c r="AB46" i="57"/>
  <c r="AF46" i="57" s="1"/>
  <c r="V201" i="12" s="1"/>
  <c r="AE169" i="57"/>
  <c r="AI169" i="57" s="1"/>
  <c r="Y220" i="12" s="1"/>
  <c r="AE46" i="57"/>
  <c r="AI46" i="57" s="1"/>
  <c r="Y201" i="12" s="1"/>
  <c r="AD107" i="57"/>
  <c r="AH107" i="57" s="1"/>
  <c r="AD108" i="57"/>
  <c r="AE170" i="57"/>
  <c r="AI170" i="57" s="1"/>
  <c r="Y221" i="12" s="1"/>
  <c r="AB47" i="57"/>
  <c r="AE47" i="57"/>
  <c r="AI47" i="57" s="1"/>
  <c r="Y202" i="12" s="1"/>
  <c r="AE108" i="57"/>
  <c r="AB108" i="57"/>
  <c r="AD47" i="57"/>
  <c r="AC108" i="57"/>
  <c r="AG108" i="57" s="1"/>
  <c r="AD170" i="57"/>
  <c r="AH170" i="57" s="1"/>
  <c r="X221" i="12" s="1"/>
  <c r="AB170" i="57"/>
  <c r="AF170" i="57" s="1"/>
  <c r="V221" i="12" s="1"/>
  <c r="AC47" i="57"/>
  <c r="AC170" i="57"/>
  <c r="AG170" i="57" s="1"/>
  <c r="W221" i="12" s="1"/>
  <c r="AD171" i="57"/>
  <c r="AH171" i="57" s="1"/>
  <c r="X222" i="12" s="1"/>
  <c r="AB171" i="57"/>
  <c r="AF171" i="57" s="1"/>
  <c r="V222" i="12" s="1"/>
  <c r="AD109" i="57"/>
  <c r="AB109" i="57"/>
  <c r="AE171" i="57"/>
  <c r="AI171" i="57" s="1"/>
  <c r="Y222" i="12" s="1"/>
  <c r="AC171" i="57"/>
  <c r="AC109" i="57"/>
  <c r="AE109" i="57"/>
  <c r="AI109" i="57" s="1"/>
  <c r="AD90" i="57"/>
  <c r="AC90" i="57"/>
  <c r="AB152" i="57"/>
  <c r="AE90" i="57"/>
  <c r="AE28" i="57"/>
  <c r="AD28" i="57"/>
  <c r="AB28" i="57"/>
  <c r="AC152" i="57"/>
  <c r="AE152" i="57"/>
  <c r="AD152" i="57"/>
  <c r="AC28" i="57"/>
  <c r="AB90" i="57"/>
  <c r="AD29" i="57"/>
  <c r="AH29" i="57" s="1"/>
  <c r="X252" i="12" s="1"/>
  <c r="AE91" i="57"/>
  <c r="AI91" i="57" s="1"/>
  <c r="Y304" i="12" s="1"/>
  <c r="AC91" i="57"/>
  <c r="AG91" i="57" s="1"/>
  <c r="W304" i="12" s="1"/>
  <c r="AB91" i="57"/>
  <c r="AF91" i="57" s="1"/>
  <c r="V304" i="12" s="1"/>
  <c r="AB153" i="57"/>
  <c r="AF153" i="57" s="1"/>
  <c r="V356" i="12" s="1"/>
  <c r="AE153" i="57"/>
  <c r="AI153" i="57" s="1"/>
  <c r="Y356" i="12" s="1"/>
  <c r="AD153" i="57"/>
  <c r="AH153" i="57" s="1"/>
  <c r="X356" i="12" s="1"/>
  <c r="AE29" i="57"/>
  <c r="AI29" i="57" s="1"/>
  <c r="Y252" i="12" s="1"/>
  <c r="AD91" i="57"/>
  <c r="AH91" i="57" s="1"/>
  <c r="X304" i="12" s="1"/>
  <c r="AC153" i="57"/>
  <c r="AG153" i="57" s="1"/>
  <c r="W356" i="12" s="1"/>
  <c r="AB29" i="57"/>
  <c r="AF29" i="57" s="1"/>
  <c r="V252" i="12" s="1"/>
  <c r="AC29" i="57"/>
  <c r="AG29" i="57" s="1"/>
  <c r="W252" i="12" s="1"/>
  <c r="AB154" i="57"/>
  <c r="AF154" i="57" s="1"/>
  <c r="V357" i="12" s="1"/>
  <c r="AE92" i="57"/>
  <c r="AC92" i="57"/>
  <c r="AG92" i="57" s="1"/>
  <c r="W305" i="12" s="1"/>
  <c r="AD30" i="57"/>
  <c r="AH30" i="57" s="1"/>
  <c r="X253" i="12" s="1"/>
  <c r="AC30" i="57"/>
  <c r="AE30" i="57"/>
  <c r="AB30" i="57"/>
  <c r="AF30" i="57" s="1"/>
  <c r="V253" i="12" s="1"/>
  <c r="AD92" i="57"/>
  <c r="AE154" i="57"/>
  <c r="AC154" i="57"/>
  <c r="AG154" i="57" s="1"/>
  <c r="W357" i="12" s="1"/>
  <c r="AD154" i="57"/>
  <c r="AH154" i="57" s="1"/>
  <c r="X357" i="12" s="1"/>
  <c r="AB92" i="57"/>
  <c r="AF92" i="57" s="1"/>
  <c r="V305" i="12" s="1"/>
  <c r="AC93" i="57"/>
  <c r="AE31" i="57"/>
  <c r="AI31" i="57" s="1"/>
  <c r="Y254" i="12" s="1"/>
  <c r="AB155" i="57"/>
  <c r="AF155" i="57" s="1"/>
  <c r="V358" i="12" s="1"/>
  <c r="AB93" i="57"/>
  <c r="AF93" i="57" s="1"/>
  <c r="V306" i="12" s="1"/>
  <c r="AC31" i="57"/>
  <c r="AG31" i="57" s="1"/>
  <c r="W254" i="12" s="1"/>
  <c r="AC155" i="57"/>
  <c r="AD155" i="57"/>
  <c r="AD93" i="57"/>
  <c r="AH93" i="57" s="1"/>
  <c r="X306" i="12" s="1"/>
  <c r="AE93" i="57"/>
  <c r="AB31" i="57"/>
  <c r="AF31" i="57" s="1"/>
  <c r="V254" i="12" s="1"/>
  <c r="AE155" i="57"/>
  <c r="AD31" i="57"/>
  <c r="AH31" i="57" s="1"/>
  <c r="X254" i="12" s="1"/>
  <c r="AE156" i="57"/>
  <c r="AI156" i="57" s="1"/>
  <c r="Y359" i="12" s="1"/>
  <c r="AD94" i="57"/>
  <c r="AC94" i="57"/>
  <c r="AD32" i="57"/>
  <c r="AH32" i="57" s="1"/>
  <c r="X255" i="12" s="1"/>
  <c r="AE94" i="57"/>
  <c r="AI94" i="57" s="1"/>
  <c r="Y307" i="12" s="1"/>
  <c r="AD156" i="57"/>
  <c r="AH156" i="57" s="1"/>
  <c r="X359" i="12" s="1"/>
  <c r="AC156" i="57"/>
  <c r="AC32" i="57"/>
  <c r="AG32" i="57" s="1"/>
  <c r="W255" i="12" s="1"/>
  <c r="AB32" i="57"/>
  <c r="AF32" i="57" s="1"/>
  <c r="V255" i="12" s="1"/>
  <c r="AB156" i="57"/>
  <c r="AF156" i="57" s="1"/>
  <c r="V359" i="12" s="1"/>
  <c r="AB94" i="57"/>
  <c r="AE32" i="57"/>
  <c r="AI32" i="57" s="1"/>
  <c r="Y255" i="12" s="1"/>
  <c r="H942" i="58"/>
  <c r="H786" i="58"/>
  <c r="H630" i="58"/>
  <c r="H890" i="58"/>
  <c r="H734" i="58"/>
  <c r="H578" i="58"/>
  <c r="H849" i="58"/>
  <c r="H693" i="58"/>
  <c r="H537" i="58"/>
  <c r="H947" i="58"/>
  <c r="H791" i="58"/>
  <c r="H635" i="58"/>
  <c r="H914" i="58"/>
  <c r="H758" i="58"/>
  <c r="H602" i="58"/>
  <c r="H908" i="58"/>
  <c r="H752" i="58"/>
  <c r="H596" i="58"/>
  <c r="H846" i="58"/>
  <c r="H690" i="58"/>
  <c r="H534" i="58"/>
  <c r="F524" i="58"/>
  <c r="F499" i="58"/>
  <c r="F474" i="58"/>
  <c r="F449" i="58"/>
  <c r="F424" i="58"/>
  <c r="F399" i="58"/>
  <c r="F373" i="58"/>
  <c r="F347" i="58"/>
  <c r="F321" i="58"/>
  <c r="F295" i="58"/>
  <c r="F269" i="58"/>
  <c r="F244" i="58"/>
  <c r="F218" i="58"/>
  <c r="F166" i="58"/>
  <c r="F140" i="58"/>
  <c r="F62" i="58"/>
  <c r="F114" i="58"/>
  <c r="F192" i="58"/>
  <c r="F88" i="58"/>
  <c r="F855" i="58"/>
  <c r="F880" i="58"/>
  <c r="F905" i="58"/>
  <c r="F930" i="58"/>
  <c r="F955" i="58"/>
  <c r="F980" i="58"/>
  <c r="F699" i="58"/>
  <c r="F724" i="58"/>
  <c r="F749" i="58"/>
  <c r="F774" i="58"/>
  <c r="F799" i="58"/>
  <c r="F824" i="58"/>
  <c r="F543" i="58"/>
  <c r="F568" i="58"/>
  <c r="F593" i="58"/>
  <c r="F618" i="58"/>
  <c r="F643" i="58"/>
  <c r="F668" i="58"/>
  <c r="F512" i="58"/>
  <c r="F487" i="58"/>
  <c r="F462" i="58"/>
  <c r="F437" i="58"/>
  <c r="F412" i="58"/>
  <c r="F386" i="58"/>
  <c r="F360" i="58"/>
  <c r="F334" i="58"/>
  <c r="F308" i="58"/>
  <c r="F282" i="58"/>
  <c r="F256" i="58"/>
  <c r="F231" i="58"/>
  <c r="F205" i="58"/>
  <c r="F153" i="58"/>
  <c r="F75" i="58"/>
  <c r="F127" i="58"/>
  <c r="F49" i="58"/>
  <c r="F179" i="58"/>
  <c r="F101" i="58"/>
  <c r="E988" i="58"/>
  <c r="E963" i="58"/>
  <c r="E938" i="58"/>
  <c r="E913" i="58"/>
  <c r="E987" i="58"/>
  <c r="E962" i="58"/>
  <c r="E937" i="58"/>
  <c r="E912" i="58"/>
  <c r="E990" i="58"/>
  <c r="E965" i="58"/>
  <c r="E940" i="58"/>
  <c r="E915" i="58"/>
  <c r="E887" i="58"/>
  <c r="E862" i="58"/>
  <c r="E989" i="58"/>
  <c r="E964" i="58"/>
  <c r="E939" i="58"/>
  <c r="E914" i="58"/>
  <c r="E890" i="58"/>
  <c r="E865" i="58"/>
  <c r="E889" i="58"/>
  <c r="E864" i="58"/>
  <c r="E888" i="58"/>
  <c r="E863" i="58"/>
  <c r="E902" i="58"/>
  <c r="E877" i="58"/>
  <c r="E852" i="58"/>
  <c r="E977" i="58"/>
  <c r="E952" i="58"/>
  <c r="E927" i="58"/>
  <c r="C1195" i="11"/>
  <c r="D1195" i="11" s="1"/>
  <c r="B1195" i="11" s="1"/>
  <c r="E834" i="58"/>
  <c r="E833" i="58"/>
  <c r="E832" i="58"/>
  <c r="E831" i="58"/>
  <c r="E807" i="58"/>
  <c r="E784" i="58"/>
  <c r="E757" i="58"/>
  <c r="E734" i="58"/>
  <c r="E707" i="58"/>
  <c r="E806" i="58"/>
  <c r="E783" i="58"/>
  <c r="E756" i="58"/>
  <c r="E733" i="58"/>
  <c r="E706" i="58"/>
  <c r="E809" i="58"/>
  <c r="E782" i="58"/>
  <c r="E759" i="58"/>
  <c r="E732" i="58"/>
  <c r="E709" i="58"/>
  <c r="E808" i="58"/>
  <c r="E781" i="58"/>
  <c r="E758" i="58"/>
  <c r="E731" i="58"/>
  <c r="E708" i="58"/>
  <c r="E821" i="58"/>
  <c r="E796" i="58"/>
  <c r="E746" i="58"/>
  <c r="E696" i="58"/>
  <c r="E771" i="58"/>
  <c r="E721" i="58"/>
  <c r="E672" i="58"/>
  <c r="E647" i="58"/>
  <c r="E622" i="58"/>
  <c r="E597" i="58"/>
  <c r="E572" i="58"/>
  <c r="E671" i="58"/>
  <c r="E646" i="58"/>
  <c r="E621" i="58"/>
  <c r="E596" i="58"/>
  <c r="E571" i="58"/>
  <c r="E670" i="58"/>
  <c r="E645" i="58"/>
  <c r="E620" i="58"/>
  <c r="E595" i="58"/>
  <c r="E570" i="58"/>
  <c r="E669" i="58"/>
  <c r="E644" i="58"/>
  <c r="E619" i="58"/>
  <c r="E594" i="58"/>
  <c r="E569" i="58"/>
  <c r="E547" i="58"/>
  <c r="E546" i="58"/>
  <c r="E545" i="58"/>
  <c r="E544" i="58"/>
  <c r="C1139" i="11"/>
  <c r="C1165" i="11"/>
  <c r="C1126" i="11"/>
  <c r="C1008" i="11"/>
  <c r="C982" i="11"/>
  <c r="C969" i="11"/>
  <c r="D865" i="58"/>
  <c r="D890" i="58"/>
  <c r="D915" i="58"/>
  <c r="D940" i="58"/>
  <c r="D965" i="58"/>
  <c r="D990" i="58"/>
  <c r="D709" i="58"/>
  <c r="D734" i="58"/>
  <c r="D759" i="58"/>
  <c r="D784" i="58"/>
  <c r="D809" i="58"/>
  <c r="D834" i="58"/>
  <c r="D553" i="58"/>
  <c r="D578" i="58"/>
  <c r="D603" i="58"/>
  <c r="D628" i="58"/>
  <c r="D653" i="58"/>
  <c r="D678" i="58"/>
  <c r="D944" i="58"/>
  <c r="D969" i="58"/>
  <c r="B2017" i="11"/>
  <c r="B2009" i="11"/>
  <c r="AC115" i="57"/>
  <c r="AD115" i="57"/>
  <c r="AD177" i="57"/>
  <c r="AE53" i="57"/>
  <c r="AC177" i="57"/>
  <c r="AE115" i="57"/>
  <c r="AE177" i="57"/>
  <c r="AC116" i="57"/>
  <c r="AG116" i="57" s="1"/>
  <c r="W324" i="12" s="1"/>
  <c r="AD53" i="57"/>
  <c r="AC53" i="57"/>
  <c r="AB53" i="57"/>
  <c r="AB115" i="57"/>
  <c r="AB177" i="57"/>
  <c r="AB116" i="57"/>
  <c r="AF116" i="57" s="1"/>
  <c r="V324" i="12" s="1"/>
  <c r="AB179" i="57"/>
  <c r="AB54" i="57"/>
  <c r="AF54" i="57" s="1"/>
  <c r="V272" i="12" s="1"/>
  <c r="AE179" i="57"/>
  <c r="AC178" i="57"/>
  <c r="AG178" i="57" s="1"/>
  <c r="W376" i="12" s="1"/>
  <c r="AD117" i="57"/>
  <c r="AD54" i="57"/>
  <c r="AH54" i="57" s="1"/>
  <c r="X272" i="12" s="1"/>
  <c r="AC54" i="57"/>
  <c r="AG54" i="57" s="1"/>
  <c r="W272" i="12" s="1"/>
  <c r="AD178" i="57"/>
  <c r="AH178" i="57" s="1"/>
  <c r="X376" i="12" s="1"/>
  <c r="AE178" i="57"/>
  <c r="AI178" i="57" s="1"/>
  <c r="Y376" i="12" s="1"/>
  <c r="AC180" i="57"/>
  <c r="AG180" i="57" s="1"/>
  <c r="W378" i="12" s="1"/>
  <c r="AD116" i="57"/>
  <c r="AH116" i="57" s="1"/>
  <c r="X324" i="12" s="1"/>
  <c r="AB178" i="57"/>
  <c r="AF178" i="57" s="1"/>
  <c r="V376" i="12" s="1"/>
  <c r="AD179" i="57"/>
  <c r="AE116" i="57"/>
  <c r="AI116" i="57" s="1"/>
  <c r="Y324" i="12" s="1"/>
  <c r="AB180" i="57"/>
  <c r="AF180" i="57" s="1"/>
  <c r="V378" i="12" s="1"/>
  <c r="AE54" i="57"/>
  <c r="AI54" i="57" s="1"/>
  <c r="Y272" i="12" s="1"/>
  <c r="AC179" i="57"/>
  <c r="AD55" i="57"/>
  <c r="AC55" i="57"/>
  <c r="AG55" i="57" s="1"/>
  <c r="W273" i="12" s="1"/>
  <c r="AE180" i="57"/>
  <c r="AI180" i="57" s="1"/>
  <c r="Y378" i="12" s="1"/>
  <c r="AE117" i="57"/>
  <c r="AB117" i="57"/>
  <c r="AF117" i="57" s="1"/>
  <c r="V325" i="12" s="1"/>
  <c r="AE55" i="57"/>
  <c r="AD180" i="57"/>
  <c r="AH180" i="57" s="1"/>
  <c r="X378" i="12" s="1"/>
  <c r="AB55" i="57"/>
  <c r="AC117" i="57"/>
  <c r="AG117" i="57" s="1"/>
  <c r="W325" i="12" s="1"/>
  <c r="AE118" i="57"/>
  <c r="AI118" i="57" s="1"/>
  <c r="Y326" i="12" s="1"/>
  <c r="AB56" i="57"/>
  <c r="AF56" i="57" s="1"/>
  <c r="V274" i="12" s="1"/>
  <c r="AE181" i="57"/>
  <c r="AD181" i="57"/>
  <c r="AH181" i="57" s="1"/>
  <c r="X379" i="12" s="1"/>
  <c r="AD118" i="57"/>
  <c r="AH118" i="57" s="1"/>
  <c r="X326" i="12" s="1"/>
  <c r="AB118" i="57"/>
  <c r="AD56" i="57"/>
  <c r="AB181" i="57"/>
  <c r="AF181" i="57" s="1"/>
  <c r="V379" i="12" s="1"/>
  <c r="AC118" i="57"/>
  <c r="AG118" i="57" s="1"/>
  <c r="W326" i="12" s="1"/>
  <c r="AC56" i="57"/>
  <c r="AG56" i="57" s="1"/>
  <c r="W274" i="12" s="1"/>
  <c r="AE56" i="57"/>
  <c r="AC181" i="57"/>
  <c r="AG181" i="57" s="1"/>
  <c r="W379" i="12" s="1"/>
  <c r="AB119" i="57"/>
  <c r="AE57" i="57"/>
  <c r="AI57" i="57" s="1"/>
  <c r="Y275" i="12" s="1"/>
  <c r="AC119" i="57"/>
  <c r="AC57" i="57"/>
  <c r="AG57" i="57" s="1"/>
  <c r="W275" i="12" s="1"/>
  <c r="AE119" i="57"/>
  <c r="AI119" i="57" s="1"/>
  <c r="Y327" i="12" s="1"/>
  <c r="AD119" i="57"/>
  <c r="AH119" i="57" s="1"/>
  <c r="X327" i="12" s="1"/>
  <c r="AB57" i="57"/>
  <c r="AD57" i="57"/>
  <c r="AH57" i="57" s="1"/>
  <c r="X275" i="12" s="1"/>
  <c r="AB38" i="57"/>
  <c r="AD162" i="57"/>
  <c r="AB100" i="57"/>
  <c r="AC100" i="57"/>
  <c r="AC38" i="57"/>
  <c r="AE100" i="57"/>
  <c r="AD100" i="57"/>
  <c r="AB162" i="57"/>
  <c r="AD101" i="57"/>
  <c r="AH101" i="57" s="1"/>
  <c r="X314" i="12" s="1"/>
  <c r="AE162" i="57"/>
  <c r="AC162" i="57"/>
  <c r="AE38" i="57"/>
  <c r="AD38" i="57"/>
  <c r="AB101" i="57"/>
  <c r="AF101" i="57" s="1"/>
  <c r="V314" i="12" s="1"/>
  <c r="AC163" i="57"/>
  <c r="AG163" i="57" s="1"/>
  <c r="W366" i="12" s="1"/>
  <c r="AE163" i="57"/>
  <c r="AI163" i="57" s="1"/>
  <c r="Y366" i="12" s="1"/>
  <c r="AE164" i="57"/>
  <c r="AB40" i="57"/>
  <c r="AE101" i="57"/>
  <c r="AI101" i="57" s="1"/>
  <c r="Y314" i="12" s="1"/>
  <c r="AC101" i="57"/>
  <c r="AG101" i="57" s="1"/>
  <c r="W314" i="12" s="1"/>
  <c r="AC39" i="57"/>
  <c r="AG39" i="57" s="1"/>
  <c r="W262" i="12" s="1"/>
  <c r="AD39" i="57"/>
  <c r="AH39" i="57" s="1"/>
  <c r="X262" i="12" s="1"/>
  <c r="AD163" i="57"/>
  <c r="AH163" i="57" s="1"/>
  <c r="X366" i="12" s="1"/>
  <c r="AB39" i="57"/>
  <c r="AF39" i="57" s="1"/>
  <c r="V262" i="12" s="1"/>
  <c r="AE39" i="57"/>
  <c r="AI39" i="57" s="1"/>
  <c r="Y262" i="12" s="1"/>
  <c r="AB163" i="57"/>
  <c r="AF163" i="57" s="1"/>
  <c r="V366" i="12" s="1"/>
  <c r="AC164" i="57"/>
  <c r="AG164" i="57" s="1"/>
  <c r="W367" i="12" s="1"/>
  <c r="AC40" i="57"/>
  <c r="AG40" i="57" s="1"/>
  <c r="W263" i="12" s="1"/>
  <c r="AE102" i="57"/>
  <c r="AI102" i="57" s="1"/>
  <c r="Y315" i="12" s="1"/>
  <c r="AE40" i="57"/>
  <c r="AI40" i="57" s="1"/>
  <c r="Y263" i="12" s="1"/>
  <c r="AB102" i="57"/>
  <c r="AC102" i="57"/>
  <c r="AG102" i="57" s="1"/>
  <c r="W315" i="12" s="1"/>
  <c r="AD40" i="57"/>
  <c r="AD102" i="57"/>
  <c r="AH102" i="57" s="1"/>
  <c r="X315" i="12" s="1"/>
  <c r="AD164" i="57"/>
  <c r="AH164" i="57" s="1"/>
  <c r="X367" i="12" s="1"/>
  <c r="AB164" i="57"/>
  <c r="AF164" i="57" s="1"/>
  <c r="V367" i="12" s="1"/>
  <c r="AD41" i="57"/>
  <c r="AH41" i="57" s="1"/>
  <c r="X264" i="12" s="1"/>
  <c r="AB103" i="57"/>
  <c r="AF103" i="57" s="1"/>
  <c r="V316" i="12" s="1"/>
  <c r="AD165" i="57"/>
  <c r="AC41" i="57"/>
  <c r="AG41" i="57" s="1"/>
  <c r="W264" i="12" s="1"/>
  <c r="AC103" i="57"/>
  <c r="AC165" i="57"/>
  <c r="AG165" i="57" s="1"/>
  <c r="W368" i="12" s="1"/>
  <c r="AE41" i="57"/>
  <c r="AB41" i="57"/>
  <c r="AF41" i="57" s="1"/>
  <c r="V264" i="12" s="1"/>
  <c r="AE103" i="57"/>
  <c r="AI103" i="57" s="1"/>
  <c r="Y316" i="12" s="1"/>
  <c r="AE165" i="57"/>
  <c r="AI165" i="57" s="1"/>
  <c r="Y368" i="12" s="1"/>
  <c r="AB165" i="57"/>
  <c r="AD103" i="57"/>
  <c r="AH103" i="57" s="1"/>
  <c r="X316" i="12" s="1"/>
  <c r="AD166" i="57"/>
  <c r="AH166" i="57" s="1"/>
  <c r="X369" i="12" s="1"/>
  <c r="AD42" i="57"/>
  <c r="AH42" i="57" s="1"/>
  <c r="X265" i="12" s="1"/>
  <c r="AB104" i="57"/>
  <c r="AE166" i="57"/>
  <c r="AI166" i="57" s="1"/>
  <c r="Y369" i="12" s="1"/>
  <c r="AB42" i="57"/>
  <c r="AD104" i="57"/>
  <c r="AE104" i="57"/>
  <c r="AE42" i="57"/>
  <c r="AI42" i="57" s="1"/>
  <c r="Y265" i="12" s="1"/>
  <c r="AC104" i="57"/>
  <c r="AG104" i="57" s="1"/>
  <c r="W317" i="12" s="1"/>
  <c r="AB166" i="57"/>
  <c r="AF166" i="57" s="1"/>
  <c r="V369" i="12" s="1"/>
  <c r="AC166" i="57"/>
  <c r="AC42" i="57"/>
  <c r="AC75" i="57"/>
  <c r="AD137" i="57"/>
  <c r="AB75" i="57"/>
  <c r="AE75" i="57"/>
  <c r="AE13" i="57"/>
  <c r="AC13" i="57"/>
  <c r="AC137" i="57"/>
  <c r="AC138" i="57"/>
  <c r="AG138" i="57" s="1"/>
  <c r="AD75" i="57"/>
  <c r="AB13" i="57"/>
  <c r="AB14" i="57"/>
  <c r="AF14" i="57" s="1"/>
  <c r="V242" i="12" s="1"/>
  <c r="AD13" i="57"/>
  <c r="AE137" i="57"/>
  <c r="AB137" i="57"/>
  <c r="AB15" i="57"/>
  <c r="AD138" i="57"/>
  <c r="AH138" i="57" s="1"/>
  <c r="AB138" i="57"/>
  <c r="AF138" i="57" s="1"/>
  <c r="AD139" i="57"/>
  <c r="AC76" i="57"/>
  <c r="AG76" i="57" s="1"/>
  <c r="W294" i="12" s="1"/>
  <c r="AE16" i="57"/>
  <c r="AI16" i="57" s="1"/>
  <c r="AD15" i="57"/>
  <c r="AD14" i="57"/>
  <c r="AH14" i="57" s="1"/>
  <c r="AC14" i="57"/>
  <c r="AG14" i="57" s="1"/>
  <c r="AD76" i="57"/>
  <c r="AH76" i="57" s="1"/>
  <c r="X294" i="12" s="1"/>
  <c r="AE139" i="57"/>
  <c r="AB76" i="57"/>
  <c r="AF76" i="57" s="1"/>
  <c r="V294" i="12" s="1"/>
  <c r="AD140" i="57"/>
  <c r="AE76" i="57"/>
  <c r="AI76" i="57" s="1"/>
  <c r="Y294" i="12" s="1"/>
  <c r="AC15" i="57"/>
  <c r="AG15" i="57" s="1"/>
  <c r="AE15" i="57"/>
  <c r="AC139" i="57"/>
  <c r="AE138" i="57"/>
  <c r="AI138" i="57" s="1"/>
  <c r="AE14" i="57"/>
  <c r="AI14" i="57" s="1"/>
  <c r="AB139" i="57"/>
  <c r="AF139" i="57" s="1"/>
  <c r="AC16" i="57"/>
  <c r="AE77" i="57"/>
  <c r="AI77" i="57" s="1"/>
  <c r="Y295" i="12" s="1"/>
  <c r="AD16" i="57"/>
  <c r="AD77" i="57"/>
  <c r="AB140" i="57"/>
  <c r="AE140" i="57"/>
  <c r="AI140" i="57" s="1"/>
  <c r="AB77" i="57"/>
  <c r="AF77" i="57" s="1"/>
  <c r="V295" i="12" s="1"/>
  <c r="AC77" i="57"/>
  <c r="AG77" i="57" s="1"/>
  <c r="W295" i="12" s="1"/>
  <c r="AB16" i="57"/>
  <c r="AC140" i="57"/>
  <c r="AG140" i="57" s="1"/>
  <c r="AD78" i="57"/>
  <c r="AH78" i="57" s="1"/>
  <c r="X296" i="12" s="1"/>
  <c r="AC141" i="57"/>
  <c r="AB141" i="57"/>
  <c r="AF141" i="57" s="1"/>
  <c r="AC78" i="57"/>
  <c r="AG78" i="57" s="1"/>
  <c r="W296" i="12" s="1"/>
  <c r="AD141" i="57"/>
  <c r="AH141" i="57" s="1"/>
  <c r="AE17" i="57"/>
  <c r="AC17" i="57"/>
  <c r="AG17" i="57" s="1"/>
  <c r="AE78" i="57"/>
  <c r="AI78" i="57" s="1"/>
  <c r="Y296" i="12" s="1"/>
  <c r="AB78" i="57"/>
  <c r="AF78" i="57" s="1"/>
  <c r="V296" i="12" s="1"/>
  <c r="AE141" i="57"/>
  <c r="AB17" i="57"/>
  <c r="AD17" i="57"/>
  <c r="AH17" i="57" s="1"/>
  <c r="AE79" i="57"/>
  <c r="AB79" i="57"/>
  <c r="AF79" i="57" s="1"/>
  <c r="V297" i="12" s="1"/>
  <c r="AC79" i="57"/>
  <c r="AD79" i="57"/>
  <c r="AH79" i="57" s="1"/>
  <c r="X297" i="12" s="1"/>
  <c r="AB147" i="57"/>
  <c r="AE147" i="57"/>
  <c r="AB23" i="57"/>
  <c r="AB148" i="57"/>
  <c r="AF148" i="57" s="1"/>
  <c r="V224" i="12" s="1"/>
  <c r="AC147" i="57"/>
  <c r="AC23" i="57"/>
  <c r="AE85" i="57"/>
  <c r="AD147" i="57"/>
  <c r="AB85" i="57"/>
  <c r="AB24" i="57"/>
  <c r="AF24" i="57" s="1"/>
  <c r="V204" i="12" s="1"/>
  <c r="AE23" i="57"/>
  <c r="AD85" i="57"/>
  <c r="AC85" i="57"/>
  <c r="AD23" i="57"/>
  <c r="AB149" i="57"/>
  <c r="AB86" i="57"/>
  <c r="AF86" i="57" s="1"/>
  <c r="V214" i="12" s="1"/>
  <c r="AC86" i="57"/>
  <c r="AG86" i="57" s="1"/>
  <c r="W214" i="12" s="1"/>
  <c r="AE149" i="57"/>
  <c r="AC24" i="57"/>
  <c r="AG24" i="57" s="1"/>
  <c r="W204" i="12" s="1"/>
  <c r="AD86" i="57"/>
  <c r="AH86" i="57" s="1"/>
  <c r="X214" i="12" s="1"/>
  <c r="AD24" i="57"/>
  <c r="AH24" i="57" s="1"/>
  <c r="X204" i="12" s="1"/>
  <c r="AD149" i="57"/>
  <c r="AD148" i="57"/>
  <c r="AH148" i="57" s="1"/>
  <c r="X224" i="12" s="1"/>
  <c r="AC26" i="57"/>
  <c r="AG26" i="57" s="1"/>
  <c r="W206" i="12" s="1"/>
  <c r="AC25" i="57"/>
  <c r="AG25" i="57" s="1"/>
  <c r="W205" i="12" s="1"/>
  <c r="AC87" i="57"/>
  <c r="AG87" i="57" s="1"/>
  <c r="W215" i="12" s="1"/>
  <c r="AE26" i="57"/>
  <c r="AI26" i="57" s="1"/>
  <c r="Y206" i="12" s="1"/>
  <c r="AE25" i="57"/>
  <c r="AI25" i="57" s="1"/>
  <c r="Y205" i="12" s="1"/>
  <c r="AC148" i="57"/>
  <c r="AG148" i="57" s="1"/>
  <c r="W224" i="12" s="1"/>
  <c r="AD25" i="57"/>
  <c r="AH25" i="57" s="1"/>
  <c r="X205" i="12" s="1"/>
  <c r="AB25" i="57"/>
  <c r="AE148" i="57"/>
  <c r="AI148" i="57" s="1"/>
  <c r="Y224" i="12" s="1"/>
  <c r="AE24" i="57"/>
  <c r="AI24" i="57" s="1"/>
  <c r="Y204" i="12" s="1"/>
  <c r="AE86" i="57"/>
  <c r="AI86" i="57" s="1"/>
  <c r="Y214" i="12" s="1"/>
  <c r="AC149" i="57"/>
  <c r="AE87" i="57"/>
  <c r="AB26" i="57"/>
  <c r="AF26" i="57" s="1"/>
  <c r="V206" i="12" s="1"/>
  <c r="AB87" i="57"/>
  <c r="AB150" i="57"/>
  <c r="AD87" i="57"/>
  <c r="AH87" i="57" s="1"/>
  <c r="X215" i="12" s="1"/>
  <c r="AE150" i="57"/>
  <c r="AD26" i="57"/>
  <c r="AH26" i="57" s="1"/>
  <c r="X206" i="12" s="1"/>
  <c r="AD150" i="57"/>
  <c r="AC150" i="57"/>
  <c r="AG150" i="57" s="1"/>
  <c r="W226" i="12" s="1"/>
  <c r="AE88" i="57"/>
  <c r="AI88" i="57" s="1"/>
  <c r="Y216" i="12" s="1"/>
  <c r="AC88" i="57"/>
  <c r="AG88" i="57" s="1"/>
  <c r="W216" i="12" s="1"/>
  <c r="AE151" i="57"/>
  <c r="AC27" i="57"/>
  <c r="AG27" i="57" s="1"/>
  <c r="W207" i="12" s="1"/>
  <c r="AB88" i="57"/>
  <c r="AF88" i="57" s="1"/>
  <c r="V216" i="12" s="1"/>
  <c r="AD88" i="57"/>
  <c r="AB151" i="57"/>
  <c r="AC151" i="57"/>
  <c r="AG151" i="57" s="1"/>
  <c r="W227" i="12" s="1"/>
  <c r="AB27" i="57"/>
  <c r="AF27" i="57" s="1"/>
  <c r="V207" i="12" s="1"/>
  <c r="AE27" i="57"/>
  <c r="AI27" i="57" s="1"/>
  <c r="Y207" i="12" s="1"/>
  <c r="AD151" i="57"/>
  <c r="AH151" i="57" s="1"/>
  <c r="X227" i="12" s="1"/>
  <c r="AD27" i="57"/>
  <c r="AH27" i="57" s="1"/>
  <c r="X207" i="12" s="1"/>
  <c r="AC89" i="57"/>
  <c r="AG89" i="57" s="1"/>
  <c r="W217" i="12" s="1"/>
  <c r="AE89" i="57"/>
  <c r="AI89" i="57" s="1"/>
  <c r="Y217" i="12" s="1"/>
  <c r="AB89" i="57"/>
  <c r="AD89" i="57"/>
  <c r="AH89" i="57" s="1"/>
  <c r="X217" i="12" s="1"/>
  <c r="H917" i="58"/>
  <c r="H761" i="58"/>
  <c r="H605" i="58"/>
  <c r="H990" i="58"/>
  <c r="H834" i="58"/>
  <c r="H678" i="58"/>
  <c r="H865" i="58"/>
  <c r="H709" i="58"/>
  <c r="H553" i="58"/>
  <c r="H962" i="58"/>
  <c r="H963" i="58"/>
  <c r="H806" i="58"/>
  <c r="H807" i="58"/>
  <c r="H650" i="58"/>
  <c r="H651" i="58"/>
  <c r="H952" i="58"/>
  <c r="H796" i="58"/>
  <c r="H640" i="58"/>
  <c r="H847" i="58"/>
  <c r="H691" i="58"/>
  <c r="H535" i="58"/>
  <c r="F864" i="58"/>
  <c r="F889" i="58"/>
  <c r="F914" i="58"/>
  <c r="F939" i="58"/>
  <c r="F964" i="58"/>
  <c r="F989" i="58"/>
  <c r="F708" i="58"/>
  <c r="F733" i="58"/>
  <c r="F758" i="58"/>
  <c r="F783" i="58"/>
  <c r="F808" i="58"/>
  <c r="F833" i="58"/>
  <c r="F552" i="58"/>
  <c r="F577" i="58"/>
  <c r="F602" i="58"/>
  <c r="F627" i="58"/>
  <c r="F652" i="58"/>
  <c r="F677" i="58"/>
  <c r="F520" i="58"/>
  <c r="F495" i="58"/>
  <c r="F470" i="58"/>
  <c r="F445" i="58"/>
  <c r="F420" i="58"/>
  <c r="F395" i="58"/>
  <c r="F369" i="58"/>
  <c r="F343" i="58"/>
  <c r="F317" i="58"/>
  <c r="F291" i="58"/>
  <c r="F265" i="58"/>
  <c r="F240" i="58"/>
  <c r="F214" i="58"/>
  <c r="F162" i="58"/>
  <c r="F136" i="58"/>
  <c r="F58" i="58"/>
  <c r="F110" i="58"/>
  <c r="F188" i="58"/>
  <c r="F84" i="58"/>
  <c r="F857" i="58"/>
  <c r="F882" i="58"/>
  <c r="F907" i="58"/>
  <c r="F932" i="58"/>
  <c r="F957" i="58"/>
  <c r="F982" i="58"/>
  <c r="F726" i="58"/>
  <c r="F751" i="58"/>
  <c r="F701" i="58"/>
  <c r="F776" i="58"/>
  <c r="F801" i="58"/>
  <c r="F826" i="58"/>
  <c r="F545" i="58"/>
  <c r="F570" i="58"/>
  <c r="F595" i="58"/>
  <c r="F620" i="58"/>
  <c r="F645" i="58"/>
  <c r="F670" i="58"/>
  <c r="F514" i="58"/>
  <c r="F489" i="58"/>
  <c r="F464" i="58"/>
  <c r="F439" i="58"/>
  <c r="F414" i="58"/>
  <c r="F388" i="58"/>
  <c r="F362" i="58"/>
  <c r="F336" i="58"/>
  <c r="F310" i="58"/>
  <c r="F284" i="58"/>
  <c r="F258" i="58"/>
  <c r="F233" i="58"/>
  <c r="F207" i="58"/>
  <c r="F129" i="58"/>
  <c r="F51" i="58"/>
  <c r="F103" i="58"/>
  <c r="F181" i="58"/>
  <c r="F155" i="58"/>
  <c r="F77" i="58"/>
  <c r="F849" i="58"/>
  <c r="F874" i="58"/>
  <c r="F899" i="58"/>
  <c r="F924" i="58"/>
  <c r="F949" i="58"/>
  <c r="F974" i="58"/>
  <c r="F693" i="58"/>
  <c r="F718" i="58"/>
  <c r="F743" i="58"/>
  <c r="F768" i="58"/>
  <c r="F793" i="58"/>
  <c r="F818" i="58"/>
  <c r="F537" i="58"/>
  <c r="F562" i="58"/>
  <c r="F587" i="58"/>
  <c r="F612" i="58"/>
  <c r="F637" i="58"/>
  <c r="F662" i="58"/>
  <c r="F506" i="58"/>
  <c r="F481" i="58"/>
  <c r="F456" i="58"/>
  <c r="F431" i="58"/>
  <c r="F406" i="58"/>
  <c r="F380" i="58"/>
  <c r="F354" i="58"/>
  <c r="F328" i="58"/>
  <c r="F302" i="58"/>
  <c r="F276" i="58"/>
  <c r="F250" i="58"/>
  <c r="F225" i="58"/>
  <c r="F121" i="58"/>
  <c r="F43" i="58"/>
  <c r="F95" i="58"/>
  <c r="F199" i="58"/>
  <c r="F173" i="58"/>
  <c r="F147" i="58"/>
  <c r="F69" i="58"/>
  <c r="E941" i="58"/>
  <c r="E886" i="58"/>
  <c r="E861" i="58"/>
  <c r="E986" i="58"/>
  <c r="E961" i="58"/>
  <c r="E936" i="58"/>
  <c r="E911" i="58"/>
  <c r="E984" i="58"/>
  <c r="E959" i="58"/>
  <c r="E934" i="58"/>
  <c r="E983" i="58"/>
  <c r="E958" i="58"/>
  <c r="E933" i="58"/>
  <c r="E908" i="58"/>
  <c r="E982" i="58"/>
  <c r="E957" i="58"/>
  <c r="E932" i="58"/>
  <c r="E909" i="58"/>
  <c r="E883" i="58"/>
  <c r="E858" i="58"/>
  <c r="E981" i="58"/>
  <c r="E956" i="58"/>
  <c r="E931" i="58"/>
  <c r="E907" i="58"/>
  <c r="E882" i="58"/>
  <c r="E857" i="58"/>
  <c r="E906" i="58"/>
  <c r="E881" i="58"/>
  <c r="E856" i="58"/>
  <c r="E884" i="58"/>
  <c r="E859" i="58"/>
  <c r="E975" i="58"/>
  <c r="E950" i="58"/>
  <c r="E925" i="58"/>
  <c r="E900" i="58"/>
  <c r="E875" i="58"/>
  <c r="E850" i="58"/>
  <c r="E830" i="58"/>
  <c r="E780" i="58"/>
  <c r="E730" i="58"/>
  <c r="E805" i="58"/>
  <c r="E755" i="58"/>
  <c r="E705" i="58"/>
  <c r="E813" i="58"/>
  <c r="E788" i="58"/>
  <c r="E738" i="58"/>
  <c r="E688" i="58"/>
  <c r="E763" i="58"/>
  <c r="E713" i="58"/>
  <c r="E819" i="58"/>
  <c r="E769" i="58"/>
  <c r="E719" i="58"/>
  <c r="E794" i="58"/>
  <c r="E744" i="58"/>
  <c r="E694" i="58"/>
  <c r="C997" i="11"/>
  <c r="E674" i="58"/>
  <c r="E649" i="58"/>
  <c r="E624" i="58"/>
  <c r="E599" i="58"/>
  <c r="E574" i="58"/>
  <c r="E549" i="58"/>
  <c r="C1010" i="11"/>
  <c r="C1141" i="11"/>
  <c r="C971" i="11"/>
  <c r="C1167" i="11"/>
  <c r="C1128" i="11"/>
  <c r="C984" i="11"/>
  <c r="C941" i="11"/>
  <c r="D941" i="11" s="1"/>
  <c r="E665" i="58"/>
  <c r="E640" i="58"/>
  <c r="E615" i="58"/>
  <c r="E590" i="58"/>
  <c r="E565" i="58"/>
  <c r="E540" i="58"/>
  <c r="C1163" i="11"/>
  <c r="C980" i="11"/>
  <c r="C1006" i="11"/>
  <c r="C1137" i="11"/>
  <c r="C967" i="11"/>
  <c r="C1124" i="11"/>
  <c r="E657" i="58"/>
  <c r="E632" i="58"/>
  <c r="E607" i="58"/>
  <c r="E582" i="58"/>
  <c r="E557" i="58"/>
  <c r="E532" i="58"/>
  <c r="C1161" i="11"/>
  <c r="C1122" i="11"/>
  <c r="C978" i="11"/>
  <c r="C1004" i="11"/>
  <c r="C1135" i="11"/>
  <c r="C965" i="11"/>
  <c r="E663" i="58"/>
  <c r="E638" i="58"/>
  <c r="E613" i="58"/>
  <c r="E588" i="58"/>
  <c r="E563" i="58"/>
  <c r="E538" i="58"/>
  <c r="C976" i="11"/>
  <c r="C1002" i="11"/>
  <c r="C1133" i="11"/>
  <c r="C963" i="11"/>
  <c r="C1159" i="11"/>
  <c r="C1120" i="11"/>
  <c r="C939" i="11"/>
  <c r="D939" i="11" s="1"/>
  <c r="C1090" i="11"/>
  <c r="D1090" i="11" s="1"/>
  <c r="D1259" i="11"/>
  <c r="D1272" i="11"/>
  <c r="C1185" i="11"/>
  <c r="D1185" i="11" s="1"/>
  <c r="B1185" i="11" s="1"/>
  <c r="D863" i="58"/>
  <c r="D888" i="58"/>
  <c r="D913" i="58"/>
  <c r="D938" i="58"/>
  <c r="D963" i="58"/>
  <c r="D988" i="58"/>
  <c r="D707" i="58"/>
  <c r="D732" i="58"/>
  <c r="D757" i="58"/>
  <c r="D782" i="58"/>
  <c r="D807" i="58"/>
  <c r="D832" i="58"/>
  <c r="D551" i="58"/>
  <c r="D576" i="58"/>
  <c r="D601" i="58"/>
  <c r="D626" i="58"/>
  <c r="D651" i="58"/>
  <c r="D676" i="58"/>
  <c r="D848" i="58"/>
  <c r="D898" i="58"/>
  <c r="D923" i="58"/>
  <c r="D873" i="58"/>
  <c r="D948" i="58"/>
  <c r="D973" i="58"/>
  <c r="D692" i="58"/>
  <c r="D717" i="58"/>
  <c r="D742" i="58"/>
  <c r="D767" i="58"/>
  <c r="D792" i="58"/>
  <c r="D817" i="58"/>
  <c r="D536" i="58"/>
  <c r="D561" i="58"/>
  <c r="D586" i="58"/>
  <c r="D611" i="58"/>
  <c r="D636" i="58"/>
  <c r="D661" i="58"/>
  <c r="D846" i="58"/>
  <c r="D896" i="58"/>
  <c r="D921" i="58"/>
  <c r="D871" i="58"/>
  <c r="D946" i="58"/>
  <c r="D971" i="58"/>
  <c r="D690" i="58"/>
  <c r="D715" i="58"/>
  <c r="D740" i="58"/>
  <c r="D765" i="58"/>
  <c r="D790" i="58"/>
  <c r="D815" i="58"/>
  <c r="D534" i="58"/>
  <c r="D559" i="58"/>
  <c r="D584" i="58"/>
  <c r="D609" i="58"/>
  <c r="D634" i="58"/>
  <c r="D659" i="58"/>
  <c r="C275" i="10"/>
  <c r="C1096" i="11"/>
  <c r="D1096" i="11" s="1"/>
  <c r="C958" i="11"/>
  <c r="C1051" i="11"/>
  <c r="D1051" i="11" s="1"/>
  <c r="C1077" i="11"/>
  <c r="D1077" i="11" s="1"/>
  <c r="D1254" i="11"/>
  <c r="F867" i="58"/>
  <c r="F892" i="58"/>
  <c r="F917" i="58"/>
  <c r="F942" i="58"/>
  <c r="F967" i="58"/>
  <c r="F992" i="58"/>
  <c r="F711" i="58"/>
  <c r="F736" i="58"/>
  <c r="F761" i="58"/>
  <c r="F786" i="58"/>
  <c r="F811" i="58"/>
  <c r="F836" i="58"/>
  <c r="F555" i="58"/>
  <c r="F580" i="58"/>
  <c r="F605" i="58"/>
  <c r="F630" i="58"/>
  <c r="F655" i="58"/>
  <c r="F680" i="58"/>
  <c r="F523" i="58"/>
  <c r="F498" i="58"/>
  <c r="F473" i="58"/>
  <c r="F448" i="58"/>
  <c r="F423" i="58"/>
  <c r="F398" i="58"/>
  <c r="F372" i="58"/>
  <c r="F346" i="58"/>
  <c r="F320" i="58"/>
  <c r="F294" i="58"/>
  <c r="F268" i="58"/>
  <c r="F243" i="58"/>
  <c r="F217" i="58"/>
  <c r="F87" i="58"/>
  <c r="F165" i="58"/>
  <c r="F139" i="58"/>
  <c r="F61" i="58"/>
  <c r="F191" i="58"/>
  <c r="F113" i="58"/>
  <c r="F865" i="58"/>
  <c r="F890" i="58"/>
  <c r="F915" i="58"/>
  <c r="F940" i="58"/>
  <c r="F965" i="58"/>
  <c r="F990" i="58"/>
  <c r="F709" i="58"/>
  <c r="F734" i="58"/>
  <c r="F759" i="58"/>
  <c r="F784" i="58"/>
  <c r="F809" i="58"/>
  <c r="F834" i="58"/>
  <c r="F553" i="58"/>
  <c r="F578" i="58"/>
  <c r="F603" i="58"/>
  <c r="F628" i="58"/>
  <c r="F653" i="58"/>
  <c r="F678" i="58"/>
  <c r="F521" i="58"/>
  <c r="F496" i="58"/>
  <c r="F471" i="58"/>
  <c r="F446" i="58"/>
  <c r="F421" i="58"/>
  <c r="F396" i="58"/>
  <c r="F370" i="58"/>
  <c r="F344" i="58"/>
  <c r="F318" i="58"/>
  <c r="F292" i="58"/>
  <c r="F266" i="58"/>
  <c r="F241" i="58"/>
  <c r="F215" i="58"/>
  <c r="F137" i="58"/>
  <c r="F59" i="58"/>
  <c r="F111" i="58"/>
  <c r="F85" i="58"/>
  <c r="F189" i="58"/>
  <c r="F163" i="58"/>
  <c r="F863" i="58"/>
  <c r="F888" i="58"/>
  <c r="F913" i="58"/>
  <c r="F938" i="58"/>
  <c r="F963" i="58"/>
  <c r="F988" i="58"/>
  <c r="F707" i="58"/>
  <c r="F732" i="58"/>
  <c r="F757" i="58"/>
  <c r="F782" i="58"/>
  <c r="F807" i="58"/>
  <c r="F832" i="58"/>
  <c r="F551" i="58"/>
  <c r="F576" i="58"/>
  <c r="F601" i="58"/>
  <c r="F626" i="58"/>
  <c r="F651" i="58"/>
  <c r="F676" i="58"/>
  <c r="F519" i="58"/>
  <c r="F494" i="58"/>
  <c r="F469" i="58"/>
  <c r="F444" i="58"/>
  <c r="F419" i="58"/>
  <c r="F394" i="58"/>
  <c r="F368" i="58"/>
  <c r="F342" i="58"/>
  <c r="F316" i="58"/>
  <c r="F290" i="58"/>
  <c r="F264" i="58"/>
  <c r="F239" i="58"/>
  <c r="F213" i="58"/>
  <c r="F83" i="58"/>
  <c r="F161" i="58"/>
  <c r="F135" i="58"/>
  <c r="F57" i="58"/>
  <c r="F187" i="58"/>
  <c r="F109" i="58"/>
  <c r="F885" i="58"/>
  <c r="F910" i="58"/>
  <c r="F935" i="58"/>
  <c r="F960" i="58"/>
  <c r="F985" i="58"/>
  <c r="F729" i="58"/>
  <c r="F754" i="58"/>
  <c r="F779" i="58"/>
  <c r="F804" i="58"/>
  <c r="F829" i="58"/>
  <c r="F573" i="58"/>
  <c r="F598" i="58"/>
  <c r="F623" i="58"/>
  <c r="F648" i="58"/>
  <c r="F673" i="58"/>
  <c r="F517" i="58"/>
  <c r="F492" i="58"/>
  <c r="F467" i="58"/>
  <c r="F442" i="58"/>
  <c r="F417" i="58"/>
  <c r="F391" i="58"/>
  <c r="F365" i="58"/>
  <c r="F339" i="58"/>
  <c r="F313" i="58"/>
  <c r="F287" i="58"/>
  <c r="F261" i="58"/>
  <c r="F236" i="58"/>
  <c r="F210" i="58"/>
  <c r="F158" i="58"/>
  <c r="F132" i="58"/>
  <c r="F54" i="58"/>
  <c r="F106" i="58"/>
  <c r="F184" i="58"/>
  <c r="F80" i="58"/>
  <c r="F858" i="58"/>
  <c r="F883" i="58"/>
  <c r="F908" i="58"/>
  <c r="F933" i="58"/>
  <c r="F958" i="58"/>
  <c r="F983" i="58"/>
  <c r="F702" i="58"/>
  <c r="F727" i="58"/>
  <c r="F752" i="58"/>
  <c r="F777" i="58"/>
  <c r="F802" i="58"/>
  <c r="F827" i="58"/>
  <c r="F571" i="58"/>
  <c r="F596" i="58"/>
  <c r="F621" i="58"/>
  <c r="F546" i="58"/>
  <c r="F646" i="58"/>
  <c r="F671" i="58"/>
  <c r="F515" i="58"/>
  <c r="F490" i="58"/>
  <c r="F465" i="58"/>
  <c r="F440" i="58"/>
  <c r="F415" i="58"/>
  <c r="F389" i="58"/>
  <c r="F363" i="58"/>
  <c r="F337" i="58"/>
  <c r="F311" i="58"/>
  <c r="F285" i="58"/>
  <c r="F259" i="58"/>
  <c r="F234" i="58"/>
  <c r="F208" i="58"/>
  <c r="F104" i="58"/>
  <c r="F78" i="58"/>
  <c r="F156" i="58"/>
  <c r="F182" i="58"/>
  <c r="F130" i="58"/>
  <c r="F52" i="58"/>
  <c r="F856" i="58"/>
  <c r="F881" i="58"/>
  <c r="F906" i="58"/>
  <c r="F931" i="58"/>
  <c r="F956" i="58"/>
  <c r="F981" i="58"/>
  <c r="F725" i="58"/>
  <c r="F700" i="58"/>
  <c r="F750" i="58"/>
  <c r="F775" i="58"/>
  <c r="F800" i="58"/>
  <c r="F825" i="58"/>
  <c r="F569" i="58"/>
  <c r="F594" i="58"/>
  <c r="F619" i="58"/>
  <c r="F544" i="58"/>
  <c r="F669" i="58"/>
  <c r="F644" i="58"/>
  <c r="F513" i="58"/>
  <c r="F488" i="58"/>
  <c r="F463" i="58"/>
  <c r="F438" i="58"/>
  <c r="F413" i="58"/>
  <c r="F387" i="58"/>
  <c r="F361" i="58"/>
  <c r="F335" i="58"/>
  <c r="F309" i="58"/>
  <c r="F283" i="58"/>
  <c r="F257" i="58"/>
  <c r="F232" i="58"/>
  <c r="F154" i="58"/>
  <c r="F76" i="58"/>
  <c r="F128" i="58"/>
  <c r="F50" i="58"/>
  <c r="F102" i="58"/>
  <c r="F206" i="58"/>
  <c r="F180" i="58"/>
  <c r="F854" i="58"/>
  <c r="F879" i="58"/>
  <c r="F904" i="58"/>
  <c r="F929" i="58"/>
  <c r="F954" i="58"/>
  <c r="F698" i="58"/>
  <c r="F979" i="58"/>
  <c r="F723" i="58"/>
  <c r="F773" i="58"/>
  <c r="F798" i="58"/>
  <c r="F823" i="58"/>
  <c r="F748" i="58"/>
  <c r="F542" i="58"/>
  <c r="F567" i="58"/>
  <c r="F592" i="58"/>
  <c r="F617" i="58"/>
  <c r="F642" i="58"/>
  <c r="F667" i="58"/>
  <c r="F511" i="58"/>
  <c r="F486" i="58"/>
  <c r="F461" i="58"/>
  <c r="F436" i="58"/>
  <c r="F411" i="58"/>
  <c r="F385" i="58"/>
  <c r="F359" i="58"/>
  <c r="F333" i="58"/>
  <c r="F307" i="58"/>
  <c r="F281" i="58"/>
  <c r="F255" i="58"/>
  <c r="F230" i="58"/>
  <c r="F100" i="58"/>
  <c r="F152" i="58"/>
  <c r="F74" i="58"/>
  <c r="F204" i="58"/>
  <c r="F178" i="58"/>
  <c r="F126" i="58"/>
  <c r="F48" i="58"/>
  <c r="F852" i="58"/>
  <c r="F877" i="58"/>
  <c r="F902" i="58"/>
  <c r="F927" i="58"/>
  <c r="F952" i="58"/>
  <c r="F696" i="58"/>
  <c r="F977" i="58"/>
  <c r="F721" i="58"/>
  <c r="F746" i="58"/>
  <c r="F771" i="58"/>
  <c r="F796" i="58"/>
  <c r="F821" i="58"/>
  <c r="F540" i="58"/>
  <c r="F565" i="58"/>
  <c r="F590" i="58"/>
  <c r="F615" i="58"/>
  <c r="F640" i="58"/>
  <c r="F665" i="58"/>
  <c r="F509" i="58"/>
  <c r="F484" i="58"/>
  <c r="F459" i="58"/>
  <c r="F434" i="58"/>
  <c r="F409" i="58"/>
  <c r="F383" i="58"/>
  <c r="F357" i="58"/>
  <c r="F331" i="58"/>
  <c r="F305" i="58"/>
  <c r="F279" i="58"/>
  <c r="F253" i="58"/>
  <c r="F228" i="58"/>
  <c r="F150" i="58"/>
  <c r="F72" i="58"/>
  <c r="F124" i="58"/>
  <c r="F46" i="58"/>
  <c r="F98" i="58"/>
  <c r="F202" i="58"/>
  <c r="F176" i="58"/>
  <c r="F850" i="58"/>
  <c r="F875" i="58"/>
  <c r="F900" i="58"/>
  <c r="F950" i="58"/>
  <c r="F925" i="58"/>
  <c r="F694" i="58"/>
  <c r="F975" i="58"/>
  <c r="F719" i="58"/>
  <c r="F744" i="58"/>
  <c r="F769" i="58"/>
  <c r="F794" i="58"/>
  <c r="F819" i="58"/>
  <c r="F538" i="58"/>
  <c r="F563" i="58"/>
  <c r="F588" i="58"/>
  <c r="F613" i="58"/>
  <c r="F638" i="58"/>
  <c r="F663" i="58"/>
  <c r="F507" i="58"/>
  <c r="F482" i="58"/>
  <c r="F457" i="58"/>
  <c r="F432" i="58"/>
  <c r="F407" i="58"/>
  <c r="F381" i="58"/>
  <c r="F355" i="58"/>
  <c r="F329" i="58"/>
  <c r="F303" i="58"/>
  <c r="F277" i="58"/>
  <c r="F251" i="58"/>
  <c r="F226" i="58"/>
  <c r="F96" i="58"/>
  <c r="F148" i="58"/>
  <c r="F70" i="58"/>
  <c r="F200" i="58"/>
  <c r="F174" i="58"/>
  <c r="F122" i="58"/>
  <c r="F44" i="58"/>
  <c r="F848" i="58"/>
  <c r="F873" i="58"/>
  <c r="F898" i="58"/>
  <c r="F923" i="58"/>
  <c r="F948" i="58"/>
  <c r="F692" i="58"/>
  <c r="F973" i="58"/>
  <c r="F717" i="58"/>
  <c r="F742" i="58"/>
  <c r="F767" i="58"/>
  <c r="F792" i="58"/>
  <c r="F817" i="58"/>
  <c r="F536" i="58"/>
  <c r="F561" i="58"/>
  <c r="F586" i="58"/>
  <c r="F611" i="58"/>
  <c r="F636" i="58"/>
  <c r="F661" i="58"/>
  <c r="F505" i="58"/>
  <c r="F480" i="58"/>
  <c r="F455" i="58"/>
  <c r="F430" i="58"/>
  <c r="F405" i="58"/>
  <c r="F379" i="58"/>
  <c r="F353" i="58"/>
  <c r="F327" i="58"/>
  <c r="F301" i="58"/>
  <c r="F275" i="58"/>
  <c r="F249" i="58"/>
  <c r="F224" i="58"/>
  <c r="F146" i="58"/>
  <c r="F68" i="58"/>
  <c r="F120" i="58"/>
  <c r="F42" i="58"/>
  <c r="F94" i="58"/>
  <c r="F198" i="58"/>
  <c r="F172" i="58"/>
  <c r="F846" i="58"/>
  <c r="F871" i="58"/>
  <c r="F896" i="58"/>
  <c r="F921" i="58"/>
  <c r="F946" i="58"/>
  <c r="F690" i="58"/>
  <c r="F971" i="58"/>
  <c r="F715" i="58"/>
  <c r="F740" i="58"/>
  <c r="F765" i="58"/>
  <c r="F790" i="58"/>
  <c r="F815" i="58"/>
  <c r="F534" i="58"/>
  <c r="F559" i="58"/>
  <c r="F584" i="58"/>
  <c r="F609" i="58"/>
  <c r="F634" i="58"/>
  <c r="F659" i="58"/>
  <c r="F503" i="58"/>
  <c r="F478" i="58"/>
  <c r="F453" i="58"/>
  <c r="F428" i="58"/>
  <c r="F403" i="58"/>
  <c r="F377" i="58"/>
  <c r="F351" i="58"/>
  <c r="F325" i="58"/>
  <c r="F299" i="58"/>
  <c r="F273" i="58"/>
  <c r="F222" i="58"/>
  <c r="F92" i="58"/>
  <c r="F144" i="58"/>
  <c r="F66" i="58"/>
  <c r="F196" i="58"/>
  <c r="F170" i="58"/>
  <c r="F118" i="58"/>
  <c r="F40" i="58"/>
  <c r="F844" i="58"/>
  <c r="F869" i="58"/>
  <c r="F894" i="58"/>
  <c r="F919" i="58"/>
  <c r="F944" i="58"/>
  <c r="F969" i="58"/>
  <c r="F688" i="58"/>
  <c r="F713" i="58"/>
  <c r="F738" i="58"/>
  <c r="F763" i="58"/>
  <c r="F788" i="58"/>
  <c r="F813" i="58"/>
  <c r="F532" i="58"/>
  <c r="F557" i="58"/>
  <c r="F582" i="58"/>
  <c r="F607" i="58"/>
  <c r="F632" i="58"/>
  <c r="F657" i="58"/>
  <c r="F501" i="58"/>
  <c r="F476" i="58"/>
  <c r="F451" i="58"/>
  <c r="F426" i="58"/>
  <c r="F401" i="58"/>
  <c r="F375" i="58"/>
  <c r="F349" i="58"/>
  <c r="F323" i="58"/>
  <c r="F297" i="58"/>
  <c r="F271" i="58"/>
  <c r="F246" i="58"/>
  <c r="F220" i="58"/>
  <c r="F142" i="58"/>
  <c r="F64" i="58"/>
  <c r="F116" i="58"/>
  <c r="F38" i="58"/>
  <c r="F90" i="58"/>
  <c r="F194" i="58"/>
  <c r="F168" i="58"/>
  <c r="E967" i="58"/>
  <c r="E885" i="58"/>
  <c r="E860" i="58"/>
  <c r="E985" i="58"/>
  <c r="E960" i="58"/>
  <c r="E935" i="58"/>
  <c r="E910" i="58"/>
  <c r="E980" i="58"/>
  <c r="E955" i="58"/>
  <c r="E930" i="58"/>
  <c r="E979" i="58"/>
  <c r="E954" i="58"/>
  <c r="E929" i="58"/>
  <c r="E904" i="58"/>
  <c r="E879" i="58"/>
  <c r="E854" i="58"/>
  <c r="E903" i="58"/>
  <c r="E878" i="58"/>
  <c r="E853" i="58"/>
  <c r="E978" i="58"/>
  <c r="E953" i="58"/>
  <c r="E928" i="58"/>
  <c r="E905" i="58"/>
  <c r="E880" i="58"/>
  <c r="E855" i="58"/>
  <c r="E895" i="58"/>
  <c r="E870" i="58"/>
  <c r="E845" i="58"/>
  <c r="E970" i="58"/>
  <c r="E945" i="58"/>
  <c r="E920" i="58"/>
  <c r="E976" i="58"/>
  <c r="E951" i="58"/>
  <c r="E926" i="58"/>
  <c r="E901" i="58"/>
  <c r="E876" i="58"/>
  <c r="E851" i="58"/>
  <c r="E972" i="58"/>
  <c r="E947" i="58"/>
  <c r="E922" i="58"/>
  <c r="E971" i="58"/>
  <c r="E946" i="58"/>
  <c r="E921" i="58"/>
  <c r="E974" i="58"/>
  <c r="E949" i="58"/>
  <c r="E924" i="58"/>
  <c r="E896" i="58"/>
  <c r="E871" i="58"/>
  <c r="E846" i="58"/>
  <c r="E973" i="58"/>
  <c r="E948" i="58"/>
  <c r="E923" i="58"/>
  <c r="E899" i="58"/>
  <c r="E874" i="58"/>
  <c r="E849" i="58"/>
  <c r="E898" i="58"/>
  <c r="E873" i="58"/>
  <c r="E848" i="58"/>
  <c r="E897" i="58"/>
  <c r="E872" i="58"/>
  <c r="E847" i="58"/>
  <c r="E836" i="58"/>
  <c r="E835" i="58"/>
  <c r="E811" i="58"/>
  <c r="E761" i="58"/>
  <c r="E711" i="58"/>
  <c r="E810" i="58"/>
  <c r="E760" i="58"/>
  <c r="E710" i="58"/>
  <c r="E786" i="58"/>
  <c r="E736" i="58"/>
  <c r="E785" i="58"/>
  <c r="E735" i="58"/>
  <c r="E829" i="58"/>
  <c r="E779" i="58"/>
  <c r="E729" i="58"/>
  <c r="E804" i="58"/>
  <c r="E754" i="58"/>
  <c r="E704" i="58"/>
  <c r="E822" i="58"/>
  <c r="E823" i="58" s="1"/>
  <c r="E824" i="58" s="1"/>
  <c r="E797" i="58"/>
  <c r="E798" i="58" s="1"/>
  <c r="E799" i="58" s="1"/>
  <c r="E747" i="58"/>
  <c r="E748" i="58" s="1"/>
  <c r="E749" i="58" s="1"/>
  <c r="E697" i="58"/>
  <c r="E698" i="58" s="1"/>
  <c r="E699" i="58" s="1"/>
  <c r="E772" i="58"/>
  <c r="E773" i="58" s="1"/>
  <c r="E774" i="58" s="1"/>
  <c r="E722" i="58"/>
  <c r="E723" i="58" s="1"/>
  <c r="E724" i="58" s="1"/>
  <c r="E814" i="58"/>
  <c r="E789" i="58"/>
  <c r="E739" i="58"/>
  <c r="E689" i="58"/>
  <c r="E764" i="58"/>
  <c r="E714" i="58"/>
  <c r="E820" i="58"/>
  <c r="E770" i="58"/>
  <c r="E720" i="58"/>
  <c r="E795" i="58"/>
  <c r="E745" i="58"/>
  <c r="E695" i="58"/>
  <c r="E816" i="58"/>
  <c r="E815" i="58"/>
  <c r="E818" i="58"/>
  <c r="E817" i="58"/>
  <c r="E793" i="58"/>
  <c r="E766" i="58"/>
  <c r="E743" i="58"/>
  <c r="E716" i="58"/>
  <c r="E693" i="58"/>
  <c r="E792" i="58"/>
  <c r="E765" i="58"/>
  <c r="E742" i="58"/>
  <c r="E715" i="58"/>
  <c r="E692" i="58"/>
  <c r="E791" i="58"/>
  <c r="E768" i="58"/>
  <c r="E741" i="58"/>
  <c r="E718" i="58"/>
  <c r="E691" i="58"/>
  <c r="E790" i="58"/>
  <c r="E767" i="58"/>
  <c r="E740" i="58"/>
  <c r="E717" i="58"/>
  <c r="E690" i="58"/>
  <c r="C1103" i="11"/>
  <c r="D1103" i="11" s="1"/>
  <c r="E680" i="58"/>
  <c r="E655" i="58"/>
  <c r="E630" i="58"/>
  <c r="E605" i="58"/>
  <c r="E580" i="58"/>
  <c r="E679" i="58"/>
  <c r="E654" i="58"/>
  <c r="E629" i="58"/>
  <c r="E604" i="58"/>
  <c r="E579" i="58"/>
  <c r="E555" i="58"/>
  <c r="E554" i="58"/>
  <c r="C1142" i="11"/>
  <c r="C972" i="11"/>
  <c r="C985" i="11"/>
  <c r="C1168" i="11"/>
  <c r="C1129" i="11"/>
  <c r="C1011" i="11"/>
  <c r="E673" i="58"/>
  <c r="E648" i="58"/>
  <c r="E623" i="58"/>
  <c r="E598" i="58"/>
  <c r="E573" i="58"/>
  <c r="E548" i="58"/>
  <c r="C970" i="11"/>
  <c r="C1127" i="11"/>
  <c r="C983" i="11"/>
  <c r="C1009" i="11"/>
  <c r="C1140" i="11"/>
  <c r="C1166" i="11"/>
  <c r="C1099" i="11"/>
  <c r="E668" i="58"/>
  <c r="E643" i="58"/>
  <c r="E618" i="58"/>
  <c r="E593" i="58"/>
  <c r="E568" i="58"/>
  <c r="E667" i="58"/>
  <c r="E642" i="58"/>
  <c r="E617" i="58"/>
  <c r="E592" i="58"/>
  <c r="E567" i="58"/>
  <c r="E666" i="58"/>
  <c r="E641" i="58"/>
  <c r="E616" i="58"/>
  <c r="E591" i="58"/>
  <c r="E566" i="58"/>
  <c r="E543" i="58"/>
  <c r="E542" i="58"/>
  <c r="E541" i="58"/>
  <c r="C1138" i="11"/>
  <c r="C968" i="11"/>
  <c r="C1164" i="11"/>
  <c r="C1125" i="11"/>
  <c r="C981" i="11"/>
  <c r="C1007" i="11"/>
  <c r="E658" i="58"/>
  <c r="E633" i="58"/>
  <c r="E608" i="58"/>
  <c r="E583" i="58"/>
  <c r="E558" i="58"/>
  <c r="E533" i="58"/>
  <c r="C1123" i="11"/>
  <c r="C979" i="11"/>
  <c r="C1005" i="11"/>
  <c r="C1136" i="11"/>
  <c r="C966" i="11"/>
  <c r="C1162" i="11"/>
  <c r="E664" i="58"/>
  <c r="E639" i="58"/>
  <c r="E614" i="58"/>
  <c r="E589" i="58"/>
  <c r="E564" i="58"/>
  <c r="E539" i="58"/>
  <c r="C1134" i="11"/>
  <c r="C964" i="11"/>
  <c r="C977" i="11"/>
  <c r="C1160" i="11"/>
  <c r="C1121" i="11"/>
  <c r="C1003" i="11"/>
  <c r="E660" i="58"/>
  <c r="E635" i="58"/>
  <c r="E610" i="58"/>
  <c r="E585" i="58"/>
  <c r="E560" i="58"/>
  <c r="E659" i="58"/>
  <c r="E634" i="58"/>
  <c r="E609" i="58"/>
  <c r="E584" i="58"/>
  <c r="E559" i="58"/>
  <c r="E662" i="58"/>
  <c r="E637" i="58"/>
  <c r="E612" i="58"/>
  <c r="E587" i="58"/>
  <c r="E562" i="58"/>
  <c r="E661" i="58"/>
  <c r="E636" i="58"/>
  <c r="E611" i="58"/>
  <c r="E586" i="58"/>
  <c r="E561" i="58"/>
  <c r="E535" i="58"/>
  <c r="E534" i="58"/>
  <c r="E537" i="58"/>
  <c r="E536" i="58"/>
  <c r="C1132" i="11"/>
  <c r="C936" i="11"/>
  <c r="C975" i="11"/>
  <c r="C1158" i="11"/>
  <c r="C1001" i="11"/>
  <c r="C962" i="11"/>
  <c r="C1119" i="11"/>
  <c r="B2008" i="11"/>
  <c r="AE187" i="57"/>
  <c r="AC187" i="57"/>
  <c r="AD64" i="57"/>
  <c r="AH64" i="57" s="1"/>
  <c r="X282" i="12" s="1"/>
  <c r="AC63" i="57"/>
  <c r="AB187" i="57"/>
  <c r="AD63" i="57"/>
  <c r="AE63" i="57"/>
  <c r="AE125" i="57"/>
  <c r="AD125" i="57"/>
  <c r="AD187" i="57"/>
  <c r="AB63" i="57"/>
  <c r="AC125" i="57"/>
  <c r="AB125" i="57"/>
  <c r="AD127" i="57"/>
  <c r="AE127" i="57"/>
  <c r="AB188" i="57"/>
  <c r="AF188" i="57" s="1"/>
  <c r="V386" i="12" s="1"/>
  <c r="AD188" i="57"/>
  <c r="AH188" i="57" s="1"/>
  <c r="X386" i="12" s="1"/>
  <c r="AD126" i="57"/>
  <c r="AH126" i="57" s="1"/>
  <c r="X334" i="12" s="1"/>
  <c r="AE126" i="57"/>
  <c r="AI126" i="57" s="1"/>
  <c r="Y334" i="12" s="1"/>
  <c r="AC188" i="57"/>
  <c r="AG188" i="57" s="1"/>
  <c r="W386" i="12" s="1"/>
  <c r="AC126" i="57"/>
  <c r="AG126" i="57" s="1"/>
  <c r="W334" i="12" s="1"/>
  <c r="AE64" i="57"/>
  <c r="AI64" i="57" s="1"/>
  <c r="Y282" i="12" s="1"/>
  <c r="AC189" i="57"/>
  <c r="AE189" i="57"/>
  <c r="AB189" i="57"/>
  <c r="AB126" i="57"/>
  <c r="AF126" i="57" s="1"/>
  <c r="V334" i="12" s="1"/>
  <c r="AB64" i="57"/>
  <c r="AF64" i="57" s="1"/>
  <c r="V282" i="12" s="1"/>
  <c r="AC64" i="57"/>
  <c r="AG64" i="57" s="1"/>
  <c r="W282" i="12" s="1"/>
  <c r="AD189" i="57"/>
  <c r="AH189" i="57" s="1"/>
  <c r="X387" i="12" s="1"/>
  <c r="AB127" i="57"/>
  <c r="AF127" i="57" s="1"/>
  <c r="V335" i="12" s="1"/>
  <c r="AB65" i="57"/>
  <c r="AF65" i="57" s="1"/>
  <c r="V283" i="12" s="1"/>
  <c r="AC127" i="57"/>
  <c r="AE188" i="57"/>
  <c r="AI188" i="57" s="1"/>
  <c r="Y386" i="12" s="1"/>
  <c r="AC190" i="57"/>
  <c r="AG190" i="57" s="1"/>
  <c r="W388" i="12" s="1"/>
  <c r="AB190" i="57"/>
  <c r="AD65" i="57"/>
  <c r="AE128" i="57"/>
  <c r="AD190" i="57"/>
  <c r="AH190" i="57" s="1"/>
  <c r="X388" i="12" s="1"/>
  <c r="AB128" i="57"/>
  <c r="AF128" i="57" s="1"/>
  <c r="V336" i="12" s="1"/>
  <c r="AD128" i="57"/>
  <c r="AH128" i="57" s="1"/>
  <c r="X336" i="12" s="1"/>
  <c r="AE190" i="57"/>
  <c r="AI190" i="57" s="1"/>
  <c r="Y388" i="12" s="1"/>
  <c r="AC128" i="57"/>
  <c r="AC65" i="57"/>
  <c r="AE65" i="57"/>
  <c r="AD191" i="57"/>
  <c r="AE66" i="57"/>
  <c r="AB191" i="57"/>
  <c r="AF191" i="57" s="1"/>
  <c r="V389" i="12" s="1"/>
  <c r="AD129" i="57"/>
  <c r="AH129" i="57" s="1"/>
  <c r="X337" i="12" s="1"/>
  <c r="AE129" i="57"/>
  <c r="AI129" i="57" s="1"/>
  <c r="Y337" i="12" s="1"/>
  <c r="AD66" i="57"/>
  <c r="AB66" i="57"/>
  <c r="AF66" i="57" s="1"/>
  <c r="V284" i="12" s="1"/>
  <c r="AE191" i="57"/>
  <c r="AB129" i="57"/>
  <c r="AC66" i="57"/>
  <c r="AC191" i="57"/>
  <c r="AG191" i="57" s="1"/>
  <c r="W389" i="12" s="1"/>
  <c r="AC129" i="57"/>
  <c r="AG129" i="57" s="1"/>
  <c r="W337" i="12" s="1"/>
  <c r="AB67" i="57"/>
  <c r="AE67" i="57"/>
  <c r="AC67" i="57"/>
  <c r="AD67" i="57"/>
  <c r="AB110" i="57"/>
  <c r="AB172" i="57"/>
  <c r="AE110" i="57"/>
  <c r="AE172" i="57"/>
  <c r="AB111" i="57"/>
  <c r="AF111" i="57" s="1"/>
  <c r="V319" i="12" s="1"/>
  <c r="AC110" i="57"/>
  <c r="AE48" i="57"/>
  <c r="AB174" i="57"/>
  <c r="AE173" i="57"/>
  <c r="AI173" i="57" s="1"/>
  <c r="Y371" i="12" s="1"/>
  <c r="AB173" i="57"/>
  <c r="AF173" i="57" s="1"/>
  <c r="V371" i="12" s="1"/>
  <c r="AB48" i="57"/>
  <c r="AF48" i="57" s="1"/>
  <c r="V266" i="12" s="1"/>
  <c r="AC173" i="57"/>
  <c r="AG173" i="57" s="1"/>
  <c r="W371" i="12" s="1"/>
  <c r="AC111" i="57"/>
  <c r="AG111" i="57" s="1"/>
  <c r="W319" i="12" s="1"/>
  <c r="AC172" i="57"/>
  <c r="AD48" i="57"/>
  <c r="AE111" i="57"/>
  <c r="AI111" i="57" s="1"/>
  <c r="Y319" i="12" s="1"/>
  <c r="AD172" i="57"/>
  <c r="AD110" i="57"/>
  <c r="AC48" i="57"/>
  <c r="AC174" i="57"/>
  <c r="AG174" i="57" s="1"/>
  <c r="W372" i="12" s="1"/>
  <c r="AB50" i="57"/>
  <c r="AD111" i="57"/>
  <c r="AH111" i="57" s="1"/>
  <c r="X319" i="12" s="1"/>
  <c r="AE49" i="57"/>
  <c r="AI49" i="57" s="1"/>
  <c r="Y267" i="12" s="1"/>
  <c r="AC49" i="57"/>
  <c r="AG49" i="57" s="1"/>
  <c r="W267" i="12" s="1"/>
  <c r="AD112" i="57"/>
  <c r="AH112" i="57" s="1"/>
  <c r="X320" i="12" s="1"/>
  <c r="AB49" i="57"/>
  <c r="AF49" i="57" s="1"/>
  <c r="V267" i="12" s="1"/>
  <c r="AC50" i="57"/>
  <c r="AE50" i="57"/>
  <c r="AD173" i="57"/>
  <c r="AH173" i="57" s="1"/>
  <c r="X371" i="12" s="1"/>
  <c r="AE174" i="57"/>
  <c r="AD174" i="57"/>
  <c r="AD50" i="57"/>
  <c r="AD49" i="57"/>
  <c r="AH49" i="57" s="1"/>
  <c r="X267" i="12" s="1"/>
  <c r="AB175" i="57"/>
  <c r="AF175" i="57" s="1"/>
  <c r="V373" i="12" s="1"/>
  <c r="AE112" i="57"/>
  <c r="AC175" i="57"/>
  <c r="AG175" i="57" s="1"/>
  <c r="W373" i="12" s="1"/>
  <c r="AD175" i="57"/>
  <c r="AH175" i="57" s="1"/>
  <c r="X373" i="12" s="1"/>
  <c r="AC112" i="57"/>
  <c r="AB112" i="57"/>
  <c r="AF112" i="57" s="1"/>
  <c r="V320" i="12" s="1"/>
  <c r="AE175" i="57"/>
  <c r="AI175" i="57" s="1"/>
  <c r="Y373" i="12" s="1"/>
  <c r="AC113" i="57"/>
  <c r="AG113" i="57" s="1"/>
  <c r="W321" i="12" s="1"/>
  <c r="AE176" i="57"/>
  <c r="AD51" i="57"/>
  <c r="AH51" i="57" s="1"/>
  <c r="X269" i="12" s="1"/>
  <c r="AD113" i="57"/>
  <c r="AC176" i="57"/>
  <c r="AD176" i="57"/>
  <c r="AC51" i="57"/>
  <c r="AE113" i="57"/>
  <c r="AB176" i="57"/>
  <c r="AB51" i="57"/>
  <c r="AB113" i="57"/>
  <c r="AF113" i="57" s="1"/>
  <c r="V321" i="12" s="1"/>
  <c r="AE51" i="57"/>
  <c r="AB114" i="57"/>
  <c r="AC52" i="57"/>
  <c r="AE114" i="57"/>
  <c r="AC114" i="57"/>
  <c r="AE52" i="57"/>
  <c r="AD114" i="57"/>
  <c r="AB52" i="57"/>
  <c r="AD52" i="57"/>
  <c r="AD80" i="57"/>
  <c r="AD18" i="57"/>
  <c r="AB142" i="57"/>
  <c r="AB18" i="57"/>
  <c r="AC142" i="57"/>
  <c r="AB80" i="57"/>
  <c r="AE80" i="57"/>
  <c r="AI80" i="57" s="1"/>
  <c r="Y298" i="12" s="1"/>
  <c r="AC81" i="57"/>
  <c r="AG81" i="57" s="1"/>
  <c r="W299" i="12" s="1"/>
  <c r="AE18" i="57"/>
  <c r="AC80" i="57"/>
  <c r="AC18" i="57"/>
  <c r="AD142" i="57"/>
  <c r="AE142" i="57"/>
  <c r="AC19" i="57"/>
  <c r="AG19" i="57" s="1"/>
  <c r="W247" i="12" s="1"/>
  <c r="AE19" i="57"/>
  <c r="AI19" i="57" s="1"/>
  <c r="Y247" i="12" s="1"/>
  <c r="AE81" i="57"/>
  <c r="AI81" i="57" s="1"/>
  <c r="Y299" i="12" s="1"/>
  <c r="AE143" i="57"/>
  <c r="AI143" i="57" s="1"/>
  <c r="Y351" i="12" s="1"/>
  <c r="AE82" i="57"/>
  <c r="AB19" i="57"/>
  <c r="AF19" i="57" s="1"/>
  <c r="V247" i="12" s="1"/>
  <c r="AB82" i="57"/>
  <c r="AD19" i="57"/>
  <c r="AH19" i="57" s="1"/>
  <c r="X247" i="12" s="1"/>
  <c r="AD143" i="57"/>
  <c r="AH143" i="57" s="1"/>
  <c r="X351" i="12" s="1"/>
  <c r="AB81" i="57"/>
  <c r="AF81" i="57" s="1"/>
  <c r="V299" i="12" s="1"/>
  <c r="AD81" i="57"/>
  <c r="AH81" i="57" s="1"/>
  <c r="X299" i="12" s="1"/>
  <c r="AD82" i="57"/>
  <c r="AC82" i="57"/>
  <c r="AC143" i="57"/>
  <c r="AG143" i="57" s="1"/>
  <c r="W351" i="12" s="1"/>
  <c r="AB143" i="57"/>
  <c r="AF143" i="57" s="1"/>
  <c r="V351" i="12" s="1"/>
  <c r="AE83" i="57"/>
  <c r="AB83" i="57"/>
  <c r="AF83" i="57" s="1"/>
  <c r="V301" i="12" s="1"/>
  <c r="AE20" i="57"/>
  <c r="AI20" i="57" s="1"/>
  <c r="Y248" i="12" s="1"/>
  <c r="AB144" i="57"/>
  <c r="AF144" i="57" s="1"/>
  <c r="V352" i="12" s="1"/>
  <c r="AC144" i="57"/>
  <c r="AD20" i="57"/>
  <c r="AD144" i="57"/>
  <c r="AD83" i="57"/>
  <c r="AC20" i="57"/>
  <c r="AE144" i="57"/>
  <c r="AC83" i="57"/>
  <c r="AG83" i="57" s="1"/>
  <c r="W301" i="12" s="1"/>
  <c r="AB20" i="57"/>
  <c r="AB84" i="57"/>
  <c r="AB21" i="57"/>
  <c r="AC145" i="57"/>
  <c r="AC84" i="57"/>
  <c r="AD145" i="57"/>
  <c r="AE145" i="57"/>
  <c r="AD21" i="57"/>
  <c r="AH21" i="57" s="1"/>
  <c r="X249" i="12" s="1"/>
  <c r="AC21" i="57"/>
  <c r="AB145" i="57"/>
  <c r="AD84" i="57"/>
  <c r="AE84" i="57"/>
  <c r="AE21" i="57"/>
  <c r="AI21" i="57" s="1"/>
  <c r="Y249" i="12" s="1"/>
  <c r="AB146" i="57"/>
  <c r="AF146" i="57" s="1"/>
  <c r="V354" i="12" s="1"/>
  <c r="AE146" i="57"/>
  <c r="AI146" i="57" s="1"/>
  <c r="Y354" i="12" s="1"/>
  <c r="AB22" i="57"/>
  <c r="AF22" i="57" s="1"/>
  <c r="V250" i="12" s="1"/>
  <c r="AC146" i="57"/>
  <c r="AD146" i="57"/>
  <c r="AE22" i="57"/>
  <c r="AD22" i="57"/>
  <c r="AC22" i="57"/>
  <c r="H992" i="58"/>
  <c r="H836" i="58"/>
  <c r="H680" i="58"/>
  <c r="H911" i="58"/>
  <c r="H755" i="58"/>
  <c r="H599" i="58"/>
  <c r="H906" i="58"/>
  <c r="H750" i="58"/>
  <c r="H594" i="58"/>
  <c r="F866" i="58"/>
  <c r="F891" i="58"/>
  <c r="F916" i="58"/>
  <c r="F941" i="58"/>
  <c r="F966" i="58"/>
  <c r="F991" i="58"/>
  <c r="F710" i="58"/>
  <c r="F735" i="58"/>
  <c r="F760" i="58"/>
  <c r="F785" i="58"/>
  <c r="F810" i="58"/>
  <c r="F835" i="58"/>
  <c r="F554" i="58"/>
  <c r="F579" i="58"/>
  <c r="F604" i="58"/>
  <c r="F629" i="58"/>
  <c r="F654" i="58"/>
  <c r="F679" i="58"/>
  <c r="F522" i="58"/>
  <c r="F497" i="58"/>
  <c r="F472" i="58"/>
  <c r="F447" i="58"/>
  <c r="F422" i="58"/>
  <c r="F397" i="58"/>
  <c r="F371" i="58"/>
  <c r="F345" i="58"/>
  <c r="F319" i="58"/>
  <c r="F293" i="58"/>
  <c r="F267" i="58"/>
  <c r="F242" i="58"/>
  <c r="F216" i="58"/>
  <c r="F112" i="58"/>
  <c r="F86" i="58"/>
  <c r="F164" i="58"/>
  <c r="F190" i="58"/>
  <c r="F138" i="58"/>
  <c r="F60" i="58"/>
  <c r="F861" i="58"/>
  <c r="F886" i="58"/>
  <c r="F911" i="58"/>
  <c r="F936" i="58"/>
  <c r="F961" i="58"/>
  <c r="F986" i="58"/>
  <c r="F730" i="58"/>
  <c r="F705" i="58"/>
  <c r="F755" i="58"/>
  <c r="F780" i="58"/>
  <c r="F805" i="58"/>
  <c r="F830" i="58"/>
  <c r="F549" i="58"/>
  <c r="F574" i="58"/>
  <c r="F599" i="58"/>
  <c r="F624" i="58"/>
  <c r="F649" i="58"/>
  <c r="F674" i="58"/>
  <c r="F518" i="58"/>
  <c r="F493" i="58"/>
  <c r="F468" i="58"/>
  <c r="F443" i="58"/>
  <c r="F418" i="58"/>
  <c r="F392" i="58"/>
  <c r="F366" i="58"/>
  <c r="F340" i="58"/>
  <c r="F314" i="58"/>
  <c r="F288" i="58"/>
  <c r="F262" i="58"/>
  <c r="F237" i="58"/>
  <c r="F211" i="58"/>
  <c r="F133" i="58"/>
  <c r="F55" i="58"/>
  <c r="F107" i="58"/>
  <c r="F81" i="58"/>
  <c r="F185" i="58"/>
  <c r="F159" i="58"/>
  <c r="F851" i="58"/>
  <c r="F876" i="58"/>
  <c r="F901" i="58"/>
  <c r="F926" i="58"/>
  <c r="F951" i="58"/>
  <c r="F976" i="58"/>
  <c r="F695" i="58"/>
  <c r="F720" i="58"/>
  <c r="F745" i="58"/>
  <c r="F770" i="58"/>
  <c r="F795" i="58"/>
  <c r="F820" i="58"/>
  <c r="F539" i="58"/>
  <c r="F564" i="58"/>
  <c r="F589" i="58"/>
  <c r="F614" i="58"/>
  <c r="F639" i="58"/>
  <c r="F664" i="58"/>
  <c r="F508" i="58"/>
  <c r="F483" i="58"/>
  <c r="F458" i="58"/>
  <c r="F433" i="58"/>
  <c r="F408" i="58"/>
  <c r="F382" i="58"/>
  <c r="F356" i="58"/>
  <c r="F330" i="58"/>
  <c r="F304" i="58"/>
  <c r="F278" i="58"/>
  <c r="F252" i="58"/>
  <c r="F227" i="58"/>
  <c r="F149" i="58"/>
  <c r="F71" i="58"/>
  <c r="F123" i="58"/>
  <c r="F45" i="58"/>
  <c r="F201" i="58"/>
  <c r="F175" i="58"/>
  <c r="F97" i="58"/>
  <c r="F847" i="58"/>
  <c r="F872" i="58"/>
  <c r="F897" i="58"/>
  <c r="F922" i="58"/>
  <c r="F947" i="58"/>
  <c r="F972" i="58"/>
  <c r="F691" i="58"/>
  <c r="F716" i="58"/>
  <c r="F741" i="58"/>
  <c r="F766" i="58"/>
  <c r="F791" i="58"/>
  <c r="F816" i="58"/>
  <c r="F535" i="58"/>
  <c r="F560" i="58"/>
  <c r="F585" i="58"/>
  <c r="F610" i="58"/>
  <c r="F635" i="58"/>
  <c r="F660" i="58"/>
  <c r="F504" i="58"/>
  <c r="F479" i="58"/>
  <c r="F454" i="58"/>
  <c r="F429" i="58"/>
  <c r="F404" i="58"/>
  <c r="F378" i="58"/>
  <c r="F352" i="58"/>
  <c r="F326" i="58"/>
  <c r="F300" i="58"/>
  <c r="F274" i="58"/>
  <c r="F248" i="58"/>
  <c r="F223" i="58"/>
  <c r="F145" i="58"/>
  <c r="F67" i="58"/>
  <c r="F119" i="58"/>
  <c r="F41" i="58"/>
  <c r="F197" i="58"/>
  <c r="F171" i="58"/>
  <c r="F93" i="58"/>
  <c r="E966" i="58"/>
  <c r="C1067" i="11"/>
  <c r="D1067" i="11" s="1"/>
  <c r="C182" i="11"/>
  <c r="C18" i="58" s="1"/>
  <c r="D857" i="58"/>
  <c r="D882" i="58"/>
  <c r="D907" i="58"/>
  <c r="D932" i="58"/>
  <c r="D957" i="58"/>
  <c r="D982" i="58"/>
  <c r="D701" i="58"/>
  <c r="D726" i="58"/>
  <c r="D751" i="58"/>
  <c r="D776" i="58"/>
  <c r="D801" i="58"/>
  <c r="D826" i="58"/>
  <c r="D545" i="58"/>
  <c r="D570" i="58"/>
  <c r="D595" i="58"/>
  <c r="D620" i="58"/>
  <c r="D645" i="58"/>
  <c r="D670" i="58"/>
  <c r="D853" i="58"/>
  <c r="D878" i="58"/>
  <c r="D903" i="58"/>
  <c r="D928" i="58"/>
  <c r="D953" i="58"/>
  <c r="D697" i="58"/>
  <c r="D978" i="58"/>
  <c r="D722" i="58"/>
  <c r="D747" i="58"/>
  <c r="D772" i="58"/>
  <c r="D797" i="58"/>
  <c r="D822" i="58"/>
  <c r="D541" i="58"/>
  <c r="D566" i="58"/>
  <c r="D591" i="58"/>
  <c r="D616" i="58"/>
  <c r="D641" i="58"/>
  <c r="D666" i="58"/>
  <c r="D874" i="58"/>
  <c r="D899" i="58"/>
  <c r="D924" i="58"/>
  <c r="D949" i="58"/>
  <c r="D974" i="58"/>
  <c r="D693" i="58"/>
  <c r="D718" i="58"/>
  <c r="D743" i="58"/>
  <c r="D537" i="58"/>
  <c r="D768" i="58"/>
  <c r="D793" i="58"/>
  <c r="D818" i="58"/>
  <c r="D562" i="58"/>
  <c r="D587" i="58"/>
  <c r="D612" i="58"/>
  <c r="D637" i="58"/>
  <c r="D662" i="58"/>
  <c r="D658" i="58"/>
  <c r="B2007" i="11"/>
  <c r="AC120" i="57"/>
  <c r="AE182" i="57"/>
  <c r="AB120" i="57"/>
  <c r="AB182" i="57"/>
  <c r="AB184" i="57"/>
  <c r="AD121" i="57"/>
  <c r="AH121" i="57" s="1"/>
  <c r="X329" i="12" s="1"/>
  <c r="AB121" i="57"/>
  <c r="AF121" i="57" s="1"/>
  <c r="V329" i="12" s="1"/>
  <c r="AC121" i="57"/>
  <c r="AG121" i="57" s="1"/>
  <c r="W329" i="12" s="1"/>
  <c r="AC58" i="57"/>
  <c r="AD182" i="57"/>
  <c r="AC182" i="57"/>
  <c r="AB183" i="57"/>
  <c r="AF183" i="57" s="1"/>
  <c r="V381" i="12" s="1"/>
  <c r="AB185" i="57"/>
  <c r="AF185" i="57" s="1"/>
  <c r="V383" i="12" s="1"/>
  <c r="AB122" i="57"/>
  <c r="AF122" i="57" s="1"/>
  <c r="V330" i="12" s="1"/>
  <c r="AE120" i="57"/>
  <c r="AE183" i="57"/>
  <c r="AI183" i="57" s="1"/>
  <c r="Y381" i="12" s="1"/>
  <c r="AB58" i="57"/>
  <c r="AD120" i="57"/>
  <c r="AE58" i="57"/>
  <c r="AE184" i="57"/>
  <c r="AI184" i="57" s="1"/>
  <c r="Y382" i="12" s="1"/>
  <c r="AD58" i="57"/>
  <c r="AC183" i="57"/>
  <c r="AG183" i="57" s="1"/>
  <c r="W381" i="12" s="1"/>
  <c r="AD183" i="57"/>
  <c r="AH183" i="57" s="1"/>
  <c r="X381" i="12" s="1"/>
  <c r="AE122" i="57"/>
  <c r="AE59" i="57"/>
  <c r="AI59" i="57" s="1"/>
  <c r="Y277" i="12" s="1"/>
  <c r="AD184" i="57"/>
  <c r="AD60" i="57"/>
  <c r="AD59" i="57"/>
  <c r="AH59" i="57" s="1"/>
  <c r="X277" i="12" s="1"/>
  <c r="AC122" i="57"/>
  <c r="AG122" i="57" s="1"/>
  <c r="W330" i="12" s="1"/>
  <c r="AD185" i="57"/>
  <c r="AH185" i="57" s="1"/>
  <c r="X383" i="12" s="1"/>
  <c r="AE60" i="57"/>
  <c r="AD122" i="57"/>
  <c r="AC59" i="57"/>
  <c r="AG59" i="57" s="1"/>
  <c r="W277" i="12" s="1"/>
  <c r="AC184" i="57"/>
  <c r="AE185" i="57"/>
  <c r="AC185" i="57"/>
  <c r="AB59" i="57"/>
  <c r="AF59" i="57" s="1"/>
  <c r="V277" i="12" s="1"/>
  <c r="AE121" i="57"/>
  <c r="AI121" i="57" s="1"/>
  <c r="Y329" i="12" s="1"/>
  <c r="AC186" i="57"/>
  <c r="AB60" i="57"/>
  <c r="AC60" i="57"/>
  <c r="AG60" i="57" s="1"/>
  <c r="W278" i="12" s="1"/>
  <c r="AB186" i="57"/>
  <c r="AC123" i="57"/>
  <c r="AD123" i="57"/>
  <c r="AD186" i="57"/>
  <c r="AB123" i="57"/>
  <c r="AF123" i="57" s="1"/>
  <c r="V331" i="12" s="1"/>
  <c r="AE123" i="57"/>
  <c r="AI123" i="57" s="1"/>
  <c r="Y331" i="12" s="1"/>
  <c r="AE186" i="57"/>
  <c r="AD124" i="57"/>
  <c r="AE124" i="57"/>
  <c r="AE61" i="57"/>
  <c r="AI61" i="57" s="1"/>
  <c r="Y279" i="12" s="1"/>
  <c r="AC61" i="57"/>
  <c r="AB124" i="57"/>
  <c r="AC124" i="57"/>
  <c r="AG124" i="57" s="1"/>
  <c r="W332" i="12" s="1"/>
  <c r="AB61" i="57"/>
  <c r="AD61" i="57"/>
  <c r="AD62" i="57"/>
  <c r="AH62" i="57" s="1"/>
  <c r="X280" i="12" s="1"/>
  <c r="AB62" i="57"/>
  <c r="AE62" i="57"/>
  <c r="AI62" i="57" s="1"/>
  <c r="Y280" i="12" s="1"/>
  <c r="AC62" i="57"/>
  <c r="AG62" i="57" s="1"/>
  <c r="W280" i="12" s="1"/>
  <c r="AC69" i="57"/>
  <c r="AG69" i="57" s="1"/>
  <c r="W287" i="12" s="1"/>
  <c r="AE68" i="57"/>
  <c r="AB68" i="57"/>
  <c r="AC68" i="57"/>
  <c r="AC130" i="57"/>
  <c r="AC192" i="57"/>
  <c r="AE192" i="57"/>
  <c r="AE130" i="57"/>
  <c r="AD132" i="57"/>
  <c r="AD192" i="57"/>
  <c r="AB130" i="57"/>
  <c r="AD130" i="57"/>
  <c r="AB192" i="57"/>
  <c r="AD68" i="57"/>
  <c r="AD131" i="57"/>
  <c r="AH131" i="57" s="1"/>
  <c r="X339" i="12" s="1"/>
  <c r="AD69" i="57"/>
  <c r="AH69" i="57" s="1"/>
  <c r="X287" i="12" s="1"/>
  <c r="AE132" i="57"/>
  <c r="AC132" i="57"/>
  <c r="AB131" i="57"/>
  <c r="AF131" i="57" s="1"/>
  <c r="V339" i="12" s="1"/>
  <c r="AD193" i="57"/>
  <c r="AH193" i="57" s="1"/>
  <c r="X391" i="12" s="1"/>
  <c r="AE70" i="57"/>
  <c r="AB132" i="57"/>
  <c r="AB133" i="57"/>
  <c r="AC194" i="57"/>
  <c r="AE69" i="57"/>
  <c r="AI69" i="57" s="1"/>
  <c r="Y287" i="12" s="1"/>
  <c r="AC131" i="57"/>
  <c r="AG131" i="57" s="1"/>
  <c r="W339" i="12" s="1"/>
  <c r="AB69" i="57"/>
  <c r="AF69" i="57" s="1"/>
  <c r="V287" i="12" s="1"/>
  <c r="AE131" i="57"/>
  <c r="AI131" i="57" s="1"/>
  <c r="Y339" i="12" s="1"/>
  <c r="AE193" i="57"/>
  <c r="AI193" i="57" s="1"/>
  <c r="Y391" i="12" s="1"/>
  <c r="AB193" i="57"/>
  <c r="AF193" i="57" s="1"/>
  <c r="V391" i="12" s="1"/>
  <c r="AC193" i="57"/>
  <c r="AG193" i="57" s="1"/>
  <c r="W391" i="12" s="1"/>
  <c r="AB70" i="57"/>
  <c r="AD70" i="57"/>
  <c r="AH70" i="57" s="1"/>
  <c r="X288" i="12" s="1"/>
  <c r="AD133" i="57"/>
  <c r="AH133" i="57" s="1"/>
  <c r="X341" i="12" s="1"/>
  <c r="AB194" i="57"/>
  <c r="AC133" i="57"/>
  <c r="AC70" i="57"/>
  <c r="AD194" i="57"/>
  <c r="AH194" i="57" s="1"/>
  <c r="X392" i="12" s="1"/>
  <c r="AE133" i="57"/>
  <c r="AE194" i="57"/>
  <c r="AC71" i="57"/>
  <c r="AG71" i="57" s="1"/>
  <c r="W289" i="12" s="1"/>
  <c r="AD71" i="57"/>
  <c r="AH71" i="57" s="1"/>
  <c r="X289" i="12" s="1"/>
  <c r="AB134" i="57"/>
  <c r="AF134" i="57" s="1"/>
  <c r="V342" i="12" s="1"/>
  <c r="AD195" i="57"/>
  <c r="AB71" i="57"/>
  <c r="AD134" i="57"/>
  <c r="AE195" i="57"/>
  <c r="AI195" i="57" s="1"/>
  <c r="Y393" i="12" s="1"/>
  <c r="AC134" i="57"/>
  <c r="AG134" i="57" s="1"/>
  <c r="W342" i="12" s="1"/>
  <c r="AB195" i="57"/>
  <c r="AF195" i="57" s="1"/>
  <c r="V393" i="12" s="1"/>
  <c r="AE71" i="57"/>
  <c r="AI71" i="57" s="1"/>
  <c r="Y289" i="12" s="1"/>
  <c r="AE134" i="57"/>
  <c r="AI134" i="57" s="1"/>
  <c r="Y342" i="12" s="1"/>
  <c r="AC195" i="57"/>
  <c r="AB196" i="57"/>
  <c r="AC72" i="57"/>
  <c r="AC196" i="57"/>
  <c r="AB72" i="57"/>
  <c r="AD196" i="57"/>
  <c r="AH196" i="57" s="1"/>
  <c r="X394" i="12" s="1"/>
  <c r="AE196" i="57"/>
  <c r="AI196" i="57" s="1"/>
  <c r="Y394" i="12" s="1"/>
  <c r="AE72" i="57"/>
  <c r="AD72" i="57"/>
  <c r="H991" i="58"/>
  <c r="H835" i="58"/>
  <c r="H679" i="58"/>
  <c r="H940" i="58"/>
  <c r="H784" i="58"/>
  <c r="H628" i="58"/>
  <c r="H852" i="58"/>
  <c r="H696" i="58"/>
  <c r="H540" i="58"/>
  <c r="E293" i="58"/>
  <c r="E294" i="58" s="1"/>
  <c r="E267" i="58"/>
  <c r="E268" i="58" s="1"/>
  <c r="E522" i="58"/>
  <c r="E523" i="58" s="1"/>
  <c r="E319" i="58"/>
  <c r="E320" i="58" s="1"/>
  <c r="E510" i="58"/>
  <c r="E511" i="58" s="1"/>
  <c r="E512" i="58" s="1"/>
  <c r="E306" i="58"/>
  <c r="E307" i="58" s="1"/>
  <c r="E308" i="58" s="1"/>
  <c r="E254" i="58"/>
  <c r="E255" i="58" s="1"/>
  <c r="E256" i="58" s="1"/>
  <c r="E280" i="58"/>
  <c r="E281" i="58" s="1"/>
  <c r="E282" i="58" s="1"/>
  <c r="E503" i="58"/>
  <c r="E504" i="58" s="1"/>
  <c r="E505" i="58" s="1"/>
  <c r="E506" i="58" s="1"/>
  <c r="E299" i="58"/>
  <c r="E300" i="58" s="1"/>
  <c r="E301" i="58" s="1"/>
  <c r="E302" i="58" s="1"/>
  <c r="E248" i="58"/>
  <c r="E249" i="58" s="1"/>
  <c r="E250" i="58" s="1"/>
  <c r="E273" i="58"/>
  <c r="E274" i="58" s="1"/>
  <c r="E275" i="58" s="1"/>
  <c r="E276" i="58" s="1"/>
  <c r="E394" i="58"/>
  <c r="E395" i="58" s="1"/>
  <c r="E396" i="58" s="1"/>
  <c r="E238" i="58"/>
  <c r="E393" i="58"/>
  <c r="E239" i="58"/>
  <c r="E240" i="58" s="1"/>
  <c r="E241" i="58" s="1"/>
  <c r="E232" i="58"/>
  <c r="E233" i="58" s="1"/>
  <c r="E234" i="58" s="1"/>
  <c r="E235" i="58" s="1"/>
  <c r="E387" i="58"/>
  <c r="E388" i="58" s="1"/>
  <c r="E389" i="58" s="1"/>
  <c r="E390" i="58" s="1"/>
  <c r="E376" i="58"/>
  <c r="E221" i="58"/>
  <c r="E497" i="58"/>
  <c r="E498" i="58" s="1"/>
  <c r="E447" i="58"/>
  <c r="E448" i="58" s="1"/>
  <c r="E216" i="58"/>
  <c r="E217" i="58" s="1"/>
  <c r="E371" i="58"/>
  <c r="E372" i="58" s="1"/>
  <c r="E358" i="58"/>
  <c r="E359" i="58" s="1"/>
  <c r="E360" i="58" s="1"/>
  <c r="E203" i="58"/>
  <c r="E204" i="58" s="1"/>
  <c r="E205" i="58" s="1"/>
  <c r="E485" i="58"/>
  <c r="E486" i="58" s="1"/>
  <c r="E487" i="58" s="1"/>
  <c r="E435" i="58"/>
  <c r="E436" i="58" s="1"/>
  <c r="E437" i="58" s="1"/>
  <c r="E419" i="58"/>
  <c r="E420" i="58" s="1"/>
  <c r="E421" i="58" s="1"/>
  <c r="E187" i="58"/>
  <c r="E188" i="58" s="1"/>
  <c r="E189" i="58" s="1"/>
  <c r="E342" i="58"/>
  <c r="E343" i="58" s="1"/>
  <c r="E344" i="58" s="1"/>
  <c r="E186" i="58"/>
  <c r="E341" i="58"/>
  <c r="E469" i="58"/>
  <c r="E470" i="58" s="1"/>
  <c r="E471" i="58" s="1"/>
  <c r="C19" i="10"/>
  <c r="F168" i="12"/>
  <c r="F173" i="12" s="1"/>
  <c r="F178" i="12" s="1"/>
  <c r="F183" i="12" s="1"/>
  <c r="F188" i="12" s="1"/>
  <c r="E18" i="58"/>
  <c r="C920" i="11"/>
  <c r="C929" i="11"/>
  <c r="C930" i="11"/>
  <c r="D334" i="10"/>
  <c r="D295" i="10"/>
  <c r="E295" i="58"/>
  <c r="E524" i="58"/>
  <c r="E269" i="58"/>
  <c r="E321" i="58"/>
  <c r="E287" i="58"/>
  <c r="E517" i="58"/>
  <c r="E313" i="58"/>
  <c r="E261" i="58"/>
  <c r="E278" i="58"/>
  <c r="E508" i="58"/>
  <c r="E304" i="58"/>
  <c r="E252" i="58"/>
  <c r="E271" i="58"/>
  <c r="E297" i="58"/>
  <c r="E246" i="58"/>
  <c r="E501" i="58"/>
  <c r="E237" i="58"/>
  <c r="E392" i="58"/>
  <c r="E228" i="58"/>
  <c r="E383" i="58"/>
  <c r="E226" i="58"/>
  <c r="E381" i="58"/>
  <c r="E499" i="58"/>
  <c r="E218" i="58"/>
  <c r="E373" i="58"/>
  <c r="E449" i="58"/>
  <c r="E210" i="58"/>
  <c r="E365" i="58"/>
  <c r="E492" i="58"/>
  <c r="E442" i="58"/>
  <c r="E356" i="58"/>
  <c r="E433" i="58"/>
  <c r="E483" i="58"/>
  <c r="E201" i="58"/>
  <c r="E351" i="58"/>
  <c r="E352" i="58" s="1"/>
  <c r="E353" i="58" s="1"/>
  <c r="E354" i="58" s="1"/>
  <c r="E196" i="58"/>
  <c r="E197" i="58" s="1"/>
  <c r="E198" i="58" s="1"/>
  <c r="E199" i="58" s="1"/>
  <c r="E428" i="58"/>
  <c r="E429" i="58" s="1"/>
  <c r="E430" i="58" s="1"/>
  <c r="E431" i="58" s="1"/>
  <c r="E478" i="58"/>
  <c r="E479" i="58" s="1"/>
  <c r="E480" i="58" s="1"/>
  <c r="E481" i="58" s="1"/>
  <c r="E426" i="58"/>
  <c r="E476" i="58"/>
  <c r="E194" i="58"/>
  <c r="E349" i="58"/>
  <c r="E468" i="58"/>
  <c r="E185" i="58"/>
  <c r="E418" i="58"/>
  <c r="E340" i="58"/>
  <c r="E335" i="58"/>
  <c r="E336" i="58" s="1"/>
  <c r="E337" i="58" s="1"/>
  <c r="E338" i="58" s="1"/>
  <c r="E463" i="58"/>
  <c r="E464" i="58" s="1"/>
  <c r="E465" i="58" s="1"/>
  <c r="E466" i="58" s="1"/>
  <c r="E413" i="58"/>
  <c r="E414" i="58" s="1"/>
  <c r="E415" i="58" s="1"/>
  <c r="E416" i="58" s="1"/>
  <c r="E180" i="58"/>
  <c r="E181" i="58" s="1"/>
  <c r="E182" i="58" s="1"/>
  <c r="E183" i="58" s="1"/>
  <c r="E176" i="58"/>
  <c r="E459" i="58"/>
  <c r="E409" i="58"/>
  <c r="E331" i="58"/>
  <c r="E457" i="58"/>
  <c r="E407" i="58"/>
  <c r="E174" i="58"/>
  <c r="E329" i="58"/>
  <c r="E169" i="58"/>
  <c r="E402" i="58"/>
  <c r="E324" i="58"/>
  <c r="E452" i="58"/>
  <c r="C921" i="11"/>
  <c r="D325" i="10"/>
  <c r="D282" i="10"/>
  <c r="D271" i="10"/>
  <c r="E519" i="58"/>
  <c r="E520" i="58" s="1"/>
  <c r="E521" i="58" s="1"/>
  <c r="E315" i="58"/>
  <c r="E263" i="58"/>
  <c r="E316" i="58"/>
  <c r="E317" i="58" s="1"/>
  <c r="E318" i="58" s="1"/>
  <c r="E264" i="58"/>
  <c r="E265" i="58" s="1"/>
  <c r="E266" i="58" s="1"/>
  <c r="E290" i="58"/>
  <c r="E291" i="58" s="1"/>
  <c r="E292" i="58" s="1"/>
  <c r="E289" i="58"/>
  <c r="E518" i="58"/>
  <c r="E288" i="58"/>
  <c r="E314" i="58"/>
  <c r="E262" i="58"/>
  <c r="E257" i="58"/>
  <c r="E258" i="58" s="1"/>
  <c r="E259" i="58" s="1"/>
  <c r="E260" i="58" s="1"/>
  <c r="E283" i="58"/>
  <c r="E284" i="58" s="1"/>
  <c r="E285" i="58" s="1"/>
  <c r="E286" i="58" s="1"/>
  <c r="E513" i="58"/>
  <c r="E514" i="58" s="1"/>
  <c r="E515" i="58" s="1"/>
  <c r="E516" i="58" s="1"/>
  <c r="E309" i="58"/>
  <c r="E310" i="58" s="1"/>
  <c r="E311" i="58" s="1"/>
  <c r="E312" i="58" s="1"/>
  <c r="E305" i="58"/>
  <c r="E253" i="58"/>
  <c r="E509" i="58"/>
  <c r="E279" i="58"/>
  <c r="E277" i="58"/>
  <c r="E507" i="58"/>
  <c r="E251" i="58"/>
  <c r="E303" i="58"/>
  <c r="E247" i="58"/>
  <c r="E502" i="58"/>
  <c r="E272" i="58"/>
  <c r="E298" i="58"/>
  <c r="E244" i="58"/>
  <c r="E399" i="58"/>
  <c r="E397" i="58"/>
  <c r="E398" i="58" s="1"/>
  <c r="E242" i="58"/>
  <c r="E243" i="58" s="1"/>
  <c r="E391" i="58"/>
  <c r="E236" i="58"/>
  <c r="E384" i="58"/>
  <c r="E385" i="58" s="1"/>
  <c r="E386" i="58" s="1"/>
  <c r="E229" i="58"/>
  <c r="E230" i="58" s="1"/>
  <c r="E231" i="58" s="1"/>
  <c r="E382" i="58"/>
  <c r="E227" i="58"/>
  <c r="E222" i="58"/>
  <c r="E223" i="58" s="1"/>
  <c r="E224" i="58" s="1"/>
  <c r="E225" i="58" s="1"/>
  <c r="E377" i="58"/>
  <c r="E378" i="58" s="1"/>
  <c r="E379" i="58" s="1"/>
  <c r="E380" i="58" s="1"/>
  <c r="E375" i="58"/>
  <c r="E220" i="58"/>
  <c r="E367" i="58"/>
  <c r="E212" i="58"/>
  <c r="E494" i="58"/>
  <c r="E495" i="58" s="1"/>
  <c r="E496" i="58" s="1"/>
  <c r="E444" i="58"/>
  <c r="E445" i="58" s="1"/>
  <c r="E446" i="58" s="1"/>
  <c r="E213" i="58"/>
  <c r="E214" i="58" s="1"/>
  <c r="E215" i="58" s="1"/>
  <c r="E368" i="58"/>
  <c r="E369" i="58" s="1"/>
  <c r="E370" i="58" s="1"/>
  <c r="E443" i="58"/>
  <c r="E366" i="58"/>
  <c r="E493" i="58"/>
  <c r="E211" i="58"/>
  <c r="E488" i="58"/>
  <c r="E489" i="58" s="1"/>
  <c r="E490" i="58" s="1"/>
  <c r="E491" i="58" s="1"/>
  <c r="E206" i="58"/>
  <c r="E207" i="58" s="1"/>
  <c r="E208" i="58" s="1"/>
  <c r="E209" i="58" s="1"/>
  <c r="E361" i="58"/>
  <c r="E362" i="58" s="1"/>
  <c r="E363" i="58" s="1"/>
  <c r="E364" i="58" s="1"/>
  <c r="E438" i="58"/>
  <c r="E439" i="58" s="1"/>
  <c r="E440" i="58" s="1"/>
  <c r="E441" i="58" s="1"/>
  <c r="E434" i="58"/>
  <c r="E484" i="58"/>
  <c r="E202" i="58"/>
  <c r="E357" i="58"/>
  <c r="E482" i="58"/>
  <c r="E200" i="58"/>
  <c r="E355" i="58"/>
  <c r="E432" i="58"/>
  <c r="E427" i="58"/>
  <c r="E477" i="58"/>
  <c r="E195" i="58"/>
  <c r="E350" i="58"/>
  <c r="E474" i="58"/>
  <c r="E347" i="58"/>
  <c r="E424" i="58"/>
  <c r="E192" i="58"/>
  <c r="E345" i="58"/>
  <c r="E346" i="58" s="1"/>
  <c r="E190" i="58"/>
  <c r="E191" i="58" s="1"/>
  <c r="E472" i="58"/>
  <c r="E473" i="58" s="1"/>
  <c r="E422" i="58"/>
  <c r="E423" i="58" s="1"/>
  <c r="E467" i="58"/>
  <c r="E339" i="58"/>
  <c r="E184" i="58"/>
  <c r="E417" i="58"/>
  <c r="E410" i="58"/>
  <c r="E411" i="58" s="1"/>
  <c r="E412" i="58" s="1"/>
  <c r="E177" i="58"/>
  <c r="E178" i="58" s="1"/>
  <c r="E179" i="58" s="1"/>
  <c r="E332" i="58"/>
  <c r="E333" i="58" s="1"/>
  <c r="E334" i="58" s="1"/>
  <c r="E460" i="58"/>
  <c r="E461" i="58" s="1"/>
  <c r="E462" i="58" s="1"/>
  <c r="E458" i="58"/>
  <c r="E330" i="58"/>
  <c r="E175" i="58"/>
  <c r="E408" i="58"/>
  <c r="E403" i="58"/>
  <c r="E404" i="58" s="1"/>
  <c r="E405" i="58" s="1"/>
  <c r="E406" i="58" s="1"/>
  <c r="E325" i="58"/>
  <c r="E326" i="58" s="1"/>
  <c r="E327" i="58" s="1"/>
  <c r="E328" i="58" s="1"/>
  <c r="E453" i="58"/>
  <c r="E454" i="58" s="1"/>
  <c r="E455" i="58" s="1"/>
  <c r="E456" i="58" s="1"/>
  <c r="E170" i="58"/>
  <c r="E171" i="58" s="1"/>
  <c r="E172" i="58" s="1"/>
  <c r="E173" i="58" s="1"/>
  <c r="E451" i="58"/>
  <c r="E323" i="58"/>
  <c r="E168" i="58"/>
  <c r="E401" i="58"/>
  <c r="C17" i="58"/>
  <c r="D783" i="11"/>
  <c r="D995" i="11"/>
  <c r="C314" i="10"/>
  <c r="C271" i="10"/>
  <c r="C1086" i="11"/>
  <c r="D1086" i="11" s="1"/>
  <c r="C1243" i="11"/>
  <c r="D1243" i="11" s="1"/>
  <c r="B1243" i="11" s="1"/>
  <c r="C1239" i="11"/>
  <c r="D1239" i="11" s="1"/>
  <c r="B1239" i="11" s="1"/>
  <c r="C1082" i="11"/>
  <c r="D1082" i="11" s="1"/>
  <c r="C1232" i="11"/>
  <c r="D1232" i="11" s="1"/>
  <c r="B1232" i="11" s="1"/>
  <c r="C1206" i="11"/>
  <c r="D1206" i="11" s="1"/>
  <c r="B1206" i="11" s="1"/>
  <c r="C999" i="11"/>
  <c r="D999" i="11" s="1"/>
  <c r="C952" i="11"/>
  <c r="D1690" i="11"/>
  <c r="C1073" i="11"/>
  <c r="D1073" i="11" s="1"/>
  <c r="D1317" i="11"/>
  <c r="C279" i="10"/>
  <c r="C316" i="10"/>
  <c r="C290" i="10"/>
  <c r="C273" i="10"/>
  <c r="C282" i="10"/>
  <c r="C1071" i="11"/>
  <c r="D1071" i="11" s="1"/>
  <c r="C1045" i="11"/>
  <c r="D1045" i="11" s="1"/>
  <c r="C1202" i="11"/>
  <c r="D1202" i="11" s="1"/>
  <c r="B1202" i="11" s="1"/>
  <c r="C1034" i="11"/>
  <c r="C1154" i="11"/>
  <c r="C1113" i="11"/>
  <c r="D1113" i="11" s="1"/>
  <c r="C954" i="11"/>
  <c r="C1111" i="11"/>
  <c r="C1109" i="11"/>
  <c r="C943" i="11"/>
  <c r="D943" i="11" s="1"/>
  <c r="C1104" i="11"/>
  <c r="C1028" i="11"/>
  <c r="D1028" i="11" s="1"/>
  <c r="C1191" i="11"/>
  <c r="D1191" i="11" s="1"/>
  <c r="B1191" i="11" s="1"/>
  <c r="C1208" i="11"/>
  <c r="D1208" i="11" s="1"/>
  <c r="C1080" i="11"/>
  <c r="D1080" i="11" s="1"/>
  <c r="C1193" i="11"/>
  <c r="D1193" i="11" s="1"/>
  <c r="B1193" i="11" s="1"/>
  <c r="D1734" i="11"/>
  <c r="C344" i="10"/>
  <c r="C325" i="10"/>
  <c r="C284" i="10"/>
  <c r="C937" i="11"/>
  <c r="D937" i="11" s="1"/>
  <c r="C1148" i="11"/>
  <c r="D1148" i="11" s="1"/>
  <c r="C993" i="11"/>
  <c r="C956" i="11"/>
  <c r="D956" i="11" s="1"/>
  <c r="C1117" i="11"/>
  <c r="C1032" i="11"/>
  <c r="D1032" i="11" s="1"/>
  <c r="C1043" i="11"/>
  <c r="D1043" i="11" s="1"/>
  <c r="C1049" i="11"/>
  <c r="D1049" i="11" s="1"/>
  <c r="C1230" i="11"/>
  <c r="D1230" i="11" s="1"/>
  <c r="B1230" i="11" s="1"/>
  <c r="D1255" i="11"/>
  <c r="D1261" i="11"/>
  <c r="D1746" i="11"/>
  <c r="D1313" i="11"/>
  <c r="C1102" i="11"/>
  <c r="C1224" i="11"/>
  <c r="D1224" i="11" s="1"/>
  <c r="B1224" i="11" s="1"/>
  <c r="D1738" i="11"/>
  <c r="C2655" i="11"/>
  <c r="C650" i="11"/>
  <c r="C342" i="10"/>
  <c r="C2579" i="11"/>
  <c r="D642" i="11"/>
  <c r="D735" i="11"/>
  <c r="C336" i="10"/>
  <c r="C288" i="10"/>
  <c r="C277" i="10"/>
  <c r="C1220" i="11"/>
  <c r="C1063" i="11"/>
  <c r="C1218" i="11"/>
  <c r="C1061" i="11"/>
  <c r="C1203" i="11"/>
  <c r="D1203" i="11" s="1"/>
  <c r="B1203" i="11" s="1"/>
  <c r="C1216" i="11"/>
  <c r="C1059" i="11"/>
  <c r="C1057" i="11"/>
  <c r="C1214" i="11"/>
  <c r="C1212" i="11"/>
  <c r="C1055" i="11"/>
  <c r="C1210" i="11"/>
  <c r="C1053" i="11"/>
  <c r="C1024" i="11"/>
  <c r="D1024" i="11" s="1"/>
  <c r="C1181" i="11"/>
  <c r="C1179" i="11"/>
  <c r="C1022" i="11"/>
  <c r="D1022" i="11" s="1"/>
  <c r="C1020" i="11"/>
  <c r="D1020" i="11" s="1"/>
  <c r="C1177" i="11"/>
  <c r="C1175" i="11"/>
  <c r="C1018" i="11"/>
  <c r="C1016" i="11"/>
  <c r="D1016" i="11" s="1"/>
  <c r="C1173" i="11"/>
  <c r="C1171" i="11"/>
  <c r="C1014" i="11"/>
  <c r="C286" i="10"/>
  <c r="D2663" i="11"/>
  <c r="C1221" i="11"/>
  <c r="C1064" i="11"/>
  <c r="C1062" i="11"/>
  <c r="C1219" i="11"/>
  <c r="C1217" i="11"/>
  <c r="C1060" i="11"/>
  <c r="C1058" i="11"/>
  <c r="C1215" i="11"/>
  <c r="C1213" i="11"/>
  <c r="C1056" i="11"/>
  <c r="C1198" i="11"/>
  <c r="D1198" i="11" s="1"/>
  <c r="B1198" i="11" s="1"/>
  <c r="C1054" i="11"/>
  <c r="C1211" i="11"/>
  <c r="C1182" i="11"/>
  <c r="C1025" i="11"/>
  <c r="C1180" i="11"/>
  <c r="C1023" i="11"/>
  <c r="D1023" i="11" s="1"/>
  <c r="C1178" i="11"/>
  <c r="C1021" i="11"/>
  <c r="C1019" i="11"/>
  <c r="C1176" i="11"/>
  <c r="C1174" i="11"/>
  <c r="C1017" i="11"/>
  <c r="D1017" i="11" s="1"/>
  <c r="C1015" i="11"/>
  <c r="C1172" i="11"/>
  <c r="D2060" i="11"/>
  <c r="C2025" i="11"/>
  <c r="D2047" i="11"/>
  <c r="D1598" i="11"/>
  <c r="D1305" i="11"/>
  <c r="D1325" i="11"/>
  <c r="D1634" i="11"/>
  <c r="D1742" i="11"/>
  <c r="C2019" i="11"/>
  <c r="D1991" i="11"/>
  <c r="C1979" i="11"/>
  <c r="C1939" i="11"/>
  <c r="C1935" i="11"/>
  <c r="C1931" i="11"/>
  <c r="D2056" i="11"/>
  <c r="C2029" i="11"/>
  <c r="C2021" i="11"/>
  <c r="D1969" i="11"/>
  <c r="C1937" i="11"/>
  <c r="C1933" i="11"/>
  <c r="D1542" i="11"/>
  <c r="D1309" i="11"/>
  <c r="D1638" i="11"/>
  <c r="D2069" i="11"/>
  <c r="D2030" i="11"/>
  <c r="D1982" i="11"/>
  <c r="D1978" i="11"/>
  <c r="C1929" i="11"/>
  <c r="B819" i="11"/>
  <c r="D1755" i="11"/>
  <c r="D1630" i="11"/>
  <c r="D1686" i="11"/>
  <c r="D1781" i="11"/>
  <c r="D1663" i="11"/>
  <c r="D1691" i="11"/>
  <c r="D1643" i="11"/>
  <c r="D1719" i="11"/>
  <c r="D1431" i="11"/>
  <c r="D1427" i="11"/>
  <c r="D1423" i="11"/>
  <c r="D1419" i="11"/>
  <c r="D1415" i="11"/>
  <c r="D1411" i="11"/>
  <c r="D1407" i="11"/>
  <c r="D1392" i="11"/>
  <c r="D1388" i="11"/>
  <c r="D1384" i="11"/>
  <c r="D1340" i="11"/>
  <c r="D1336" i="11"/>
  <c r="D1332" i="11"/>
  <c r="D1328" i="11"/>
  <c r="D1308" i="11"/>
  <c r="D1430" i="11"/>
  <c r="D1426" i="11"/>
  <c r="D1422" i="11"/>
  <c r="D1418" i="11"/>
  <c r="D1414" i="11"/>
  <c r="D1410" i="11"/>
  <c r="D1391" i="11"/>
  <c r="D1387" i="11"/>
  <c r="D1383" i="11"/>
  <c r="D1339" i="11"/>
  <c r="D1335" i="11"/>
  <c r="D1331" i="11"/>
  <c r="D1429" i="11"/>
  <c r="D1425" i="11"/>
  <c r="D1421" i="11"/>
  <c r="D1417" i="11"/>
  <c r="D1413" i="11"/>
  <c r="D1409" i="11"/>
  <c r="D1386" i="11"/>
  <c r="D1338" i="11"/>
  <c r="D1334" i="11"/>
  <c r="D1330" i="11"/>
  <c r="D1428" i="11"/>
  <c r="D1424" i="11"/>
  <c r="D1420" i="11"/>
  <c r="D1416" i="11"/>
  <c r="D1412" i="11"/>
  <c r="D1408" i="11"/>
  <c r="D1389" i="11"/>
  <c r="D1381" i="11"/>
  <c r="D1337" i="11"/>
  <c r="D1333" i="11"/>
  <c r="D1329" i="11"/>
  <c r="D1352" i="11"/>
  <c r="D1348" i="11"/>
  <c r="D1344" i="11"/>
  <c r="D1347" i="11"/>
  <c r="D1343" i="11"/>
  <c r="D1350" i="11"/>
  <c r="D1346" i="11"/>
  <c r="D1342" i="11"/>
  <c r="D1353" i="11"/>
  <c r="D1349" i="11"/>
  <c r="D1345" i="11"/>
  <c r="D1327" i="11"/>
  <c r="D1323" i="11"/>
  <c r="D1319" i="11"/>
  <c r="D1315" i="11"/>
  <c r="D1321" i="11"/>
  <c r="D1312" i="11"/>
  <c r="D1304" i="11"/>
  <c r="D1311" i="11"/>
  <c r="D1307" i="11"/>
  <c r="D1303" i="11"/>
  <c r="D1314" i="11"/>
  <c r="D1310" i="11"/>
  <c r="D1306" i="11"/>
  <c r="D1302" i="11"/>
  <c r="D609" i="11"/>
  <c r="D634" i="11"/>
  <c r="C634" i="11"/>
  <c r="C609" i="11"/>
  <c r="D627" i="11"/>
  <c r="C602" i="11"/>
  <c r="D602" i="11"/>
  <c r="C627" i="11"/>
  <c r="C2633" i="11"/>
  <c r="D623" i="11"/>
  <c r="C623" i="11"/>
  <c r="C598" i="11"/>
  <c r="D598" i="11"/>
  <c r="D2597" i="11"/>
  <c r="D615" i="11"/>
  <c r="C615" i="11"/>
  <c r="D590" i="11"/>
  <c r="C590" i="11"/>
  <c r="D2711" i="11"/>
  <c r="C698" i="11"/>
  <c r="C1245" i="11"/>
  <c r="D1245" i="11" s="1"/>
  <c r="B1245" i="11" s="1"/>
  <c r="C1115" i="11"/>
  <c r="D1115" i="11" s="1"/>
  <c r="C1098" i="11"/>
  <c r="D1098" i="11" s="1"/>
  <c r="C657" i="11"/>
  <c r="C607" i="11"/>
  <c r="C632" i="11"/>
  <c r="D607" i="11"/>
  <c r="D632" i="11"/>
  <c r="C2685" i="11"/>
  <c r="C696" i="11"/>
  <c r="C621" i="11"/>
  <c r="D596" i="11"/>
  <c r="D621" i="11"/>
  <c r="C596" i="11"/>
  <c r="C671" i="11"/>
  <c r="C617" i="11"/>
  <c r="D592" i="11"/>
  <c r="D617" i="11"/>
  <c r="C592" i="11"/>
  <c r="D611" i="11"/>
  <c r="D586" i="11"/>
  <c r="C611" i="11"/>
  <c r="C586" i="11"/>
  <c r="D686" i="11"/>
  <c r="D1547" i="11"/>
  <c r="D605" i="11"/>
  <c r="D630" i="11"/>
  <c r="C605" i="11"/>
  <c r="C630" i="11"/>
  <c r="C2703" i="11"/>
  <c r="C625" i="11"/>
  <c r="D600" i="11"/>
  <c r="C600" i="11"/>
  <c r="D625" i="11"/>
  <c r="D725" i="11"/>
  <c r="D619" i="11"/>
  <c r="C594" i="11"/>
  <c r="D594" i="11"/>
  <c r="C619" i="11"/>
  <c r="C613" i="11"/>
  <c r="D588" i="11"/>
  <c r="D613" i="11"/>
  <c r="C588" i="11"/>
  <c r="D2623" i="11"/>
  <c r="C2597" i="11"/>
  <c r="C727" i="11"/>
  <c r="C2687" i="11"/>
  <c r="D2689" i="11"/>
  <c r="D1783" i="11"/>
  <c r="C989" i="11"/>
  <c r="C991" i="11"/>
  <c r="C1100" i="11"/>
  <c r="C945" i="11"/>
  <c r="C960" i="11"/>
  <c r="D960" i="11" s="1"/>
  <c r="C1156" i="11"/>
  <c r="D1156" i="11" s="1"/>
  <c r="C1038" i="11"/>
  <c r="C1200" i="11"/>
  <c r="D1200" i="11" s="1"/>
  <c r="B1200" i="11" s="1"/>
  <c r="C1204" i="11"/>
  <c r="D1204" i="11" s="1"/>
  <c r="B1204" i="11" s="1"/>
  <c r="C1226" i="11"/>
  <c r="D1226" i="11" s="1"/>
  <c r="B1226" i="11" s="1"/>
  <c r="C1234" i="11"/>
  <c r="D1234" i="11" s="1"/>
  <c r="B1234" i="11" s="1"/>
  <c r="D1251" i="11"/>
  <c r="D684" i="11"/>
  <c r="C747" i="11"/>
  <c r="C1150" i="11"/>
  <c r="C1189" i="11"/>
  <c r="D1189" i="11" s="1"/>
  <c r="B1189" i="11" s="1"/>
  <c r="C749" i="11"/>
  <c r="D636" i="11"/>
  <c r="C633" i="11"/>
  <c r="D608" i="11"/>
  <c r="D633" i="11"/>
  <c r="C608" i="11"/>
  <c r="D631" i="11"/>
  <c r="C606" i="11"/>
  <c r="C631" i="11"/>
  <c r="D606" i="11"/>
  <c r="C629" i="11"/>
  <c r="D604" i="11"/>
  <c r="D629" i="11"/>
  <c r="C604" i="11"/>
  <c r="C676" i="11"/>
  <c r="D601" i="11"/>
  <c r="D626" i="11"/>
  <c r="C626" i="11"/>
  <c r="C601" i="11"/>
  <c r="C599" i="11"/>
  <c r="D599" i="11"/>
  <c r="D624" i="11"/>
  <c r="C624" i="11"/>
  <c r="D672" i="11"/>
  <c r="D597" i="11"/>
  <c r="D622" i="11"/>
  <c r="C622" i="11"/>
  <c r="C597" i="11"/>
  <c r="C595" i="11"/>
  <c r="D595" i="11"/>
  <c r="D620" i="11"/>
  <c r="C620" i="11"/>
  <c r="D593" i="11"/>
  <c r="D618" i="11"/>
  <c r="C618" i="11"/>
  <c r="C593" i="11"/>
  <c r="C591" i="11"/>
  <c r="C616" i="11"/>
  <c r="D591" i="11"/>
  <c r="D616" i="11"/>
  <c r="D589" i="11"/>
  <c r="D614" i="11"/>
  <c r="C589" i="11"/>
  <c r="C614" i="11"/>
  <c r="D662" i="11"/>
  <c r="C587" i="11"/>
  <c r="D587" i="11"/>
  <c r="C612" i="11"/>
  <c r="D612" i="11"/>
  <c r="D2640" i="11"/>
  <c r="D585" i="11"/>
  <c r="D610" i="11"/>
  <c r="C610" i="11"/>
  <c r="C585" i="11"/>
  <c r="C38" i="58" s="1"/>
  <c r="D1599" i="11"/>
  <c r="D1647" i="11"/>
  <c r="D1751" i="11"/>
  <c r="D1727" i="11"/>
  <c r="D1771" i="11"/>
  <c r="D1731" i="11"/>
  <c r="D1399" i="11"/>
  <c r="D1395" i="11"/>
  <c r="D1390" i="11"/>
  <c r="D1382" i="11"/>
  <c r="D1603" i="11"/>
  <c r="D1683" i="11"/>
  <c r="D316" i="10"/>
  <c r="D1405" i="11"/>
  <c r="D1401" i="11"/>
  <c r="D1397" i="11"/>
  <c r="D1385" i="11"/>
  <c r="D1403" i="11"/>
  <c r="D693" i="11"/>
  <c r="D1779" i="11"/>
  <c r="C714" i="11"/>
  <c r="D1747" i="11"/>
  <c r="D1271" i="11"/>
  <c r="D1607" i="11"/>
  <c r="D1659" i="11"/>
  <c r="D1739" i="11"/>
  <c r="D342" i="10"/>
  <c r="D329" i="10"/>
  <c r="D290" i="10"/>
  <c r="D277" i="10"/>
  <c r="D1396" i="11"/>
  <c r="D1685" i="11"/>
  <c r="D1775" i="11"/>
  <c r="D928" i="11"/>
  <c r="D1723" i="11"/>
  <c r="D1611" i="11"/>
  <c r="D1655" i="11"/>
  <c r="D1682" i="11"/>
  <c r="D1687" i="11"/>
  <c r="D1735" i="11"/>
  <c r="D1743" i="11"/>
  <c r="C315" i="10"/>
  <c r="C289" i="10"/>
  <c r="C1074" i="11"/>
  <c r="D1074" i="11" s="1"/>
  <c r="C1231" i="11"/>
  <c r="D1231" i="11" s="1"/>
  <c r="B1231" i="11" s="1"/>
  <c r="C1068" i="11"/>
  <c r="D1068" i="11" s="1"/>
  <c r="C1225" i="11"/>
  <c r="D1225" i="11" s="1"/>
  <c r="B1225" i="11" s="1"/>
  <c r="C1046" i="11"/>
  <c r="D1046" i="11" s="1"/>
  <c r="C1037" i="11"/>
  <c r="D1037" i="11" s="1"/>
  <c r="C1194" i="11"/>
  <c r="D1194" i="11" s="1"/>
  <c r="B1194" i="11" s="1"/>
  <c r="C1029" i="11"/>
  <c r="D1029" i="11" s="1"/>
  <c r="C1186" i="11"/>
  <c r="C996" i="11"/>
  <c r="C944" i="11"/>
  <c r="D944" i="11" s="1"/>
  <c r="C957" i="11"/>
  <c r="D957" i="11" s="1"/>
  <c r="D1724" i="11"/>
  <c r="C291" i="10"/>
  <c r="C274" i="10"/>
  <c r="C287" i="10"/>
  <c r="C326" i="10"/>
  <c r="C296" i="10"/>
  <c r="C283" i="10"/>
  <c r="C1087" i="11"/>
  <c r="D1087" i="11" s="1"/>
  <c r="C1233" i="11"/>
  <c r="D1233" i="11" s="1"/>
  <c r="B1233" i="11" s="1"/>
  <c r="C1070" i="11"/>
  <c r="D1070" i="11" s="1"/>
  <c r="C1050" i="11"/>
  <c r="C1207" i="11"/>
  <c r="C1042" i="11"/>
  <c r="D1042" i="11" s="1"/>
  <c r="C1199" i="11"/>
  <c r="C1040" i="11"/>
  <c r="C1197" i="11"/>
  <c r="C1190" i="11"/>
  <c r="C1033" i="11"/>
  <c r="D1033" i="11" s="1"/>
  <c r="C959" i="11"/>
  <c r="C946" i="11"/>
  <c r="D946" i="11" s="1"/>
  <c r="C1155" i="11"/>
  <c r="C998" i="11"/>
  <c r="C1116" i="11"/>
  <c r="C942" i="11"/>
  <c r="D942" i="11" s="1"/>
  <c r="C1112" i="11"/>
  <c r="C955" i="11"/>
  <c r="D955" i="11" s="1"/>
  <c r="C994" i="11"/>
  <c r="C1151" i="11"/>
  <c r="C1097" i="11"/>
  <c r="D1097" i="11" s="1"/>
  <c r="C940" i="11"/>
  <c r="C992" i="11"/>
  <c r="C953" i="11"/>
  <c r="D953" i="11" s="1"/>
  <c r="D1780" i="11"/>
  <c r="D1648" i="11"/>
  <c r="D1640" i="11"/>
  <c r="C280" i="10"/>
  <c r="C272" i="10"/>
  <c r="C285" i="10"/>
  <c r="C324" i="10"/>
  <c r="C1089" i="11"/>
  <c r="D1089" i="11" s="1"/>
  <c r="C1246" i="11"/>
  <c r="D1246" i="11" s="1"/>
  <c r="B1246" i="11" s="1"/>
  <c r="C1085" i="11"/>
  <c r="D1085" i="11" s="1"/>
  <c r="C1238" i="11"/>
  <c r="D1238" i="11" s="1"/>
  <c r="B1238" i="11" s="1"/>
  <c r="C1072" i="11"/>
  <c r="D1072" i="11" s="1"/>
  <c r="C1229" i="11"/>
  <c r="D1229" i="11" s="1"/>
  <c r="B1229" i="11" s="1"/>
  <c r="C1223" i="11"/>
  <c r="D1223" i="11" s="1"/>
  <c r="B1223" i="11" s="1"/>
  <c r="C1066" i="11"/>
  <c r="D1066" i="11" s="1"/>
  <c r="C1044" i="11"/>
  <c r="D1044" i="11" s="1"/>
  <c r="C1035" i="11"/>
  <c r="C1027" i="11"/>
  <c r="D1027" i="11" s="1"/>
  <c r="C951" i="11"/>
  <c r="C990" i="11"/>
  <c r="C938" i="11"/>
  <c r="D938" i="11" s="1"/>
  <c r="C1147" i="11"/>
  <c r="C1108" i="11"/>
  <c r="D1108" i="11" s="1"/>
  <c r="C1095" i="11"/>
  <c r="C1205" i="11"/>
  <c r="D2583" i="11"/>
  <c r="C2637" i="11"/>
  <c r="C1261" i="11"/>
  <c r="C2607" i="11"/>
  <c r="D1030" i="11"/>
  <c r="C2663" i="11"/>
  <c r="C757" i="11"/>
  <c r="C659" i="11"/>
  <c r="C2711" i="11"/>
  <c r="C2591" i="11"/>
  <c r="D733" i="11"/>
  <c r="D2639" i="11"/>
  <c r="D2591" i="11"/>
  <c r="C2615" i="11"/>
  <c r="C709" i="11"/>
  <c r="C1274" i="11"/>
  <c r="D659" i="11"/>
  <c r="D709" i="11"/>
  <c r="D2687" i="11"/>
  <c r="D757" i="11"/>
  <c r="C2639" i="11"/>
  <c r="C733" i="11"/>
  <c r="C684" i="11"/>
  <c r="D2615" i="11"/>
  <c r="D2613" i="11"/>
  <c r="D657" i="11"/>
  <c r="C1272" i="11"/>
  <c r="C707" i="11"/>
  <c r="C2613" i="11"/>
  <c r="C2709" i="11"/>
  <c r="C755" i="11"/>
  <c r="D2661" i="11"/>
  <c r="D755" i="11"/>
  <c r="D707" i="11"/>
  <c r="C682" i="11"/>
  <c r="C2661" i="11"/>
  <c r="C731" i="11"/>
  <c r="C2589" i="11"/>
  <c r="D729" i="11"/>
  <c r="C753" i="11"/>
  <c r="C1270" i="11"/>
  <c r="D2635" i="11"/>
  <c r="C655" i="11"/>
  <c r="C2707" i="11"/>
  <c r="C2659" i="11"/>
  <c r="C2611" i="11"/>
  <c r="C705" i="11"/>
  <c r="D2705" i="11"/>
  <c r="D751" i="11"/>
  <c r="C2705" i="11"/>
  <c r="C2681" i="11"/>
  <c r="C2609" i="11"/>
  <c r="C2585" i="11"/>
  <c r="C702" i="11"/>
  <c r="C677" i="11"/>
  <c r="C1267" i="11"/>
  <c r="D2657" i="11"/>
  <c r="D702" i="11"/>
  <c r="C2657" i="11"/>
  <c r="D2609" i="11"/>
  <c r="D652" i="11"/>
  <c r="C751" i="11"/>
  <c r="C652" i="11"/>
  <c r="C700" i="11"/>
  <c r="D700" i="11"/>
  <c r="D2607" i="11"/>
  <c r="D2703" i="11"/>
  <c r="D650" i="11"/>
  <c r="D2631" i="11"/>
  <c r="D2679" i="11"/>
  <c r="D749" i="11"/>
  <c r="D2655" i="11"/>
  <c r="C1265" i="11"/>
  <c r="D675" i="11"/>
  <c r="D2581" i="11"/>
  <c r="C673" i="11"/>
  <c r="C2581" i="11"/>
  <c r="C2677" i="11"/>
  <c r="D2677" i="11"/>
  <c r="D673" i="11"/>
  <c r="C2605" i="11"/>
  <c r="C2653" i="11"/>
  <c r="C723" i="11"/>
  <c r="C2701" i="11"/>
  <c r="C1263" i="11"/>
  <c r="C648" i="11"/>
  <c r="C2629" i="11"/>
  <c r="D696" i="11"/>
  <c r="C2651" i="11"/>
  <c r="C745" i="11"/>
  <c r="C646" i="11"/>
  <c r="C2675" i="11"/>
  <c r="C2603" i="11"/>
  <c r="C721" i="11"/>
  <c r="C2699" i="11"/>
  <c r="C2627" i="11"/>
  <c r="D2651" i="11"/>
  <c r="D2603" i="11"/>
  <c r="D745" i="11"/>
  <c r="D646" i="11"/>
  <c r="D2625" i="11"/>
  <c r="C2697" i="11"/>
  <c r="C644" i="11"/>
  <c r="D719" i="11"/>
  <c r="C2649" i="11"/>
  <c r="C2601" i="11"/>
  <c r="C743" i="11"/>
  <c r="C694" i="11"/>
  <c r="C1259" i="11"/>
  <c r="C2695" i="11"/>
  <c r="C2623" i="11"/>
  <c r="C2599" i="11"/>
  <c r="C717" i="11"/>
  <c r="C692" i="11"/>
  <c r="C1257" i="11"/>
  <c r="C741" i="11"/>
  <c r="D667" i="11"/>
  <c r="D2575" i="11"/>
  <c r="D2671" i="11"/>
  <c r="C2671" i="11"/>
  <c r="C2575" i="11"/>
  <c r="C667" i="11"/>
  <c r="C642" i="11"/>
  <c r="D692" i="11"/>
  <c r="D741" i="11"/>
  <c r="C2647" i="11"/>
  <c r="D2599" i="11"/>
  <c r="D2647" i="11"/>
  <c r="D2695" i="11"/>
  <c r="D717" i="11"/>
  <c r="D2645" i="11"/>
  <c r="D640" i="11"/>
  <c r="D2693" i="11"/>
  <c r="D739" i="11"/>
  <c r="C640" i="11"/>
  <c r="C739" i="11"/>
  <c r="C2645" i="11"/>
  <c r="C665" i="11"/>
  <c r="C715" i="11"/>
  <c r="C2693" i="11"/>
  <c r="C1255" i="11"/>
  <c r="C2573" i="11"/>
  <c r="C2621" i="11"/>
  <c r="C690" i="11"/>
  <c r="C2669" i="11"/>
  <c r="D690" i="11"/>
  <c r="D2667" i="11"/>
  <c r="D663" i="11"/>
  <c r="C2643" i="11"/>
  <c r="C1253" i="11"/>
  <c r="D2571" i="11"/>
  <c r="C2691" i="11"/>
  <c r="C2595" i="11"/>
  <c r="C737" i="11"/>
  <c r="C688" i="11"/>
  <c r="C638" i="11"/>
  <c r="D2593" i="11"/>
  <c r="C2641" i="11"/>
  <c r="C735" i="11"/>
  <c r="C636" i="11"/>
  <c r="C2617" i="11"/>
  <c r="C686" i="11"/>
  <c r="C661" i="11"/>
  <c r="C711" i="11"/>
  <c r="C2665" i="11"/>
  <c r="C2569" i="11"/>
  <c r="C1251" i="11"/>
  <c r="C2689" i="11"/>
  <c r="C2593" i="11"/>
  <c r="D1262" i="11"/>
  <c r="D1260" i="11"/>
  <c r="D1256" i="11"/>
  <c r="D305" i="10"/>
  <c r="D279" i="10"/>
  <c r="D344" i="10"/>
  <c r="D331" i="10"/>
  <c r="D301" i="10"/>
  <c r="D340" i="10"/>
  <c r="D314" i="10"/>
  <c r="D273" i="10"/>
  <c r="D299" i="10"/>
  <c r="D312" i="10"/>
  <c r="D338" i="10"/>
  <c r="D297" i="10"/>
  <c r="D284" i="10"/>
  <c r="D323" i="10"/>
  <c r="D336" i="10"/>
  <c r="D327" i="10"/>
  <c r="D318" i="10"/>
  <c r="D1744" i="11"/>
  <c r="D1732" i="11"/>
  <c r="D1720" i="11"/>
  <c r="D1700" i="11"/>
  <c r="D1628" i="11"/>
  <c r="D1592" i="11"/>
  <c r="D1584" i="11"/>
  <c r="D1772" i="11"/>
  <c r="D1740" i="11"/>
  <c r="D1736" i="11"/>
  <c r="D1728" i="11"/>
  <c r="D1704" i="11"/>
  <c r="D1652" i="11"/>
  <c r="D1636" i="11"/>
  <c r="D1632" i="11"/>
  <c r="D1600" i="11"/>
  <c r="D1596" i="11"/>
  <c r="D1580" i="11"/>
  <c r="D1576" i="11"/>
  <c r="D1351" i="11"/>
  <c r="D1776" i="11"/>
  <c r="D1697" i="11"/>
  <c r="D1725" i="11"/>
  <c r="D1588" i="11"/>
  <c r="D1777" i="11"/>
  <c r="D1773" i="11"/>
  <c r="D1769" i="11"/>
  <c r="D1765" i="11"/>
  <c r="D1761" i="11"/>
  <c r="D1729" i="11"/>
  <c r="D1721" i="11"/>
  <c r="D1701" i="11"/>
  <c r="D1689" i="11"/>
  <c r="D1649" i="11"/>
  <c r="D1645" i="11"/>
  <c r="D1613" i="11"/>
  <c r="D1609" i="11"/>
  <c r="D1605" i="11"/>
  <c r="D1561" i="11"/>
  <c r="D1557" i="11"/>
  <c r="D1553" i="11"/>
  <c r="D1549" i="11"/>
  <c r="D1545" i="11"/>
  <c r="D1541" i="11"/>
  <c r="D1537" i="11"/>
  <c r="D1380" i="11"/>
  <c r="D1296" i="11"/>
  <c r="D1292" i="11"/>
  <c r="D1284" i="11"/>
  <c r="D1276" i="11"/>
  <c r="D919" i="11"/>
  <c r="D1107" i="11"/>
  <c r="D1767" i="11"/>
  <c r="D1752" i="11"/>
  <c r="D1737" i="11"/>
  <c r="D1695" i="11"/>
  <c r="D1665" i="11"/>
  <c r="D1646" i="11"/>
  <c r="D1589" i="11"/>
  <c r="D1578" i="11"/>
  <c r="D1544" i="11"/>
  <c r="D1294" i="11"/>
  <c r="D1279" i="11"/>
  <c r="C734" i="11"/>
  <c r="D2684" i="11"/>
  <c r="D808" i="11"/>
  <c r="D788" i="11"/>
  <c r="D2710" i="11"/>
  <c r="D2614" i="11"/>
  <c r="D708" i="11"/>
  <c r="C2710" i="11"/>
  <c r="C2614" i="11"/>
  <c r="C708" i="11"/>
  <c r="C1273" i="11"/>
  <c r="D2662" i="11"/>
  <c r="D756" i="11"/>
  <c r="D658" i="11"/>
  <c r="C2662" i="11"/>
  <c r="C756" i="11"/>
  <c r="C658" i="11"/>
  <c r="D2638" i="11"/>
  <c r="D732" i="11"/>
  <c r="C2638" i="11"/>
  <c r="C732" i="11"/>
  <c r="D683" i="11"/>
  <c r="D2590" i="11"/>
  <c r="C683" i="11"/>
  <c r="C2686" i="11"/>
  <c r="C2590" i="11"/>
  <c r="D2706" i="11"/>
  <c r="D2610" i="11"/>
  <c r="D704" i="11"/>
  <c r="C2706" i="11"/>
  <c r="C2610" i="11"/>
  <c r="C704" i="11"/>
  <c r="C1269" i="11"/>
  <c r="D2658" i="11"/>
  <c r="D752" i="11"/>
  <c r="D654" i="11"/>
  <c r="C2658" i="11"/>
  <c r="C752" i="11"/>
  <c r="C654" i="11"/>
  <c r="D2634" i="11"/>
  <c r="D679" i="11"/>
  <c r="C2586" i="11"/>
  <c r="D728" i="11"/>
  <c r="C2634" i="11"/>
  <c r="C2682" i="11"/>
  <c r="D2586" i="11"/>
  <c r="C679" i="11"/>
  <c r="D2682" i="11"/>
  <c r="D2700" i="11"/>
  <c r="D2604" i="11"/>
  <c r="D697" i="11"/>
  <c r="C2700" i="11"/>
  <c r="C2604" i="11"/>
  <c r="C697" i="11"/>
  <c r="C1262" i="11"/>
  <c r="D2652" i="11"/>
  <c r="D746" i="11"/>
  <c r="D647" i="11"/>
  <c r="C2652" i="11"/>
  <c r="C746" i="11"/>
  <c r="C647" i="11"/>
  <c r="D2628" i="11"/>
  <c r="D722" i="11"/>
  <c r="C2628" i="11"/>
  <c r="C722" i="11"/>
  <c r="D2580" i="11"/>
  <c r="C672" i="11"/>
  <c r="C2676" i="11"/>
  <c r="D2676" i="11"/>
  <c r="C2580" i="11"/>
  <c r="D2624" i="11"/>
  <c r="D718" i="11"/>
  <c r="C2624" i="11"/>
  <c r="C718" i="11"/>
  <c r="D2672" i="11"/>
  <c r="D2576" i="11"/>
  <c r="D668" i="11"/>
  <c r="C2672" i="11"/>
  <c r="C2576" i="11"/>
  <c r="C668" i="11"/>
  <c r="D2648" i="11"/>
  <c r="D742" i="11"/>
  <c r="D643" i="11"/>
  <c r="C2648" i="11"/>
  <c r="C742" i="11"/>
  <c r="C643" i="11"/>
  <c r="D2600" i="11"/>
  <c r="C693" i="11"/>
  <c r="C2696" i="11"/>
  <c r="D2696" i="11"/>
  <c r="C2600" i="11"/>
  <c r="D2618" i="11"/>
  <c r="D712" i="11"/>
  <c r="C2618" i="11"/>
  <c r="C712" i="11"/>
  <c r="D2642" i="11"/>
  <c r="D687" i="11"/>
  <c r="C2666" i="11"/>
  <c r="C736" i="11"/>
  <c r="C1252" i="11"/>
  <c r="D2690" i="11"/>
  <c r="D2570" i="11"/>
  <c r="D637" i="11"/>
  <c r="C2594" i="11"/>
  <c r="C662" i="11"/>
  <c r="D2666" i="11"/>
  <c r="D736" i="11"/>
  <c r="C2690" i="11"/>
  <c r="C2570" i="11"/>
  <c r="C637" i="11"/>
  <c r="D2594" i="11"/>
  <c r="C2642" i="11"/>
  <c r="C687" i="11"/>
  <c r="D1778" i="11"/>
  <c r="D1756" i="11"/>
  <c r="D1733" i="11"/>
  <c r="D1699" i="11"/>
  <c r="D1684" i="11"/>
  <c r="D1650" i="11"/>
  <c r="D1601" i="11"/>
  <c r="D1586" i="11"/>
  <c r="D1559" i="11"/>
  <c r="D1548" i="11"/>
  <c r="D1283" i="11"/>
  <c r="C1258" i="11"/>
  <c r="D2686" i="11"/>
  <c r="B792" i="11"/>
  <c r="D366" i="10"/>
  <c r="B812" i="11"/>
  <c r="D2708" i="11"/>
  <c r="D2612" i="11"/>
  <c r="D706" i="11"/>
  <c r="C2708" i="11"/>
  <c r="C2612" i="11"/>
  <c r="C706" i="11"/>
  <c r="C1271" i="11"/>
  <c r="D2660" i="11"/>
  <c r="D754" i="11"/>
  <c r="D656" i="11"/>
  <c r="C2660" i="11"/>
  <c r="C754" i="11"/>
  <c r="C656" i="11"/>
  <c r="D2636" i="11"/>
  <c r="D730" i="11"/>
  <c r="C2636" i="11"/>
  <c r="C730" i="11"/>
  <c r="C2684" i="11"/>
  <c r="D2588" i="11"/>
  <c r="C681" i="11"/>
  <c r="D681" i="11"/>
  <c r="D2704" i="11"/>
  <c r="D2608" i="11"/>
  <c r="D701" i="11"/>
  <c r="C2704" i="11"/>
  <c r="C2608" i="11"/>
  <c r="C701" i="11"/>
  <c r="C1266" i="11"/>
  <c r="D2656" i="11"/>
  <c r="D750" i="11"/>
  <c r="D651" i="11"/>
  <c r="C2656" i="11"/>
  <c r="C750" i="11"/>
  <c r="C651" i="11"/>
  <c r="D2632" i="11"/>
  <c r="D726" i="11"/>
  <c r="C2632" i="11"/>
  <c r="C726" i="11"/>
  <c r="D2680" i="11"/>
  <c r="C2584" i="11"/>
  <c r="D676" i="11"/>
  <c r="C2680" i="11"/>
  <c r="D2654" i="11"/>
  <c r="D748" i="11"/>
  <c r="D649" i="11"/>
  <c r="C2654" i="11"/>
  <c r="C748" i="11"/>
  <c r="C649" i="11"/>
  <c r="D2678" i="11"/>
  <c r="D724" i="11"/>
  <c r="C2702" i="11"/>
  <c r="C2582" i="11"/>
  <c r="D2702" i="11"/>
  <c r="D2582" i="11"/>
  <c r="C2606" i="11"/>
  <c r="C674" i="11"/>
  <c r="D699" i="11"/>
  <c r="C724" i="11"/>
  <c r="D2630" i="11"/>
  <c r="C2678" i="11"/>
  <c r="C1264" i="11"/>
  <c r="D2606" i="11"/>
  <c r="C2630" i="11"/>
  <c r="C699" i="11"/>
  <c r="D674" i="11"/>
  <c r="D2674" i="11"/>
  <c r="D2578" i="11"/>
  <c r="D670" i="11"/>
  <c r="C2674" i="11"/>
  <c r="C2578" i="11"/>
  <c r="C670" i="11"/>
  <c r="D2650" i="11"/>
  <c r="D720" i="11"/>
  <c r="C2698" i="11"/>
  <c r="C744" i="11"/>
  <c r="D2698" i="11"/>
  <c r="D744" i="11"/>
  <c r="C2602" i="11"/>
  <c r="C645" i="11"/>
  <c r="D695" i="11"/>
  <c r="C720" i="11"/>
  <c r="D2626" i="11"/>
  <c r="C2650" i="11"/>
  <c r="C1260" i="11"/>
  <c r="D2602" i="11"/>
  <c r="C2626" i="11"/>
  <c r="C695" i="11"/>
  <c r="D645" i="11"/>
  <c r="D2622" i="11"/>
  <c r="D716" i="11"/>
  <c r="C2622" i="11"/>
  <c r="C716" i="11"/>
  <c r="D2694" i="11"/>
  <c r="D2574" i="11"/>
  <c r="D641" i="11"/>
  <c r="C2598" i="11"/>
  <c r="C666" i="11"/>
  <c r="D2646" i="11"/>
  <c r="D691" i="11"/>
  <c r="C2670" i="11"/>
  <c r="C740" i="11"/>
  <c r="C1256" i="11"/>
  <c r="D2598" i="11"/>
  <c r="D666" i="11"/>
  <c r="C2646" i="11"/>
  <c r="C691" i="11"/>
  <c r="D740" i="11"/>
  <c r="C2574" i="11"/>
  <c r="D2670" i="11"/>
  <c r="C641" i="11"/>
  <c r="D2644" i="11"/>
  <c r="D738" i="11"/>
  <c r="D639" i="11"/>
  <c r="C2644" i="11"/>
  <c r="C738" i="11"/>
  <c r="C639" i="11"/>
  <c r="D2692" i="11"/>
  <c r="D2596" i="11"/>
  <c r="D689" i="11"/>
  <c r="C2692" i="11"/>
  <c r="C2596" i="11"/>
  <c r="C689" i="11"/>
  <c r="C1254" i="11"/>
  <c r="D2668" i="11"/>
  <c r="D2572" i="11"/>
  <c r="D664" i="11"/>
  <c r="C2668" i="11"/>
  <c r="C2572" i="11"/>
  <c r="C664" i="11"/>
  <c r="C2620" i="11"/>
  <c r="D714" i="11"/>
  <c r="D2664" i="11"/>
  <c r="D2568" i="11"/>
  <c r="D660" i="11"/>
  <c r="C2664" i="11"/>
  <c r="C2568" i="11"/>
  <c r="C660" i="11"/>
  <c r="D2616" i="11"/>
  <c r="D710" i="11"/>
  <c r="C2616" i="11"/>
  <c r="C710" i="11"/>
  <c r="D2688" i="11"/>
  <c r="D2592" i="11"/>
  <c r="D685" i="11"/>
  <c r="C2688" i="11"/>
  <c r="C2592" i="11"/>
  <c r="C685" i="11"/>
  <c r="C1250" i="11"/>
  <c r="C2640" i="11"/>
  <c r="D734" i="11"/>
  <c r="C635" i="11"/>
  <c r="D635" i="11"/>
  <c r="D1782" i="11"/>
  <c r="D1774" i="11"/>
  <c r="D1763" i="11"/>
  <c r="D1759" i="11"/>
  <c r="D1748" i="11"/>
  <c r="D1741" i="11"/>
  <c r="D1730" i="11"/>
  <c r="D1726" i="11"/>
  <c r="D1722" i="11"/>
  <c r="D1703" i="11"/>
  <c r="D1692" i="11"/>
  <c r="D1688" i="11"/>
  <c r="D1680" i="11"/>
  <c r="D1661" i="11"/>
  <c r="D1657" i="11"/>
  <c r="D1642" i="11"/>
  <c r="D1597" i="11"/>
  <c r="D1593" i="11"/>
  <c r="D1582" i="11"/>
  <c r="D1555" i="11"/>
  <c r="D1551" i="11"/>
  <c r="D1540" i="11"/>
  <c r="D1432" i="11"/>
  <c r="D1406" i="11"/>
  <c r="D1298" i="11"/>
  <c r="D1287" i="11"/>
  <c r="D927" i="11"/>
  <c r="D2620" i="11"/>
  <c r="C2588" i="11"/>
  <c r="C1093" i="11"/>
  <c r="D820" i="11"/>
  <c r="D293" i="10"/>
  <c r="D306" i="10"/>
  <c r="D345" i="10"/>
  <c r="D319" i="10"/>
  <c r="D332" i="10"/>
  <c r="D280" i="10"/>
  <c r="D317" i="10"/>
  <c r="D330" i="10"/>
  <c r="D278" i="10"/>
  <c r="D291" i="10"/>
  <c r="D343" i="10"/>
  <c r="D304" i="10"/>
  <c r="D276" i="10"/>
  <c r="D302" i="10"/>
  <c r="D315" i="10"/>
  <c r="D328" i="10"/>
  <c r="D341" i="10"/>
  <c r="D289" i="10"/>
  <c r="D313" i="10"/>
  <c r="D326" i="10"/>
  <c r="D339" i="10"/>
  <c r="D274" i="10"/>
  <c r="D287" i="10"/>
  <c r="D324" i="10"/>
  <c r="D298" i="10"/>
  <c r="D311" i="10"/>
  <c r="D337" i="10"/>
  <c r="D285" i="10"/>
  <c r="D309" i="10"/>
  <c r="D270" i="10"/>
  <c r="D322" i="10"/>
  <c r="D335" i="10"/>
  <c r="D283" i="10"/>
  <c r="D296" i="10"/>
  <c r="D281" i="10"/>
  <c r="D268" i="10"/>
  <c r="D294" i="10"/>
  <c r="D307" i="10"/>
  <c r="D320" i="10"/>
  <c r="D333" i="10"/>
  <c r="D370" i="10"/>
  <c r="D796" i="11" s="1"/>
  <c r="B816" i="11"/>
  <c r="B776" i="11"/>
  <c r="B785" i="11"/>
  <c r="B773" i="11"/>
  <c r="B782" i="11"/>
  <c r="D300" i="10"/>
  <c r="D2514" i="11"/>
  <c r="D2516" i="11"/>
  <c r="D2518" i="11"/>
  <c r="D2520" i="11"/>
  <c r="D2522" i="11"/>
  <c r="D2524" i="11"/>
  <c r="D2526" i="11"/>
  <c r="D1079" i="11"/>
  <c r="D2523" i="11"/>
  <c r="D2515" i="11"/>
  <c r="D351" i="10"/>
  <c r="D1273" i="11"/>
  <c r="D1266" i="11"/>
  <c r="D2525" i="11"/>
  <c r="D2517" i="11"/>
  <c r="D2501" i="11"/>
  <c r="D2503" i="11"/>
  <c r="D2505" i="11"/>
  <c r="D2507" i="11"/>
  <c r="D2509" i="11"/>
  <c r="D2511" i="11"/>
  <c r="D2488" i="11"/>
  <c r="D2490" i="11"/>
  <c r="D2492" i="11"/>
  <c r="D2494" i="11"/>
  <c r="D2496" i="11"/>
  <c r="D2498" i="11"/>
  <c r="D2500" i="11"/>
  <c r="D2397" i="11"/>
  <c r="D2399" i="11"/>
  <c r="D2401" i="11"/>
  <c r="D2403" i="11"/>
  <c r="D2405" i="11"/>
  <c r="D2407" i="11"/>
  <c r="D2409" i="11"/>
  <c r="D2293" i="11"/>
  <c r="D2295" i="11"/>
  <c r="D2297" i="11"/>
  <c r="D2299" i="11"/>
  <c r="D2301" i="11"/>
  <c r="D2303" i="11"/>
  <c r="D2305" i="11"/>
  <c r="D2189" i="11"/>
  <c r="D2191" i="11"/>
  <c r="D2193" i="11"/>
  <c r="D2195" i="11"/>
  <c r="D2197" i="11"/>
  <c r="D2199" i="11"/>
  <c r="D2201" i="11"/>
  <c r="C1114" i="11"/>
  <c r="C1201" i="11"/>
  <c r="D2543" i="11"/>
  <c r="C343" i="10"/>
  <c r="C337" i="10"/>
  <c r="C335" i="10"/>
  <c r="D2510" i="11"/>
  <c r="D2502" i="11"/>
  <c r="D2497" i="11"/>
  <c r="D2489" i="11"/>
  <c r="D2406" i="11"/>
  <c r="D2398" i="11"/>
  <c r="D2302" i="11"/>
  <c r="D2294" i="11"/>
  <c r="D2198" i="11"/>
  <c r="D2190" i="11"/>
  <c r="C1149" i="11"/>
  <c r="C1236" i="11"/>
  <c r="C278" i="10"/>
  <c r="C276" i="10"/>
  <c r="C270" i="10"/>
  <c r="C268" i="10"/>
  <c r="D2539" i="11"/>
  <c r="D2537" i="11"/>
  <c r="D2535" i="11"/>
  <c r="D2533" i="11"/>
  <c r="D2531" i="11"/>
  <c r="D2529" i="11"/>
  <c r="D2527" i="11"/>
  <c r="D2512" i="11"/>
  <c r="D2504" i="11"/>
  <c r="D2499" i="11"/>
  <c r="D2491" i="11"/>
  <c r="D2449" i="11"/>
  <c r="D2451" i="11"/>
  <c r="D2453" i="11"/>
  <c r="D2455" i="11"/>
  <c r="D2457" i="11"/>
  <c r="D2459" i="11"/>
  <c r="D2461" i="11"/>
  <c r="D2436" i="11"/>
  <c r="D2438" i="11"/>
  <c r="D2440" i="11"/>
  <c r="D2442" i="11"/>
  <c r="D2444" i="11"/>
  <c r="D2446" i="11"/>
  <c r="D2448" i="11"/>
  <c r="D2408" i="11"/>
  <c r="D2400" i="11"/>
  <c r="D2345" i="11"/>
  <c r="D2347" i="11"/>
  <c r="D2349" i="11"/>
  <c r="D2351" i="11"/>
  <c r="D2353" i="11"/>
  <c r="D2355" i="11"/>
  <c r="D2357" i="11"/>
  <c r="D2304" i="11"/>
  <c r="D2296" i="11"/>
  <c r="D2241" i="11"/>
  <c r="D2243" i="11"/>
  <c r="D2245" i="11"/>
  <c r="D2247" i="11"/>
  <c r="D2249" i="11"/>
  <c r="D2251" i="11"/>
  <c r="D2253" i="11"/>
  <c r="D2200" i="11"/>
  <c r="D2192" i="11"/>
  <c r="D2396" i="11"/>
  <c r="D2394" i="11"/>
  <c r="D2392" i="11"/>
  <c r="D2390" i="11"/>
  <c r="D2388" i="11"/>
  <c r="D2386" i="11"/>
  <c r="D2384" i="11"/>
  <c r="D2344" i="11"/>
  <c r="D2342" i="11"/>
  <c r="D2340" i="11"/>
  <c r="D2338" i="11"/>
  <c r="D2336" i="11"/>
  <c r="D2334" i="11"/>
  <c r="D2332" i="11"/>
  <c r="D2292" i="11"/>
  <c r="D2290" i="11"/>
  <c r="D2288" i="11"/>
  <c r="D2286" i="11"/>
  <c r="D2284" i="11"/>
  <c r="D2282" i="11"/>
  <c r="D2280" i="11"/>
  <c r="D2240" i="11"/>
  <c r="D2238" i="11"/>
  <c r="D2236" i="11"/>
  <c r="D2234" i="11"/>
  <c r="D2232" i="11"/>
  <c r="D2230" i="11"/>
  <c r="D2228" i="11"/>
  <c r="D2188" i="11"/>
  <c r="D2186" i="11"/>
  <c r="D2184" i="11"/>
  <c r="D2182" i="11"/>
  <c r="D2180" i="11"/>
  <c r="D2178" i="11"/>
  <c r="D2176" i="11"/>
  <c r="T37" i="50"/>
  <c r="T33" i="50"/>
  <c r="T38" i="50"/>
  <c r="T36" i="50"/>
  <c r="T34" i="50"/>
  <c r="T32" i="50"/>
  <c r="T30" i="50"/>
  <c r="D380" i="10"/>
  <c r="D373" i="10"/>
  <c r="D372" i="10"/>
  <c r="D369" i="10"/>
  <c r="D368" i="10"/>
  <c r="D365" i="10"/>
  <c r="D364" i="10"/>
  <c r="D358" i="10"/>
  <c r="D355" i="10"/>
  <c r="D354" i="10"/>
  <c r="D348" i="10"/>
  <c r="D347" i="10"/>
  <c r="C320" i="10"/>
  <c r="C311" i="10"/>
  <c r="C310" i="10"/>
  <c r="C309" i="10"/>
  <c r="C308" i="10"/>
  <c r="C303" i="10"/>
  <c r="C302" i="10"/>
  <c r="C301" i="10"/>
  <c r="C300" i="10"/>
  <c r="G42" i="51"/>
  <c r="I57" i="51"/>
  <c r="F42" i="51"/>
  <c r="F57" i="51"/>
  <c r="E42" i="51"/>
  <c r="G57" i="51"/>
  <c r="H42" i="51"/>
  <c r="H57" i="51"/>
  <c r="C42" i="51"/>
  <c r="E57" i="51"/>
  <c r="B42" i="51"/>
  <c r="B57" i="51"/>
  <c r="C57" i="51"/>
  <c r="I42" i="51"/>
  <c r="D42" i="51"/>
  <c r="D57" i="51"/>
  <c r="H498" i="58"/>
  <c r="J10" i="52"/>
  <c r="J9" i="52"/>
  <c r="J13" i="52"/>
  <c r="J12" i="52"/>
  <c r="J7" i="52"/>
  <c r="J19" i="52" s="1"/>
  <c r="J27" i="52" s="1"/>
  <c r="J11" i="52"/>
  <c r="J8" i="52"/>
  <c r="J14" i="52"/>
  <c r="H936" i="25"/>
  <c r="H953" i="25"/>
  <c r="H10" i="25"/>
  <c r="H27" i="25"/>
  <c r="H269" i="25"/>
  <c r="H286" i="25"/>
  <c r="H307" i="25"/>
  <c r="H324" i="25"/>
  <c r="H417" i="25"/>
  <c r="H434" i="25"/>
  <c r="H455" i="25"/>
  <c r="H472" i="25"/>
  <c r="H565" i="25"/>
  <c r="H582" i="25"/>
  <c r="H640" i="25"/>
  <c r="H657" i="25"/>
  <c r="H713" i="25"/>
  <c r="H730" i="25"/>
  <c r="H788" i="25"/>
  <c r="H805" i="25"/>
  <c r="H861" i="25"/>
  <c r="H878" i="25"/>
  <c r="H972" i="25"/>
  <c r="H989" i="25"/>
  <c r="H1010" i="25"/>
  <c r="H1027" i="25"/>
  <c r="H1120" i="25"/>
  <c r="H1137" i="25"/>
  <c r="H343" i="25"/>
  <c r="H360" i="25"/>
  <c r="H380" i="25"/>
  <c r="H397" i="25"/>
  <c r="H602" i="25"/>
  <c r="H619" i="25"/>
  <c r="H676" i="25"/>
  <c r="H693" i="25"/>
  <c r="H750" i="25"/>
  <c r="H767" i="25"/>
  <c r="H824" i="25"/>
  <c r="H841" i="25"/>
  <c r="H898" i="25"/>
  <c r="H915" i="25"/>
  <c r="H1046" i="25"/>
  <c r="H1063" i="25"/>
  <c r="H1083" i="25"/>
  <c r="H1100" i="25"/>
  <c r="H197" i="25"/>
  <c r="H214" i="25"/>
  <c r="H232" i="25"/>
  <c r="H249" i="25"/>
  <c r="H491" i="25"/>
  <c r="H508" i="25"/>
  <c r="H528" i="25"/>
  <c r="H545" i="25"/>
  <c r="D379" i="10"/>
  <c r="D371" i="10"/>
  <c r="D367" i="10"/>
  <c r="D363" i="10"/>
  <c r="D357" i="10"/>
  <c r="D353" i="10"/>
  <c r="C319" i="10"/>
  <c r="C318" i="10"/>
  <c r="C317" i="10"/>
  <c r="C294" i="10"/>
  <c r="C293" i="10"/>
  <c r="C292" i="10"/>
  <c r="D950" i="11"/>
  <c r="D2699" i="11"/>
  <c r="D2709" i="11"/>
  <c r="I523" i="58"/>
  <c r="K678" i="58"/>
  <c r="I786" i="58"/>
  <c r="AD127" i="26"/>
  <c r="Z131" i="26"/>
  <c r="AD131" i="26" s="1"/>
  <c r="Z130" i="26"/>
  <c r="AD130" i="26" s="1"/>
  <c r="Z129" i="26"/>
  <c r="AD129" i="26" s="1"/>
  <c r="Z128" i="26"/>
  <c r="AD128" i="26" s="1"/>
  <c r="AH128" i="26" s="1"/>
  <c r="AD117" i="26"/>
  <c r="Z121" i="26"/>
  <c r="AD121" i="26" s="1"/>
  <c r="Z120" i="26"/>
  <c r="AD120" i="26" s="1"/>
  <c r="AH120" i="26" s="1"/>
  <c r="Z119" i="26"/>
  <c r="AD119" i="26" s="1"/>
  <c r="Z118" i="26"/>
  <c r="AD118" i="26" s="1"/>
  <c r="AH118" i="26" s="1"/>
  <c r="AB127" i="26"/>
  <c r="X131" i="26"/>
  <c r="AB131" i="26" s="1"/>
  <c r="X130" i="26"/>
  <c r="AB130" i="26" s="1"/>
  <c r="AF130" i="26" s="1"/>
  <c r="Y149" i="12" s="1"/>
  <c r="X129" i="26"/>
  <c r="AB129" i="26" s="1"/>
  <c r="X128" i="26"/>
  <c r="AB128" i="26" s="1"/>
  <c r="AF128" i="26" s="1"/>
  <c r="Y147" i="12" s="1"/>
  <c r="G141" i="26"/>
  <c r="G140" i="26"/>
  <c r="G139" i="26"/>
  <c r="K139" i="26" s="1"/>
  <c r="G138" i="26"/>
  <c r="G131" i="26"/>
  <c r="G130" i="26"/>
  <c r="G129" i="26"/>
  <c r="G128" i="26"/>
  <c r="G121" i="26"/>
  <c r="G120" i="26"/>
  <c r="G119" i="26"/>
  <c r="K119" i="26" s="1"/>
  <c r="G118" i="26"/>
  <c r="J110" i="26"/>
  <c r="J109" i="26"/>
  <c r="J108" i="26"/>
  <c r="J107" i="26"/>
  <c r="AC106" i="26"/>
  <c r="Y110" i="26"/>
  <c r="AC110" i="26" s="1"/>
  <c r="Y109" i="26"/>
  <c r="AC109" i="26" s="1"/>
  <c r="Y108" i="26"/>
  <c r="AC108" i="26" s="1"/>
  <c r="Y107" i="26"/>
  <c r="AC107" i="26" s="1"/>
  <c r="AG107" i="26" s="1"/>
  <c r="I95" i="26"/>
  <c r="I94" i="26"/>
  <c r="I93" i="26"/>
  <c r="I92" i="26"/>
  <c r="AB106" i="26"/>
  <c r="X110" i="26"/>
  <c r="AB110" i="26" s="1"/>
  <c r="X109" i="26"/>
  <c r="AB109" i="26" s="1"/>
  <c r="X108" i="26"/>
  <c r="AB108" i="26" s="1"/>
  <c r="X107" i="26"/>
  <c r="AB107" i="26" s="1"/>
  <c r="AF107" i="26" s="1"/>
  <c r="Y126" i="12" s="1"/>
  <c r="AB96" i="26"/>
  <c r="X100" i="26"/>
  <c r="AB100" i="26" s="1"/>
  <c r="X99" i="26"/>
  <c r="AB99" i="26" s="1"/>
  <c r="AF99" i="26" s="1"/>
  <c r="Y118" i="12" s="1"/>
  <c r="X98" i="26"/>
  <c r="AB98" i="26" s="1"/>
  <c r="X97" i="26"/>
  <c r="AB97" i="26" s="1"/>
  <c r="AF97" i="26" s="1"/>
  <c r="Y116" i="12" s="1"/>
  <c r="AA106" i="26"/>
  <c r="W110" i="26"/>
  <c r="AA110" i="26" s="1"/>
  <c r="W109" i="26"/>
  <c r="AA109" i="26" s="1"/>
  <c r="AE109" i="26" s="1"/>
  <c r="X128" i="12" s="1"/>
  <c r="W108" i="26"/>
  <c r="AA108" i="26" s="1"/>
  <c r="W107" i="26"/>
  <c r="AA107" i="26" s="1"/>
  <c r="AE107" i="26" s="1"/>
  <c r="X126" i="12" s="1"/>
  <c r="AD85" i="26"/>
  <c r="Z89" i="26"/>
  <c r="AD89" i="26" s="1"/>
  <c r="Z88" i="26"/>
  <c r="AD88" i="26" s="1"/>
  <c r="Z87" i="26"/>
  <c r="AD87" i="26" s="1"/>
  <c r="Z86" i="26"/>
  <c r="AD86" i="26" s="1"/>
  <c r="AH86" i="26" s="1"/>
  <c r="J74" i="26"/>
  <c r="J73" i="26"/>
  <c r="J72" i="26"/>
  <c r="J71" i="26"/>
  <c r="I89" i="26"/>
  <c r="I88" i="26"/>
  <c r="I87" i="26"/>
  <c r="I86" i="26"/>
  <c r="I79" i="26"/>
  <c r="I78" i="26"/>
  <c r="I77" i="26"/>
  <c r="I76" i="26"/>
  <c r="I69" i="26"/>
  <c r="I68" i="26"/>
  <c r="I67" i="26"/>
  <c r="I66" i="26"/>
  <c r="G79" i="26"/>
  <c r="G78" i="26"/>
  <c r="G77" i="26"/>
  <c r="K77" i="26" s="1"/>
  <c r="G76" i="26"/>
  <c r="AD44" i="26"/>
  <c r="Z48" i="26"/>
  <c r="AD48" i="26" s="1"/>
  <c r="Z47" i="26"/>
  <c r="AD47" i="26" s="1"/>
  <c r="Z46" i="26"/>
  <c r="AD46" i="26" s="1"/>
  <c r="Z45" i="26"/>
  <c r="AD45" i="26" s="1"/>
  <c r="AH45" i="26" s="1"/>
  <c r="AB49" i="26"/>
  <c r="X53" i="26"/>
  <c r="AB53" i="26" s="1"/>
  <c r="X52" i="26"/>
  <c r="AB52" i="26" s="1"/>
  <c r="AF52" i="26" s="1"/>
  <c r="Y71" i="12" s="1"/>
  <c r="X51" i="26"/>
  <c r="AB51" i="26" s="1"/>
  <c r="X50" i="26"/>
  <c r="AB50" i="26" s="1"/>
  <c r="AF50" i="26" s="1"/>
  <c r="Y69" i="12" s="1"/>
  <c r="AA39" i="26"/>
  <c r="W43" i="26"/>
  <c r="AA43" i="26" s="1"/>
  <c r="W42" i="26"/>
  <c r="AA42" i="26" s="1"/>
  <c r="AE42" i="26" s="1"/>
  <c r="X61" i="12" s="1"/>
  <c r="W41" i="26"/>
  <c r="AA41" i="26" s="1"/>
  <c r="W40" i="26"/>
  <c r="AA40" i="26" s="1"/>
  <c r="AE40" i="26" s="1"/>
  <c r="X59" i="12" s="1"/>
  <c r="J27" i="26"/>
  <c r="J26" i="26"/>
  <c r="J25" i="26"/>
  <c r="J24" i="26"/>
  <c r="I37" i="26"/>
  <c r="I36" i="26"/>
  <c r="I35" i="26"/>
  <c r="I34" i="26"/>
  <c r="H37" i="26"/>
  <c r="H36" i="26"/>
  <c r="H35" i="26"/>
  <c r="H34" i="26"/>
  <c r="H22" i="26"/>
  <c r="H21" i="26"/>
  <c r="H20" i="26"/>
  <c r="H19" i="26"/>
  <c r="AB137" i="26"/>
  <c r="X141" i="26"/>
  <c r="AB141" i="26" s="1"/>
  <c r="X140" i="26"/>
  <c r="AB140" i="26" s="1"/>
  <c r="X139" i="26"/>
  <c r="AB139" i="26" s="1"/>
  <c r="X138" i="26"/>
  <c r="AB138" i="26" s="1"/>
  <c r="AF138" i="26" s="1"/>
  <c r="Y157" i="12" s="1"/>
  <c r="AD132" i="26"/>
  <c r="Z136" i="26"/>
  <c r="AD136" i="26" s="1"/>
  <c r="Z135" i="26"/>
  <c r="AD135" i="26" s="1"/>
  <c r="Z134" i="26"/>
  <c r="AD134" i="26" s="1"/>
  <c r="Z133" i="26"/>
  <c r="AD133" i="26" s="1"/>
  <c r="AH133" i="26" s="1"/>
  <c r="AD122" i="26"/>
  <c r="Z126" i="26"/>
  <c r="AD126" i="26" s="1"/>
  <c r="Z125" i="26"/>
  <c r="AD125" i="26" s="1"/>
  <c r="Z124" i="26"/>
  <c r="AD124" i="26" s="1"/>
  <c r="Z123" i="26"/>
  <c r="AD123" i="26" s="1"/>
  <c r="AH123" i="26" s="1"/>
  <c r="AC132" i="26"/>
  <c r="Y136" i="26"/>
  <c r="AC136" i="26" s="1"/>
  <c r="Y135" i="26"/>
  <c r="AC135" i="26" s="1"/>
  <c r="Y134" i="26"/>
  <c r="AC134" i="26" s="1"/>
  <c r="Y133" i="26"/>
  <c r="AC133" i="26" s="1"/>
  <c r="AG133" i="26" s="1"/>
  <c r="AB117" i="26"/>
  <c r="X121" i="26"/>
  <c r="AB121" i="26" s="1"/>
  <c r="X120" i="26"/>
  <c r="AB120" i="26" s="1"/>
  <c r="X119" i="26"/>
  <c r="AB119" i="26" s="1"/>
  <c r="X118" i="26"/>
  <c r="AB118" i="26" s="1"/>
  <c r="AF118" i="26" s="1"/>
  <c r="Y137" i="12" s="1"/>
  <c r="G136" i="26"/>
  <c r="G135" i="26"/>
  <c r="G134" i="26"/>
  <c r="K134" i="26" s="1"/>
  <c r="G133" i="26"/>
  <c r="G126" i="26"/>
  <c r="G125" i="26"/>
  <c r="G124" i="26"/>
  <c r="K124" i="26" s="1"/>
  <c r="G123" i="26"/>
  <c r="I115" i="26"/>
  <c r="I114" i="26"/>
  <c r="I113" i="26"/>
  <c r="I112" i="26"/>
  <c r="I105" i="26"/>
  <c r="I104" i="26"/>
  <c r="I103" i="26"/>
  <c r="I102" i="26"/>
  <c r="AB111" i="26"/>
  <c r="X115" i="26"/>
  <c r="AB115" i="26" s="1"/>
  <c r="X114" i="26"/>
  <c r="AB114" i="26" s="1"/>
  <c r="X113" i="26"/>
  <c r="AB113" i="26" s="1"/>
  <c r="X112" i="26"/>
  <c r="AB112" i="26" s="1"/>
  <c r="AF112" i="26" s="1"/>
  <c r="Y131" i="12" s="1"/>
  <c r="AB101" i="26"/>
  <c r="X105" i="26"/>
  <c r="AB105" i="26" s="1"/>
  <c r="X104" i="26"/>
  <c r="AB104" i="26" s="1"/>
  <c r="AF104" i="26" s="1"/>
  <c r="Y123" i="12" s="1"/>
  <c r="X103" i="26"/>
  <c r="AB103" i="26" s="1"/>
  <c r="X102" i="26"/>
  <c r="AB102" i="26" s="1"/>
  <c r="AF102" i="26" s="1"/>
  <c r="Y121" i="12" s="1"/>
  <c r="AB91" i="26"/>
  <c r="X95" i="26"/>
  <c r="AB95" i="26" s="1"/>
  <c r="X94" i="26"/>
  <c r="AB94" i="26" s="1"/>
  <c r="AF94" i="26" s="1"/>
  <c r="Y113" i="12" s="1"/>
  <c r="X93" i="26"/>
  <c r="AB93" i="26" s="1"/>
  <c r="X92" i="26"/>
  <c r="AB92" i="26" s="1"/>
  <c r="AF92" i="26" s="1"/>
  <c r="Y111" i="12" s="1"/>
  <c r="AA96" i="26"/>
  <c r="W100" i="26"/>
  <c r="AA100" i="26" s="1"/>
  <c r="W99" i="26"/>
  <c r="AA99" i="26" s="1"/>
  <c r="W98" i="26"/>
  <c r="AA98" i="26" s="1"/>
  <c r="W97" i="26"/>
  <c r="AA97" i="26" s="1"/>
  <c r="AE97" i="26" s="1"/>
  <c r="X116" i="12" s="1"/>
  <c r="AD75" i="26"/>
  <c r="Z79" i="26"/>
  <c r="AD79" i="26" s="1"/>
  <c r="Z78" i="26"/>
  <c r="AD78" i="26" s="1"/>
  <c r="Z77" i="26"/>
  <c r="AD77" i="26" s="1"/>
  <c r="Z76" i="26"/>
  <c r="AD76" i="26" s="1"/>
  <c r="AH76" i="26" s="1"/>
  <c r="AD65" i="26"/>
  <c r="Z69" i="26"/>
  <c r="AD69" i="26" s="1"/>
  <c r="Z68" i="26"/>
  <c r="AD68" i="26" s="1"/>
  <c r="Z67" i="26"/>
  <c r="AD67" i="26" s="1"/>
  <c r="Z66" i="26"/>
  <c r="AD66" i="26" s="1"/>
  <c r="AH66" i="26" s="1"/>
  <c r="I84" i="26"/>
  <c r="I83" i="26"/>
  <c r="I82" i="26"/>
  <c r="I81" i="26"/>
  <c r="I74" i="26"/>
  <c r="I73" i="26"/>
  <c r="I72" i="26"/>
  <c r="I71" i="26"/>
  <c r="G89" i="26"/>
  <c r="G88" i="26"/>
  <c r="G87" i="26"/>
  <c r="K87" i="26" s="1"/>
  <c r="G86" i="26"/>
  <c r="AD59" i="26"/>
  <c r="Z63" i="26"/>
  <c r="AD63" i="26" s="1"/>
  <c r="Z62" i="26"/>
  <c r="AD62" i="26" s="1"/>
  <c r="AH62" i="26" s="1"/>
  <c r="Z61" i="26"/>
  <c r="AD61" i="26" s="1"/>
  <c r="Z60" i="26"/>
  <c r="AD60" i="26" s="1"/>
  <c r="AH60" i="26" s="1"/>
  <c r="AB54" i="26"/>
  <c r="X58" i="26"/>
  <c r="AB58" i="26" s="1"/>
  <c r="X57" i="26"/>
  <c r="AB57" i="26" s="1"/>
  <c r="X56" i="26"/>
  <c r="AB56" i="26" s="1"/>
  <c r="X55" i="26"/>
  <c r="AB55" i="26" s="1"/>
  <c r="AF55" i="26" s="1"/>
  <c r="Y74" i="12" s="1"/>
  <c r="L44" i="26"/>
  <c r="M44" i="26" s="1"/>
  <c r="N44" i="26" s="1"/>
  <c r="O44" i="26" s="1"/>
  <c r="P44" i="26" s="1"/>
  <c r="Q44" i="26" s="1"/>
  <c r="R44" i="26" s="1"/>
  <c r="S44" i="26" s="1"/>
  <c r="T44" i="26" s="1"/>
  <c r="U44" i="26" s="1"/>
  <c r="H48" i="26"/>
  <c r="H47" i="26"/>
  <c r="H46" i="26"/>
  <c r="L46" i="26" s="1"/>
  <c r="M46" i="26" s="1"/>
  <c r="N46" i="26" s="1"/>
  <c r="O46" i="26" s="1"/>
  <c r="P46" i="26" s="1"/>
  <c r="Q46" i="26" s="1"/>
  <c r="R46" i="26" s="1"/>
  <c r="S46" i="26" s="1"/>
  <c r="T46" i="26" s="1"/>
  <c r="U46" i="26" s="1"/>
  <c r="H45" i="26"/>
  <c r="AD23" i="26"/>
  <c r="Z27" i="26"/>
  <c r="AD27" i="26" s="1"/>
  <c r="Z26" i="26"/>
  <c r="AD26" i="26" s="1"/>
  <c r="Z25" i="26"/>
  <c r="AD25" i="26" s="1"/>
  <c r="Z24" i="26"/>
  <c r="AD24" i="26" s="1"/>
  <c r="AH24" i="26" s="1"/>
  <c r="AD18" i="26"/>
  <c r="Z22" i="26"/>
  <c r="AD22" i="26" s="1"/>
  <c r="Z21" i="26"/>
  <c r="AD21" i="26" s="1"/>
  <c r="Z20" i="26"/>
  <c r="AD20" i="26" s="1"/>
  <c r="Z19" i="26"/>
  <c r="AD19" i="26" s="1"/>
  <c r="AH19" i="26" s="1"/>
  <c r="AC13" i="26"/>
  <c r="Y14" i="26"/>
  <c r="AC14" i="26" s="1"/>
  <c r="AG14" i="26" s="1"/>
  <c r="Y16" i="26"/>
  <c r="AC16" i="26" s="1"/>
  <c r="Y15" i="26"/>
  <c r="AC15" i="26" s="1"/>
  <c r="Y17" i="26"/>
  <c r="AC17" i="26" s="1"/>
  <c r="AG17" i="26" s="1"/>
  <c r="AB23" i="26"/>
  <c r="X27" i="26"/>
  <c r="AB27" i="26" s="1"/>
  <c r="X26" i="26"/>
  <c r="AB26" i="26" s="1"/>
  <c r="X25" i="26"/>
  <c r="AB25" i="26" s="1"/>
  <c r="X24" i="26"/>
  <c r="AB24" i="26" s="1"/>
  <c r="AF24" i="26" s="1"/>
  <c r="Y43" i="12" s="1"/>
  <c r="AA33" i="26"/>
  <c r="W37" i="26"/>
  <c r="AA37" i="26" s="1"/>
  <c r="W36" i="26"/>
  <c r="AA36" i="26" s="1"/>
  <c r="AE36" i="26" s="1"/>
  <c r="X55" i="12" s="1"/>
  <c r="W35" i="26"/>
  <c r="AA35" i="26" s="1"/>
  <c r="W34" i="26"/>
  <c r="AA34" i="26" s="1"/>
  <c r="AE34" i="26" s="1"/>
  <c r="X53" i="12" s="1"/>
  <c r="G32" i="26"/>
  <c r="G31" i="26"/>
  <c r="G30" i="26"/>
  <c r="G29" i="26"/>
  <c r="AA23" i="26"/>
  <c r="W27" i="26"/>
  <c r="AA27" i="26" s="1"/>
  <c r="W26" i="26"/>
  <c r="AA26" i="26" s="1"/>
  <c r="W25" i="26"/>
  <c r="AA25" i="26" s="1"/>
  <c r="W24" i="26"/>
  <c r="AA24" i="26" s="1"/>
  <c r="AE24" i="26" s="1"/>
  <c r="X43" i="12" s="1"/>
  <c r="AD137" i="26"/>
  <c r="Z141" i="26"/>
  <c r="AD141" i="26" s="1"/>
  <c r="Z140" i="26"/>
  <c r="AD140" i="26" s="1"/>
  <c r="Z139" i="26"/>
  <c r="AD139" i="26" s="1"/>
  <c r="Z138" i="26"/>
  <c r="AD138" i="26" s="1"/>
  <c r="AH138" i="26" s="1"/>
  <c r="D2550" i="11"/>
  <c r="D2546" i="11"/>
  <c r="D2542" i="11"/>
  <c r="D2551" i="11"/>
  <c r="K137" i="26"/>
  <c r="K132" i="26"/>
  <c r="K129" i="26"/>
  <c r="K127" i="26"/>
  <c r="K122" i="26"/>
  <c r="K117" i="26"/>
  <c r="K75" i="26"/>
  <c r="L33" i="26"/>
  <c r="L18" i="26"/>
  <c r="M18" i="26" s="1"/>
  <c r="N18" i="26" s="1"/>
  <c r="O18" i="26" s="1"/>
  <c r="P18" i="26" s="1"/>
  <c r="Q18" i="26" s="1"/>
  <c r="R18" i="26" s="1"/>
  <c r="S18" i="26" s="1"/>
  <c r="T18" i="26" s="1"/>
  <c r="U18" i="26" s="1"/>
  <c r="K28" i="26"/>
  <c r="E48" i="23"/>
  <c r="K85" i="26"/>
  <c r="A103" i="26"/>
  <c r="C102" i="26"/>
  <c r="D121" i="12" s="1"/>
  <c r="D114" i="11" s="1"/>
  <c r="A98" i="26"/>
  <c r="C97" i="26"/>
  <c r="D116" i="12" s="1"/>
  <c r="D80" i="26"/>
  <c r="F81" i="26"/>
  <c r="F82" i="26" s="1"/>
  <c r="F83" i="26" s="1"/>
  <c r="F84" i="26" s="1"/>
  <c r="A82" i="26"/>
  <c r="A77" i="26"/>
  <c r="C76" i="26"/>
  <c r="D95" i="12" s="1"/>
  <c r="D88" i="11" s="1"/>
  <c r="A67" i="26"/>
  <c r="C66" i="26"/>
  <c r="D85" i="12" s="1"/>
  <c r="D78" i="11" s="1"/>
  <c r="A61" i="26"/>
  <c r="C60" i="26"/>
  <c r="D79" i="12" s="1"/>
  <c r="A51" i="26"/>
  <c r="C50" i="26"/>
  <c r="D69" i="12" s="1"/>
  <c r="D62" i="11" s="1"/>
  <c r="A139" i="26"/>
  <c r="C138" i="26"/>
  <c r="D157" i="12" s="1"/>
  <c r="D150" i="11" s="1"/>
  <c r="A134" i="26"/>
  <c r="C133" i="26"/>
  <c r="D152" i="12" s="1"/>
  <c r="D145" i="11" s="1"/>
  <c r="A129" i="26"/>
  <c r="C128" i="26"/>
  <c r="D147" i="12" s="1"/>
  <c r="D140" i="11" s="1"/>
  <c r="A124" i="26"/>
  <c r="C123" i="26"/>
  <c r="D142" i="12" s="1"/>
  <c r="D135" i="11" s="1"/>
  <c r="A113" i="26"/>
  <c r="C112" i="26"/>
  <c r="D131" i="12" s="1"/>
  <c r="D124" i="11" s="1"/>
  <c r="A108" i="26"/>
  <c r="C107" i="26"/>
  <c r="D126" i="12" s="1"/>
  <c r="D119" i="11" s="1"/>
  <c r="A93" i="26"/>
  <c r="C92" i="26"/>
  <c r="D111" i="12" s="1"/>
  <c r="D104" i="11" s="1"/>
  <c r="A87" i="26"/>
  <c r="C86" i="26"/>
  <c r="D105" i="12" s="1"/>
  <c r="D98" i="11" s="1"/>
  <c r="A72" i="26"/>
  <c r="C71" i="26"/>
  <c r="D90" i="12" s="1"/>
  <c r="D83" i="11" s="1"/>
  <c r="A56" i="26"/>
  <c r="C55" i="26"/>
  <c r="D74" i="12" s="1"/>
  <c r="A46" i="26"/>
  <c r="C45" i="26"/>
  <c r="D64" i="12" s="1"/>
  <c r="D57" i="11" s="1"/>
  <c r="D39" i="26"/>
  <c r="E58" i="12" s="1"/>
  <c r="F40" i="26"/>
  <c r="F41" i="26" s="1"/>
  <c r="F42" i="26" s="1"/>
  <c r="F43" i="26" s="1"/>
  <c r="A41" i="26"/>
  <c r="D128" i="26"/>
  <c r="E147" i="12" s="1"/>
  <c r="D132" i="26"/>
  <c r="E151" i="12" s="1"/>
  <c r="D49" i="26"/>
  <c r="E68" i="12" s="1"/>
  <c r="D101" i="26"/>
  <c r="E120" i="12" s="1"/>
  <c r="D65" i="26"/>
  <c r="B65" i="26" s="1"/>
  <c r="C137" i="26"/>
  <c r="C122" i="26"/>
  <c r="D54" i="26"/>
  <c r="E73" i="12" s="1"/>
  <c r="C44" i="26"/>
  <c r="C127" i="26"/>
  <c r="C101" i="26"/>
  <c r="C59" i="26"/>
  <c r="D111" i="26"/>
  <c r="E130" i="12" s="1"/>
  <c r="D106" i="26"/>
  <c r="E125" i="12" s="1"/>
  <c r="D85" i="26"/>
  <c r="E104" i="12" s="1"/>
  <c r="C70" i="26"/>
  <c r="D44" i="26"/>
  <c r="E63" i="12" s="1"/>
  <c r="D70" i="26"/>
  <c r="E89" i="12" s="1"/>
  <c r="C34" i="26"/>
  <c r="D53" i="12" s="1"/>
  <c r="A35" i="26"/>
  <c r="C29" i="26"/>
  <c r="D48" i="12" s="1"/>
  <c r="D41" i="11" s="1"/>
  <c r="A30" i="26"/>
  <c r="C19" i="26"/>
  <c r="D38" i="12" s="1"/>
  <c r="A20" i="26"/>
  <c r="C24" i="26"/>
  <c r="D43" i="12" s="1"/>
  <c r="A25" i="26"/>
  <c r="C85" i="26"/>
  <c r="C80" i="26"/>
  <c r="C54" i="26"/>
  <c r="D137" i="26"/>
  <c r="E156" i="12" s="1"/>
  <c r="D91" i="26"/>
  <c r="E110" i="12" s="1"/>
  <c r="C75" i="26"/>
  <c r="C39" i="26"/>
  <c r="B127" i="26"/>
  <c r="D122" i="26"/>
  <c r="E141" i="12" s="1"/>
  <c r="D96" i="26"/>
  <c r="E115" i="12" s="1"/>
  <c r="D75" i="26"/>
  <c r="E94" i="12" s="1"/>
  <c r="C49" i="26"/>
  <c r="B54" i="26"/>
  <c r="D28" i="26"/>
  <c r="E47" i="12" s="1"/>
  <c r="C28" i="26"/>
  <c r="D18" i="26"/>
  <c r="E37" i="12" s="1"/>
  <c r="C18" i="26"/>
  <c r="A13" i="26"/>
  <c r="A14" i="26" s="1"/>
  <c r="E4" i="27" a="1"/>
  <c r="E4" i="27" s="1"/>
  <c r="H4" i="27" s="1"/>
  <c r="G13" i="26" s="1"/>
  <c r="F4" i="27" a="1"/>
  <c r="F4" i="27" s="1"/>
  <c r="W13" i="26" s="1"/>
  <c r="X33" i="26"/>
  <c r="X28" i="26"/>
  <c r="X18" i="26"/>
  <c r="X13" i="26"/>
  <c r="Y137" i="26"/>
  <c r="Y127" i="26"/>
  <c r="Y117" i="26"/>
  <c r="Y96" i="26"/>
  <c r="W111" i="26"/>
  <c r="W101" i="26"/>
  <c r="W91" i="26"/>
  <c r="B49" i="26"/>
  <c r="Y122" i="26"/>
  <c r="A117" i="26"/>
  <c r="D117" i="26" s="1"/>
  <c r="X132" i="26"/>
  <c r="X122" i="26"/>
  <c r="W137" i="26"/>
  <c r="W132" i="26"/>
  <c r="W127" i="26"/>
  <c r="W122" i="26"/>
  <c r="W117" i="26"/>
  <c r="Z111" i="26"/>
  <c r="Z106" i="26"/>
  <c r="Z101" i="26"/>
  <c r="Z96" i="26"/>
  <c r="Z91" i="26"/>
  <c r="Y111" i="26"/>
  <c r="Y101" i="26"/>
  <c r="Y91" i="26"/>
  <c r="Z80" i="26"/>
  <c r="Z70" i="26"/>
  <c r="Y85" i="26"/>
  <c r="Y80" i="26"/>
  <c r="Y75" i="26"/>
  <c r="Y70" i="26"/>
  <c r="Y65" i="26"/>
  <c r="X85" i="26"/>
  <c r="X80" i="26"/>
  <c r="X75" i="26"/>
  <c r="X70" i="26"/>
  <c r="X65" i="26"/>
  <c r="W85" i="26"/>
  <c r="W80" i="26"/>
  <c r="W75" i="26"/>
  <c r="W70" i="26"/>
  <c r="W65" i="26"/>
  <c r="Z33" i="26"/>
  <c r="Z28" i="26"/>
  <c r="Z13" i="26"/>
  <c r="Y33" i="26"/>
  <c r="Y28" i="26"/>
  <c r="Y23" i="26"/>
  <c r="Y18" i="26"/>
  <c r="D33" i="26"/>
  <c r="E52" i="12" s="1"/>
  <c r="C23" i="26"/>
  <c r="Z54" i="26"/>
  <c r="Z49" i="26"/>
  <c r="Z39" i="26"/>
  <c r="Y59" i="26"/>
  <c r="Y54" i="26"/>
  <c r="Y49" i="26"/>
  <c r="Y44" i="26"/>
  <c r="Y39" i="26"/>
  <c r="X59" i="26"/>
  <c r="X44" i="26"/>
  <c r="X39" i="26"/>
  <c r="W59" i="26"/>
  <c r="W54" i="26"/>
  <c r="W49" i="26"/>
  <c r="W44" i="26"/>
  <c r="W28" i="26"/>
  <c r="W18" i="26"/>
  <c r="C33" i="26"/>
  <c r="E52" i="19"/>
  <c r="D48" i="19"/>
  <c r="D26" i="19"/>
  <c r="D2547" i="11"/>
  <c r="B58" i="23"/>
  <c r="E53" i="23"/>
  <c r="D1912" i="11"/>
  <c r="D1910" i="11"/>
  <c r="D1908" i="11"/>
  <c r="D1906" i="11"/>
  <c r="D1904" i="11"/>
  <c r="D1902" i="11"/>
  <c r="D1626" i="11"/>
  <c r="D1624" i="11"/>
  <c r="D1622" i="11"/>
  <c r="D1620" i="11"/>
  <c r="D1618" i="11"/>
  <c r="D1616" i="11"/>
  <c r="D1913" i="11"/>
  <c r="D1911" i="11"/>
  <c r="D1909" i="11"/>
  <c r="D1907" i="11"/>
  <c r="D1905" i="11"/>
  <c r="D1903" i="11"/>
  <c r="D1901" i="11"/>
  <c r="D1627" i="11"/>
  <c r="D1625" i="11"/>
  <c r="D1623" i="11"/>
  <c r="D1621" i="11"/>
  <c r="D1619" i="11"/>
  <c r="D1617" i="11"/>
  <c r="D1615" i="11"/>
  <c r="C949" i="11"/>
  <c r="C988" i="11"/>
  <c r="C1031" i="11"/>
  <c r="C1048" i="11"/>
  <c r="C1083" i="11"/>
  <c r="C1094" i="11"/>
  <c r="C1146" i="11"/>
  <c r="C1241" i="11"/>
  <c r="C1106" i="11"/>
  <c r="C1145" i="11"/>
  <c r="C1188" i="11"/>
  <c r="D1250" i="11"/>
  <c r="D1258" i="11"/>
  <c r="G18" i="23"/>
  <c r="B68" i="23"/>
  <c r="B43" i="23"/>
  <c r="G43" i="23"/>
  <c r="F28" i="23"/>
  <c r="B80" i="26"/>
  <c r="E38" i="23"/>
  <c r="C1076" i="11"/>
  <c r="C1081" i="11"/>
  <c r="C663" i="11"/>
  <c r="C669" i="11"/>
  <c r="C675" i="11"/>
  <c r="C680" i="11"/>
  <c r="C713" i="11"/>
  <c r="C719" i="11"/>
  <c r="C725" i="11"/>
  <c r="C729" i="11"/>
  <c r="C2571" i="11"/>
  <c r="C2577" i="11"/>
  <c r="C2583" i="11"/>
  <c r="C2587" i="11"/>
  <c r="C2619" i="11"/>
  <c r="C2625" i="11"/>
  <c r="C2631" i="11"/>
  <c r="C2635" i="11"/>
  <c r="C2667" i="11"/>
  <c r="C2673" i="11"/>
  <c r="C2679" i="11"/>
  <c r="C2683" i="11"/>
  <c r="F170" i="12"/>
  <c r="F176" i="12"/>
  <c r="F180" i="12"/>
  <c r="F186" i="12"/>
  <c r="F190" i="12"/>
  <c r="C1101" i="11"/>
  <c r="C1110" i="11"/>
  <c r="C1153" i="11"/>
  <c r="C1184" i="11"/>
  <c r="C1192" i="11"/>
  <c r="C1227" i="11"/>
  <c r="C1244" i="11"/>
  <c r="D1252" i="11"/>
  <c r="D1264" i="11"/>
  <c r="D1269" i="11"/>
  <c r="D1289" i="11"/>
  <c r="D1293" i="11"/>
  <c r="D1295" i="11"/>
  <c r="D1297" i="11"/>
  <c r="D1299" i="11"/>
  <c r="D1301" i="11"/>
  <c r="D1316" i="11"/>
  <c r="D1318" i="11"/>
  <c r="D1320" i="11"/>
  <c r="D1322" i="11"/>
  <c r="D1324" i="11"/>
  <c r="D1326" i="11"/>
  <c r="D1341" i="11"/>
  <c r="D1393" i="11"/>
  <c r="D1550" i="11"/>
  <c r="D1552" i="11"/>
  <c r="D1554" i="11"/>
  <c r="D1556" i="11"/>
  <c r="D1558" i="11"/>
  <c r="D1560" i="11"/>
  <c r="D1562" i="11"/>
  <c r="D1577" i="11"/>
  <c r="D1579" i="11"/>
  <c r="D1581" i="11"/>
  <c r="D1583" i="11"/>
  <c r="D1585" i="11"/>
  <c r="D1587" i="11"/>
  <c r="D1602" i="11"/>
  <c r="D1604" i="11"/>
  <c r="D1606" i="11"/>
  <c r="D1608" i="11"/>
  <c r="D1610" i="11"/>
  <c r="D1612" i="11"/>
  <c r="D1614" i="11"/>
  <c r="D1629" i="11"/>
  <c r="D1631" i="11"/>
  <c r="D1633" i="11"/>
  <c r="D1635" i="11"/>
  <c r="D1637" i="11"/>
  <c r="D1639" i="11"/>
  <c r="D1654" i="11"/>
  <c r="D1656" i="11"/>
  <c r="D1658" i="11"/>
  <c r="D1660" i="11"/>
  <c r="D1662" i="11"/>
  <c r="D1664" i="11"/>
  <c r="D1666" i="11"/>
  <c r="D1758" i="11"/>
  <c r="D1760" i="11"/>
  <c r="D1762" i="11"/>
  <c r="D1764" i="11"/>
  <c r="D1766" i="11"/>
  <c r="D1768" i="11"/>
  <c r="D1770" i="11"/>
  <c r="D1785" i="11"/>
  <c r="D1787" i="11"/>
  <c r="D1789" i="11"/>
  <c r="D1791" i="11"/>
  <c r="D1793" i="11"/>
  <c r="D1795" i="11"/>
  <c r="D1810" i="11"/>
  <c r="D1812" i="11"/>
  <c r="D1814" i="11"/>
  <c r="D1816" i="11"/>
  <c r="D1818" i="11"/>
  <c r="D1820" i="11"/>
  <c r="D1822" i="11"/>
  <c r="D1837" i="11"/>
  <c r="D1839" i="11"/>
  <c r="D1841" i="11"/>
  <c r="D1843" i="11"/>
  <c r="D1845" i="11"/>
  <c r="D1847" i="11"/>
  <c r="D1862" i="11"/>
  <c r="D1864" i="11"/>
  <c r="D1866" i="11"/>
  <c r="D1868" i="11"/>
  <c r="D1870" i="11"/>
  <c r="D1872" i="11"/>
  <c r="D1874" i="11"/>
  <c r="D1889" i="11"/>
  <c r="D1891" i="11"/>
  <c r="D1893" i="11"/>
  <c r="D1895" i="11"/>
  <c r="D1897" i="11"/>
  <c r="D1899" i="11"/>
  <c r="D2541" i="11"/>
  <c r="D2545" i="11"/>
  <c r="D2549" i="11"/>
  <c r="D669" i="11"/>
  <c r="D680" i="11"/>
  <c r="D713" i="11"/>
  <c r="D723" i="11"/>
  <c r="D2577" i="11"/>
  <c r="D2587" i="11"/>
  <c r="D2619" i="11"/>
  <c r="D2629" i="11"/>
  <c r="D2673" i="11"/>
  <c r="D2683" i="11"/>
  <c r="C345" i="10"/>
  <c r="C341" i="10"/>
  <c r="C340" i="10"/>
  <c r="C339" i="10"/>
  <c r="C338" i="10"/>
  <c r="C334" i="10"/>
  <c r="C333" i="10"/>
  <c r="C332" i="10"/>
  <c r="C331" i="10"/>
  <c r="C330" i="10"/>
  <c r="C329" i="10"/>
  <c r="C328" i="10"/>
  <c r="C327" i="10"/>
  <c r="C323" i="10"/>
  <c r="C322" i="10"/>
  <c r="C321" i="10"/>
  <c r="C313" i="10"/>
  <c r="C312" i="10"/>
  <c r="C307" i="10"/>
  <c r="C306" i="10"/>
  <c r="C305" i="10"/>
  <c r="C304" i="10"/>
  <c r="C299" i="10"/>
  <c r="C298" i="10"/>
  <c r="C297" i="10"/>
  <c r="C295" i="10"/>
  <c r="B18" i="23"/>
  <c r="G58" i="23"/>
  <c r="B38" i="23"/>
  <c r="F38" i="23"/>
  <c r="G63" i="23"/>
  <c r="G23" i="23"/>
  <c r="C132" i="26"/>
  <c r="C65" i="26"/>
  <c r="L37" i="12"/>
  <c r="D59" i="26"/>
  <c r="D23" i="26"/>
  <c r="L940" i="58"/>
  <c r="L834" i="58"/>
  <c r="L189" i="58"/>
  <c r="L59" i="58" s="1"/>
  <c r="L85" i="58" s="1"/>
  <c r="L111" i="58" s="1"/>
  <c r="L137" i="58" s="1"/>
  <c r="L163" i="58" s="1"/>
  <c r="J444" i="58"/>
  <c r="M752" i="58"/>
  <c r="M990" i="58"/>
  <c r="K942" i="58"/>
  <c r="I370" i="58"/>
  <c r="M688" i="58"/>
  <c r="K860" i="58"/>
  <c r="I844" i="58"/>
  <c r="I947" i="58"/>
  <c r="C96" i="26"/>
  <c r="L758" i="58"/>
  <c r="M890" i="58"/>
  <c r="I734" i="58"/>
  <c r="L852" i="58"/>
  <c r="B96" i="26"/>
  <c r="D638" i="11"/>
  <c r="D644" i="11"/>
  <c r="D648" i="11"/>
  <c r="D655" i="11"/>
  <c r="D661" i="11"/>
  <c r="D665" i="11"/>
  <c r="D671" i="11"/>
  <c r="D677" i="11"/>
  <c r="D682" i="11"/>
  <c r="D688" i="11"/>
  <c r="D694" i="11"/>
  <c r="D698" i="11"/>
  <c r="D705" i="11"/>
  <c r="D711" i="11"/>
  <c r="D715" i="11"/>
  <c r="D721" i="11"/>
  <c r="D727" i="11"/>
  <c r="D731" i="11"/>
  <c r="D737" i="11"/>
  <c r="D743" i="11"/>
  <c r="D747" i="11"/>
  <c r="D753" i="11"/>
  <c r="D2569" i="11"/>
  <c r="D2573" i="11"/>
  <c r="D2579" i="11"/>
  <c r="D2585" i="11"/>
  <c r="D2589" i="11"/>
  <c r="D2595" i="11"/>
  <c r="D2601" i="11"/>
  <c r="D2605" i="11"/>
  <c r="D2611" i="11"/>
  <c r="D2617" i="11"/>
  <c r="D2621" i="11"/>
  <c r="D2627" i="11"/>
  <c r="D2633" i="11"/>
  <c r="D2637" i="11"/>
  <c r="D2643" i="11"/>
  <c r="D2649" i="11"/>
  <c r="D2653" i="11"/>
  <c r="D2659" i="11"/>
  <c r="D2665" i="11"/>
  <c r="D2669" i="11"/>
  <c r="D2675" i="11"/>
  <c r="D2681" i="11"/>
  <c r="D2685" i="11"/>
  <c r="D2691" i="11"/>
  <c r="D2697" i="11"/>
  <c r="D2701" i="11"/>
  <c r="D2707" i="11"/>
  <c r="G68" i="23"/>
  <c r="C111" i="26"/>
  <c r="C106" i="26"/>
  <c r="C91" i="26"/>
  <c r="N37" i="12" l="1"/>
  <c r="M37" i="12"/>
  <c r="D919" i="58"/>
  <c r="D657" i="58"/>
  <c r="D608" i="58"/>
  <c r="D583" i="58"/>
  <c r="D735" i="58"/>
  <c r="D558" i="58"/>
  <c r="D895" i="58"/>
  <c r="D660" i="58"/>
  <c r="D585" i="58"/>
  <c r="D560" i="58"/>
  <c r="D872" i="58"/>
  <c r="D847" i="58"/>
  <c r="D615" i="58"/>
  <c r="D640" i="58"/>
  <c r="D621" i="58"/>
  <c r="D870" i="58"/>
  <c r="D668" i="58"/>
  <c r="D845" i="58"/>
  <c r="D643" i="58"/>
  <c r="D654" i="58"/>
  <c r="D629" i="58"/>
  <c r="D604" i="58"/>
  <c r="D579" i="58"/>
  <c r="D554" i="58"/>
  <c r="D835" i="58"/>
  <c r="D785" i="58"/>
  <c r="D760" i="58"/>
  <c r="D894" i="58"/>
  <c r="D869" i="58"/>
  <c r="D590" i="58"/>
  <c r="D571" i="58"/>
  <c r="D618" i="58"/>
  <c r="D565" i="58"/>
  <c r="D827" i="58"/>
  <c r="C886" i="58"/>
  <c r="C986" i="58"/>
  <c r="C861" i="58"/>
  <c r="C936" i="58"/>
  <c r="C961" i="58"/>
  <c r="C911" i="58"/>
  <c r="D593" i="58"/>
  <c r="D540" i="58"/>
  <c r="D802" i="58"/>
  <c r="C689" i="58"/>
  <c r="C714" i="58"/>
  <c r="C814" i="58"/>
  <c r="C764" i="58"/>
  <c r="C789" i="58"/>
  <c r="C739" i="58"/>
  <c r="C907" i="58"/>
  <c r="C882" i="58"/>
  <c r="C982" i="58"/>
  <c r="C957" i="58"/>
  <c r="C857" i="58"/>
  <c r="C932" i="58"/>
  <c r="C949" i="58"/>
  <c r="C924" i="58"/>
  <c r="C899" i="58"/>
  <c r="C874" i="58"/>
  <c r="C974" i="58"/>
  <c r="C849" i="58"/>
  <c r="C755" i="58"/>
  <c r="C730" i="58"/>
  <c r="C830" i="58"/>
  <c r="C805" i="58"/>
  <c r="C705" i="58"/>
  <c r="C780" i="58"/>
  <c r="D568" i="58"/>
  <c r="D635" i="58"/>
  <c r="D821" i="58"/>
  <c r="D777" i="58"/>
  <c r="D844" i="58"/>
  <c r="C713" i="58"/>
  <c r="C813" i="58"/>
  <c r="C688" i="58"/>
  <c r="C788" i="58"/>
  <c r="C738" i="58"/>
  <c r="C763" i="58"/>
  <c r="D633" i="58"/>
  <c r="D543" i="58"/>
  <c r="D810" i="58"/>
  <c r="D610" i="58"/>
  <c r="D796" i="58"/>
  <c r="D702" i="58"/>
  <c r="C966" i="58"/>
  <c r="C991" i="58"/>
  <c r="C866" i="58"/>
  <c r="C941" i="58"/>
  <c r="C916" i="58"/>
  <c r="C891" i="58"/>
  <c r="C778" i="58"/>
  <c r="C753" i="58"/>
  <c r="C728" i="58"/>
  <c r="C828" i="58"/>
  <c r="C703" i="58"/>
  <c r="C803" i="58"/>
  <c r="C970" i="58"/>
  <c r="C845" i="58"/>
  <c r="C945" i="58"/>
  <c r="C920" i="58"/>
  <c r="C895" i="58"/>
  <c r="C870" i="58"/>
  <c r="C775" i="58"/>
  <c r="C750" i="58"/>
  <c r="C725" i="58"/>
  <c r="C800" i="58"/>
  <c r="C700" i="58"/>
  <c r="C825" i="58"/>
  <c r="D814" i="58"/>
  <c r="D749" i="58"/>
  <c r="D710" i="58"/>
  <c r="D791" i="58"/>
  <c r="D696" i="58"/>
  <c r="D958" i="58"/>
  <c r="D607" i="58"/>
  <c r="C798" i="58"/>
  <c r="C773" i="58"/>
  <c r="C723" i="58"/>
  <c r="C748" i="58"/>
  <c r="C698" i="58"/>
  <c r="C823" i="58"/>
  <c r="C716" i="58"/>
  <c r="C816" i="58"/>
  <c r="C691" i="58"/>
  <c r="C791" i="58"/>
  <c r="C766" i="58"/>
  <c r="C741" i="58"/>
  <c r="D789" i="58"/>
  <c r="D724" i="58"/>
  <c r="D991" i="58"/>
  <c r="D766" i="58"/>
  <c r="D977" i="58"/>
  <c r="D933" i="58"/>
  <c r="D582" i="58"/>
  <c r="C885" i="58"/>
  <c r="C985" i="58"/>
  <c r="C860" i="58"/>
  <c r="C960" i="58"/>
  <c r="C935" i="58"/>
  <c r="C910" i="58"/>
  <c r="C972" i="58"/>
  <c r="C847" i="58"/>
  <c r="C947" i="58"/>
  <c r="C922" i="58"/>
  <c r="C897" i="58"/>
  <c r="C872" i="58"/>
  <c r="C751" i="58"/>
  <c r="C776" i="58"/>
  <c r="C726" i="58"/>
  <c r="C826" i="58"/>
  <c r="C701" i="58"/>
  <c r="C801" i="58"/>
  <c r="C183" i="11"/>
  <c r="D764" i="58"/>
  <c r="D980" i="58"/>
  <c r="D966" i="58"/>
  <c r="D535" i="58"/>
  <c r="D952" i="58"/>
  <c r="D908" i="58"/>
  <c r="D557" i="58"/>
  <c r="C992" i="58"/>
  <c r="C867" i="58"/>
  <c r="C967" i="58"/>
  <c r="C942" i="58"/>
  <c r="C917" i="58"/>
  <c r="C892" i="58"/>
  <c r="C929" i="58"/>
  <c r="C904" i="58"/>
  <c r="C879" i="58"/>
  <c r="C979" i="58"/>
  <c r="C854" i="58"/>
  <c r="C954" i="58"/>
  <c r="D533" i="58"/>
  <c r="D699" i="58"/>
  <c r="D941" i="58"/>
  <c r="D741" i="58"/>
  <c r="D927" i="58"/>
  <c r="D883" i="58"/>
  <c r="D532" i="58"/>
  <c r="C736" i="58"/>
  <c r="C836" i="58"/>
  <c r="C711" i="58"/>
  <c r="C811" i="58"/>
  <c r="C786" i="58"/>
  <c r="C761" i="58"/>
  <c r="C888" i="58"/>
  <c r="C863" i="58"/>
  <c r="C988" i="58"/>
  <c r="C963" i="58"/>
  <c r="C938" i="58"/>
  <c r="C913" i="58"/>
  <c r="C796" i="58"/>
  <c r="C771" i="58"/>
  <c r="C746" i="58"/>
  <c r="C821" i="58"/>
  <c r="C721" i="58"/>
  <c r="C696" i="58"/>
  <c r="C734" i="58"/>
  <c r="C834" i="58"/>
  <c r="C709" i="58"/>
  <c r="C784" i="58"/>
  <c r="C809" i="58"/>
  <c r="C759" i="58"/>
  <c r="C735" i="58"/>
  <c r="C835" i="58"/>
  <c r="C710" i="58"/>
  <c r="C810" i="58"/>
  <c r="C785" i="58"/>
  <c r="C760" i="58"/>
  <c r="D739" i="58"/>
  <c r="D955" i="58"/>
  <c r="D916" i="58"/>
  <c r="D716" i="58"/>
  <c r="D902" i="58"/>
  <c r="D858" i="58"/>
  <c r="D813" i="58"/>
  <c r="C819" i="58"/>
  <c r="C694" i="58"/>
  <c r="C794" i="58"/>
  <c r="C769" i="58"/>
  <c r="C744" i="58"/>
  <c r="C719" i="58"/>
  <c r="C971" i="58"/>
  <c r="C846" i="58"/>
  <c r="C946" i="58"/>
  <c r="C921" i="58"/>
  <c r="C896" i="58"/>
  <c r="C871" i="58"/>
  <c r="C777" i="58"/>
  <c r="C752" i="58"/>
  <c r="C727" i="58"/>
  <c r="C827" i="58"/>
  <c r="C702" i="58"/>
  <c r="C802" i="58"/>
  <c r="D714" i="58"/>
  <c r="D930" i="58"/>
  <c r="D891" i="58"/>
  <c r="D691" i="58"/>
  <c r="D877" i="58"/>
  <c r="D788" i="58"/>
  <c r="C950" i="58"/>
  <c r="C925" i="58"/>
  <c r="C900" i="58"/>
  <c r="C875" i="58"/>
  <c r="C975" i="58"/>
  <c r="C850" i="58"/>
  <c r="C815" i="58"/>
  <c r="C715" i="58"/>
  <c r="C690" i="58"/>
  <c r="C790" i="58"/>
  <c r="C765" i="58"/>
  <c r="C740" i="58"/>
  <c r="C757" i="58"/>
  <c r="C732" i="58"/>
  <c r="C832" i="58"/>
  <c r="C707" i="58"/>
  <c r="C807" i="58"/>
  <c r="C782" i="58"/>
  <c r="C927" i="58"/>
  <c r="C902" i="58"/>
  <c r="C877" i="58"/>
  <c r="C977" i="58"/>
  <c r="C952" i="58"/>
  <c r="C852" i="58"/>
  <c r="C989" i="58"/>
  <c r="C864" i="58"/>
  <c r="C964" i="58"/>
  <c r="C939" i="58"/>
  <c r="C914" i="58"/>
  <c r="C889" i="58"/>
  <c r="C733" i="58"/>
  <c r="C833" i="58"/>
  <c r="C708" i="58"/>
  <c r="C808" i="58"/>
  <c r="C783" i="58"/>
  <c r="C758" i="58"/>
  <c r="D1152" i="11"/>
  <c r="D689" i="58"/>
  <c r="D905" i="58"/>
  <c r="D866" i="58"/>
  <c r="D972" i="58"/>
  <c r="D852" i="58"/>
  <c r="D763" i="58"/>
  <c r="C908" i="58"/>
  <c r="C883" i="58"/>
  <c r="C983" i="58"/>
  <c r="C858" i="58"/>
  <c r="C958" i="58"/>
  <c r="C933" i="58"/>
  <c r="C906" i="58"/>
  <c r="C881" i="58"/>
  <c r="C981" i="58"/>
  <c r="C856" i="58"/>
  <c r="C956" i="58"/>
  <c r="C931" i="58"/>
  <c r="D970" i="58"/>
  <c r="D880" i="58"/>
  <c r="D947" i="58"/>
  <c r="D671" i="58"/>
  <c r="D738" i="58"/>
  <c r="C948" i="58"/>
  <c r="C923" i="58"/>
  <c r="C898" i="58"/>
  <c r="C973" i="58"/>
  <c r="C873" i="58"/>
  <c r="C848" i="58"/>
  <c r="C797" i="58"/>
  <c r="C772" i="58"/>
  <c r="C722" i="58"/>
  <c r="C747" i="58"/>
  <c r="C697" i="58"/>
  <c r="C822" i="58"/>
  <c r="C951" i="58"/>
  <c r="C926" i="58"/>
  <c r="C901" i="58"/>
  <c r="C876" i="58"/>
  <c r="C976" i="58"/>
  <c r="C851" i="58"/>
  <c r="C844" i="58"/>
  <c r="C969" i="58"/>
  <c r="C944" i="58"/>
  <c r="C919" i="58"/>
  <c r="C894" i="58"/>
  <c r="C869" i="58"/>
  <c r="D752" i="58"/>
  <c r="D799" i="58"/>
  <c r="D746" i="58"/>
  <c r="C909" i="58"/>
  <c r="C884" i="58"/>
  <c r="C984" i="58"/>
  <c r="C859" i="58"/>
  <c r="C959" i="58"/>
  <c r="C934" i="58"/>
  <c r="D774" i="58"/>
  <c r="D816" i="58"/>
  <c r="D632" i="58"/>
  <c r="C754" i="58"/>
  <c r="C729" i="58"/>
  <c r="C829" i="58"/>
  <c r="C704" i="58"/>
  <c r="C779" i="58"/>
  <c r="C804" i="58"/>
  <c r="D945" i="58"/>
  <c r="D855" i="58"/>
  <c r="D922" i="58"/>
  <c r="D646" i="58"/>
  <c r="D713" i="58"/>
  <c r="C799" i="58"/>
  <c r="C774" i="58"/>
  <c r="C749" i="58"/>
  <c r="C724" i="58"/>
  <c r="C699" i="58"/>
  <c r="C824" i="58"/>
  <c r="C817" i="58"/>
  <c r="C692" i="58"/>
  <c r="C792" i="58"/>
  <c r="C767" i="58"/>
  <c r="C717" i="58"/>
  <c r="C742" i="58"/>
  <c r="D596" i="58"/>
  <c r="C793" i="58"/>
  <c r="C818" i="58"/>
  <c r="C693" i="58"/>
  <c r="C768" i="58"/>
  <c r="C743" i="58"/>
  <c r="C718" i="58"/>
  <c r="D824" i="58"/>
  <c r="D771" i="58"/>
  <c r="D727" i="58"/>
  <c r="D721" i="58"/>
  <c r="D983" i="58"/>
  <c r="C930" i="58"/>
  <c r="C905" i="58"/>
  <c r="C880" i="58"/>
  <c r="C980" i="58"/>
  <c r="C855" i="58"/>
  <c r="C955" i="58"/>
  <c r="C990" i="58"/>
  <c r="C865" i="58"/>
  <c r="C965" i="58"/>
  <c r="C915" i="58"/>
  <c r="C940" i="58"/>
  <c r="C890" i="58"/>
  <c r="C928" i="58"/>
  <c r="C903" i="58"/>
  <c r="C978" i="58"/>
  <c r="C853" i="58"/>
  <c r="C878" i="58"/>
  <c r="C953" i="58"/>
  <c r="C820" i="58"/>
  <c r="C695" i="58"/>
  <c r="C795" i="58"/>
  <c r="C770" i="58"/>
  <c r="C745" i="58"/>
  <c r="C720" i="58"/>
  <c r="D997" i="11"/>
  <c r="D1099" i="11"/>
  <c r="D1102" i="11"/>
  <c r="D964" i="58"/>
  <c r="D1036" i="11"/>
  <c r="K758" i="58"/>
  <c r="D1034" i="11"/>
  <c r="AG20" i="57"/>
  <c r="W248" i="12" s="1"/>
  <c r="AF176" i="57"/>
  <c r="V374" i="12" s="1"/>
  <c r="AH191" i="57"/>
  <c r="X389" i="12" s="1"/>
  <c r="AI154" i="57"/>
  <c r="Y357" i="12" s="1"/>
  <c r="AI108" i="57"/>
  <c r="AI37" i="57"/>
  <c r="Y260" i="12" s="1"/>
  <c r="J523" i="58"/>
  <c r="AG196" i="57"/>
  <c r="W394" i="12" s="1"/>
  <c r="AI133" i="57"/>
  <c r="Y341" i="12" s="1"/>
  <c r="AF133" i="57"/>
  <c r="V341" i="12" s="1"/>
  <c r="AG22" i="57"/>
  <c r="W250" i="12" s="1"/>
  <c r="AH83" i="57"/>
  <c r="X301" i="12" s="1"/>
  <c r="AG114" i="57"/>
  <c r="W322" i="12" s="1"/>
  <c r="AF174" i="57"/>
  <c r="V372" i="12" s="1"/>
  <c r="AH67" i="57"/>
  <c r="X285" i="12" s="1"/>
  <c r="AI191" i="57"/>
  <c r="Y389" i="12" s="1"/>
  <c r="AI65" i="57"/>
  <c r="Y283" i="12" s="1"/>
  <c r="AH92" i="57"/>
  <c r="X305" i="12" s="1"/>
  <c r="AI107" i="57"/>
  <c r="AG45" i="57"/>
  <c r="W200" i="12" s="1"/>
  <c r="AH26" i="26"/>
  <c r="AH68" i="26"/>
  <c r="AH125" i="26"/>
  <c r="K409" i="58"/>
  <c r="AH134" i="57"/>
  <c r="X342" i="12" s="1"/>
  <c r="AF132" i="57"/>
  <c r="V340" i="12" s="1"/>
  <c r="AG192" i="57"/>
  <c r="W390" i="12" s="1"/>
  <c r="AF62" i="57"/>
  <c r="V280" i="12" s="1"/>
  <c r="AI124" i="57"/>
  <c r="Y332" i="12" s="1"/>
  <c r="AG184" i="57"/>
  <c r="W382" i="12" s="1"/>
  <c r="AH184" i="57"/>
  <c r="X382" i="12" s="1"/>
  <c r="AH120" i="57"/>
  <c r="X328" i="12" s="1"/>
  <c r="AI182" i="57"/>
  <c r="Y380" i="12" s="1"/>
  <c r="AH22" i="57"/>
  <c r="X250" i="12" s="1"/>
  <c r="AI84" i="57"/>
  <c r="Y302" i="12" s="1"/>
  <c r="AG145" i="57"/>
  <c r="W353" i="12" s="1"/>
  <c r="AH144" i="57"/>
  <c r="X352" i="12" s="1"/>
  <c r="AG51" i="57"/>
  <c r="W269" i="12" s="1"/>
  <c r="AH174" i="57"/>
  <c r="X372" i="12" s="1"/>
  <c r="AG67" i="57"/>
  <c r="W285" i="12" s="1"/>
  <c r="AF190" i="57"/>
  <c r="V388" i="12" s="1"/>
  <c r="AF196" i="57"/>
  <c r="V394" i="12" s="1"/>
  <c r="AF71" i="57"/>
  <c r="V289" i="12" s="1"/>
  <c r="AG70" i="57"/>
  <c r="W288" i="12" s="1"/>
  <c r="AH124" i="57"/>
  <c r="X332" i="12" s="1"/>
  <c r="AI67" i="57"/>
  <c r="Y285" i="12" s="1"/>
  <c r="AH66" i="57"/>
  <c r="X284" i="12" s="1"/>
  <c r="AI87" i="57"/>
  <c r="Y215" i="12" s="1"/>
  <c r="AG42" i="57"/>
  <c r="W265" i="12" s="1"/>
  <c r="AH55" i="57"/>
  <c r="X273" i="12" s="1"/>
  <c r="L523" i="58"/>
  <c r="AH146" i="57"/>
  <c r="X354" i="12" s="1"/>
  <c r="AF84" i="57"/>
  <c r="V302" i="12" s="1"/>
  <c r="AF151" i="57"/>
  <c r="V227" i="12" s="1"/>
  <c r="AF17" i="57"/>
  <c r="V245" i="12" s="1"/>
  <c r="AF15" i="57"/>
  <c r="V243" i="12" s="1"/>
  <c r="AG93" i="57"/>
  <c r="W306" i="12" s="1"/>
  <c r="AH108" i="57"/>
  <c r="AE26" i="26"/>
  <c r="X45" i="12" s="1"/>
  <c r="AH21" i="26"/>
  <c r="AG135" i="26"/>
  <c r="AH113" i="57"/>
  <c r="X321" i="12" s="1"/>
  <c r="AI172" i="57"/>
  <c r="Y370" i="12" s="1"/>
  <c r="AG127" i="57"/>
  <c r="W335" i="12" s="1"/>
  <c r="AF109" i="57"/>
  <c r="AG97" i="57"/>
  <c r="W310" i="12" s="1"/>
  <c r="M444" i="58"/>
  <c r="B132" i="26"/>
  <c r="AF52" i="57"/>
  <c r="V270" i="12" s="1"/>
  <c r="AI150" i="57"/>
  <c r="Y226" i="12" s="1"/>
  <c r="AF147" i="57"/>
  <c r="V223" i="12" s="1"/>
  <c r="AH40" i="57"/>
  <c r="X263" i="12" s="1"/>
  <c r="AF119" i="57"/>
  <c r="V327" i="12" s="1"/>
  <c r="AI55" i="57"/>
  <c r="Y273" i="12" s="1"/>
  <c r="AF177" i="57"/>
  <c r="V375" i="12" s="1"/>
  <c r="AI160" i="57"/>
  <c r="Y363" i="12" s="1"/>
  <c r="B75" i="26"/>
  <c r="C40" i="26"/>
  <c r="D59" i="12" s="1"/>
  <c r="D52" i="11" s="1"/>
  <c r="AI132" i="57"/>
  <c r="Y340" i="12" s="1"/>
  <c r="AF192" i="57"/>
  <c r="V390" i="12" s="1"/>
  <c r="AH132" i="57"/>
  <c r="X340" i="12" s="1"/>
  <c r="AG130" i="57"/>
  <c r="W338" i="12" s="1"/>
  <c r="AF124" i="57"/>
  <c r="V332" i="12" s="1"/>
  <c r="AH186" i="57"/>
  <c r="X384" i="12" s="1"/>
  <c r="AH58" i="57"/>
  <c r="X276" i="12" s="1"/>
  <c r="AF58" i="57"/>
  <c r="V276" i="12" s="1"/>
  <c r="AF184" i="57"/>
  <c r="V382" i="12" s="1"/>
  <c r="AG18" i="57"/>
  <c r="W246" i="12" s="1"/>
  <c r="AF142" i="57"/>
  <c r="V350" i="12" s="1"/>
  <c r="AI114" i="57"/>
  <c r="Y322" i="12" s="1"/>
  <c r="AI112" i="57"/>
  <c r="Y320" i="12" s="1"/>
  <c r="AG50" i="57"/>
  <c r="W268" i="12" s="1"/>
  <c r="AI48" i="57"/>
  <c r="Y266" i="12" s="1"/>
  <c r="AG65" i="57"/>
  <c r="W283" i="12" s="1"/>
  <c r="AG189" i="57"/>
  <c r="W387" i="12" s="1"/>
  <c r="AI63" i="57"/>
  <c r="Y281" i="12" s="1"/>
  <c r="AG152" i="57"/>
  <c r="W355" i="12" s="1"/>
  <c r="AF105" i="57"/>
  <c r="AI99" i="57"/>
  <c r="Y312" i="12" s="1"/>
  <c r="AI97" i="57"/>
  <c r="Y310" i="12" s="1"/>
  <c r="AH35" i="57"/>
  <c r="X258" i="12" s="1"/>
  <c r="AH159" i="57"/>
  <c r="X362" i="12" s="1"/>
  <c r="AH162" i="57"/>
  <c r="X365" i="12" s="1"/>
  <c r="AI115" i="57"/>
  <c r="Y323" i="12" s="1"/>
  <c r="AH115" i="57"/>
  <c r="X323" i="12" s="1"/>
  <c r="K498" i="58"/>
  <c r="AI72" i="57"/>
  <c r="Y290" i="12" s="1"/>
  <c r="AF194" i="57"/>
  <c r="V392" i="12" s="1"/>
  <c r="AI192" i="57"/>
  <c r="Y390" i="12" s="1"/>
  <c r="AF68" i="57"/>
  <c r="V286" i="12" s="1"/>
  <c r="AG186" i="57"/>
  <c r="W384" i="12" s="1"/>
  <c r="AI185" i="57"/>
  <c r="Y383" i="12" s="1"/>
  <c r="AH60" i="57"/>
  <c r="X278" i="12" s="1"/>
  <c r="AI120" i="57"/>
  <c r="Y328" i="12" s="1"/>
  <c r="AH145" i="57"/>
  <c r="X353" i="12" s="1"/>
  <c r="AH82" i="57"/>
  <c r="X300" i="12" s="1"/>
  <c r="AI142" i="57"/>
  <c r="Y350" i="12" s="1"/>
  <c r="AI52" i="57"/>
  <c r="Y270" i="12" s="1"/>
  <c r="AG176" i="57"/>
  <c r="W374" i="12" s="1"/>
  <c r="AF50" i="57"/>
  <c r="V268" i="12" s="1"/>
  <c r="AI128" i="57"/>
  <c r="Y336" i="12" s="1"/>
  <c r="AF189" i="57"/>
  <c r="V387" i="12" s="1"/>
  <c r="AF125" i="57"/>
  <c r="V333" i="12" s="1"/>
  <c r="AH125" i="57"/>
  <c r="X333" i="12" s="1"/>
  <c r="AG147" i="57"/>
  <c r="W223" i="12" s="1"/>
  <c r="AI179" i="57"/>
  <c r="Y377" i="12" s="1"/>
  <c r="AG177" i="57"/>
  <c r="W375" i="12" s="1"/>
  <c r="AH152" i="57"/>
  <c r="X355" i="12" s="1"/>
  <c r="AG90" i="57"/>
  <c r="W303" i="12" s="1"/>
  <c r="AI38" i="57"/>
  <c r="Y261" i="12" s="1"/>
  <c r="AI53" i="57"/>
  <c r="Y271" i="12" s="1"/>
  <c r="D652" i="58"/>
  <c r="D864" i="58"/>
  <c r="D552" i="58"/>
  <c r="D758" i="58"/>
  <c r="D627" i="58"/>
  <c r="D833" i="58"/>
  <c r="D733" i="58"/>
  <c r="D939" i="58"/>
  <c r="C20" i="10"/>
  <c r="E20" i="58" s="1"/>
  <c r="D602" i="58"/>
  <c r="D808" i="58"/>
  <c r="D708" i="58"/>
  <c r="D914" i="58"/>
  <c r="D677" i="58"/>
  <c r="D577" i="58"/>
  <c r="D783" i="58"/>
  <c r="D989" i="58"/>
  <c r="D1015" i="11"/>
  <c r="C932" i="11"/>
  <c r="D954" i="11"/>
  <c r="D1109" i="11"/>
  <c r="D1025" i="11"/>
  <c r="D958" i="11"/>
  <c r="M951" i="58"/>
  <c r="M639" i="58"/>
  <c r="M791" i="58"/>
  <c r="M962" i="58"/>
  <c r="M807" i="58"/>
  <c r="M650" i="58"/>
  <c r="M947" i="58"/>
  <c r="M635" i="58"/>
  <c r="M304" i="58"/>
  <c r="M963" i="58"/>
  <c r="M806" i="58"/>
  <c r="M651" i="58"/>
  <c r="M315" i="58"/>
  <c r="M796" i="58"/>
  <c r="M640" i="58"/>
  <c r="M305" i="58"/>
  <c r="M795" i="58"/>
  <c r="M300" i="58"/>
  <c r="M316" i="58"/>
  <c r="M952" i="58"/>
  <c r="AF26" i="26"/>
  <c r="Y45" i="12" s="1"/>
  <c r="AH78" i="26"/>
  <c r="AF114" i="26"/>
  <c r="Y133" i="12" s="1"/>
  <c r="AH135" i="26"/>
  <c r="AH47" i="26"/>
  <c r="AF109" i="26"/>
  <c r="Y128" i="12" s="1"/>
  <c r="AH130" i="26"/>
  <c r="H964" i="58"/>
  <c r="L964" i="58"/>
  <c r="I964" i="58"/>
  <c r="M964" i="58"/>
  <c r="H808" i="58"/>
  <c r="L808" i="58"/>
  <c r="I808" i="58"/>
  <c r="M808" i="58"/>
  <c r="H652" i="58"/>
  <c r="L652" i="58"/>
  <c r="I652" i="58"/>
  <c r="M652" i="58"/>
  <c r="M317" i="58"/>
  <c r="I317" i="58"/>
  <c r="L317" i="58"/>
  <c r="H317" i="58"/>
  <c r="M898" i="58"/>
  <c r="K898" i="58"/>
  <c r="H898" i="58"/>
  <c r="L898" i="58"/>
  <c r="H742" i="58"/>
  <c r="L742" i="58"/>
  <c r="M742" i="58"/>
  <c r="K742" i="58"/>
  <c r="M586" i="58"/>
  <c r="K586" i="58"/>
  <c r="H586" i="58"/>
  <c r="L586" i="58"/>
  <c r="K249" i="58"/>
  <c r="M249" i="58"/>
  <c r="L249" i="58"/>
  <c r="H249" i="58"/>
  <c r="H945" i="58"/>
  <c r="L945" i="58"/>
  <c r="I945" i="58"/>
  <c r="M945" i="58"/>
  <c r="H789" i="58"/>
  <c r="L789" i="58"/>
  <c r="I789" i="58"/>
  <c r="M789" i="58"/>
  <c r="H633" i="58"/>
  <c r="L633" i="58"/>
  <c r="I633" i="58"/>
  <c r="M633" i="58"/>
  <c r="M298" i="58"/>
  <c r="I298" i="58"/>
  <c r="L298" i="58"/>
  <c r="H298" i="58"/>
  <c r="H949" i="58"/>
  <c r="L949" i="58"/>
  <c r="I949" i="58"/>
  <c r="M949" i="58"/>
  <c r="H793" i="58"/>
  <c r="L793" i="58"/>
  <c r="I793" i="58"/>
  <c r="M793" i="58"/>
  <c r="H637" i="58"/>
  <c r="L637" i="58"/>
  <c r="I637" i="58"/>
  <c r="M637" i="58"/>
  <c r="M302" i="58"/>
  <c r="I302" i="58"/>
  <c r="L302" i="58"/>
  <c r="H302" i="58"/>
  <c r="C555" i="58"/>
  <c r="C580" i="58"/>
  <c r="C605" i="58"/>
  <c r="C630" i="58"/>
  <c r="C655" i="58"/>
  <c r="C680" i="58"/>
  <c r="D860" i="58"/>
  <c r="D885" i="58"/>
  <c r="D910" i="58"/>
  <c r="D935" i="58"/>
  <c r="D960" i="58"/>
  <c r="D985" i="58"/>
  <c r="D729" i="58"/>
  <c r="D704" i="58"/>
  <c r="D754" i="58"/>
  <c r="D779" i="58"/>
  <c r="D804" i="58"/>
  <c r="D829" i="58"/>
  <c r="D573" i="58"/>
  <c r="D598" i="58"/>
  <c r="D623" i="58"/>
  <c r="D548" i="58"/>
  <c r="D648" i="58"/>
  <c r="D673" i="58"/>
  <c r="C548" i="58"/>
  <c r="C573" i="58"/>
  <c r="C598" i="58"/>
  <c r="C623" i="58"/>
  <c r="C648" i="58"/>
  <c r="C673" i="58"/>
  <c r="C551" i="58"/>
  <c r="C576" i="58"/>
  <c r="C601" i="58"/>
  <c r="C626" i="58"/>
  <c r="C651" i="58"/>
  <c r="C676" i="58"/>
  <c r="D854" i="58"/>
  <c r="D879" i="58"/>
  <c r="D904" i="58"/>
  <c r="D929" i="58"/>
  <c r="D954" i="58"/>
  <c r="D979" i="58"/>
  <c r="D698" i="58"/>
  <c r="D723" i="58"/>
  <c r="D748" i="58"/>
  <c r="D773" i="58"/>
  <c r="D798" i="58"/>
  <c r="D823" i="58"/>
  <c r="D542" i="58"/>
  <c r="D567" i="58"/>
  <c r="D592" i="58"/>
  <c r="D617" i="58"/>
  <c r="D642" i="58"/>
  <c r="D667" i="58"/>
  <c r="C539" i="58"/>
  <c r="C564" i="58"/>
  <c r="C589" i="58"/>
  <c r="C614" i="58"/>
  <c r="C639" i="58"/>
  <c r="C664" i="58"/>
  <c r="C570" i="58"/>
  <c r="C595" i="58"/>
  <c r="C620" i="58"/>
  <c r="C545" i="58"/>
  <c r="C645" i="58"/>
  <c r="C670" i="58"/>
  <c r="H944" i="58"/>
  <c r="L944" i="58"/>
  <c r="I944" i="58"/>
  <c r="M944" i="58"/>
  <c r="H788" i="58"/>
  <c r="L788" i="58"/>
  <c r="I788" i="58"/>
  <c r="M788" i="58"/>
  <c r="I632" i="58"/>
  <c r="M632" i="58"/>
  <c r="H632" i="58"/>
  <c r="L632" i="58"/>
  <c r="M297" i="58"/>
  <c r="I297" i="58"/>
  <c r="L297" i="58"/>
  <c r="H297" i="58"/>
  <c r="H959" i="58"/>
  <c r="L959" i="58"/>
  <c r="I959" i="58"/>
  <c r="M959" i="58"/>
  <c r="H803" i="58"/>
  <c r="L803" i="58"/>
  <c r="I803" i="58"/>
  <c r="M803" i="58"/>
  <c r="H647" i="58"/>
  <c r="L647" i="58"/>
  <c r="I647" i="58"/>
  <c r="M647" i="58"/>
  <c r="M312" i="58"/>
  <c r="I312" i="58"/>
  <c r="L312" i="58"/>
  <c r="H312" i="58"/>
  <c r="I540" i="58"/>
  <c r="L696" i="58"/>
  <c r="M852" i="58"/>
  <c r="L784" i="58"/>
  <c r="H397" i="58"/>
  <c r="M345" i="58"/>
  <c r="K679" i="58"/>
  <c r="L679" i="58"/>
  <c r="M835" i="58"/>
  <c r="I991" i="58"/>
  <c r="I967" i="58"/>
  <c r="M967" i="58"/>
  <c r="H967" i="58"/>
  <c r="L967" i="58"/>
  <c r="H811" i="58"/>
  <c r="L811" i="58"/>
  <c r="I811" i="58"/>
  <c r="M811" i="58"/>
  <c r="H655" i="58"/>
  <c r="L655" i="58"/>
  <c r="I655" i="58"/>
  <c r="M655" i="58"/>
  <c r="M320" i="58"/>
  <c r="I320" i="58"/>
  <c r="L320" i="58"/>
  <c r="H320" i="58"/>
  <c r="AI70" i="57"/>
  <c r="Y288" i="12" s="1"/>
  <c r="AG58" i="57"/>
  <c r="W276" i="12" s="1"/>
  <c r="AG120" i="57"/>
  <c r="W328" i="12" s="1"/>
  <c r="H960" i="58"/>
  <c r="L960" i="58"/>
  <c r="I960" i="58"/>
  <c r="M960" i="58"/>
  <c r="H804" i="58"/>
  <c r="L804" i="58"/>
  <c r="I804" i="58"/>
  <c r="M804" i="58"/>
  <c r="H648" i="58"/>
  <c r="L648" i="58"/>
  <c r="I648" i="58"/>
  <c r="M648" i="58"/>
  <c r="M313" i="58"/>
  <c r="I313" i="58"/>
  <c r="L313" i="58"/>
  <c r="H313" i="58"/>
  <c r="H257" i="58"/>
  <c r="M257" i="58"/>
  <c r="L594" i="58"/>
  <c r="M594" i="58"/>
  <c r="M750" i="58"/>
  <c r="H262" i="58"/>
  <c r="M262" i="58"/>
  <c r="K599" i="58"/>
  <c r="M911" i="58"/>
  <c r="H965" i="58"/>
  <c r="L965" i="58"/>
  <c r="I965" i="58"/>
  <c r="M965" i="58"/>
  <c r="H809" i="58"/>
  <c r="L809" i="58"/>
  <c r="I809" i="58"/>
  <c r="M809" i="58"/>
  <c r="H653" i="58"/>
  <c r="L653" i="58"/>
  <c r="I653" i="58"/>
  <c r="M653" i="58"/>
  <c r="M318" i="58"/>
  <c r="I318" i="58"/>
  <c r="L318" i="58"/>
  <c r="H318" i="58"/>
  <c r="H372" i="58"/>
  <c r="L398" i="58"/>
  <c r="I398" i="58"/>
  <c r="K398" i="58"/>
  <c r="I680" i="58"/>
  <c r="K836" i="58"/>
  <c r="L992" i="58"/>
  <c r="AG48" i="57"/>
  <c r="W266" i="12" s="1"/>
  <c r="AI110" i="57"/>
  <c r="Y318" i="12" s="1"/>
  <c r="AI127" i="57"/>
  <c r="Y335" i="12" s="1"/>
  <c r="AF63" i="57"/>
  <c r="V281" i="12" s="1"/>
  <c r="D975" i="11"/>
  <c r="D1160" i="11"/>
  <c r="D964" i="11"/>
  <c r="D1162" i="11"/>
  <c r="D1164" i="11"/>
  <c r="D1011" i="11"/>
  <c r="D1142" i="11"/>
  <c r="D859" i="58"/>
  <c r="D884" i="58"/>
  <c r="D909" i="58"/>
  <c r="D934" i="58"/>
  <c r="D959" i="58"/>
  <c r="D984" i="58"/>
  <c r="D703" i="58"/>
  <c r="D728" i="58"/>
  <c r="D753" i="58"/>
  <c r="D778" i="58"/>
  <c r="D803" i="58"/>
  <c r="D828" i="58"/>
  <c r="D547" i="58"/>
  <c r="D572" i="58"/>
  <c r="D597" i="58"/>
  <c r="D622" i="58"/>
  <c r="D647" i="58"/>
  <c r="D672" i="58"/>
  <c r="D1002" i="11"/>
  <c r="D978" i="11"/>
  <c r="D1124" i="11"/>
  <c r="D1137" i="11"/>
  <c r="D1167" i="11"/>
  <c r="D1010" i="11"/>
  <c r="K845" i="58"/>
  <c r="H845" i="58"/>
  <c r="L845" i="58"/>
  <c r="I845" i="58"/>
  <c r="M845" i="58"/>
  <c r="H689" i="58"/>
  <c r="L689" i="58"/>
  <c r="I689" i="58"/>
  <c r="M689" i="58"/>
  <c r="K689" i="58"/>
  <c r="I533" i="58"/>
  <c r="M533" i="58"/>
  <c r="K533" i="58"/>
  <c r="H533" i="58"/>
  <c r="L533" i="58"/>
  <c r="K535" i="58"/>
  <c r="K691" i="58"/>
  <c r="L691" i="58"/>
  <c r="L847" i="58"/>
  <c r="I305" i="58"/>
  <c r="L796" i="58"/>
  <c r="I315" i="58"/>
  <c r="I650" i="58"/>
  <c r="L650" i="58"/>
  <c r="I807" i="58"/>
  <c r="I962" i="58"/>
  <c r="L962" i="58"/>
  <c r="L553" i="58"/>
  <c r="K709" i="58"/>
  <c r="K865" i="58"/>
  <c r="L344" i="58"/>
  <c r="I344" i="58"/>
  <c r="M370" i="58"/>
  <c r="K344" i="58"/>
  <c r="L678" i="58"/>
  <c r="M834" i="58"/>
  <c r="I990" i="58"/>
  <c r="M761" i="58"/>
  <c r="L917" i="58"/>
  <c r="L423" i="58"/>
  <c r="I448" i="58"/>
  <c r="AH85" i="57"/>
  <c r="X213" i="12" s="1"/>
  <c r="X245" i="12"/>
  <c r="AB245" i="12"/>
  <c r="AA348" i="12"/>
  <c r="W348" i="12"/>
  <c r="AC348" i="12"/>
  <c r="Y348" i="12"/>
  <c r="AC346" i="12"/>
  <c r="Y346" i="12"/>
  <c r="AC244" i="12"/>
  <c r="Y244" i="12"/>
  <c r="AB346" i="12"/>
  <c r="X346" i="12"/>
  <c r="AH13" i="57"/>
  <c r="W346" i="12"/>
  <c r="AA346" i="12"/>
  <c r="AI75" i="57"/>
  <c r="Y293" i="12" s="1"/>
  <c r="AF162" i="57"/>
  <c r="V365" i="12" s="1"/>
  <c r="AG100" i="57"/>
  <c r="W313" i="12" s="1"/>
  <c r="AF115" i="57"/>
  <c r="V323" i="12" s="1"/>
  <c r="D969" i="11"/>
  <c r="D1126" i="11"/>
  <c r="K534" i="58"/>
  <c r="I690" i="58"/>
  <c r="H259" i="58"/>
  <c r="M259" i="58"/>
  <c r="L596" i="58"/>
  <c r="M596" i="58"/>
  <c r="H265" i="58"/>
  <c r="M265" i="58"/>
  <c r="L602" i="58"/>
  <c r="M602" i="58"/>
  <c r="M758" i="58"/>
  <c r="H300" i="58"/>
  <c r="I791" i="58"/>
  <c r="K537" i="58"/>
  <c r="K693" i="58"/>
  <c r="L693" i="58"/>
  <c r="L849" i="58"/>
  <c r="I304" i="58"/>
  <c r="I639" i="58"/>
  <c r="I951" i="58"/>
  <c r="H409" i="58"/>
  <c r="L409" i="58"/>
  <c r="I434" i="58"/>
  <c r="K419" i="58"/>
  <c r="H444" i="58"/>
  <c r="M419" i="58"/>
  <c r="H215" i="58"/>
  <c r="L241" i="58"/>
  <c r="L578" i="58"/>
  <c r="I890" i="58"/>
  <c r="L294" i="58"/>
  <c r="K294" i="58"/>
  <c r="L630" i="58"/>
  <c r="K786" i="58"/>
  <c r="L942" i="58"/>
  <c r="K523" i="58"/>
  <c r="H473" i="58"/>
  <c r="L498" i="58"/>
  <c r="I498" i="58"/>
  <c r="J498" i="58"/>
  <c r="AF90" i="57"/>
  <c r="V303" i="12" s="1"/>
  <c r="AC212" i="12"/>
  <c r="Y212" i="12"/>
  <c r="V212" i="12"/>
  <c r="Z212" i="12"/>
  <c r="AA211" i="12"/>
  <c r="W211" i="12"/>
  <c r="AB210" i="12"/>
  <c r="X210" i="12"/>
  <c r="AC210" i="12"/>
  <c r="Y210" i="12"/>
  <c r="AA210" i="12"/>
  <c r="W210" i="12"/>
  <c r="V208" i="12"/>
  <c r="Z208" i="12"/>
  <c r="AH45" i="57"/>
  <c r="X200" i="12" s="1"/>
  <c r="AG95" i="57"/>
  <c r="W308" i="12" s="1"/>
  <c r="AH157" i="57"/>
  <c r="X360" i="12" s="1"/>
  <c r="D1130" i="11"/>
  <c r="K704" i="58"/>
  <c r="L860" i="58"/>
  <c r="K532" i="58"/>
  <c r="I688" i="58"/>
  <c r="H969" i="58"/>
  <c r="L969" i="58"/>
  <c r="I969" i="58"/>
  <c r="M969" i="58"/>
  <c r="K969" i="58"/>
  <c r="H813" i="58"/>
  <c r="L813" i="58"/>
  <c r="I813" i="58"/>
  <c r="M813" i="58"/>
  <c r="K813" i="58"/>
  <c r="H657" i="58"/>
  <c r="L657" i="58"/>
  <c r="I657" i="58"/>
  <c r="M657" i="58"/>
  <c r="K657" i="58"/>
  <c r="K375" i="58"/>
  <c r="K349" i="58"/>
  <c r="K323" i="58"/>
  <c r="M375" i="58"/>
  <c r="I375" i="58"/>
  <c r="M349" i="58"/>
  <c r="I349" i="58"/>
  <c r="M323" i="58"/>
  <c r="I323" i="58"/>
  <c r="L375" i="58"/>
  <c r="H375" i="58"/>
  <c r="L349" i="58"/>
  <c r="H349" i="58"/>
  <c r="L323" i="58"/>
  <c r="H323" i="58"/>
  <c r="K970" i="58"/>
  <c r="I970" i="58"/>
  <c r="M970" i="58"/>
  <c r="H970" i="58"/>
  <c r="L970" i="58"/>
  <c r="K814" i="58"/>
  <c r="H814" i="58"/>
  <c r="L814" i="58"/>
  <c r="I814" i="58"/>
  <c r="M814" i="58"/>
  <c r="K658" i="58"/>
  <c r="H658" i="58"/>
  <c r="L658" i="58"/>
  <c r="I658" i="58"/>
  <c r="M658" i="58"/>
  <c r="K376" i="58"/>
  <c r="K350" i="58"/>
  <c r="K324" i="58"/>
  <c r="M376" i="58"/>
  <c r="I376" i="58"/>
  <c r="M350" i="58"/>
  <c r="I350" i="58"/>
  <c r="M324" i="58"/>
  <c r="I324" i="58"/>
  <c r="L376" i="58"/>
  <c r="H376" i="58"/>
  <c r="L350" i="58"/>
  <c r="H350" i="58"/>
  <c r="L324" i="58"/>
  <c r="H324" i="58"/>
  <c r="H985" i="58"/>
  <c r="L985" i="58"/>
  <c r="I985" i="58"/>
  <c r="M985" i="58"/>
  <c r="K985" i="58"/>
  <c r="H829" i="58"/>
  <c r="L829" i="58"/>
  <c r="I829" i="58"/>
  <c r="M829" i="58"/>
  <c r="K829" i="58"/>
  <c r="H673" i="58"/>
  <c r="L673" i="58"/>
  <c r="I673" i="58"/>
  <c r="M673" i="58"/>
  <c r="K673" i="58"/>
  <c r="K391" i="58"/>
  <c r="K365" i="58"/>
  <c r="K339" i="58"/>
  <c r="M391" i="58"/>
  <c r="I391" i="58"/>
  <c r="M365" i="58"/>
  <c r="I365" i="58"/>
  <c r="M339" i="58"/>
  <c r="I339" i="58"/>
  <c r="L391" i="58"/>
  <c r="H391" i="58"/>
  <c r="L365" i="58"/>
  <c r="H365" i="58"/>
  <c r="L339" i="58"/>
  <c r="H339" i="58"/>
  <c r="H971" i="58"/>
  <c r="L971" i="58"/>
  <c r="I971" i="58"/>
  <c r="M971" i="58"/>
  <c r="K971" i="58"/>
  <c r="H815" i="58"/>
  <c r="L815" i="58"/>
  <c r="I815" i="58"/>
  <c r="M815" i="58"/>
  <c r="K815" i="58"/>
  <c r="H659" i="58"/>
  <c r="L659" i="58"/>
  <c r="I659" i="58"/>
  <c r="M659" i="58"/>
  <c r="K659" i="58"/>
  <c r="K377" i="58"/>
  <c r="K351" i="58"/>
  <c r="K325" i="58"/>
  <c r="M377" i="58"/>
  <c r="I377" i="58"/>
  <c r="M351" i="58"/>
  <c r="I351" i="58"/>
  <c r="M325" i="58"/>
  <c r="I325" i="58"/>
  <c r="L377" i="58"/>
  <c r="H377" i="58"/>
  <c r="L351" i="58"/>
  <c r="H351" i="58"/>
  <c r="L325" i="58"/>
  <c r="H325" i="58"/>
  <c r="K972" i="58"/>
  <c r="I972" i="58"/>
  <c r="M972" i="58"/>
  <c r="L972" i="58"/>
  <c r="H972" i="58"/>
  <c r="K816" i="58"/>
  <c r="H816" i="58"/>
  <c r="L816" i="58"/>
  <c r="I816" i="58"/>
  <c r="M816" i="58"/>
  <c r="K660" i="58"/>
  <c r="H660" i="58"/>
  <c r="L660" i="58"/>
  <c r="I660" i="58"/>
  <c r="M660" i="58"/>
  <c r="K378" i="58"/>
  <c r="K352" i="58"/>
  <c r="K326" i="58"/>
  <c r="M378" i="58"/>
  <c r="I378" i="58"/>
  <c r="M352" i="58"/>
  <c r="I352" i="58"/>
  <c r="M326" i="58"/>
  <c r="I326" i="58"/>
  <c r="L378" i="58"/>
  <c r="H378" i="58"/>
  <c r="L352" i="58"/>
  <c r="H352" i="58"/>
  <c r="L326" i="58"/>
  <c r="H326" i="58"/>
  <c r="H973" i="58"/>
  <c r="I973" i="58"/>
  <c r="M973" i="58"/>
  <c r="K973" i="58"/>
  <c r="L973" i="58"/>
  <c r="H817" i="58"/>
  <c r="L817" i="58"/>
  <c r="I817" i="58"/>
  <c r="M817" i="58"/>
  <c r="K817" i="58"/>
  <c r="H661" i="58"/>
  <c r="L661" i="58"/>
  <c r="I661" i="58"/>
  <c r="M661" i="58"/>
  <c r="K661" i="58"/>
  <c r="K379" i="58"/>
  <c r="K353" i="58"/>
  <c r="K327" i="58"/>
  <c r="M379" i="58"/>
  <c r="I379" i="58"/>
  <c r="M353" i="58"/>
  <c r="I353" i="58"/>
  <c r="M327" i="58"/>
  <c r="I327" i="58"/>
  <c r="L379" i="58"/>
  <c r="H379" i="58"/>
  <c r="L353" i="58"/>
  <c r="H353" i="58"/>
  <c r="L327" i="58"/>
  <c r="H327" i="58"/>
  <c r="K974" i="58"/>
  <c r="I974" i="58"/>
  <c r="M974" i="58"/>
  <c r="H974" i="58"/>
  <c r="L974" i="58"/>
  <c r="K818" i="58"/>
  <c r="H818" i="58"/>
  <c r="L818" i="58"/>
  <c r="I818" i="58"/>
  <c r="M818" i="58"/>
  <c r="K662" i="58"/>
  <c r="H662" i="58"/>
  <c r="L662" i="58"/>
  <c r="I662" i="58"/>
  <c r="M662" i="58"/>
  <c r="K380" i="58"/>
  <c r="K354" i="58"/>
  <c r="K328" i="58"/>
  <c r="M380" i="58"/>
  <c r="I380" i="58"/>
  <c r="M354" i="58"/>
  <c r="I354" i="58"/>
  <c r="M328" i="58"/>
  <c r="I328" i="58"/>
  <c r="L380" i="58"/>
  <c r="H380" i="58"/>
  <c r="L354" i="58"/>
  <c r="H354" i="58"/>
  <c r="L328" i="58"/>
  <c r="H328" i="58"/>
  <c r="H977" i="58"/>
  <c r="L977" i="58"/>
  <c r="I977" i="58"/>
  <c r="M977" i="58"/>
  <c r="K977" i="58"/>
  <c r="H821" i="58"/>
  <c r="L821" i="58"/>
  <c r="I821" i="58"/>
  <c r="M821" i="58"/>
  <c r="K821" i="58"/>
  <c r="H665" i="58"/>
  <c r="L665" i="58"/>
  <c r="I665" i="58"/>
  <c r="M665" i="58"/>
  <c r="K665" i="58"/>
  <c r="K383" i="58"/>
  <c r="K357" i="58"/>
  <c r="K331" i="58"/>
  <c r="M383" i="58"/>
  <c r="I383" i="58"/>
  <c r="M357" i="58"/>
  <c r="I357" i="58"/>
  <c r="M331" i="58"/>
  <c r="I331" i="58"/>
  <c r="L383" i="58"/>
  <c r="H383" i="58"/>
  <c r="L357" i="58"/>
  <c r="H357" i="58"/>
  <c r="L331" i="58"/>
  <c r="H331" i="58"/>
  <c r="K905" i="58"/>
  <c r="H905" i="58"/>
  <c r="L905" i="58"/>
  <c r="M905" i="58"/>
  <c r="K749" i="58"/>
  <c r="M749" i="58"/>
  <c r="L749" i="58"/>
  <c r="H749" i="58"/>
  <c r="K593" i="58"/>
  <c r="H593" i="58"/>
  <c r="L593" i="58"/>
  <c r="M593" i="58"/>
  <c r="K256" i="58"/>
  <c r="M256" i="58"/>
  <c r="L256" i="58"/>
  <c r="H256" i="58"/>
  <c r="K909" i="58"/>
  <c r="H909" i="58"/>
  <c r="L909" i="58"/>
  <c r="M909" i="58"/>
  <c r="K753" i="58"/>
  <c r="H753" i="58"/>
  <c r="L753" i="58"/>
  <c r="M753" i="58"/>
  <c r="K597" i="58"/>
  <c r="H597" i="58"/>
  <c r="L597" i="58"/>
  <c r="M597" i="58"/>
  <c r="K260" i="58"/>
  <c r="M260" i="58"/>
  <c r="L260" i="58"/>
  <c r="H260" i="58"/>
  <c r="H979" i="58"/>
  <c r="L979" i="58"/>
  <c r="I979" i="58"/>
  <c r="M979" i="58"/>
  <c r="K979" i="58"/>
  <c r="H823" i="58"/>
  <c r="L823" i="58"/>
  <c r="I823" i="58"/>
  <c r="M823" i="58"/>
  <c r="K823" i="58"/>
  <c r="H667" i="58"/>
  <c r="L667" i="58"/>
  <c r="I667" i="58"/>
  <c r="M667" i="58"/>
  <c r="K667" i="58"/>
  <c r="K385" i="58"/>
  <c r="K359" i="58"/>
  <c r="K333" i="58"/>
  <c r="M385" i="58"/>
  <c r="I385" i="58"/>
  <c r="M359" i="58"/>
  <c r="I359" i="58"/>
  <c r="M333" i="58"/>
  <c r="I333" i="58"/>
  <c r="L385" i="58"/>
  <c r="H385" i="58"/>
  <c r="L359" i="58"/>
  <c r="H359" i="58"/>
  <c r="L333" i="58"/>
  <c r="H333" i="58"/>
  <c r="J513" i="58"/>
  <c r="J488" i="58"/>
  <c r="J463" i="58"/>
  <c r="I513" i="58"/>
  <c r="I488" i="58"/>
  <c r="I463" i="58"/>
  <c r="L513" i="58"/>
  <c r="H513" i="58"/>
  <c r="L488" i="58"/>
  <c r="H488" i="58"/>
  <c r="L463" i="58"/>
  <c r="H463" i="58"/>
  <c r="K513" i="58"/>
  <c r="K488" i="58"/>
  <c r="K463" i="58"/>
  <c r="K856" i="58"/>
  <c r="H856" i="58"/>
  <c r="L856" i="58"/>
  <c r="I856" i="58"/>
  <c r="M856" i="58"/>
  <c r="H700" i="58"/>
  <c r="L700" i="58"/>
  <c r="I700" i="58"/>
  <c r="K700" i="58"/>
  <c r="M700" i="58"/>
  <c r="K544" i="58"/>
  <c r="H544" i="58"/>
  <c r="L544" i="58"/>
  <c r="I544" i="58"/>
  <c r="M544" i="58"/>
  <c r="I883" i="58"/>
  <c r="M883" i="58"/>
  <c r="H883" i="58"/>
  <c r="L883" i="58"/>
  <c r="H727" i="58"/>
  <c r="L727" i="58"/>
  <c r="I727" i="58"/>
  <c r="M727" i="58"/>
  <c r="I571" i="58"/>
  <c r="M571" i="58"/>
  <c r="H571" i="58"/>
  <c r="L571" i="58"/>
  <c r="M234" i="58"/>
  <c r="I234" i="58"/>
  <c r="M208" i="58"/>
  <c r="I208" i="58"/>
  <c r="L234" i="58"/>
  <c r="H234" i="58"/>
  <c r="L208" i="58"/>
  <c r="H208" i="58"/>
  <c r="M182" i="58"/>
  <c r="M52" i="58" s="1"/>
  <c r="M78" i="58" s="1"/>
  <c r="M104" i="58" s="1"/>
  <c r="M130" i="58" s="1"/>
  <c r="M156" i="58" s="1"/>
  <c r="I182" i="58"/>
  <c r="I52" i="58" s="1"/>
  <c r="I78" i="58" s="1"/>
  <c r="I104" i="58" s="1"/>
  <c r="I130" i="58" s="1"/>
  <c r="I156" i="58" s="1"/>
  <c r="L182" i="58"/>
  <c r="L52" i="58" s="1"/>
  <c r="L78" i="58" s="1"/>
  <c r="L104" i="58" s="1"/>
  <c r="L130" i="58" s="1"/>
  <c r="L156" i="58" s="1"/>
  <c r="H182" i="58"/>
  <c r="H52" i="58" s="1"/>
  <c r="H78" i="58" s="1"/>
  <c r="H104" i="58" s="1"/>
  <c r="H130" i="58" s="1"/>
  <c r="H156" i="58" s="1"/>
  <c r="K936" i="58"/>
  <c r="H936" i="58"/>
  <c r="L936" i="58"/>
  <c r="I936" i="58"/>
  <c r="K780" i="58"/>
  <c r="H780" i="58"/>
  <c r="L780" i="58"/>
  <c r="I780" i="58"/>
  <c r="K624" i="58"/>
  <c r="H624" i="58"/>
  <c r="L624" i="58"/>
  <c r="I624" i="58"/>
  <c r="K288" i="58"/>
  <c r="I288" i="58"/>
  <c r="L288" i="58"/>
  <c r="H288" i="58"/>
  <c r="H989" i="58"/>
  <c r="L989" i="58"/>
  <c r="I989" i="58"/>
  <c r="M989" i="58"/>
  <c r="K989" i="58"/>
  <c r="H833" i="58"/>
  <c r="L833" i="58"/>
  <c r="I833" i="58"/>
  <c r="M833" i="58"/>
  <c r="K833" i="58"/>
  <c r="H677" i="58"/>
  <c r="L677" i="58"/>
  <c r="I677" i="58"/>
  <c r="M677" i="58"/>
  <c r="K677" i="58"/>
  <c r="K395" i="58"/>
  <c r="K369" i="58"/>
  <c r="K343" i="58"/>
  <c r="M395" i="58"/>
  <c r="I395" i="58"/>
  <c r="M369" i="58"/>
  <c r="I369" i="58"/>
  <c r="M343" i="58"/>
  <c r="I343" i="58"/>
  <c r="L395" i="58"/>
  <c r="H395" i="58"/>
  <c r="L369" i="58"/>
  <c r="H369" i="58"/>
  <c r="L343" i="58"/>
  <c r="H343" i="58"/>
  <c r="J443" i="58"/>
  <c r="J418" i="58"/>
  <c r="M443" i="58"/>
  <c r="I443" i="58"/>
  <c r="M418" i="58"/>
  <c r="I418" i="58"/>
  <c r="L443" i="58"/>
  <c r="H443" i="58"/>
  <c r="K443" i="58"/>
  <c r="H418" i="58"/>
  <c r="L418" i="58"/>
  <c r="K418" i="58"/>
  <c r="H878" i="58"/>
  <c r="L878" i="58"/>
  <c r="M878" i="58"/>
  <c r="I878" i="58"/>
  <c r="H722" i="58"/>
  <c r="L722" i="58"/>
  <c r="I722" i="58"/>
  <c r="M722" i="58"/>
  <c r="H566" i="58"/>
  <c r="L566" i="58"/>
  <c r="I566" i="58"/>
  <c r="M566" i="58"/>
  <c r="M229" i="58"/>
  <c r="I229" i="58"/>
  <c r="L229" i="58"/>
  <c r="H229" i="58"/>
  <c r="M203" i="58"/>
  <c r="I203" i="58"/>
  <c r="M177" i="58"/>
  <c r="M47" i="58" s="1"/>
  <c r="M73" i="58" s="1"/>
  <c r="M99" i="58" s="1"/>
  <c r="M125" i="58" s="1"/>
  <c r="M151" i="58" s="1"/>
  <c r="I177" i="58"/>
  <c r="I47" i="58" s="1"/>
  <c r="I73" i="58" s="1"/>
  <c r="I99" i="58" s="1"/>
  <c r="I125" i="58" s="1"/>
  <c r="I151" i="58" s="1"/>
  <c r="L203" i="58"/>
  <c r="H203" i="58"/>
  <c r="L177" i="58"/>
  <c r="L47" i="58" s="1"/>
  <c r="L73" i="58" s="1"/>
  <c r="L99" i="58" s="1"/>
  <c r="L125" i="58" s="1"/>
  <c r="L151" i="58" s="1"/>
  <c r="H177" i="58"/>
  <c r="H47" i="58" s="1"/>
  <c r="H73" i="58" s="1"/>
  <c r="H99" i="58" s="1"/>
  <c r="H125" i="58" s="1"/>
  <c r="H151" i="58" s="1"/>
  <c r="K930" i="58"/>
  <c r="H930" i="58"/>
  <c r="L930" i="58"/>
  <c r="I930" i="58"/>
  <c r="K774" i="58"/>
  <c r="H774" i="58"/>
  <c r="L774" i="58"/>
  <c r="I774" i="58"/>
  <c r="K618" i="58"/>
  <c r="H618" i="58"/>
  <c r="L618" i="58"/>
  <c r="I618" i="58"/>
  <c r="K282" i="58"/>
  <c r="I282" i="58"/>
  <c r="L282" i="58"/>
  <c r="H282" i="58"/>
  <c r="K982" i="58"/>
  <c r="H982" i="58"/>
  <c r="L982" i="58"/>
  <c r="I982" i="58"/>
  <c r="M982" i="58"/>
  <c r="K826" i="58"/>
  <c r="H826" i="58"/>
  <c r="L826" i="58"/>
  <c r="I826" i="58"/>
  <c r="M826" i="58"/>
  <c r="K670" i="58"/>
  <c r="H670" i="58"/>
  <c r="L670" i="58"/>
  <c r="I670" i="58"/>
  <c r="M670" i="58"/>
  <c r="K388" i="58"/>
  <c r="K362" i="58"/>
  <c r="K336" i="58"/>
  <c r="M388" i="58"/>
  <c r="I388" i="58"/>
  <c r="M362" i="58"/>
  <c r="I362" i="58"/>
  <c r="M336" i="58"/>
  <c r="I336" i="58"/>
  <c r="L388" i="58"/>
  <c r="H388" i="58"/>
  <c r="L362" i="58"/>
  <c r="H362" i="58"/>
  <c r="L336" i="58"/>
  <c r="H336" i="58"/>
  <c r="J516" i="58"/>
  <c r="J491" i="58"/>
  <c r="J466" i="58"/>
  <c r="I516" i="58"/>
  <c r="I491" i="58"/>
  <c r="I466" i="58"/>
  <c r="L516" i="58"/>
  <c r="H516" i="58"/>
  <c r="L491" i="58"/>
  <c r="H491" i="58"/>
  <c r="L466" i="58"/>
  <c r="H466" i="58"/>
  <c r="K516" i="58"/>
  <c r="K491" i="58"/>
  <c r="K466" i="58"/>
  <c r="H859" i="58"/>
  <c r="L859" i="58"/>
  <c r="I859" i="58"/>
  <c r="M859" i="58"/>
  <c r="K859" i="58"/>
  <c r="H703" i="58"/>
  <c r="L703" i="58"/>
  <c r="I703" i="58"/>
  <c r="M703" i="58"/>
  <c r="K703" i="58"/>
  <c r="I547" i="58"/>
  <c r="M547" i="58"/>
  <c r="K547" i="58"/>
  <c r="H547" i="58"/>
  <c r="L547" i="58"/>
  <c r="C553" i="58"/>
  <c r="C578" i="58"/>
  <c r="C603" i="58"/>
  <c r="C628" i="58"/>
  <c r="C653" i="58"/>
  <c r="C678" i="58"/>
  <c r="B18" i="26"/>
  <c r="J501" i="58"/>
  <c r="J476" i="58"/>
  <c r="J451" i="58"/>
  <c r="I501" i="58"/>
  <c r="I476" i="58"/>
  <c r="I451" i="58"/>
  <c r="L501" i="58"/>
  <c r="H501" i="58"/>
  <c r="L476" i="58"/>
  <c r="H476" i="58"/>
  <c r="L451" i="58"/>
  <c r="H451" i="58"/>
  <c r="K501" i="58"/>
  <c r="K476" i="58"/>
  <c r="K451" i="58"/>
  <c r="J502" i="58"/>
  <c r="J477" i="58"/>
  <c r="J452" i="58"/>
  <c r="I502" i="58"/>
  <c r="I477" i="58"/>
  <c r="I452" i="58"/>
  <c r="L502" i="58"/>
  <c r="H502" i="58"/>
  <c r="L477" i="58"/>
  <c r="H477" i="58"/>
  <c r="L452" i="58"/>
  <c r="H452" i="58"/>
  <c r="K502" i="58"/>
  <c r="K477" i="58"/>
  <c r="K452" i="58"/>
  <c r="J517" i="58"/>
  <c r="J492" i="58"/>
  <c r="J467" i="58"/>
  <c r="I517" i="58"/>
  <c r="I492" i="58"/>
  <c r="I467" i="58"/>
  <c r="L517" i="58"/>
  <c r="H517" i="58"/>
  <c r="L492" i="58"/>
  <c r="H492" i="58"/>
  <c r="L467" i="58"/>
  <c r="H467" i="58"/>
  <c r="K517" i="58"/>
  <c r="K492" i="58"/>
  <c r="K467" i="58"/>
  <c r="J503" i="58"/>
  <c r="J478" i="58"/>
  <c r="J453" i="58"/>
  <c r="I503" i="58"/>
  <c r="I478" i="58"/>
  <c r="I453" i="58"/>
  <c r="L503" i="58"/>
  <c r="H503" i="58"/>
  <c r="L478" i="58"/>
  <c r="H478" i="58"/>
  <c r="L453" i="58"/>
  <c r="H453" i="58"/>
  <c r="K503" i="58"/>
  <c r="K478" i="58"/>
  <c r="K453" i="58"/>
  <c r="J504" i="58"/>
  <c r="J479" i="58"/>
  <c r="J454" i="58"/>
  <c r="I504" i="58"/>
  <c r="I479" i="58"/>
  <c r="I454" i="58"/>
  <c r="L504" i="58"/>
  <c r="H504" i="58"/>
  <c r="L479" i="58"/>
  <c r="H479" i="58"/>
  <c r="L454" i="58"/>
  <c r="H454" i="58"/>
  <c r="K504" i="58"/>
  <c r="K479" i="58"/>
  <c r="K454" i="58"/>
  <c r="J505" i="58"/>
  <c r="J480" i="58"/>
  <c r="J455" i="58"/>
  <c r="I505" i="58"/>
  <c r="I480" i="58"/>
  <c r="I455" i="58"/>
  <c r="L505" i="58"/>
  <c r="H505" i="58"/>
  <c r="L480" i="58"/>
  <c r="H480" i="58"/>
  <c r="L455" i="58"/>
  <c r="H455" i="58"/>
  <c r="K505" i="58"/>
  <c r="K480" i="58"/>
  <c r="K455" i="58"/>
  <c r="J506" i="58"/>
  <c r="J481" i="58"/>
  <c r="J456" i="58"/>
  <c r="I506" i="58"/>
  <c r="I481" i="58"/>
  <c r="I456" i="58"/>
  <c r="L506" i="58"/>
  <c r="H506" i="58"/>
  <c r="L481" i="58"/>
  <c r="H481" i="58"/>
  <c r="L456" i="58"/>
  <c r="H456" i="58"/>
  <c r="K506" i="58"/>
  <c r="K481" i="58"/>
  <c r="K456" i="58"/>
  <c r="J509" i="58"/>
  <c r="J484" i="58"/>
  <c r="J459" i="58"/>
  <c r="I509" i="58"/>
  <c r="I484" i="58"/>
  <c r="I459" i="58"/>
  <c r="L509" i="58"/>
  <c r="H509" i="58"/>
  <c r="L484" i="58"/>
  <c r="H484" i="58"/>
  <c r="L459" i="58"/>
  <c r="H459" i="58"/>
  <c r="K509" i="58"/>
  <c r="K484" i="58"/>
  <c r="K459" i="58"/>
  <c r="J437" i="58"/>
  <c r="J412" i="58"/>
  <c r="M437" i="58"/>
  <c r="I437" i="58"/>
  <c r="M412" i="58"/>
  <c r="I412" i="58"/>
  <c r="L437" i="58"/>
  <c r="H437" i="58"/>
  <c r="H412" i="58"/>
  <c r="K437" i="58"/>
  <c r="L412" i="58"/>
  <c r="K412" i="58"/>
  <c r="J441" i="58"/>
  <c r="J416" i="58"/>
  <c r="M441" i="58"/>
  <c r="I441" i="58"/>
  <c r="M416" i="58"/>
  <c r="I416" i="58"/>
  <c r="L441" i="58"/>
  <c r="H441" i="58"/>
  <c r="H416" i="58"/>
  <c r="K441" i="58"/>
  <c r="L416" i="58"/>
  <c r="K416" i="58"/>
  <c r="K851" i="58"/>
  <c r="I851" i="58"/>
  <c r="M851" i="58"/>
  <c r="L851" i="58"/>
  <c r="H851" i="58"/>
  <c r="H695" i="58"/>
  <c r="L695" i="58"/>
  <c r="I695" i="58"/>
  <c r="M695" i="58"/>
  <c r="K695" i="58"/>
  <c r="K539" i="58"/>
  <c r="H539" i="58"/>
  <c r="L539" i="58"/>
  <c r="I539" i="58"/>
  <c r="M539" i="58"/>
  <c r="H929" i="58"/>
  <c r="L929" i="58"/>
  <c r="I929" i="58"/>
  <c r="K929" i="58"/>
  <c r="H773" i="58"/>
  <c r="L773" i="58"/>
  <c r="I773" i="58"/>
  <c r="K773" i="58"/>
  <c r="I617" i="58"/>
  <c r="K617" i="58"/>
  <c r="H617" i="58"/>
  <c r="L617" i="58"/>
  <c r="K281" i="58"/>
  <c r="I281" i="58"/>
  <c r="L281" i="58"/>
  <c r="H281" i="58"/>
  <c r="H981" i="58"/>
  <c r="L981" i="58"/>
  <c r="I981" i="58"/>
  <c r="M981" i="58"/>
  <c r="K981" i="58"/>
  <c r="H825" i="58"/>
  <c r="L825" i="58"/>
  <c r="I825" i="58"/>
  <c r="M825" i="58"/>
  <c r="K825" i="58"/>
  <c r="H669" i="58"/>
  <c r="L669" i="58"/>
  <c r="I669" i="58"/>
  <c r="M669" i="58"/>
  <c r="K669" i="58"/>
  <c r="K387" i="58"/>
  <c r="K361" i="58"/>
  <c r="K335" i="58"/>
  <c r="M387" i="58"/>
  <c r="I387" i="58"/>
  <c r="M361" i="58"/>
  <c r="I361" i="58"/>
  <c r="M335" i="58"/>
  <c r="I335" i="58"/>
  <c r="L387" i="58"/>
  <c r="H387" i="58"/>
  <c r="L361" i="58"/>
  <c r="H361" i="58"/>
  <c r="L335" i="58"/>
  <c r="H335" i="58"/>
  <c r="J515" i="58"/>
  <c r="J490" i="58"/>
  <c r="J465" i="58"/>
  <c r="I515" i="58"/>
  <c r="I490" i="58"/>
  <c r="I465" i="58"/>
  <c r="L515" i="58"/>
  <c r="H515" i="58"/>
  <c r="L490" i="58"/>
  <c r="H490" i="58"/>
  <c r="L465" i="58"/>
  <c r="H465" i="58"/>
  <c r="K515" i="58"/>
  <c r="K490" i="58"/>
  <c r="K465" i="58"/>
  <c r="K858" i="58"/>
  <c r="H858" i="58"/>
  <c r="L858" i="58"/>
  <c r="I858" i="58"/>
  <c r="M858" i="58"/>
  <c r="K702" i="58"/>
  <c r="H702" i="58"/>
  <c r="L702" i="58"/>
  <c r="I702" i="58"/>
  <c r="M702" i="58"/>
  <c r="K546" i="58"/>
  <c r="H546" i="58"/>
  <c r="L546" i="58"/>
  <c r="I546" i="58"/>
  <c r="M546" i="58"/>
  <c r="H886" i="58"/>
  <c r="L886" i="58"/>
  <c r="I886" i="58"/>
  <c r="M886" i="58"/>
  <c r="H730" i="58"/>
  <c r="L730" i="58"/>
  <c r="I730" i="58"/>
  <c r="M730" i="58"/>
  <c r="H574" i="58"/>
  <c r="L574" i="58"/>
  <c r="I574" i="58"/>
  <c r="M574" i="58"/>
  <c r="M238" i="58"/>
  <c r="I238" i="58"/>
  <c r="M237" i="58"/>
  <c r="I237" i="58"/>
  <c r="M211" i="58"/>
  <c r="I211" i="58"/>
  <c r="L238" i="58"/>
  <c r="H238" i="58"/>
  <c r="L237" i="58"/>
  <c r="H237" i="58"/>
  <c r="L211" i="58"/>
  <c r="H211" i="58"/>
  <c r="M185" i="58"/>
  <c r="M55" i="58" s="1"/>
  <c r="M81" i="58" s="1"/>
  <c r="M107" i="58" s="1"/>
  <c r="M133" i="58" s="1"/>
  <c r="M159" i="58" s="1"/>
  <c r="I185" i="58"/>
  <c r="I55" i="58" s="1"/>
  <c r="I81" i="58" s="1"/>
  <c r="I107" i="58" s="1"/>
  <c r="I133" i="58" s="1"/>
  <c r="I159" i="58" s="1"/>
  <c r="L185" i="58"/>
  <c r="L55" i="58" s="1"/>
  <c r="L81" i="58" s="1"/>
  <c r="L107" i="58" s="1"/>
  <c r="L133" i="58" s="1"/>
  <c r="L159" i="58" s="1"/>
  <c r="H185" i="58"/>
  <c r="H55" i="58" s="1"/>
  <c r="H81" i="58" s="1"/>
  <c r="H107" i="58" s="1"/>
  <c r="H133" i="58" s="1"/>
  <c r="H159" i="58" s="1"/>
  <c r="H939" i="58"/>
  <c r="L939" i="58"/>
  <c r="I939" i="58"/>
  <c r="K939" i="58"/>
  <c r="H783" i="58"/>
  <c r="L783" i="58"/>
  <c r="I783" i="58"/>
  <c r="K783" i="58"/>
  <c r="I627" i="58"/>
  <c r="K627" i="58"/>
  <c r="H627" i="58"/>
  <c r="L627" i="58"/>
  <c r="K291" i="58"/>
  <c r="I291" i="58"/>
  <c r="L291" i="58"/>
  <c r="H291" i="58"/>
  <c r="I749" i="58"/>
  <c r="J436" i="58"/>
  <c r="J411" i="58"/>
  <c r="M436" i="58"/>
  <c r="I436" i="58"/>
  <c r="M411" i="58"/>
  <c r="I411" i="58"/>
  <c r="L436" i="58"/>
  <c r="H436" i="58"/>
  <c r="L411" i="58"/>
  <c r="K436" i="58"/>
  <c r="K411" i="58"/>
  <c r="H411" i="58"/>
  <c r="J445" i="58"/>
  <c r="J420" i="58"/>
  <c r="M445" i="58"/>
  <c r="I445" i="58"/>
  <c r="M420" i="58"/>
  <c r="I420" i="58"/>
  <c r="L445" i="58"/>
  <c r="H445" i="58"/>
  <c r="H420" i="58"/>
  <c r="K445" i="58"/>
  <c r="L420" i="58"/>
  <c r="K420" i="58"/>
  <c r="J510" i="58"/>
  <c r="J485" i="58"/>
  <c r="J460" i="58"/>
  <c r="I510" i="58"/>
  <c r="I485" i="58"/>
  <c r="I460" i="58"/>
  <c r="L510" i="58"/>
  <c r="H510" i="58"/>
  <c r="L485" i="58"/>
  <c r="H485" i="58"/>
  <c r="L460" i="58"/>
  <c r="H460" i="58"/>
  <c r="K510" i="58"/>
  <c r="K485" i="58"/>
  <c r="K460" i="58"/>
  <c r="K853" i="58"/>
  <c r="I853" i="58"/>
  <c r="M853" i="58"/>
  <c r="H853" i="58"/>
  <c r="L853" i="58"/>
  <c r="H697" i="58"/>
  <c r="L697" i="58"/>
  <c r="I697" i="58"/>
  <c r="M697" i="58"/>
  <c r="K697" i="58"/>
  <c r="K541" i="58"/>
  <c r="I541" i="58"/>
  <c r="L541" i="58"/>
  <c r="M541" i="58"/>
  <c r="H541" i="58"/>
  <c r="H880" i="58"/>
  <c r="L880" i="58"/>
  <c r="I880" i="58"/>
  <c r="M880" i="58"/>
  <c r="H724" i="58"/>
  <c r="L724" i="58"/>
  <c r="I724" i="58"/>
  <c r="M724" i="58"/>
  <c r="H568" i="58"/>
  <c r="L568" i="58"/>
  <c r="I568" i="58"/>
  <c r="M568" i="58"/>
  <c r="M231" i="58"/>
  <c r="I231" i="58"/>
  <c r="M205" i="58"/>
  <c r="I205" i="58"/>
  <c r="L231" i="58"/>
  <c r="H231" i="58"/>
  <c r="L205" i="58"/>
  <c r="H205" i="58"/>
  <c r="M179" i="58"/>
  <c r="M49" i="58" s="1"/>
  <c r="M75" i="58" s="1"/>
  <c r="M101" i="58" s="1"/>
  <c r="M127" i="58" s="1"/>
  <c r="M153" i="58" s="1"/>
  <c r="I179" i="58"/>
  <c r="I49" i="58" s="1"/>
  <c r="I75" i="58" s="1"/>
  <c r="I101" i="58" s="1"/>
  <c r="I127" i="58" s="1"/>
  <c r="I153" i="58" s="1"/>
  <c r="L179" i="58"/>
  <c r="L49" i="58" s="1"/>
  <c r="L75" i="58" s="1"/>
  <c r="L101" i="58" s="1"/>
  <c r="L127" i="58" s="1"/>
  <c r="L153" i="58" s="1"/>
  <c r="H179" i="58"/>
  <c r="H49" i="58" s="1"/>
  <c r="H75" i="58" s="1"/>
  <c r="H101" i="58" s="1"/>
  <c r="H127" i="58" s="1"/>
  <c r="H153" i="58" s="1"/>
  <c r="K932" i="58"/>
  <c r="H932" i="58"/>
  <c r="L932" i="58"/>
  <c r="I932" i="58"/>
  <c r="K776" i="58"/>
  <c r="H776" i="58"/>
  <c r="L776" i="58"/>
  <c r="I776" i="58"/>
  <c r="K620" i="58"/>
  <c r="H620" i="58"/>
  <c r="L620" i="58"/>
  <c r="I620" i="58"/>
  <c r="K284" i="58"/>
  <c r="I284" i="58"/>
  <c r="L284" i="58"/>
  <c r="H284" i="58"/>
  <c r="K984" i="58"/>
  <c r="H984" i="58"/>
  <c r="L984" i="58"/>
  <c r="I984" i="58"/>
  <c r="M984" i="58"/>
  <c r="K828" i="58"/>
  <c r="H828" i="58"/>
  <c r="L828" i="58"/>
  <c r="I828" i="58"/>
  <c r="M828" i="58"/>
  <c r="K672" i="58"/>
  <c r="H672" i="58"/>
  <c r="L672" i="58"/>
  <c r="I672" i="58"/>
  <c r="M672" i="58"/>
  <c r="K390" i="58"/>
  <c r="K364" i="58"/>
  <c r="K338" i="58"/>
  <c r="M390" i="58"/>
  <c r="I390" i="58"/>
  <c r="M364" i="58"/>
  <c r="I364" i="58"/>
  <c r="M338" i="58"/>
  <c r="I338" i="58"/>
  <c r="L390" i="58"/>
  <c r="H390" i="58"/>
  <c r="L364" i="58"/>
  <c r="H364" i="58"/>
  <c r="L338" i="58"/>
  <c r="H338" i="58"/>
  <c r="H7" i="58"/>
  <c r="K7" i="58"/>
  <c r="N7" i="58"/>
  <c r="J7" i="58"/>
  <c r="M7" i="58"/>
  <c r="I7" i="58"/>
  <c r="L7" i="58"/>
  <c r="L8" i="58"/>
  <c r="H8" i="58"/>
  <c r="K8" i="58"/>
  <c r="J8" i="58"/>
  <c r="M8" i="58"/>
  <c r="I8" i="58"/>
  <c r="M11" i="58"/>
  <c r="I11" i="58"/>
  <c r="L11" i="58"/>
  <c r="H11" i="58"/>
  <c r="K11" i="58"/>
  <c r="K269" i="58"/>
  <c r="M269" i="58"/>
  <c r="I269" i="58"/>
  <c r="L269" i="58"/>
  <c r="H269" i="58"/>
  <c r="C542" i="58"/>
  <c r="C567" i="58"/>
  <c r="C592" i="58"/>
  <c r="C617" i="58"/>
  <c r="C642" i="58"/>
  <c r="C667" i="58"/>
  <c r="C81" i="26"/>
  <c r="D100" i="12" s="1"/>
  <c r="D93" i="11" s="1"/>
  <c r="AH140" i="26"/>
  <c r="AG16" i="26"/>
  <c r="AF57" i="26"/>
  <c r="Y76" i="12" s="1"/>
  <c r="AE99" i="26"/>
  <c r="X118" i="12" s="1"/>
  <c r="AF120" i="26"/>
  <c r="Y139" i="12" s="1"/>
  <c r="AF140" i="26"/>
  <c r="Y159" i="12" s="1"/>
  <c r="AH88" i="26"/>
  <c r="AG109" i="26"/>
  <c r="H956" i="58"/>
  <c r="L956" i="58"/>
  <c r="I956" i="58"/>
  <c r="M956" i="58"/>
  <c r="H800" i="58"/>
  <c r="L800" i="58"/>
  <c r="I800" i="58"/>
  <c r="M800" i="58"/>
  <c r="H644" i="58"/>
  <c r="L644" i="58"/>
  <c r="I644" i="58"/>
  <c r="M644" i="58"/>
  <c r="M309" i="58"/>
  <c r="I309" i="58"/>
  <c r="L309" i="58"/>
  <c r="H309" i="58"/>
  <c r="J430" i="58"/>
  <c r="M430" i="58"/>
  <c r="I430" i="58"/>
  <c r="L430" i="58"/>
  <c r="H430" i="58"/>
  <c r="K405" i="58"/>
  <c r="J405" i="58"/>
  <c r="M405" i="58"/>
  <c r="I405" i="58"/>
  <c r="K430" i="58"/>
  <c r="L405" i="58"/>
  <c r="H405" i="58"/>
  <c r="M910" i="58"/>
  <c r="K910" i="58"/>
  <c r="H910" i="58"/>
  <c r="L910" i="58"/>
  <c r="H754" i="58"/>
  <c r="L754" i="58"/>
  <c r="M754" i="58"/>
  <c r="K754" i="58"/>
  <c r="I598" i="58"/>
  <c r="M598" i="58"/>
  <c r="K598" i="58"/>
  <c r="H598" i="58"/>
  <c r="L598" i="58"/>
  <c r="K261" i="58"/>
  <c r="M261" i="58"/>
  <c r="I261" i="58"/>
  <c r="L261" i="58"/>
  <c r="H261" i="58"/>
  <c r="K897" i="58"/>
  <c r="H897" i="58"/>
  <c r="L897" i="58"/>
  <c r="M897" i="58"/>
  <c r="K741" i="58"/>
  <c r="H741" i="58"/>
  <c r="L741" i="58"/>
  <c r="M741" i="58"/>
  <c r="K585" i="58"/>
  <c r="H585" i="58"/>
  <c r="L585" i="58"/>
  <c r="I585" i="58"/>
  <c r="M585" i="58"/>
  <c r="K248" i="58"/>
  <c r="M248" i="58"/>
  <c r="L248" i="58"/>
  <c r="H248" i="58"/>
  <c r="C534" i="58"/>
  <c r="C559" i="58"/>
  <c r="C584" i="58"/>
  <c r="C609" i="58"/>
  <c r="C634" i="58"/>
  <c r="C659" i="58"/>
  <c r="C538" i="58"/>
  <c r="C563" i="58"/>
  <c r="C588" i="58"/>
  <c r="C613" i="58"/>
  <c r="C638" i="58"/>
  <c r="C663" i="58"/>
  <c r="C546" i="58"/>
  <c r="C571" i="58"/>
  <c r="C596" i="58"/>
  <c r="C621" i="58"/>
  <c r="C646" i="58"/>
  <c r="C671" i="58"/>
  <c r="C533" i="58"/>
  <c r="C558" i="58"/>
  <c r="C583" i="58"/>
  <c r="C608" i="58"/>
  <c r="C633" i="58"/>
  <c r="C658" i="58"/>
  <c r="C535" i="58"/>
  <c r="C560" i="58"/>
  <c r="C585" i="58"/>
  <c r="C610" i="58"/>
  <c r="C635" i="58"/>
  <c r="C660" i="58"/>
  <c r="C537" i="58"/>
  <c r="C562" i="58"/>
  <c r="C587" i="58"/>
  <c r="C612" i="58"/>
  <c r="C637" i="58"/>
  <c r="C662" i="58"/>
  <c r="C572" i="58"/>
  <c r="C597" i="58"/>
  <c r="C622" i="58"/>
  <c r="C547" i="58"/>
  <c r="C647" i="58"/>
  <c r="C672" i="58"/>
  <c r="C574" i="58"/>
  <c r="C599" i="58"/>
  <c r="C624" i="58"/>
  <c r="C549" i="58"/>
  <c r="C649" i="58"/>
  <c r="C674" i="58"/>
  <c r="C552" i="58"/>
  <c r="C577" i="58"/>
  <c r="C602" i="58"/>
  <c r="C627" i="58"/>
  <c r="C652" i="58"/>
  <c r="C677" i="58"/>
  <c r="C568" i="58"/>
  <c r="C593" i="58"/>
  <c r="C618" i="58"/>
  <c r="C543" i="58"/>
  <c r="C668" i="58"/>
  <c r="C643" i="58"/>
  <c r="E992" i="58"/>
  <c r="D861" i="58"/>
  <c r="D886" i="58"/>
  <c r="D911" i="58"/>
  <c r="D936" i="58"/>
  <c r="D961" i="58"/>
  <c r="D986" i="58"/>
  <c r="D705" i="58"/>
  <c r="D730" i="58"/>
  <c r="D755" i="58"/>
  <c r="D780" i="58"/>
  <c r="D805" i="58"/>
  <c r="D830" i="58"/>
  <c r="D574" i="58"/>
  <c r="D599" i="58"/>
  <c r="D624" i="58"/>
  <c r="D549" i="58"/>
  <c r="D649" i="58"/>
  <c r="D674" i="58"/>
  <c r="M696" i="58"/>
  <c r="K852" i="58"/>
  <c r="I852" i="58"/>
  <c r="I292" i="58"/>
  <c r="I628" i="58"/>
  <c r="I940" i="58"/>
  <c r="H371" i="58"/>
  <c r="L397" i="58"/>
  <c r="I397" i="58"/>
  <c r="K397" i="58"/>
  <c r="M679" i="58"/>
  <c r="I835" i="58"/>
  <c r="AH72" i="57"/>
  <c r="X290" i="12" s="1"/>
  <c r="AF72" i="57"/>
  <c r="V290" i="12" s="1"/>
  <c r="AG195" i="57"/>
  <c r="W393" i="12" s="1"/>
  <c r="AH195" i="57"/>
  <c r="X393" i="12" s="1"/>
  <c r="AI194" i="57"/>
  <c r="Y392" i="12" s="1"/>
  <c r="AG133" i="57"/>
  <c r="W341" i="12" s="1"/>
  <c r="AF70" i="57"/>
  <c r="V288" i="12" s="1"/>
  <c r="AG194" i="57"/>
  <c r="W392" i="12" s="1"/>
  <c r="AH130" i="57"/>
  <c r="X338" i="12" s="1"/>
  <c r="AI130" i="57"/>
  <c r="Y338" i="12" s="1"/>
  <c r="AG68" i="57"/>
  <c r="W286" i="12" s="1"/>
  <c r="AH61" i="57"/>
  <c r="X279" i="12" s="1"/>
  <c r="AG61" i="57"/>
  <c r="W279" i="12" s="1"/>
  <c r="AI186" i="57"/>
  <c r="Y384" i="12" s="1"/>
  <c r="AH123" i="57"/>
  <c r="X331" i="12" s="1"/>
  <c r="AF60" i="57"/>
  <c r="V278" i="12" s="1"/>
  <c r="AG185" i="57"/>
  <c r="W383" i="12" s="1"/>
  <c r="AH122" i="57"/>
  <c r="X330" i="12" s="1"/>
  <c r="AI122" i="57"/>
  <c r="Y330" i="12" s="1"/>
  <c r="AF182" i="57"/>
  <c r="V380" i="12" s="1"/>
  <c r="L257" i="58"/>
  <c r="K257" i="58"/>
  <c r="K750" i="58"/>
  <c r="K906" i="58"/>
  <c r="L262" i="58"/>
  <c r="K262" i="58"/>
  <c r="L599" i="58"/>
  <c r="K755" i="58"/>
  <c r="H346" i="58"/>
  <c r="L372" i="58"/>
  <c r="I372" i="58"/>
  <c r="M398" i="58"/>
  <c r="K372" i="58"/>
  <c r="K680" i="58"/>
  <c r="L836" i="58"/>
  <c r="M992" i="58"/>
  <c r="AI22" i="57"/>
  <c r="Y250" i="12" s="1"/>
  <c r="AH84" i="57"/>
  <c r="X302" i="12" s="1"/>
  <c r="AI145" i="57"/>
  <c r="Y353" i="12" s="1"/>
  <c r="AF21" i="57"/>
  <c r="V249" i="12" s="1"/>
  <c r="AI144" i="57"/>
  <c r="Y352" i="12" s="1"/>
  <c r="AH20" i="57"/>
  <c r="X248" i="12" s="1"/>
  <c r="AG82" i="57"/>
  <c r="W300" i="12" s="1"/>
  <c r="AI82" i="57"/>
  <c r="Y300" i="12" s="1"/>
  <c r="AG80" i="57"/>
  <c r="W298" i="12" s="1"/>
  <c r="AF80" i="57"/>
  <c r="V298" i="12" s="1"/>
  <c r="AH18" i="57"/>
  <c r="X246" i="12" s="1"/>
  <c r="AH114" i="57"/>
  <c r="X322" i="12" s="1"/>
  <c r="AG52" i="57"/>
  <c r="W270" i="12" s="1"/>
  <c r="AF51" i="57"/>
  <c r="V269" i="12" s="1"/>
  <c r="AH176" i="57"/>
  <c r="X374" i="12" s="1"/>
  <c r="AI176" i="57"/>
  <c r="Y374" i="12" s="1"/>
  <c r="AG112" i="57"/>
  <c r="W320" i="12" s="1"/>
  <c r="AI174" i="57"/>
  <c r="Y372" i="12" s="1"/>
  <c r="AH110" i="57"/>
  <c r="X318" i="12" s="1"/>
  <c r="AG172" i="57"/>
  <c r="W370" i="12" s="1"/>
  <c r="AG110" i="57"/>
  <c r="W318" i="12" s="1"/>
  <c r="AF172" i="57"/>
  <c r="V370" i="12" s="1"/>
  <c r="AG66" i="57"/>
  <c r="W284" i="12" s="1"/>
  <c r="AI66" i="57"/>
  <c r="Y284" i="12" s="1"/>
  <c r="AG128" i="57"/>
  <c r="W336" i="12" s="1"/>
  <c r="AH127" i="57"/>
  <c r="X335" i="12" s="1"/>
  <c r="AH187" i="57"/>
  <c r="X385" i="12" s="1"/>
  <c r="AH63" i="57"/>
  <c r="X281" i="12" s="1"/>
  <c r="AG187" i="57"/>
  <c r="W385" i="12" s="1"/>
  <c r="D1001" i="11"/>
  <c r="D1132" i="11"/>
  <c r="D966" i="11"/>
  <c r="D1123" i="11"/>
  <c r="D1007" i="11"/>
  <c r="D1138" i="11"/>
  <c r="D983" i="11"/>
  <c r="D970" i="11"/>
  <c r="D1129" i="11"/>
  <c r="D985" i="11"/>
  <c r="D1120" i="11"/>
  <c r="D963" i="11"/>
  <c r="D976" i="11"/>
  <c r="D1135" i="11"/>
  <c r="D1122" i="11"/>
  <c r="D1006" i="11"/>
  <c r="D971" i="11"/>
  <c r="H950" i="58"/>
  <c r="L950" i="58"/>
  <c r="I950" i="58"/>
  <c r="M950" i="58"/>
  <c r="H794" i="58"/>
  <c r="L794" i="58"/>
  <c r="I794" i="58"/>
  <c r="M794" i="58"/>
  <c r="I638" i="58"/>
  <c r="M638" i="58"/>
  <c r="H638" i="58"/>
  <c r="L638" i="58"/>
  <c r="M303" i="58"/>
  <c r="I303" i="58"/>
  <c r="L303" i="58"/>
  <c r="H303" i="58"/>
  <c r="L535" i="58"/>
  <c r="M535" i="58"/>
  <c r="M691" i="58"/>
  <c r="M847" i="58"/>
  <c r="H305" i="58"/>
  <c r="I952" i="58"/>
  <c r="H316" i="58"/>
  <c r="L807" i="58"/>
  <c r="M553" i="58"/>
  <c r="L709" i="58"/>
  <c r="L865" i="58"/>
  <c r="M865" i="58"/>
  <c r="H396" i="58"/>
  <c r="M344" i="58"/>
  <c r="M678" i="58"/>
  <c r="I834" i="58"/>
  <c r="K990" i="58"/>
  <c r="H268" i="58"/>
  <c r="M268" i="58"/>
  <c r="K605" i="58"/>
  <c r="M917" i="58"/>
  <c r="I423" i="58"/>
  <c r="M448" i="58"/>
  <c r="J448" i="58"/>
  <c r="AF89" i="57"/>
  <c r="V217" i="12" s="1"/>
  <c r="AI151" i="57"/>
  <c r="Y227" i="12" s="1"/>
  <c r="AH150" i="57"/>
  <c r="X226" i="12" s="1"/>
  <c r="AF150" i="57"/>
  <c r="V226" i="12" s="1"/>
  <c r="AG149" i="57"/>
  <c r="W225" i="12" s="1"/>
  <c r="AF25" i="57"/>
  <c r="V205" i="12" s="1"/>
  <c r="AF149" i="57"/>
  <c r="V225" i="12" s="1"/>
  <c r="AI23" i="57"/>
  <c r="Y203" i="12" s="1"/>
  <c r="AI85" i="57"/>
  <c r="Y213" i="12" s="1"/>
  <c r="AF23" i="57"/>
  <c r="V203" i="12" s="1"/>
  <c r="AG79" i="57"/>
  <c r="W297" i="12" s="1"/>
  <c r="AA245" i="12"/>
  <c r="W245" i="12"/>
  <c r="V349" i="12"/>
  <c r="Z349" i="12"/>
  <c r="AF16" i="57"/>
  <c r="V244" i="12" s="1"/>
  <c r="AF140" i="57"/>
  <c r="AG16" i="57"/>
  <c r="AG139" i="57"/>
  <c r="AH140" i="57"/>
  <c r="AA242" i="12"/>
  <c r="W242" i="12"/>
  <c r="AG137" i="57"/>
  <c r="AF75" i="57"/>
  <c r="V293" i="12" s="1"/>
  <c r="AG166" i="57"/>
  <c r="W369" i="12" s="1"/>
  <c r="AI104" i="57"/>
  <c r="Y317" i="12" s="1"/>
  <c r="AF104" i="57"/>
  <c r="V317" i="12" s="1"/>
  <c r="AF165" i="57"/>
  <c r="V368" i="12" s="1"/>
  <c r="AI41" i="57"/>
  <c r="Y264" i="12" s="1"/>
  <c r="AH165" i="57"/>
  <c r="X368" i="12" s="1"/>
  <c r="AF102" i="57"/>
  <c r="V315" i="12" s="1"/>
  <c r="AG162" i="57"/>
  <c r="W365" i="12" s="1"/>
  <c r="AH100" i="57"/>
  <c r="X313" i="12" s="1"/>
  <c r="AF100" i="57"/>
  <c r="V313" i="12" s="1"/>
  <c r="AF57" i="57"/>
  <c r="V275" i="12" s="1"/>
  <c r="AG119" i="57"/>
  <c r="W327" i="12" s="1"/>
  <c r="AI56" i="57"/>
  <c r="Y274" i="12" s="1"/>
  <c r="AH56" i="57"/>
  <c r="X274" i="12" s="1"/>
  <c r="AI181" i="57"/>
  <c r="Y379" i="12" s="1"/>
  <c r="AF55" i="57"/>
  <c r="V273" i="12" s="1"/>
  <c r="AI117" i="57"/>
  <c r="Y325" i="12" s="1"/>
  <c r="AG179" i="57"/>
  <c r="W377" i="12" s="1"/>
  <c r="AH179" i="57"/>
  <c r="X377" i="12" s="1"/>
  <c r="AH117" i="57"/>
  <c r="X325" i="12" s="1"/>
  <c r="AF179" i="57"/>
  <c r="V377" i="12" s="1"/>
  <c r="AF53" i="57"/>
  <c r="V271" i="12" s="1"/>
  <c r="AI177" i="57"/>
  <c r="Y375" i="12" s="1"/>
  <c r="AH177" i="57"/>
  <c r="X375" i="12" s="1"/>
  <c r="D982" i="11"/>
  <c r="D1165" i="11"/>
  <c r="D1139" i="11"/>
  <c r="L534" i="58"/>
  <c r="K690" i="58"/>
  <c r="K846" i="58"/>
  <c r="L259" i="58"/>
  <c r="K259" i="58"/>
  <c r="K752" i="58"/>
  <c r="K908" i="58"/>
  <c r="L265" i="58"/>
  <c r="K265" i="58"/>
  <c r="K914" i="58"/>
  <c r="L300" i="58"/>
  <c r="L635" i="58"/>
  <c r="L947" i="58"/>
  <c r="L537" i="58"/>
  <c r="M537" i="58"/>
  <c r="M693" i="58"/>
  <c r="M849" i="58"/>
  <c r="H304" i="58"/>
  <c r="I795" i="58"/>
  <c r="I409" i="58"/>
  <c r="M434" i="58"/>
  <c r="J434" i="58"/>
  <c r="H419" i="58"/>
  <c r="K444" i="58"/>
  <c r="L444" i="58"/>
  <c r="J419" i="58"/>
  <c r="I189" i="58"/>
  <c r="I59" i="58" s="1"/>
  <c r="I85" i="58" s="1"/>
  <c r="I111" i="58" s="1"/>
  <c r="I137" i="58" s="1"/>
  <c r="I163" i="58" s="1"/>
  <c r="L215" i="58"/>
  <c r="I241" i="58"/>
  <c r="M578" i="58"/>
  <c r="L734" i="58"/>
  <c r="L786" i="58"/>
  <c r="L473" i="58"/>
  <c r="I473" i="58"/>
  <c r="AF94" i="57"/>
  <c r="V307" i="12" s="1"/>
  <c r="AG156" i="57"/>
  <c r="W359" i="12" s="1"/>
  <c r="AG94" i="57"/>
  <c r="W307" i="12" s="1"/>
  <c r="AI155" i="57"/>
  <c r="Y358" i="12" s="1"/>
  <c r="AH155" i="57"/>
  <c r="X358" i="12" s="1"/>
  <c r="AG28" i="57"/>
  <c r="W251" i="12" s="1"/>
  <c r="AF28" i="57"/>
  <c r="V251" i="12" s="1"/>
  <c r="AF152" i="57"/>
  <c r="V355" i="12" s="1"/>
  <c r="AG109" i="57"/>
  <c r="AH109" i="57"/>
  <c r="AG47" i="57"/>
  <c r="W202" i="12" s="1"/>
  <c r="AH47" i="57"/>
  <c r="X202" i="12" s="1"/>
  <c r="AF47" i="57"/>
  <c r="V202" i="12" s="1"/>
  <c r="AG169" i="57"/>
  <c r="W220" i="12" s="1"/>
  <c r="AI45" i="57"/>
  <c r="Y200" i="12" s="1"/>
  <c r="AA209" i="12"/>
  <c r="W209" i="12"/>
  <c r="AH167" i="57"/>
  <c r="X218" i="12" s="1"/>
  <c r="AI43" i="57"/>
  <c r="Y198" i="12" s="1"/>
  <c r="AG43" i="57"/>
  <c r="W198" i="12" s="1"/>
  <c r="AG167" i="57"/>
  <c r="W218" i="12" s="1"/>
  <c r="AG37" i="57"/>
  <c r="W260" i="12" s="1"/>
  <c r="AG161" i="57"/>
  <c r="W364" i="12" s="1"/>
  <c r="AF99" i="57"/>
  <c r="V312" i="12" s="1"/>
  <c r="AF95" i="57"/>
  <c r="V308" i="12" s="1"/>
  <c r="AI33" i="57"/>
  <c r="Y256" i="12" s="1"/>
  <c r="AH33" i="57"/>
  <c r="X256" i="12" s="1"/>
  <c r="AI95" i="57"/>
  <c r="Y308" i="12" s="1"/>
  <c r="D2006" i="11"/>
  <c r="D973" i="11"/>
  <c r="D1169" i="11"/>
  <c r="K548" i="58"/>
  <c r="L548" i="58"/>
  <c r="L704" i="58"/>
  <c r="M860" i="58"/>
  <c r="L532" i="58"/>
  <c r="K688" i="58"/>
  <c r="K844" i="58"/>
  <c r="H869" i="58"/>
  <c r="L869" i="58"/>
  <c r="I869" i="58"/>
  <c r="M869" i="58"/>
  <c r="H713" i="58"/>
  <c r="L713" i="58"/>
  <c r="I713" i="58"/>
  <c r="M713" i="58"/>
  <c r="I557" i="58"/>
  <c r="M557" i="58"/>
  <c r="H557" i="58"/>
  <c r="L557" i="58"/>
  <c r="M220" i="58"/>
  <c r="I220" i="58"/>
  <c r="L220" i="58"/>
  <c r="H220" i="58"/>
  <c r="M194" i="58"/>
  <c r="I194" i="58"/>
  <c r="M168" i="58"/>
  <c r="M38" i="58" s="1"/>
  <c r="M64" i="58" s="1"/>
  <c r="M90" i="58" s="1"/>
  <c r="M116" i="58" s="1"/>
  <c r="M142" i="58" s="1"/>
  <c r="I168" i="58"/>
  <c r="I38" i="58" s="1"/>
  <c r="I64" i="58" s="1"/>
  <c r="I90" i="58" s="1"/>
  <c r="I116" i="58" s="1"/>
  <c r="I142" i="58" s="1"/>
  <c r="L194" i="58"/>
  <c r="H194" i="58"/>
  <c r="L168" i="58"/>
  <c r="L38" i="58" s="1"/>
  <c r="L64" i="58" s="1"/>
  <c r="L90" i="58" s="1"/>
  <c r="L116" i="58" s="1"/>
  <c r="L142" i="58" s="1"/>
  <c r="H64" i="58"/>
  <c r="H90" i="58" s="1"/>
  <c r="H116" i="58" s="1"/>
  <c r="H142" i="58" s="1"/>
  <c r="I870" i="58"/>
  <c r="M870" i="58"/>
  <c r="H870" i="58"/>
  <c r="L870" i="58"/>
  <c r="H714" i="58"/>
  <c r="L714" i="58"/>
  <c r="I714" i="58"/>
  <c r="M714" i="58"/>
  <c r="H558" i="58"/>
  <c r="L558" i="58"/>
  <c r="I558" i="58"/>
  <c r="M558" i="58"/>
  <c r="M221" i="58"/>
  <c r="I221" i="58"/>
  <c r="L221" i="58"/>
  <c r="H221" i="58"/>
  <c r="M195" i="58"/>
  <c r="I195" i="58"/>
  <c r="M169" i="58"/>
  <c r="M39" i="58" s="1"/>
  <c r="M65" i="58" s="1"/>
  <c r="M91" i="58" s="1"/>
  <c r="M117" i="58" s="1"/>
  <c r="M143" i="58" s="1"/>
  <c r="I169" i="58"/>
  <c r="I39" i="58" s="1"/>
  <c r="I65" i="58" s="1"/>
  <c r="I91" i="58" s="1"/>
  <c r="I117" i="58" s="1"/>
  <c r="I143" i="58" s="1"/>
  <c r="L195" i="58"/>
  <c r="H195" i="58"/>
  <c r="L169" i="58"/>
  <c r="L39" i="58" s="1"/>
  <c r="L65" i="58" s="1"/>
  <c r="L91" i="58" s="1"/>
  <c r="L117" i="58" s="1"/>
  <c r="L143" i="58" s="1"/>
  <c r="H169" i="58"/>
  <c r="H39" i="58" s="1"/>
  <c r="H65" i="58" s="1"/>
  <c r="H91" i="58" s="1"/>
  <c r="H117" i="58" s="1"/>
  <c r="H143" i="58" s="1"/>
  <c r="I885" i="58"/>
  <c r="M885" i="58"/>
  <c r="H885" i="58"/>
  <c r="L885" i="58"/>
  <c r="H729" i="58"/>
  <c r="L729" i="58"/>
  <c r="I729" i="58"/>
  <c r="M729" i="58"/>
  <c r="I573" i="58"/>
  <c r="M573" i="58"/>
  <c r="H573" i="58"/>
  <c r="L573" i="58"/>
  <c r="M236" i="58"/>
  <c r="I236" i="58"/>
  <c r="M210" i="58"/>
  <c r="I210" i="58"/>
  <c r="L236" i="58"/>
  <c r="H236" i="58"/>
  <c r="L210" i="58"/>
  <c r="H210" i="58"/>
  <c r="M184" i="58"/>
  <c r="M54" i="58" s="1"/>
  <c r="M80" i="58" s="1"/>
  <c r="M106" i="58" s="1"/>
  <c r="M132" i="58" s="1"/>
  <c r="M158" i="58" s="1"/>
  <c r="I184" i="58"/>
  <c r="I54" i="58" s="1"/>
  <c r="I80" i="58" s="1"/>
  <c r="I106" i="58" s="1"/>
  <c r="I132" i="58" s="1"/>
  <c r="I158" i="58" s="1"/>
  <c r="L184" i="58"/>
  <c r="L54" i="58" s="1"/>
  <c r="L80" i="58" s="1"/>
  <c r="L106" i="58" s="1"/>
  <c r="L132" i="58" s="1"/>
  <c r="L158" i="58" s="1"/>
  <c r="H184" i="58"/>
  <c r="H54" i="58" s="1"/>
  <c r="H80" i="58" s="1"/>
  <c r="H106" i="58" s="1"/>
  <c r="H132" i="58" s="1"/>
  <c r="H158" i="58" s="1"/>
  <c r="H871" i="58"/>
  <c r="L871" i="58"/>
  <c r="I871" i="58"/>
  <c r="M871" i="58"/>
  <c r="H715" i="58"/>
  <c r="L715" i="58"/>
  <c r="I715" i="58"/>
  <c r="M715" i="58"/>
  <c r="I559" i="58"/>
  <c r="M559" i="58"/>
  <c r="H559" i="58"/>
  <c r="L559" i="58"/>
  <c r="M222" i="58"/>
  <c r="I222" i="58"/>
  <c r="L222" i="58"/>
  <c r="H222" i="58"/>
  <c r="M196" i="58"/>
  <c r="I196" i="58"/>
  <c r="M170" i="58"/>
  <c r="M40" i="58" s="1"/>
  <c r="M66" i="58" s="1"/>
  <c r="M92" i="58" s="1"/>
  <c r="M118" i="58" s="1"/>
  <c r="M144" i="58" s="1"/>
  <c r="I170" i="58"/>
  <c r="I40" i="58" s="1"/>
  <c r="I66" i="58" s="1"/>
  <c r="I92" i="58" s="1"/>
  <c r="I118" i="58" s="1"/>
  <c r="I144" i="58" s="1"/>
  <c r="L196" i="58"/>
  <c r="H196" i="58"/>
  <c r="L170" i="58"/>
  <c r="L40" i="58" s="1"/>
  <c r="L66" i="58" s="1"/>
  <c r="L92" i="58" s="1"/>
  <c r="L118" i="58" s="1"/>
  <c r="L144" i="58" s="1"/>
  <c r="H170" i="58"/>
  <c r="H40" i="58" s="1"/>
  <c r="H66" i="58" s="1"/>
  <c r="H92" i="58" s="1"/>
  <c r="H118" i="58" s="1"/>
  <c r="H144" i="58" s="1"/>
  <c r="I872" i="58"/>
  <c r="M872" i="58"/>
  <c r="H872" i="58"/>
  <c r="L872" i="58"/>
  <c r="H716" i="58"/>
  <c r="L716" i="58"/>
  <c r="I716" i="58"/>
  <c r="M716" i="58"/>
  <c r="H560" i="58"/>
  <c r="L560" i="58"/>
  <c r="I560" i="58"/>
  <c r="M560" i="58"/>
  <c r="M223" i="58"/>
  <c r="I223" i="58"/>
  <c r="L223" i="58"/>
  <c r="H223" i="58"/>
  <c r="M197" i="58"/>
  <c r="I197" i="58"/>
  <c r="M171" i="58"/>
  <c r="M41" i="58" s="1"/>
  <c r="M67" i="58" s="1"/>
  <c r="M93" i="58" s="1"/>
  <c r="M119" i="58" s="1"/>
  <c r="M145" i="58" s="1"/>
  <c r="I171" i="58"/>
  <c r="I41" i="58" s="1"/>
  <c r="I67" i="58" s="1"/>
  <c r="I93" i="58" s="1"/>
  <c r="I119" i="58" s="1"/>
  <c r="I145" i="58" s="1"/>
  <c r="L197" i="58"/>
  <c r="H197" i="58"/>
  <c r="L171" i="58"/>
  <c r="L41" i="58" s="1"/>
  <c r="L67" i="58" s="1"/>
  <c r="L93" i="58" s="1"/>
  <c r="L119" i="58" s="1"/>
  <c r="L145" i="58" s="1"/>
  <c r="H171" i="58"/>
  <c r="H41" i="58" s="1"/>
  <c r="H67" i="58" s="1"/>
  <c r="H93" i="58" s="1"/>
  <c r="H119" i="58" s="1"/>
  <c r="H145" i="58" s="1"/>
  <c r="H873" i="58"/>
  <c r="L873" i="58"/>
  <c r="M873" i="58"/>
  <c r="I873" i="58"/>
  <c r="H717" i="58"/>
  <c r="L717" i="58"/>
  <c r="I717" i="58"/>
  <c r="M717" i="58"/>
  <c r="I561" i="58"/>
  <c r="M561" i="58"/>
  <c r="H561" i="58"/>
  <c r="L561" i="58"/>
  <c r="M224" i="58"/>
  <c r="I224" i="58"/>
  <c r="L224" i="58"/>
  <c r="H224" i="58"/>
  <c r="M198" i="58"/>
  <c r="I198" i="58"/>
  <c r="M172" i="58"/>
  <c r="M42" i="58" s="1"/>
  <c r="M68" i="58" s="1"/>
  <c r="M94" i="58" s="1"/>
  <c r="M120" i="58" s="1"/>
  <c r="M146" i="58" s="1"/>
  <c r="I172" i="58"/>
  <c r="I42" i="58" s="1"/>
  <c r="I68" i="58" s="1"/>
  <c r="I94" i="58" s="1"/>
  <c r="I120" i="58" s="1"/>
  <c r="I146" i="58" s="1"/>
  <c r="L198" i="58"/>
  <c r="H198" i="58"/>
  <c r="L172" i="58"/>
  <c r="L42" i="58" s="1"/>
  <c r="L68" i="58" s="1"/>
  <c r="L94" i="58" s="1"/>
  <c r="L120" i="58" s="1"/>
  <c r="L146" i="58" s="1"/>
  <c r="H172" i="58"/>
  <c r="H42" i="58" s="1"/>
  <c r="H68" i="58" s="1"/>
  <c r="H94" i="58" s="1"/>
  <c r="H120" i="58" s="1"/>
  <c r="H146" i="58" s="1"/>
  <c r="I874" i="58"/>
  <c r="M874" i="58"/>
  <c r="H874" i="58"/>
  <c r="L874" i="58"/>
  <c r="H718" i="58"/>
  <c r="L718" i="58"/>
  <c r="I718" i="58"/>
  <c r="M718" i="58"/>
  <c r="H562" i="58"/>
  <c r="L562" i="58"/>
  <c r="I562" i="58"/>
  <c r="M562" i="58"/>
  <c r="M225" i="58"/>
  <c r="I225" i="58"/>
  <c r="L225" i="58"/>
  <c r="H225" i="58"/>
  <c r="M199" i="58"/>
  <c r="I199" i="58"/>
  <c r="M173" i="58"/>
  <c r="M43" i="58" s="1"/>
  <c r="M69" i="58" s="1"/>
  <c r="M95" i="58" s="1"/>
  <c r="M121" i="58" s="1"/>
  <c r="M147" i="58" s="1"/>
  <c r="I173" i="58"/>
  <c r="I43" i="58" s="1"/>
  <c r="I69" i="58" s="1"/>
  <c r="I95" i="58" s="1"/>
  <c r="I121" i="58" s="1"/>
  <c r="I147" i="58" s="1"/>
  <c r="L199" i="58"/>
  <c r="H199" i="58"/>
  <c r="L173" i="58"/>
  <c r="L43" i="58" s="1"/>
  <c r="L69" i="58" s="1"/>
  <c r="L95" i="58" s="1"/>
  <c r="L121" i="58" s="1"/>
  <c r="L147" i="58" s="1"/>
  <c r="H173" i="58"/>
  <c r="H43" i="58" s="1"/>
  <c r="H69" i="58" s="1"/>
  <c r="H95" i="58" s="1"/>
  <c r="H121" i="58" s="1"/>
  <c r="H147" i="58" s="1"/>
  <c r="H877" i="58"/>
  <c r="L877" i="58"/>
  <c r="I877" i="58"/>
  <c r="M877" i="58"/>
  <c r="H721" i="58"/>
  <c r="L721" i="58"/>
  <c r="I721" i="58"/>
  <c r="M721" i="58"/>
  <c r="I565" i="58"/>
  <c r="M565" i="58"/>
  <c r="H565" i="58"/>
  <c r="L565" i="58"/>
  <c r="M228" i="58"/>
  <c r="I228" i="58"/>
  <c r="L228" i="58"/>
  <c r="H228" i="58"/>
  <c r="M202" i="58"/>
  <c r="I202" i="58"/>
  <c r="M176" i="58"/>
  <c r="M46" i="58" s="1"/>
  <c r="M72" i="58" s="1"/>
  <c r="M98" i="58" s="1"/>
  <c r="M124" i="58" s="1"/>
  <c r="M150" i="58" s="1"/>
  <c r="I176" i="58"/>
  <c r="I46" i="58" s="1"/>
  <c r="I72" i="58" s="1"/>
  <c r="I98" i="58" s="1"/>
  <c r="I124" i="58" s="1"/>
  <c r="I150" i="58" s="1"/>
  <c r="L202" i="58"/>
  <c r="H202" i="58"/>
  <c r="L176" i="58"/>
  <c r="L46" i="58" s="1"/>
  <c r="L72" i="58" s="1"/>
  <c r="L98" i="58" s="1"/>
  <c r="L124" i="58" s="1"/>
  <c r="L150" i="58" s="1"/>
  <c r="H176" i="58"/>
  <c r="H46" i="58" s="1"/>
  <c r="H72" i="58" s="1"/>
  <c r="H98" i="58" s="1"/>
  <c r="H124" i="58" s="1"/>
  <c r="H150" i="58" s="1"/>
  <c r="K903" i="58"/>
  <c r="H903" i="58"/>
  <c r="L903" i="58"/>
  <c r="I903" i="58"/>
  <c r="M903" i="58"/>
  <c r="K747" i="58"/>
  <c r="I747" i="58"/>
  <c r="M747" i="58"/>
  <c r="H747" i="58"/>
  <c r="L747" i="58"/>
  <c r="K591" i="58"/>
  <c r="H591" i="58"/>
  <c r="L591" i="58"/>
  <c r="I591" i="58"/>
  <c r="M591" i="58"/>
  <c r="K254" i="58"/>
  <c r="M254" i="58"/>
  <c r="I254" i="58"/>
  <c r="L254" i="58"/>
  <c r="H254" i="58"/>
  <c r="K907" i="58"/>
  <c r="H907" i="58"/>
  <c r="L907" i="58"/>
  <c r="I907" i="58"/>
  <c r="M907" i="58"/>
  <c r="K751" i="58"/>
  <c r="I751" i="58"/>
  <c r="M751" i="58"/>
  <c r="H751" i="58"/>
  <c r="L751" i="58"/>
  <c r="K595" i="58"/>
  <c r="H595" i="58"/>
  <c r="L595" i="58"/>
  <c r="I595" i="58"/>
  <c r="M595" i="58"/>
  <c r="K258" i="58"/>
  <c r="M258" i="58"/>
  <c r="I258" i="58"/>
  <c r="L258" i="58"/>
  <c r="H258" i="58"/>
  <c r="I850" i="58"/>
  <c r="M850" i="58"/>
  <c r="K850" i="58"/>
  <c r="H850" i="58"/>
  <c r="L850" i="58"/>
  <c r="K694" i="58"/>
  <c r="H694" i="58"/>
  <c r="L694" i="58"/>
  <c r="I694" i="58"/>
  <c r="M694" i="58"/>
  <c r="K538" i="58"/>
  <c r="H538" i="58"/>
  <c r="L538" i="58"/>
  <c r="I538" i="58"/>
  <c r="M538" i="58"/>
  <c r="I879" i="58"/>
  <c r="M879" i="58"/>
  <c r="H879" i="58"/>
  <c r="L879" i="58"/>
  <c r="H723" i="58"/>
  <c r="L723" i="58"/>
  <c r="I723" i="58"/>
  <c r="M723" i="58"/>
  <c r="I567" i="58"/>
  <c r="M567" i="58"/>
  <c r="H567" i="58"/>
  <c r="L567" i="58"/>
  <c r="M230" i="58"/>
  <c r="I230" i="58"/>
  <c r="L230" i="58"/>
  <c r="H230" i="58"/>
  <c r="M204" i="58"/>
  <c r="I204" i="58"/>
  <c r="M178" i="58"/>
  <c r="M48" i="58" s="1"/>
  <c r="M74" i="58" s="1"/>
  <c r="M100" i="58" s="1"/>
  <c r="M126" i="58" s="1"/>
  <c r="M152" i="58" s="1"/>
  <c r="I178" i="58"/>
  <c r="I48" i="58" s="1"/>
  <c r="I74" i="58" s="1"/>
  <c r="I100" i="58" s="1"/>
  <c r="I126" i="58" s="1"/>
  <c r="I152" i="58" s="1"/>
  <c r="L204" i="58"/>
  <c r="H204" i="58"/>
  <c r="L178" i="58"/>
  <c r="L48" i="58" s="1"/>
  <c r="L74" i="58" s="1"/>
  <c r="L100" i="58" s="1"/>
  <c r="L126" i="58" s="1"/>
  <c r="L152" i="58" s="1"/>
  <c r="H178" i="58"/>
  <c r="H48" i="58" s="1"/>
  <c r="H74" i="58" s="1"/>
  <c r="H100" i="58" s="1"/>
  <c r="H126" i="58" s="1"/>
  <c r="H152" i="58" s="1"/>
  <c r="H931" i="58"/>
  <c r="L931" i="58"/>
  <c r="I931" i="58"/>
  <c r="K931" i="58"/>
  <c r="H775" i="58"/>
  <c r="L775" i="58"/>
  <c r="I775" i="58"/>
  <c r="K775" i="58"/>
  <c r="I619" i="58"/>
  <c r="K619" i="58"/>
  <c r="H619" i="58"/>
  <c r="L619" i="58"/>
  <c r="K283" i="58"/>
  <c r="I283" i="58"/>
  <c r="L283" i="58"/>
  <c r="H283" i="58"/>
  <c r="H983" i="58"/>
  <c r="L983" i="58"/>
  <c r="I983" i="58"/>
  <c r="M983" i="58"/>
  <c r="K983" i="58"/>
  <c r="H827" i="58"/>
  <c r="L827" i="58"/>
  <c r="I827" i="58"/>
  <c r="M827" i="58"/>
  <c r="K827" i="58"/>
  <c r="H671" i="58"/>
  <c r="L671" i="58"/>
  <c r="I671" i="58"/>
  <c r="M671" i="58"/>
  <c r="K671" i="58"/>
  <c r="K389" i="58"/>
  <c r="K363" i="58"/>
  <c r="K337" i="58"/>
  <c r="M389" i="58"/>
  <c r="I389" i="58"/>
  <c r="M363" i="58"/>
  <c r="I363" i="58"/>
  <c r="M337" i="58"/>
  <c r="I337" i="58"/>
  <c r="L389" i="58"/>
  <c r="H389" i="58"/>
  <c r="L363" i="58"/>
  <c r="H363" i="58"/>
  <c r="L337" i="58"/>
  <c r="H337" i="58"/>
  <c r="J518" i="58"/>
  <c r="J493" i="58"/>
  <c r="J468" i="58"/>
  <c r="I518" i="58"/>
  <c r="I493" i="58"/>
  <c r="I468" i="58"/>
  <c r="L518" i="58"/>
  <c r="H518" i="58"/>
  <c r="L493" i="58"/>
  <c r="H493" i="58"/>
  <c r="L468" i="58"/>
  <c r="H468" i="58"/>
  <c r="K518" i="58"/>
  <c r="K493" i="58"/>
  <c r="K468" i="58"/>
  <c r="I861" i="58"/>
  <c r="M861" i="58"/>
  <c r="K861" i="58"/>
  <c r="H861" i="58"/>
  <c r="L861" i="58"/>
  <c r="I705" i="58"/>
  <c r="M705" i="58"/>
  <c r="K705" i="58"/>
  <c r="H705" i="58"/>
  <c r="L705" i="58"/>
  <c r="K549" i="58"/>
  <c r="H549" i="58"/>
  <c r="L549" i="58"/>
  <c r="I549" i="58"/>
  <c r="M549" i="58"/>
  <c r="I889" i="58"/>
  <c r="M889" i="58"/>
  <c r="H889" i="58"/>
  <c r="L889" i="58"/>
  <c r="H733" i="58"/>
  <c r="L733" i="58"/>
  <c r="I733" i="58"/>
  <c r="M733" i="58"/>
  <c r="I577" i="58"/>
  <c r="M577" i="58"/>
  <c r="H577" i="58"/>
  <c r="L577" i="58"/>
  <c r="M240" i="58"/>
  <c r="I240" i="58"/>
  <c r="M239" i="58"/>
  <c r="I239" i="58"/>
  <c r="M214" i="58"/>
  <c r="I214" i="58"/>
  <c r="L240" i="58"/>
  <c r="H240" i="58"/>
  <c r="L239" i="58"/>
  <c r="H239" i="58"/>
  <c r="L214" i="58"/>
  <c r="H214" i="58"/>
  <c r="M188" i="58"/>
  <c r="M58" i="58" s="1"/>
  <c r="M84" i="58" s="1"/>
  <c r="M110" i="58" s="1"/>
  <c r="M136" i="58" s="1"/>
  <c r="M162" i="58" s="1"/>
  <c r="I188" i="58"/>
  <c r="I58" i="58" s="1"/>
  <c r="I84" i="58" s="1"/>
  <c r="I110" i="58" s="1"/>
  <c r="I136" i="58" s="1"/>
  <c r="I162" i="58" s="1"/>
  <c r="L188" i="58"/>
  <c r="L58" i="58" s="1"/>
  <c r="L84" i="58" s="1"/>
  <c r="L110" i="58" s="1"/>
  <c r="L136" i="58" s="1"/>
  <c r="L162" i="58" s="1"/>
  <c r="H188" i="58"/>
  <c r="H58" i="58" s="1"/>
  <c r="H84" i="58" s="1"/>
  <c r="H110" i="58" s="1"/>
  <c r="H136" i="58" s="1"/>
  <c r="H162" i="58" s="1"/>
  <c r="J438" i="58"/>
  <c r="J413" i="58"/>
  <c r="M438" i="58"/>
  <c r="I438" i="58"/>
  <c r="M413" i="58"/>
  <c r="I413" i="58"/>
  <c r="L438" i="58"/>
  <c r="H438" i="58"/>
  <c r="L413" i="58"/>
  <c r="K413" i="58"/>
  <c r="H413" i="58"/>
  <c r="K438" i="58"/>
  <c r="K978" i="58"/>
  <c r="H978" i="58"/>
  <c r="L978" i="58"/>
  <c r="I978" i="58"/>
  <c r="M978" i="58"/>
  <c r="K822" i="58"/>
  <c r="H822" i="58"/>
  <c r="L822" i="58"/>
  <c r="I822" i="58"/>
  <c r="M822" i="58"/>
  <c r="K666" i="58"/>
  <c r="H666" i="58"/>
  <c r="L666" i="58"/>
  <c r="I666" i="58"/>
  <c r="M666" i="58"/>
  <c r="K384" i="58"/>
  <c r="K358" i="58"/>
  <c r="K332" i="58"/>
  <c r="M384" i="58"/>
  <c r="I384" i="58"/>
  <c r="M358" i="58"/>
  <c r="I358" i="58"/>
  <c r="M332" i="58"/>
  <c r="I332" i="58"/>
  <c r="L384" i="58"/>
  <c r="H384" i="58"/>
  <c r="L358" i="58"/>
  <c r="H358" i="58"/>
  <c r="L332" i="58"/>
  <c r="H332" i="58"/>
  <c r="J512" i="58"/>
  <c r="J487" i="58"/>
  <c r="J462" i="58"/>
  <c r="I512" i="58"/>
  <c r="I487" i="58"/>
  <c r="I462" i="58"/>
  <c r="L512" i="58"/>
  <c r="H512" i="58"/>
  <c r="L487" i="58"/>
  <c r="H487" i="58"/>
  <c r="L462" i="58"/>
  <c r="H462" i="58"/>
  <c r="K512" i="58"/>
  <c r="K487" i="58"/>
  <c r="K462" i="58"/>
  <c r="H855" i="58"/>
  <c r="L855" i="58"/>
  <c r="I855" i="58"/>
  <c r="M855" i="58"/>
  <c r="K855" i="58"/>
  <c r="H699" i="58"/>
  <c r="I699" i="58"/>
  <c r="M699" i="58"/>
  <c r="K699" i="58"/>
  <c r="L699" i="58"/>
  <c r="K543" i="58"/>
  <c r="L543" i="58"/>
  <c r="H543" i="58"/>
  <c r="M543" i="58"/>
  <c r="I543" i="58"/>
  <c r="H882" i="58"/>
  <c r="L882" i="58"/>
  <c r="I882" i="58"/>
  <c r="M882" i="58"/>
  <c r="H726" i="58"/>
  <c r="L726" i="58"/>
  <c r="I726" i="58"/>
  <c r="M726" i="58"/>
  <c r="H570" i="58"/>
  <c r="L570" i="58"/>
  <c r="I570" i="58"/>
  <c r="M570" i="58"/>
  <c r="M233" i="58"/>
  <c r="I233" i="58"/>
  <c r="M207" i="58"/>
  <c r="I207" i="58"/>
  <c r="L233" i="58"/>
  <c r="H233" i="58"/>
  <c r="L207" i="58"/>
  <c r="H207" i="58"/>
  <c r="M181" i="58"/>
  <c r="M51" i="58" s="1"/>
  <c r="M77" i="58" s="1"/>
  <c r="M103" i="58" s="1"/>
  <c r="M129" i="58" s="1"/>
  <c r="M155" i="58" s="1"/>
  <c r="I181" i="58"/>
  <c r="I51" i="58" s="1"/>
  <c r="I77" i="58" s="1"/>
  <c r="I103" i="58" s="1"/>
  <c r="I129" i="58" s="1"/>
  <c r="I155" i="58" s="1"/>
  <c r="L181" i="58"/>
  <c r="L51" i="58" s="1"/>
  <c r="L77" i="58" s="1"/>
  <c r="L103" i="58" s="1"/>
  <c r="L129" i="58" s="1"/>
  <c r="L155" i="58" s="1"/>
  <c r="H181" i="58"/>
  <c r="H51" i="58" s="1"/>
  <c r="H77" i="58" s="1"/>
  <c r="H103" i="58" s="1"/>
  <c r="H129" i="58" s="1"/>
  <c r="H155" i="58" s="1"/>
  <c r="K934" i="58"/>
  <c r="H934" i="58"/>
  <c r="L934" i="58"/>
  <c r="I934" i="58"/>
  <c r="K778" i="58"/>
  <c r="H778" i="58"/>
  <c r="L778" i="58"/>
  <c r="I778" i="58"/>
  <c r="K622" i="58"/>
  <c r="H622" i="58"/>
  <c r="L622" i="58"/>
  <c r="I622" i="58"/>
  <c r="K286" i="58"/>
  <c r="I286" i="58"/>
  <c r="L286" i="58"/>
  <c r="H286" i="58"/>
  <c r="C540" i="58"/>
  <c r="C565" i="58"/>
  <c r="C590" i="58"/>
  <c r="C615" i="58"/>
  <c r="C640" i="58"/>
  <c r="C665" i="58"/>
  <c r="H958" i="58"/>
  <c r="L958" i="58"/>
  <c r="I958" i="58"/>
  <c r="M958" i="58"/>
  <c r="H802" i="58"/>
  <c r="L802" i="58"/>
  <c r="I802" i="58"/>
  <c r="M802" i="58"/>
  <c r="H646" i="58"/>
  <c r="L646" i="58"/>
  <c r="I646" i="58"/>
  <c r="M646" i="58"/>
  <c r="M311" i="58"/>
  <c r="I311" i="58"/>
  <c r="L311" i="58"/>
  <c r="H311" i="58"/>
  <c r="K895" i="58"/>
  <c r="H895" i="58"/>
  <c r="L895" i="58"/>
  <c r="I895" i="58"/>
  <c r="M895" i="58"/>
  <c r="K739" i="58"/>
  <c r="H739" i="58"/>
  <c r="L739" i="58"/>
  <c r="I739" i="58"/>
  <c r="M739" i="58"/>
  <c r="K583" i="58"/>
  <c r="H583" i="58"/>
  <c r="L583" i="58"/>
  <c r="I583" i="58"/>
  <c r="M583" i="58"/>
  <c r="K247" i="58"/>
  <c r="M247" i="58"/>
  <c r="I247" i="58"/>
  <c r="L247" i="58"/>
  <c r="H247" i="58"/>
  <c r="I896" i="58"/>
  <c r="M896" i="58"/>
  <c r="K896" i="58"/>
  <c r="H896" i="58"/>
  <c r="L896" i="58"/>
  <c r="H740" i="58"/>
  <c r="L740" i="58"/>
  <c r="I740" i="58"/>
  <c r="M740" i="58"/>
  <c r="K740" i="58"/>
  <c r="I584" i="58"/>
  <c r="M584" i="58"/>
  <c r="K584" i="58"/>
  <c r="H584" i="58"/>
  <c r="L584" i="58"/>
  <c r="K899" i="58"/>
  <c r="H899" i="58"/>
  <c r="L899" i="58"/>
  <c r="I899" i="58"/>
  <c r="M899" i="58"/>
  <c r="K743" i="58"/>
  <c r="H743" i="58"/>
  <c r="L743" i="58"/>
  <c r="I743" i="58"/>
  <c r="M743" i="58"/>
  <c r="K587" i="58"/>
  <c r="H587" i="58"/>
  <c r="L587" i="58"/>
  <c r="I587" i="58"/>
  <c r="M587" i="58"/>
  <c r="K250" i="58"/>
  <c r="M250" i="58"/>
  <c r="I250" i="58"/>
  <c r="L250" i="58"/>
  <c r="H250" i="58"/>
  <c r="H946" i="58"/>
  <c r="L946" i="58"/>
  <c r="I946" i="58"/>
  <c r="M946" i="58"/>
  <c r="H790" i="58"/>
  <c r="L790" i="58"/>
  <c r="I790" i="58"/>
  <c r="M790" i="58"/>
  <c r="I634" i="58"/>
  <c r="M634" i="58"/>
  <c r="H634" i="58"/>
  <c r="L634" i="58"/>
  <c r="M299" i="58"/>
  <c r="I299" i="58"/>
  <c r="L299" i="58"/>
  <c r="H299" i="58"/>
  <c r="H954" i="58"/>
  <c r="L954" i="58"/>
  <c r="I954" i="58"/>
  <c r="M954" i="58"/>
  <c r="H798" i="58"/>
  <c r="L798" i="58"/>
  <c r="I798" i="58"/>
  <c r="M798" i="58"/>
  <c r="H642" i="58"/>
  <c r="L642" i="58"/>
  <c r="M642" i="58"/>
  <c r="I642" i="58"/>
  <c r="M307" i="58"/>
  <c r="I307" i="58"/>
  <c r="L307" i="58"/>
  <c r="H307" i="58"/>
  <c r="I894" i="58"/>
  <c r="M894" i="58"/>
  <c r="K894" i="58"/>
  <c r="H894" i="58"/>
  <c r="L894" i="58"/>
  <c r="H738" i="58"/>
  <c r="L738" i="58"/>
  <c r="I738" i="58"/>
  <c r="M738" i="58"/>
  <c r="K738" i="58"/>
  <c r="I582" i="58"/>
  <c r="M582" i="58"/>
  <c r="K582" i="58"/>
  <c r="H582" i="58"/>
  <c r="L582" i="58"/>
  <c r="K246" i="58"/>
  <c r="M246" i="58"/>
  <c r="I246" i="58"/>
  <c r="L246" i="58"/>
  <c r="H246" i="58"/>
  <c r="J442" i="58"/>
  <c r="J417" i="58"/>
  <c r="M442" i="58"/>
  <c r="I442" i="58"/>
  <c r="M417" i="58"/>
  <c r="I417" i="58"/>
  <c r="L442" i="58"/>
  <c r="H442" i="58"/>
  <c r="L417" i="58"/>
  <c r="K417" i="58"/>
  <c r="H417" i="58"/>
  <c r="K442" i="58"/>
  <c r="J429" i="58"/>
  <c r="M429" i="58"/>
  <c r="I429" i="58"/>
  <c r="L429" i="58"/>
  <c r="H429" i="58"/>
  <c r="K404" i="58"/>
  <c r="J404" i="58"/>
  <c r="K429" i="58"/>
  <c r="M404" i="58"/>
  <c r="I404" i="58"/>
  <c r="L404" i="58"/>
  <c r="H404" i="58"/>
  <c r="D867" i="58"/>
  <c r="D892" i="58"/>
  <c r="D917" i="58"/>
  <c r="D942" i="58"/>
  <c r="D967" i="58"/>
  <c r="D992" i="58"/>
  <c r="D711" i="58"/>
  <c r="D736" i="58"/>
  <c r="D761" i="58"/>
  <c r="D786" i="58"/>
  <c r="D811" i="58"/>
  <c r="D836" i="58"/>
  <c r="D555" i="58"/>
  <c r="D580" i="58"/>
  <c r="D605" i="58"/>
  <c r="D630" i="58"/>
  <c r="D655" i="58"/>
  <c r="D680" i="58"/>
  <c r="C532" i="58"/>
  <c r="C557" i="58"/>
  <c r="C582" i="58"/>
  <c r="C607" i="58"/>
  <c r="C632" i="58"/>
  <c r="C657" i="58"/>
  <c r="D850" i="58"/>
  <c r="D900" i="58"/>
  <c r="D925" i="58"/>
  <c r="D875" i="58"/>
  <c r="D950" i="58"/>
  <c r="D975" i="58"/>
  <c r="D694" i="58"/>
  <c r="D719" i="58"/>
  <c r="D744" i="58"/>
  <c r="D769" i="58"/>
  <c r="D794" i="58"/>
  <c r="D819" i="58"/>
  <c r="D538" i="58"/>
  <c r="D563" i="58"/>
  <c r="D588" i="58"/>
  <c r="D613" i="58"/>
  <c r="D638" i="58"/>
  <c r="D663" i="58"/>
  <c r="D856" i="58"/>
  <c r="D881" i="58"/>
  <c r="D906" i="58"/>
  <c r="D931" i="58"/>
  <c r="D956" i="58"/>
  <c r="D981" i="58"/>
  <c r="D700" i="58"/>
  <c r="D725" i="58"/>
  <c r="D750" i="58"/>
  <c r="D775" i="58"/>
  <c r="D800" i="58"/>
  <c r="D825" i="58"/>
  <c r="D544" i="58"/>
  <c r="D569" i="58"/>
  <c r="D594" i="58"/>
  <c r="D619" i="58"/>
  <c r="D669" i="58"/>
  <c r="D644" i="58"/>
  <c r="C554" i="58"/>
  <c r="C579" i="58"/>
  <c r="C604" i="58"/>
  <c r="C629" i="58"/>
  <c r="C654" i="58"/>
  <c r="C679" i="58"/>
  <c r="I848" i="58"/>
  <c r="M848" i="58"/>
  <c r="K848" i="58"/>
  <c r="H848" i="58"/>
  <c r="L848" i="58"/>
  <c r="K692" i="58"/>
  <c r="H692" i="58"/>
  <c r="L692" i="58"/>
  <c r="I692" i="58"/>
  <c r="M692" i="58"/>
  <c r="K536" i="58"/>
  <c r="H536" i="58"/>
  <c r="L536" i="58"/>
  <c r="I536" i="58"/>
  <c r="M536" i="58"/>
  <c r="K540" i="58"/>
  <c r="L540" i="58"/>
  <c r="I696" i="58"/>
  <c r="H292" i="58"/>
  <c r="K628" i="58"/>
  <c r="I784" i="58"/>
  <c r="K940" i="58"/>
  <c r="H345" i="58"/>
  <c r="L371" i="58"/>
  <c r="I371" i="58"/>
  <c r="M397" i="58"/>
  <c r="K371" i="58"/>
  <c r="I679" i="58"/>
  <c r="K991" i="58"/>
  <c r="L991" i="58"/>
  <c r="AF130" i="57"/>
  <c r="V338" i="12" s="1"/>
  <c r="AF61" i="57"/>
  <c r="V279" i="12" s="1"/>
  <c r="AG123" i="57"/>
  <c r="W331" i="12" s="1"/>
  <c r="AI60" i="57"/>
  <c r="Y278" i="12" s="1"/>
  <c r="AI58" i="57"/>
  <c r="Y276" i="12" s="1"/>
  <c r="AG182" i="57"/>
  <c r="W380" i="12" s="1"/>
  <c r="AF120" i="57"/>
  <c r="V328" i="12" s="1"/>
  <c r="I902" i="58"/>
  <c r="M902" i="58"/>
  <c r="K902" i="58"/>
  <c r="H902" i="58"/>
  <c r="L902" i="58"/>
  <c r="H746" i="58"/>
  <c r="L746" i="58"/>
  <c r="I746" i="58"/>
  <c r="M746" i="58"/>
  <c r="K746" i="58"/>
  <c r="I590" i="58"/>
  <c r="M590" i="58"/>
  <c r="K590" i="58"/>
  <c r="H590" i="58"/>
  <c r="L590" i="58"/>
  <c r="K253" i="58"/>
  <c r="M253" i="58"/>
  <c r="I253" i="58"/>
  <c r="L253" i="58"/>
  <c r="H253" i="58"/>
  <c r="L906" i="58"/>
  <c r="M906" i="58"/>
  <c r="M599" i="58"/>
  <c r="L755" i="58"/>
  <c r="K911" i="58"/>
  <c r="L346" i="58"/>
  <c r="I346" i="58"/>
  <c r="M372" i="58"/>
  <c r="K346" i="58"/>
  <c r="L680" i="58"/>
  <c r="M836" i="58"/>
  <c r="I992" i="58"/>
  <c r="AF145" i="57"/>
  <c r="V353" i="12" s="1"/>
  <c r="AG144" i="57"/>
  <c r="W352" i="12" s="1"/>
  <c r="AI83" i="57"/>
  <c r="Y301" i="12" s="1"/>
  <c r="AI18" i="57"/>
  <c r="Y246" i="12" s="1"/>
  <c r="AG142" i="57"/>
  <c r="W350" i="12" s="1"/>
  <c r="AH80" i="57"/>
  <c r="X298" i="12" s="1"/>
  <c r="AF114" i="57"/>
  <c r="V322" i="12" s="1"/>
  <c r="AH172" i="57"/>
  <c r="X370" i="12" s="1"/>
  <c r="AF110" i="57"/>
  <c r="V318" i="12" s="1"/>
  <c r="AF67" i="57"/>
  <c r="V285" i="12" s="1"/>
  <c r="AF129" i="57"/>
  <c r="V337" i="12" s="1"/>
  <c r="AF187" i="57"/>
  <c r="V385" i="12" s="1"/>
  <c r="AI187" i="57"/>
  <c r="Y385" i="12" s="1"/>
  <c r="D1119" i="11"/>
  <c r="D1003" i="11"/>
  <c r="D1134" i="11"/>
  <c r="D1136" i="11"/>
  <c r="D981" i="11"/>
  <c r="D1140" i="11"/>
  <c r="D1127" i="11"/>
  <c r="D1168" i="11"/>
  <c r="D972" i="11"/>
  <c r="D1159" i="11"/>
  <c r="D1004" i="11"/>
  <c r="D1161" i="11"/>
  <c r="D967" i="11"/>
  <c r="D980" i="11"/>
  <c r="D984" i="11"/>
  <c r="I904" i="58"/>
  <c r="M904" i="58"/>
  <c r="K904" i="58"/>
  <c r="H904" i="58"/>
  <c r="L904" i="58"/>
  <c r="H748" i="58"/>
  <c r="L748" i="58"/>
  <c r="I748" i="58"/>
  <c r="M748" i="58"/>
  <c r="K748" i="58"/>
  <c r="I592" i="58"/>
  <c r="M592" i="58"/>
  <c r="K592" i="58"/>
  <c r="H592" i="58"/>
  <c r="L592" i="58"/>
  <c r="K255" i="58"/>
  <c r="M255" i="58"/>
  <c r="I255" i="58"/>
  <c r="L255" i="58"/>
  <c r="H255" i="58"/>
  <c r="I535" i="58"/>
  <c r="I691" i="58"/>
  <c r="I847" i="58"/>
  <c r="L305" i="58"/>
  <c r="I640" i="58"/>
  <c r="I796" i="58"/>
  <c r="H315" i="58"/>
  <c r="L316" i="58"/>
  <c r="I651" i="58"/>
  <c r="I806" i="58"/>
  <c r="L806" i="58"/>
  <c r="I963" i="58"/>
  <c r="I553" i="58"/>
  <c r="M709" i="58"/>
  <c r="I865" i="58"/>
  <c r="H370" i="58"/>
  <c r="L396" i="58"/>
  <c r="I396" i="58"/>
  <c r="K396" i="58"/>
  <c r="I678" i="58"/>
  <c r="K834" i="58"/>
  <c r="L990" i="58"/>
  <c r="L268" i="58"/>
  <c r="K268" i="58"/>
  <c r="L605" i="58"/>
  <c r="K761" i="58"/>
  <c r="K423" i="58"/>
  <c r="H448" i="58"/>
  <c r="M423" i="58"/>
  <c r="AH88" i="57"/>
  <c r="X216" i="12" s="1"/>
  <c r="AF87" i="57"/>
  <c r="V215" i="12" s="1"/>
  <c r="AH147" i="57"/>
  <c r="X223" i="12" s="1"/>
  <c r="AH149" i="57"/>
  <c r="X225" i="12" s="1"/>
  <c r="AI149" i="57"/>
  <c r="Y225" i="12" s="1"/>
  <c r="AH23" i="57"/>
  <c r="X203" i="12" s="1"/>
  <c r="AG23" i="57"/>
  <c r="W203" i="12" s="1"/>
  <c r="AI147" i="57"/>
  <c r="Y223" i="12" s="1"/>
  <c r="AI141" i="57"/>
  <c r="AI17" i="57"/>
  <c r="AG141" i="57"/>
  <c r="AH77" i="57"/>
  <c r="X295" i="12" s="1"/>
  <c r="Z347" i="12"/>
  <c r="V347" i="12"/>
  <c r="AI15" i="57"/>
  <c r="AB242" i="12"/>
  <c r="X242" i="12"/>
  <c r="AH139" i="57"/>
  <c r="AF137" i="57"/>
  <c r="AG13" i="57"/>
  <c r="AH137" i="57"/>
  <c r="AH104" i="57"/>
  <c r="X317" i="12" s="1"/>
  <c r="AF40" i="57"/>
  <c r="V263" i="12" s="1"/>
  <c r="AI162" i="57"/>
  <c r="Y365" i="12" s="1"/>
  <c r="AI100" i="57"/>
  <c r="Y313" i="12" s="1"/>
  <c r="AF118" i="57"/>
  <c r="V326" i="12" s="1"/>
  <c r="AG53" i="57"/>
  <c r="W271" i="12" s="1"/>
  <c r="D2009" i="11"/>
  <c r="M534" i="58"/>
  <c r="L690" i="58"/>
  <c r="L846" i="58"/>
  <c r="M846" i="58"/>
  <c r="L752" i="58"/>
  <c r="L908" i="58"/>
  <c r="M908" i="58"/>
  <c r="L914" i="58"/>
  <c r="M914" i="58"/>
  <c r="L791" i="58"/>
  <c r="I537" i="58"/>
  <c r="I693" i="58"/>
  <c r="I849" i="58"/>
  <c r="L304" i="58"/>
  <c r="L639" i="58"/>
  <c r="L951" i="58"/>
  <c r="H434" i="58"/>
  <c r="M409" i="58"/>
  <c r="L419" i="58"/>
  <c r="I444" i="58"/>
  <c r="H189" i="58"/>
  <c r="H59" i="58" s="1"/>
  <c r="H85" i="58" s="1"/>
  <c r="H111" i="58" s="1"/>
  <c r="H137" i="58" s="1"/>
  <c r="H163" i="58" s="1"/>
  <c r="M189" i="58"/>
  <c r="M59" i="58" s="1"/>
  <c r="M85" i="58" s="1"/>
  <c r="M111" i="58" s="1"/>
  <c r="M137" i="58" s="1"/>
  <c r="M163" i="58" s="1"/>
  <c r="I215" i="58"/>
  <c r="M241" i="58"/>
  <c r="I578" i="58"/>
  <c r="M734" i="58"/>
  <c r="L890" i="58"/>
  <c r="I294" i="58"/>
  <c r="I630" i="58"/>
  <c r="I942" i="58"/>
  <c r="K473" i="58"/>
  <c r="H523" i="58"/>
  <c r="J473" i="58"/>
  <c r="AH94" i="57"/>
  <c r="X307" i="12" s="1"/>
  <c r="AG155" i="57"/>
  <c r="W358" i="12" s="1"/>
  <c r="AI30" i="57"/>
  <c r="Y253" i="12" s="1"/>
  <c r="AI90" i="57"/>
  <c r="Y303" i="12" s="1"/>
  <c r="AI92" i="57"/>
  <c r="Y305" i="12" s="1"/>
  <c r="AH28" i="57"/>
  <c r="X251" i="12" s="1"/>
  <c r="AG171" i="57"/>
  <c r="W222" i="12" s="1"/>
  <c r="AF108" i="57"/>
  <c r="AH46" i="57"/>
  <c r="X201" i="12" s="1"/>
  <c r="AB209" i="12"/>
  <c r="X209" i="12"/>
  <c r="AC209" i="12"/>
  <c r="Y209" i="12"/>
  <c r="V209" i="12"/>
  <c r="Z209" i="12"/>
  <c r="AH105" i="57"/>
  <c r="AI105" i="57"/>
  <c r="AF167" i="57"/>
  <c r="V218" i="12" s="1"/>
  <c r="AI35" i="57"/>
  <c r="Y258" i="12" s="1"/>
  <c r="AF159" i="57"/>
  <c r="V362" i="12" s="1"/>
  <c r="AH95" i="57"/>
  <c r="X308" i="12" s="1"/>
  <c r="AH97" i="57"/>
  <c r="X310" i="12" s="1"/>
  <c r="AG33" i="57"/>
  <c r="W256" i="12" s="1"/>
  <c r="AI157" i="57"/>
  <c r="Y360" i="12" s="1"/>
  <c r="D1143" i="11"/>
  <c r="D1012" i="11"/>
  <c r="M548" i="58"/>
  <c r="M704" i="58"/>
  <c r="I860" i="58"/>
  <c r="M532" i="58"/>
  <c r="L688" i="58"/>
  <c r="L844" i="58"/>
  <c r="M844" i="58"/>
  <c r="I919" i="58"/>
  <c r="K919" i="58"/>
  <c r="H919" i="58"/>
  <c r="L919" i="58"/>
  <c r="H763" i="58"/>
  <c r="L763" i="58"/>
  <c r="I763" i="58"/>
  <c r="K763" i="58"/>
  <c r="I607" i="58"/>
  <c r="K607" i="58"/>
  <c r="H607" i="58"/>
  <c r="L607" i="58"/>
  <c r="K271" i="58"/>
  <c r="I271" i="58"/>
  <c r="L271" i="58"/>
  <c r="H271" i="58"/>
  <c r="K920" i="58"/>
  <c r="H920" i="58"/>
  <c r="L920" i="58"/>
  <c r="I920" i="58"/>
  <c r="K764" i="58"/>
  <c r="H764" i="58"/>
  <c r="L764" i="58"/>
  <c r="I764" i="58"/>
  <c r="K608" i="58"/>
  <c r="H608" i="58"/>
  <c r="L608" i="58"/>
  <c r="I608" i="58"/>
  <c r="K272" i="58"/>
  <c r="I272" i="58"/>
  <c r="L272" i="58"/>
  <c r="H272" i="58"/>
  <c r="H935" i="58"/>
  <c r="L935" i="58"/>
  <c r="I935" i="58"/>
  <c r="K935" i="58"/>
  <c r="H779" i="58"/>
  <c r="L779" i="58"/>
  <c r="I779" i="58"/>
  <c r="K779" i="58"/>
  <c r="I623" i="58"/>
  <c r="K623" i="58"/>
  <c r="H623" i="58"/>
  <c r="L623" i="58"/>
  <c r="K287" i="58"/>
  <c r="I287" i="58"/>
  <c r="L287" i="58"/>
  <c r="H287" i="58"/>
  <c r="I921" i="58"/>
  <c r="K921" i="58"/>
  <c r="H921" i="58"/>
  <c r="L921" i="58"/>
  <c r="H765" i="58"/>
  <c r="L765" i="58"/>
  <c r="I765" i="58"/>
  <c r="K765" i="58"/>
  <c r="I609" i="58"/>
  <c r="K609" i="58"/>
  <c r="H609" i="58"/>
  <c r="L609" i="58"/>
  <c r="K273" i="58"/>
  <c r="I273" i="58"/>
  <c r="L273" i="58"/>
  <c r="H273" i="58"/>
  <c r="K922" i="58"/>
  <c r="H922" i="58"/>
  <c r="L922" i="58"/>
  <c r="I922" i="58"/>
  <c r="K766" i="58"/>
  <c r="H766" i="58"/>
  <c r="L766" i="58"/>
  <c r="I766" i="58"/>
  <c r="K610" i="58"/>
  <c r="H610" i="58"/>
  <c r="L610" i="58"/>
  <c r="I610" i="58"/>
  <c r="K274" i="58"/>
  <c r="I274" i="58"/>
  <c r="L274" i="58"/>
  <c r="H274" i="58"/>
  <c r="I923" i="58"/>
  <c r="K923" i="58"/>
  <c r="H923" i="58"/>
  <c r="L923" i="58"/>
  <c r="H767" i="58"/>
  <c r="L767" i="58"/>
  <c r="I767" i="58"/>
  <c r="K767" i="58"/>
  <c r="I611" i="58"/>
  <c r="K611" i="58"/>
  <c r="H611" i="58"/>
  <c r="L611" i="58"/>
  <c r="K275" i="58"/>
  <c r="I275" i="58"/>
  <c r="L275" i="58"/>
  <c r="H275" i="58"/>
  <c r="K924" i="58"/>
  <c r="I924" i="58"/>
  <c r="H924" i="58"/>
  <c r="L924" i="58"/>
  <c r="K768" i="58"/>
  <c r="H768" i="58"/>
  <c r="L768" i="58"/>
  <c r="I768" i="58"/>
  <c r="K612" i="58"/>
  <c r="H612" i="58"/>
  <c r="L612" i="58"/>
  <c r="I612" i="58"/>
  <c r="K276" i="58"/>
  <c r="I276" i="58"/>
  <c r="L276" i="58"/>
  <c r="H276" i="58"/>
  <c r="H927" i="58"/>
  <c r="L927" i="58"/>
  <c r="I927" i="58"/>
  <c r="K927" i="58"/>
  <c r="H771" i="58"/>
  <c r="L771" i="58"/>
  <c r="I771" i="58"/>
  <c r="K771" i="58"/>
  <c r="I615" i="58"/>
  <c r="K615" i="58"/>
  <c r="H615" i="58"/>
  <c r="L615" i="58"/>
  <c r="K279" i="58"/>
  <c r="I279" i="58"/>
  <c r="L279" i="58"/>
  <c r="H279" i="58"/>
  <c r="J435" i="58"/>
  <c r="J410" i="58"/>
  <c r="M435" i="58"/>
  <c r="I435" i="58"/>
  <c r="M410" i="58"/>
  <c r="I410" i="58"/>
  <c r="L435" i="58"/>
  <c r="H435" i="58"/>
  <c r="K435" i="58"/>
  <c r="H410" i="58"/>
  <c r="L410" i="58"/>
  <c r="K410" i="58"/>
  <c r="J439" i="58"/>
  <c r="J414" i="58"/>
  <c r="M439" i="58"/>
  <c r="I439" i="58"/>
  <c r="M414" i="58"/>
  <c r="I414" i="58"/>
  <c r="L439" i="58"/>
  <c r="H439" i="58"/>
  <c r="K439" i="58"/>
  <c r="H414" i="58"/>
  <c r="L414" i="58"/>
  <c r="K414" i="58"/>
  <c r="J511" i="58"/>
  <c r="J486" i="58"/>
  <c r="J461" i="58"/>
  <c r="I511" i="58"/>
  <c r="I486" i="58"/>
  <c r="I461" i="58"/>
  <c r="L511" i="58"/>
  <c r="H511" i="58"/>
  <c r="L486" i="58"/>
  <c r="H486" i="58"/>
  <c r="L461" i="58"/>
  <c r="H461" i="58"/>
  <c r="K511" i="58"/>
  <c r="K486" i="58"/>
  <c r="K461" i="58"/>
  <c r="I854" i="58"/>
  <c r="K854" i="58"/>
  <c r="H854" i="58"/>
  <c r="L854" i="58"/>
  <c r="M854" i="58"/>
  <c r="K698" i="58"/>
  <c r="H698" i="58"/>
  <c r="L698" i="58"/>
  <c r="I698" i="58"/>
  <c r="M698" i="58"/>
  <c r="H542" i="58"/>
  <c r="L542" i="58"/>
  <c r="I542" i="58"/>
  <c r="M542" i="58"/>
  <c r="K542" i="58"/>
  <c r="I881" i="58"/>
  <c r="M881" i="58"/>
  <c r="H881" i="58"/>
  <c r="L881" i="58"/>
  <c r="H725" i="58"/>
  <c r="L725" i="58"/>
  <c r="I725" i="58"/>
  <c r="M725" i="58"/>
  <c r="I569" i="58"/>
  <c r="M569" i="58"/>
  <c r="H569" i="58"/>
  <c r="L569" i="58"/>
  <c r="M232" i="58"/>
  <c r="I232" i="58"/>
  <c r="M206" i="58"/>
  <c r="I206" i="58"/>
  <c r="L232" i="58"/>
  <c r="H232" i="58"/>
  <c r="L206" i="58"/>
  <c r="H206" i="58"/>
  <c r="M180" i="58"/>
  <c r="M50" i="58" s="1"/>
  <c r="M76" i="58" s="1"/>
  <c r="M102" i="58" s="1"/>
  <c r="M128" i="58" s="1"/>
  <c r="M154" i="58" s="1"/>
  <c r="I180" i="58"/>
  <c r="I50" i="58" s="1"/>
  <c r="I76" i="58" s="1"/>
  <c r="I102" i="58" s="1"/>
  <c r="I128" i="58" s="1"/>
  <c r="I154" i="58" s="1"/>
  <c r="L180" i="58"/>
  <c r="L50" i="58" s="1"/>
  <c r="L76" i="58" s="1"/>
  <c r="L102" i="58" s="1"/>
  <c r="L128" i="58" s="1"/>
  <c r="L154" i="58" s="1"/>
  <c r="H180" i="58"/>
  <c r="H50" i="58" s="1"/>
  <c r="H76" i="58" s="1"/>
  <c r="H102" i="58" s="1"/>
  <c r="H128" i="58" s="1"/>
  <c r="H154" i="58" s="1"/>
  <c r="H933" i="58"/>
  <c r="L933" i="58"/>
  <c r="I933" i="58"/>
  <c r="K933" i="58"/>
  <c r="H777" i="58"/>
  <c r="L777" i="58"/>
  <c r="I777" i="58"/>
  <c r="K777" i="58"/>
  <c r="I621" i="58"/>
  <c r="K621" i="58"/>
  <c r="H621" i="58"/>
  <c r="L621" i="58"/>
  <c r="K285" i="58"/>
  <c r="I285" i="58"/>
  <c r="L285" i="58"/>
  <c r="H285" i="58"/>
  <c r="K986" i="58"/>
  <c r="H986" i="58"/>
  <c r="L986" i="58"/>
  <c r="I986" i="58"/>
  <c r="M986" i="58"/>
  <c r="K830" i="58"/>
  <c r="H830" i="58"/>
  <c r="L830" i="58"/>
  <c r="I830" i="58"/>
  <c r="M830" i="58"/>
  <c r="K674" i="58"/>
  <c r="H674" i="58"/>
  <c r="L674" i="58"/>
  <c r="I674" i="58"/>
  <c r="M674" i="58"/>
  <c r="K392" i="58"/>
  <c r="K366" i="58"/>
  <c r="K340" i="58"/>
  <c r="M392" i="58"/>
  <c r="I392" i="58"/>
  <c r="M366" i="58"/>
  <c r="I366" i="58"/>
  <c r="M340" i="58"/>
  <c r="I340" i="58"/>
  <c r="L392" i="58"/>
  <c r="H392" i="58"/>
  <c r="L366" i="58"/>
  <c r="H366" i="58"/>
  <c r="L340" i="58"/>
  <c r="H340" i="58"/>
  <c r="J520" i="58"/>
  <c r="J495" i="58"/>
  <c r="J470" i="58"/>
  <c r="I520" i="58"/>
  <c r="I495" i="58"/>
  <c r="I470" i="58"/>
  <c r="L520" i="58"/>
  <c r="H520" i="58"/>
  <c r="L495" i="58"/>
  <c r="H495" i="58"/>
  <c r="L470" i="58"/>
  <c r="H470" i="58"/>
  <c r="K520" i="58"/>
  <c r="K495" i="58"/>
  <c r="K470" i="58"/>
  <c r="K864" i="58"/>
  <c r="H864" i="58"/>
  <c r="L864" i="58"/>
  <c r="I864" i="58"/>
  <c r="M864" i="58"/>
  <c r="H708" i="58"/>
  <c r="L708" i="58"/>
  <c r="I708" i="58"/>
  <c r="M708" i="58"/>
  <c r="K708" i="58"/>
  <c r="I552" i="58"/>
  <c r="M552" i="58"/>
  <c r="K552" i="58"/>
  <c r="H552" i="58"/>
  <c r="L552" i="58"/>
  <c r="J440" i="58"/>
  <c r="J415" i="58"/>
  <c r="M440" i="58"/>
  <c r="I440" i="58"/>
  <c r="M415" i="58"/>
  <c r="I415" i="58"/>
  <c r="L440" i="58"/>
  <c r="H440" i="58"/>
  <c r="L415" i="58"/>
  <c r="K440" i="58"/>
  <c r="K415" i="58"/>
  <c r="H415" i="58"/>
  <c r="K928" i="58"/>
  <c r="H928" i="58"/>
  <c r="L928" i="58"/>
  <c r="I928" i="58"/>
  <c r="K772" i="58"/>
  <c r="H772" i="58"/>
  <c r="L772" i="58"/>
  <c r="I772" i="58"/>
  <c r="K616" i="58"/>
  <c r="H616" i="58"/>
  <c r="L616" i="58"/>
  <c r="I616" i="58"/>
  <c r="K280" i="58"/>
  <c r="I280" i="58"/>
  <c r="L280" i="58"/>
  <c r="H280" i="58"/>
  <c r="K980" i="58"/>
  <c r="H980" i="58"/>
  <c r="L980" i="58"/>
  <c r="I980" i="58"/>
  <c r="M980" i="58"/>
  <c r="K824" i="58"/>
  <c r="H824" i="58"/>
  <c r="L824" i="58"/>
  <c r="I824" i="58"/>
  <c r="M824" i="58"/>
  <c r="K668" i="58"/>
  <c r="H668" i="58"/>
  <c r="L668" i="58"/>
  <c r="I668" i="58"/>
  <c r="M668" i="58"/>
  <c r="K386" i="58"/>
  <c r="K360" i="58"/>
  <c r="K334" i="58"/>
  <c r="M386" i="58"/>
  <c r="I386" i="58"/>
  <c r="M360" i="58"/>
  <c r="I360" i="58"/>
  <c r="M334" i="58"/>
  <c r="I334" i="58"/>
  <c r="L386" i="58"/>
  <c r="H386" i="58"/>
  <c r="L360" i="58"/>
  <c r="H360" i="58"/>
  <c r="L334" i="58"/>
  <c r="H334" i="58"/>
  <c r="J514" i="58"/>
  <c r="J489" i="58"/>
  <c r="J464" i="58"/>
  <c r="I514" i="58"/>
  <c r="I489" i="58"/>
  <c r="I464" i="58"/>
  <c r="L514" i="58"/>
  <c r="H514" i="58"/>
  <c r="L489" i="58"/>
  <c r="H489" i="58"/>
  <c r="L464" i="58"/>
  <c r="H464" i="58"/>
  <c r="K514" i="58"/>
  <c r="K489" i="58"/>
  <c r="K464" i="58"/>
  <c r="H857" i="58"/>
  <c r="L857" i="58"/>
  <c r="I857" i="58"/>
  <c r="M857" i="58"/>
  <c r="K857" i="58"/>
  <c r="H701" i="58"/>
  <c r="L701" i="58"/>
  <c r="I701" i="58"/>
  <c r="M701" i="58"/>
  <c r="K701" i="58"/>
  <c r="I545" i="58"/>
  <c r="M545" i="58"/>
  <c r="K545" i="58"/>
  <c r="H545" i="58"/>
  <c r="L545" i="58"/>
  <c r="H884" i="58"/>
  <c r="L884" i="58"/>
  <c r="I884" i="58"/>
  <c r="M884" i="58"/>
  <c r="H728" i="58"/>
  <c r="L728" i="58"/>
  <c r="I728" i="58"/>
  <c r="M728" i="58"/>
  <c r="H572" i="58"/>
  <c r="L572" i="58"/>
  <c r="I572" i="58"/>
  <c r="M572" i="58"/>
  <c r="M235" i="58"/>
  <c r="I235" i="58"/>
  <c r="M209" i="58"/>
  <c r="I209" i="58"/>
  <c r="L235" i="58"/>
  <c r="H235" i="58"/>
  <c r="L209" i="58"/>
  <c r="H209" i="58"/>
  <c r="M183" i="58"/>
  <c r="M53" i="58" s="1"/>
  <c r="M79" i="58" s="1"/>
  <c r="M105" i="58" s="1"/>
  <c r="M131" i="58" s="1"/>
  <c r="M157" i="58" s="1"/>
  <c r="I183" i="58"/>
  <c r="I53" i="58" s="1"/>
  <c r="I79" i="58" s="1"/>
  <c r="I105" i="58" s="1"/>
  <c r="I131" i="58" s="1"/>
  <c r="I157" i="58" s="1"/>
  <c r="L183" i="58"/>
  <c r="L53" i="58" s="1"/>
  <c r="L79" i="58" s="1"/>
  <c r="L105" i="58" s="1"/>
  <c r="L131" i="58" s="1"/>
  <c r="L157" i="58" s="1"/>
  <c r="H183" i="58"/>
  <c r="H53" i="58" s="1"/>
  <c r="H79" i="58" s="1"/>
  <c r="H105" i="58" s="1"/>
  <c r="H131" i="58" s="1"/>
  <c r="H157" i="58" s="1"/>
  <c r="I916" i="58"/>
  <c r="M916" i="58"/>
  <c r="K916" i="58"/>
  <c r="H916" i="58"/>
  <c r="L916" i="58"/>
  <c r="H760" i="58"/>
  <c r="L760" i="58"/>
  <c r="I760" i="58"/>
  <c r="M760" i="58"/>
  <c r="K760" i="58"/>
  <c r="I604" i="58"/>
  <c r="M604" i="58"/>
  <c r="K604" i="58"/>
  <c r="H604" i="58"/>
  <c r="L604" i="58"/>
  <c r="K267" i="58"/>
  <c r="M267" i="58"/>
  <c r="I267" i="58"/>
  <c r="L267" i="58"/>
  <c r="H267" i="58"/>
  <c r="C536" i="58"/>
  <c r="C561" i="58"/>
  <c r="C586" i="58"/>
  <c r="C611" i="58"/>
  <c r="C636" i="58"/>
  <c r="C661" i="58"/>
  <c r="H961" i="58"/>
  <c r="L961" i="58"/>
  <c r="I961" i="58"/>
  <c r="M961" i="58"/>
  <c r="H805" i="58"/>
  <c r="L805" i="58"/>
  <c r="I805" i="58"/>
  <c r="M805" i="58"/>
  <c r="H649" i="58"/>
  <c r="L649" i="58"/>
  <c r="I649" i="58"/>
  <c r="M649" i="58"/>
  <c r="M314" i="58"/>
  <c r="I314" i="58"/>
  <c r="L314" i="58"/>
  <c r="H314" i="58"/>
  <c r="J427" i="58"/>
  <c r="M427" i="58"/>
  <c r="I427" i="58"/>
  <c r="L427" i="58"/>
  <c r="H427" i="58"/>
  <c r="K427" i="58"/>
  <c r="K402" i="58"/>
  <c r="J402" i="58"/>
  <c r="M402" i="58"/>
  <c r="I402" i="58"/>
  <c r="L402" i="58"/>
  <c r="H402" i="58"/>
  <c r="J428" i="58"/>
  <c r="M428" i="58"/>
  <c r="I428" i="58"/>
  <c r="L428" i="58"/>
  <c r="H428" i="58"/>
  <c r="K403" i="58"/>
  <c r="K428" i="58"/>
  <c r="J403" i="58"/>
  <c r="M403" i="58"/>
  <c r="I403" i="58"/>
  <c r="L403" i="58"/>
  <c r="H403" i="58"/>
  <c r="J431" i="58"/>
  <c r="M431" i="58"/>
  <c r="I431" i="58"/>
  <c r="L431" i="58"/>
  <c r="H431" i="58"/>
  <c r="K431" i="58"/>
  <c r="K406" i="58"/>
  <c r="J406" i="58"/>
  <c r="M406" i="58"/>
  <c r="I406" i="58"/>
  <c r="L406" i="58"/>
  <c r="H406" i="58"/>
  <c r="H948" i="58"/>
  <c r="L948" i="58"/>
  <c r="I948" i="58"/>
  <c r="M948" i="58"/>
  <c r="H792" i="58"/>
  <c r="L792" i="58"/>
  <c r="I792" i="58"/>
  <c r="M792" i="58"/>
  <c r="I636" i="58"/>
  <c r="M636" i="58"/>
  <c r="H636" i="58"/>
  <c r="L636" i="58"/>
  <c r="M301" i="58"/>
  <c r="I301" i="58"/>
  <c r="L301" i="58"/>
  <c r="H301" i="58"/>
  <c r="J426" i="58"/>
  <c r="M426" i="58"/>
  <c r="I426" i="58"/>
  <c r="L426" i="58"/>
  <c r="H426" i="58"/>
  <c r="K401" i="58"/>
  <c r="J401" i="58"/>
  <c r="M401" i="58"/>
  <c r="I401" i="58"/>
  <c r="K426" i="58"/>
  <c r="L401" i="58"/>
  <c r="H401" i="58"/>
  <c r="C544" i="58"/>
  <c r="C569" i="58"/>
  <c r="C594" i="58"/>
  <c r="C619" i="58"/>
  <c r="C644" i="58"/>
  <c r="C669" i="58"/>
  <c r="C541" i="58"/>
  <c r="C566" i="58"/>
  <c r="C591" i="58"/>
  <c r="C616" i="58"/>
  <c r="C641" i="58"/>
  <c r="C666" i="58"/>
  <c r="E991" i="58"/>
  <c r="H955" i="58"/>
  <c r="L955" i="58"/>
  <c r="I955" i="58"/>
  <c r="M955" i="58"/>
  <c r="H799" i="58"/>
  <c r="L799" i="58"/>
  <c r="I799" i="58"/>
  <c r="M799" i="58"/>
  <c r="I643" i="58"/>
  <c r="M643" i="58"/>
  <c r="H643" i="58"/>
  <c r="L643" i="58"/>
  <c r="M308" i="58"/>
  <c r="I308" i="58"/>
  <c r="L308" i="58"/>
  <c r="H308" i="58"/>
  <c r="M540" i="58"/>
  <c r="K696" i="58"/>
  <c r="L292" i="58"/>
  <c r="K292" i="58"/>
  <c r="L628" i="58"/>
  <c r="K784" i="58"/>
  <c r="L345" i="58"/>
  <c r="I345" i="58"/>
  <c r="M371" i="58"/>
  <c r="K345" i="58"/>
  <c r="K835" i="58"/>
  <c r="L835" i="58"/>
  <c r="M991" i="58"/>
  <c r="AG72" i="57"/>
  <c r="W290" i="12" s="1"/>
  <c r="AG132" i="57"/>
  <c r="W340" i="12" s="1"/>
  <c r="AH68" i="57"/>
  <c r="X286" i="12" s="1"/>
  <c r="AH192" i="57"/>
  <c r="X390" i="12" s="1"/>
  <c r="AI68" i="57"/>
  <c r="Y286" i="12" s="1"/>
  <c r="AF186" i="57"/>
  <c r="V384" i="12" s="1"/>
  <c r="AH182" i="57"/>
  <c r="X380" i="12" s="1"/>
  <c r="D2007" i="11"/>
  <c r="H953" i="58"/>
  <c r="L953" i="58"/>
  <c r="I953" i="58"/>
  <c r="M953" i="58"/>
  <c r="H797" i="58"/>
  <c r="L797" i="58"/>
  <c r="I797" i="58"/>
  <c r="M797" i="58"/>
  <c r="H641" i="58"/>
  <c r="L641" i="58"/>
  <c r="I641" i="58"/>
  <c r="M641" i="58"/>
  <c r="M306" i="58"/>
  <c r="I306" i="58"/>
  <c r="L306" i="58"/>
  <c r="H306" i="58"/>
  <c r="K594" i="58"/>
  <c r="L750" i="58"/>
  <c r="M755" i="58"/>
  <c r="L911" i="58"/>
  <c r="H398" i="58"/>
  <c r="M346" i="58"/>
  <c r="M680" i="58"/>
  <c r="I836" i="58"/>
  <c r="K992" i="58"/>
  <c r="AG146" i="57"/>
  <c r="W354" i="12" s="1"/>
  <c r="AG21" i="57"/>
  <c r="W249" i="12" s="1"/>
  <c r="AG84" i="57"/>
  <c r="W302" i="12" s="1"/>
  <c r="AF20" i="57"/>
  <c r="V248" i="12" s="1"/>
  <c r="AF82" i="57"/>
  <c r="V300" i="12" s="1"/>
  <c r="AH142" i="57"/>
  <c r="X350" i="12" s="1"/>
  <c r="AF18" i="57"/>
  <c r="V246" i="12" s="1"/>
  <c r="AH52" i="57"/>
  <c r="X270" i="12" s="1"/>
  <c r="AI51" i="57"/>
  <c r="Y269" i="12" s="1"/>
  <c r="AI113" i="57"/>
  <c r="Y321" i="12" s="1"/>
  <c r="AH48" i="57"/>
  <c r="X266" i="12" s="1"/>
  <c r="AH50" i="57"/>
  <c r="X268" i="12" s="1"/>
  <c r="AI50" i="57"/>
  <c r="Y268" i="12" s="1"/>
  <c r="AH65" i="57"/>
  <c r="X283" i="12" s="1"/>
  <c r="AI189" i="57"/>
  <c r="Y387" i="12" s="1"/>
  <c r="AG125" i="57"/>
  <c r="W333" i="12" s="1"/>
  <c r="AI125" i="57"/>
  <c r="Y333" i="12" s="1"/>
  <c r="AG63" i="57"/>
  <c r="W281" i="12" s="1"/>
  <c r="D962" i="11"/>
  <c r="D1158" i="11"/>
  <c r="D1121" i="11"/>
  <c r="D977" i="11"/>
  <c r="D1005" i="11"/>
  <c r="D979" i="11"/>
  <c r="D1125" i="11"/>
  <c r="D968" i="11"/>
  <c r="D1166" i="11"/>
  <c r="D1009" i="11"/>
  <c r="D851" i="58"/>
  <c r="D876" i="58"/>
  <c r="D901" i="58"/>
  <c r="D926" i="58"/>
  <c r="D951" i="58"/>
  <c r="D976" i="58"/>
  <c r="D695" i="58"/>
  <c r="D720" i="58"/>
  <c r="D745" i="58"/>
  <c r="D770" i="58"/>
  <c r="D795" i="58"/>
  <c r="D820" i="58"/>
  <c r="D539" i="58"/>
  <c r="D564" i="58"/>
  <c r="D589" i="58"/>
  <c r="D614" i="58"/>
  <c r="D639" i="58"/>
  <c r="D664" i="58"/>
  <c r="D1133" i="11"/>
  <c r="D965" i="11"/>
  <c r="D1163" i="11"/>
  <c r="D1128" i="11"/>
  <c r="D1141" i="11"/>
  <c r="H957" i="58"/>
  <c r="L957" i="58"/>
  <c r="I957" i="58"/>
  <c r="M957" i="58"/>
  <c r="H801" i="58"/>
  <c r="L801" i="58"/>
  <c r="I801" i="58"/>
  <c r="M801" i="58"/>
  <c r="H645" i="58"/>
  <c r="L645" i="58"/>
  <c r="I645" i="58"/>
  <c r="M645" i="58"/>
  <c r="M310" i="58"/>
  <c r="I310" i="58"/>
  <c r="L310" i="58"/>
  <c r="H310" i="58"/>
  <c r="K847" i="58"/>
  <c r="L640" i="58"/>
  <c r="L952" i="58"/>
  <c r="L315" i="58"/>
  <c r="I316" i="58"/>
  <c r="L651" i="58"/>
  <c r="L963" i="58"/>
  <c r="K553" i="58"/>
  <c r="I709" i="58"/>
  <c r="H344" i="58"/>
  <c r="L370" i="58"/>
  <c r="M396" i="58"/>
  <c r="K370" i="58"/>
  <c r="M605" i="58"/>
  <c r="L761" i="58"/>
  <c r="K917" i="58"/>
  <c r="H423" i="58"/>
  <c r="K448" i="58"/>
  <c r="L448" i="58"/>
  <c r="J423" i="58"/>
  <c r="AG85" i="57"/>
  <c r="W213" i="12" s="1"/>
  <c r="AF85" i="57"/>
  <c r="V213" i="12" s="1"/>
  <c r="AI79" i="57"/>
  <c r="Y297" i="12" s="1"/>
  <c r="AB349" i="12"/>
  <c r="X349" i="12"/>
  <c r="AH16" i="57"/>
  <c r="AC242" i="12"/>
  <c r="Y242" i="12"/>
  <c r="W243" i="12"/>
  <c r="AA243" i="12"/>
  <c r="AI139" i="57"/>
  <c r="AH15" i="57"/>
  <c r="V346" i="12"/>
  <c r="Z346" i="12"/>
  <c r="AI137" i="57"/>
  <c r="AH75" i="57"/>
  <c r="X293" i="12" s="1"/>
  <c r="AI13" i="57"/>
  <c r="AG75" i="57"/>
  <c r="W293" i="12" s="1"/>
  <c r="AF42" i="57"/>
  <c r="V265" i="12" s="1"/>
  <c r="AG103" i="57"/>
  <c r="W316" i="12" s="1"/>
  <c r="AI164" i="57"/>
  <c r="Y367" i="12" s="1"/>
  <c r="AH38" i="57"/>
  <c r="X261" i="12" s="1"/>
  <c r="AG38" i="57"/>
  <c r="W261" i="12" s="1"/>
  <c r="AF38" i="57"/>
  <c r="V261" i="12" s="1"/>
  <c r="AH53" i="57"/>
  <c r="X271" i="12" s="1"/>
  <c r="AG115" i="57"/>
  <c r="W323" i="12" s="1"/>
  <c r="D1008" i="11"/>
  <c r="I534" i="58"/>
  <c r="M690" i="58"/>
  <c r="I846" i="58"/>
  <c r="K596" i="58"/>
  <c r="K602" i="58"/>
  <c r="I300" i="58"/>
  <c r="I635" i="58"/>
  <c r="K849" i="58"/>
  <c r="K434" i="58"/>
  <c r="L434" i="58"/>
  <c r="J409" i="58"/>
  <c r="I419" i="58"/>
  <c r="H241" i="58"/>
  <c r="M215" i="58"/>
  <c r="H294" i="58"/>
  <c r="K630" i="58"/>
  <c r="AI93" i="57"/>
  <c r="Y306" i="12" s="1"/>
  <c r="AG30" i="57"/>
  <c r="W253" i="12" s="1"/>
  <c r="AI152" i="57"/>
  <c r="Y355" i="12" s="1"/>
  <c r="AI28" i="57"/>
  <c r="Y251" i="12" s="1"/>
  <c r="AH90" i="57"/>
  <c r="X303" i="12" s="1"/>
  <c r="AC211" i="12"/>
  <c r="Y211" i="12"/>
  <c r="AB211" i="12"/>
  <c r="X211" i="12"/>
  <c r="Z210" i="12"/>
  <c r="V210" i="12"/>
  <c r="AF43" i="57"/>
  <c r="V198" i="12" s="1"/>
  <c r="AG105" i="57"/>
  <c r="AI167" i="57"/>
  <c r="Y218" i="12" s="1"/>
  <c r="AF35" i="57"/>
  <c r="V258" i="12" s="1"/>
  <c r="AF97" i="57"/>
  <c r="V310" i="12" s="1"/>
  <c r="AG98" i="57"/>
  <c r="W311" i="12" s="1"/>
  <c r="AF33" i="57"/>
  <c r="V256" i="12" s="1"/>
  <c r="AG157" i="57"/>
  <c r="W360" i="12" s="1"/>
  <c r="AF157" i="57"/>
  <c r="V360" i="12" s="1"/>
  <c r="D2010" i="11"/>
  <c r="D986" i="11"/>
  <c r="I548" i="58"/>
  <c r="I704" i="58"/>
  <c r="I532" i="58"/>
  <c r="D920" i="11"/>
  <c r="D921" i="11"/>
  <c r="D930" i="11"/>
  <c r="D929" i="11"/>
  <c r="F169" i="12"/>
  <c r="F174" i="12" s="1"/>
  <c r="F179" i="12" s="1"/>
  <c r="F184" i="12" s="1"/>
  <c r="F189" i="12" s="1"/>
  <c r="E19" i="58"/>
  <c r="C931" i="11"/>
  <c r="C922" i="11"/>
  <c r="C923" i="11"/>
  <c r="D923" i="11" s="1"/>
  <c r="D1100" i="11"/>
  <c r="D375" i="58"/>
  <c r="D220" i="58"/>
  <c r="D480" i="58"/>
  <c r="D430" i="58"/>
  <c r="D353" i="58"/>
  <c r="D198" i="58"/>
  <c r="D511" i="58"/>
  <c r="D307" i="58"/>
  <c r="D281" i="58"/>
  <c r="D255" i="58"/>
  <c r="D398" i="58"/>
  <c r="D243" i="58"/>
  <c r="C498" i="58"/>
  <c r="C448" i="58"/>
  <c r="C372" i="58"/>
  <c r="C217" i="58"/>
  <c r="C487" i="58"/>
  <c r="C360" i="58"/>
  <c r="C437" i="58"/>
  <c r="C205" i="58"/>
  <c r="D377" i="58"/>
  <c r="D222" i="58"/>
  <c r="D461" i="58"/>
  <c r="D411" i="58"/>
  <c r="D333" i="58"/>
  <c r="D178" i="58"/>
  <c r="C163" i="58"/>
  <c r="C85" i="58"/>
  <c r="C137" i="58"/>
  <c r="C59" i="58"/>
  <c r="C111" i="58"/>
  <c r="D105" i="58"/>
  <c r="D157" i="58"/>
  <c r="D79" i="58"/>
  <c r="D131" i="58"/>
  <c r="D53" i="58"/>
  <c r="C75" i="58"/>
  <c r="C101" i="58"/>
  <c r="C49" i="58"/>
  <c r="C127" i="58"/>
  <c r="C153" i="58"/>
  <c r="D340" i="58"/>
  <c r="D468" i="58"/>
  <c r="D185" i="58"/>
  <c r="D418" i="58"/>
  <c r="D380" i="58"/>
  <c r="D225" i="58"/>
  <c r="C378" i="58"/>
  <c r="C223" i="58"/>
  <c r="D520" i="58"/>
  <c r="D291" i="58"/>
  <c r="D265" i="58"/>
  <c r="D317" i="58"/>
  <c r="D397" i="58"/>
  <c r="D242" i="58"/>
  <c r="D376" i="58"/>
  <c r="D221" i="58"/>
  <c r="D429" i="58"/>
  <c r="D479" i="58"/>
  <c r="D352" i="58"/>
  <c r="D197" i="58"/>
  <c r="C395" i="58"/>
  <c r="C240" i="58"/>
  <c r="D476" i="58"/>
  <c r="D426" i="58"/>
  <c r="D349" i="58"/>
  <c r="D194" i="58"/>
  <c r="C476" i="58"/>
  <c r="C426" i="58"/>
  <c r="C349" i="58"/>
  <c r="C194" i="58"/>
  <c r="D501" i="58"/>
  <c r="D246" i="58"/>
  <c r="D271" i="58"/>
  <c r="D297" i="58"/>
  <c r="C224" i="58"/>
  <c r="C379" i="58"/>
  <c r="D505" i="58"/>
  <c r="D301" i="58"/>
  <c r="D275" i="58"/>
  <c r="D249" i="58"/>
  <c r="C507" i="58"/>
  <c r="C303" i="58"/>
  <c r="C277" i="58"/>
  <c r="C251" i="58"/>
  <c r="C490" i="58"/>
  <c r="C440" i="58"/>
  <c r="C363" i="58"/>
  <c r="C208" i="58"/>
  <c r="D503" i="58"/>
  <c r="D273" i="58"/>
  <c r="D299" i="58"/>
  <c r="C232" i="58"/>
  <c r="C387" i="58"/>
  <c r="C438" i="58"/>
  <c r="C488" i="58"/>
  <c r="C206" i="58"/>
  <c r="C361" i="58"/>
  <c r="D513" i="58"/>
  <c r="D309" i="58"/>
  <c r="D283" i="58"/>
  <c r="D257" i="58"/>
  <c r="C394" i="58"/>
  <c r="C239" i="58"/>
  <c r="D519" i="58"/>
  <c r="D316" i="58"/>
  <c r="D290" i="58"/>
  <c r="D264" i="58"/>
  <c r="D498" i="58"/>
  <c r="D372" i="58"/>
  <c r="D448" i="58"/>
  <c r="D217" i="58"/>
  <c r="C376" i="58"/>
  <c r="C221" i="58"/>
  <c r="C479" i="58"/>
  <c r="C352" i="58"/>
  <c r="C429" i="58"/>
  <c r="C197" i="58"/>
  <c r="D506" i="58"/>
  <c r="D302" i="58"/>
  <c r="D250" i="58"/>
  <c r="D276" i="58"/>
  <c r="C481" i="58"/>
  <c r="C354" i="58"/>
  <c r="C431" i="58"/>
  <c r="C199" i="58"/>
  <c r="D431" i="58"/>
  <c r="D481" i="58"/>
  <c r="D354" i="58"/>
  <c r="D199" i="58"/>
  <c r="D508" i="58"/>
  <c r="D278" i="58"/>
  <c r="D304" i="58"/>
  <c r="D252" i="58"/>
  <c r="D227" i="58"/>
  <c r="D382" i="58"/>
  <c r="C508" i="58"/>
  <c r="C304" i="58"/>
  <c r="C252" i="58"/>
  <c r="C278" i="58"/>
  <c r="D437" i="58"/>
  <c r="D487" i="58"/>
  <c r="D360" i="58"/>
  <c r="D205" i="58"/>
  <c r="D308" i="58"/>
  <c r="D512" i="58"/>
  <c r="D256" i="58"/>
  <c r="D282" i="58"/>
  <c r="C388" i="58"/>
  <c r="C233" i="58"/>
  <c r="D441" i="58"/>
  <c r="D491" i="58"/>
  <c r="D209" i="58"/>
  <c r="D364" i="58"/>
  <c r="C443" i="58"/>
  <c r="C366" i="58"/>
  <c r="C493" i="58"/>
  <c r="C211" i="58"/>
  <c r="C392" i="58"/>
  <c r="C237" i="58"/>
  <c r="C524" i="58"/>
  <c r="C295" i="58"/>
  <c r="C321" i="58"/>
  <c r="C269" i="58"/>
  <c r="C90" i="58"/>
  <c r="C64" i="58"/>
  <c r="C142" i="58"/>
  <c r="C116" i="58"/>
  <c r="C118" i="58"/>
  <c r="C40" i="58"/>
  <c r="C144" i="58"/>
  <c r="C92" i="58"/>
  <c r="C66" i="58"/>
  <c r="D455" i="58"/>
  <c r="D405" i="58"/>
  <c r="D327" i="58"/>
  <c r="D172" i="58"/>
  <c r="D70" i="58"/>
  <c r="D96" i="58"/>
  <c r="D44" i="58"/>
  <c r="D122" i="58"/>
  <c r="D148" i="58"/>
  <c r="C459" i="58"/>
  <c r="C409" i="58"/>
  <c r="C331" i="58"/>
  <c r="C176" i="58"/>
  <c r="C461" i="58"/>
  <c r="C411" i="58"/>
  <c r="C178" i="58"/>
  <c r="C333" i="58"/>
  <c r="C102" i="58"/>
  <c r="C154" i="58"/>
  <c r="C50" i="58"/>
  <c r="C128" i="58"/>
  <c r="C76" i="58"/>
  <c r="D387" i="58"/>
  <c r="D232" i="58"/>
  <c r="C130" i="58"/>
  <c r="C156" i="58"/>
  <c r="C78" i="58"/>
  <c r="C104" i="58"/>
  <c r="C52" i="58"/>
  <c r="D467" i="58"/>
  <c r="D417" i="58"/>
  <c r="D339" i="58"/>
  <c r="D184" i="58"/>
  <c r="D469" i="58"/>
  <c r="D419" i="58"/>
  <c r="D342" i="58"/>
  <c r="D187" i="58"/>
  <c r="C471" i="58"/>
  <c r="C421" i="58"/>
  <c r="C344" i="58"/>
  <c r="C189" i="58"/>
  <c r="C113" i="58"/>
  <c r="C139" i="58"/>
  <c r="C61" i="58"/>
  <c r="C165" i="58"/>
  <c r="C87" i="58"/>
  <c r="C93" i="58"/>
  <c r="C67" i="58"/>
  <c r="C119" i="58"/>
  <c r="C145" i="58"/>
  <c r="C41" i="58"/>
  <c r="C410" i="58"/>
  <c r="C332" i="58"/>
  <c r="C460" i="58"/>
  <c r="C177" i="58"/>
  <c r="C105" i="58"/>
  <c r="C157" i="58"/>
  <c r="C131" i="58"/>
  <c r="C53" i="58"/>
  <c r="C79" i="58"/>
  <c r="D162" i="58"/>
  <c r="D84" i="58"/>
  <c r="D136" i="58"/>
  <c r="D110" i="58"/>
  <c r="D58" i="58"/>
  <c r="D402" i="58"/>
  <c r="D324" i="58"/>
  <c r="D452" i="58"/>
  <c r="D169" i="58"/>
  <c r="D97" i="58"/>
  <c r="D149" i="58"/>
  <c r="D71" i="58"/>
  <c r="D45" i="58"/>
  <c r="D123" i="58"/>
  <c r="C386" i="58"/>
  <c r="C231" i="58"/>
  <c r="C462" i="58"/>
  <c r="C412" i="58"/>
  <c r="C334" i="58"/>
  <c r="C179" i="58"/>
  <c r="C472" i="58"/>
  <c r="C422" i="58"/>
  <c r="C345" i="58"/>
  <c r="C190" i="58"/>
  <c r="D456" i="58"/>
  <c r="D406" i="58"/>
  <c r="D328" i="58"/>
  <c r="D173" i="58"/>
  <c r="D129" i="58"/>
  <c r="D77" i="58"/>
  <c r="D155" i="58"/>
  <c r="D51" i="58"/>
  <c r="D103" i="58"/>
  <c r="C159" i="58"/>
  <c r="C81" i="58"/>
  <c r="C55" i="58"/>
  <c r="C133" i="58"/>
  <c r="C107" i="58"/>
  <c r="C474" i="58"/>
  <c r="C347" i="58"/>
  <c r="C424" i="58"/>
  <c r="C192" i="58"/>
  <c r="D445" i="58"/>
  <c r="D495" i="58"/>
  <c r="D369" i="58"/>
  <c r="D214" i="58"/>
  <c r="C381" i="58"/>
  <c r="C226" i="58"/>
  <c r="C486" i="58"/>
  <c r="C436" i="58"/>
  <c r="C359" i="58"/>
  <c r="C204" i="58"/>
  <c r="C503" i="58"/>
  <c r="C299" i="58"/>
  <c r="C273" i="58"/>
  <c r="D478" i="58"/>
  <c r="D428" i="58"/>
  <c r="D351" i="58"/>
  <c r="D196" i="58"/>
  <c r="C513" i="58"/>
  <c r="C283" i="58"/>
  <c r="C257" i="58"/>
  <c r="C309" i="58"/>
  <c r="D444" i="58"/>
  <c r="D494" i="58"/>
  <c r="D368" i="58"/>
  <c r="D213" i="58"/>
  <c r="C243" i="58"/>
  <c r="C398" i="58"/>
  <c r="C502" i="58"/>
  <c r="C298" i="58"/>
  <c r="C272" i="58"/>
  <c r="C247" i="58"/>
  <c r="C506" i="58"/>
  <c r="C276" i="58"/>
  <c r="C302" i="58"/>
  <c r="C250" i="58"/>
  <c r="C485" i="58"/>
  <c r="C435" i="58"/>
  <c r="C358" i="58"/>
  <c r="C203" i="58"/>
  <c r="D235" i="58"/>
  <c r="D390" i="58"/>
  <c r="D453" i="58"/>
  <c r="D403" i="58"/>
  <c r="D325" i="58"/>
  <c r="D170" i="58"/>
  <c r="D459" i="58"/>
  <c r="D409" i="58"/>
  <c r="D331" i="58"/>
  <c r="D176" i="58"/>
  <c r="D158" i="58"/>
  <c r="D80" i="58"/>
  <c r="D132" i="58"/>
  <c r="D106" i="58"/>
  <c r="D54" i="58"/>
  <c r="D473" i="58"/>
  <c r="D423" i="58"/>
  <c r="D346" i="58"/>
  <c r="D191" i="58"/>
  <c r="D125" i="58"/>
  <c r="D73" i="58"/>
  <c r="D151" i="58"/>
  <c r="D47" i="58"/>
  <c r="D99" i="58"/>
  <c r="C143" i="58"/>
  <c r="C117" i="58"/>
  <c r="C39" i="58"/>
  <c r="C91" i="58"/>
  <c r="C65" i="58"/>
  <c r="C458" i="58"/>
  <c r="C408" i="58"/>
  <c r="C330" i="58"/>
  <c r="C175" i="58"/>
  <c r="C512" i="58"/>
  <c r="C308" i="58"/>
  <c r="C256" i="58"/>
  <c r="C282" i="58"/>
  <c r="C147" i="58"/>
  <c r="C43" i="58"/>
  <c r="C121" i="58"/>
  <c r="C95" i="58"/>
  <c r="C69" i="58"/>
  <c r="D483" i="58"/>
  <c r="D433" i="58"/>
  <c r="D201" i="58"/>
  <c r="D356" i="58"/>
  <c r="D514" i="58"/>
  <c r="D258" i="58"/>
  <c r="D310" i="58"/>
  <c r="D284" i="58"/>
  <c r="D395" i="58"/>
  <c r="D240" i="58"/>
  <c r="C390" i="58"/>
  <c r="C235" i="58"/>
  <c r="D391" i="58"/>
  <c r="D236" i="58"/>
  <c r="C519" i="58"/>
  <c r="C316" i="58"/>
  <c r="C264" i="58"/>
  <c r="C290" i="58"/>
  <c r="C504" i="58"/>
  <c r="C300" i="58"/>
  <c r="C248" i="58"/>
  <c r="C274" i="58"/>
  <c r="C380" i="58"/>
  <c r="C225" i="58"/>
  <c r="C433" i="58"/>
  <c r="C483" i="58"/>
  <c r="C356" i="58"/>
  <c r="C201" i="58"/>
  <c r="D388" i="58"/>
  <c r="D233" i="58"/>
  <c r="D516" i="58"/>
  <c r="D312" i="58"/>
  <c r="D260" i="58"/>
  <c r="D286" i="58"/>
  <c r="C451" i="58"/>
  <c r="C401" i="58"/>
  <c r="C323" i="58"/>
  <c r="C168" i="58"/>
  <c r="C457" i="58"/>
  <c r="C329" i="58"/>
  <c r="C407" i="58"/>
  <c r="C174" i="58"/>
  <c r="C415" i="58"/>
  <c r="C337" i="58"/>
  <c r="C465" i="58"/>
  <c r="C182" i="58"/>
  <c r="D474" i="58"/>
  <c r="D347" i="58"/>
  <c r="D424" i="58"/>
  <c r="D192" i="58"/>
  <c r="D510" i="58"/>
  <c r="D306" i="58"/>
  <c r="D280" i="58"/>
  <c r="D254" i="58"/>
  <c r="D386" i="58"/>
  <c r="D231" i="58"/>
  <c r="D439" i="58"/>
  <c r="D489" i="58"/>
  <c r="D362" i="58"/>
  <c r="D207" i="58"/>
  <c r="D384" i="58"/>
  <c r="D229" i="58"/>
  <c r="C384" i="58"/>
  <c r="C229" i="58"/>
  <c r="C375" i="58"/>
  <c r="C220" i="58"/>
  <c r="C430" i="58"/>
  <c r="C480" i="58"/>
  <c r="C198" i="58"/>
  <c r="C353" i="58"/>
  <c r="C355" i="58"/>
  <c r="C432" i="58"/>
  <c r="C200" i="58"/>
  <c r="C482" i="58"/>
  <c r="D381" i="58"/>
  <c r="D226" i="58"/>
  <c r="D385" i="58"/>
  <c r="D230" i="58"/>
  <c r="D389" i="58"/>
  <c r="D234" i="58"/>
  <c r="C515" i="58"/>
  <c r="C311" i="58"/>
  <c r="C285" i="58"/>
  <c r="C259" i="58"/>
  <c r="D515" i="58"/>
  <c r="D311" i="58"/>
  <c r="D259" i="58"/>
  <c r="D285" i="58"/>
  <c r="C389" i="58"/>
  <c r="C234" i="58"/>
  <c r="D492" i="58"/>
  <c r="D365" i="58"/>
  <c r="D442" i="58"/>
  <c r="D210" i="58"/>
  <c r="D517" i="58"/>
  <c r="D287" i="58"/>
  <c r="D261" i="58"/>
  <c r="D313" i="58"/>
  <c r="D496" i="58"/>
  <c r="D446" i="58"/>
  <c r="D370" i="58"/>
  <c r="D215" i="58"/>
  <c r="D521" i="58"/>
  <c r="D292" i="58"/>
  <c r="D266" i="58"/>
  <c r="D318" i="58"/>
  <c r="C509" i="58"/>
  <c r="C305" i="58"/>
  <c r="C279" i="58"/>
  <c r="C253" i="58"/>
  <c r="D434" i="58"/>
  <c r="D484" i="58"/>
  <c r="D357" i="58"/>
  <c r="D202" i="58"/>
  <c r="C383" i="58"/>
  <c r="C228" i="58"/>
  <c r="D394" i="58"/>
  <c r="D239" i="58"/>
  <c r="C444" i="58"/>
  <c r="C494" i="58"/>
  <c r="C368" i="58"/>
  <c r="C213" i="58"/>
  <c r="D523" i="58"/>
  <c r="D320" i="58"/>
  <c r="D294" i="58"/>
  <c r="D268" i="58"/>
  <c r="D378" i="58"/>
  <c r="D223" i="58"/>
  <c r="C382" i="58"/>
  <c r="C227" i="58"/>
  <c r="C510" i="58"/>
  <c r="C306" i="58"/>
  <c r="C280" i="58"/>
  <c r="C254" i="58"/>
  <c r="C495" i="58"/>
  <c r="C369" i="58"/>
  <c r="C445" i="58"/>
  <c r="C214" i="58"/>
  <c r="C397" i="58"/>
  <c r="C242" i="58"/>
  <c r="C399" i="58"/>
  <c r="C244" i="58"/>
  <c r="D449" i="58"/>
  <c r="D499" i="58"/>
  <c r="D373" i="58"/>
  <c r="D218" i="58"/>
  <c r="C449" i="58"/>
  <c r="C499" i="58"/>
  <c r="C373" i="58"/>
  <c r="C218" i="58"/>
  <c r="D509" i="58"/>
  <c r="D305" i="58"/>
  <c r="D279" i="58"/>
  <c r="D253" i="58"/>
  <c r="D451" i="58"/>
  <c r="D401" i="58"/>
  <c r="D323" i="58"/>
  <c r="D168" i="58"/>
  <c r="C453" i="58"/>
  <c r="C403" i="58"/>
  <c r="C325" i="58"/>
  <c r="C170" i="58"/>
  <c r="C455" i="58"/>
  <c r="C327" i="58"/>
  <c r="C405" i="58"/>
  <c r="C172" i="58"/>
  <c r="C122" i="58"/>
  <c r="C70" i="58"/>
  <c r="C148" i="58"/>
  <c r="C96" i="58"/>
  <c r="C44" i="58"/>
  <c r="D150" i="58"/>
  <c r="D124" i="58"/>
  <c r="D98" i="58"/>
  <c r="D46" i="58"/>
  <c r="D72" i="58"/>
  <c r="D74" i="58"/>
  <c r="D100" i="58"/>
  <c r="D126" i="58"/>
  <c r="D48" i="58"/>
  <c r="D152" i="58"/>
  <c r="D463" i="58"/>
  <c r="D413" i="58"/>
  <c r="D335" i="58"/>
  <c r="D180" i="58"/>
  <c r="D465" i="58"/>
  <c r="D415" i="58"/>
  <c r="D337" i="58"/>
  <c r="D182" i="58"/>
  <c r="C106" i="58"/>
  <c r="C158" i="58"/>
  <c r="C80" i="58"/>
  <c r="C54" i="58"/>
  <c r="C132" i="58"/>
  <c r="C391" i="58"/>
  <c r="C236" i="58"/>
  <c r="C469" i="58"/>
  <c r="C419" i="58"/>
  <c r="C342" i="58"/>
  <c r="C187" i="58"/>
  <c r="D471" i="58"/>
  <c r="D421" i="58"/>
  <c r="D344" i="58"/>
  <c r="D189" i="58"/>
  <c r="D165" i="58"/>
  <c r="D87" i="58"/>
  <c r="D113" i="58"/>
  <c r="D139" i="58"/>
  <c r="D61" i="58"/>
  <c r="D93" i="58"/>
  <c r="D67" i="58"/>
  <c r="D145" i="58"/>
  <c r="D41" i="58"/>
  <c r="D119" i="58"/>
  <c r="C151" i="58"/>
  <c r="C125" i="58"/>
  <c r="C99" i="58"/>
  <c r="C47" i="58"/>
  <c r="C73" i="58"/>
  <c r="C466" i="58"/>
  <c r="C416" i="58"/>
  <c r="C338" i="58"/>
  <c r="C183" i="58"/>
  <c r="C110" i="58"/>
  <c r="C162" i="58"/>
  <c r="C84" i="58"/>
  <c r="C58" i="58"/>
  <c r="C136" i="58"/>
  <c r="C452" i="58"/>
  <c r="C324" i="58"/>
  <c r="C402" i="58"/>
  <c r="C169" i="58"/>
  <c r="C71" i="58"/>
  <c r="C97" i="58"/>
  <c r="C123" i="58"/>
  <c r="C45" i="58"/>
  <c r="C149" i="58"/>
  <c r="D462" i="58"/>
  <c r="D412" i="58"/>
  <c r="D334" i="58"/>
  <c r="D179" i="58"/>
  <c r="D472" i="58"/>
  <c r="D345" i="58"/>
  <c r="D190" i="58"/>
  <c r="D422" i="58"/>
  <c r="C497" i="58"/>
  <c r="C447" i="58"/>
  <c r="C371" i="58"/>
  <c r="C216" i="58"/>
  <c r="C514" i="58"/>
  <c r="C310" i="58"/>
  <c r="C258" i="58"/>
  <c r="C284" i="58"/>
  <c r="D121" i="58"/>
  <c r="D69" i="58"/>
  <c r="D147" i="58"/>
  <c r="D43" i="58"/>
  <c r="D95" i="58"/>
  <c r="C464" i="58"/>
  <c r="C414" i="58"/>
  <c r="C336" i="58"/>
  <c r="C181" i="58"/>
  <c r="C468" i="58"/>
  <c r="C418" i="58"/>
  <c r="C340" i="58"/>
  <c r="C185" i="58"/>
  <c r="D166" i="58"/>
  <c r="D88" i="58"/>
  <c r="D140" i="58"/>
  <c r="D62" i="58"/>
  <c r="D114" i="58"/>
  <c r="C441" i="58"/>
  <c r="C491" i="58"/>
  <c r="C364" i="58"/>
  <c r="C209" i="58"/>
  <c r="D392" i="58"/>
  <c r="D237" i="58"/>
  <c r="C501" i="58"/>
  <c r="C297" i="58"/>
  <c r="C271" i="58"/>
  <c r="C246" i="58"/>
  <c r="C505" i="58"/>
  <c r="C275" i="58"/>
  <c r="C249" i="58"/>
  <c r="C301" i="58"/>
  <c r="D486" i="58"/>
  <c r="D436" i="58"/>
  <c r="D359" i="58"/>
  <c r="D204" i="58"/>
  <c r="C478" i="58"/>
  <c r="C428" i="58"/>
  <c r="C351" i="58"/>
  <c r="C196" i="58"/>
  <c r="D383" i="58"/>
  <c r="D228" i="58"/>
  <c r="C439" i="58"/>
  <c r="C489" i="58"/>
  <c r="C362" i="58"/>
  <c r="C207" i="58"/>
  <c r="C518" i="58"/>
  <c r="C314" i="58"/>
  <c r="C262" i="58"/>
  <c r="C288" i="58"/>
  <c r="C522" i="58"/>
  <c r="C319" i="58"/>
  <c r="C293" i="58"/>
  <c r="C267" i="58"/>
  <c r="D524" i="58"/>
  <c r="D321" i="58"/>
  <c r="D295" i="58"/>
  <c r="D269" i="58"/>
  <c r="D146" i="58"/>
  <c r="D120" i="58"/>
  <c r="D94" i="58"/>
  <c r="D68" i="58"/>
  <c r="D42" i="58"/>
  <c r="C463" i="58"/>
  <c r="C335" i="58"/>
  <c r="C180" i="58"/>
  <c r="C413" i="58"/>
  <c r="D109" i="58"/>
  <c r="D161" i="58"/>
  <c r="D83" i="58"/>
  <c r="D57" i="58"/>
  <c r="D135" i="58"/>
  <c r="D477" i="58"/>
  <c r="D427" i="58"/>
  <c r="D350" i="58"/>
  <c r="D195" i="58"/>
  <c r="D454" i="58"/>
  <c r="D404" i="58"/>
  <c r="D326" i="58"/>
  <c r="D171" i="58"/>
  <c r="C470" i="58"/>
  <c r="C420" i="58"/>
  <c r="C343" i="58"/>
  <c r="C188" i="58"/>
  <c r="C138" i="58"/>
  <c r="C60" i="58"/>
  <c r="C164" i="58"/>
  <c r="C86" i="58"/>
  <c r="C112" i="58"/>
  <c r="C155" i="58"/>
  <c r="C129" i="58"/>
  <c r="C77" i="58"/>
  <c r="C103" i="58"/>
  <c r="C51" i="58"/>
  <c r="D300" i="58"/>
  <c r="D248" i="58"/>
  <c r="D504" i="58"/>
  <c r="D274" i="58"/>
  <c r="D485" i="58"/>
  <c r="D435" i="58"/>
  <c r="D358" i="58"/>
  <c r="D203" i="58"/>
  <c r="D379" i="58"/>
  <c r="D224" i="58"/>
  <c r="D507" i="58"/>
  <c r="D303" i="58"/>
  <c r="D277" i="58"/>
  <c r="D251" i="58"/>
  <c r="D482" i="58"/>
  <c r="D432" i="58"/>
  <c r="D355" i="58"/>
  <c r="D200" i="58"/>
  <c r="C511" i="58"/>
  <c r="C307" i="58"/>
  <c r="C281" i="58"/>
  <c r="C255" i="58"/>
  <c r="C230" i="58"/>
  <c r="C385" i="58"/>
  <c r="D490" i="58"/>
  <c r="D363" i="58"/>
  <c r="D440" i="58"/>
  <c r="D208" i="58"/>
  <c r="C492" i="58"/>
  <c r="C442" i="58"/>
  <c r="C365" i="58"/>
  <c r="C210" i="58"/>
  <c r="C517" i="58"/>
  <c r="C313" i="58"/>
  <c r="C287" i="58"/>
  <c r="C261" i="58"/>
  <c r="D396" i="58"/>
  <c r="D241" i="58"/>
  <c r="C396" i="58"/>
  <c r="C241" i="58"/>
  <c r="C446" i="58"/>
  <c r="C370" i="58"/>
  <c r="C496" i="58"/>
  <c r="C215" i="58"/>
  <c r="C521" i="58"/>
  <c r="C318" i="58"/>
  <c r="C292" i="58"/>
  <c r="C266" i="58"/>
  <c r="C377" i="58"/>
  <c r="C222" i="58"/>
  <c r="C484" i="58"/>
  <c r="C357" i="58"/>
  <c r="C434" i="58"/>
  <c r="C202" i="58"/>
  <c r="D488" i="58"/>
  <c r="D438" i="58"/>
  <c r="D361" i="58"/>
  <c r="D206" i="58"/>
  <c r="C523" i="58"/>
  <c r="C294" i="58"/>
  <c r="C320" i="58"/>
  <c r="C268" i="58"/>
  <c r="C477" i="58"/>
  <c r="C350" i="58"/>
  <c r="C195" i="58"/>
  <c r="C427" i="58"/>
  <c r="C516" i="58"/>
  <c r="C312" i="58"/>
  <c r="C286" i="58"/>
  <c r="C260" i="58"/>
  <c r="D493" i="58"/>
  <c r="D443" i="58"/>
  <c r="D366" i="58"/>
  <c r="D211" i="58"/>
  <c r="D518" i="58"/>
  <c r="D314" i="58"/>
  <c r="D288" i="58"/>
  <c r="D262" i="58"/>
  <c r="C520" i="58"/>
  <c r="C317" i="58"/>
  <c r="C291" i="58"/>
  <c r="C265" i="58"/>
  <c r="D522" i="58"/>
  <c r="D319" i="58"/>
  <c r="D267" i="58"/>
  <c r="D293" i="58"/>
  <c r="D447" i="58"/>
  <c r="D497" i="58"/>
  <c r="D371" i="58"/>
  <c r="D216" i="58"/>
  <c r="D1182" i="11"/>
  <c r="D142" i="58"/>
  <c r="D116" i="58"/>
  <c r="D90" i="58"/>
  <c r="D64" i="58"/>
  <c r="D38" i="58"/>
  <c r="D92" i="58"/>
  <c r="D66" i="58"/>
  <c r="D118" i="58"/>
  <c r="D40" i="58"/>
  <c r="D144" i="58"/>
  <c r="C94" i="58"/>
  <c r="C68" i="58"/>
  <c r="C146" i="58"/>
  <c r="C42" i="58"/>
  <c r="C120" i="58"/>
  <c r="D407" i="58"/>
  <c r="D329" i="58"/>
  <c r="D457" i="58"/>
  <c r="D174" i="58"/>
  <c r="C98" i="58"/>
  <c r="C150" i="58"/>
  <c r="C72" i="58"/>
  <c r="C124" i="58"/>
  <c r="C46" i="58"/>
  <c r="C126" i="58"/>
  <c r="C74" i="58"/>
  <c r="C152" i="58"/>
  <c r="C48" i="58"/>
  <c r="C100" i="58"/>
  <c r="D154" i="58"/>
  <c r="D128" i="58"/>
  <c r="D76" i="58"/>
  <c r="D102" i="58"/>
  <c r="D50" i="58"/>
  <c r="D104" i="58"/>
  <c r="D52" i="58"/>
  <c r="D130" i="58"/>
  <c r="D156" i="58"/>
  <c r="D78" i="58"/>
  <c r="C467" i="58"/>
  <c r="C417" i="58"/>
  <c r="C339" i="58"/>
  <c r="C184" i="58"/>
  <c r="C57" i="58"/>
  <c r="C161" i="58"/>
  <c r="C109" i="58"/>
  <c r="C135" i="58"/>
  <c r="C83" i="58"/>
  <c r="D137" i="58"/>
  <c r="D59" i="58"/>
  <c r="D163" i="58"/>
  <c r="D85" i="58"/>
  <c r="D111" i="58"/>
  <c r="C423" i="58"/>
  <c r="C346" i="58"/>
  <c r="C473" i="58"/>
  <c r="C191" i="58"/>
  <c r="D399" i="58"/>
  <c r="D244" i="58"/>
  <c r="C454" i="58"/>
  <c r="C404" i="58"/>
  <c r="C326" i="58"/>
  <c r="C171" i="58"/>
  <c r="D460" i="58"/>
  <c r="D410" i="58"/>
  <c r="D332" i="58"/>
  <c r="D177" i="58"/>
  <c r="D466" i="58"/>
  <c r="D416" i="58"/>
  <c r="D338" i="58"/>
  <c r="D183" i="58"/>
  <c r="D470" i="58"/>
  <c r="D343" i="58"/>
  <c r="D420" i="58"/>
  <c r="D188" i="58"/>
  <c r="D502" i="58"/>
  <c r="D298" i="58"/>
  <c r="D272" i="58"/>
  <c r="D247" i="58"/>
  <c r="D117" i="58"/>
  <c r="D39" i="58"/>
  <c r="D143" i="58"/>
  <c r="D91" i="58"/>
  <c r="D65" i="58"/>
  <c r="D458" i="58"/>
  <c r="D408" i="58"/>
  <c r="D330" i="58"/>
  <c r="D175" i="58"/>
  <c r="D101" i="58"/>
  <c r="D153" i="58"/>
  <c r="D75" i="58"/>
  <c r="D49" i="58"/>
  <c r="D127" i="58"/>
  <c r="D112" i="58"/>
  <c r="D138" i="58"/>
  <c r="D60" i="58"/>
  <c r="D164" i="58"/>
  <c r="D86" i="58"/>
  <c r="C456" i="58"/>
  <c r="C406" i="58"/>
  <c r="C328" i="58"/>
  <c r="C173" i="58"/>
  <c r="D464" i="58"/>
  <c r="D414" i="58"/>
  <c r="D336" i="58"/>
  <c r="D181" i="58"/>
  <c r="D133" i="58"/>
  <c r="D159" i="58"/>
  <c r="D81" i="58"/>
  <c r="D55" i="58"/>
  <c r="D107" i="58"/>
  <c r="C166" i="58"/>
  <c r="C88" i="58"/>
  <c r="C114" i="58"/>
  <c r="C62" i="58"/>
  <c r="C140" i="58"/>
  <c r="D1117" i="11"/>
  <c r="D1179" i="11"/>
  <c r="D1180" i="11"/>
  <c r="D1173" i="11"/>
  <c r="D1174" i="11"/>
  <c r="D1171" i="11"/>
  <c r="D1178" i="11"/>
  <c r="D1019" i="11"/>
  <c r="D1214" i="11"/>
  <c r="D1064" i="11"/>
  <c r="D1215" i="11"/>
  <c r="D1104" i="11"/>
  <c r="D1053" i="11"/>
  <c r="D1220" i="11"/>
  <c r="D1172" i="11"/>
  <c r="D1021" i="11"/>
  <c r="D1150" i="11"/>
  <c r="D990" i="11"/>
  <c r="D992" i="11"/>
  <c r="D998" i="11"/>
  <c r="D1212" i="11"/>
  <c r="D1216" i="11"/>
  <c r="D989" i="11"/>
  <c r="D993" i="11"/>
  <c r="D1063" i="11"/>
  <c r="D996" i="11"/>
  <c r="D991" i="11"/>
  <c r="D1211" i="11"/>
  <c r="D1154" i="11"/>
  <c r="D952" i="11"/>
  <c r="D1038" i="11"/>
  <c r="D1057" i="11"/>
  <c r="D1055" i="11"/>
  <c r="D1059" i="11"/>
  <c r="D1111" i="11"/>
  <c r="D1213" i="11"/>
  <c r="D1060" i="11"/>
  <c r="D1062" i="11"/>
  <c r="D2008" i="11"/>
  <c r="D1054" i="11"/>
  <c r="D1217" i="11"/>
  <c r="D2017" i="11"/>
  <c r="D1056" i="11"/>
  <c r="D1058" i="11"/>
  <c r="D1221" i="11"/>
  <c r="D2021" i="11"/>
  <c r="D1939" i="11"/>
  <c r="D945" i="11"/>
  <c r="D1116" i="11"/>
  <c r="D1095" i="11"/>
  <c r="D1147" i="11"/>
  <c r="D1014" i="11"/>
  <c r="D940" i="11"/>
  <c r="D994" i="11"/>
  <c r="D959" i="11"/>
  <c r="D1040" i="11"/>
  <c r="D1050" i="11"/>
  <c r="D1186" i="11"/>
  <c r="D1181" i="11"/>
  <c r="D1205" i="11"/>
  <c r="D1151" i="11"/>
  <c r="D1190" i="11"/>
  <c r="D1207" i="11"/>
  <c r="D1035" i="11"/>
  <c r="D1155" i="11"/>
  <c r="D1197" i="11"/>
  <c r="D951" i="11"/>
  <c r="D1177" i="11"/>
  <c r="D1112" i="11"/>
  <c r="D1199" i="11"/>
  <c r="B1208" i="11"/>
  <c r="D812" i="11"/>
  <c r="D792" i="11"/>
  <c r="D1149" i="11"/>
  <c r="D932" i="11"/>
  <c r="C21" i="10"/>
  <c r="D1201" i="11"/>
  <c r="B1201" i="11" s="1"/>
  <c r="D769" i="11"/>
  <c r="D779" i="11"/>
  <c r="D816" i="11"/>
  <c r="D1236" i="11"/>
  <c r="B1236" i="11" s="1"/>
  <c r="D1114" i="11"/>
  <c r="L63" i="12"/>
  <c r="T31" i="50"/>
  <c r="T35" i="50"/>
  <c r="K883" i="58"/>
  <c r="K808" i="58"/>
  <c r="N8" i="58"/>
  <c r="M451" i="58"/>
  <c r="M33" i="26"/>
  <c r="N33" i="26" s="1"/>
  <c r="O33" i="26" s="1"/>
  <c r="P33" i="26" s="1"/>
  <c r="Q33" i="26" s="1"/>
  <c r="R33" i="26" s="1"/>
  <c r="S33" i="26" s="1"/>
  <c r="T33" i="26" s="1"/>
  <c r="U33" i="26" s="1"/>
  <c r="L52" i="12"/>
  <c r="H529" i="25"/>
  <c r="H546" i="25"/>
  <c r="H492" i="25"/>
  <c r="H509" i="25"/>
  <c r="H233" i="25"/>
  <c r="H250" i="25"/>
  <c r="H198" i="25"/>
  <c r="H215" i="25"/>
  <c r="H1084" i="25"/>
  <c r="H1101" i="25"/>
  <c r="H1047" i="25"/>
  <c r="H1064" i="25"/>
  <c r="H899" i="25"/>
  <c r="H916" i="25"/>
  <c r="H825" i="25"/>
  <c r="H842" i="25"/>
  <c r="H751" i="25"/>
  <c r="H768" i="25"/>
  <c r="H677" i="25"/>
  <c r="H694" i="25"/>
  <c r="H603" i="25"/>
  <c r="H620" i="25"/>
  <c r="H381" i="25"/>
  <c r="H398" i="25"/>
  <c r="H344" i="25"/>
  <c r="H361" i="25"/>
  <c r="H1121" i="25"/>
  <c r="H1138" i="25"/>
  <c r="H1011" i="25"/>
  <c r="H1028" i="25"/>
  <c r="H973" i="25"/>
  <c r="H990" i="25"/>
  <c r="H862" i="25"/>
  <c r="H879" i="25"/>
  <c r="H789" i="25"/>
  <c r="H806" i="25"/>
  <c r="H714" i="25"/>
  <c r="H731" i="25"/>
  <c r="H641" i="25"/>
  <c r="H658" i="25"/>
  <c r="H566" i="25"/>
  <c r="H583" i="25"/>
  <c r="H456" i="25"/>
  <c r="H473" i="25"/>
  <c r="H418" i="25"/>
  <c r="H435" i="25"/>
  <c r="H308" i="25"/>
  <c r="H325" i="25"/>
  <c r="H270" i="25"/>
  <c r="H287" i="25"/>
  <c r="H11" i="25"/>
  <c r="H28" i="25"/>
  <c r="H937" i="25"/>
  <c r="H954" i="25"/>
  <c r="J15" i="52"/>
  <c r="D40" i="51"/>
  <c r="D47" i="51" s="1"/>
  <c r="D44" i="51"/>
  <c r="D51" i="51" s="1"/>
  <c r="D41" i="51"/>
  <c r="D43" i="51"/>
  <c r="D50" i="51" s="1"/>
  <c r="C56" i="51"/>
  <c r="C55" i="51"/>
  <c r="C62" i="51" s="1"/>
  <c r="C58" i="51"/>
  <c r="C65" i="51" s="1"/>
  <c r="C59" i="51"/>
  <c r="C66" i="51" s="1"/>
  <c r="B40" i="51"/>
  <c r="B47" i="51" s="1"/>
  <c r="X9" i="12" s="1"/>
  <c r="B41" i="51"/>
  <c r="B43" i="51"/>
  <c r="B50" i="51" s="1"/>
  <c r="X12" i="12" s="1"/>
  <c r="J42" i="51"/>
  <c r="B44" i="51"/>
  <c r="B51" i="51" s="1"/>
  <c r="B49" i="51"/>
  <c r="X11" i="12" s="1"/>
  <c r="C41" i="51"/>
  <c r="C40" i="51"/>
  <c r="C47" i="51" s="1"/>
  <c r="C44" i="51"/>
  <c r="C51" i="51" s="1"/>
  <c r="C43" i="51"/>
  <c r="C50" i="51" s="1"/>
  <c r="C49" i="51"/>
  <c r="H40" i="51"/>
  <c r="H47" i="51" s="1"/>
  <c r="H44" i="51"/>
  <c r="H51" i="51" s="1"/>
  <c r="H41" i="51"/>
  <c r="H43" i="51"/>
  <c r="H50" i="51" s="1"/>
  <c r="E44" i="51"/>
  <c r="E51" i="51" s="1"/>
  <c r="E43" i="51"/>
  <c r="E50" i="51" s="1"/>
  <c r="E41" i="51"/>
  <c r="E49" i="51" s="1"/>
  <c r="E40" i="51"/>
  <c r="E47" i="51" s="1"/>
  <c r="F40" i="51"/>
  <c r="F47" i="51" s="1"/>
  <c r="F41" i="51"/>
  <c r="F49" i="51" s="1"/>
  <c r="F43" i="51"/>
  <c r="F50" i="51" s="1"/>
  <c r="F44" i="51"/>
  <c r="F51" i="51" s="1"/>
  <c r="G41" i="51"/>
  <c r="G44" i="51"/>
  <c r="G51" i="51" s="1"/>
  <c r="G40" i="51"/>
  <c r="G47" i="51" s="1"/>
  <c r="G43" i="51"/>
  <c r="G50" i="51" s="1"/>
  <c r="G49" i="51"/>
  <c r="M12" i="12"/>
  <c r="M13" i="12" s="1"/>
  <c r="M10" i="12"/>
  <c r="M9" i="12"/>
  <c r="L12" i="12"/>
  <c r="L13" i="12" s="1"/>
  <c r="L10" i="12"/>
  <c r="L9" i="12"/>
  <c r="P12" i="12"/>
  <c r="P13" i="12" s="1"/>
  <c r="P10" i="12"/>
  <c r="P9" i="12"/>
  <c r="D778" i="11"/>
  <c r="D766" i="11"/>
  <c r="D782" i="11"/>
  <c r="D773" i="11"/>
  <c r="D811" i="11"/>
  <c r="D791" i="11"/>
  <c r="D815" i="11"/>
  <c r="D795" i="11"/>
  <c r="D819" i="11"/>
  <c r="D799" i="11"/>
  <c r="D823" i="11"/>
  <c r="D803" i="11"/>
  <c r="D56" i="51"/>
  <c r="D64" i="51" s="1"/>
  <c r="D55" i="51"/>
  <c r="D62" i="51" s="1"/>
  <c r="D58" i="51"/>
  <c r="D65" i="51" s="1"/>
  <c r="D59" i="51"/>
  <c r="D66" i="51" s="1"/>
  <c r="I44" i="51"/>
  <c r="I51" i="51" s="1"/>
  <c r="I43" i="51"/>
  <c r="I50" i="51" s="1"/>
  <c r="I40" i="51"/>
  <c r="I47" i="51" s="1"/>
  <c r="I41" i="51"/>
  <c r="B56" i="51"/>
  <c r="B64" i="51" s="1"/>
  <c r="Y11" i="12" s="1"/>
  <c r="B55" i="51"/>
  <c r="B62" i="51" s="1"/>
  <c r="Y9" i="12" s="1"/>
  <c r="B58" i="51"/>
  <c r="B65" i="51" s="1"/>
  <c r="Y12" i="12" s="1"/>
  <c r="B59" i="51"/>
  <c r="B66" i="51" s="1"/>
  <c r="Y13" i="12" s="1"/>
  <c r="J57" i="51"/>
  <c r="E56" i="51"/>
  <c r="E55" i="51"/>
  <c r="E62" i="51" s="1"/>
  <c r="E58" i="51"/>
  <c r="E65" i="51" s="1"/>
  <c r="E59" i="51"/>
  <c r="E66" i="51" s="1"/>
  <c r="H56" i="51"/>
  <c r="H64" i="51" s="1"/>
  <c r="H55" i="51"/>
  <c r="H62" i="51" s="1"/>
  <c r="H58" i="51"/>
  <c r="H65" i="51" s="1"/>
  <c r="H59" i="51"/>
  <c r="H66" i="51" s="1"/>
  <c r="G56" i="51"/>
  <c r="G55" i="51"/>
  <c r="G62" i="51" s="1"/>
  <c r="G58" i="51"/>
  <c r="G65" i="51" s="1"/>
  <c r="G59" i="51"/>
  <c r="G66" i="51" s="1"/>
  <c r="F56" i="51"/>
  <c r="F64" i="51" s="1"/>
  <c r="F55" i="51"/>
  <c r="F62" i="51" s="1"/>
  <c r="F58" i="51"/>
  <c r="F65" i="51" s="1"/>
  <c r="F59" i="51"/>
  <c r="F66" i="51" s="1"/>
  <c r="I56" i="51"/>
  <c r="I55" i="51"/>
  <c r="I62" i="51" s="1"/>
  <c r="I58" i="51"/>
  <c r="I65" i="51" s="1"/>
  <c r="I59" i="51"/>
  <c r="I66" i="51" s="1"/>
  <c r="O12" i="12"/>
  <c r="O13" i="12" s="1"/>
  <c r="O10" i="12"/>
  <c r="O9" i="12"/>
  <c r="N12" i="12"/>
  <c r="N13" i="12" s="1"/>
  <c r="N10" i="12"/>
  <c r="N9" i="12"/>
  <c r="D777" i="11"/>
  <c r="D765" i="11"/>
  <c r="D781" i="11"/>
  <c r="D772" i="11"/>
  <c r="D785" i="11"/>
  <c r="D776" i="11"/>
  <c r="D810" i="11"/>
  <c r="D790" i="11"/>
  <c r="D814" i="11"/>
  <c r="D794" i="11"/>
  <c r="D818" i="11"/>
  <c r="D798" i="11"/>
  <c r="D822" i="11"/>
  <c r="D802" i="11"/>
  <c r="D826" i="11"/>
  <c r="D806" i="11"/>
  <c r="AH139" i="26"/>
  <c r="AH141" i="26"/>
  <c r="AE35" i="26"/>
  <c r="X54" i="12" s="1"/>
  <c r="AE37" i="26"/>
  <c r="X56" i="12" s="1"/>
  <c r="AH25" i="26"/>
  <c r="AH27" i="26"/>
  <c r="AF100" i="26"/>
  <c r="Y119" i="12" s="1"/>
  <c r="AG108" i="26"/>
  <c r="AH121" i="26"/>
  <c r="AE23" i="26"/>
  <c r="X42" i="12" s="1"/>
  <c r="AF23" i="26"/>
  <c r="Y42" i="12" s="1"/>
  <c r="AG110" i="26"/>
  <c r="E99" i="12"/>
  <c r="D81" i="26"/>
  <c r="E100" i="12" s="1"/>
  <c r="B39" i="26"/>
  <c r="AH77" i="26"/>
  <c r="AH79" i="26"/>
  <c r="AF93" i="26"/>
  <c r="Y112" i="12" s="1"/>
  <c r="AF95" i="26"/>
  <c r="Y114" i="12" s="1"/>
  <c r="AF113" i="26"/>
  <c r="Y132" i="12" s="1"/>
  <c r="AF115" i="26"/>
  <c r="Y134" i="12" s="1"/>
  <c r="AG136" i="26"/>
  <c r="AH136" i="26"/>
  <c r="D771" i="11"/>
  <c r="D780" i="11"/>
  <c r="D789" i="11"/>
  <c r="D809" i="11"/>
  <c r="D797" i="11"/>
  <c r="D817" i="11"/>
  <c r="D805" i="11"/>
  <c r="D825" i="11"/>
  <c r="D775" i="11"/>
  <c r="D784" i="11"/>
  <c r="D793" i="11"/>
  <c r="D813" i="11"/>
  <c r="D801" i="11"/>
  <c r="D821" i="11"/>
  <c r="AH18" i="26"/>
  <c r="AH134" i="26"/>
  <c r="AE43" i="26"/>
  <c r="X62" i="12" s="1"/>
  <c r="G27" i="26"/>
  <c r="G26" i="26"/>
  <c r="G25" i="26"/>
  <c r="G24" i="26"/>
  <c r="G37" i="26"/>
  <c r="G36" i="26"/>
  <c r="G35" i="26"/>
  <c r="G34" i="26"/>
  <c r="H27" i="26"/>
  <c r="H26" i="26"/>
  <c r="H25" i="26"/>
  <c r="H24" i="26"/>
  <c r="I14" i="26"/>
  <c r="I16" i="26"/>
  <c r="I15" i="26"/>
  <c r="I17" i="26"/>
  <c r="I27" i="26"/>
  <c r="I26" i="26"/>
  <c r="I25" i="26"/>
  <c r="I24" i="26"/>
  <c r="J15" i="26"/>
  <c r="J17" i="26"/>
  <c r="J14" i="26"/>
  <c r="J16" i="26"/>
  <c r="J32" i="26"/>
  <c r="J31" i="26"/>
  <c r="J30" i="26"/>
  <c r="J29" i="26"/>
  <c r="AA44" i="26"/>
  <c r="W48" i="26"/>
  <c r="AA48" i="26" s="1"/>
  <c r="W47" i="26"/>
  <c r="AA47" i="26" s="1"/>
  <c r="W46" i="26"/>
  <c r="AA46" i="26" s="1"/>
  <c r="W45" i="26"/>
  <c r="AA45" i="26" s="1"/>
  <c r="AE45" i="26" s="1"/>
  <c r="X64" i="12" s="1"/>
  <c r="AA54" i="26"/>
  <c r="W58" i="26"/>
  <c r="AA58" i="26" s="1"/>
  <c r="W57" i="26"/>
  <c r="AA57" i="26" s="1"/>
  <c r="W56" i="26"/>
  <c r="AA56" i="26" s="1"/>
  <c r="W55" i="26"/>
  <c r="AA55" i="26" s="1"/>
  <c r="AE55" i="26" s="1"/>
  <c r="X74" i="12" s="1"/>
  <c r="AB39" i="26"/>
  <c r="X43" i="26"/>
  <c r="AB43" i="26" s="1"/>
  <c r="X42" i="26"/>
  <c r="AB42" i="26" s="1"/>
  <c r="X41" i="26"/>
  <c r="AB41" i="26" s="1"/>
  <c r="X40" i="26"/>
  <c r="AB40" i="26" s="1"/>
  <c r="AF40" i="26" s="1"/>
  <c r="Y59" i="12" s="1"/>
  <c r="AB59" i="26"/>
  <c r="X63" i="26"/>
  <c r="AB63" i="26" s="1"/>
  <c r="X62" i="26"/>
  <c r="AB62" i="26" s="1"/>
  <c r="X61" i="26"/>
  <c r="AB61" i="26" s="1"/>
  <c r="X60" i="26"/>
  <c r="AB60" i="26" s="1"/>
  <c r="AF60" i="26" s="1"/>
  <c r="Y79" i="12" s="1"/>
  <c r="AC44" i="26"/>
  <c r="Y48" i="26"/>
  <c r="AC48" i="26" s="1"/>
  <c r="Y47" i="26"/>
  <c r="AC47" i="26" s="1"/>
  <c r="Y46" i="26"/>
  <c r="AC46" i="26" s="1"/>
  <c r="Y45" i="26"/>
  <c r="AC45" i="26" s="1"/>
  <c r="AG45" i="26" s="1"/>
  <c r="AC54" i="26"/>
  <c r="Y58" i="26"/>
  <c r="AC58" i="26" s="1"/>
  <c r="Y57" i="26"/>
  <c r="AC57" i="26" s="1"/>
  <c r="Y56" i="26"/>
  <c r="AC56" i="26" s="1"/>
  <c r="Y55" i="26"/>
  <c r="AC55" i="26" s="1"/>
  <c r="AG55" i="26" s="1"/>
  <c r="AD39" i="26"/>
  <c r="Z43" i="26"/>
  <c r="AD43" i="26" s="1"/>
  <c r="Z42" i="26"/>
  <c r="AD42" i="26" s="1"/>
  <c r="Z41" i="26"/>
  <c r="AD41" i="26" s="1"/>
  <c r="Z40" i="26"/>
  <c r="AD40" i="26" s="1"/>
  <c r="AH40" i="26" s="1"/>
  <c r="AD54" i="26"/>
  <c r="Z58" i="26"/>
  <c r="AD58" i="26" s="1"/>
  <c r="Z57" i="26"/>
  <c r="AD57" i="26" s="1"/>
  <c r="Z56" i="26"/>
  <c r="AD56" i="26" s="1"/>
  <c r="Z55" i="26"/>
  <c r="AD55" i="26" s="1"/>
  <c r="AH55" i="26" s="1"/>
  <c r="G74" i="26"/>
  <c r="G73" i="26"/>
  <c r="G72" i="26"/>
  <c r="K72" i="26" s="1"/>
  <c r="G71" i="26"/>
  <c r="L65" i="26"/>
  <c r="M65" i="26" s="1"/>
  <c r="N65" i="26" s="1"/>
  <c r="O65" i="26" s="1"/>
  <c r="P65" i="26" s="1"/>
  <c r="Q65" i="26" s="1"/>
  <c r="R65" i="26" s="1"/>
  <c r="S65" i="26" s="1"/>
  <c r="T65" i="26" s="1"/>
  <c r="U65" i="26" s="1"/>
  <c r="H69" i="26"/>
  <c r="H68" i="26"/>
  <c r="H67" i="26"/>
  <c r="H66" i="26"/>
  <c r="L75" i="26"/>
  <c r="M75" i="26" s="1"/>
  <c r="N75" i="26" s="1"/>
  <c r="O75" i="26" s="1"/>
  <c r="P75" i="26" s="1"/>
  <c r="Q75" i="26" s="1"/>
  <c r="R75" i="26" s="1"/>
  <c r="S75" i="26" s="1"/>
  <c r="T75" i="26" s="1"/>
  <c r="U75" i="26" s="1"/>
  <c r="H79" i="26"/>
  <c r="H78" i="26"/>
  <c r="H77" i="26"/>
  <c r="L77" i="26" s="1"/>
  <c r="M77" i="26" s="1"/>
  <c r="H76" i="26"/>
  <c r="L85" i="26"/>
  <c r="M85" i="26" s="1"/>
  <c r="N85" i="26" s="1"/>
  <c r="O85" i="26" s="1"/>
  <c r="P85" i="26" s="1"/>
  <c r="Q85" i="26" s="1"/>
  <c r="R85" i="26" s="1"/>
  <c r="S85" i="26" s="1"/>
  <c r="T85" i="26" s="1"/>
  <c r="U85" i="26" s="1"/>
  <c r="H89" i="26"/>
  <c r="H88" i="26"/>
  <c r="H87" i="26"/>
  <c r="H86" i="26"/>
  <c r="AC18" i="26"/>
  <c r="Y22" i="26"/>
  <c r="AC22" i="26" s="1"/>
  <c r="Y21" i="26"/>
  <c r="AC21" i="26" s="1"/>
  <c r="Y20" i="26"/>
  <c r="AC20" i="26" s="1"/>
  <c r="Y19" i="26"/>
  <c r="AC19" i="26" s="1"/>
  <c r="AG19" i="26" s="1"/>
  <c r="AC28" i="26"/>
  <c r="Y32" i="26"/>
  <c r="AC32" i="26" s="1"/>
  <c r="Y31" i="26"/>
  <c r="AC31" i="26" s="1"/>
  <c r="Y30" i="26"/>
  <c r="AC30" i="26" s="1"/>
  <c r="Y29" i="26"/>
  <c r="AC29" i="26" s="1"/>
  <c r="AG29" i="26" s="1"/>
  <c r="AD13" i="26"/>
  <c r="Z15" i="26"/>
  <c r="AD15" i="26" s="1"/>
  <c r="Z17" i="26"/>
  <c r="AD17" i="26" s="1"/>
  <c r="Z14" i="26"/>
  <c r="AD14" i="26" s="1"/>
  <c r="AH14" i="26" s="1"/>
  <c r="Z16" i="26"/>
  <c r="AD16" i="26" s="1"/>
  <c r="AH16" i="26" s="1"/>
  <c r="AD33" i="26"/>
  <c r="Z37" i="26"/>
  <c r="AD37" i="26" s="1"/>
  <c r="Z36" i="26"/>
  <c r="AD36" i="26" s="1"/>
  <c r="Z35" i="26"/>
  <c r="AD35" i="26" s="1"/>
  <c r="Z34" i="26"/>
  <c r="AD34" i="26" s="1"/>
  <c r="AH34" i="26" s="1"/>
  <c r="G48" i="26"/>
  <c r="G47" i="26"/>
  <c r="G46" i="26"/>
  <c r="K46" i="26" s="1"/>
  <c r="G45" i="26"/>
  <c r="G58" i="26"/>
  <c r="G57" i="26"/>
  <c r="G56" i="26"/>
  <c r="K56" i="26" s="1"/>
  <c r="G55" i="26"/>
  <c r="L39" i="26"/>
  <c r="M39" i="26" s="1"/>
  <c r="N39" i="26" s="1"/>
  <c r="O39" i="26" s="1"/>
  <c r="P39" i="26" s="1"/>
  <c r="Q39" i="26" s="1"/>
  <c r="R39" i="26" s="1"/>
  <c r="S39" i="26" s="1"/>
  <c r="T39" i="26" s="1"/>
  <c r="U39" i="26" s="1"/>
  <c r="H43" i="26"/>
  <c r="H42" i="26"/>
  <c r="H41" i="26"/>
  <c r="L41" i="26" s="1"/>
  <c r="M41" i="26" s="1"/>
  <c r="N41" i="26" s="1"/>
  <c r="O41" i="26" s="1"/>
  <c r="P41" i="26" s="1"/>
  <c r="Q41" i="26" s="1"/>
  <c r="R41" i="26" s="1"/>
  <c r="S41" i="26" s="1"/>
  <c r="T41" i="26" s="1"/>
  <c r="U41" i="26" s="1"/>
  <c r="H40" i="26"/>
  <c r="L54" i="26"/>
  <c r="M54" i="26" s="1"/>
  <c r="N54" i="26" s="1"/>
  <c r="O54" i="26" s="1"/>
  <c r="P54" i="26" s="1"/>
  <c r="Q54" i="26" s="1"/>
  <c r="R54" i="26" s="1"/>
  <c r="S54" i="26" s="1"/>
  <c r="T54" i="26" s="1"/>
  <c r="U54" i="26" s="1"/>
  <c r="H58" i="26"/>
  <c r="H57" i="26"/>
  <c r="H56" i="26"/>
  <c r="L56" i="26" s="1"/>
  <c r="M56" i="26" s="1"/>
  <c r="N56" i="26" s="1"/>
  <c r="O56" i="26" s="1"/>
  <c r="P56" i="26" s="1"/>
  <c r="Q56" i="26" s="1"/>
  <c r="R56" i="26" s="1"/>
  <c r="S56" i="26" s="1"/>
  <c r="T56" i="26" s="1"/>
  <c r="U56" i="26" s="1"/>
  <c r="H55" i="26"/>
  <c r="I43" i="26"/>
  <c r="I42" i="26"/>
  <c r="I41" i="26"/>
  <c r="I40" i="26"/>
  <c r="I53" i="26"/>
  <c r="I52" i="26"/>
  <c r="I51" i="26"/>
  <c r="I50" i="26"/>
  <c r="I63" i="26"/>
  <c r="I62" i="26"/>
  <c r="I61" i="26"/>
  <c r="I60" i="26"/>
  <c r="J48" i="26"/>
  <c r="J47" i="26"/>
  <c r="J46" i="26"/>
  <c r="J45" i="26"/>
  <c r="J58" i="26"/>
  <c r="J57" i="26"/>
  <c r="J56" i="26"/>
  <c r="J55" i="26"/>
  <c r="AA65" i="26"/>
  <c r="W69" i="26"/>
  <c r="AA69" i="26" s="1"/>
  <c r="W68" i="26"/>
  <c r="AA68" i="26" s="1"/>
  <c r="W67" i="26"/>
  <c r="AA67" i="26" s="1"/>
  <c r="W66" i="26"/>
  <c r="AA66" i="26" s="1"/>
  <c r="AE66" i="26" s="1"/>
  <c r="X85" i="12" s="1"/>
  <c r="AA75" i="26"/>
  <c r="W79" i="26"/>
  <c r="AA79" i="26" s="1"/>
  <c r="W78" i="26"/>
  <c r="AA78" i="26" s="1"/>
  <c r="W77" i="26"/>
  <c r="AA77" i="26" s="1"/>
  <c r="W76" i="26"/>
  <c r="AA76" i="26" s="1"/>
  <c r="AE76" i="26" s="1"/>
  <c r="X95" i="12" s="1"/>
  <c r="AA85" i="26"/>
  <c r="W89" i="26"/>
  <c r="AA89" i="26" s="1"/>
  <c r="W88" i="26"/>
  <c r="AA88" i="26" s="1"/>
  <c r="W87" i="26"/>
  <c r="AA87" i="26" s="1"/>
  <c r="W86" i="26"/>
  <c r="AA86" i="26" s="1"/>
  <c r="AE86" i="26" s="1"/>
  <c r="X105" i="12" s="1"/>
  <c r="AB70" i="26"/>
  <c r="X74" i="26"/>
  <c r="AB74" i="26" s="1"/>
  <c r="X73" i="26"/>
  <c r="AB73" i="26" s="1"/>
  <c r="X72" i="26"/>
  <c r="AB72" i="26" s="1"/>
  <c r="X71" i="26"/>
  <c r="AB71" i="26" s="1"/>
  <c r="AF71" i="26" s="1"/>
  <c r="Y90" i="12" s="1"/>
  <c r="AB80" i="26"/>
  <c r="X84" i="26"/>
  <c r="AB84" i="26" s="1"/>
  <c r="X83" i="26"/>
  <c r="AB83" i="26" s="1"/>
  <c r="X82" i="26"/>
  <c r="AB82" i="26" s="1"/>
  <c r="X81" i="26"/>
  <c r="AB81" i="26" s="1"/>
  <c r="AF81" i="26" s="1"/>
  <c r="Y100" i="12" s="1"/>
  <c r="AC65" i="26"/>
  <c r="Y69" i="26"/>
  <c r="AC69" i="26" s="1"/>
  <c r="Y68" i="26"/>
  <c r="AC68" i="26" s="1"/>
  <c r="Y67" i="26"/>
  <c r="AC67" i="26" s="1"/>
  <c r="Y66" i="26"/>
  <c r="AC66" i="26" s="1"/>
  <c r="AG66" i="26" s="1"/>
  <c r="AC75" i="26"/>
  <c r="Y79" i="26"/>
  <c r="AC79" i="26" s="1"/>
  <c r="Y78" i="26"/>
  <c r="AC78" i="26" s="1"/>
  <c r="Y77" i="26"/>
  <c r="AC77" i="26" s="1"/>
  <c r="Y76" i="26"/>
  <c r="AC76" i="26" s="1"/>
  <c r="AG76" i="26" s="1"/>
  <c r="AC85" i="26"/>
  <c r="Y89" i="26"/>
  <c r="AC89" i="26" s="1"/>
  <c r="Y88" i="26"/>
  <c r="AC88" i="26" s="1"/>
  <c r="Y87" i="26"/>
  <c r="AC87" i="26" s="1"/>
  <c r="Y86" i="26"/>
  <c r="AC86" i="26" s="1"/>
  <c r="AG86" i="26" s="1"/>
  <c r="AD70" i="26"/>
  <c r="Z74" i="26"/>
  <c r="AD74" i="26" s="1"/>
  <c r="Z73" i="26"/>
  <c r="AD73" i="26" s="1"/>
  <c r="Z72" i="26"/>
  <c r="AD72" i="26" s="1"/>
  <c r="Z71" i="26"/>
  <c r="AD71" i="26" s="1"/>
  <c r="AH71" i="26" s="1"/>
  <c r="AD80" i="26"/>
  <c r="Z84" i="26"/>
  <c r="AD84" i="26" s="1"/>
  <c r="Z83" i="26"/>
  <c r="AD83" i="26" s="1"/>
  <c r="Z82" i="26"/>
  <c r="AD82" i="26" s="1"/>
  <c r="Z81" i="26"/>
  <c r="AD81" i="26" s="1"/>
  <c r="AH81" i="26" s="1"/>
  <c r="G95" i="26"/>
  <c r="G94" i="26"/>
  <c r="G93" i="26"/>
  <c r="K93" i="26" s="1"/>
  <c r="G92" i="26"/>
  <c r="G105" i="26"/>
  <c r="G104" i="26"/>
  <c r="G103" i="26"/>
  <c r="G102" i="26"/>
  <c r="G115" i="26"/>
  <c r="G114" i="26"/>
  <c r="G113" i="26"/>
  <c r="K113" i="26" s="1"/>
  <c r="G112" i="26"/>
  <c r="L96" i="26"/>
  <c r="M96" i="26" s="1"/>
  <c r="N96" i="26" s="1"/>
  <c r="O96" i="26" s="1"/>
  <c r="P96" i="26" s="1"/>
  <c r="Q96" i="26" s="1"/>
  <c r="R96" i="26" s="1"/>
  <c r="S96" i="26" s="1"/>
  <c r="T96" i="26" s="1"/>
  <c r="U96" i="26" s="1"/>
  <c r="H100" i="26"/>
  <c r="H99" i="26"/>
  <c r="H98" i="26"/>
  <c r="L98" i="26" s="1"/>
  <c r="M98" i="26" s="1"/>
  <c r="N98" i="26" s="1"/>
  <c r="O98" i="26" s="1"/>
  <c r="P98" i="26" s="1"/>
  <c r="Q98" i="26" s="1"/>
  <c r="R98" i="26" s="1"/>
  <c r="S98" i="26" s="1"/>
  <c r="T98" i="26" s="1"/>
  <c r="U98" i="26" s="1"/>
  <c r="H97" i="26"/>
  <c r="L106" i="26"/>
  <c r="M106" i="26" s="1"/>
  <c r="N106" i="26" s="1"/>
  <c r="O106" i="26" s="1"/>
  <c r="P106" i="26" s="1"/>
  <c r="Q106" i="26" s="1"/>
  <c r="R106" i="26" s="1"/>
  <c r="S106" i="26" s="1"/>
  <c r="T106" i="26" s="1"/>
  <c r="U106" i="26" s="1"/>
  <c r="H110" i="26"/>
  <c r="H109" i="26"/>
  <c r="H108" i="26"/>
  <c r="L108" i="26" s="1"/>
  <c r="M108" i="26" s="1"/>
  <c r="N108" i="26" s="1"/>
  <c r="O108" i="26" s="1"/>
  <c r="P108" i="26" s="1"/>
  <c r="Q108" i="26" s="1"/>
  <c r="R108" i="26" s="1"/>
  <c r="S108" i="26" s="1"/>
  <c r="T108" i="26" s="1"/>
  <c r="U108" i="26" s="1"/>
  <c r="H107" i="26"/>
  <c r="AC91" i="26"/>
  <c r="Y95" i="26"/>
  <c r="AC95" i="26" s="1"/>
  <c r="Y94" i="26"/>
  <c r="AC94" i="26" s="1"/>
  <c r="Y93" i="26"/>
  <c r="AC93" i="26" s="1"/>
  <c r="Y92" i="26"/>
  <c r="AC92" i="26" s="1"/>
  <c r="AG92" i="26" s="1"/>
  <c r="AC101" i="26"/>
  <c r="Y105" i="26"/>
  <c r="AC105" i="26" s="1"/>
  <c r="Y104" i="26"/>
  <c r="AC104" i="26" s="1"/>
  <c r="Y103" i="26"/>
  <c r="AC103" i="26" s="1"/>
  <c r="Y102" i="26"/>
  <c r="AC102" i="26" s="1"/>
  <c r="AG102" i="26" s="1"/>
  <c r="AC111" i="26"/>
  <c r="Y115" i="26"/>
  <c r="AC115" i="26" s="1"/>
  <c r="Y114" i="26"/>
  <c r="AC114" i="26" s="1"/>
  <c r="Y113" i="26"/>
  <c r="AC113" i="26" s="1"/>
  <c r="Y112" i="26"/>
  <c r="AC112" i="26" s="1"/>
  <c r="AG112" i="26" s="1"/>
  <c r="AD96" i="26"/>
  <c r="Z100" i="26"/>
  <c r="AD100" i="26" s="1"/>
  <c r="Z99" i="26"/>
  <c r="AD99" i="26" s="1"/>
  <c r="AH99" i="26" s="1"/>
  <c r="Z98" i="26"/>
  <c r="AD98" i="26" s="1"/>
  <c r="Z97" i="26"/>
  <c r="AD97" i="26" s="1"/>
  <c r="AH97" i="26" s="1"/>
  <c r="AD106" i="26"/>
  <c r="Z110" i="26"/>
  <c r="AD110" i="26" s="1"/>
  <c r="Z109" i="26"/>
  <c r="AD109" i="26" s="1"/>
  <c r="Z108" i="26"/>
  <c r="AD108" i="26" s="1"/>
  <c r="Z107" i="26"/>
  <c r="AD107" i="26" s="1"/>
  <c r="AH107" i="26" s="1"/>
  <c r="AA117" i="26"/>
  <c r="W121" i="26"/>
  <c r="AA121" i="26" s="1"/>
  <c r="W120" i="26"/>
  <c r="AA120" i="26" s="1"/>
  <c r="W119" i="26"/>
  <c r="AA119" i="26" s="1"/>
  <c r="W118" i="26"/>
  <c r="AA118" i="26" s="1"/>
  <c r="AE118" i="26" s="1"/>
  <c r="X137" i="12" s="1"/>
  <c r="AA127" i="26"/>
  <c r="W131" i="26"/>
  <c r="AA131" i="26" s="1"/>
  <c r="W130" i="26"/>
  <c r="AA130" i="26" s="1"/>
  <c r="W129" i="26"/>
  <c r="AA129" i="26" s="1"/>
  <c r="W128" i="26"/>
  <c r="AA128" i="26" s="1"/>
  <c r="AE128" i="26" s="1"/>
  <c r="X147" i="12" s="1"/>
  <c r="AA137" i="26"/>
  <c r="W141" i="26"/>
  <c r="AA141" i="26" s="1"/>
  <c r="W140" i="26"/>
  <c r="AA140" i="26" s="1"/>
  <c r="W139" i="26"/>
  <c r="AA139" i="26" s="1"/>
  <c r="W138" i="26"/>
  <c r="AA138" i="26" s="1"/>
  <c r="AE138" i="26" s="1"/>
  <c r="X157" i="12" s="1"/>
  <c r="AB122" i="26"/>
  <c r="X126" i="26"/>
  <c r="AB126" i="26" s="1"/>
  <c r="X125" i="26"/>
  <c r="AB125" i="26" s="1"/>
  <c r="X124" i="26"/>
  <c r="AB124" i="26" s="1"/>
  <c r="X123" i="26"/>
  <c r="AB123" i="26" s="1"/>
  <c r="AF123" i="26" s="1"/>
  <c r="Y142" i="12" s="1"/>
  <c r="AB132" i="26"/>
  <c r="X136" i="26"/>
  <c r="AB136" i="26" s="1"/>
  <c r="X135" i="26"/>
  <c r="AB135" i="26" s="1"/>
  <c r="X134" i="26"/>
  <c r="AB134" i="26" s="1"/>
  <c r="X133" i="26"/>
  <c r="AB133" i="26" s="1"/>
  <c r="AF133" i="26" s="1"/>
  <c r="Y152" i="12" s="1"/>
  <c r="I121" i="26"/>
  <c r="I120" i="26"/>
  <c r="I119" i="26"/>
  <c r="I118" i="26"/>
  <c r="I131" i="26"/>
  <c r="I130" i="26"/>
  <c r="I129" i="26"/>
  <c r="I128" i="26"/>
  <c r="I141" i="26"/>
  <c r="I140" i="26"/>
  <c r="I139" i="26"/>
  <c r="I138" i="26"/>
  <c r="J126" i="26"/>
  <c r="J125" i="26"/>
  <c r="J124" i="26"/>
  <c r="J123" i="26"/>
  <c r="J136" i="26"/>
  <c r="J135" i="26"/>
  <c r="J134" i="26"/>
  <c r="J133" i="26"/>
  <c r="J100" i="26"/>
  <c r="J99" i="26"/>
  <c r="J98" i="26"/>
  <c r="J97" i="26"/>
  <c r="L122" i="26"/>
  <c r="M122" i="26" s="1"/>
  <c r="N122" i="26" s="1"/>
  <c r="O122" i="26" s="1"/>
  <c r="P122" i="26" s="1"/>
  <c r="Q122" i="26" s="1"/>
  <c r="R122" i="26" s="1"/>
  <c r="S122" i="26" s="1"/>
  <c r="T122" i="26" s="1"/>
  <c r="U122" i="26" s="1"/>
  <c r="H126" i="26"/>
  <c r="H125" i="26"/>
  <c r="H124" i="26"/>
  <c r="H123" i="26"/>
  <c r="AA91" i="26"/>
  <c r="W95" i="26"/>
  <c r="AA95" i="26" s="1"/>
  <c r="W94" i="26"/>
  <c r="AA94" i="26" s="1"/>
  <c r="AE94" i="26" s="1"/>
  <c r="X113" i="12" s="1"/>
  <c r="W93" i="26"/>
  <c r="AA93" i="26" s="1"/>
  <c r="W92" i="26"/>
  <c r="AA92" i="26" s="1"/>
  <c r="AE92" i="26" s="1"/>
  <c r="X111" i="12" s="1"/>
  <c r="AA111" i="26"/>
  <c r="W115" i="26"/>
  <c r="AA115" i="26" s="1"/>
  <c r="W114" i="26"/>
  <c r="AA114" i="26" s="1"/>
  <c r="W113" i="26"/>
  <c r="AA113" i="26" s="1"/>
  <c r="W112" i="26"/>
  <c r="AA112" i="26" s="1"/>
  <c r="AE112" i="26" s="1"/>
  <c r="X131" i="12" s="1"/>
  <c r="J95" i="26"/>
  <c r="J94" i="26"/>
  <c r="J93" i="26"/>
  <c r="J92" i="26"/>
  <c r="J115" i="26"/>
  <c r="J114" i="26"/>
  <c r="J113" i="26"/>
  <c r="J112" i="26"/>
  <c r="AC117" i="26"/>
  <c r="Y121" i="26"/>
  <c r="AC121" i="26" s="1"/>
  <c r="Y120" i="26"/>
  <c r="AC120" i="26" s="1"/>
  <c r="Y119" i="26"/>
  <c r="AC119" i="26" s="1"/>
  <c r="Y118" i="26"/>
  <c r="AC118" i="26" s="1"/>
  <c r="AG118" i="26" s="1"/>
  <c r="AC137" i="26"/>
  <c r="Y141" i="26"/>
  <c r="AC141" i="26" s="1"/>
  <c r="Y140" i="26"/>
  <c r="AC140" i="26" s="1"/>
  <c r="Y139" i="26"/>
  <c r="AC139" i="26" s="1"/>
  <c r="Y138" i="26"/>
  <c r="AC138" i="26" s="1"/>
  <c r="AG138" i="26" s="1"/>
  <c r="G22" i="26"/>
  <c r="G21" i="26"/>
  <c r="G20" i="26"/>
  <c r="G19" i="26"/>
  <c r="AB28" i="26"/>
  <c r="X32" i="26"/>
  <c r="AB32" i="26" s="1"/>
  <c r="X31" i="26"/>
  <c r="AB31" i="26" s="1"/>
  <c r="AF31" i="26" s="1"/>
  <c r="Y50" i="12" s="1"/>
  <c r="X30" i="26"/>
  <c r="AB30" i="26" s="1"/>
  <c r="X29" i="26"/>
  <c r="AB29" i="26" s="1"/>
  <c r="AF29" i="26" s="1"/>
  <c r="Y48" i="12" s="1"/>
  <c r="AA13" i="26"/>
  <c r="W16" i="26"/>
  <c r="AA16" i="26" s="1"/>
  <c r="W14" i="26"/>
  <c r="AA14" i="26" s="1"/>
  <c r="AE14" i="26" s="1"/>
  <c r="W17" i="26"/>
  <c r="AA17" i="26" s="1"/>
  <c r="W15" i="26"/>
  <c r="AA15" i="26" s="1"/>
  <c r="AG15" i="26"/>
  <c r="AF56" i="26"/>
  <c r="Y75" i="12" s="1"/>
  <c r="AF58" i="26"/>
  <c r="Y77" i="12" s="1"/>
  <c r="AH59" i="26"/>
  <c r="AH67" i="26"/>
  <c r="AH69" i="26"/>
  <c r="AH75" i="26"/>
  <c r="AE98" i="26"/>
  <c r="X117" i="12" s="1"/>
  <c r="AE100" i="26"/>
  <c r="X119" i="12" s="1"/>
  <c r="AF91" i="26"/>
  <c r="Y110" i="12" s="1"/>
  <c r="AF103" i="26"/>
  <c r="Y122" i="12" s="1"/>
  <c r="AF105" i="26"/>
  <c r="Y124" i="12" s="1"/>
  <c r="AF111" i="26"/>
  <c r="Y130" i="12" s="1"/>
  <c r="AF119" i="26"/>
  <c r="Y138" i="12" s="1"/>
  <c r="AF121" i="26"/>
  <c r="Y140" i="12" s="1"/>
  <c r="AG132" i="26"/>
  <c r="AH124" i="26"/>
  <c r="AH126" i="26"/>
  <c r="AH132" i="26"/>
  <c r="AF139" i="26"/>
  <c r="Y158" i="12" s="1"/>
  <c r="AF141" i="26"/>
  <c r="Y160" i="12" s="1"/>
  <c r="AE39" i="26"/>
  <c r="X58" i="12" s="1"/>
  <c r="AF51" i="26"/>
  <c r="Y70" i="12" s="1"/>
  <c r="AF53" i="26"/>
  <c r="Y72" i="12" s="1"/>
  <c r="AH44" i="26"/>
  <c r="AH87" i="26"/>
  <c r="AH89" i="26"/>
  <c r="AE106" i="26"/>
  <c r="X125" i="12" s="1"/>
  <c r="AF98" i="26"/>
  <c r="Y117" i="12" s="1"/>
  <c r="AF106" i="26"/>
  <c r="Y125" i="12" s="1"/>
  <c r="AF127" i="26"/>
  <c r="Y146" i="12" s="1"/>
  <c r="AH119" i="26"/>
  <c r="AH127" i="26"/>
  <c r="AA18" i="26"/>
  <c r="W22" i="26"/>
  <c r="AA22" i="26" s="1"/>
  <c r="W21" i="26"/>
  <c r="AA21" i="26" s="1"/>
  <c r="W20" i="26"/>
  <c r="AA20" i="26" s="1"/>
  <c r="W19" i="26"/>
  <c r="AA19" i="26" s="1"/>
  <c r="AE19" i="26" s="1"/>
  <c r="X38" i="12" s="1"/>
  <c r="AA28" i="26"/>
  <c r="W32" i="26"/>
  <c r="AA32" i="26" s="1"/>
  <c r="W31" i="26"/>
  <c r="AA31" i="26" s="1"/>
  <c r="AE31" i="26" s="1"/>
  <c r="X50" i="12" s="1"/>
  <c r="W30" i="26"/>
  <c r="AA30" i="26" s="1"/>
  <c r="W29" i="26"/>
  <c r="AA29" i="26" s="1"/>
  <c r="AE29" i="26" s="1"/>
  <c r="X48" i="12" s="1"/>
  <c r="L13" i="26"/>
  <c r="M13" i="26" s="1"/>
  <c r="H15" i="26"/>
  <c r="H17" i="26"/>
  <c r="H14" i="26"/>
  <c r="H16" i="26"/>
  <c r="H32" i="26"/>
  <c r="H31" i="26"/>
  <c r="H30" i="26"/>
  <c r="H29" i="26"/>
  <c r="I22" i="26"/>
  <c r="I21" i="26"/>
  <c r="I20" i="26"/>
  <c r="I19" i="26"/>
  <c r="I32" i="26"/>
  <c r="I31" i="26"/>
  <c r="I30" i="26"/>
  <c r="I29" i="26"/>
  <c r="J22" i="26"/>
  <c r="J21" i="26"/>
  <c r="J20" i="26"/>
  <c r="J19" i="26"/>
  <c r="J37" i="26"/>
  <c r="J36" i="26"/>
  <c r="J35" i="26"/>
  <c r="J34" i="26"/>
  <c r="AA49" i="26"/>
  <c r="W53" i="26"/>
  <c r="AA53" i="26" s="1"/>
  <c r="W52" i="26"/>
  <c r="AA52" i="26" s="1"/>
  <c r="W51" i="26"/>
  <c r="AA51" i="26" s="1"/>
  <c r="W50" i="26"/>
  <c r="AA50" i="26" s="1"/>
  <c r="AE50" i="26" s="1"/>
  <c r="X69" i="12" s="1"/>
  <c r="AA59" i="26"/>
  <c r="W63" i="26"/>
  <c r="AA63" i="26" s="1"/>
  <c r="W62" i="26"/>
  <c r="AA62" i="26" s="1"/>
  <c r="W61" i="26"/>
  <c r="AA61" i="26" s="1"/>
  <c r="W60" i="26"/>
  <c r="AA60" i="26" s="1"/>
  <c r="AE60" i="26" s="1"/>
  <c r="X79" i="12" s="1"/>
  <c r="AB44" i="26"/>
  <c r="X48" i="26"/>
  <c r="AB48" i="26" s="1"/>
  <c r="X47" i="26"/>
  <c r="AB47" i="26" s="1"/>
  <c r="AF47" i="26" s="1"/>
  <c r="Y66" i="12" s="1"/>
  <c r="X46" i="26"/>
  <c r="AB46" i="26" s="1"/>
  <c r="X45" i="26"/>
  <c r="AB45" i="26" s="1"/>
  <c r="AF45" i="26" s="1"/>
  <c r="Y64" i="12" s="1"/>
  <c r="AC39" i="26"/>
  <c r="Y43" i="26"/>
  <c r="AC43" i="26" s="1"/>
  <c r="Y42" i="26"/>
  <c r="AC42" i="26" s="1"/>
  <c r="Y41" i="26"/>
  <c r="AC41" i="26" s="1"/>
  <c r="Y40" i="26"/>
  <c r="AC40" i="26" s="1"/>
  <c r="AG40" i="26" s="1"/>
  <c r="AC49" i="26"/>
  <c r="Y53" i="26"/>
  <c r="AC53" i="26" s="1"/>
  <c r="Y52" i="26"/>
  <c r="AC52" i="26" s="1"/>
  <c r="Y51" i="26"/>
  <c r="AC51" i="26" s="1"/>
  <c r="Y50" i="26"/>
  <c r="AC50" i="26" s="1"/>
  <c r="AG50" i="26" s="1"/>
  <c r="AC59" i="26"/>
  <c r="Y63" i="26"/>
  <c r="AC63" i="26" s="1"/>
  <c r="Y62" i="26"/>
  <c r="AC62" i="26" s="1"/>
  <c r="Y61" i="26"/>
  <c r="AC61" i="26" s="1"/>
  <c r="Y60" i="26"/>
  <c r="AC60" i="26" s="1"/>
  <c r="AG60" i="26" s="1"/>
  <c r="AD49" i="26"/>
  <c r="Z53" i="26"/>
  <c r="AD53" i="26" s="1"/>
  <c r="Z52" i="26"/>
  <c r="AD52" i="26" s="1"/>
  <c r="Z51" i="26"/>
  <c r="AD51" i="26" s="1"/>
  <c r="Z50" i="26"/>
  <c r="AD50" i="26" s="1"/>
  <c r="AH50" i="26" s="1"/>
  <c r="G69" i="26"/>
  <c r="G68" i="26"/>
  <c r="G67" i="26"/>
  <c r="K67" i="26" s="1"/>
  <c r="G66" i="26"/>
  <c r="G84" i="26"/>
  <c r="G83" i="26"/>
  <c r="G82" i="26"/>
  <c r="K82" i="26" s="1"/>
  <c r="G81" i="26"/>
  <c r="L70" i="26"/>
  <c r="M70" i="26" s="1"/>
  <c r="N70" i="26" s="1"/>
  <c r="O70" i="26" s="1"/>
  <c r="P70" i="26" s="1"/>
  <c r="Q70" i="26" s="1"/>
  <c r="R70" i="26" s="1"/>
  <c r="S70" i="26" s="1"/>
  <c r="T70" i="26" s="1"/>
  <c r="U70" i="26" s="1"/>
  <c r="H74" i="26"/>
  <c r="H73" i="26"/>
  <c r="H72" i="26"/>
  <c r="L72" i="26" s="1"/>
  <c r="M72" i="26" s="1"/>
  <c r="N72" i="26" s="1"/>
  <c r="O72" i="26" s="1"/>
  <c r="P72" i="26" s="1"/>
  <c r="Q72" i="26" s="1"/>
  <c r="R72" i="26" s="1"/>
  <c r="S72" i="26" s="1"/>
  <c r="T72" i="26" s="1"/>
  <c r="U72" i="26" s="1"/>
  <c r="H71" i="26"/>
  <c r="L80" i="26"/>
  <c r="M80" i="26" s="1"/>
  <c r="N80" i="26" s="1"/>
  <c r="O80" i="26" s="1"/>
  <c r="P80" i="26" s="1"/>
  <c r="Q80" i="26" s="1"/>
  <c r="R80" i="26" s="1"/>
  <c r="S80" i="26" s="1"/>
  <c r="T80" i="26" s="1"/>
  <c r="U80" i="26" s="1"/>
  <c r="H84" i="26"/>
  <c r="H83" i="26"/>
  <c r="H82" i="26"/>
  <c r="L82" i="26" s="1"/>
  <c r="M82" i="26" s="1"/>
  <c r="N82" i="26" s="1"/>
  <c r="O82" i="26" s="1"/>
  <c r="P82" i="26" s="1"/>
  <c r="Q82" i="26" s="1"/>
  <c r="R82" i="26" s="1"/>
  <c r="S82" i="26" s="1"/>
  <c r="T82" i="26" s="1"/>
  <c r="U82" i="26" s="1"/>
  <c r="H81" i="26"/>
  <c r="J84" i="26"/>
  <c r="J83" i="26"/>
  <c r="J82" i="26"/>
  <c r="J81" i="26"/>
  <c r="AC23" i="26"/>
  <c r="Y27" i="26"/>
  <c r="AC27" i="26" s="1"/>
  <c r="Y26" i="26"/>
  <c r="AC26" i="26" s="1"/>
  <c r="Y25" i="26"/>
  <c r="AC25" i="26" s="1"/>
  <c r="Y24" i="26"/>
  <c r="AC24" i="26" s="1"/>
  <c r="AG24" i="26" s="1"/>
  <c r="AC33" i="26"/>
  <c r="Y37" i="26"/>
  <c r="AC37" i="26" s="1"/>
  <c r="Y36" i="26"/>
  <c r="AC36" i="26" s="1"/>
  <c r="Y35" i="26"/>
  <c r="AC35" i="26" s="1"/>
  <c r="Y34" i="26"/>
  <c r="AC34" i="26" s="1"/>
  <c r="AG34" i="26" s="1"/>
  <c r="AD28" i="26"/>
  <c r="Z32" i="26"/>
  <c r="AD32" i="26" s="1"/>
  <c r="Z31" i="26"/>
  <c r="AD31" i="26" s="1"/>
  <c r="Z30" i="26"/>
  <c r="AD30" i="26" s="1"/>
  <c r="Z29" i="26"/>
  <c r="AD29" i="26" s="1"/>
  <c r="AH29" i="26" s="1"/>
  <c r="G43" i="26"/>
  <c r="G42" i="26"/>
  <c r="G41" i="26"/>
  <c r="K41" i="26" s="1"/>
  <c r="G40" i="26"/>
  <c r="K49" i="26"/>
  <c r="G53" i="26"/>
  <c r="G52" i="26"/>
  <c r="G51" i="26"/>
  <c r="K51" i="26" s="1"/>
  <c r="G50" i="26"/>
  <c r="K59" i="26"/>
  <c r="G63" i="26"/>
  <c r="G62" i="26"/>
  <c r="G61" i="26"/>
  <c r="K61" i="26" s="1"/>
  <c r="G60" i="26"/>
  <c r="L49" i="26"/>
  <c r="M49" i="26" s="1"/>
  <c r="N49" i="26" s="1"/>
  <c r="O49" i="26" s="1"/>
  <c r="P49" i="26" s="1"/>
  <c r="Q49" i="26" s="1"/>
  <c r="R49" i="26" s="1"/>
  <c r="S49" i="26" s="1"/>
  <c r="T49" i="26" s="1"/>
  <c r="U49" i="26" s="1"/>
  <c r="H53" i="26"/>
  <c r="H52" i="26"/>
  <c r="H51" i="26"/>
  <c r="H50" i="26"/>
  <c r="L59" i="26"/>
  <c r="M59" i="26" s="1"/>
  <c r="N59" i="26" s="1"/>
  <c r="O59" i="26" s="1"/>
  <c r="P59" i="26" s="1"/>
  <c r="Q59" i="26" s="1"/>
  <c r="R59" i="26" s="1"/>
  <c r="S59" i="26" s="1"/>
  <c r="T59" i="26" s="1"/>
  <c r="U59" i="26" s="1"/>
  <c r="H63" i="26"/>
  <c r="H62" i="26"/>
  <c r="H61" i="26"/>
  <c r="L61" i="26" s="1"/>
  <c r="M61" i="26" s="1"/>
  <c r="N61" i="26" s="1"/>
  <c r="O61" i="26" s="1"/>
  <c r="P61" i="26" s="1"/>
  <c r="Q61" i="26" s="1"/>
  <c r="R61" i="26" s="1"/>
  <c r="S61" i="26" s="1"/>
  <c r="T61" i="26" s="1"/>
  <c r="U61" i="26" s="1"/>
  <c r="H60" i="26"/>
  <c r="I48" i="26"/>
  <c r="I47" i="26"/>
  <c r="I46" i="26"/>
  <c r="I45" i="26"/>
  <c r="I58" i="26"/>
  <c r="I57" i="26"/>
  <c r="I56" i="26"/>
  <c r="I55" i="26"/>
  <c r="J43" i="26"/>
  <c r="J42" i="26"/>
  <c r="J41" i="26"/>
  <c r="J40" i="26"/>
  <c r="J53" i="26"/>
  <c r="J52" i="26"/>
  <c r="J51" i="26"/>
  <c r="J50" i="26"/>
  <c r="J63" i="26"/>
  <c r="J62" i="26"/>
  <c r="J61" i="26"/>
  <c r="J60" i="26"/>
  <c r="AA70" i="26"/>
  <c r="W74" i="26"/>
  <c r="AA74" i="26" s="1"/>
  <c r="W73" i="26"/>
  <c r="AA73" i="26" s="1"/>
  <c r="W72" i="26"/>
  <c r="AA72" i="26" s="1"/>
  <c r="W71" i="26"/>
  <c r="AA71" i="26" s="1"/>
  <c r="AE71" i="26" s="1"/>
  <c r="X90" i="12" s="1"/>
  <c r="AA80" i="26"/>
  <c r="W84" i="26"/>
  <c r="AA84" i="26" s="1"/>
  <c r="W83" i="26"/>
  <c r="AA83" i="26" s="1"/>
  <c r="W82" i="26"/>
  <c r="AA82" i="26" s="1"/>
  <c r="W81" i="26"/>
  <c r="AA81" i="26" s="1"/>
  <c r="AE81" i="26" s="1"/>
  <c r="X100" i="12" s="1"/>
  <c r="AB65" i="26"/>
  <c r="X69" i="26"/>
  <c r="AB69" i="26" s="1"/>
  <c r="X68" i="26"/>
  <c r="AB68" i="26" s="1"/>
  <c r="X67" i="26"/>
  <c r="AB67" i="26" s="1"/>
  <c r="X66" i="26"/>
  <c r="AB66" i="26" s="1"/>
  <c r="AF66" i="26" s="1"/>
  <c r="Y85" i="12" s="1"/>
  <c r="AB75" i="26"/>
  <c r="X79" i="26"/>
  <c r="AB79" i="26" s="1"/>
  <c r="X78" i="26"/>
  <c r="AB78" i="26" s="1"/>
  <c r="X77" i="26"/>
  <c r="AB77" i="26" s="1"/>
  <c r="X76" i="26"/>
  <c r="AB76" i="26" s="1"/>
  <c r="AF76" i="26" s="1"/>
  <c r="Y95" i="12" s="1"/>
  <c r="AB85" i="26"/>
  <c r="X89" i="26"/>
  <c r="AB89" i="26" s="1"/>
  <c r="X88" i="26"/>
  <c r="AB88" i="26" s="1"/>
  <c r="X87" i="26"/>
  <c r="AB87" i="26" s="1"/>
  <c r="X86" i="26"/>
  <c r="AB86" i="26" s="1"/>
  <c r="AF86" i="26" s="1"/>
  <c r="Y105" i="12" s="1"/>
  <c r="AC70" i="26"/>
  <c r="Y74" i="26"/>
  <c r="AC74" i="26" s="1"/>
  <c r="Y73" i="26"/>
  <c r="AC73" i="26" s="1"/>
  <c r="Y72" i="26"/>
  <c r="AC72" i="26" s="1"/>
  <c r="Y71" i="26"/>
  <c r="AC71" i="26" s="1"/>
  <c r="AG71" i="26" s="1"/>
  <c r="AC80" i="26"/>
  <c r="Y84" i="26"/>
  <c r="AC84" i="26" s="1"/>
  <c r="Y83" i="26"/>
  <c r="AC83" i="26" s="1"/>
  <c r="AG83" i="26" s="1"/>
  <c r="Y82" i="26"/>
  <c r="AC82" i="26" s="1"/>
  <c r="Y81" i="26"/>
  <c r="AC81" i="26" s="1"/>
  <c r="AG81" i="26" s="1"/>
  <c r="J69" i="26"/>
  <c r="J68" i="26"/>
  <c r="J67" i="26"/>
  <c r="J66" i="26"/>
  <c r="J79" i="26"/>
  <c r="J78" i="26"/>
  <c r="J77" i="26"/>
  <c r="J76" i="26"/>
  <c r="J89" i="26"/>
  <c r="J88" i="26"/>
  <c r="J87" i="26"/>
  <c r="J86" i="26"/>
  <c r="G100" i="26"/>
  <c r="G99" i="26"/>
  <c r="G98" i="26"/>
  <c r="K98" i="26" s="1"/>
  <c r="G97" i="26"/>
  <c r="G110" i="26"/>
  <c r="G109" i="26"/>
  <c r="G108" i="26"/>
  <c r="G107" i="26"/>
  <c r="L91" i="26"/>
  <c r="M91" i="26" s="1"/>
  <c r="N91" i="26" s="1"/>
  <c r="O91" i="26" s="1"/>
  <c r="P91" i="26" s="1"/>
  <c r="Q91" i="26" s="1"/>
  <c r="R91" i="26" s="1"/>
  <c r="S91" i="26" s="1"/>
  <c r="T91" i="26" s="1"/>
  <c r="U91" i="26" s="1"/>
  <c r="H95" i="26"/>
  <c r="H94" i="26"/>
  <c r="H93" i="26"/>
  <c r="H92" i="26"/>
  <c r="L101" i="26"/>
  <c r="M101" i="26" s="1"/>
  <c r="N101" i="26" s="1"/>
  <c r="O101" i="26" s="1"/>
  <c r="P101" i="26" s="1"/>
  <c r="Q101" i="26" s="1"/>
  <c r="R101" i="26" s="1"/>
  <c r="S101" i="26" s="1"/>
  <c r="T101" i="26" s="1"/>
  <c r="U101" i="26" s="1"/>
  <c r="H105" i="26"/>
  <c r="H104" i="26"/>
  <c r="H103" i="26"/>
  <c r="L103" i="26" s="1"/>
  <c r="M103" i="26" s="1"/>
  <c r="N103" i="26" s="1"/>
  <c r="O103" i="26" s="1"/>
  <c r="P103" i="26" s="1"/>
  <c r="Q103" i="26" s="1"/>
  <c r="R103" i="26" s="1"/>
  <c r="S103" i="26" s="1"/>
  <c r="T103" i="26" s="1"/>
  <c r="U103" i="26" s="1"/>
  <c r="H102" i="26"/>
  <c r="L111" i="26"/>
  <c r="M111" i="26" s="1"/>
  <c r="N111" i="26" s="1"/>
  <c r="O111" i="26" s="1"/>
  <c r="P111" i="26" s="1"/>
  <c r="Q111" i="26" s="1"/>
  <c r="R111" i="26" s="1"/>
  <c r="S111" i="26" s="1"/>
  <c r="T111" i="26" s="1"/>
  <c r="U111" i="26" s="1"/>
  <c r="H115" i="26"/>
  <c r="H114" i="26"/>
  <c r="H113" i="26"/>
  <c r="L113" i="26" s="1"/>
  <c r="M113" i="26" s="1"/>
  <c r="N113" i="26" s="1"/>
  <c r="O113" i="26" s="1"/>
  <c r="P113" i="26" s="1"/>
  <c r="Q113" i="26" s="1"/>
  <c r="R113" i="26" s="1"/>
  <c r="S113" i="26" s="1"/>
  <c r="T113" i="26" s="1"/>
  <c r="U113" i="26" s="1"/>
  <c r="H112" i="26"/>
  <c r="I100" i="26"/>
  <c r="I99" i="26"/>
  <c r="I98" i="26"/>
  <c r="I97" i="26"/>
  <c r="I110" i="26"/>
  <c r="I109" i="26"/>
  <c r="I108" i="26"/>
  <c r="I107" i="26"/>
  <c r="AD91" i="26"/>
  <c r="Z95" i="26"/>
  <c r="AD95" i="26" s="1"/>
  <c r="Z94" i="26"/>
  <c r="AD94" i="26" s="1"/>
  <c r="AH94" i="26" s="1"/>
  <c r="Z93" i="26"/>
  <c r="AD93" i="26" s="1"/>
  <c r="Z92" i="26"/>
  <c r="AD92" i="26" s="1"/>
  <c r="AH92" i="26" s="1"/>
  <c r="AD101" i="26"/>
  <c r="Z105" i="26"/>
  <c r="AD105" i="26" s="1"/>
  <c r="Z104" i="26"/>
  <c r="AD104" i="26" s="1"/>
  <c r="Z103" i="26"/>
  <c r="AD103" i="26" s="1"/>
  <c r="Z102" i="26"/>
  <c r="AD102" i="26" s="1"/>
  <c r="AH102" i="26" s="1"/>
  <c r="AD111" i="26"/>
  <c r="Z115" i="26"/>
  <c r="AD115" i="26" s="1"/>
  <c r="Z114" i="26"/>
  <c r="AD114" i="26" s="1"/>
  <c r="Z113" i="26"/>
  <c r="AD113" i="26" s="1"/>
  <c r="Z112" i="26"/>
  <c r="AD112" i="26" s="1"/>
  <c r="AH112" i="26" s="1"/>
  <c r="AA122" i="26"/>
  <c r="W126" i="26"/>
  <c r="AA126" i="26" s="1"/>
  <c r="W125" i="26"/>
  <c r="AA125" i="26" s="1"/>
  <c r="W124" i="26"/>
  <c r="AA124" i="26" s="1"/>
  <c r="W123" i="26"/>
  <c r="AA123" i="26" s="1"/>
  <c r="AE123" i="26" s="1"/>
  <c r="X142" i="12" s="1"/>
  <c r="AA132" i="26"/>
  <c r="W136" i="26"/>
  <c r="AA136" i="26" s="1"/>
  <c r="W135" i="26"/>
  <c r="AA135" i="26" s="1"/>
  <c r="W134" i="26"/>
  <c r="AA134" i="26" s="1"/>
  <c r="W133" i="26"/>
  <c r="AA133" i="26" s="1"/>
  <c r="AE133" i="26" s="1"/>
  <c r="X152" i="12" s="1"/>
  <c r="L117" i="26"/>
  <c r="M117" i="26" s="1"/>
  <c r="N117" i="26" s="1"/>
  <c r="O117" i="26" s="1"/>
  <c r="P117" i="26" s="1"/>
  <c r="Q117" i="26" s="1"/>
  <c r="R117" i="26" s="1"/>
  <c r="S117" i="26" s="1"/>
  <c r="T117" i="26" s="1"/>
  <c r="U117" i="26" s="1"/>
  <c r="H121" i="26"/>
  <c r="H120" i="26"/>
  <c r="H119" i="26"/>
  <c r="L119" i="26" s="1"/>
  <c r="M119" i="26" s="1"/>
  <c r="N119" i="26" s="1"/>
  <c r="O119" i="26" s="1"/>
  <c r="P119" i="26" s="1"/>
  <c r="Q119" i="26" s="1"/>
  <c r="R119" i="26" s="1"/>
  <c r="S119" i="26" s="1"/>
  <c r="T119" i="26" s="1"/>
  <c r="U119" i="26" s="1"/>
  <c r="H118" i="26"/>
  <c r="L127" i="26"/>
  <c r="M127" i="26" s="1"/>
  <c r="N127" i="26" s="1"/>
  <c r="O127" i="26" s="1"/>
  <c r="P127" i="26" s="1"/>
  <c r="Q127" i="26" s="1"/>
  <c r="R127" i="26" s="1"/>
  <c r="S127" i="26" s="1"/>
  <c r="T127" i="26" s="1"/>
  <c r="U127" i="26" s="1"/>
  <c r="H131" i="26"/>
  <c r="H130" i="26"/>
  <c r="H129" i="26"/>
  <c r="L129" i="26" s="1"/>
  <c r="M129" i="26" s="1"/>
  <c r="N129" i="26" s="1"/>
  <c r="O129" i="26" s="1"/>
  <c r="P129" i="26" s="1"/>
  <c r="Q129" i="26" s="1"/>
  <c r="R129" i="26" s="1"/>
  <c r="S129" i="26" s="1"/>
  <c r="T129" i="26" s="1"/>
  <c r="U129" i="26" s="1"/>
  <c r="H128" i="26"/>
  <c r="L137" i="26"/>
  <c r="M137" i="26" s="1"/>
  <c r="N137" i="26" s="1"/>
  <c r="O137" i="26" s="1"/>
  <c r="P137" i="26" s="1"/>
  <c r="Q137" i="26" s="1"/>
  <c r="R137" i="26" s="1"/>
  <c r="S137" i="26" s="1"/>
  <c r="T137" i="26" s="1"/>
  <c r="U137" i="26" s="1"/>
  <c r="H141" i="26"/>
  <c r="H140" i="26"/>
  <c r="H139" i="26"/>
  <c r="L139" i="26" s="1"/>
  <c r="M139" i="26" s="1"/>
  <c r="N139" i="26" s="1"/>
  <c r="O139" i="26" s="1"/>
  <c r="P139" i="26" s="1"/>
  <c r="Q139" i="26" s="1"/>
  <c r="R139" i="26" s="1"/>
  <c r="S139" i="26" s="1"/>
  <c r="T139" i="26" s="1"/>
  <c r="U139" i="26" s="1"/>
  <c r="H138" i="26"/>
  <c r="I126" i="26"/>
  <c r="I125" i="26"/>
  <c r="I124" i="26"/>
  <c r="I123" i="26"/>
  <c r="I136" i="26"/>
  <c r="I135" i="26"/>
  <c r="I134" i="26"/>
  <c r="I133" i="26"/>
  <c r="J121" i="26"/>
  <c r="J120" i="26"/>
  <c r="J119" i="26"/>
  <c r="J118" i="26"/>
  <c r="J131" i="26"/>
  <c r="J130" i="26"/>
  <c r="J129" i="26"/>
  <c r="J128" i="26"/>
  <c r="J141" i="26"/>
  <c r="J140" i="26"/>
  <c r="J139" i="26"/>
  <c r="J138" i="26"/>
  <c r="AC122" i="26"/>
  <c r="Y126" i="26"/>
  <c r="AC126" i="26" s="1"/>
  <c r="Y125" i="26"/>
  <c r="AC125" i="26" s="1"/>
  <c r="Y124" i="26"/>
  <c r="AC124" i="26" s="1"/>
  <c r="Y123" i="26"/>
  <c r="AC123" i="26" s="1"/>
  <c r="AG123" i="26" s="1"/>
  <c r="AA101" i="26"/>
  <c r="W105" i="26"/>
  <c r="AA105" i="26" s="1"/>
  <c r="W104" i="26"/>
  <c r="AA104" i="26" s="1"/>
  <c r="W103" i="26"/>
  <c r="AA103" i="26" s="1"/>
  <c r="W102" i="26"/>
  <c r="AA102" i="26" s="1"/>
  <c r="AE102" i="26" s="1"/>
  <c r="X121" i="12" s="1"/>
  <c r="AC96" i="26"/>
  <c r="Y100" i="26"/>
  <c r="AC100" i="26" s="1"/>
  <c r="Y99" i="26"/>
  <c r="AC99" i="26" s="1"/>
  <c r="Y98" i="26"/>
  <c r="AC98" i="26" s="1"/>
  <c r="Y97" i="26"/>
  <c r="AC97" i="26" s="1"/>
  <c r="AG97" i="26" s="1"/>
  <c r="J105" i="26"/>
  <c r="J104" i="26"/>
  <c r="J103" i="26"/>
  <c r="J102" i="26"/>
  <c r="L132" i="26"/>
  <c r="M132" i="26" s="1"/>
  <c r="N132" i="26" s="1"/>
  <c r="O132" i="26" s="1"/>
  <c r="P132" i="26" s="1"/>
  <c r="Q132" i="26" s="1"/>
  <c r="R132" i="26" s="1"/>
  <c r="S132" i="26" s="1"/>
  <c r="T132" i="26" s="1"/>
  <c r="U132" i="26" s="1"/>
  <c r="H136" i="26"/>
  <c r="H135" i="26"/>
  <c r="H134" i="26"/>
  <c r="H133" i="26"/>
  <c r="AC127" i="26"/>
  <c r="Y131" i="26"/>
  <c r="AC131" i="26" s="1"/>
  <c r="Y130" i="26"/>
  <c r="AC130" i="26" s="1"/>
  <c r="Y129" i="26"/>
  <c r="AC129" i="26" s="1"/>
  <c r="Y128" i="26"/>
  <c r="AC128" i="26" s="1"/>
  <c r="AG128" i="26" s="1"/>
  <c r="AB13" i="26"/>
  <c r="X15" i="26"/>
  <c r="AB15" i="26" s="1"/>
  <c r="X17" i="26"/>
  <c r="AB17" i="26" s="1"/>
  <c r="X14" i="26"/>
  <c r="AB14" i="26" s="1"/>
  <c r="AF14" i="26" s="1"/>
  <c r="X16" i="26"/>
  <c r="AB16" i="26" s="1"/>
  <c r="AB18" i="26"/>
  <c r="X22" i="26"/>
  <c r="AB22" i="26" s="1"/>
  <c r="X21" i="26"/>
  <c r="AB21" i="26" s="1"/>
  <c r="X20" i="26"/>
  <c r="AB20" i="26" s="1"/>
  <c r="X19" i="26"/>
  <c r="AB19" i="26" s="1"/>
  <c r="AF19" i="26" s="1"/>
  <c r="Y38" i="12" s="1"/>
  <c r="AB33" i="26"/>
  <c r="X37" i="26"/>
  <c r="AB37" i="26" s="1"/>
  <c r="X36" i="26"/>
  <c r="AB36" i="26" s="1"/>
  <c r="X35" i="26"/>
  <c r="AB35" i="26" s="1"/>
  <c r="X34" i="26"/>
  <c r="AB34" i="26" s="1"/>
  <c r="AF34" i="26" s="1"/>
  <c r="Y53" i="12" s="1"/>
  <c r="G16" i="26"/>
  <c r="G14" i="26"/>
  <c r="G15" i="26"/>
  <c r="G17" i="26"/>
  <c r="D40" i="26"/>
  <c r="E59" i="12" s="1"/>
  <c r="AH137" i="26"/>
  <c r="AE25" i="26"/>
  <c r="X44" i="12" s="1"/>
  <c r="AE27" i="26"/>
  <c r="X46" i="12" s="1"/>
  <c r="AE33" i="26"/>
  <c r="X52" i="12" s="1"/>
  <c r="AF25" i="26"/>
  <c r="Y44" i="12" s="1"/>
  <c r="AF27" i="26"/>
  <c r="Y46" i="12" s="1"/>
  <c r="AG13" i="26"/>
  <c r="AH20" i="26"/>
  <c r="AH22" i="26"/>
  <c r="AH23" i="26"/>
  <c r="AF54" i="26"/>
  <c r="Y73" i="12" s="1"/>
  <c r="AH61" i="26"/>
  <c r="AH63" i="26"/>
  <c r="AH65" i="26"/>
  <c r="AE96" i="26"/>
  <c r="X115" i="12" s="1"/>
  <c r="AF101" i="26"/>
  <c r="Y120" i="12" s="1"/>
  <c r="AF117" i="26"/>
  <c r="Y136" i="12" s="1"/>
  <c r="AG134" i="26"/>
  <c r="AH122" i="26"/>
  <c r="AF137" i="26"/>
  <c r="Y156" i="12" s="1"/>
  <c r="AE41" i="26"/>
  <c r="X60" i="12" s="1"/>
  <c r="AF49" i="26"/>
  <c r="Y68" i="12" s="1"/>
  <c r="AH46" i="26"/>
  <c r="AH48" i="26"/>
  <c r="AH85" i="26"/>
  <c r="AE108" i="26"/>
  <c r="X127" i="12" s="1"/>
  <c r="AE110" i="26"/>
  <c r="X129" i="12" s="1"/>
  <c r="AF96" i="26"/>
  <c r="Y115" i="12" s="1"/>
  <c r="AF108" i="26"/>
  <c r="Y127" i="12" s="1"/>
  <c r="AF110" i="26"/>
  <c r="Y129" i="12" s="1"/>
  <c r="AG106" i="26"/>
  <c r="AF129" i="26"/>
  <c r="Y148" i="12" s="1"/>
  <c r="AF131" i="26"/>
  <c r="Y150" i="12" s="1"/>
  <c r="AH117" i="26"/>
  <c r="AH129" i="26"/>
  <c r="AH131" i="26"/>
  <c r="A39" i="23"/>
  <c r="K23" i="26"/>
  <c r="K33" i="26"/>
  <c r="L23" i="26"/>
  <c r="K70" i="26"/>
  <c r="K44" i="26"/>
  <c r="K54" i="26"/>
  <c r="K91" i="26"/>
  <c r="K103" i="26"/>
  <c r="K101" i="26"/>
  <c r="K111" i="26"/>
  <c r="K18" i="26"/>
  <c r="L22" i="26"/>
  <c r="M22" i="26" s="1"/>
  <c r="N22" i="26" s="1"/>
  <c r="O22" i="26" s="1"/>
  <c r="P22" i="26" s="1"/>
  <c r="Q22" i="26" s="1"/>
  <c r="R22" i="26" s="1"/>
  <c r="S22" i="26" s="1"/>
  <c r="T22" i="26" s="1"/>
  <c r="U22" i="26" s="1"/>
  <c r="L21" i="26"/>
  <c r="M21" i="26" s="1"/>
  <c r="N21" i="26" s="1"/>
  <c r="O21" i="26" s="1"/>
  <c r="P21" i="26" s="1"/>
  <c r="Q21" i="26" s="1"/>
  <c r="R21" i="26" s="1"/>
  <c r="S21" i="26" s="1"/>
  <c r="T21" i="26" s="1"/>
  <c r="U21" i="26" s="1"/>
  <c r="K31" i="26"/>
  <c r="L36" i="26"/>
  <c r="M36" i="26" s="1"/>
  <c r="N36" i="26" s="1"/>
  <c r="O36" i="26" s="1"/>
  <c r="P36" i="26" s="1"/>
  <c r="Q36" i="26" s="1"/>
  <c r="R36" i="26" s="1"/>
  <c r="S36" i="26" s="1"/>
  <c r="T36" i="26" s="1"/>
  <c r="U36" i="26" s="1"/>
  <c r="K78" i="26"/>
  <c r="K76" i="26"/>
  <c r="K89" i="26"/>
  <c r="K121" i="26"/>
  <c r="K126" i="26"/>
  <c r="K131" i="26"/>
  <c r="K136" i="26"/>
  <c r="K141" i="26"/>
  <c r="K30" i="26"/>
  <c r="L20" i="26"/>
  <c r="M20" i="26" s="1"/>
  <c r="N20" i="26" s="1"/>
  <c r="O20" i="26" s="1"/>
  <c r="P20" i="26" s="1"/>
  <c r="Q20" i="26" s="1"/>
  <c r="R20" i="26" s="1"/>
  <c r="S20" i="26" s="1"/>
  <c r="T20" i="26" s="1"/>
  <c r="U20" i="26" s="1"/>
  <c r="L35" i="26"/>
  <c r="M35" i="26" s="1"/>
  <c r="M55" i="12"/>
  <c r="L28" i="26"/>
  <c r="K65" i="26"/>
  <c r="K80" i="26"/>
  <c r="K39" i="26"/>
  <c r="K96" i="26"/>
  <c r="K108" i="26"/>
  <c r="K106" i="26"/>
  <c r="L19" i="26"/>
  <c r="M19" i="26" s="1"/>
  <c r="N19" i="26" s="1"/>
  <c r="O19" i="26" s="1"/>
  <c r="P19" i="26" s="1"/>
  <c r="Q19" i="26" s="1"/>
  <c r="R19" i="26" s="1"/>
  <c r="S19" i="26" s="1"/>
  <c r="T19" i="26" s="1"/>
  <c r="U19" i="26" s="1"/>
  <c r="K29" i="26"/>
  <c r="K32" i="26"/>
  <c r="L34" i="26"/>
  <c r="M34" i="26" s="1"/>
  <c r="N34" i="26" s="1"/>
  <c r="O34" i="26" s="1"/>
  <c r="P34" i="26" s="1"/>
  <c r="Q34" i="26" s="1"/>
  <c r="R34" i="26" s="1"/>
  <c r="S34" i="26" s="1"/>
  <c r="T34" i="26" s="1"/>
  <c r="U34" i="26" s="1"/>
  <c r="L37" i="26"/>
  <c r="M37" i="26" s="1"/>
  <c r="N37" i="26" s="1"/>
  <c r="O37" i="26" s="1"/>
  <c r="P37" i="26" s="1"/>
  <c r="Q37" i="26" s="1"/>
  <c r="R37" i="26" s="1"/>
  <c r="S37" i="26" s="1"/>
  <c r="T37" i="26" s="1"/>
  <c r="U37" i="26" s="1"/>
  <c r="K79" i="26"/>
  <c r="K88" i="26"/>
  <c r="K86" i="26"/>
  <c r="K120" i="26"/>
  <c r="K118" i="26"/>
  <c r="K125" i="26"/>
  <c r="K123" i="26"/>
  <c r="K130" i="26"/>
  <c r="K128" i="26"/>
  <c r="K135" i="26"/>
  <c r="K133" i="26"/>
  <c r="K140" i="26"/>
  <c r="K138" i="26"/>
  <c r="D125" i="12"/>
  <c r="D118" i="11" s="1"/>
  <c r="D118" i="26"/>
  <c r="E137" i="12" s="1"/>
  <c r="E136" i="12"/>
  <c r="D60" i="26"/>
  <c r="E79" i="12" s="1"/>
  <c r="E78" i="12"/>
  <c r="D84" i="12"/>
  <c r="D151" i="12"/>
  <c r="C151" i="12"/>
  <c r="C58" i="12"/>
  <c r="C99" i="12"/>
  <c r="L84" i="12"/>
  <c r="L67" i="26"/>
  <c r="M67" i="26" s="1"/>
  <c r="N67" i="26" s="1"/>
  <c r="O67" i="26" s="1"/>
  <c r="P67" i="26" s="1"/>
  <c r="Q67" i="26" s="1"/>
  <c r="R67" i="26" s="1"/>
  <c r="S67" i="26" s="1"/>
  <c r="T67" i="26" s="1"/>
  <c r="U67" i="26" s="1"/>
  <c r="L87" i="26"/>
  <c r="M87" i="26" s="1"/>
  <c r="N87" i="26" s="1"/>
  <c r="O87" i="26" s="1"/>
  <c r="P87" i="26" s="1"/>
  <c r="Q87" i="26" s="1"/>
  <c r="R87" i="26" s="1"/>
  <c r="S87" i="26" s="1"/>
  <c r="T87" i="26" s="1"/>
  <c r="U87" i="26" s="1"/>
  <c r="L51" i="26"/>
  <c r="M51" i="26" s="1"/>
  <c r="N51" i="26" s="1"/>
  <c r="O51" i="26" s="1"/>
  <c r="P51" i="26" s="1"/>
  <c r="Q51" i="26" s="1"/>
  <c r="R51" i="26" s="1"/>
  <c r="S51" i="26" s="1"/>
  <c r="T51" i="26" s="1"/>
  <c r="U51" i="26" s="1"/>
  <c r="M63" i="12"/>
  <c r="L110" i="12"/>
  <c r="L93" i="26"/>
  <c r="M93" i="26" s="1"/>
  <c r="N93" i="26" s="1"/>
  <c r="O93" i="26" s="1"/>
  <c r="P93" i="26" s="1"/>
  <c r="Q93" i="26" s="1"/>
  <c r="R93" i="26" s="1"/>
  <c r="S93" i="26" s="1"/>
  <c r="T93" i="26" s="1"/>
  <c r="U93" i="26" s="1"/>
  <c r="L124" i="26"/>
  <c r="M124" i="26" s="1"/>
  <c r="N124" i="26" s="1"/>
  <c r="O124" i="26" s="1"/>
  <c r="P124" i="26" s="1"/>
  <c r="Q124" i="26" s="1"/>
  <c r="R124" i="26" s="1"/>
  <c r="S124" i="26" s="1"/>
  <c r="T124" i="26" s="1"/>
  <c r="U124" i="26" s="1"/>
  <c r="C94" i="12"/>
  <c r="C68" i="12"/>
  <c r="L134" i="26"/>
  <c r="M134" i="26" s="1"/>
  <c r="N134" i="26" s="1"/>
  <c r="O134" i="26" s="1"/>
  <c r="P134" i="26" s="1"/>
  <c r="Q134" i="26" s="1"/>
  <c r="R134" i="26" s="1"/>
  <c r="S134" i="26" s="1"/>
  <c r="T134" i="26" s="1"/>
  <c r="U134" i="26" s="1"/>
  <c r="D37" i="12"/>
  <c r="D47" i="12"/>
  <c r="C73" i="12"/>
  <c r="C146" i="12"/>
  <c r="C139" i="11" s="1"/>
  <c r="D58" i="12"/>
  <c r="D94" i="12"/>
  <c r="D87" i="11" s="1"/>
  <c r="D73" i="12"/>
  <c r="D99" i="12"/>
  <c r="D36" i="11"/>
  <c r="C84" i="12"/>
  <c r="D89" i="12"/>
  <c r="D120" i="12"/>
  <c r="D63" i="12"/>
  <c r="D56" i="11" s="1"/>
  <c r="D141" i="12"/>
  <c r="D66" i="26"/>
  <c r="E85" i="12" s="1"/>
  <c r="E84" i="12"/>
  <c r="A42" i="26"/>
  <c r="C41" i="26"/>
  <c r="D60" i="12" s="1"/>
  <c r="C46" i="26"/>
  <c r="D65" i="12" s="1"/>
  <c r="D58" i="11" s="1"/>
  <c r="A47" i="26"/>
  <c r="C56" i="26"/>
  <c r="D75" i="12" s="1"/>
  <c r="A57" i="26"/>
  <c r="A73" i="26"/>
  <c r="C72" i="26"/>
  <c r="D91" i="12" s="1"/>
  <c r="C87" i="26"/>
  <c r="D106" i="12" s="1"/>
  <c r="A88" i="26"/>
  <c r="A94" i="26"/>
  <c r="C93" i="26"/>
  <c r="D112" i="12" s="1"/>
  <c r="C108" i="26"/>
  <c r="D127" i="12" s="1"/>
  <c r="A109" i="26"/>
  <c r="A114" i="26"/>
  <c r="C113" i="26"/>
  <c r="D132" i="12" s="1"/>
  <c r="A125" i="26"/>
  <c r="C124" i="26"/>
  <c r="D143" i="12" s="1"/>
  <c r="C129" i="26"/>
  <c r="D148" i="12" s="1"/>
  <c r="A130" i="26"/>
  <c r="A135" i="26"/>
  <c r="C134" i="26"/>
  <c r="D153" i="12" s="1"/>
  <c r="D146" i="11" s="1"/>
  <c r="C139" i="26"/>
  <c r="D158" i="12" s="1"/>
  <c r="D151" i="11" s="1"/>
  <c r="A140" i="26"/>
  <c r="A52" i="26"/>
  <c r="C51" i="26"/>
  <c r="D70" i="12" s="1"/>
  <c r="A62" i="26"/>
  <c r="C61" i="26"/>
  <c r="D80" i="12" s="1"/>
  <c r="C67" i="26"/>
  <c r="D86" i="12" s="1"/>
  <c r="A68" i="26"/>
  <c r="C77" i="26"/>
  <c r="D96" i="12" s="1"/>
  <c r="D89" i="11" s="1"/>
  <c r="A78" i="26"/>
  <c r="A83" i="26"/>
  <c r="C82" i="26"/>
  <c r="D101" i="12" s="1"/>
  <c r="C98" i="26"/>
  <c r="D117" i="12" s="1"/>
  <c r="A99" i="26"/>
  <c r="A104" i="26"/>
  <c r="C103" i="26"/>
  <c r="D122" i="12" s="1"/>
  <c r="D115" i="11" s="1"/>
  <c r="B44" i="26"/>
  <c r="B101" i="26"/>
  <c r="D110" i="12"/>
  <c r="D130" i="12"/>
  <c r="C115" i="12"/>
  <c r="C108" i="11" s="1"/>
  <c r="D115" i="12"/>
  <c r="D24" i="26"/>
  <c r="E43" i="12" s="1"/>
  <c r="E42" i="12"/>
  <c r="C37" i="12"/>
  <c r="D52" i="12"/>
  <c r="D42" i="12"/>
  <c r="L115" i="12"/>
  <c r="C117" i="26"/>
  <c r="A118" i="26"/>
  <c r="D68" i="12"/>
  <c r="D104" i="12"/>
  <c r="D31" i="11"/>
  <c r="D46" i="11"/>
  <c r="D78" i="12"/>
  <c r="D146" i="12"/>
  <c r="D156" i="12"/>
  <c r="D149" i="11" s="1"/>
  <c r="D67" i="11"/>
  <c r="L65" i="12"/>
  <c r="D72" i="11"/>
  <c r="D109" i="11"/>
  <c r="D76" i="26"/>
  <c r="E95" i="12" s="1"/>
  <c r="D97" i="26"/>
  <c r="E116" i="12" s="1"/>
  <c r="D138" i="26"/>
  <c r="E157" i="12" s="1"/>
  <c r="B70" i="26"/>
  <c r="D71" i="26"/>
  <c r="E90" i="12" s="1"/>
  <c r="D45" i="26"/>
  <c r="E64" i="12" s="1"/>
  <c r="B85" i="26"/>
  <c r="D86" i="26"/>
  <c r="E105" i="12" s="1"/>
  <c r="B111" i="26"/>
  <c r="D112" i="26"/>
  <c r="E131" i="12" s="1"/>
  <c r="D55" i="26"/>
  <c r="E74" i="12" s="1"/>
  <c r="D102" i="26"/>
  <c r="E121" i="12" s="1"/>
  <c r="D133" i="26"/>
  <c r="E152" i="12" s="1"/>
  <c r="B122" i="26"/>
  <c r="D123" i="26"/>
  <c r="E142" i="12" s="1"/>
  <c r="B91" i="26"/>
  <c r="D92" i="26"/>
  <c r="E111" i="12" s="1"/>
  <c r="D107" i="26"/>
  <c r="E126" i="12" s="1"/>
  <c r="D50" i="26"/>
  <c r="E69" i="12" s="1"/>
  <c r="B81" i="26"/>
  <c r="C100" i="12" s="1"/>
  <c r="D129" i="26"/>
  <c r="E148" i="12" s="1"/>
  <c r="B128" i="26"/>
  <c r="C147" i="12" s="1"/>
  <c r="B106" i="26"/>
  <c r="B137" i="26"/>
  <c r="B33" i="26"/>
  <c r="D34" i="26"/>
  <c r="E53" i="12" s="1"/>
  <c r="C35" i="26"/>
  <c r="D54" i="12" s="1"/>
  <c r="A36" i="26"/>
  <c r="D19" i="26"/>
  <c r="E38" i="12" s="1"/>
  <c r="B28" i="26"/>
  <c r="D29" i="26"/>
  <c r="E48" i="12" s="1"/>
  <c r="A26" i="26"/>
  <c r="C25" i="26"/>
  <c r="D44" i="12" s="1"/>
  <c r="K13" i="26"/>
  <c r="C20" i="26"/>
  <c r="D39" i="12" s="1"/>
  <c r="A21" i="26"/>
  <c r="A31" i="26"/>
  <c r="C30" i="26"/>
  <c r="D49" i="12" s="1"/>
  <c r="A15" i="26"/>
  <c r="C14" i="26"/>
  <c r="D33" i="12" s="1"/>
  <c r="D26" i="11" s="1"/>
  <c r="D13" i="26"/>
  <c r="F63" i="23"/>
  <c r="B63" i="23"/>
  <c r="E43" i="23"/>
  <c r="E18" i="23"/>
  <c r="D1188" i="11"/>
  <c r="B1188" i="11" s="1"/>
  <c r="D1106" i="11"/>
  <c r="D1241" i="11"/>
  <c r="B1241" i="11" s="1"/>
  <c r="D1176" i="11"/>
  <c r="D1094" i="11"/>
  <c r="D1061" i="11"/>
  <c r="D1031" i="11"/>
  <c r="D988" i="11"/>
  <c r="D936" i="11"/>
  <c r="D1218" i="11"/>
  <c r="D1145" i="11"/>
  <c r="D1093" i="11"/>
  <c r="D1219" i="11"/>
  <c r="D1146" i="11"/>
  <c r="D1083" i="11"/>
  <c r="D1048" i="11"/>
  <c r="D1018" i="11"/>
  <c r="D949" i="11"/>
  <c r="N234" i="58"/>
  <c r="O7" i="58"/>
  <c r="N856" i="58"/>
  <c r="N774" i="58"/>
  <c r="N749" i="58"/>
  <c r="N443" i="58"/>
  <c r="J808" i="58"/>
  <c r="J856" i="58"/>
  <c r="E23" i="23"/>
  <c r="D1227" i="11"/>
  <c r="B1227" i="11" s="1"/>
  <c r="D1192" i="11"/>
  <c r="B1192" i="11" s="1"/>
  <c r="D1175" i="11"/>
  <c r="D1110" i="11"/>
  <c r="D1081" i="11"/>
  <c r="J288" i="58"/>
  <c r="J657" i="58"/>
  <c r="J742" i="58"/>
  <c r="B23" i="26"/>
  <c r="B59" i="26"/>
  <c r="E63" i="23"/>
  <c r="E58" i="23"/>
  <c r="D1244" i="11"/>
  <c r="B1244" i="11" s="1"/>
  <c r="D1210" i="11"/>
  <c r="D1184" i="11"/>
  <c r="B1184" i="11" s="1"/>
  <c r="D1153" i="11"/>
  <c r="D1101" i="11"/>
  <c r="D1076" i="11"/>
  <c r="E68" i="23"/>
  <c r="B117" i="26"/>
  <c r="M68" i="12" l="1"/>
  <c r="N89" i="12"/>
  <c r="M84" i="12"/>
  <c r="N125" i="12"/>
  <c r="M41" i="12"/>
  <c r="M73" i="12"/>
  <c r="B176" i="62"/>
  <c r="B52" i="62"/>
  <c r="B202" i="62"/>
  <c r="B78" i="62"/>
  <c r="B47" i="62"/>
  <c r="B171" i="62"/>
  <c r="C87" i="11"/>
  <c r="B72" i="62"/>
  <c r="B196" i="62"/>
  <c r="B186" i="62"/>
  <c r="B62" i="62"/>
  <c r="C92" i="11"/>
  <c r="B201" i="62"/>
  <c r="B77" i="62"/>
  <c r="C51" i="11"/>
  <c r="B37" i="62"/>
  <c r="B161" i="62"/>
  <c r="B141" i="62"/>
  <c r="B17" i="62"/>
  <c r="C19" i="58"/>
  <c r="C933" i="11"/>
  <c r="D933" i="11" s="1"/>
  <c r="C924" i="11"/>
  <c r="C184" i="11"/>
  <c r="D922" i="11"/>
  <c r="I897" i="58"/>
  <c r="I754" i="58"/>
  <c r="I248" i="58"/>
  <c r="B40" i="26"/>
  <c r="C59" i="12" s="1"/>
  <c r="AG130" i="26"/>
  <c r="AG125" i="26"/>
  <c r="AE135" i="26"/>
  <c r="X154" i="12" s="1"/>
  <c r="AF68" i="26"/>
  <c r="Y87" i="12" s="1"/>
  <c r="AG36" i="26"/>
  <c r="AH52" i="26"/>
  <c r="AE140" i="26"/>
  <c r="X159" i="12" s="1"/>
  <c r="AG88" i="26"/>
  <c r="AG31" i="26"/>
  <c r="AE47" i="26"/>
  <c r="X66" i="12" s="1"/>
  <c r="I741" i="58"/>
  <c r="AF16" i="26"/>
  <c r="Y35" i="12" s="1"/>
  <c r="H48" i="51"/>
  <c r="AF73" i="26"/>
  <c r="Y92" i="12" s="1"/>
  <c r="AG47" i="26"/>
  <c r="I910" i="58"/>
  <c r="L146" i="12"/>
  <c r="L151" i="12"/>
  <c r="L141" i="12"/>
  <c r="AF36" i="26"/>
  <c r="Y55" i="12" s="1"/>
  <c r="AE125" i="26"/>
  <c r="X144" i="12" s="1"/>
  <c r="AG73" i="26"/>
  <c r="AE83" i="26"/>
  <c r="X102" i="12" s="1"/>
  <c r="AG26" i="26"/>
  <c r="AG62" i="26"/>
  <c r="AE62" i="26"/>
  <c r="X81" i="12" s="1"/>
  <c r="AE21" i="26"/>
  <c r="X40" i="12" s="1"/>
  <c r="AG140" i="26"/>
  <c r="AE130" i="26"/>
  <c r="X149" i="12" s="1"/>
  <c r="AG114" i="26"/>
  <c r="AG78" i="26"/>
  <c r="AE88" i="26"/>
  <c r="X107" i="12" s="1"/>
  <c r="AG21" i="26"/>
  <c r="AH57" i="26"/>
  <c r="AF62" i="26"/>
  <c r="Y81" i="12" s="1"/>
  <c r="H951" i="58"/>
  <c r="H639" i="58"/>
  <c r="H795" i="58"/>
  <c r="B60" i="26"/>
  <c r="C79" i="12" s="1"/>
  <c r="L104" i="12"/>
  <c r="D48" i="51"/>
  <c r="M120" i="12"/>
  <c r="L795" i="58"/>
  <c r="O17" i="58"/>
  <c r="O10" i="58"/>
  <c r="O20" i="58" s="1"/>
  <c r="N9" i="58"/>
  <c r="N19" i="58" s="1"/>
  <c r="N18" i="58"/>
  <c r="K295" i="58"/>
  <c r="N295" i="58"/>
  <c r="J295" i="58"/>
  <c r="M295" i="58"/>
  <c r="I295" i="58"/>
  <c r="L295" i="58"/>
  <c r="H295" i="58"/>
  <c r="I912" i="58"/>
  <c r="M912" i="58"/>
  <c r="K913" i="58"/>
  <c r="J912" i="58"/>
  <c r="N912" i="58"/>
  <c r="H913" i="58"/>
  <c r="L913" i="58"/>
  <c r="K912" i="58"/>
  <c r="I913" i="58"/>
  <c r="M913" i="58"/>
  <c r="H912" i="58"/>
  <c r="L912" i="58"/>
  <c r="J913" i="58"/>
  <c r="N913" i="58"/>
  <c r="H756" i="58"/>
  <c r="L756" i="58"/>
  <c r="J757" i="58"/>
  <c r="N757" i="58"/>
  <c r="I756" i="58"/>
  <c r="M756" i="58"/>
  <c r="K757" i="58"/>
  <c r="J756" i="58"/>
  <c r="N756" i="58"/>
  <c r="H757" i="58"/>
  <c r="L757" i="58"/>
  <c r="K756" i="58"/>
  <c r="I757" i="58"/>
  <c r="M757" i="58"/>
  <c r="I600" i="58"/>
  <c r="M600" i="58"/>
  <c r="K601" i="58"/>
  <c r="J600" i="58"/>
  <c r="N600" i="58"/>
  <c r="H601" i="58"/>
  <c r="L601" i="58"/>
  <c r="K600" i="58"/>
  <c r="I601" i="58"/>
  <c r="M601" i="58"/>
  <c r="H600" i="58"/>
  <c r="L600" i="58"/>
  <c r="J601" i="58"/>
  <c r="N601" i="58"/>
  <c r="K264" i="58"/>
  <c r="K263" i="58"/>
  <c r="N264" i="58"/>
  <c r="J264" i="58"/>
  <c r="N263" i="58"/>
  <c r="J263" i="58"/>
  <c r="M264" i="58"/>
  <c r="I264" i="58"/>
  <c r="M263" i="58"/>
  <c r="I263" i="58"/>
  <c r="L264" i="58"/>
  <c r="H264" i="58"/>
  <c r="L263" i="58"/>
  <c r="H263" i="58"/>
  <c r="N951" i="58"/>
  <c r="N791" i="58"/>
  <c r="N635" i="58"/>
  <c r="N300" i="58"/>
  <c r="N807" i="58"/>
  <c r="N806" i="58"/>
  <c r="N315" i="58"/>
  <c r="N947" i="58"/>
  <c r="N796" i="58"/>
  <c r="N963" i="58"/>
  <c r="N962" i="58"/>
  <c r="N651" i="58"/>
  <c r="N650" i="58"/>
  <c r="N316" i="58"/>
  <c r="N952" i="58"/>
  <c r="N795" i="58"/>
  <c r="N639" i="58"/>
  <c r="N304" i="58"/>
  <c r="N640" i="58"/>
  <c r="N305" i="58"/>
  <c r="H941" i="58"/>
  <c r="L941" i="58"/>
  <c r="I941" i="58"/>
  <c r="M941" i="58"/>
  <c r="J941" i="58"/>
  <c r="N941" i="58"/>
  <c r="K941" i="58"/>
  <c r="H785" i="58"/>
  <c r="L785" i="58"/>
  <c r="I785" i="58"/>
  <c r="M785" i="58"/>
  <c r="J785" i="58"/>
  <c r="N785" i="58"/>
  <c r="K785" i="58"/>
  <c r="I629" i="58"/>
  <c r="M629" i="58"/>
  <c r="J629" i="58"/>
  <c r="N629" i="58"/>
  <c r="K629" i="58"/>
  <c r="H629" i="58"/>
  <c r="L629" i="58"/>
  <c r="K293" i="58"/>
  <c r="N293" i="58"/>
  <c r="J293" i="58"/>
  <c r="M293" i="58"/>
  <c r="I293" i="58"/>
  <c r="L293" i="58"/>
  <c r="H293" i="58"/>
  <c r="K892" i="58"/>
  <c r="H892" i="58"/>
  <c r="L892" i="58"/>
  <c r="I892" i="58"/>
  <c r="M892" i="58"/>
  <c r="J892" i="58"/>
  <c r="N892" i="58"/>
  <c r="J736" i="58"/>
  <c r="N736" i="58"/>
  <c r="K736" i="58"/>
  <c r="H736" i="58"/>
  <c r="L736" i="58"/>
  <c r="I736" i="58"/>
  <c r="M736" i="58"/>
  <c r="K580" i="58"/>
  <c r="H580" i="58"/>
  <c r="L580" i="58"/>
  <c r="I580" i="58"/>
  <c r="M580" i="58"/>
  <c r="J580" i="58"/>
  <c r="N580" i="58"/>
  <c r="K243" i="58"/>
  <c r="K217" i="58"/>
  <c r="N243" i="58"/>
  <c r="J243" i="58"/>
  <c r="N217" i="58"/>
  <c r="J217" i="58"/>
  <c r="M243" i="58"/>
  <c r="I243" i="58"/>
  <c r="M217" i="58"/>
  <c r="I217" i="58"/>
  <c r="L243" i="58"/>
  <c r="H243" i="58"/>
  <c r="L217" i="58"/>
  <c r="H217" i="58"/>
  <c r="M191" i="58"/>
  <c r="M61" i="58" s="1"/>
  <c r="M87" i="58" s="1"/>
  <c r="M113" i="58" s="1"/>
  <c r="M139" i="58" s="1"/>
  <c r="M165" i="58" s="1"/>
  <c r="I191" i="58"/>
  <c r="I61" i="58" s="1"/>
  <c r="I87" i="58" s="1"/>
  <c r="I113" i="58" s="1"/>
  <c r="I139" i="58" s="1"/>
  <c r="I165" i="58" s="1"/>
  <c r="L191" i="58"/>
  <c r="L61" i="58" s="1"/>
  <c r="L87" i="58" s="1"/>
  <c r="L113" i="58" s="1"/>
  <c r="L139" i="58" s="1"/>
  <c r="L165" i="58" s="1"/>
  <c r="H191" i="58"/>
  <c r="H61" i="58" s="1"/>
  <c r="H87" i="58" s="1"/>
  <c r="H113" i="58" s="1"/>
  <c r="H139" i="58" s="1"/>
  <c r="H165" i="58" s="1"/>
  <c r="K191" i="58"/>
  <c r="K61" i="58" s="1"/>
  <c r="K87" i="58" s="1"/>
  <c r="K113" i="58" s="1"/>
  <c r="K139" i="58" s="1"/>
  <c r="K165" i="58" s="1"/>
  <c r="N191" i="58"/>
  <c r="N61" i="58" s="1"/>
  <c r="N87" i="58" s="1"/>
  <c r="N113" i="58" s="1"/>
  <c r="N139" i="58" s="1"/>
  <c r="N165" i="58" s="1"/>
  <c r="J191" i="58"/>
  <c r="J61" i="58" s="1"/>
  <c r="J87" i="58" s="1"/>
  <c r="J113" i="58" s="1"/>
  <c r="J139" i="58" s="1"/>
  <c r="J165" i="58" s="1"/>
  <c r="J734" i="58"/>
  <c r="J578" i="58"/>
  <c r="J241" i="58"/>
  <c r="J890" i="58"/>
  <c r="J189" i="58"/>
  <c r="J59" i="58" s="1"/>
  <c r="J85" i="58" s="1"/>
  <c r="J111" i="58" s="1"/>
  <c r="J137" i="58" s="1"/>
  <c r="J163" i="58" s="1"/>
  <c r="J215" i="58"/>
  <c r="D14" i="26"/>
  <c r="E33" i="12" s="1"/>
  <c r="E32" i="12"/>
  <c r="N432" i="58"/>
  <c r="J432" i="58"/>
  <c r="N407" i="58"/>
  <c r="J407" i="58"/>
  <c r="M432" i="58"/>
  <c r="I432" i="58"/>
  <c r="M407" i="58"/>
  <c r="L432" i="58"/>
  <c r="H432" i="58"/>
  <c r="L407" i="58"/>
  <c r="K432" i="58"/>
  <c r="K407" i="58"/>
  <c r="I407" i="58"/>
  <c r="H407" i="58"/>
  <c r="M294" i="58"/>
  <c r="M786" i="58"/>
  <c r="M292" i="58"/>
  <c r="M942" i="58"/>
  <c r="M630" i="58"/>
  <c r="M784" i="58"/>
  <c r="M940" i="58"/>
  <c r="M628" i="58"/>
  <c r="W208" i="12"/>
  <c r="AA208" i="12"/>
  <c r="X244" i="12"/>
  <c r="AB244" i="12"/>
  <c r="J310" i="58"/>
  <c r="K645" i="58"/>
  <c r="N957" i="58"/>
  <c r="J306" i="58"/>
  <c r="N641" i="58"/>
  <c r="N953" i="58"/>
  <c r="J308" i="58"/>
  <c r="J643" i="58"/>
  <c r="N955" i="58"/>
  <c r="J301" i="58"/>
  <c r="J636" i="58"/>
  <c r="J792" i="58"/>
  <c r="K948" i="58"/>
  <c r="N403" i="58"/>
  <c r="N649" i="58"/>
  <c r="J805" i="58"/>
  <c r="K961" i="58"/>
  <c r="J267" i="58"/>
  <c r="J604" i="58"/>
  <c r="J760" i="58"/>
  <c r="N235" i="58"/>
  <c r="J572" i="58"/>
  <c r="K572" i="58"/>
  <c r="J728" i="58"/>
  <c r="M464" i="58"/>
  <c r="J334" i="58"/>
  <c r="J386" i="58"/>
  <c r="N668" i="58"/>
  <c r="J824" i="58"/>
  <c r="M280" i="58"/>
  <c r="J616" i="58"/>
  <c r="J772" i="58"/>
  <c r="N552" i="58"/>
  <c r="N708" i="58"/>
  <c r="N864" i="58"/>
  <c r="M520" i="58"/>
  <c r="J366" i="58"/>
  <c r="N986" i="58"/>
  <c r="J285" i="58"/>
  <c r="J621" i="58"/>
  <c r="J777" i="58"/>
  <c r="N206" i="58"/>
  <c r="J881" i="58"/>
  <c r="J542" i="58"/>
  <c r="N698" i="58"/>
  <c r="N854" i="58"/>
  <c r="M461" i="58"/>
  <c r="J279" i="58"/>
  <c r="J615" i="58"/>
  <c r="J771" i="58"/>
  <c r="J276" i="58"/>
  <c r="M612" i="58"/>
  <c r="J275" i="58"/>
  <c r="J611" i="58"/>
  <c r="J767" i="58"/>
  <c r="M923" i="58"/>
  <c r="J274" i="58"/>
  <c r="M610" i="58"/>
  <c r="J922" i="58"/>
  <c r="J273" i="58"/>
  <c r="J609" i="58"/>
  <c r="J765" i="58"/>
  <c r="M921" i="58"/>
  <c r="J287" i="58"/>
  <c r="J623" i="58"/>
  <c r="J779" i="58"/>
  <c r="J272" i="58"/>
  <c r="M608" i="58"/>
  <c r="J920" i="58"/>
  <c r="J271" i="58"/>
  <c r="J607" i="58"/>
  <c r="J763" i="58"/>
  <c r="M919" i="58"/>
  <c r="AC208" i="12"/>
  <c r="Y208" i="12"/>
  <c r="V345" i="12"/>
  <c r="Z345" i="12"/>
  <c r="Y243" i="12"/>
  <c r="AC243" i="12"/>
  <c r="AA349" i="12"/>
  <c r="W349" i="12"/>
  <c r="N592" i="58"/>
  <c r="N590" i="58"/>
  <c r="J246" i="58"/>
  <c r="J582" i="58"/>
  <c r="J738" i="58"/>
  <c r="J307" i="58"/>
  <c r="N642" i="58"/>
  <c r="J798" i="58"/>
  <c r="K954" i="58"/>
  <c r="K299" i="58"/>
  <c r="N634" i="58"/>
  <c r="N790" i="58"/>
  <c r="J946" i="58"/>
  <c r="J587" i="58"/>
  <c r="J743" i="58"/>
  <c r="N896" i="58"/>
  <c r="N247" i="58"/>
  <c r="N583" i="58"/>
  <c r="N739" i="58"/>
  <c r="N311" i="58"/>
  <c r="J646" i="58"/>
  <c r="K802" i="58"/>
  <c r="N181" i="58"/>
  <c r="N51" i="58" s="1"/>
  <c r="N77" i="58" s="1"/>
  <c r="N103" i="58" s="1"/>
  <c r="N129" i="58" s="1"/>
  <c r="N155" i="58" s="1"/>
  <c r="J233" i="58"/>
  <c r="N570" i="58"/>
  <c r="N726" i="58"/>
  <c r="J543" i="58"/>
  <c r="M487" i="58"/>
  <c r="N358" i="58"/>
  <c r="N822" i="58"/>
  <c r="J978" i="58"/>
  <c r="N413" i="58"/>
  <c r="N214" i="58"/>
  <c r="N240" i="58"/>
  <c r="K240" i="58"/>
  <c r="N577" i="58"/>
  <c r="N733" i="58"/>
  <c r="K889" i="58"/>
  <c r="N549" i="58"/>
  <c r="N705" i="58"/>
  <c r="J861" i="58"/>
  <c r="N337" i="58"/>
  <c r="N389" i="58"/>
  <c r="N827" i="58"/>
  <c r="J983" i="58"/>
  <c r="N619" i="58"/>
  <c r="N775" i="58"/>
  <c r="J931" i="58"/>
  <c r="N178" i="58"/>
  <c r="N48" i="58" s="1"/>
  <c r="N74" i="58" s="1"/>
  <c r="N100" i="58" s="1"/>
  <c r="N126" i="58" s="1"/>
  <c r="N152" i="58" s="1"/>
  <c r="K178" i="58"/>
  <c r="K48" i="58" s="1"/>
  <c r="K74" i="58" s="1"/>
  <c r="K100" i="58" s="1"/>
  <c r="K126" i="58" s="1"/>
  <c r="K152" i="58" s="1"/>
  <c r="N230" i="58"/>
  <c r="K567" i="58"/>
  <c r="K723" i="58"/>
  <c r="N879" i="58"/>
  <c r="J850" i="58"/>
  <c r="J258" i="58"/>
  <c r="J907" i="58"/>
  <c r="J254" i="58"/>
  <c r="J903" i="58"/>
  <c r="J202" i="58"/>
  <c r="N877" i="58"/>
  <c r="J173" i="58"/>
  <c r="J43" i="58" s="1"/>
  <c r="J69" i="58" s="1"/>
  <c r="J95" i="58" s="1"/>
  <c r="J121" i="58" s="1"/>
  <c r="J147" i="58" s="1"/>
  <c r="K199" i="58"/>
  <c r="J225" i="58"/>
  <c r="J198" i="58"/>
  <c r="N873" i="58"/>
  <c r="J171" i="58"/>
  <c r="J41" i="58" s="1"/>
  <c r="J67" i="58" s="1"/>
  <c r="J93" i="58" s="1"/>
  <c r="J119" i="58" s="1"/>
  <c r="J145" i="58" s="1"/>
  <c r="K197" i="58"/>
  <c r="J223" i="58"/>
  <c r="J196" i="58"/>
  <c r="N871" i="58"/>
  <c r="J184" i="58"/>
  <c r="J54" i="58" s="1"/>
  <c r="J80" i="58" s="1"/>
  <c r="J106" i="58" s="1"/>
  <c r="J132" i="58" s="1"/>
  <c r="J158" i="58" s="1"/>
  <c r="N210" i="58"/>
  <c r="K210" i="58"/>
  <c r="J573" i="58"/>
  <c r="J729" i="58"/>
  <c r="J195" i="58"/>
  <c r="J558" i="58"/>
  <c r="K558" i="58"/>
  <c r="J714" i="58"/>
  <c r="J870" i="58"/>
  <c r="J168" i="58"/>
  <c r="J38" i="58" s="1"/>
  <c r="J64" i="58" s="1"/>
  <c r="J90" i="58" s="1"/>
  <c r="J116" i="58" s="1"/>
  <c r="J142" i="58" s="1"/>
  <c r="K194" i="58"/>
  <c r="J220" i="58"/>
  <c r="J557" i="58"/>
  <c r="J713" i="58"/>
  <c r="J869" i="58"/>
  <c r="K869" i="58"/>
  <c r="AB348" i="12"/>
  <c r="X348" i="12"/>
  <c r="N950" i="58"/>
  <c r="N897" i="58"/>
  <c r="N598" i="58"/>
  <c r="N754" i="58"/>
  <c r="K309" i="58"/>
  <c r="N644" i="58"/>
  <c r="N800" i="58"/>
  <c r="J956" i="58"/>
  <c r="N269" i="58"/>
  <c r="M18" i="58"/>
  <c r="M9" i="58"/>
  <c r="M19" i="58" s="1"/>
  <c r="L18" i="58"/>
  <c r="L9" i="58"/>
  <c r="L19" i="58" s="1"/>
  <c r="M17" i="58"/>
  <c r="M10" i="58"/>
  <c r="M20" i="58" s="1"/>
  <c r="J338" i="58"/>
  <c r="J390" i="58"/>
  <c r="N672" i="58"/>
  <c r="J828" i="58"/>
  <c r="M284" i="58"/>
  <c r="J620" i="58"/>
  <c r="J776" i="58"/>
  <c r="J179" i="58"/>
  <c r="J49" i="58" s="1"/>
  <c r="J75" i="58" s="1"/>
  <c r="J101" i="58" s="1"/>
  <c r="J127" i="58" s="1"/>
  <c r="J153" i="58" s="1"/>
  <c r="K179" i="58"/>
  <c r="K49" i="58" s="1"/>
  <c r="K75" i="58" s="1"/>
  <c r="K101" i="58" s="1"/>
  <c r="K127" i="58" s="1"/>
  <c r="K153" i="58" s="1"/>
  <c r="J231" i="58"/>
  <c r="J880" i="58"/>
  <c r="K880" i="58"/>
  <c r="J541" i="58"/>
  <c r="N697" i="58"/>
  <c r="N853" i="58"/>
  <c r="M510" i="58"/>
  <c r="N420" i="58"/>
  <c r="N436" i="58"/>
  <c r="J291" i="58"/>
  <c r="J627" i="58"/>
  <c r="J783" i="58"/>
  <c r="K185" i="58"/>
  <c r="K55" i="58" s="1"/>
  <c r="K81" i="58" s="1"/>
  <c r="K107" i="58" s="1"/>
  <c r="K133" i="58" s="1"/>
  <c r="K159" i="58" s="1"/>
  <c r="J237" i="58"/>
  <c r="K237" i="58"/>
  <c r="J886" i="58"/>
  <c r="K886" i="58"/>
  <c r="M515" i="58"/>
  <c r="J361" i="58"/>
  <c r="N669" i="58"/>
  <c r="J825" i="58"/>
  <c r="J281" i="58"/>
  <c r="J617" i="58"/>
  <c r="J773" i="58"/>
  <c r="J539" i="58"/>
  <c r="N695" i="58"/>
  <c r="J851" i="58"/>
  <c r="M456" i="58"/>
  <c r="M480" i="58"/>
  <c r="M504" i="58"/>
  <c r="M467" i="58"/>
  <c r="M477" i="58"/>
  <c r="M501" i="58"/>
  <c r="J547" i="58"/>
  <c r="J703" i="58"/>
  <c r="M491" i="58"/>
  <c r="N362" i="58"/>
  <c r="N826" i="58"/>
  <c r="J982" i="58"/>
  <c r="N282" i="58"/>
  <c r="N618" i="58"/>
  <c r="M774" i="58"/>
  <c r="J930" i="58"/>
  <c r="N203" i="58"/>
  <c r="K229" i="58"/>
  <c r="K722" i="58"/>
  <c r="N343" i="58"/>
  <c r="N395" i="58"/>
  <c r="N833" i="58"/>
  <c r="J989" i="58"/>
  <c r="N182" i="58"/>
  <c r="N52" i="58" s="1"/>
  <c r="N78" i="58" s="1"/>
  <c r="N104" i="58" s="1"/>
  <c r="N130" i="58" s="1"/>
  <c r="N156" i="58" s="1"/>
  <c r="J234" i="58"/>
  <c r="K571" i="58"/>
  <c r="K727" i="58"/>
  <c r="N883" i="58"/>
  <c r="M488" i="58"/>
  <c r="N359" i="58"/>
  <c r="J667" i="58"/>
  <c r="I260" i="58"/>
  <c r="N260" i="58"/>
  <c r="N597" i="58"/>
  <c r="I597" i="58"/>
  <c r="N753" i="58"/>
  <c r="I256" i="58"/>
  <c r="N256" i="58"/>
  <c r="N593" i="58"/>
  <c r="I593" i="58"/>
  <c r="N331" i="58"/>
  <c r="N383" i="58"/>
  <c r="N821" i="58"/>
  <c r="J977" i="58"/>
  <c r="N354" i="58"/>
  <c r="N818" i="58"/>
  <c r="N327" i="58"/>
  <c r="N379" i="58"/>
  <c r="N817" i="58"/>
  <c r="J973" i="58"/>
  <c r="N352" i="58"/>
  <c r="N816" i="58"/>
  <c r="J972" i="58"/>
  <c r="N325" i="58"/>
  <c r="N377" i="58"/>
  <c r="N815" i="58"/>
  <c r="N971" i="58"/>
  <c r="N365" i="58"/>
  <c r="J673" i="58"/>
  <c r="N324" i="58"/>
  <c r="N376" i="58"/>
  <c r="J658" i="58"/>
  <c r="N349" i="58"/>
  <c r="X241" i="12"/>
  <c r="AB241" i="12"/>
  <c r="K318" i="58"/>
  <c r="J653" i="58"/>
  <c r="K809" i="58"/>
  <c r="K313" i="58"/>
  <c r="N804" i="58"/>
  <c r="J960" i="58"/>
  <c r="N655" i="58"/>
  <c r="J811" i="58"/>
  <c r="K967" i="58"/>
  <c r="K312" i="58"/>
  <c r="J647" i="58"/>
  <c r="K803" i="58"/>
  <c r="N297" i="58"/>
  <c r="K632" i="58"/>
  <c r="K788" i="58"/>
  <c r="J637" i="58"/>
  <c r="K637" i="58"/>
  <c r="J793" i="58"/>
  <c r="K949" i="58"/>
  <c r="J633" i="58"/>
  <c r="K633" i="58"/>
  <c r="J789" i="58"/>
  <c r="K945" i="58"/>
  <c r="J249" i="58"/>
  <c r="J586" i="58"/>
  <c r="J317" i="58"/>
  <c r="N652" i="58"/>
  <c r="K964" i="58"/>
  <c r="I863" i="58"/>
  <c r="M863" i="58"/>
  <c r="J863" i="58"/>
  <c r="N863" i="58"/>
  <c r="K863" i="58"/>
  <c r="H863" i="58"/>
  <c r="L863" i="58"/>
  <c r="J707" i="58"/>
  <c r="N707" i="58"/>
  <c r="K707" i="58"/>
  <c r="H707" i="58"/>
  <c r="L707" i="58"/>
  <c r="I707" i="58"/>
  <c r="M707" i="58"/>
  <c r="K551" i="58"/>
  <c r="H551" i="58"/>
  <c r="L551" i="58"/>
  <c r="I551" i="58"/>
  <c r="M551" i="58"/>
  <c r="J551" i="58"/>
  <c r="N551" i="58"/>
  <c r="N449" i="58"/>
  <c r="J449" i="58"/>
  <c r="N424" i="58"/>
  <c r="J424" i="58"/>
  <c r="M449" i="58"/>
  <c r="I449" i="58"/>
  <c r="M424" i="58"/>
  <c r="I424" i="58"/>
  <c r="L449" i="58"/>
  <c r="H449" i="58"/>
  <c r="H424" i="58"/>
  <c r="K449" i="58"/>
  <c r="L424" i="58"/>
  <c r="K424" i="58"/>
  <c r="I891" i="58"/>
  <c r="M891" i="58"/>
  <c r="J891" i="58"/>
  <c r="N891" i="58"/>
  <c r="K891" i="58"/>
  <c r="H891" i="58"/>
  <c r="L891" i="58"/>
  <c r="H735" i="58"/>
  <c r="L735" i="58"/>
  <c r="I735" i="58"/>
  <c r="M735" i="58"/>
  <c r="J735" i="58"/>
  <c r="N735" i="58"/>
  <c r="K735" i="58"/>
  <c r="I579" i="58"/>
  <c r="M579" i="58"/>
  <c r="J579" i="58"/>
  <c r="N579" i="58"/>
  <c r="K579" i="58"/>
  <c r="H579" i="58"/>
  <c r="L579" i="58"/>
  <c r="K242" i="58"/>
  <c r="K216" i="58"/>
  <c r="N242" i="58"/>
  <c r="J242" i="58"/>
  <c r="N216" i="58"/>
  <c r="J216" i="58"/>
  <c r="M242" i="58"/>
  <c r="I242" i="58"/>
  <c r="M216" i="58"/>
  <c r="I216" i="58"/>
  <c r="L242" i="58"/>
  <c r="H242" i="58"/>
  <c r="L216" i="58"/>
  <c r="H216" i="58"/>
  <c r="M190" i="58"/>
  <c r="M60" i="58" s="1"/>
  <c r="M86" i="58" s="1"/>
  <c r="M112" i="58" s="1"/>
  <c r="M138" i="58" s="1"/>
  <c r="M164" i="58" s="1"/>
  <c r="I190" i="58"/>
  <c r="I60" i="58" s="1"/>
  <c r="I86" i="58" s="1"/>
  <c r="I112" i="58" s="1"/>
  <c r="I138" i="58" s="1"/>
  <c r="I164" i="58" s="1"/>
  <c r="L190" i="58"/>
  <c r="L60" i="58" s="1"/>
  <c r="L86" i="58" s="1"/>
  <c r="L112" i="58" s="1"/>
  <c r="L138" i="58" s="1"/>
  <c r="L164" i="58" s="1"/>
  <c r="H190" i="58"/>
  <c r="H60" i="58" s="1"/>
  <c r="H86" i="58" s="1"/>
  <c r="H112" i="58" s="1"/>
  <c r="H138" i="58" s="1"/>
  <c r="H164" i="58" s="1"/>
  <c r="K190" i="58"/>
  <c r="K60" i="58" s="1"/>
  <c r="K86" i="58" s="1"/>
  <c r="K112" i="58" s="1"/>
  <c r="K138" i="58" s="1"/>
  <c r="K164" i="58" s="1"/>
  <c r="N190" i="58"/>
  <c r="N60" i="58" s="1"/>
  <c r="N86" i="58" s="1"/>
  <c r="N112" i="58" s="1"/>
  <c r="N138" i="58" s="1"/>
  <c r="N164" i="58" s="1"/>
  <c r="J190" i="58"/>
  <c r="J60" i="58" s="1"/>
  <c r="J86" i="58" s="1"/>
  <c r="J112" i="58" s="1"/>
  <c r="J138" i="58" s="1"/>
  <c r="J164" i="58" s="1"/>
  <c r="N419" i="58"/>
  <c r="N434" i="58"/>
  <c r="N448" i="58"/>
  <c r="N444" i="58"/>
  <c r="N409" i="58"/>
  <c r="N423" i="58"/>
  <c r="K399" i="58"/>
  <c r="K373" i="58"/>
  <c r="K347" i="58"/>
  <c r="N399" i="58"/>
  <c r="J399" i="58"/>
  <c r="N373" i="58"/>
  <c r="J373" i="58"/>
  <c r="N347" i="58"/>
  <c r="J347" i="58"/>
  <c r="M399" i="58"/>
  <c r="I399" i="58"/>
  <c r="M373" i="58"/>
  <c r="I373" i="58"/>
  <c r="M347" i="58"/>
  <c r="I347" i="58"/>
  <c r="L399" i="58"/>
  <c r="H399" i="58"/>
  <c r="L373" i="58"/>
  <c r="H373" i="58"/>
  <c r="L347" i="58"/>
  <c r="H347" i="58"/>
  <c r="J917" i="58"/>
  <c r="J268" i="58"/>
  <c r="J758" i="58"/>
  <c r="J602" i="58"/>
  <c r="J265" i="58"/>
  <c r="J596" i="58"/>
  <c r="J259" i="58"/>
  <c r="J911" i="58"/>
  <c r="J262" i="58"/>
  <c r="J750" i="58"/>
  <c r="J594" i="58"/>
  <c r="J257" i="58"/>
  <c r="J761" i="58"/>
  <c r="J605" i="58"/>
  <c r="J914" i="58"/>
  <c r="J908" i="58"/>
  <c r="J752" i="58"/>
  <c r="J755" i="58"/>
  <c r="J599" i="58"/>
  <c r="J906" i="58"/>
  <c r="J976" i="58"/>
  <c r="N976" i="58"/>
  <c r="K976" i="58"/>
  <c r="H976" i="58"/>
  <c r="L976" i="58"/>
  <c r="I976" i="58"/>
  <c r="M976" i="58"/>
  <c r="J820" i="58"/>
  <c r="N820" i="58"/>
  <c r="K820" i="58"/>
  <c r="H820" i="58"/>
  <c r="L820" i="58"/>
  <c r="I820" i="58"/>
  <c r="M820" i="58"/>
  <c r="J664" i="58"/>
  <c r="N664" i="58"/>
  <c r="K664" i="58"/>
  <c r="H664" i="58"/>
  <c r="L664" i="58"/>
  <c r="I664" i="58"/>
  <c r="M664" i="58"/>
  <c r="K382" i="58"/>
  <c r="K356" i="58"/>
  <c r="K330" i="58"/>
  <c r="N382" i="58"/>
  <c r="J382" i="58"/>
  <c r="N356" i="58"/>
  <c r="J356" i="58"/>
  <c r="N330" i="58"/>
  <c r="J330" i="58"/>
  <c r="M382" i="58"/>
  <c r="I382" i="58"/>
  <c r="M356" i="58"/>
  <c r="I356" i="58"/>
  <c r="M330" i="58"/>
  <c r="I330" i="58"/>
  <c r="L382" i="58"/>
  <c r="H382" i="58"/>
  <c r="L356" i="58"/>
  <c r="H356" i="58"/>
  <c r="L330" i="58"/>
  <c r="H330" i="58"/>
  <c r="I887" i="58"/>
  <c r="M887" i="58"/>
  <c r="K888" i="58"/>
  <c r="J887" i="58"/>
  <c r="N887" i="58"/>
  <c r="H888" i="58"/>
  <c r="L888" i="58"/>
  <c r="K887" i="58"/>
  <c r="I888" i="58"/>
  <c r="M888" i="58"/>
  <c r="H887" i="58"/>
  <c r="L887" i="58"/>
  <c r="J888" i="58"/>
  <c r="N888" i="58"/>
  <c r="H731" i="58"/>
  <c r="L731" i="58"/>
  <c r="J732" i="58"/>
  <c r="N732" i="58"/>
  <c r="I731" i="58"/>
  <c r="M731" i="58"/>
  <c r="K732" i="58"/>
  <c r="J731" i="58"/>
  <c r="N731" i="58"/>
  <c r="H732" i="58"/>
  <c r="L732" i="58"/>
  <c r="K731" i="58"/>
  <c r="I732" i="58"/>
  <c r="M732" i="58"/>
  <c r="I575" i="58"/>
  <c r="M575" i="58"/>
  <c r="K576" i="58"/>
  <c r="J575" i="58"/>
  <c r="N575" i="58"/>
  <c r="H576" i="58"/>
  <c r="L576" i="58"/>
  <c r="K575" i="58"/>
  <c r="I576" i="58"/>
  <c r="M576" i="58"/>
  <c r="H575" i="58"/>
  <c r="L575" i="58"/>
  <c r="J576" i="58"/>
  <c r="N576" i="58"/>
  <c r="K213" i="58"/>
  <c r="K212" i="58"/>
  <c r="N213" i="58"/>
  <c r="J213" i="58"/>
  <c r="N212" i="58"/>
  <c r="J212" i="58"/>
  <c r="M213" i="58"/>
  <c r="I213" i="58"/>
  <c r="M212" i="58"/>
  <c r="I212" i="58"/>
  <c r="L213" i="58"/>
  <c r="H213" i="58"/>
  <c r="L212" i="58"/>
  <c r="H212" i="58"/>
  <c r="M187" i="58"/>
  <c r="M57" i="58" s="1"/>
  <c r="M83" i="58" s="1"/>
  <c r="M109" i="58" s="1"/>
  <c r="M135" i="58" s="1"/>
  <c r="M161" i="58" s="1"/>
  <c r="I187" i="58"/>
  <c r="I57" i="58" s="1"/>
  <c r="I83" i="58" s="1"/>
  <c r="I109" i="58" s="1"/>
  <c r="I135" i="58" s="1"/>
  <c r="I161" i="58" s="1"/>
  <c r="M186" i="58"/>
  <c r="M56" i="58" s="1"/>
  <c r="M82" i="58" s="1"/>
  <c r="M108" i="58" s="1"/>
  <c r="M134" i="58" s="1"/>
  <c r="M160" i="58" s="1"/>
  <c r="I186" i="58"/>
  <c r="I56" i="58" s="1"/>
  <c r="I82" i="58" s="1"/>
  <c r="I108" i="58" s="1"/>
  <c r="I134" i="58" s="1"/>
  <c r="I160" i="58" s="1"/>
  <c r="L187" i="58"/>
  <c r="L57" i="58" s="1"/>
  <c r="L83" i="58" s="1"/>
  <c r="L109" i="58" s="1"/>
  <c r="L135" i="58" s="1"/>
  <c r="L161" i="58" s="1"/>
  <c r="H187" i="58"/>
  <c r="H57" i="58" s="1"/>
  <c r="H83" i="58" s="1"/>
  <c r="H109" i="58" s="1"/>
  <c r="H135" i="58" s="1"/>
  <c r="H161" i="58" s="1"/>
  <c r="L186" i="58"/>
  <c r="L56" i="58" s="1"/>
  <c r="L82" i="58" s="1"/>
  <c r="L108" i="58" s="1"/>
  <c r="L134" i="58" s="1"/>
  <c r="L160" i="58" s="1"/>
  <c r="H186" i="58"/>
  <c r="H56" i="58" s="1"/>
  <c r="H82" i="58" s="1"/>
  <c r="H108" i="58" s="1"/>
  <c r="H134" i="58" s="1"/>
  <c r="H160" i="58" s="1"/>
  <c r="K187" i="58"/>
  <c r="K57" i="58" s="1"/>
  <c r="K83" i="58" s="1"/>
  <c r="K109" i="58" s="1"/>
  <c r="K135" i="58" s="1"/>
  <c r="K161" i="58" s="1"/>
  <c r="K186" i="58"/>
  <c r="K56" i="58" s="1"/>
  <c r="K82" i="58" s="1"/>
  <c r="K108" i="58" s="1"/>
  <c r="K134" i="58" s="1"/>
  <c r="K160" i="58" s="1"/>
  <c r="N187" i="58"/>
  <c r="N57" i="58" s="1"/>
  <c r="N83" i="58" s="1"/>
  <c r="N109" i="58" s="1"/>
  <c r="N135" i="58" s="1"/>
  <c r="N161" i="58" s="1"/>
  <c r="J187" i="58"/>
  <c r="J57" i="58" s="1"/>
  <c r="J83" i="58" s="1"/>
  <c r="J109" i="58" s="1"/>
  <c r="J135" i="58" s="1"/>
  <c r="J161" i="58" s="1"/>
  <c r="N186" i="58"/>
  <c r="N56" i="58" s="1"/>
  <c r="N82" i="58" s="1"/>
  <c r="N108" i="58" s="1"/>
  <c r="N134" i="58" s="1"/>
  <c r="N160" i="58" s="1"/>
  <c r="J186" i="58"/>
  <c r="J56" i="58" s="1"/>
  <c r="J82" i="58" s="1"/>
  <c r="J108" i="58" s="1"/>
  <c r="J134" i="58" s="1"/>
  <c r="J160" i="58" s="1"/>
  <c r="N786" i="58"/>
  <c r="N630" i="58"/>
  <c r="N294" i="58"/>
  <c r="N942" i="58"/>
  <c r="N784" i="58"/>
  <c r="N628" i="58"/>
  <c r="N292" i="58"/>
  <c r="N940" i="58"/>
  <c r="N844" i="58"/>
  <c r="N688" i="58"/>
  <c r="N532" i="58"/>
  <c r="N704" i="58"/>
  <c r="N548" i="58"/>
  <c r="N846" i="58"/>
  <c r="N690" i="58"/>
  <c r="N534" i="58"/>
  <c r="N860" i="58"/>
  <c r="N849" i="58"/>
  <c r="N693" i="58"/>
  <c r="N537" i="58"/>
  <c r="N865" i="58"/>
  <c r="N709" i="58"/>
  <c r="N553" i="58"/>
  <c r="N847" i="58"/>
  <c r="N691" i="58"/>
  <c r="N535" i="58"/>
  <c r="N852" i="58"/>
  <c r="N696" i="58"/>
  <c r="N540" i="58"/>
  <c r="N446" i="58"/>
  <c r="J446" i="58"/>
  <c r="N421" i="58"/>
  <c r="J421" i="58"/>
  <c r="M446" i="58"/>
  <c r="I446" i="58"/>
  <c r="M421" i="58"/>
  <c r="I421" i="58"/>
  <c r="L446" i="58"/>
  <c r="H446" i="58"/>
  <c r="L421" i="58"/>
  <c r="K421" i="58"/>
  <c r="H421" i="58"/>
  <c r="K446" i="58"/>
  <c r="I926" i="58"/>
  <c r="M926" i="58"/>
  <c r="J926" i="58"/>
  <c r="L926" i="58"/>
  <c r="N926" i="58"/>
  <c r="H926" i="58"/>
  <c r="K926" i="58"/>
  <c r="J770" i="58"/>
  <c r="N770" i="58"/>
  <c r="K770" i="58"/>
  <c r="H770" i="58"/>
  <c r="L770" i="58"/>
  <c r="I770" i="58"/>
  <c r="M770" i="58"/>
  <c r="K614" i="58"/>
  <c r="H614" i="58"/>
  <c r="L614" i="58"/>
  <c r="I614" i="58"/>
  <c r="M614" i="58"/>
  <c r="J614" i="58"/>
  <c r="N614" i="58"/>
  <c r="K278" i="58"/>
  <c r="N278" i="58"/>
  <c r="J278" i="58"/>
  <c r="M278" i="58"/>
  <c r="I278" i="58"/>
  <c r="L278" i="58"/>
  <c r="H278" i="58"/>
  <c r="I867" i="58"/>
  <c r="M867" i="58"/>
  <c r="J867" i="58"/>
  <c r="N867" i="58"/>
  <c r="K867" i="58"/>
  <c r="H867" i="58"/>
  <c r="L867" i="58"/>
  <c r="J711" i="58"/>
  <c r="N711" i="58"/>
  <c r="K711" i="58"/>
  <c r="H711" i="58"/>
  <c r="L711" i="58"/>
  <c r="I711" i="58"/>
  <c r="M711" i="58"/>
  <c r="K555" i="58"/>
  <c r="H555" i="58"/>
  <c r="L555" i="58"/>
  <c r="I555" i="58"/>
  <c r="M555" i="58"/>
  <c r="J555" i="58"/>
  <c r="N555" i="58"/>
  <c r="H937" i="58"/>
  <c r="L937" i="58"/>
  <c r="J938" i="58"/>
  <c r="N938" i="58"/>
  <c r="I937" i="58"/>
  <c r="M937" i="58"/>
  <c r="K938" i="58"/>
  <c r="J937" i="58"/>
  <c r="N937" i="58"/>
  <c r="H938" i="58"/>
  <c r="L938" i="58"/>
  <c r="K937" i="58"/>
  <c r="I938" i="58"/>
  <c r="M938" i="58"/>
  <c r="H781" i="58"/>
  <c r="L781" i="58"/>
  <c r="J782" i="58"/>
  <c r="N782" i="58"/>
  <c r="I781" i="58"/>
  <c r="M781" i="58"/>
  <c r="K782" i="58"/>
  <c r="J781" i="58"/>
  <c r="N781" i="58"/>
  <c r="H782" i="58"/>
  <c r="L782" i="58"/>
  <c r="K781" i="58"/>
  <c r="I782" i="58"/>
  <c r="M782" i="58"/>
  <c r="I625" i="58"/>
  <c r="M625" i="58"/>
  <c r="K626" i="58"/>
  <c r="J625" i="58"/>
  <c r="N625" i="58"/>
  <c r="H626" i="58"/>
  <c r="L626" i="58"/>
  <c r="K625" i="58"/>
  <c r="I626" i="58"/>
  <c r="M626" i="58"/>
  <c r="H625" i="58"/>
  <c r="L625" i="58"/>
  <c r="J626" i="58"/>
  <c r="N626" i="58"/>
  <c r="K290" i="58"/>
  <c r="K289" i="58"/>
  <c r="N290" i="58"/>
  <c r="J290" i="58"/>
  <c r="N289" i="58"/>
  <c r="J289" i="58"/>
  <c r="M290" i="58"/>
  <c r="I290" i="58"/>
  <c r="M289" i="58"/>
  <c r="I289" i="58"/>
  <c r="L290" i="58"/>
  <c r="H290" i="58"/>
  <c r="L289" i="58"/>
  <c r="H289" i="58"/>
  <c r="J370" i="58"/>
  <c r="J836" i="58"/>
  <c r="J398" i="58"/>
  <c r="J346" i="58"/>
  <c r="J679" i="58"/>
  <c r="J678" i="58"/>
  <c r="J992" i="58"/>
  <c r="J835" i="58"/>
  <c r="J371" i="58"/>
  <c r="J834" i="58"/>
  <c r="J396" i="58"/>
  <c r="J344" i="58"/>
  <c r="J372" i="58"/>
  <c r="J991" i="58"/>
  <c r="J990" i="58"/>
  <c r="J680" i="58"/>
  <c r="J397" i="58"/>
  <c r="J345" i="58"/>
  <c r="J524" i="58"/>
  <c r="J499" i="58"/>
  <c r="J474" i="58"/>
  <c r="M524" i="58"/>
  <c r="I524" i="58"/>
  <c r="M499" i="58"/>
  <c r="I499" i="58"/>
  <c r="M474" i="58"/>
  <c r="I474" i="58"/>
  <c r="L524" i="58"/>
  <c r="H524" i="58"/>
  <c r="L499" i="58"/>
  <c r="H499" i="58"/>
  <c r="L474" i="58"/>
  <c r="H474" i="58"/>
  <c r="K524" i="58"/>
  <c r="K499" i="58"/>
  <c r="K474" i="58"/>
  <c r="K915" i="58"/>
  <c r="H915" i="58"/>
  <c r="L915" i="58"/>
  <c r="I915" i="58"/>
  <c r="M915" i="58"/>
  <c r="J915" i="58"/>
  <c r="N915" i="58"/>
  <c r="J759" i="58"/>
  <c r="N759" i="58"/>
  <c r="K759" i="58"/>
  <c r="H759" i="58"/>
  <c r="L759" i="58"/>
  <c r="I759" i="58"/>
  <c r="M759" i="58"/>
  <c r="K603" i="58"/>
  <c r="H603" i="58"/>
  <c r="L603" i="58"/>
  <c r="I603" i="58"/>
  <c r="M603" i="58"/>
  <c r="J603" i="58"/>
  <c r="N603" i="58"/>
  <c r="K266" i="58"/>
  <c r="N266" i="58"/>
  <c r="J266" i="58"/>
  <c r="M266" i="58"/>
  <c r="I266" i="58"/>
  <c r="L266" i="58"/>
  <c r="H266" i="58"/>
  <c r="K875" i="58"/>
  <c r="H875" i="58"/>
  <c r="L875" i="58"/>
  <c r="J875" i="58"/>
  <c r="N875" i="58"/>
  <c r="I875" i="58"/>
  <c r="M875" i="58"/>
  <c r="H719" i="58"/>
  <c r="L719" i="58"/>
  <c r="I719" i="58"/>
  <c r="M719" i="58"/>
  <c r="J719" i="58"/>
  <c r="N719" i="58"/>
  <c r="K719" i="58"/>
  <c r="I563" i="58"/>
  <c r="M563" i="58"/>
  <c r="J563" i="58"/>
  <c r="N563" i="58"/>
  <c r="K563" i="58"/>
  <c r="H563" i="58"/>
  <c r="L563" i="58"/>
  <c r="K226" i="58"/>
  <c r="N226" i="58"/>
  <c r="J226" i="58"/>
  <c r="M226" i="58"/>
  <c r="I226" i="58"/>
  <c r="L226" i="58"/>
  <c r="H226" i="58"/>
  <c r="M200" i="58"/>
  <c r="I200" i="58"/>
  <c r="M174" i="58"/>
  <c r="M44" i="58" s="1"/>
  <c r="M70" i="58" s="1"/>
  <c r="M96" i="58" s="1"/>
  <c r="M122" i="58" s="1"/>
  <c r="M148" i="58" s="1"/>
  <c r="I174" i="58"/>
  <c r="I44" i="58" s="1"/>
  <c r="I70" i="58" s="1"/>
  <c r="I96" i="58" s="1"/>
  <c r="I122" i="58" s="1"/>
  <c r="I148" i="58" s="1"/>
  <c r="L200" i="58"/>
  <c r="H200" i="58"/>
  <c r="L174" i="58"/>
  <c r="L44" i="58" s="1"/>
  <c r="L70" i="58" s="1"/>
  <c r="L96" i="58" s="1"/>
  <c r="L122" i="58" s="1"/>
  <c r="L148" i="58" s="1"/>
  <c r="H174" i="58"/>
  <c r="H44" i="58" s="1"/>
  <c r="H70" i="58" s="1"/>
  <c r="H96" i="58" s="1"/>
  <c r="H122" i="58" s="1"/>
  <c r="H148" i="58" s="1"/>
  <c r="K200" i="58"/>
  <c r="K174" i="58"/>
  <c r="K44" i="58" s="1"/>
  <c r="K70" i="58" s="1"/>
  <c r="K96" i="58" s="1"/>
  <c r="K122" i="58" s="1"/>
  <c r="K148" i="58" s="1"/>
  <c r="N200" i="58"/>
  <c r="J200" i="58"/>
  <c r="N174" i="58"/>
  <c r="N44" i="58" s="1"/>
  <c r="N70" i="58" s="1"/>
  <c r="N96" i="58" s="1"/>
  <c r="N122" i="58" s="1"/>
  <c r="N148" i="58" s="1"/>
  <c r="J174" i="58"/>
  <c r="J44" i="58" s="1"/>
  <c r="J70" i="58" s="1"/>
  <c r="J96" i="58" s="1"/>
  <c r="J122" i="58" s="1"/>
  <c r="J148" i="58" s="1"/>
  <c r="J304" i="58"/>
  <c r="J947" i="58"/>
  <c r="J796" i="58"/>
  <c r="J305" i="58"/>
  <c r="J300" i="58"/>
  <c r="J963" i="58"/>
  <c r="J962" i="58"/>
  <c r="J651" i="58"/>
  <c r="J650" i="58"/>
  <c r="J315" i="58"/>
  <c r="J952" i="58"/>
  <c r="J795" i="58"/>
  <c r="J639" i="58"/>
  <c r="J640" i="58"/>
  <c r="J951" i="58"/>
  <c r="J791" i="58"/>
  <c r="J635" i="58"/>
  <c r="J807" i="58"/>
  <c r="J806" i="58"/>
  <c r="J316" i="58"/>
  <c r="N914" i="58"/>
  <c r="N265" i="58"/>
  <c r="N908" i="58"/>
  <c r="N259" i="58"/>
  <c r="N755" i="58"/>
  <c r="N599" i="58"/>
  <c r="N262" i="58"/>
  <c r="N906" i="58"/>
  <c r="N750" i="58"/>
  <c r="N257" i="58"/>
  <c r="N917" i="58"/>
  <c r="N758" i="58"/>
  <c r="N602" i="58"/>
  <c r="N596" i="58"/>
  <c r="N911" i="58"/>
  <c r="N594" i="58"/>
  <c r="N752" i="58"/>
  <c r="N761" i="58"/>
  <c r="N605" i="58"/>
  <c r="N268" i="58"/>
  <c r="K244" i="58"/>
  <c r="K218" i="58"/>
  <c r="N244" i="58"/>
  <c r="J244" i="58"/>
  <c r="N218" i="58"/>
  <c r="J218" i="58"/>
  <c r="M244" i="58"/>
  <c r="I244" i="58"/>
  <c r="M218" i="58"/>
  <c r="I218" i="58"/>
  <c r="L244" i="58"/>
  <c r="H244" i="58"/>
  <c r="L218" i="58"/>
  <c r="H218" i="58"/>
  <c r="M192" i="58"/>
  <c r="M62" i="58" s="1"/>
  <c r="M88" i="58" s="1"/>
  <c r="M114" i="58" s="1"/>
  <c r="M140" i="58" s="1"/>
  <c r="M166" i="58" s="1"/>
  <c r="I192" i="58"/>
  <c r="I62" i="58" s="1"/>
  <c r="I88" i="58" s="1"/>
  <c r="I114" i="58" s="1"/>
  <c r="I140" i="58" s="1"/>
  <c r="I166" i="58" s="1"/>
  <c r="L192" i="58"/>
  <c r="L62" i="58" s="1"/>
  <c r="L88" i="58" s="1"/>
  <c r="L114" i="58" s="1"/>
  <c r="L140" i="58" s="1"/>
  <c r="L166" i="58" s="1"/>
  <c r="H192" i="58"/>
  <c r="H62" i="58" s="1"/>
  <c r="H88" i="58" s="1"/>
  <c r="H114" i="58" s="1"/>
  <c r="H140" i="58" s="1"/>
  <c r="H166" i="58" s="1"/>
  <c r="K192" i="58"/>
  <c r="K62" i="58" s="1"/>
  <c r="K88" i="58" s="1"/>
  <c r="K114" i="58" s="1"/>
  <c r="K140" i="58" s="1"/>
  <c r="K166" i="58" s="1"/>
  <c r="N192" i="58"/>
  <c r="N62" i="58" s="1"/>
  <c r="N88" i="58" s="1"/>
  <c r="N114" i="58" s="1"/>
  <c r="N140" i="58" s="1"/>
  <c r="N166" i="58" s="1"/>
  <c r="J192" i="58"/>
  <c r="J62" i="58" s="1"/>
  <c r="J88" i="58" s="1"/>
  <c r="J114" i="58" s="1"/>
  <c r="J140" i="58" s="1"/>
  <c r="J166" i="58" s="1"/>
  <c r="K866" i="58"/>
  <c r="H866" i="58"/>
  <c r="L866" i="58"/>
  <c r="I866" i="58"/>
  <c r="M866" i="58"/>
  <c r="J866" i="58"/>
  <c r="N866" i="58"/>
  <c r="H710" i="58"/>
  <c r="L710" i="58"/>
  <c r="I710" i="58"/>
  <c r="M710" i="58"/>
  <c r="J710" i="58"/>
  <c r="N710" i="58"/>
  <c r="K710" i="58"/>
  <c r="I554" i="58"/>
  <c r="M554" i="58"/>
  <c r="J554" i="58"/>
  <c r="N554" i="58"/>
  <c r="K554" i="58"/>
  <c r="H554" i="58"/>
  <c r="L554" i="58"/>
  <c r="J522" i="58"/>
  <c r="J497" i="58"/>
  <c r="J472" i="58"/>
  <c r="M522" i="58"/>
  <c r="I522" i="58"/>
  <c r="M497" i="58"/>
  <c r="I497" i="58"/>
  <c r="M472" i="58"/>
  <c r="I472" i="58"/>
  <c r="L522" i="58"/>
  <c r="H522" i="58"/>
  <c r="L497" i="58"/>
  <c r="H497" i="58"/>
  <c r="L472" i="58"/>
  <c r="H472" i="58"/>
  <c r="K522" i="58"/>
  <c r="K497" i="58"/>
  <c r="K472" i="58"/>
  <c r="J507" i="58"/>
  <c r="J482" i="58"/>
  <c r="J457" i="58"/>
  <c r="M507" i="58"/>
  <c r="I507" i="58"/>
  <c r="M482" i="58"/>
  <c r="I482" i="58"/>
  <c r="M457" i="58"/>
  <c r="I457" i="58"/>
  <c r="L507" i="58"/>
  <c r="H507" i="58"/>
  <c r="L482" i="58"/>
  <c r="H482" i="58"/>
  <c r="L457" i="58"/>
  <c r="H457" i="58"/>
  <c r="K507" i="58"/>
  <c r="K482" i="58"/>
  <c r="K457" i="58"/>
  <c r="B66" i="26"/>
  <c r="C85" i="12" s="1"/>
  <c r="M106" i="12"/>
  <c r="L156" i="12"/>
  <c r="M58" i="12"/>
  <c r="L78" i="12"/>
  <c r="AF21" i="26"/>
  <c r="Y40" i="12" s="1"/>
  <c r="AG99" i="26"/>
  <c r="AH114" i="26"/>
  <c r="AF88" i="26"/>
  <c r="Y107" i="12" s="1"/>
  <c r="AE73" i="26"/>
  <c r="X92" i="12" s="1"/>
  <c r="AG52" i="26"/>
  <c r="AE52" i="26"/>
  <c r="X71" i="12" s="1"/>
  <c r="AE17" i="26"/>
  <c r="X36" i="12" s="1"/>
  <c r="AG120" i="26"/>
  <c r="AF135" i="26"/>
  <c r="Y154" i="12" s="1"/>
  <c r="AE120" i="26"/>
  <c r="X139" i="12" s="1"/>
  <c r="AG104" i="26"/>
  <c r="AH83" i="26"/>
  <c r="AG68" i="26"/>
  <c r="AE78" i="26"/>
  <c r="X97" i="12" s="1"/>
  <c r="AH36" i="26"/>
  <c r="AH15" i="26"/>
  <c r="AH42" i="26"/>
  <c r="AF42" i="26"/>
  <c r="Y61" i="12" s="1"/>
  <c r="K901" i="58"/>
  <c r="H901" i="58"/>
  <c r="L901" i="58"/>
  <c r="I901" i="58"/>
  <c r="M901" i="58"/>
  <c r="J901" i="58"/>
  <c r="N901" i="58"/>
  <c r="J745" i="58"/>
  <c r="N745" i="58"/>
  <c r="K745" i="58"/>
  <c r="I745" i="58"/>
  <c r="M745" i="58"/>
  <c r="H745" i="58"/>
  <c r="L745" i="58"/>
  <c r="K589" i="58"/>
  <c r="H589" i="58"/>
  <c r="L589" i="58"/>
  <c r="I589" i="58"/>
  <c r="M589" i="58"/>
  <c r="J589" i="58"/>
  <c r="N589" i="58"/>
  <c r="K252" i="58"/>
  <c r="N252" i="58"/>
  <c r="J252" i="58"/>
  <c r="M252" i="58"/>
  <c r="I252" i="58"/>
  <c r="L252" i="58"/>
  <c r="H252" i="58"/>
  <c r="H49" i="51"/>
  <c r="D49" i="51"/>
  <c r="Y241" i="12"/>
  <c r="AC241" i="12"/>
  <c r="N310" i="58"/>
  <c r="N801" i="58"/>
  <c r="J957" i="58"/>
  <c r="N306" i="58"/>
  <c r="K641" i="58"/>
  <c r="J641" i="58"/>
  <c r="N797" i="58"/>
  <c r="J953" i="58"/>
  <c r="N308" i="58"/>
  <c r="N799" i="58"/>
  <c r="J955" i="58"/>
  <c r="N401" i="58"/>
  <c r="N426" i="58"/>
  <c r="N301" i="58"/>
  <c r="K636" i="58"/>
  <c r="K792" i="58"/>
  <c r="N428" i="58"/>
  <c r="K314" i="58"/>
  <c r="J649" i="58"/>
  <c r="K805" i="58"/>
  <c r="N267" i="58"/>
  <c r="N916" i="58"/>
  <c r="K183" i="58"/>
  <c r="K53" i="58" s="1"/>
  <c r="K79" i="58" s="1"/>
  <c r="K105" i="58" s="1"/>
  <c r="K131" i="58" s="1"/>
  <c r="K157" i="58" s="1"/>
  <c r="J209" i="58"/>
  <c r="K235" i="58"/>
  <c r="K728" i="58"/>
  <c r="N884" i="58"/>
  <c r="N857" i="58"/>
  <c r="N334" i="58"/>
  <c r="N386" i="58"/>
  <c r="J668" i="58"/>
  <c r="N440" i="58"/>
  <c r="J552" i="58"/>
  <c r="J708" i="58"/>
  <c r="J864" i="58"/>
  <c r="M495" i="58"/>
  <c r="N366" i="58"/>
  <c r="N830" i="58"/>
  <c r="J986" i="58"/>
  <c r="N285" i="58"/>
  <c r="M933" i="58"/>
  <c r="K180" i="58"/>
  <c r="K50" i="58" s="1"/>
  <c r="K76" i="58" s="1"/>
  <c r="K102" i="58" s="1"/>
  <c r="K128" i="58" s="1"/>
  <c r="K154" i="58" s="1"/>
  <c r="J232" i="58"/>
  <c r="K232" i="58"/>
  <c r="N569" i="58"/>
  <c r="N725" i="58"/>
  <c r="K881" i="58"/>
  <c r="J698" i="58"/>
  <c r="N414" i="58"/>
  <c r="N435" i="58"/>
  <c r="N279" i="58"/>
  <c r="M927" i="58"/>
  <c r="N276" i="58"/>
  <c r="N612" i="58"/>
  <c r="M768" i="58"/>
  <c r="N768" i="58"/>
  <c r="M924" i="58"/>
  <c r="N275" i="58"/>
  <c r="N274" i="58"/>
  <c r="N610" i="58"/>
  <c r="M766" i="58"/>
  <c r="N766" i="58"/>
  <c r="N273" i="58"/>
  <c r="N921" i="58"/>
  <c r="N287" i="58"/>
  <c r="M935" i="58"/>
  <c r="N272" i="58"/>
  <c r="N608" i="58"/>
  <c r="M764" i="58"/>
  <c r="N764" i="58"/>
  <c r="N271" i="58"/>
  <c r="N919" i="58"/>
  <c r="AB208" i="12"/>
  <c r="X208" i="12"/>
  <c r="V211" i="12"/>
  <c r="Z211" i="12"/>
  <c r="W241" i="12"/>
  <c r="AA241" i="12"/>
  <c r="AB347" i="12"/>
  <c r="X347" i="12"/>
  <c r="Y245" i="12"/>
  <c r="AC245" i="12"/>
  <c r="J255" i="58"/>
  <c r="J592" i="58"/>
  <c r="N748" i="58"/>
  <c r="J253" i="58"/>
  <c r="J590" i="58"/>
  <c r="N746" i="58"/>
  <c r="N442" i="58"/>
  <c r="N246" i="58"/>
  <c r="N894" i="58"/>
  <c r="N307" i="58"/>
  <c r="J642" i="58"/>
  <c r="K798" i="58"/>
  <c r="J299" i="58"/>
  <c r="J634" i="58"/>
  <c r="J790" i="58"/>
  <c r="K946" i="58"/>
  <c r="N899" i="58"/>
  <c r="J896" i="58"/>
  <c r="J583" i="58"/>
  <c r="J739" i="58"/>
  <c r="K646" i="58"/>
  <c r="N958" i="58"/>
  <c r="J286" i="58"/>
  <c r="M622" i="58"/>
  <c r="M934" i="58"/>
  <c r="N934" i="58"/>
  <c r="N233" i="58"/>
  <c r="J570" i="58"/>
  <c r="K570" i="58"/>
  <c r="J726" i="58"/>
  <c r="N543" i="58"/>
  <c r="N699" i="58"/>
  <c r="M462" i="58"/>
  <c r="J332" i="58"/>
  <c r="J384" i="58"/>
  <c r="N666" i="58"/>
  <c r="J822" i="58"/>
  <c r="K188" i="58"/>
  <c r="K58" i="58" s="1"/>
  <c r="K84" i="58" s="1"/>
  <c r="K110" i="58" s="1"/>
  <c r="K136" i="58" s="1"/>
  <c r="K162" i="58" s="1"/>
  <c r="J239" i="58"/>
  <c r="K239" i="58"/>
  <c r="J577" i="58"/>
  <c r="J733" i="58"/>
  <c r="J549" i="58"/>
  <c r="J705" i="58"/>
  <c r="M518" i="58"/>
  <c r="J363" i="58"/>
  <c r="N671" i="58"/>
  <c r="J827" i="58"/>
  <c r="J283" i="58"/>
  <c r="J619" i="58"/>
  <c r="J775" i="58"/>
  <c r="J204" i="58"/>
  <c r="J879" i="58"/>
  <c r="N538" i="58"/>
  <c r="N694" i="58"/>
  <c r="N258" i="58"/>
  <c r="N595" i="58"/>
  <c r="N751" i="58"/>
  <c r="N254" i="58"/>
  <c r="N591" i="58"/>
  <c r="N747" i="58"/>
  <c r="N202" i="58"/>
  <c r="K228" i="58"/>
  <c r="N565" i="58"/>
  <c r="N721" i="58"/>
  <c r="J877" i="58"/>
  <c r="N173" i="58"/>
  <c r="N43" i="58" s="1"/>
  <c r="N69" i="58" s="1"/>
  <c r="N95" i="58" s="1"/>
  <c r="N121" i="58" s="1"/>
  <c r="N147" i="58" s="1"/>
  <c r="K173" i="58"/>
  <c r="K43" i="58" s="1"/>
  <c r="K69" i="58" s="1"/>
  <c r="K95" i="58" s="1"/>
  <c r="K121" i="58" s="1"/>
  <c r="K147" i="58" s="1"/>
  <c r="N225" i="58"/>
  <c r="N562" i="58"/>
  <c r="N718" i="58"/>
  <c r="N874" i="58"/>
  <c r="N198" i="58"/>
  <c r="K224" i="58"/>
  <c r="N561" i="58"/>
  <c r="N717" i="58"/>
  <c r="J873" i="58"/>
  <c r="N171" i="58"/>
  <c r="N41" i="58" s="1"/>
  <c r="N67" i="58" s="1"/>
  <c r="N93" i="58" s="1"/>
  <c r="N119" i="58" s="1"/>
  <c r="N145" i="58" s="1"/>
  <c r="K171" i="58"/>
  <c r="K41" i="58" s="1"/>
  <c r="K67" i="58" s="1"/>
  <c r="K93" i="58" s="1"/>
  <c r="K119" i="58" s="1"/>
  <c r="K145" i="58" s="1"/>
  <c r="N223" i="58"/>
  <c r="N560" i="58"/>
  <c r="N716" i="58"/>
  <c r="K872" i="58"/>
  <c r="N872" i="58"/>
  <c r="N196" i="58"/>
  <c r="K222" i="58"/>
  <c r="N559" i="58"/>
  <c r="N715" i="58"/>
  <c r="J871" i="58"/>
  <c r="N184" i="58"/>
  <c r="N54" i="58" s="1"/>
  <c r="N80" i="58" s="1"/>
  <c r="N106" i="58" s="1"/>
  <c r="N132" i="58" s="1"/>
  <c r="N158" i="58" s="1"/>
  <c r="J236" i="58"/>
  <c r="K573" i="58"/>
  <c r="K729" i="58"/>
  <c r="N885" i="58"/>
  <c r="N195" i="58"/>
  <c r="K221" i="58"/>
  <c r="K714" i="58"/>
  <c r="N168" i="58"/>
  <c r="N38" i="58" s="1"/>
  <c r="N64" i="58" s="1"/>
  <c r="N90" i="58" s="1"/>
  <c r="N116" i="58" s="1"/>
  <c r="N142" i="58" s="1"/>
  <c r="K168" i="58"/>
  <c r="K38" i="58" s="1"/>
  <c r="K64" i="58" s="1"/>
  <c r="K90" i="58" s="1"/>
  <c r="K116" i="58" s="1"/>
  <c r="K142" i="58" s="1"/>
  <c r="N220" i="58"/>
  <c r="K557" i="58"/>
  <c r="K713" i="58"/>
  <c r="W345" i="12"/>
  <c r="AA345" i="12"/>
  <c r="AA347" i="12"/>
  <c r="W347" i="12"/>
  <c r="K303" i="58"/>
  <c r="N638" i="58"/>
  <c r="N794" i="58"/>
  <c r="J950" i="58"/>
  <c r="J248" i="58"/>
  <c r="J897" i="58"/>
  <c r="J261" i="58"/>
  <c r="J598" i="58"/>
  <c r="J754" i="58"/>
  <c r="J309" i="58"/>
  <c r="J644" i="58"/>
  <c r="J800" i="58"/>
  <c r="K956" i="58"/>
  <c r="J11" i="58"/>
  <c r="K9" i="58"/>
  <c r="K19" i="58" s="1"/>
  <c r="K18" i="58"/>
  <c r="K17" i="58"/>
  <c r="K10" i="58"/>
  <c r="K20" i="58" s="1"/>
  <c r="N338" i="58"/>
  <c r="N390" i="58"/>
  <c r="J672" i="58"/>
  <c r="N179" i="58"/>
  <c r="N49" i="58" s="1"/>
  <c r="N75" i="58" s="1"/>
  <c r="N101" i="58" s="1"/>
  <c r="N127" i="58" s="1"/>
  <c r="N153" i="58" s="1"/>
  <c r="N231" i="58"/>
  <c r="N568" i="58"/>
  <c r="N724" i="58"/>
  <c r="J697" i="58"/>
  <c r="J853" i="58"/>
  <c r="M485" i="58"/>
  <c r="I914" i="58"/>
  <c r="I265" i="58"/>
  <c r="I908" i="58"/>
  <c r="I259" i="58"/>
  <c r="I599" i="58"/>
  <c r="I262" i="58"/>
  <c r="I906" i="58"/>
  <c r="I257" i="58"/>
  <c r="I917" i="58"/>
  <c r="I758" i="58"/>
  <c r="I602" i="58"/>
  <c r="I596" i="58"/>
  <c r="I761" i="58"/>
  <c r="I911" i="58"/>
  <c r="I750" i="58"/>
  <c r="I594" i="58"/>
  <c r="I752" i="58"/>
  <c r="I605" i="58"/>
  <c r="I268" i="58"/>
  <c r="I755" i="58"/>
  <c r="N291" i="58"/>
  <c r="M939" i="58"/>
  <c r="J185" i="58"/>
  <c r="J55" i="58" s="1"/>
  <c r="J81" i="58" s="1"/>
  <c r="J107" i="58" s="1"/>
  <c r="J133" i="58" s="1"/>
  <c r="J159" i="58" s="1"/>
  <c r="N237" i="58"/>
  <c r="K211" i="58"/>
  <c r="N574" i="58"/>
  <c r="N730" i="58"/>
  <c r="N858" i="58"/>
  <c r="M490" i="58"/>
  <c r="N361" i="58"/>
  <c r="J669" i="58"/>
  <c r="N281" i="58"/>
  <c r="M929" i="58"/>
  <c r="J695" i="58"/>
  <c r="N441" i="58"/>
  <c r="N412" i="58"/>
  <c r="M509" i="58"/>
  <c r="M455" i="58"/>
  <c r="M479" i="58"/>
  <c r="M503" i="58"/>
  <c r="M452" i="58"/>
  <c r="M476" i="58"/>
  <c r="M466" i="58"/>
  <c r="J336" i="58"/>
  <c r="J388" i="58"/>
  <c r="N670" i="58"/>
  <c r="J826" i="58"/>
  <c r="M282" i="58"/>
  <c r="J618" i="58"/>
  <c r="J774" i="58"/>
  <c r="J177" i="58"/>
  <c r="J47" i="58" s="1"/>
  <c r="J73" i="58" s="1"/>
  <c r="J99" i="58" s="1"/>
  <c r="J125" i="58" s="1"/>
  <c r="J151" i="58" s="1"/>
  <c r="K203" i="58"/>
  <c r="J229" i="58"/>
  <c r="K878" i="58"/>
  <c r="N878" i="58"/>
  <c r="J369" i="58"/>
  <c r="N677" i="58"/>
  <c r="J833" i="58"/>
  <c r="M624" i="58"/>
  <c r="M936" i="58"/>
  <c r="N936" i="58"/>
  <c r="J883" i="58"/>
  <c r="N544" i="58"/>
  <c r="J700" i="58"/>
  <c r="M463" i="58"/>
  <c r="J333" i="58"/>
  <c r="J385" i="58"/>
  <c r="N979" i="58"/>
  <c r="J597" i="58"/>
  <c r="I753" i="58"/>
  <c r="J753" i="58"/>
  <c r="J593" i="58"/>
  <c r="J749" i="58"/>
  <c r="J357" i="58"/>
  <c r="N665" i="58"/>
  <c r="J821" i="58"/>
  <c r="J328" i="58"/>
  <c r="J380" i="58"/>
  <c r="N662" i="58"/>
  <c r="J818" i="58"/>
  <c r="J353" i="58"/>
  <c r="N661" i="58"/>
  <c r="J817" i="58"/>
  <c r="J326" i="58"/>
  <c r="J378" i="58"/>
  <c r="N660" i="58"/>
  <c r="J816" i="58"/>
  <c r="J351" i="58"/>
  <c r="N659" i="58"/>
  <c r="J815" i="58"/>
  <c r="J971" i="58"/>
  <c r="J339" i="58"/>
  <c r="J391" i="58"/>
  <c r="N985" i="58"/>
  <c r="J350" i="58"/>
  <c r="J323" i="58"/>
  <c r="J375" i="58"/>
  <c r="J318" i="58"/>
  <c r="K653" i="58"/>
  <c r="N965" i="58"/>
  <c r="J313" i="58"/>
  <c r="N648" i="58"/>
  <c r="J804" i="58"/>
  <c r="K960" i="58"/>
  <c r="K320" i="58"/>
  <c r="J655" i="58"/>
  <c r="K811" i="58"/>
  <c r="J312" i="58"/>
  <c r="K647" i="58"/>
  <c r="N959" i="58"/>
  <c r="N944" i="58"/>
  <c r="K302" i="58"/>
  <c r="K793" i="58"/>
  <c r="K298" i="58"/>
  <c r="K789" i="58"/>
  <c r="I249" i="58"/>
  <c r="N249" i="58"/>
  <c r="N898" i="58"/>
  <c r="I898" i="58"/>
  <c r="N317" i="58"/>
  <c r="J652" i="58"/>
  <c r="J519" i="58"/>
  <c r="J494" i="58"/>
  <c r="J469" i="58"/>
  <c r="M519" i="58"/>
  <c r="I519" i="58"/>
  <c r="M494" i="58"/>
  <c r="I494" i="58"/>
  <c r="M469" i="58"/>
  <c r="I469" i="58"/>
  <c r="L519" i="58"/>
  <c r="H519" i="58"/>
  <c r="L494" i="58"/>
  <c r="H494" i="58"/>
  <c r="L469" i="58"/>
  <c r="H469" i="58"/>
  <c r="K519" i="58"/>
  <c r="K494" i="58"/>
  <c r="K469" i="58"/>
  <c r="I975" i="58"/>
  <c r="K975" i="58"/>
  <c r="H975" i="58"/>
  <c r="N975" i="58"/>
  <c r="J975" i="58"/>
  <c r="L975" i="58"/>
  <c r="M975" i="58"/>
  <c r="H819" i="58"/>
  <c r="L819" i="58"/>
  <c r="I819" i="58"/>
  <c r="M819" i="58"/>
  <c r="J819" i="58"/>
  <c r="N819" i="58"/>
  <c r="K819" i="58"/>
  <c r="H663" i="58"/>
  <c r="L663" i="58"/>
  <c r="I663" i="58"/>
  <c r="M663" i="58"/>
  <c r="J663" i="58"/>
  <c r="N663" i="58"/>
  <c r="K663" i="58"/>
  <c r="K381" i="58"/>
  <c r="K355" i="58"/>
  <c r="K329" i="58"/>
  <c r="N381" i="58"/>
  <c r="J381" i="58"/>
  <c r="N355" i="58"/>
  <c r="J355" i="58"/>
  <c r="N329" i="58"/>
  <c r="J329" i="58"/>
  <c r="M381" i="58"/>
  <c r="I381" i="58"/>
  <c r="M355" i="58"/>
  <c r="I355" i="58"/>
  <c r="M329" i="58"/>
  <c r="I329" i="58"/>
  <c r="L381" i="58"/>
  <c r="H381" i="58"/>
  <c r="L355" i="58"/>
  <c r="H355" i="58"/>
  <c r="L329" i="58"/>
  <c r="H329" i="58"/>
  <c r="J860" i="58"/>
  <c r="J849" i="58"/>
  <c r="J693" i="58"/>
  <c r="J537" i="58"/>
  <c r="J865" i="58"/>
  <c r="J709" i="58"/>
  <c r="J553" i="58"/>
  <c r="J847" i="58"/>
  <c r="J691" i="58"/>
  <c r="J535" i="58"/>
  <c r="J852" i="58"/>
  <c r="J540" i="58"/>
  <c r="J696" i="58"/>
  <c r="J844" i="58"/>
  <c r="J688" i="58"/>
  <c r="J532" i="58"/>
  <c r="J704" i="58"/>
  <c r="J548" i="58"/>
  <c r="J846" i="58"/>
  <c r="J690" i="58"/>
  <c r="J534" i="58"/>
  <c r="N990" i="58"/>
  <c r="N680" i="58"/>
  <c r="N371" i="58"/>
  <c r="N396" i="58"/>
  <c r="N344" i="58"/>
  <c r="N836" i="58"/>
  <c r="N372" i="58"/>
  <c r="N679" i="58"/>
  <c r="N678" i="58"/>
  <c r="N992" i="58"/>
  <c r="N835" i="58"/>
  <c r="N397" i="58"/>
  <c r="N345" i="58"/>
  <c r="N834" i="58"/>
  <c r="N370" i="58"/>
  <c r="N398" i="58"/>
  <c r="N346" i="58"/>
  <c r="N991" i="58"/>
  <c r="J786" i="58"/>
  <c r="J630" i="58"/>
  <c r="J942" i="58"/>
  <c r="J784" i="58"/>
  <c r="J628" i="58"/>
  <c r="J294" i="58"/>
  <c r="J940" i="58"/>
  <c r="J292" i="58"/>
  <c r="I876" i="58"/>
  <c r="M876" i="58"/>
  <c r="J876" i="58"/>
  <c r="N876" i="58"/>
  <c r="H876" i="58"/>
  <c r="L876" i="58"/>
  <c r="K876" i="58"/>
  <c r="J720" i="58"/>
  <c r="N720" i="58"/>
  <c r="K720" i="58"/>
  <c r="H720" i="58"/>
  <c r="L720" i="58"/>
  <c r="I720" i="58"/>
  <c r="M720" i="58"/>
  <c r="K564" i="58"/>
  <c r="H564" i="58"/>
  <c r="L564" i="58"/>
  <c r="I564" i="58"/>
  <c r="M564" i="58"/>
  <c r="J564" i="58"/>
  <c r="N564" i="58"/>
  <c r="K227" i="58"/>
  <c r="N227" i="58"/>
  <c r="J227" i="58"/>
  <c r="M227" i="58"/>
  <c r="I227" i="58"/>
  <c r="L227" i="58"/>
  <c r="H227" i="58"/>
  <c r="M201" i="58"/>
  <c r="I201" i="58"/>
  <c r="M175" i="58"/>
  <c r="M45" i="58" s="1"/>
  <c r="M71" i="58" s="1"/>
  <c r="M97" i="58" s="1"/>
  <c r="M123" i="58" s="1"/>
  <c r="M149" i="58" s="1"/>
  <c r="I175" i="58"/>
  <c r="I45" i="58" s="1"/>
  <c r="I71" i="58" s="1"/>
  <c r="I97" i="58" s="1"/>
  <c r="I123" i="58" s="1"/>
  <c r="I149" i="58" s="1"/>
  <c r="L201" i="58"/>
  <c r="H201" i="58"/>
  <c r="L175" i="58"/>
  <c r="L45" i="58" s="1"/>
  <c r="L71" i="58" s="1"/>
  <c r="L97" i="58" s="1"/>
  <c r="L123" i="58" s="1"/>
  <c r="L149" i="58" s="1"/>
  <c r="H175" i="58"/>
  <c r="H45" i="58" s="1"/>
  <c r="H71" i="58" s="1"/>
  <c r="H97" i="58" s="1"/>
  <c r="H123" i="58" s="1"/>
  <c r="H149" i="58" s="1"/>
  <c r="K201" i="58"/>
  <c r="K175" i="58"/>
  <c r="K45" i="58" s="1"/>
  <c r="K71" i="58" s="1"/>
  <c r="K97" i="58" s="1"/>
  <c r="K123" i="58" s="1"/>
  <c r="K149" i="58" s="1"/>
  <c r="N201" i="58"/>
  <c r="J201" i="58"/>
  <c r="N175" i="58"/>
  <c r="N45" i="58" s="1"/>
  <c r="N71" i="58" s="1"/>
  <c r="N97" i="58" s="1"/>
  <c r="N123" i="58" s="1"/>
  <c r="N149" i="58" s="1"/>
  <c r="J175" i="58"/>
  <c r="J45" i="58" s="1"/>
  <c r="J71" i="58" s="1"/>
  <c r="J97" i="58" s="1"/>
  <c r="J123" i="58" s="1"/>
  <c r="J149" i="58" s="1"/>
  <c r="J521" i="58"/>
  <c r="J496" i="58"/>
  <c r="J471" i="58"/>
  <c r="M521" i="58"/>
  <c r="I521" i="58"/>
  <c r="M496" i="58"/>
  <c r="I496" i="58"/>
  <c r="M471" i="58"/>
  <c r="I471" i="58"/>
  <c r="L521" i="58"/>
  <c r="H521" i="58"/>
  <c r="L496" i="58"/>
  <c r="H496" i="58"/>
  <c r="L471" i="58"/>
  <c r="H471" i="58"/>
  <c r="K521" i="58"/>
  <c r="K496" i="58"/>
  <c r="K471" i="58"/>
  <c r="H987" i="58"/>
  <c r="L987" i="58"/>
  <c r="J988" i="58"/>
  <c r="N988" i="58"/>
  <c r="I987" i="58"/>
  <c r="M987" i="58"/>
  <c r="K988" i="58"/>
  <c r="J987" i="58"/>
  <c r="N987" i="58"/>
  <c r="H988" i="58"/>
  <c r="L988" i="58"/>
  <c r="K987" i="58"/>
  <c r="I988" i="58"/>
  <c r="M988" i="58"/>
  <c r="H831" i="58"/>
  <c r="L831" i="58"/>
  <c r="J832" i="58"/>
  <c r="N832" i="58"/>
  <c r="I831" i="58"/>
  <c r="M831" i="58"/>
  <c r="K832" i="58"/>
  <c r="J831" i="58"/>
  <c r="N831" i="58"/>
  <c r="H832" i="58"/>
  <c r="L832" i="58"/>
  <c r="K831" i="58"/>
  <c r="I832" i="58"/>
  <c r="M832" i="58"/>
  <c r="H675" i="58"/>
  <c r="L675" i="58"/>
  <c r="J676" i="58"/>
  <c r="N676" i="58"/>
  <c r="I675" i="58"/>
  <c r="M675" i="58"/>
  <c r="K676" i="58"/>
  <c r="J675" i="58"/>
  <c r="N675" i="58"/>
  <c r="H676" i="58"/>
  <c r="L676" i="58"/>
  <c r="K675" i="58"/>
  <c r="I676" i="58"/>
  <c r="M676" i="58"/>
  <c r="K394" i="58"/>
  <c r="K393" i="58"/>
  <c r="K368" i="58"/>
  <c r="K367" i="58"/>
  <c r="K342" i="58"/>
  <c r="K341" i="58"/>
  <c r="N394" i="58"/>
  <c r="J394" i="58"/>
  <c r="N393" i="58"/>
  <c r="J393" i="58"/>
  <c r="N368" i="58"/>
  <c r="J368" i="58"/>
  <c r="N367" i="58"/>
  <c r="J367" i="58"/>
  <c r="N342" i="58"/>
  <c r="J342" i="58"/>
  <c r="N341" i="58"/>
  <c r="J341" i="58"/>
  <c r="M394" i="58"/>
  <c r="I394" i="58"/>
  <c r="M393" i="58"/>
  <c r="I393" i="58"/>
  <c r="M368" i="58"/>
  <c r="I368" i="58"/>
  <c r="M367" i="58"/>
  <c r="I367" i="58"/>
  <c r="M342" i="58"/>
  <c r="I342" i="58"/>
  <c r="M341" i="58"/>
  <c r="I341" i="58"/>
  <c r="L394" i="58"/>
  <c r="H394" i="58"/>
  <c r="L393" i="58"/>
  <c r="H393" i="58"/>
  <c r="L368" i="58"/>
  <c r="H368" i="58"/>
  <c r="L367" i="58"/>
  <c r="H367" i="58"/>
  <c r="L342" i="58"/>
  <c r="H342" i="58"/>
  <c r="L341" i="58"/>
  <c r="H341" i="58"/>
  <c r="N447" i="58"/>
  <c r="J447" i="58"/>
  <c r="N422" i="58"/>
  <c r="J422" i="58"/>
  <c r="M447" i="58"/>
  <c r="I447" i="58"/>
  <c r="M422" i="58"/>
  <c r="I422" i="58"/>
  <c r="L447" i="58"/>
  <c r="H447" i="58"/>
  <c r="K447" i="58"/>
  <c r="H422" i="58"/>
  <c r="L422" i="58"/>
  <c r="K422" i="58"/>
  <c r="N241" i="58"/>
  <c r="N734" i="58"/>
  <c r="N578" i="58"/>
  <c r="N189" i="58"/>
  <c r="N59" i="58" s="1"/>
  <c r="N85" i="58" s="1"/>
  <c r="N111" i="58" s="1"/>
  <c r="N137" i="58" s="1"/>
  <c r="N163" i="58" s="1"/>
  <c r="N215" i="58"/>
  <c r="N890" i="58"/>
  <c r="J508" i="58"/>
  <c r="J483" i="58"/>
  <c r="J458" i="58"/>
  <c r="M508" i="58"/>
  <c r="I508" i="58"/>
  <c r="M483" i="58"/>
  <c r="I483" i="58"/>
  <c r="M458" i="58"/>
  <c r="I458" i="58"/>
  <c r="L508" i="58"/>
  <c r="H508" i="58"/>
  <c r="L483" i="58"/>
  <c r="H483" i="58"/>
  <c r="L458" i="58"/>
  <c r="H458" i="58"/>
  <c r="K508" i="58"/>
  <c r="K483" i="58"/>
  <c r="K458" i="58"/>
  <c r="B24" i="26"/>
  <c r="C43" i="12" s="1"/>
  <c r="D67" i="26"/>
  <c r="E86" i="12" s="1"/>
  <c r="D119" i="26"/>
  <c r="E138" i="12" s="1"/>
  <c r="L32" i="12"/>
  <c r="AE104" i="26"/>
  <c r="X123" i="12" s="1"/>
  <c r="AH104" i="26"/>
  <c r="AF78" i="26"/>
  <c r="Y97" i="12" s="1"/>
  <c r="AH31" i="26"/>
  <c r="AG42" i="26"/>
  <c r="AE114" i="26"/>
  <c r="X133" i="12" s="1"/>
  <c r="AF125" i="26"/>
  <c r="Y144" i="12" s="1"/>
  <c r="AH109" i="26"/>
  <c r="AG94" i="26"/>
  <c r="AH73" i="26"/>
  <c r="AF83" i="26"/>
  <c r="Y102" i="12" s="1"/>
  <c r="AE68" i="26"/>
  <c r="X87" i="12" s="1"/>
  <c r="AG57" i="26"/>
  <c r="AE57" i="26"/>
  <c r="X76" i="12" s="1"/>
  <c r="I900" i="58"/>
  <c r="M900" i="58"/>
  <c r="J900" i="58"/>
  <c r="N900" i="58"/>
  <c r="K900" i="58"/>
  <c r="H900" i="58"/>
  <c r="L900" i="58"/>
  <c r="H744" i="58"/>
  <c r="L744" i="58"/>
  <c r="I744" i="58"/>
  <c r="M744" i="58"/>
  <c r="J744" i="58"/>
  <c r="K744" i="58"/>
  <c r="N744" i="58"/>
  <c r="I588" i="58"/>
  <c r="M588" i="58"/>
  <c r="J588" i="58"/>
  <c r="N588" i="58"/>
  <c r="K588" i="58"/>
  <c r="H588" i="58"/>
  <c r="L588" i="58"/>
  <c r="K251" i="58"/>
  <c r="N251" i="58"/>
  <c r="J251" i="58"/>
  <c r="M251" i="58"/>
  <c r="I251" i="58"/>
  <c r="L251" i="58"/>
  <c r="H251" i="58"/>
  <c r="K315" i="58"/>
  <c r="K952" i="58"/>
  <c r="K795" i="58"/>
  <c r="K304" i="58"/>
  <c r="K807" i="58"/>
  <c r="K806" i="58"/>
  <c r="K316" i="58"/>
  <c r="K640" i="58"/>
  <c r="K305" i="58"/>
  <c r="K951" i="58"/>
  <c r="K639" i="58"/>
  <c r="K791" i="58"/>
  <c r="K300" i="58"/>
  <c r="K947" i="58"/>
  <c r="K635" i="58"/>
  <c r="K963" i="58"/>
  <c r="K962" i="58"/>
  <c r="K651" i="58"/>
  <c r="K650" i="58"/>
  <c r="K796" i="58"/>
  <c r="X243" i="12"/>
  <c r="AB243" i="12"/>
  <c r="N645" i="58"/>
  <c r="J801" i="58"/>
  <c r="K957" i="58"/>
  <c r="J797" i="58"/>
  <c r="K953" i="58"/>
  <c r="K643" i="58"/>
  <c r="J799" i="58"/>
  <c r="K955" i="58"/>
  <c r="N948" i="58"/>
  <c r="N406" i="58"/>
  <c r="N402" i="58"/>
  <c r="J314" i="58"/>
  <c r="K649" i="58"/>
  <c r="N961" i="58"/>
  <c r="J916" i="58"/>
  <c r="J183" i="58"/>
  <c r="J53" i="58" s="1"/>
  <c r="J79" i="58" s="1"/>
  <c r="J105" i="58" s="1"/>
  <c r="J131" i="58" s="1"/>
  <c r="J157" i="58" s="1"/>
  <c r="N209" i="58"/>
  <c r="K209" i="58"/>
  <c r="J884" i="58"/>
  <c r="K884" i="58"/>
  <c r="N545" i="58"/>
  <c r="N701" i="58"/>
  <c r="J857" i="58"/>
  <c r="M514" i="58"/>
  <c r="J360" i="58"/>
  <c r="N980" i="58"/>
  <c r="J280" i="58"/>
  <c r="M616" i="58"/>
  <c r="M928" i="58"/>
  <c r="N928" i="58"/>
  <c r="M470" i="58"/>
  <c r="J340" i="58"/>
  <c r="J392" i="58"/>
  <c r="N674" i="58"/>
  <c r="J830" i="58"/>
  <c r="M285" i="58"/>
  <c r="M621" i="58"/>
  <c r="M777" i="58"/>
  <c r="N933" i="58"/>
  <c r="J180" i="58"/>
  <c r="J50" i="58" s="1"/>
  <c r="J76" i="58" s="1"/>
  <c r="J102" i="58" s="1"/>
  <c r="J128" i="58" s="1"/>
  <c r="J154" i="58" s="1"/>
  <c r="N232" i="58"/>
  <c r="J569" i="58"/>
  <c r="J725" i="58"/>
  <c r="M511" i="58"/>
  <c r="M279" i="58"/>
  <c r="M615" i="58"/>
  <c r="M771" i="58"/>
  <c r="N927" i="58"/>
  <c r="M276" i="58"/>
  <c r="J612" i="58"/>
  <c r="J768" i="58"/>
  <c r="N924" i="58"/>
  <c r="M275" i="58"/>
  <c r="M611" i="58"/>
  <c r="M767" i="58"/>
  <c r="J923" i="58"/>
  <c r="M274" i="58"/>
  <c r="J610" i="58"/>
  <c r="J766" i="58"/>
  <c r="M922" i="58"/>
  <c r="M273" i="58"/>
  <c r="M609" i="58"/>
  <c r="M765" i="58"/>
  <c r="J921" i="58"/>
  <c r="M287" i="58"/>
  <c r="M623" i="58"/>
  <c r="M779" i="58"/>
  <c r="N935" i="58"/>
  <c r="M272" i="58"/>
  <c r="J608" i="58"/>
  <c r="J764" i="58"/>
  <c r="M920" i="58"/>
  <c r="M271" i="58"/>
  <c r="M607" i="58"/>
  <c r="M763" i="58"/>
  <c r="J919" i="58"/>
  <c r="AC349" i="12"/>
  <c r="Y349" i="12"/>
  <c r="N255" i="58"/>
  <c r="J748" i="58"/>
  <c r="N904" i="58"/>
  <c r="N253" i="58"/>
  <c r="J746" i="58"/>
  <c r="N902" i="58"/>
  <c r="N536" i="58"/>
  <c r="N692" i="58"/>
  <c r="N848" i="58"/>
  <c r="N404" i="58"/>
  <c r="N429" i="58"/>
  <c r="J894" i="58"/>
  <c r="K642" i="58"/>
  <c r="N954" i="58"/>
  <c r="N299" i="58"/>
  <c r="K634" i="58"/>
  <c r="K790" i="58"/>
  <c r="J250" i="58"/>
  <c r="J899" i="58"/>
  <c r="N584" i="58"/>
  <c r="N740" i="58"/>
  <c r="N895" i="58"/>
  <c r="K311" i="58"/>
  <c r="N802" i="58"/>
  <c r="J958" i="58"/>
  <c r="N286" i="58"/>
  <c r="N622" i="58"/>
  <c r="M778" i="58"/>
  <c r="N778" i="58"/>
  <c r="J934" i="58"/>
  <c r="K181" i="58"/>
  <c r="K51" i="58" s="1"/>
  <c r="K77" i="58" s="1"/>
  <c r="K103" i="58" s="1"/>
  <c r="K129" i="58" s="1"/>
  <c r="K155" i="58" s="1"/>
  <c r="J207" i="58"/>
  <c r="K233" i="58"/>
  <c r="K726" i="58"/>
  <c r="N882" i="58"/>
  <c r="J699" i="58"/>
  <c r="N855" i="58"/>
  <c r="N332" i="58"/>
  <c r="N384" i="58"/>
  <c r="J666" i="58"/>
  <c r="N438" i="58"/>
  <c r="J188" i="58"/>
  <c r="J58" i="58" s="1"/>
  <c r="J84" i="58" s="1"/>
  <c r="J110" i="58" s="1"/>
  <c r="J136" i="58" s="1"/>
  <c r="J162" i="58" s="1"/>
  <c r="N239" i="58"/>
  <c r="K214" i="58"/>
  <c r="K577" i="58"/>
  <c r="K733" i="58"/>
  <c r="N889" i="58"/>
  <c r="M493" i="58"/>
  <c r="N363" i="58"/>
  <c r="J671" i="58"/>
  <c r="N283" i="58"/>
  <c r="M931" i="58"/>
  <c r="N204" i="58"/>
  <c r="K230" i="58"/>
  <c r="N567" i="58"/>
  <c r="N723" i="58"/>
  <c r="K879" i="58"/>
  <c r="J538" i="58"/>
  <c r="J694" i="58"/>
  <c r="J595" i="58"/>
  <c r="J751" i="58"/>
  <c r="J591" i="58"/>
  <c r="J747" i="58"/>
  <c r="J176" i="58"/>
  <c r="J46" i="58" s="1"/>
  <c r="J72" i="58" s="1"/>
  <c r="J98" i="58" s="1"/>
  <c r="J124" i="58" s="1"/>
  <c r="J150" i="58" s="1"/>
  <c r="K202" i="58"/>
  <c r="J228" i="58"/>
  <c r="J565" i="58"/>
  <c r="J721" i="58"/>
  <c r="K877" i="58"/>
  <c r="J199" i="58"/>
  <c r="J562" i="58"/>
  <c r="K562" i="58"/>
  <c r="J718" i="58"/>
  <c r="J874" i="58"/>
  <c r="J172" i="58"/>
  <c r="J42" i="58" s="1"/>
  <c r="J68" i="58" s="1"/>
  <c r="J94" i="58" s="1"/>
  <c r="J120" i="58" s="1"/>
  <c r="J146" i="58" s="1"/>
  <c r="K198" i="58"/>
  <c r="J224" i="58"/>
  <c r="J561" i="58"/>
  <c r="J717" i="58"/>
  <c r="K873" i="58"/>
  <c r="J197" i="58"/>
  <c r="J560" i="58"/>
  <c r="K560" i="58"/>
  <c r="J716" i="58"/>
  <c r="J872" i="58"/>
  <c r="J170" i="58"/>
  <c r="J40" i="58" s="1"/>
  <c r="J66" i="58" s="1"/>
  <c r="J92" i="58" s="1"/>
  <c r="J118" i="58" s="1"/>
  <c r="J144" i="58" s="1"/>
  <c r="K196" i="58"/>
  <c r="J222" i="58"/>
  <c r="J559" i="58"/>
  <c r="J715" i="58"/>
  <c r="K871" i="58"/>
  <c r="N236" i="58"/>
  <c r="J885" i="58"/>
  <c r="J169" i="58"/>
  <c r="J39" i="58" s="1"/>
  <c r="J65" i="58" s="1"/>
  <c r="J91" i="58" s="1"/>
  <c r="J117" i="58" s="1"/>
  <c r="J143" i="58" s="1"/>
  <c r="K195" i="58"/>
  <c r="J221" i="58"/>
  <c r="K870" i="58"/>
  <c r="J194" i="58"/>
  <c r="AB212" i="12"/>
  <c r="X212" i="12"/>
  <c r="AA244" i="12"/>
  <c r="W244" i="12"/>
  <c r="J303" i="58"/>
  <c r="J638" i="58"/>
  <c r="J794" i="58"/>
  <c r="K950" i="58"/>
  <c r="N248" i="58"/>
  <c r="N585" i="58"/>
  <c r="N741" i="58"/>
  <c r="N261" i="58"/>
  <c r="N910" i="58"/>
  <c r="N405" i="58"/>
  <c r="N430" i="58"/>
  <c r="N309" i="58"/>
  <c r="K800" i="58"/>
  <c r="N11" i="58"/>
  <c r="J18" i="58"/>
  <c r="J9" i="58"/>
  <c r="J19" i="58" s="1"/>
  <c r="O8" i="58"/>
  <c r="L17" i="58"/>
  <c r="L10" i="58"/>
  <c r="L20" i="58" s="1"/>
  <c r="J17" i="58"/>
  <c r="J10" i="58"/>
  <c r="J20" i="58" s="1"/>
  <c r="J364" i="58"/>
  <c r="N984" i="58"/>
  <c r="J284" i="58"/>
  <c r="M620" i="58"/>
  <c r="M932" i="58"/>
  <c r="N932" i="58"/>
  <c r="J205" i="58"/>
  <c r="K205" i="58"/>
  <c r="N205" i="58"/>
  <c r="J568" i="58"/>
  <c r="K568" i="58"/>
  <c r="J724" i="58"/>
  <c r="M460" i="58"/>
  <c r="N445" i="58"/>
  <c r="N411" i="58"/>
  <c r="M291" i="58"/>
  <c r="M627" i="58"/>
  <c r="M783" i="58"/>
  <c r="N939" i="58"/>
  <c r="N185" i="58"/>
  <c r="N55" i="58" s="1"/>
  <c r="N81" i="58" s="1"/>
  <c r="N107" i="58" s="1"/>
  <c r="N133" i="58" s="1"/>
  <c r="N159" i="58" s="1"/>
  <c r="J211" i="58"/>
  <c r="J238" i="58"/>
  <c r="J574" i="58"/>
  <c r="K574" i="58"/>
  <c r="J730" i="58"/>
  <c r="N546" i="58"/>
  <c r="N702" i="58"/>
  <c r="J858" i="58"/>
  <c r="M465" i="58"/>
  <c r="J335" i="58"/>
  <c r="J387" i="58"/>
  <c r="N981" i="58"/>
  <c r="M281" i="58"/>
  <c r="M617" i="58"/>
  <c r="M773" i="58"/>
  <c r="N929" i="58"/>
  <c r="N851" i="58"/>
  <c r="M484" i="58"/>
  <c r="M506" i="58"/>
  <c r="M454" i="58"/>
  <c r="M478" i="58"/>
  <c r="M517" i="58"/>
  <c r="N859" i="58"/>
  <c r="N336" i="58"/>
  <c r="N388" i="58"/>
  <c r="J670" i="58"/>
  <c r="N177" i="58"/>
  <c r="N47" i="58" s="1"/>
  <c r="N73" i="58" s="1"/>
  <c r="N99" i="58" s="1"/>
  <c r="N125" i="58" s="1"/>
  <c r="N151" i="58" s="1"/>
  <c r="K177" i="58"/>
  <c r="K47" i="58" s="1"/>
  <c r="K73" i="58" s="1"/>
  <c r="K99" i="58" s="1"/>
  <c r="K125" i="58" s="1"/>
  <c r="K151" i="58" s="1"/>
  <c r="N229" i="58"/>
  <c r="N566" i="58"/>
  <c r="N722" i="58"/>
  <c r="J878" i="58"/>
  <c r="N418" i="58"/>
  <c r="N369" i="58"/>
  <c r="J677" i="58"/>
  <c r="N288" i="58"/>
  <c r="N624" i="58"/>
  <c r="M780" i="58"/>
  <c r="N780" i="58"/>
  <c r="J936" i="58"/>
  <c r="K182" i="58"/>
  <c r="K52" i="58" s="1"/>
  <c r="K78" i="58" s="1"/>
  <c r="K104" i="58" s="1"/>
  <c r="K130" i="58" s="1"/>
  <c r="K156" i="58" s="1"/>
  <c r="J208" i="58"/>
  <c r="K234" i="58"/>
  <c r="N571" i="58"/>
  <c r="N727" i="58"/>
  <c r="J544" i="58"/>
  <c r="N700" i="58"/>
  <c r="N333" i="58"/>
  <c r="N385" i="58"/>
  <c r="N823" i="58"/>
  <c r="J979" i="58"/>
  <c r="N909" i="58"/>
  <c r="I909" i="58"/>
  <c r="N905" i="58"/>
  <c r="I905" i="58"/>
  <c r="N357" i="58"/>
  <c r="J665" i="58"/>
  <c r="N328" i="58"/>
  <c r="N380" i="58"/>
  <c r="J662" i="58"/>
  <c r="N974" i="58"/>
  <c r="N353" i="58"/>
  <c r="J661" i="58"/>
  <c r="N973" i="58"/>
  <c r="N326" i="58"/>
  <c r="N378" i="58"/>
  <c r="J660" i="58"/>
  <c r="N351" i="58"/>
  <c r="J659" i="58"/>
  <c r="N339" i="58"/>
  <c r="N391" i="58"/>
  <c r="N829" i="58"/>
  <c r="J985" i="58"/>
  <c r="N350" i="58"/>
  <c r="N814" i="58"/>
  <c r="J970" i="58"/>
  <c r="N323" i="58"/>
  <c r="N375" i="58"/>
  <c r="N813" i="58"/>
  <c r="N969" i="58"/>
  <c r="N533" i="58"/>
  <c r="N689" i="58"/>
  <c r="N845" i="58"/>
  <c r="N318" i="58"/>
  <c r="N809" i="58"/>
  <c r="J965" i="58"/>
  <c r="N313" i="58"/>
  <c r="J648" i="58"/>
  <c r="K804" i="58"/>
  <c r="J320" i="58"/>
  <c r="K655" i="58"/>
  <c r="N967" i="58"/>
  <c r="N312" i="58"/>
  <c r="N803" i="58"/>
  <c r="J959" i="58"/>
  <c r="K297" i="58"/>
  <c r="N632" i="58"/>
  <c r="N788" i="58"/>
  <c r="J944" i="58"/>
  <c r="J302" i="58"/>
  <c r="N949" i="58"/>
  <c r="J298" i="58"/>
  <c r="N945" i="58"/>
  <c r="J898" i="58"/>
  <c r="K652" i="58"/>
  <c r="N964" i="58"/>
  <c r="I925" i="58"/>
  <c r="K925" i="58"/>
  <c r="H925" i="58"/>
  <c r="L925" i="58"/>
  <c r="J925" i="58"/>
  <c r="M925" i="58"/>
  <c r="N925" i="58"/>
  <c r="H769" i="58"/>
  <c r="L769" i="58"/>
  <c r="I769" i="58"/>
  <c r="M769" i="58"/>
  <c r="J769" i="58"/>
  <c r="N769" i="58"/>
  <c r="K769" i="58"/>
  <c r="I613" i="58"/>
  <c r="M613" i="58"/>
  <c r="J613" i="58"/>
  <c r="N613" i="58"/>
  <c r="K613" i="58"/>
  <c r="H613" i="58"/>
  <c r="L613" i="58"/>
  <c r="K277" i="58"/>
  <c r="N277" i="58"/>
  <c r="J277" i="58"/>
  <c r="M277" i="58"/>
  <c r="I277" i="58"/>
  <c r="L277" i="58"/>
  <c r="H277" i="58"/>
  <c r="D25" i="26"/>
  <c r="E44" i="12" s="1"/>
  <c r="D82" i="26"/>
  <c r="E101" i="12" s="1"/>
  <c r="M78" i="12"/>
  <c r="L89" i="12"/>
  <c r="K321" i="58"/>
  <c r="N321" i="58"/>
  <c r="J321" i="58"/>
  <c r="M321" i="58"/>
  <c r="I321" i="58"/>
  <c r="L321" i="58"/>
  <c r="H321" i="58"/>
  <c r="H966" i="58"/>
  <c r="L966" i="58"/>
  <c r="I966" i="58"/>
  <c r="M966" i="58"/>
  <c r="J966" i="58"/>
  <c r="N966" i="58"/>
  <c r="K966" i="58"/>
  <c r="H810" i="58"/>
  <c r="L810" i="58"/>
  <c r="I810" i="58"/>
  <c r="M810" i="58"/>
  <c r="J810" i="58"/>
  <c r="N810" i="58"/>
  <c r="K810" i="58"/>
  <c r="H654" i="58"/>
  <c r="L654" i="58"/>
  <c r="I654" i="58"/>
  <c r="M654" i="58"/>
  <c r="J654" i="58"/>
  <c r="N654" i="58"/>
  <c r="K654" i="58"/>
  <c r="K319" i="58"/>
  <c r="N319" i="58"/>
  <c r="J319" i="58"/>
  <c r="M319" i="58"/>
  <c r="I319" i="58"/>
  <c r="L319" i="58"/>
  <c r="H319" i="58"/>
  <c r="N52" i="12"/>
  <c r="N433" i="58"/>
  <c r="J433" i="58"/>
  <c r="N408" i="58"/>
  <c r="J408" i="58"/>
  <c r="M433" i="58"/>
  <c r="I433" i="58"/>
  <c r="M408" i="58"/>
  <c r="I408" i="58"/>
  <c r="L433" i="58"/>
  <c r="H433" i="58"/>
  <c r="H408" i="58"/>
  <c r="K433" i="58"/>
  <c r="L408" i="58"/>
  <c r="K408" i="58"/>
  <c r="M473" i="58"/>
  <c r="M498" i="58"/>
  <c r="M523" i="58"/>
  <c r="K578" i="58"/>
  <c r="K890" i="58"/>
  <c r="K215" i="58"/>
  <c r="K734" i="58"/>
  <c r="K241" i="58"/>
  <c r="K189" i="58"/>
  <c r="K59" i="58" s="1"/>
  <c r="K85" i="58" s="1"/>
  <c r="K111" i="58" s="1"/>
  <c r="K137" i="58" s="1"/>
  <c r="K163" i="58" s="1"/>
  <c r="Y345" i="12"/>
  <c r="AC345" i="12"/>
  <c r="AC347" i="12"/>
  <c r="Y347" i="12"/>
  <c r="K310" i="58"/>
  <c r="J645" i="58"/>
  <c r="K801" i="58"/>
  <c r="K306" i="58"/>
  <c r="K797" i="58"/>
  <c r="K308" i="58"/>
  <c r="N643" i="58"/>
  <c r="K799" i="58"/>
  <c r="K301" i="58"/>
  <c r="N636" i="58"/>
  <c r="N792" i="58"/>
  <c r="J948" i="58"/>
  <c r="N431" i="58"/>
  <c r="N427" i="58"/>
  <c r="N314" i="58"/>
  <c r="N805" i="58"/>
  <c r="J961" i="58"/>
  <c r="N604" i="58"/>
  <c r="N760" i="58"/>
  <c r="N183" i="58"/>
  <c r="N53" i="58" s="1"/>
  <c r="N79" i="58" s="1"/>
  <c r="N105" i="58" s="1"/>
  <c r="N131" i="58" s="1"/>
  <c r="N157" i="58" s="1"/>
  <c r="J235" i="58"/>
  <c r="N572" i="58"/>
  <c r="N728" i="58"/>
  <c r="J545" i="58"/>
  <c r="J701" i="58"/>
  <c r="M489" i="58"/>
  <c r="N360" i="58"/>
  <c r="N824" i="58"/>
  <c r="J980" i="58"/>
  <c r="N280" i="58"/>
  <c r="N616" i="58"/>
  <c r="M772" i="58"/>
  <c r="N772" i="58"/>
  <c r="J928" i="58"/>
  <c r="N415" i="58"/>
  <c r="N340" i="58"/>
  <c r="N392" i="58"/>
  <c r="J674" i="58"/>
  <c r="N621" i="58"/>
  <c r="N777" i="58"/>
  <c r="J933" i="58"/>
  <c r="N180" i="58"/>
  <c r="N50" i="58" s="1"/>
  <c r="N76" i="58" s="1"/>
  <c r="N102" i="58" s="1"/>
  <c r="N128" i="58" s="1"/>
  <c r="N154" i="58" s="1"/>
  <c r="K206" i="58"/>
  <c r="J206" i="58"/>
  <c r="K569" i="58"/>
  <c r="K725" i="58"/>
  <c r="N881" i="58"/>
  <c r="N542" i="58"/>
  <c r="J854" i="58"/>
  <c r="M486" i="58"/>
  <c r="N439" i="58"/>
  <c r="N410" i="58"/>
  <c r="N615" i="58"/>
  <c r="N771" i="58"/>
  <c r="J927" i="58"/>
  <c r="J924" i="58"/>
  <c r="N611" i="58"/>
  <c r="N767" i="58"/>
  <c r="N923" i="58"/>
  <c r="N922" i="58"/>
  <c r="N609" i="58"/>
  <c r="N765" i="58"/>
  <c r="N623" i="58"/>
  <c r="N779" i="58"/>
  <c r="J935" i="58"/>
  <c r="N920" i="58"/>
  <c r="N607" i="58"/>
  <c r="N763" i="58"/>
  <c r="AB345" i="12"/>
  <c r="X345" i="12"/>
  <c r="V241" i="12"/>
  <c r="J904" i="58"/>
  <c r="J902" i="58"/>
  <c r="J536" i="58"/>
  <c r="J692" i="58"/>
  <c r="J848" i="58"/>
  <c r="N417" i="58"/>
  <c r="N582" i="58"/>
  <c r="N738" i="58"/>
  <c r="K307" i="58"/>
  <c r="N798" i="58"/>
  <c r="J954" i="58"/>
  <c r="N946" i="58"/>
  <c r="N250" i="58"/>
  <c r="N587" i="58"/>
  <c r="N743" i="58"/>
  <c r="J584" i="58"/>
  <c r="J740" i="58"/>
  <c r="J247" i="58"/>
  <c r="J895" i="58"/>
  <c r="J311" i="58"/>
  <c r="N646" i="58"/>
  <c r="J802" i="58"/>
  <c r="K958" i="58"/>
  <c r="M286" i="58"/>
  <c r="J622" i="58"/>
  <c r="J778" i="58"/>
  <c r="J181" i="58"/>
  <c r="J51" i="58" s="1"/>
  <c r="J77" i="58" s="1"/>
  <c r="J103" i="58" s="1"/>
  <c r="J129" i="58" s="1"/>
  <c r="J155" i="58" s="1"/>
  <c r="N207" i="58"/>
  <c r="K207" i="58"/>
  <c r="J882" i="58"/>
  <c r="K882" i="58"/>
  <c r="J855" i="58"/>
  <c r="M512" i="58"/>
  <c r="J358" i="58"/>
  <c r="N978" i="58"/>
  <c r="N188" i="58"/>
  <c r="N58" i="58" s="1"/>
  <c r="N84" i="58" s="1"/>
  <c r="N110" i="58" s="1"/>
  <c r="N136" i="58" s="1"/>
  <c r="N162" i="58" s="1"/>
  <c r="J214" i="58"/>
  <c r="J240" i="58"/>
  <c r="J889" i="58"/>
  <c r="N861" i="58"/>
  <c r="M468" i="58"/>
  <c r="J337" i="58"/>
  <c r="J389" i="58"/>
  <c r="N983" i="58"/>
  <c r="M283" i="58"/>
  <c r="M619" i="58"/>
  <c r="M775" i="58"/>
  <c r="N931" i="58"/>
  <c r="J178" i="58"/>
  <c r="J48" i="58" s="1"/>
  <c r="J74" i="58" s="1"/>
  <c r="J100" i="58" s="1"/>
  <c r="J126" i="58" s="1"/>
  <c r="J152" i="58" s="1"/>
  <c r="K204" i="58"/>
  <c r="J230" i="58"/>
  <c r="J567" i="58"/>
  <c r="J723" i="58"/>
  <c r="N850" i="58"/>
  <c r="N907" i="58"/>
  <c r="N903" i="58"/>
  <c r="N176" i="58"/>
  <c r="N46" i="58" s="1"/>
  <c r="N72" i="58" s="1"/>
  <c r="N98" i="58" s="1"/>
  <c r="N124" i="58" s="1"/>
  <c r="N150" i="58" s="1"/>
  <c r="K176" i="58"/>
  <c r="K46" i="58" s="1"/>
  <c r="K72" i="58" s="1"/>
  <c r="K98" i="58" s="1"/>
  <c r="K124" i="58" s="1"/>
  <c r="K150" i="58" s="1"/>
  <c r="N228" i="58"/>
  <c r="K565" i="58"/>
  <c r="K721" i="58"/>
  <c r="N199" i="58"/>
  <c r="K225" i="58"/>
  <c r="K718" i="58"/>
  <c r="K874" i="58"/>
  <c r="N172" i="58"/>
  <c r="N42" i="58" s="1"/>
  <c r="N68" i="58" s="1"/>
  <c r="N94" i="58" s="1"/>
  <c r="N120" i="58" s="1"/>
  <c r="N146" i="58" s="1"/>
  <c r="K172" i="58"/>
  <c r="K42" i="58" s="1"/>
  <c r="K68" i="58" s="1"/>
  <c r="K94" i="58" s="1"/>
  <c r="K120" i="58" s="1"/>
  <c r="K146" i="58" s="1"/>
  <c r="N224" i="58"/>
  <c r="K561" i="58"/>
  <c r="K717" i="58"/>
  <c r="N197" i="58"/>
  <c r="K223" i="58"/>
  <c r="K716" i="58"/>
  <c r="N170" i="58"/>
  <c r="N40" i="58" s="1"/>
  <c r="N66" i="58" s="1"/>
  <c r="N92" i="58" s="1"/>
  <c r="N118" i="58" s="1"/>
  <c r="N144" i="58" s="1"/>
  <c r="K170" i="58"/>
  <c r="K40" i="58" s="1"/>
  <c r="K66" i="58" s="1"/>
  <c r="K92" i="58" s="1"/>
  <c r="K118" i="58" s="1"/>
  <c r="K144" i="58" s="1"/>
  <c r="N222" i="58"/>
  <c r="K559" i="58"/>
  <c r="K715" i="58"/>
  <c r="K184" i="58"/>
  <c r="K54" i="58" s="1"/>
  <c r="K80" i="58" s="1"/>
  <c r="K106" i="58" s="1"/>
  <c r="K132" i="58" s="1"/>
  <c r="K158" i="58" s="1"/>
  <c r="J210" i="58"/>
  <c r="K236" i="58"/>
  <c r="N573" i="58"/>
  <c r="N729" i="58"/>
  <c r="K885" i="58"/>
  <c r="N169" i="58"/>
  <c r="N39" i="58" s="1"/>
  <c r="N65" i="58" s="1"/>
  <c r="N91" i="58" s="1"/>
  <c r="N117" i="58" s="1"/>
  <c r="N143" i="58" s="1"/>
  <c r="K169" i="58"/>
  <c r="K39" i="58" s="1"/>
  <c r="K65" i="58" s="1"/>
  <c r="K91" i="58" s="1"/>
  <c r="K117" i="58" s="1"/>
  <c r="K143" i="58" s="1"/>
  <c r="N221" i="58"/>
  <c r="N558" i="58"/>
  <c r="N714" i="58"/>
  <c r="N870" i="58"/>
  <c r="N194" i="58"/>
  <c r="K220" i="58"/>
  <c r="N557" i="58"/>
  <c r="N713" i="58"/>
  <c r="N869" i="58"/>
  <c r="W212" i="12"/>
  <c r="AA212" i="12"/>
  <c r="Z348" i="12"/>
  <c r="V348" i="12"/>
  <c r="N303" i="58"/>
  <c r="K638" i="58"/>
  <c r="K794" i="58"/>
  <c r="J585" i="58"/>
  <c r="J741" i="58"/>
  <c r="J910" i="58"/>
  <c r="K644" i="58"/>
  <c r="N956" i="58"/>
  <c r="J269" i="58"/>
  <c r="I18" i="58"/>
  <c r="I9" i="58"/>
  <c r="I19" i="58" s="1"/>
  <c r="H18" i="58"/>
  <c r="H9" i="58"/>
  <c r="H19" i="58" s="1"/>
  <c r="I17" i="58"/>
  <c r="I10" i="58"/>
  <c r="I20" i="58" s="1"/>
  <c r="N17" i="58"/>
  <c r="N10" i="58"/>
  <c r="N20" i="58" s="1"/>
  <c r="H17" i="58"/>
  <c r="H10" i="58"/>
  <c r="H20" i="58" s="1"/>
  <c r="N364" i="58"/>
  <c r="N828" i="58"/>
  <c r="J984" i="58"/>
  <c r="N284" i="58"/>
  <c r="N620" i="58"/>
  <c r="M776" i="58"/>
  <c r="N776" i="58"/>
  <c r="J932" i="58"/>
  <c r="K231" i="58"/>
  <c r="K724" i="58"/>
  <c r="N880" i="58"/>
  <c r="N541" i="58"/>
  <c r="N627" i="58"/>
  <c r="N783" i="58"/>
  <c r="J939" i="58"/>
  <c r="N211" i="58"/>
  <c r="N238" i="58"/>
  <c r="K238" i="58"/>
  <c r="K730" i="58"/>
  <c r="N886" i="58"/>
  <c r="J546" i="58"/>
  <c r="J702" i="58"/>
  <c r="N335" i="58"/>
  <c r="N387" i="58"/>
  <c r="N825" i="58"/>
  <c r="J981" i="58"/>
  <c r="N617" i="58"/>
  <c r="N773" i="58"/>
  <c r="J929" i="58"/>
  <c r="N539" i="58"/>
  <c r="N416" i="58"/>
  <c r="N437" i="58"/>
  <c r="M459" i="58"/>
  <c r="M481" i="58"/>
  <c r="M505" i="58"/>
  <c r="M453" i="58"/>
  <c r="M492" i="58"/>
  <c r="M502" i="58"/>
  <c r="N547" i="58"/>
  <c r="N703" i="58"/>
  <c r="J859" i="58"/>
  <c r="M516" i="58"/>
  <c r="J362" i="58"/>
  <c r="N982" i="58"/>
  <c r="J282" i="58"/>
  <c r="M618" i="58"/>
  <c r="M930" i="58"/>
  <c r="N930" i="58"/>
  <c r="J203" i="58"/>
  <c r="J566" i="58"/>
  <c r="K566" i="58"/>
  <c r="J722" i="58"/>
  <c r="J343" i="58"/>
  <c r="J395" i="58"/>
  <c r="N989" i="58"/>
  <c r="M288" i="58"/>
  <c r="J624" i="58"/>
  <c r="J780" i="58"/>
  <c r="J182" i="58"/>
  <c r="J52" i="58" s="1"/>
  <c r="J78" i="58" s="1"/>
  <c r="J104" i="58" s="1"/>
  <c r="J130" i="58" s="1"/>
  <c r="J156" i="58" s="1"/>
  <c r="N208" i="58"/>
  <c r="K208" i="58"/>
  <c r="J571" i="58"/>
  <c r="J727" i="58"/>
  <c r="M513" i="58"/>
  <c r="J359" i="58"/>
  <c r="N667" i="58"/>
  <c r="J823" i="58"/>
  <c r="J260" i="58"/>
  <c r="J909" i="58"/>
  <c r="J256" i="58"/>
  <c r="J905" i="58"/>
  <c r="J331" i="58"/>
  <c r="J383" i="58"/>
  <c r="N977" i="58"/>
  <c r="J354" i="58"/>
  <c r="J974" i="58"/>
  <c r="J327" i="58"/>
  <c r="J379" i="58"/>
  <c r="J352" i="58"/>
  <c r="N972" i="58"/>
  <c r="J325" i="58"/>
  <c r="J377" i="58"/>
  <c r="J365" i="58"/>
  <c r="N673" i="58"/>
  <c r="J829" i="58"/>
  <c r="J324" i="58"/>
  <c r="J376" i="58"/>
  <c r="N658" i="58"/>
  <c r="J814" i="58"/>
  <c r="J349" i="58"/>
  <c r="N657" i="58"/>
  <c r="J813" i="58"/>
  <c r="J969" i="58"/>
  <c r="J533" i="58"/>
  <c r="J689" i="58"/>
  <c r="J845" i="58"/>
  <c r="N653" i="58"/>
  <c r="J809" i="58"/>
  <c r="K965" i="58"/>
  <c r="K648" i="58"/>
  <c r="N960" i="58"/>
  <c r="N320" i="58"/>
  <c r="N811" i="58"/>
  <c r="J967" i="58"/>
  <c r="N647" i="58"/>
  <c r="J803" i="58"/>
  <c r="K959" i="58"/>
  <c r="J297" i="58"/>
  <c r="J632" i="58"/>
  <c r="J788" i="58"/>
  <c r="K944" i="58"/>
  <c r="N302" i="58"/>
  <c r="N637" i="58"/>
  <c r="N793" i="58"/>
  <c r="J949" i="58"/>
  <c r="N298" i="58"/>
  <c r="N633" i="58"/>
  <c r="N789" i="58"/>
  <c r="J945" i="58"/>
  <c r="N586" i="58"/>
  <c r="I586" i="58"/>
  <c r="N742" i="58"/>
  <c r="I742" i="58"/>
  <c r="K317" i="58"/>
  <c r="N808" i="58"/>
  <c r="J964" i="58"/>
  <c r="D931" i="11"/>
  <c r="C20" i="58"/>
  <c r="B1197" i="11"/>
  <c r="B1205" i="11"/>
  <c r="B1207" i="11"/>
  <c r="B1186" i="11"/>
  <c r="B1190" i="11"/>
  <c r="B1199" i="11"/>
  <c r="D924" i="11"/>
  <c r="C925" i="11"/>
  <c r="C934" i="11"/>
  <c r="C185" i="11"/>
  <c r="M104" i="12"/>
  <c r="M40" i="12"/>
  <c r="M38" i="12"/>
  <c r="M86" i="12"/>
  <c r="M141" i="12"/>
  <c r="L136" i="12"/>
  <c r="L58" i="12"/>
  <c r="M136" i="12"/>
  <c r="L130" i="12"/>
  <c r="L94" i="12"/>
  <c r="M94" i="12"/>
  <c r="M130" i="12"/>
  <c r="M89" i="12"/>
  <c r="AH72" i="26"/>
  <c r="AG77" i="26"/>
  <c r="AG79" i="26"/>
  <c r="AF84" i="26"/>
  <c r="Y103" i="12" s="1"/>
  <c r="AE87" i="26"/>
  <c r="X106" i="12" s="1"/>
  <c r="AE89" i="26"/>
  <c r="X108" i="12" s="1"/>
  <c r="AE69" i="26"/>
  <c r="X88" i="12" s="1"/>
  <c r="AG20" i="26"/>
  <c r="AG22" i="26"/>
  <c r="AH56" i="26"/>
  <c r="AH58" i="26"/>
  <c r="AG56" i="26"/>
  <c r="AG58" i="26"/>
  <c r="AF61" i="26"/>
  <c r="Y80" i="12" s="1"/>
  <c r="AF63" i="26"/>
  <c r="Y82" i="12" s="1"/>
  <c r="AE56" i="26"/>
  <c r="X75" i="12" s="1"/>
  <c r="AE58" i="26"/>
  <c r="X77" i="12" s="1"/>
  <c r="M52" i="12"/>
  <c r="I48" i="51"/>
  <c r="D63" i="51"/>
  <c r="B48" i="51"/>
  <c r="X10" i="12" s="1"/>
  <c r="H63" i="51"/>
  <c r="B63" i="51"/>
  <c r="Y10" i="12" s="1"/>
  <c r="V12" i="12" s="1"/>
  <c r="F63" i="51"/>
  <c r="G64" i="51"/>
  <c r="G63" i="51"/>
  <c r="H12" i="12"/>
  <c r="R10" i="62" s="1"/>
  <c r="W9" i="12"/>
  <c r="I49" i="51"/>
  <c r="G48" i="51"/>
  <c r="F48" i="51"/>
  <c r="E48" i="51"/>
  <c r="C48" i="51"/>
  <c r="C64" i="51"/>
  <c r="C63" i="51"/>
  <c r="N499" i="58"/>
  <c r="I64" i="51"/>
  <c r="I63" i="51"/>
  <c r="E64" i="51"/>
  <c r="E63" i="51"/>
  <c r="H13" i="12"/>
  <c r="R11" i="62" s="1"/>
  <c r="W11" i="12"/>
  <c r="S11" i="12"/>
  <c r="R12" i="12"/>
  <c r="R13" i="12" s="1"/>
  <c r="R10" i="12"/>
  <c r="R9" i="12"/>
  <c r="Q12" i="12"/>
  <c r="Q13" i="12" s="1"/>
  <c r="Q10" i="12"/>
  <c r="Q9" i="12"/>
  <c r="H938" i="25"/>
  <c r="H955" i="25"/>
  <c r="H12" i="25"/>
  <c r="H29" i="25"/>
  <c r="H271" i="25"/>
  <c r="H288" i="25"/>
  <c r="H309" i="25"/>
  <c r="H326" i="25"/>
  <c r="H419" i="25"/>
  <c r="H436" i="25"/>
  <c r="H457" i="25"/>
  <c r="H474" i="25"/>
  <c r="H567" i="25"/>
  <c r="H584" i="25"/>
  <c r="H642" i="25"/>
  <c r="H659" i="25"/>
  <c r="H715" i="25"/>
  <c r="H732" i="25"/>
  <c r="H790" i="25"/>
  <c r="H807" i="25"/>
  <c r="H863" i="25"/>
  <c r="H880" i="25"/>
  <c r="H974" i="25"/>
  <c r="H991" i="25"/>
  <c r="H1012" i="25"/>
  <c r="H1029" i="25"/>
  <c r="H1122" i="25"/>
  <c r="H1139" i="25"/>
  <c r="H345" i="25"/>
  <c r="H362" i="25"/>
  <c r="H382" i="25"/>
  <c r="H399" i="25"/>
  <c r="H604" i="25"/>
  <c r="H621" i="25"/>
  <c r="H678" i="25"/>
  <c r="H695" i="25"/>
  <c r="H752" i="25"/>
  <c r="H769" i="25"/>
  <c r="H826" i="25"/>
  <c r="H843" i="25"/>
  <c r="H900" i="25"/>
  <c r="H917" i="25"/>
  <c r="H1048" i="25"/>
  <c r="H1065" i="25"/>
  <c r="H1085" i="25"/>
  <c r="H1102" i="25"/>
  <c r="H199" i="25"/>
  <c r="H216" i="25"/>
  <c r="H234" i="25"/>
  <c r="H251" i="25"/>
  <c r="H493" i="25"/>
  <c r="H510" i="25"/>
  <c r="H530" i="25"/>
  <c r="H547" i="25"/>
  <c r="AE67" i="26"/>
  <c r="X86" i="12" s="1"/>
  <c r="AG28" i="26"/>
  <c r="M151" i="12"/>
  <c r="M115" i="12"/>
  <c r="M156" i="12"/>
  <c r="M110" i="12"/>
  <c r="AG44" i="26"/>
  <c r="N77" i="26"/>
  <c r="O77" i="26" s="1"/>
  <c r="P77" i="26" s="1"/>
  <c r="Q77" i="26" s="1"/>
  <c r="R77" i="26" s="1"/>
  <c r="S77" i="26" s="1"/>
  <c r="T77" i="26" s="1"/>
  <c r="U77" i="26" s="1"/>
  <c r="M96" i="12"/>
  <c r="D41" i="26"/>
  <c r="E60" i="12" s="1"/>
  <c r="D61" i="26"/>
  <c r="E80" i="12" s="1"/>
  <c r="B118" i="26"/>
  <c r="C137" i="12" s="1"/>
  <c r="C130" i="11" s="1"/>
  <c r="M122" i="12"/>
  <c r="M101" i="12"/>
  <c r="L125" i="12"/>
  <c r="L73" i="12"/>
  <c r="L99" i="12"/>
  <c r="M146" i="12"/>
  <c r="M125" i="12"/>
  <c r="L120" i="12"/>
  <c r="L68" i="12"/>
  <c r="N39" i="12"/>
  <c r="M53" i="12"/>
  <c r="M99" i="12"/>
  <c r="M132" i="12"/>
  <c r="M91" i="12"/>
  <c r="M112" i="12"/>
  <c r="M39" i="12"/>
  <c r="AF33" i="26"/>
  <c r="Y52" i="12" s="1"/>
  <c r="AF20" i="26"/>
  <c r="Y39" i="12" s="1"/>
  <c r="AF22" i="26"/>
  <c r="Y41" i="12" s="1"/>
  <c r="AF13" i="26"/>
  <c r="Y32" i="12" s="1"/>
  <c r="AG129" i="26"/>
  <c r="AG131" i="26"/>
  <c r="AG98" i="26"/>
  <c r="AG100" i="26"/>
  <c r="AE101" i="26"/>
  <c r="X120" i="12" s="1"/>
  <c r="AG124" i="26"/>
  <c r="AG126" i="26"/>
  <c r="AE134" i="26"/>
  <c r="X153" i="12" s="1"/>
  <c r="AE136" i="26"/>
  <c r="X155" i="12" s="1"/>
  <c r="AE122" i="26"/>
  <c r="X141" i="12" s="1"/>
  <c r="AH113" i="26"/>
  <c r="AH115" i="26"/>
  <c r="AH101" i="26"/>
  <c r="AH93" i="26"/>
  <c r="AH95" i="26"/>
  <c r="AG82" i="26"/>
  <c r="AG84" i="26"/>
  <c r="AG70" i="26"/>
  <c r="AF87" i="26"/>
  <c r="Y106" i="12" s="1"/>
  <c r="AF89" i="26"/>
  <c r="Y108" i="12" s="1"/>
  <c r="AF75" i="26"/>
  <c r="Y94" i="12" s="1"/>
  <c r="AF67" i="26"/>
  <c r="Y86" i="12" s="1"/>
  <c r="AF69" i="26"/>
  <c r="Y88" i="12" s="1"/>
  <c r="AE80" i="26"/>
  <c r="X99" i="12" s="1"/>
  <c r="AE72" i="26"/>
  <c r="X91" i="12" s="1"/>
  <c r="AE74" i="26"/>
  <c r="X93" i="12" s="1"/>
  <c r="AH28" i="26"/>
  <c r="AG35" i="26"/>
  <c r="AG37" i="26"/>
  <c r="AG23" i="26"/>
  <c r="AH51" i="26"/>
  <c r="AH53" i="26"/>
  <c r="AG59" i="26"/>
  <c r="AG51" i="26"/>
  <c r="AG53" i="26"/>
  <c r="AG39" i="26"/>
  <c r="AF46" i="26"/>
  <c r="Y65" i="12" s="1"/>
  <c r="AF48" i="26"/>
  <c r="Y67" i="12" s="1"/>
  <c r="AE59" i="26"/>
  <c r="X78" i="12" s="1"/>
  <c r="AE51" i="26"/>
  <c r="X70" i="12" s="1"/>
  <c r="AE53" i="26"/>
  <c r="X72" i="12" s="1"/>
  <c r="AE30" i="26"/>
  <c r="X49" i="12" s="1"/>
  <c r="AE32" i="26"/>
  <c r="X51" i="12" s="1"/>
  <c r="AE18" i="26"/>
  <c r="X37" i="12" s="1"/>
  <c r="AF30" i="26"/>
  <c r="Y49" i="12" s="1"/>
  <c r="AF32" i="26"/>
  <c r="Y51" i="12" s="1"/>
  <c r="AG137" i="26"/>
  <c r="AG119" i="26"/>
  <c r="AG121" i="26"/>
  <c r="AE111" i="26"/>
  <c r="X130" i="12" s="1"/>
  <c r="AE93" i="26"/>
  <c r="X112" i="12" s="1"/>
  <c r="AE95" i="26"/>
  <c r="X114" i="12" s="1"/>
  <c r="AF134" i="26"/>
  <c r="Y153" i="12" s="1"/>
  <c r="AF136" i="26"/>
  <c r="Y155" i="12" s="1"/>
  <c r="AE139" i="26"/>
  <c r="X158" i="12" s="1"/>
  <c r="AE141" i="26"/>
  <c r="X160" i="12" s="1"/>
  <c r="AE121" i="26"/>
  <c r="X140" i="12" s="1"/>
  <c r="AH98" i="26"/>
  <c r="AH100" i="26"/>
  <c r="AF15" i="26"/>
  <c r="Y34" i="12" s="1"/>
  <c r="Y33" i="12"/>
  <c r="L56" i="12"/>
  <c r="L53" i="12"/>
  <c r="AF35" i="26"/>
  <c r="Y54" i="12" s="1"/>
  <c r="AF37" i="26"/>
  <c r="Y56" i="12" s="1"/>
  <c r="AF18" i="26"/>
  <c r="Y37" i="12" s="1"/>
  <c r="AG127" i="26"/>
  <c r="AG96" i="26"/>
  <c r="AE103" i="26"/>
  <c r="X122" i="12" s="1"/>
  <c r="AE105" i="26"/>
  <c r="X124" i="12" s="1"/>
  <c r="AG122" i="26"/>
  <c r="AE132" i="26"/>
  <c r="X151" i="12" s="1"/>
  <c r="AE124" i="26"/>
  <c r="X143" i="12" s="1"/>
  <c r="AE126" i="26"/>
  <c r="X145" i="12" s="1"/>
  <c r="AH111" i="26"/>
  <c r="AH103" i="26"/>
  <c r="AH105" i="26"/>
  <c r="AH91" i="26"/>
  <c r="AG80" i="26"/>
  <c r="AG72" i="26"/>
  <c r="AG74" i="26"/>
  <c r="AF85" i="26"/>
  <c r="Y104" i="12" s="1"/>
  <c r="AF77" i="26"/>
  <c r="Y96" i="12" s="1"/>
  <c r="AF79" i="26"/>
  <c r="Y98" i="12" s="1"/>
  <c r="AF65" i="26"/>
  <c r="Y84" i="12" s="1"/>
  <c r="AE82" i="26"/>
  <c r="X101" i="12" s="1"/>
  <c r="AE84" i="26"/>
  <c r="X103" i="12" s="1"/>
  <c r="AE70" i="26"/>
  <c r="X89" i="12" s="1"/>
  <c r="AH30" i="26"/>
  <c r="AH32" i="26"/>
  <c r="AG33" i="26"/>
  <c r="AG25" i="26"/>
  <c r="AG27" i="26"/>
  <c r="AH49" i="26"/>
  <c r="AG61" i="26"/>
  <c r="AG63" i="26"/>
  <c r="AG49" i="26"/>
  <c r="AG41" i="26"/>
  <c r="AG43" i="26"/>
  <c r="AF44" i="26"/>
  <c r="Y63" i="12" s="1"/>
  <c r="AE61" i="26"/>
  <c r="X80" i="12" s="1"/>
  <c r="AE63" i="26"/>
  <c r="X82" i="12" s="1"/>
  <c r="AE49" i="26"/>
  <c r="X68" i="12" s="1"/>
  <c r="AE28" i="26"/>
  <c r="X47" i="12" s="1"/>
  <c r="AE20" i="26"/>
  <c r="X39" i="12" s="1"/>
  <c r="AE22" i="26"/>
  <c r="X41" i="12" s="1"/>
  <c r="AE16" i="26"/>
  <c r="X35" i="12" s="1"/>
  <c r="AF28" i="26"/>
  <c r="Y47" i="12" s="1"/>
  <c r="AG139" i="26"/>
  <c r="AG141" i="26"/>
  <c r="AG117" i="26"/>
  <c r="AE113" i="26"/>
  <c r="X132" i="12" s="1"/>
  <c r="AE115" i="26"/>
  <c r="X134" i="12" s="1"/>
  <c r="AE91" i="26"/>
  <c r="X110" i="12" s="1"/>
  <c r="AF132" i="26"/>
  <c r="Y151" i="12" s="1"/>
  <c r="AF124" i="26"/>
  <c r="Y143" i="12" s="1"/>
  <c r="AF126" i="26"/>
  <c r="Y145" i="12" s="1"/>
  <c r="AE137" i="26"/>
  <c r="X156" i="12" s="1"/>
  <c r="AE129" i="26"/>
  <c r="X148" i="12" s="1"/>
  <c r="AE131" i="26"/>
  <c r="X150" i="12" s="1"/>
  <c r="AE117" i="26"/>
  <c r="X136" i="12" s="1"/>
  <c r="AH108" i="26"/>
  <c r="AH110" i="26"/>
  <c r="AH96" i="26"/>
  <c r="AG113" i="26"/>
  <c r="AG115" i="26"/>
  <c r="AG101" i="26"/>
  <c r="AG93" i="26"/>
  <c r="AG95" i="26"/>
  <c r="AH80" i="26"/>
  <c r="AH74" i="26"/>
  <c r="AG85" i="26"/>
  <c r="AG65" i="26"/>
  <c r="AF82" i="26"/>
  <c r="Y101" i="12" s="1"/>
  <c r="AF70" i="26"/>
  <c r="Y89" i="12" s="1"/>
  <c r="AE75" i="26"/>
  <c r="X94" i="12" s="1"/>
  <c r="AH33" i="26"/>
  <c r="AH39" i="26"/>
  <c r="AF39" i="26"/>
  <c r="Y58" i="12" s="1"/>
  <c r="AE44" i="26"/>
  <c r="X63" i="12" s="1"/>
  <c r="AE15" i="26"/>
  <c r="X34" i="12" s="1"/>
  <c r="X33" i="12"/>
  <c r="AF17" i="26"/>
  <c r="Y36" i="12" s="1"/>
  <c r="AE13" i="26"/>
  <c r="X32" i="12" s="1"/>
  <c r="AF122" i="26"/>
  <c r="Y141" i="12" s="1"/>
  <c r="AE127" i="26"/>
  <c r="X146" i="12" s="1"/>
  <c r="AE119" i="26"/>
  <c r="X138" i="12" s="1"/>
  <c r="AH106" i="26"/>
  <c r="AG111" i="26"/>
  <c r="AG103" i="26"/>
  <c r="AG105" i="26"/>
  <c r="AG91" i="26"/>
  <c r="AH82" i="26"/>
  <c r="AH84" i="26"/>
  <c r="AH70" i="26"/>
  <c r="AG87" i="26"/>
  <c r="AG89" i="26"/>
  <c r="AG75" i="26"/>
  <c r="AG67" i="26"/>
  <c r="AG69" i="26"/>
  <c r="AF80" i="26"/>
  <c r="Y99" i="12" s="1"/>
  <c r="AF72" i="26"/>
  <c r="Y91" i="12" s="1"/>
  <c r="AF74" i="26"/>
  <c r="Y93" i="12" s="1"/>
  <c r="AE85" i="26"/>
  <c r="X104" i="12" s="1"/>
  <c r="AE77" i="26"/>
  <c r="X96" i="12" s="1"/>
  <c r="AE79" i="26"/>
  <c r="X98" i="12" s="1"/>
  <c r="AE65" i="26"/>
  <c r="X84" i="12" s="1"/>
  <c r="AH35" i="26"/>
  <c r="AH37" i="26"/>
  <c r="AH17" i="26"/>
  <c r="AH13" i="26"/>
  <c r="AG30" i="26"/>
  <c r="AG32" i="26"/>
  <c r="AG18" i="26"/>
  <c r="AH54" i="26"/>
  <c r="AH41" i="26"/>
  <c r="AH43" i="26"/>
  <c r="AG54" i="26"/>
  <c r="AG46" i="26"/>
  <c r="AG48" i="26"/>
  <c r="AF59" i="26"/>
  <c r="Y78" i="12" s="1"/>
  <c r="AF41" i="26"/>
  <c r="Y60" i="12" s="1"/>
  <c r="AF43" i="26"/>
  <c r="Y62" i="12" s="1"/>
  <c r="AE54" i="26"/>
  <c r="X73" i="12" s="1"/>
  <c r="AE46" i="26"/>
  <c r="X65" i="12" s="1"/>
  <c r="AE48" i="26"/>
  <c r="X67" i="12" s="1"/>
  <c r="L55" i="12"/>
  <c r="L38" i="12"/>
  <c r="L40" i="12"/>
  <c r="L41" i="12"/>
  <c r="F39" i="23"/>
  <c r="G39" i="23"/>
  <c r="B39" i="23"/>
  <c r="D204" i="11"/>
  <c r="D249" i="11"/>
  <c r="K15" i="26"/>
  <c r="K21" i="26"/>
  <c r="K22" i="26"/>
  <c r="L29" i="26"/>
  <c r="M29" i="26" s="1"/>
  <c r="N29" i="26" s="1"/>
  <c r="O29" i="26" s="1"/>
  <c r="P29" i="26" s="1"/>
  <c r="Q29" i="26" s="1"/>
  <c r="R29" i="26" s="1"/>
  <c r="S29" i="26" s="1"/>
  <c r="T29" i="26" s="1"/>
  <c r="U29" i="26" s="1"/>
  <c r="L31" i="26"/>
  <c r="M31" i="26" s="1"/>
  <c r="N31" i="26" s="1"/>
  <c r="O31" i="26" s="1"/>
  <c r="P31" i="26" s="1"/>
  <c r="Q31" i="26" s="1"/>
  <c r="R31" i="26" s="1"/>
  <c r="S31" i="26" s="1"/>
  <c r="T31" i="26" s="1"/>
  <c r="U31" i="26" s="1"/>
  <c r="L27" i="26"/>
  <c r="M27" i="26" s="1"/>
  <c r="N27" i="26" s="1"/>
  <c r="K24" i="26"/>
  <c r="K27" i="26"/>
  <c r="K36" i="26"/>
  <c r="L48" i="26"/>
  <c r="M48" i="26" s="1"/>
  <c r="N48" i="26" s="1"/>
  <c r="O48" i="26" s="1"/>
  <c r="P48" i="26" s="1"/>
  <c r="Q48" i="26" s="1"/>
  <c r="R48" i="26" s="1"/>
  <c r="S48" i="26" s="1"/>
  <c r="T48" i="26" s="1"/>
  <c r="U48" i="26" s="1"/>
  <c r="K115" i="26"/>
  <c r="K105" i="26"/>
  <c r="K95" i="26"/>
  <c r="K57" i="26"/>
  <c r="K55" i="26"/>
  <c r="K47" i="26"/>
  <c r="K45" i="26"/>
  <c r="K83" i="26"/>
  <c r="K81" i="26"/>
  <c r="K68" i="26"/>
  <c r="K66" i="26"/>
  <c r="K110" i="26"/>
  <c r="K100" i="26"/>
  <c r="K42" i="26"/>
  <c r="K40" i="26"/>
  <c r="K73" i="26"/>
  <c r="K71" i="26"/>
  <c r="M28" i="26"/>
  <c r="L47" i="12"/>
  <c r="N13" i="26"/>
  <c r="M32" i="12"/>
  <c r="K20" i="26"/>
  <c r="L25" i="26"/>
  <c r="M25" i="26" s="1"/>
  <c r="K35" i="26"/>
  <c r="K25" i="26"/>
  <c r="L54" i="12"/>
  <c r="L39" i="12"/>
  <c r="C204" i="11"/>
  <c r="K19" i="26"/>
  <c r="L32" i="26"/>
  <c r="M32" i="26" s="1"/>
  <c r="N32" i="26" s="1"/>
  <c r="O32" i="26" s="1"/>
  <c r="P32" i="26" s="1"/>
  <c r="Q32" i="26" s="1"/>
  <c r="R32" i="26" s="1"/>
  <c r="S32" i="26" s="1"/>
  <c r="T32" i="26" s="1"/>
  <c r="U32" i="26" s="1"/>
  <c r="L15" i="26"/>
  <c r="M15" i="26" s="1"/>
  <c r="L24" i="26"/>
  <c r="M24" i="26" s="1"/>
  <c r="N24" i="26" s="1"/>
  <c r="L26" i="26"/>
  <c r="M26" i="26" s="1"/>
  <c r="N26" i="26" s="1"/>
  <c r="K26" i="26"/>
  <c r="K34" i="26"/>
  <c r="K37" i="26"/>
  <c r="L47" i="26"/>
  <c r="M47" i="26" s="1"/>
  <c r="N47" i="26" s="1"/>
  <c r="O47" i="26" s="1"/>
  <c r="P47" i="26" s="1"/>
  <c r="Q47" i="26" s="1"/>
  <c r="R47" i="26" s="1"/>
  <c r="S47" i="26" s="1"/>
  <c r="T47" i="26" s="1"/>
  <c r="U47" i="26" s="1"/>
  <c r="L45" i="26"/>
  <c r="M45" i="26" s="1"/>
  <c r="N45" i="26" s="1"/>
  <c r="O45" i="26" s="1"/>
  <c r="P45" i="26" s="1"/>
  <c r="Q45" i="26" s="1"/>
  <c r="R45" i="26" s="1"/>
  <c r="S45" i="26" s="1"/>
  <c r="T45" i="26" s="1"/>
  <c r="U45" i="26" s="1"/>
  <c r="K114" i="26"/>
  <c r="K112" i="26"/>
  <c r="K104" i="26"/>
  <c r="K102" i="26"/>
  <c r="K94" i="26"/>
  <c r="K92" i="26"/>
  <c r="K58" i="26"/>
  <c r="K48" i="26"/>
  <c r="K84" i="26"/>
  <c r="K69" i="26"/>
  <c r="K109" i="26"/>
  <c r="K107" i="26"/>
  <c r="K99" i="26"/>
  <c r="K97" i="26"/>
  <c r="K43" i="26"/>
  <c r="K74" i="26"/>
  <c r="L30" i="26"/>
  <c r="M30" i="26" s="1"/>
  <c r="N35" i="26"/>
  <c r="M54" i="12"/>
  <c r="M23" i="26"/>
  <c r="L42" i="12"/>
  <c r="M56" i="12"/>
  <c r="C136" i="12"/>
  <c r="C42" i="12"/>
  <c r="D32" i="12"/>
  <c r="D25" i="11" s="1"/>
  <c r="D32" i="11"/>
  <c r="N41" i="12"/>
  <c r="N40" i="12"/>
  <c r="C47" i="12"/>
  <c r="N53" i="12"/>
  <c r="N56" i="12"/>
  <c r="O37" i="12"/>
  <c r="C125" i="12"/>
  <c r="C118" i="11" s="1"/>
  <c r="C110" i="12"/>
  <c r="C141" i="12"/>
  <c r="C89" i="12"/>
  <c r="D139" i="11"/>
  <c r="D71" i="11"/>
  <c r="D97" i="11"/>
  <c r="D61" i="11"/>
  <c r="A119" i="26"/>
  <c r="C118" i="26"/>
  <c r="D137" i="12" s="1"/>
  <c r="M153" i="12"/>
  <c r="M143" i="12"/>
  <c r="L158" i="12"/>
  <c r="L148" i="12"/>
  <c r="L138" i="12"/>
  <c r="M117" i="12"/>
  <c r="L127" i="12"/>
  <c r="L117" i="12"/>
  <c r="M80" i="12"/>
  <c r="M70" i="12"/>
  <c r="M60" i="12"/>
  <c r="L75" i="12"/>
  <c r="L60" i="12"/>
  <c r="D35" i="11"/>
  <c r="L101" i="12"/>
  <c r="L91" i="12"/>
  <c r="D45" i="11"/>
  <c r="C30" i="11"/>
  <c r="D108" i="11"/>
  <c r="D123" i="11"/>
  <c r="D103" i="11"/>
  <c r="C120" i="12"/>
  <c r="C104" i="26"/>
  <c r="D123" i="12" s="1"/>
  <c r="A105" i="26"/>
  <c r="C105" i="26" s="1"/>
  <c r="D124" i="12" s="1"/>
  <c r="D110" i="11"/>
  <c r="C83" i="26"/>
  <c r="D102" i="12" s="1"/>
  <c r="A84" i="26"/>
  <c r="C84" i="26" s="1"/>
  <c r="D103" i="12" s="1"/>
  <c r="D79" i="11"/>
  <c r="C62" i="26"/>
  <c r="D81" i="12" s="1"/>
  <c r="A63" i="26"/>
  <c r="C63" i="26" s="1"/>
  <c r="D82" i="12" s="1"/>
  <c r="C52" i="26"/>
  <c r="D71" i="12" s="1"/>
  <c r="A53" i="26"/>
  <c r="C53" i="26" s="1"/>
  <c r="D72" i="12" s="1"/>
  <c r="C135" i="26"/>
  <c r="D154" i="12" s="1"/>
  <c r="A136" i="26"/>
  <c r="C136" i="26" s="1"/>
  <c r="D155" i="12" s="1"/>
  <c r="D141" i="11"/>
  <c r="C125" i="26"/>
  <c r="D144" i="12" s="1"/>
  <c r="A126" i="26"/>
  <c r="C126" i="26" s="1"/>
  <c r="D145" i="12" s="1"/>
  <c r="O125" i="12"/>
  <c r="C114" i="26"/>
  <c r="D133" i="12" s="1"/>
  <c r="A115" i="26"/>
  <c r="C115" i="26" s="1"/>
  <c r="D134" i="12" s="1"/>
  <c r="D120" i="11"/>
  <c r="C94" i="26"/>
  <c r="D113" i="12" s="1"/>
  <c r="A95" i="26"/>
  <c r="C95" i="26" s="1"/>
  <c r="D114" i="12" s="1"/>
  <c r="O89" i="12"/>
  <c r="D99" i="11"/>
  <c r="C73" i="26"/>
  <c r="D92" i="12" s="1"/>
  <c r="A74" i="26"/>
  <c r="C74" i="26" s="1"/>
  <c r="D93" i="12" s="1"/>
  <c r="D68" i="11"/>
  <c r="C42" i="26"/>
  <c r="D61" i="12" s="1"/>
  <c r="A43" i="26"/>
  <c r="C43" i="26" s="1"/>
  <c r="D62" i="12" s="1"/>
  <c r="N120" i="12"/>
  <c r="N115" i="12"/>
  <c r="N151" i="12"/>
  <c r="N141" i="12"/>
  <c r="N104" i="12"/>
  <c r="N94" i="12"/>
  <c r="N78" i="12"/>
  <c r="N68" i="12"/>
  <c r="N58" i="12"/>
  <c r="O39" i="12"/>
  <c r="C78" i="12"/>
  <c r="D42" i="11"/>
  <c r="N38" i="12"/>
  <c r="D37" i="11"/>
  <c r="D47" i="11"/>
  <c r="N55" i="12"/>
  <c r="C52" i="12"/>
  <c r="O52" i="12"/>
  <c r="C156" i="12"/>
  <c r="C149" i="11" s="1"/>
  <c r="C140" i="11"/>
  <c r="C93" i="11"/>
  <c r="C130" i="12"/>
  <c r="C104" i="12"/>
  <c r="N127" i="12"/>
  <c r="N91" i="12"/>
  <c r="N130" i="12"/>
  <c r="N110" i="12"/>
  <c r="D136" i="12"/>
  <c r="N156" i="12"/>
  <c r="N146" i="12"/>
  <c r="N136" i="12"/>
  <c r="N84" i="12"/>
  <c r="N73" i="12"/>
  <c r="N63" i="12"/>
  <c r="N99" i="12"/>
  <c r="C63" i="12"/>
  <c r="C99" i="26"/>
  <c r="D118" i="12" s="1"/>
  <c r="A100" i="26"/>
  <c r="C100" i="26" s="1"/>
  <c r="D119" i="12" s="1"/>
  <c r="D94" i="11"/>
  <c r="C78" i="26"/>
  <c r="D97" i="12" s="1"/>
  <c r="A79" i="26"/>
  <c r="C79" i="26" s="1"/>
  <c r="D98" i="12" s="1"/>
  <c r="C68" i="26"/>
  <c r="D87" i="12" s="1"/>
  <c r="A69" i="26"/>
  <c r="C69" i="26" s="1"/>
  <c r="D88" i="12" s="1"/>
  <c r="D73" i="11"/>
  <c r="D63" i="11"/>
  <c r="C140" i="26"/>
  <c r="D159" i="12" s="1"/>
  <c r="D152" i="11" s="1"/>
  <c r="A141" i="26"/>
  <c r="C141" i="26" s="1"/>
  <c r="D160" i="12" s="1"/>
  <c r="D153" i="11" s="1"/>
  <c r="C130" i="26"/>
  <c r="D149" i="12" s="1"/>
  <c r="A131" i="26"/>
  <c r="C131" i="26" s="1"/>
  <c r="D150" i="12" s="1"/>
  <c r="D136" i="11"/>
  <c r="D125" i="11"/>
  <c r="C109" i="26"/>
  <c r="D128" i="12" s="1"/>
  <c r="A110" i="26"/>
  <c r="C110" i="26" s="1"/>
  <c r="D129" i="12" s="1"/>
  <c r="D105" i="11"/>
  <c r="C88" i="26"/>
  <c r="D107" i="12" s="1"/>
  <c r="A89" i="26"/>
  <c r="C89" i="26" s="1"/>
  <c r="D108" i="12" s="1"/>
  <c r="D84" i="11"/>
  <c r="C57" i="26"/>
  <c r="D76" i="12" s="1"/>
  <c r="A58" i="26"/>
  <c r="C58" i="26" s="1"/>
  <c r="D77" i="12" s="1"/>
  <c r="C47" i="26"/>
  <c r="D66" i="12" s="1"/>
  <c r="A48" i="26"/>
  <c r="C48" i="26" s="1"/>
  <c r="D67" i="12" s="1"/>
  <c r="D53" i="11"/>
  <c r="D134" i="11"/>
  <c r="D113" i="11"/>
  <c r="D82" i="11"/>
  <c r="C77" i="11"/>
  <c r="D92" i="11"/>
  <c r="D66" i="11"/>
  <c r="D51" i="11"/>
  <c r="C66" i="11"/>
  <c r="D40" i="11"/>
  <c r="D30" i="11"/>
  <c r="L153" i="12"/>
  <c r="C61" i="11"/>
  <c r="L143" i="12"/>
  <c r="M158" i="12"/>
  <c r="M148" i="12"/>
  <c r="M138" i="12"/>
  <c r="M127" i="12"/>
  <c r="L132" i="12"/>
  <c r="L122" i="12"/>
  <c r="L112" i="12"/>
  <c r="M75" i="12"/>
  <c r="M65" i="12"/>
  <c r="L80" i="12"/>
  <c r="L70" i="12"/>
  <c r="L106" i="12"/>
  <c r="L96" i="12"/>
  <c r="L86" i="12"/>
  <c r="C144" i="11"/>
  <c r="D144" i="11"/>
  <c r="D77" i="11"/>
  <c r="B129" i="26"/>
  <c r="C148" i="12" s="1"/>
  <c r="D130" i="26"/>
  <c r="E149" i="12" s="1"/>
  <c r="B41" i="26"/>
  <c r="C60" i="12" s="1"/>
  <c r="D83" i="26"/>
  <c r="E102" i="12" s="1"/>
  <c r="D62" i="26"/>
  <c r="E81" i="12" s="1"/>
  <c r="B119" i="26"/>
  <c r="C138" i="12" s="1"/>
  <c r="D120" i="26"/>
  <c r="E139" i="12" s="1"/>
  <c r="D51" i="26"/>
  <c r="E70" i="12" s="1"/>
  <c r="B50" i="26"/>
  <c r="C69" i="12" s="1"/>
  <c r="D108" i="26"/>
  <c r="E127" i="12" s="1"/>
  <c r="B107" i="26"/>
  <c r="C126" i="12" s="1"/>
  <c r="C119" i="11" s="1"/>
  <c r="D93" i="26"/>
  <c r="E112" i="12" s="1"/>
  <c r="B92" i="26"/>
  <c r="C111" i="12" s="1"/>
  <c r="D124" i="26"/>
  <c r="E143" i="12" s="1"/>
  <c r="B123" i="26"/>
  <c r="C142" i="12" s="1"/>
  <c r="C135" i="11" s="1"/>
  <c r="D134" i="26"/>
  <c r="E153" i="12" s="1"/>
  <c r="B133" i="26"/>
  <c r="C152" i="12" s="1"/>
  <c r="C145" i="11" s="1"/>
  <c r="D103" i="26"/>
  <c r="E122" i="12" s="1"/>
  <c r="B102" i="26"/>
  <c r="C121" i="12" s="1"/>
  <c r="D56" i="26"/>
  <c r="E75" i="12" s="1"/>
  <c r="B55" i="26"/>
  <c r="C74" i="12" s="1"/>
  <c r="D113" i="26"/>
  <c r="E132" i="12" s="1"/>
  <c r="B112" i="26"/>
  <c r="C131" i="12" s="1"/>
  <c r="D87" i="26"/>
  <c r="E106" i="12" s="1"/>
  <c r="B86" i="26"/>
  <c r="C105" i="12" s="1"/>
  <c r="D46" i="26"/>
  <c r="E65" i="12" s="1"/>
  <c r="B45" i="26"/>
  <c r="C64" i="12" s="1"/>
  <c r="D72" i="26"/>
  <c r="E91" i="12" s="1"/>
  <c r="B71" i="26"/>
  <c r="C90" i="12" s="1"/>
  <c r="D139" i="26"/>
  <c r="E158" i="12" s="1"/>
  <c r="B138" i="26"/>
  <c r="C157" i="12" s="1"/>
  <c r="C150" i="11" s="1"/>
  <c r="D98" i="26"/>
  <c r="E117" i="12" s="1"/>
  <c r="B97" i="26"/>
  <c r="C116" i="12" s="1"/>
  <c r="D77" i="26"/>
  <c r="E96" i="12" s="1"/>
  <c r="B76" i="26"/>
  <c r="C95" i="12" s="1"/>
  <c r="A37" i="26"/>
  <c r="C37" i="26" s="1"/>
  <c r="D56" i="12" s="1"/>
  <c r="C36" i="26"/>
  <c r="D55" i="12" s="1"/>
  <c r="D35" i="26"/>
  <c r="E54" i="12" s="1"/>
  <c r="B34" i="26"/>
  <c r="C53" i="12" s="1"/>
  <c r="A22" i="26"/>
  <c r="C22" i="26" s="1"/>
  <c r="D41" i="12" s="1"/>
  <c r="C21" i="26"/>
  <c r="D40" i="12" s="1"/>
  <c r="K14" i="26"/>
  <c r="B25" i="26"/>
  <c r="C44" i="12" s="1"/>
  <c r="D26" i="26"/>
  <c r="E45" i="12" s="1"/>
  <c r="C26" i="26"/>
  <c r="D45" i="12" s="1"/>
  <c r="A27" i="26"/>
  <c r="C27" i="26" s="1"/>
  <c r="D46" i="12" s="1"/>
  <c r="A32" i="26"/>
  <c r="C32" i="26" s="1"/>
  <c r="D51" i="12" s="1"/>
  <c r="C31" i="26"/>
  <c r="D50" i="12" s="1"/>
  <c r="L14" i="26"/>
  <c r="D30" i="26"/>
  <c r="E49" i="12" s="1"/>
  <c r="B29" i="26"/>
  <c r="C48" i="12" s="1"/>
  <c r="D20" i="26"/>
  <c r="E39" i="12" s="1"/>
  <c r="B19" i="26"/>
  <c r="C38" i="12" s="1"/>
  <c r="A16" i="26"/>
  <c r="C15" i="26"/>
  <c r="D34" i="12" s="1"/>
  <c r="B14" i="26"/>
  <c r="C33" i="12" s="1"/>
  <c r="B13" i="26"/>
  <c r="O432" i="58"/>
  <c r="P8" i="58"/>
  <c r="O759" i="58"/>
  <c r="P7" i="58"/>
  <c r="O866" i="58"/>
  <c r="O580" i="58"/>
  <c r="M48" i="12" l="1"/>
  <c r="M46" i="12"/>
  <c r="B191" i="62"/>
  <c r="B67" i="62"/>
  <c r="B172" i="62"/>
  <c r="B48" i="62"/>
  <c r="B167" i="62"/>
  <c r="B43" i="62"/>
  <c r="B82" i="62"/>
  <c r="B206" i="62"/>
  <c r="B68" i="62"/>
  <c r="B192" i="62"/>
  <c r="B83" i="62"/>
  <c r="B207" i="62"/>
  <c r="B156" i="62"/>
  <c r="B32" i="62"/>
  <c r="B27" i="62"/>
  <c r="B151" i="62"/>
  <c r="C36" i="11"/>
  <c r="B147" i="62"/>
  <c r="B23" i="62"/>
  <c r="C56" i="11"/>
  <c r="B166" i="62"/>
  <c r="B42" i="62"/>
  <c r="B148" i="62"/>
  <c r="B24" i="62"/>
  <c r="C53" i="11"/>
  <c r="B39" i="62"/>
  <c r="B163" i="62"/>
  <c r="C52" i="11"/>
  <c r="B38" i="62"/>
  <c r="B162" i="62"/>
  <c r="B152" i="62"/>
  <c r="B28" i="62"/>
  <c r="B177" i="62"/>
  <c r="B53" i="62"/>
  <c r="B146" i="62"/>
  <c r="B22" i="62"/>
  <c r="B33" i="62"/>
  <c r="B157" i="62"/>
  <c r="B57" i="62"/>
  <c r="B181" i="62"/>
  <c r="C72" i="11"/>
  <c r="B58" i="62"/>
  <c r="B182" i="62"/>
  <c r="C78" i="11"/>
  <c r="B187" i="62"/>
  <c r="B63" i="62"/>
  <c r="B137" i="62"/>
  <c r="B13" i="62"/>
  <c r="B73" i="62"/>
  <c r="B197" i="62"/>
  <c r="B142" i="62"/>
  <c r="B18" i="62"/>
  <c r="V9" i="12"/>
  <c r="V10" i="12"/>
  <c r="O900" i="58"/>
  <c r="N497" i="58"/>
  <c r="O186" i="58"/>
  <c r="O56" i="58" s="1"/>
  <c r="O82" i="58" s="1"/>
  <c r="O108" i="58" s="1"/>
  <c r="O134" i="58" s="1"/>
  <c r="O160" i="58" s="1"/>
  <c r="O891" i="58"/>
  <c r="O756" i="58"/>
  <c r="N483" i="58"/>
  <c r="O876" i="58"/>
  <c r="O745" i="58"/>
  <c r="O603" i="58"/>
  <c r="N524" i="58"/>
  <c r="O892" i="58"/>
  <c r="N970" i="58"/>
  <c r="N496" i="58"/>
  <c r="O192" i="58"/>
  <c r="O62" i="58" s="1"/>
  <c r="O88" i="58" s="1"/>
  <c r="O114" i="58" s="1"/>
  <c r="O140" i="58" s="1"/>
  <c r="O166" i="58" s="1"/>
  <c r="O875" i="58"/>
  <c r="N474" i="58"/>
  <c r="O867" i="58"/>
  <c r="O244" i="58"/>
  <c r="O711" i="58"/>
  <c r="O757" i="58"/>
  <c r="D68" i="26"/>
  <c r="E87" i="12" s="1"/>
  <c r="O408" i="58"/>
  <c r="O227" i="58"/>
  <c r="N494" i="58"/>
  <c r="O901" i="58"/>
  <c r="N457" i="58"/>
  <c r="N507" i="58"/>
  <c r="O218" i="58"/>
  <c r="O226" i="58"/>
  <c r="O563" i="58"/>
  <c r="O719" i="58"/>
  <c r="O213" i="58"/>
  <c r="O424" i="58"/>
  <c r="O191" i="58"/>
  <c r="O61" i="58" s="1"/>
  <c r="O87" i="58" s="1"/>
  <c r="O113" i="58" s="1"/>
  <c r="O139" i="58" s="1"/>
  <c r="O165" i="58" s="1"/>
  <c r="O243" i="58"/>
  <c r="O532" i="58"/>
  <c r="O704" i="58"/>
  <c r="O693" i="58"/>
  <c r="O537" i="58"/>
  <c r="O534" i="58"/>
  <c r="O865" i="58"/>
  <c r="O709" i="58"/>
  <c r="O691" i="58"/>
  <c r="O535" i="58"/>
  <c r="O860" i="58"/>
  <c r="O849" i="58"/>
  <c r="O553" i="58"/>
  <c r="O847" i="58"/>
  <c r="O696" i="58"/>
  <c r="O844" i="58"/>
  <c r="O688" i="58"/>
  <c r="O548" i="58"/>
  <c r="O846" i="58"/>
  <c r="O690" i="58"/>
  <c r="O852" i="58"/>
  <c r="O540" i="58"/>
  <c r="O689" i="58"/>
  <c r="O533" i="58"/>
  <c r="O859" i="58"/>
  <c r="O702" i="58"/>
  <c r="O855" i="58"/>
  <c r="O848" i="58"/>
  <c r="O692" i="58"/>
  <c r="O701" i="58"/>
  <c r="O545" i="58"/>
  <c r="O845" i="58"/>
  <c r="O858" i="58"/>
  <c r="O546" i="58"/>
  <c r="O694" i="58"/>
  <c r="O699" i="58"/>
  <c r="O536" i="58"/>
  <c r="O854" i="58"/>
  <c r="O857" i="58"/>
  <c r="O856" i="58"/>
  <c r="O544" i="58"/>
  <c r="O695" i="58"/>
  <c r="O697" i="58"/>
  <c r="O538" i="58"/>
  <c r="O705" i="58"/>
  <c r="O549" i="58"/>
  <c r="O543" i="58"/>
  <c r="O698" i="58"/>
  <c r="O542" i="58"/>
  <c r="O708" i="58"/>
  <c r="O552" i="58"/>
  <c r="O700" i="58"/>
  <c r="O703" i="58"/>
  <c r="O547" i="58"/>
  <c r="O851" i="58"/>
  <c r="O539" i="58"/>
  <c r="O853" i="58"/>
  <c r="O541" i="58"/>
  <c r="O850" i="58"/>
  <c r="O861" i="58"/>
  <c r="O864" i="58"/>
  <c r="O268" i="58"/>
  <c r="O599" i="58"/>
  <c r="O758" i="58"/>
  <c r="O602" i="58"/>
  <c r="O265" i="58"/>
  <c r="O752" i="58"/>
  <c r="O596" i="58"/>
  <c r="O259" i="58"/>
  <c r="O917" i="58"/>
  <c r="O262" i="58"/>
  <c r="O594" i="58"/>
  <c r="O257" i="58"/>
  <c r="O761" i="58"/>
  <c r="O911" i="58"/>
  <c r="O914" i="58"/>
  <c r="O908" i="58"/>
  <c r="O605" i="58"/>
  <c r="O755" i="58"/>
  <c r="O906" i="58"/>
  <c r="O750" i="58"/>
  <c r="O256" i="58"/>
  <c r="O260" i="58"/>
  <c r="O269" i="58"/>
  <c r="O910" i="58"/>
  <c r="O741" i="58"/>
  <c r="O903" i="58"/>
  <c r="O907" i="58"/>
  <c r="O247" i="58"/>
  <c r="O740" i="58"/>
  <c r="O584" i="58"/>
  <c r="O587" i="58"/>
  <c r="O902" i="58"/>
  <c r="O746" i="58"/>
  <c r="O904" i="58"/>
  <c r="O748" i="58"/>
  <c r="O898" i="58"/>
  <c r="O905" i="58"/>
  <c r="O909" i="58"/>
  <c r="O585" i="58"/>
  <c r="O747" i="58"/>
  <c r="O751" i="58"/>
  <c r="O895" i="58"/>
  <c r="O250" i="58"/>
  <c r="O894" i="58"/>
  <c r="O916" i="58"/>
  <c r="O749" i="58"/>
  <c r="O753" i="58"/>
  <c r="O754" i="58"/>
  <c r="O598" i="58"/>
  <c r="O261" i="58"/>
  <c r="O248" i="58"/>
  <c r="O591" i="58"/>
  <c r="O595" i="58"/>
  <c r="O739" i="58"/>
  <c r="O896" i="58"/>
  <c r="O899" i="58"/>
  <c r="O590" i="58"/>
  <c r="O253" i="58"/>
  <c r="O592" i="58"/>
  <c r="O255" i="58"/>
  <c r="O742" i="58"/>
  <c r="O586" i="58"/>
  <c r="O249" i="58"/>
  <c r="O593" i="58"/>
  <c r="O597" i="58"/>
  <c r="O897" i="58"/>
  <c r="O254" i="58"/>
  <c r="O258" i="58"/>
  <c r="O583" i="58"/>
  <c r="O743" i="58"/>
  <c r="O738" i="58"/>
  <c r="O582" i="58"/>
  <c r="O246" i="58"/>
  <c r="O760" i="58"/>
  <c r="O604" i="58"/>
  <c r="O267" i="58"/>
  <c r="P17" i="58"/>
  <c r="P10" i="58"/>
  <c r="P20" i="58" s="1"/>
  <c r="P18" i="58"/>
  <c r="P9" i="58"/>
  <c r="P19" i="58" s="1"/>
  <c r="B67" i="26"/>
  <c r="C86" i="12" s="1"/>
  <c r="M66" i="12"/>
  <c r="V13" i="12"/>
  <c r="O433" i="58"/>
  <c r="O251" i="58"/>
  <c r="O588" i="58"/>
  <c r="N458" i="58"/>
  <c r="N508" i="58"/>
  <c r="O422" i="58"/>
  <c r="O201" i="58"/>
  <c r="O564" i="58"/>
  <c r="O252" i="58"/>
  <c r="N472" i="58"/>
  <c r="N522" i="58"/>
  <c r="O554" i="58"/>
  <c r="O710" i="58"/>
  <c r="O200" i="58"/>
  <c r="O915" i="58"/>
  <c r="O212" i="58"/>
  <c r="O575" i="58"/>
  <c r="O576" i="58"/>
  <c r="O887" i="58"/>
  <c r="O888" i="58"/>
  <c r="O190" i="58"/>
  <c r="O60" i="58" s="1"/>
  <c r="O86" i="58" s="1"/>
  <c r="O112" i="58" s="1"/>
  <c r="O138" i="58" s="1"/>
  <c r="O164" i="58" s="1"/>
  <c r="O242" i="58"/>
  <c r="O579" i="58"/>
  <c r="O735" i="58"/>
  <c r="O449" i="58"/>
  <c r="O551" i="58"/>
  <c r="O407" i="58"/>
  <c r="O217" i="58"/>
  <c r="O264" i="58"/>
  <c r="O734" i="58"/>
  <c r="O578" i="58"/>
  <c r="O215" i="58"/>
  <c r="O241" i="58"/>
  <c r="O189" i="58"/>
  <c r="O59" i="58" s="1"/>
  <c r="O85" i="58" s="1"/>
  <c r="O111" i="58" s="1"/>
  <c r="O137" i="58" s="1"/>
  <c r="O163" i="58" s="1"/>
  <c r="O890" i="58"/>
  <c r="O727" i="58"/>
  <c r="O571" i="58"/>
  <c r="O234" i="58"/>
  <c r="O182" i="58"/>
  <c r="O52" i="58" s="1"/>
  <c r="O78" i="58" s="1"/>
  <c r="O104" i="58" s="1"/>
  <c r="O130" i="58" s="1"/>
  <c r="O156" i="58" s="1"/>
  <c r="O722" i="58"/>
  <c r="O177" i="58"/>
  <c r="O47" i="58" s="1"/>
  <c r="O73" i="58" s="1"/>
  <c r="O99" i="58" s="1"/>
  <c r="O125" i="58" s="1"/>
  <c r="O151" i="58" s="1"/>
  <c r="O886" i="58"/>
  <c r="O880" i="58"/>
  <c r="O205" i="58"/>
  <c r="O869" i="58"/>
  <c r="O558" i="58"/>
  <c r="O195" i="58"/>
  <c r="O196" i="58"/>
  <c r="O198" i="58"/>
  <c r="O202" i="58"/>
  <c r="O723" i="58"/>
  <c r="O567" i="58"/>
  <c r="O230" i="58"/>
  <c r="O889" i="58"/>
  <c r="O214" i="58"/>
  <c r="O233" i="58"/>
  <c r="O181" i="58"/>
  <c r="O51" i="58" s="1"/>
  <c r="O77" i="58" s="1"/>
  <c r="O103" i="58" s="1"/>
  <c r="O129" i="58" s="1"/>
  <c r="O155" i="58" s="1"/>
  <c r="O206" i="58"/>
  <c r="O572" i="58"/>
  <c r="O209" i="58"/>
  <c r="O566" i="58"/>
  <c r="O203" i="58"/>
  <c r="O730" i="58"/>
  <c r="O211" i="58"/>
  <c r="O724" i="58"/>
  <c r="O168" i="58"/>
  <c r="O38" i="58" s="1"/>
  <c r="O64" i="58" s="1"/>
  <c r="O90" i="58" s="1"/>
  <c r="O116" i="58" s="1"/>
  <c r="O142" i="58" s="1"/>
  <c r="O221" i="58"/>
  <c r="O885" i="58"/>
  <c r="O715" i="58"/>
  <c r="O559" i="58"/>
  <c r="O222" i="58"/>
  <c r="O716" i="58"/>
  <c r="O171" i="58"/>
  <c r="O41" i="58" s="1"/>
  <c r="O67" i="58" s="1"/>
  <c r="O93" i="58" s="1"/>
  <c r="O119" i="58" s="1"/>
  <c r="O145" i="58" s="1"/>
  <c r="O717" i="58"/>
  <c r="O561" i="58"/>
  <c r="O224" i="58"/>
  <c r="O718" i="58"/>
  <c r="O173" i="58"/>
  <c r="O43" i="58" s="1"/>
  <c r="O69" i="58" s="1"/>
  <c r="O95" i="58" s="1"/>
  <c r="O121" i="58" s="1"/>
  <c r="O147" i="58" s="1"/>
  <c r="O721" i="58"/>
  <c r="O565" i="58"/>
  <c r="O228" i="58"/>
  <c r="O239" i="58"/>
  <c r="O188" i="58"/>
  <c r="O58" i="58" s="1"/>
  <c r="O84" i="58" s="1"/>
  <c r="O110" i="58" s="1"/>
  <c r="O136" i="58" s="1"/>
  <c r="O162" i="58" s="1"/>
  <c r="O882" i="58"/>
  <c r="O725" i="58"/>
  <c r="O569" i="58"/>
  <c r="O232" i="58"/>
  <c r="O180" i="58"/>
  <c r="O50" i="58" s="1"/>
  <c r="O76" i="58" s="1"/>
  <c r="O102" i="58" s="1"/>
  <c r="O128" i="58" s="1"/>
  <c r="O154" i="58" s="1"/>
  <c r="O235" i="58"/>
  <c r="O183" i="58"/>
  <c r="O53" i="58" s="1"/>
  <c r="O79" i="58" s="1"/>
  <c r="O105" i="58" s="1"/>
  <c r="O131" i="58" s="1"/>
  <c r="O157" i="58" s="1"/>
  <c r="O883" i="58"/>
  <c r="O229" i="58"/>
  <c r="O574" i="58"/>
  <c r="O237" i="58"/>
  <c r="O185" i="58"/>
  <c r="O55" i="58" s="1"/>
  <c r="O81" i="58" s="1"/>
  <c r="O107" i="58" s="1"/>
  <c r="O133" i="58" s="1"/>
  <c r="O159" i="58" s="1"/>
  <c r="O568" i="58"/>
  <c r="O179" i="58"/>
  <c r="O49" i="58" s="1"/>
  <c r="O75" i="58" s="1"/>
  <c r="O101" i="58" s="1"/>
  <c r="O127" i="58" s="1"/>
  <c r="O153" i="58" s="1"/>
  <c r="O194" i="58"/>
  <c r="O870" i="58"/>
  <c r="O210" i="58"/>
  <c r="O871" i="58"/>
  <c r="O560" i="58"/>
  <c r="O197" i="58"/>
  <c r="O873" i="58"/>
  <c r="O874" i="58"/>
  <c r="O562" i="58"/>
  <c r="O199" i="58"/>
  <c r="O877" i="58"/>
  <c r="O879" i="58"/>
  <c r="O178" i="58"/>
  <c r="O48" i="58" s="1"/>
  <c r="O74" i="58" s="1"/>
  <c r="O100" i="58" s="1"/>
  <c r="O126" i="58" s="1"/>
  <c r="O152" i="58" s="1"/>
  <c r="O733" i="58"/>
  <c r="O577" i="58"/>
  <c r="O240" i="58"/>
  <c r="O726" i="58"/>
  <c r="O884" i="58"/>
  <c r="O208" i="58"/>
  <c r="O878" i="58"/>
  <c r="O238" i="58"/>
  <c r="O231" i="58"/>
  <c r="O713" i="58"/>
  <c r="O557" i="58"/>
  <c r="O220" i="58"/>
  <c r="O714" i="58"/>
  <c r="O169" i="58"/>
  <c r="O39" i="58" s="1"/>
  <c r="O65" i="58" s="1"/>
  <c r="O91" i="58" s="1"/>
  <c r="O117" i="58" s="1"/>
  <c r="O143" i="58" s="1"/>
  <c r="O729" i="58"/>
  <c r="O573" i="58"/>
  <c r="O236" i="58"/>
  <c r="O184" i="58"/>
  <c r="O54" i="58" s="1"/>
  <c r="O80" i="58" s="1"/>
  <c r="O106" i="58" s="1"/>
  <c r="O132" i="58" s="1"/>
  <c r="O158" i="58" s="1"/>
  <c r="O170" i="58"/>
  <c r="O40" i="58" s="1"/>
  <c r="O66" i="58" s="1"/>
  <c r="O92" i="58" s="1"/>
  <c r="O118" i="58" s="1"/>
  <c r="O144" i="58" s="1"/>
  <c r="O872" i="58"/>
  <c r="O223" i="58"/>
  <c r="O172" i="58"/>
  <c r="O42" i="58" s="1"/>
  <c r="O68" i="58" s="1"/>
  <c r="O94" i="58" s="1"/>
  <c r="O120" i="58" s="1"/>
  <c r="O146" i="58" s="1"/>
  <c r="O225" i="58"/>
  <c r="O176" i="58"/>
  <c r="O46" i="58" s="1"/>
  <c r="O72" i="58" s="1"/>
  <c r="O98" i="58" s="1"/>
  <c r="O124" i="58" s="1"/>
  <c r="O150" i="58" s="1"/>
  <c r="O204" i="58"/>
  <c r="O570" i="58"/>
  <c r="O207" i="58"/>
  <c r="O881" i="58"/>
  <c r="O728" i="58"/>
  <c r="O11" i="58"/>
  <c r="O444" i="58"/>
  <c r="O434" i="58"/>
  <c r="O409" i="58"/>
  <c r="O423" i="58"/>
  <c r="O448" i="58"/>
  <c r="O419" i="58"/>
  <c r="O418" i="58"/>
  <c r="O412" i="58"/>
  <c r="O436" i="58"/>
  <c r="O445" i="58"/>
  <c r="O429" i="58"/>
  <c r="O439" i="58"/>
  <c r="O426" i="58"/>
  <c r="O441" i="58"/>
  <c r="O420" i="58"/>
  <c r="O438" i="58"/>
  <c r="O413" i="58"/>
  <c r="O404" i="58"/>
  <c r="O414" i="58"/>
  <c r="O402" i="58"/>
  <c r="O406" i="58"/>
  <c r="O416" i="58"/>
  <c r="O405" i="58"/>
  <c r="O442" i="58"/>
  <c r="O417" i="58"/>
  <c r="O435" i="58"/>
  <c r="O415" i="58"/>
  <c r="O427" i="58"/>
  <c r="O428" i="58"/>
  <c r="O431" i="58"/>
  <c r="O443" i="58"/>
  <c r="O437" i="58"/>
  <c r="O411" i="58"/>
  <c r="O430" i="58"/>
  <c r="O410" i="58"/>
  <c r="O440" i="58"/>
  <c r="O403" i="58"/>
  <c r="O401" i="58"/>
  <c r="D15" i="26"/>
  <c r="E34" i="12" s="1"/>
  <c r="B61" i="26"/>
  <c r="C80" i="12" s="1"/>
  <c r="B82" i="26"/>
  <c r="C101" i="12" s="1"/>
  <c r="W10" i="12"/>
  <c r="N523" i="58"/>
  <c r="N473" i="58"/>
  <c r="N498" i="58"/>
  <c r="N501" i="58"/>
  <c r="N451" i="58"/>
  <c r="N492" i="58"/>
  <c r="N504" i="58"/>
  <c r="N454" i="58"/>
  <c r="N481" i="58"/>
  <c r="N515" i="58"/>
  <c r="N465" i="58"/>
  <c r="N510" i="58"/>
  <c r="N460" i="58"/>
  <c r="N486" i="58"/>
  <c r="N520" i="58"/>
  <c r="N470" i="58"/>
  <c r="N489" i="58"/>
  <c r="N513" i="58"/>
  <c r="N463" i="58"/>
  <c r="N516" i="58"/>
  <c r="N466" i="58"/>
  <c r="N502" i="58"/>
  <c r="N452" i="58"/>
  <c r="N478" i="58"/>
  <c r="N505" i="58"/>
  <c r="N455" i="58"/>
  <c r="N484" i="58"/>
  <c r="N493" i="58"/>
  <c r="N512" i="58"/>
  <c r="N462" i="58"/>
  <c r="N476" i="58"/>
  <c r="N517" i="58"/>
  <c r="N467" i="58"/>
  <c r="N479" i="58"/>
  <c r="N506" i="58"/>
  <c r="N456" i="58"/>
  <c r="N490" i="58"/>
  <c r="N485" i="58"/>
  <c r="N511" i="58"/>
  <c r="N461" i="58"/>
  <c r="N495" i="58"/>
  <c r="N514" i="58"/>
  <c r="N464" i="58"/>
  <c r="N488" i="58"/>
  <c r="N491" i="58"/>
  <c r="N477" i="58"/>
  <c r="N503" i="58"/>
  <c r="N453" i="58"/>
  <c r="N480" i="58"/>
  <c r="N509" i="58"/>
  <c r="N459" i="58"/>
  <c r="N518" i="58"/>
  <c r="N468" i="58"/>
  <c r="N487" i="58"/>
  <c r="O18" i="58"/>
  <c r="O9" i="58"/>
  <c r="O19" i="58" s="1"/>
  <c r="O744" i="58"/>
  <c r="O447" i="58"/>
  <c r="N471" i="58"/>
  <c r="N521" i="58"/>
  <c r="O175" i="58"/>
  <c r="O45" i="58" s="1"/>
  <c r="O71" i="58" s="1"/>
  <c r="O97" i="58" s="1"/>
  <c r="O123" i="58" s="1"/>
  <c r="O149" i="58" s="1"/>
  <c r="O720" i="58"/>
  <c r="N469" i="58"/>
  <c r="N519" i="58"/>
  <c r="O589" i="58"/>
  <c r="N482" i="58"/>
  <c r="O174" i="58"/>
  <c r="O44" i="58" s="1"/>
  <c r="O70" i="58" s="1"/>
  <c r="O96" i="58" s="1"/>
  <c r="O122" i="58" s="1"/>
  <c r="O148" i="58" s="1"/>
  <c r="O266" i="58"/>
  <c r="O555" i="58"/>
  <c r="O421" i="58"/>
  <c r="O446" i="58"/>
  <c r="O187" i="58"/>
  <c r="O57" i="58" s="1"/>
  <c r="O83" i="58" s="1"/>
  <c r="O109" i="58" s="1"/>
  <c r="O135" i="58" s="1"/>
  <c r="O161" i="58" s="1"/>
  <c r="O731" i="58"/>
  <c r="O732" i="58"/>
  <c r="O216" i="58"/>
  <c r="O707" i="58"/>
  <c r="O863" i="58"/>
  <c r="O736" i="58"/>
  <c r="O263" i="58"/>
  <c r="O600" i="58"/>
  <c r="O601" i="58"/>
  <c r="O912" i="58"/>
  <c r="O913" i="58"/>
  <c r="V11" i="12"/>
  <c r="D925" i="11"/>
  <c r="D934" i="11"/>
  <c r="M67" i="12"/>
  <c r="N48" i="12"/>
  <c r="D42" i="26"/>
  <c r="E61" i="12" s="1"/>
  <c r="H531" i="25"/>
  <c r="H548" i="25"/>
  <c r="H494" i="25"/>
  <c r="H511" i="25"/>
  <c r="H235" i="25"/>
  <c r="H252" i="25"/>
  <c r="H200" i="25"/>
  <c r="H217" i="25"/>
  <c r="H1086" i="25"/>
  <c r="H1103" i="25"/>
  <c r="H1049" i="25"/>
  <c r="H1066" i="25"/>
  <c r="H901" i="25"/>
  <c r="H918" i="25"/>
  <c r="H827" i="25"/>
  <c r="H844" i="25"/>
  <c r="H753" i="25"/>
  <c r="H770" i="25"/>
  <c r="H679" i="25"/>
  <c r="H696" i="25"/>
  <c r="H605" i="25"/>
  <c r="H622" i="25"/>
  <c r="H383" i="25"/>
  <c r="H400" i="25"/>
  <c r="H346" i="25"/>
  <c r="H363" i="25"/>
  <c r="H1123" i="25"/>
  <c r="H1140" i="25"/>
  <c r="H1013" i="25"/>
  <c r="H1030" i="25"/>
  <c r="H975" i="25"/>
  <c r="H992" i="25"/>
  <c r="H864" i="25"/>
  <c r="H881" i="25"/>
  <c r="H791" i="25"/>
  <c r="H808" i="25"/>
  <c r="H716" i="25"/>
  <c r="H733" i="25"/>
  <c r="H643" i="25"/>
  <c r="H660" i="25"/>
  <c r="H568" i="25"/>
  <c r="H585" i="25"/>
  <c r="H458" i="25"/>
  <c r="H475" i="25"/>
  <c r="H420" i="25"/>
  <c r="H437" i="25"/>
  <c r="H310" i="25"/>
  <c r="H327" i="25"/>
  <c r="H272" i="25"/>
  <c r="H289" i="25"/>
  <c r="H13" i="25"/>
  <c r="H30" i="25"/>
  <c r="H939" i="25"/>
  <c r="H956" i="25"/>
  <c r="T11" i="12"/>
  <c r="S12" i="12"/>
  <c r="S13" i="12" s="1"/>
  <c r="S9" i="12"/>
  <c r="S10" i="12"/>
  <c r="M50" i="12"/>
  <c r="L50" i="12"/>
  <c r="L48" i="12"/>
  <c r="M64" i="12"/>
  <c r="N51" i="12"/>
  <c r="N50" i="12"/>
  <c r="M43" i="12"/>
  <c r="D229" i="11"/>
  <c r="A64" i="23"/>
  <c r="A44" i="23"/>
  <c r="A29" i="23"/>
  <c r="A14" i="23"/>
  <c r="C249" i="11"/>
  <c r="A49" i="23"/>
  <c r="A34" i="23"/>
  <c r="E39" i="23"/>
  <c r="L16" i="26"/>
  <c r="M16" i="26" s="1"/>
  <c r="L17" i="26"/>
  <c r="M17" i="26" s="1"/>
  <c r="L68" i="26"/>
  <c r="M68" i="26" s="1"/>
  <c r="L66" i="26"/>
  <c r="M66" i="26" s="1"/>
  <c r="L78" i="26"/>
  <c r="M78" i="26" s="1"/>
  <c r="L76" i="26"/>
  <c r="M76" i="26" s="1"/>
  <c r="L88" i="26"/>
  <c r="M88" i="26" s="1"/>
  <c r="L86" i="26"/>
  <c r="M86" i="26" s="1"/>
  <c r="K52" i="26"/>
  <c r="K50" i="26"/>
  <c r="K62" i="26"/>
  <c r="K60" i="26"/>
  <c r="L52" i="26"/>
  <c r="M52" i="26" s="1"/>
  <c r="N52" i="26" s="1"/>
  <c r="O52" i="26" s="1"/>
  <c r="P52" i="26" s="1"/>
  <c r="Q52" i="26" s="1"/>
  <c r="R52" i="26" s="1"/>
  <c r="S52" i="26" s="1"/>
  <c r="T52" i="26" s="1"/>
  <c r="U52" i="26" s="1"/>
  <c r="L50" i="26"/>
  <c r="M50" i="26" s="1"/>
  <c r="N50" i="26" s="1"/>
  <c r="O50" i="26" s="1"/>
  <c r="P50" i="26" s="1"/>
  <c r="Q50" i="26" s="1"/>
  <c r="R50" i="26" s="1"/>
  <c r="S50" i="26" s="1"/>
  <c r="T50" i="26" s="1"/>
  <c r="U50" i="26" s="1"/>
  <c r="L62" i="26"/>
  <c r="M62" i="26" s="1"/>
  <c r="N62" i="26" s="1"/>
  <c r="O62" i="26" s="1"/>
  <c r="P62" i="26" s="1"/>
  <c r="Q62" i="26" s="1"/>
  <c r="R62" i="26" s="1"/>
  <c r="S62" i="26" s="1"/>
  <c r="T62" i="26" s="1"/>
  <c r="U62" i="26" s="1"/>
  <c r="L60" i="26"/>
  <c r="M60" i="26" s="1"/>
  <c r="N60" i="26" s="1"/>
  <c r="O60" i="26" s="1"/>
  <c r="P60" i="26" s="1"/>
  <c r="Q60" i="26" s="1"/>
  <c r="R60" i="26" s="1"/>
  <c r="S60" i="26" s="1"/>
  <c r="T60" i="26" s="1"/>
  <c r="U60" i="26" s="1"/>
  <c r="L95" i="26"/>
  <c r="M95" i="26" s="1"/>
  <c r="L105" i="26"/>
  <c r="M105" i="26" s="1"/>
  <c r="L115" i="26"/>
  <c r="M115" i="26" s="1"/>
  <c r="L125" i="26"/>
  <c r="M125" i="26" s="1"/>
  <c r="N125" i="26" s="1"/>
  <c r="O125" i="26" s="1"/>
  <c r="P125" i="26" s="1"/>
  <c r="Q125" i="26" s="1"/>
  <c r="R125" i="26" s="1"/>
  <c r="S125" i="26" s="1"/>
  <c r="T125" i="26" s="1"/>
  <c r="U125" i="26" s="1"/>
  <c r="L123" i="26"/>
  <c r="M123" i="26" s="1"/>
  <c r="N123" i="26" s="1"/>
  <c r="O123" i="26" s="1"/>
  <c r="P123" i="26" s="1"/>
  <c r="Q123" i="26" s="1"/>
  <c r="R123" i="26" s="1"/>
  <c r="S123" i="26" s="1"/>
  <c r="T123" i="26" s="1"/>
  <c r="U123" i="26" s="1"/>
  <c r="L135" i="26"/>
  <c r="M135" i="26" s="1"/>
  <c r="N135" i="26" s="1"/>
  <c r="O135" i="26" s="1"/>
  <c r="P135" i="26" s="1"/>
  <c r="Q135" i="26" s="1"/>
  <c r="R135" i="26" s="1"/>
  <c r="S135" i="26" s="1"/>
  <c r="T135" i="26" s="1"/>
  <c r="U135" i="26" s="1"/>
  <c r="L133" i="26"/>
  <c r="M133" i="26" s="1"/>
  <c r="N133" i="26" s="1"/>
  <c r="O133" i="26" s="1"/>
  <c r="P133" i="26" s="1"/>
  <c r="Q133" i="26" s="1"/>
  <c r="R133" i="26" s="1"/>
  <c r="S133" i="26" s="1"/>
  <c r="T133" i="26" s="1"/>
  <c r="U133" i="26" s="1"/>
  <c r="L73" i="26"/>
  <c r="M73" i="26" s="1"/>
  <c r="L71" i="26"/>
  <c r="M71" i="26" s="1"/>
  <c r="L83" i="26"/>
  <c r="M83" i="26" s="1"/>
  <c r="L81" i="26"/>
  <c r="M81" i="26" s="1"/>
  <c r="L42" i="26"/>
  <c r="M42" i="26" s="1"/>
  <c r="N42" i="26" s="1"/>
  <c r="O42" i="26" s="1"/>
  <c r="P42" i="26" s="1"/>
  <c r="Q42" i="26" s="1"/>
  <c r="R42" i="26" s="1"/>
  <c r="S42" i="26" s="1"/>
  <c r="T42" i="26" s="1"/>
  <c r="U42" i="26" s="1"/>
  <c r="L40" i="26"/>
  <c r="M40" i="26" s="1"/>
  <c r="N40" i="26" s="1"/>
  <c r="O40" i="26" s="1"/>
  <c r="P40" i="26" s="1"/>
  <c r="Q40" i="26" s="1"/>
  <c r="R40" i="26" s="1"/>
  <c r="S40" i="26" s="1"/>
  <c r="T40" i="26" s="1"/>
  <c r="U40" i="26" s="1"/>
  <c r="L57" i="26"/>
  <c r="M57" i="26" s="1"/>
  <c r="N57" i="26" s="1"/>
  <c r="O57" i="26" s="1"/>
  <c r="P57" i="26" s="1"/>
  <c r="Q57" i="26" s="1"/>
  <c r="R57" i="26" s="1"/>
  <c r="S57" i="26" s="1"/>
  <c r="T57" i="26" s="1"/>
  <c r="U57" i="26" s="1"/>
  <c r="L55" i="26"/>
  <c r="M55" i="26" s="1"/>
  <c r="N55" i="26" s="1"/>
  <c r="O55" i="26" s="1"/>
  <c r="P55" i="26" s="1"/>
  <c r="Q55" i="26" s="1"/>
  <c r="R55" i="26" s="1"/>
  <c r="S55" i="26" s="1"/>
  <c r="T55" i="26" s="1"/>
  <c r="U55" i="26" s="1"/>
  <c r="L100" i="26"/>
  <c r="M100" i="26" s="1"/>
  <c r="N100" i="26" s="1"/>
  <c r="O100" i="26" s="1"/>
  <c r="P100" i="26" s="1"/>
  <c r="Q100" i="26" s="1"/>
  <c r="R100" i="26" s="1"/>
  <c r="S100" i="26" s="1"/>
  <c r="T100" i="26" s="1"/>
  <c r="U100" i="26" s="1"/>
  <c r="L110" i="26"/>
  <c r="M110" i="26" s="1"/>
  <c r="N110" i="26" s="1"/>
  <c r="L121" i="26"/>
  <c r="M121" i="26" s="1"/>
  <c r="N121" i="26" s="1"/>
  <c r="O121" i="26" s="1"/>
  <c r="P121" i="26" s="1"/>
  <c r="Q121" i="26" s="1"/>
  <c r="R121" i="26" s="1"/>
  <c r="S121" i="26" s="1"/>
  <c r="T121" i="26" s="1"/>
  <c r="U121" i="26" s="1"/>
  <c r="L131" i="26"/>
  <c r="M131" i="26" s="1"/>
  <c r="N131" i="26" s="1"/>
  <c r="O131" i="26" s="1"/>
  <c r="P131" i="26" s="1"/>
  <c r="Q131" i="26" s="1"/>
  <c r="R131" i="26" s="1"/>
  <c r="S131" i="26" s="1"/>
  <c r="T131" i="26" s="1"/>
  <c r="U131" i="26" s="1"/>
  <c r="L141" i="26"/>
  <c r="M141" i="26" s="1"/>
  <c r="N141" i="26" s="1"/>
  <c r="O141" i="26" s="1"/>
  <c r="P141" i="26" s="1"/>
  <c r="Q141" i="26" s="1"/>
  <c r="R141" i="26" s="1"/>
  <c r="S141" i="26" s="1"/>
  <c r="T141" i="26" s="1"/>
  <c r="U141" i="26" s="1"/>
  <c r="N23" i="26"/>
  <c r="M42" i="12"/>
  <c r="O35" i="26"/>
  <c r="N54" i="12"/>
  <c r="N32" i="12"/>
  <c r="O13" i="26"/>
  <c r="N28" i="26"/>
  <c r="M47" i="12"/>
  <c r="L49" i="12"/>
  <c r="L64" i="12"/>
  <c r="L66" i="12"/>
  <c r="L45" i="12"/>
  <c r="L43" i="12"/>
  <c r="L34" i="12"/>
  <c r="L51" i="12"/>
  <c r="M45" i="12"/>
  <c r="L44" i="12"/>
  <c r="L67" i="12"/>
  <c r="L46" i="12"/>
  <c r="L33" i="12"/>
  <c r="M14" i="26"/>
  <c r="K16" i="26"/>
  <c r="K17" i="26"/>
  <c r="L69" i="26"/>
  <c r="M69" i="26" s="1"/>
  <c r="L79" i="26"/>
  <c r="M79" i="26" s="1"/>
  <c r="L89" i="26"/>
  <c r="M89" i="26" s="1"/>
  <c r="K53" i="26"/>
  <c r="K63" i="26"/>
  <c r="L53" i="26"/>
  <c r="M53" i="26" s="1"/>
  <c r="N53" i="26" s="1"/>
  <c r="O53" i="26" s="1"/>
  <c r="P53" i="26" s="1"/>
  <c r="Q53" i="26" s="1"/>
  <c r="R53" i="26" s="1"/>
  <c r="S53" i="26" s="1"/>
  <c r="T53" i="26" s="1"/>
  <c r="U53" i="26" s="1"/>
  <c r="L63" i="26"/>
  <c r="M63" i="26" s="1"/>
  <c r="N63" i="26" s="1"/>
  <c r="O63" i="26" s="1"/>
  <c r="P63" i="26" s="1"/>
  <c r="Q63" i="26" s="1"/>
  <c r="R63" i="26" s="1"/>
  <c r="S63" i="26" s="1"/>
  <c r="T63" i="26" s="1"/>
  <c r="U63" i="26" s="1"/>
  <c r="L94" i="26"/>
  <c r="M94" i="26" s="1"/>
  <c r="L92" i="26"/>
  <c r="M92" i="26" s="1"/>
  <c r="L104" i="26"/>
  <c r="M104" i="26" s="1"/>
  <c r="L102" i="26"/>
  <c r="M102" i="26" s="1"/>
  <c r="L114" i="26"/>
  <c r="M114" i="26" s="1"/>
  <c r="L112" i="26"/>
  <c r="M112" i="26" s="1"/>
  <c r="L126" i="26"/>
  <c r="M126" i="26" s="1"/>
  <c r="N126" i="26" s="1"/>
  <c r="O126" i="26" s="1"/>
  <c r="P126" i="26" s="1"/>
  <c r="Q126" i="26" s="1"/>
  <c r="R126" i="26" s="1"/>
  <c r="S126" i="26" s="1"/>
  <c r="T126" i="26" s="1"/>
  <c r="U126" i="26" s="1"/>
  <c r="L136" i="26"/>
  <c r="M136" i="26" s="1"/>
  <c r="N136" i="26" s="1"/>
  <c r="O136" i="26" s="1"/>
  <c r="P136" i="26" s="1"/>
  <c r="Q136" i="26" s="1"/>
  <c r="R136" i="26" s="1"/>
  <c r="S136" i="26" s="1"/>
  <c r="T136" i="26" s="1"/>
  <c r="U136" i="26" s="1"/>
  <c r="L74" i="26"/>
  <c r="M74" i="26" s="1"/>
  <c r="L84" i="26"/>
  <c r="M84" i="26" s="1"/>
  <c r="L43" i="26"/>
  <c r="M43" i="26" s="1"/>
  <c r="N43" i="26" s="1"/>
  <c r="O43" i="26" s="1"/>
  <c r="P43" i="26" s="1"/>
  <c r="Q43" i="26" s="1"/>
  <c r="R43" i="26" s="1"/>
  <c r="S43" i="26" s="1"/>
  <c r="T43" i="26" s="1"/>
  <c r="U43" i="26" s="1"/>
  <c r="L58" i="26"/>
  <c r="M58" i="26" s="1"/>
  <c r="N58" i="26" s="1"/>
  <c r="O58" i="26" s="1"/>
  <c r="P58" i="26" s="1"/>
  <c r="Q58" i="26" s="1"/>
  <c r="R58" i="26" s="1"/>
  <c r="S58" i="26" s="1"/>
  <c r="T58" i="26" s="1"/>
  <c r="U58" i="26" s="1"/>
  <c r="L99" i="26"/>
  <c r="M99" i="26" s="1"/>
  <c r="N99" i="26" s="1"/>
  <c r="O99" i="26" s="1"/>
  <c r="P99" i="26" s="1"/>
  <c r="Q99" i="26" s="1"/>
  <c r="R99" i="26" s="1"/>
  <c r="S99" i="26" s="1"/>
  <c r="T99" i="26" s="1"/>
  <c r="U99" i="26" s="1"/>
  <c r="L97" i="26"/>
  <c r="M97" i="26" s="1"/>
  <c r="N97" i="26" s="1"/>
  <c r="O97" i="26" s="1"/>
  <c r="P97" i="26" s="1"/>
  <c r="Q97" i="26" s="1"/>
  <c r="R97" i="26" s="1"/>
  <c r="S97" i="26" s="1"/>
  <c r="T97" i="26" s="1"/>
  <c r="U97" i="26" s="1"/>
  <c r="L109" i="26"/>
  <c r="M109" i="26" s="1"/>
  <c r="N109" i="26" s="1"/>
  <c r="L107" i="26"/>
  <c r="M107" i="26" s="1"/>
  <c r="N107" i="26" s="1"/>
  <c r="L120" i="26"/>
  <c r="M120" i="26" s="1"/>
  <c r="N120" i="26" s="1"/>
  <c r="O120" i="26" s="1"/>
  <c r="P120" i="26" s="1"/>
  <c r="Q120" i="26" s="1"/>
  <c r="R120" i="26" s="1"/>
  <c r="S120" i="26" s="1"/>
  <c r="T120" i="26" s="1"/>
  <c r="U120" i="26" s="1"/>
  <c r="L118" i="26"/>
  <c r="M118" i="26" s="1"/>
  <c r="N118" i="26" s="1"/>
  <c r="O118" i="26" s="1"/>
  <c r="P118" i="26" s="1"/>
  <c r="Q118" i="26" s="1"/>
  <c r="R118" i="26" s="1"/>
  <c r="S118" i="26" s="1"/>
  <c r="T118" i="26" s="1"/>
  <c r="U118" i="26" s="1"/>
  <c r="L130" i="26"/>
  <c r="M130" i="26" s="1"/>
  <c r="N130" i="26" s="1"/>
  <c r="O130" i="26" s="1"/>
  <c r="P130" i="26" s="1"/>
  <c r="Q130" i="26" s="1"/>
  <c r="R130" i="26" s="1"/>
  <c r="S130" i="26" s="1"/>
  <c r="T130" i="26" s="1"/>
  <c r="U130" i="26" s="1"/>
  <c r="L128" i="26"/>
  <c r="M128" i="26" s="1"/>
  <c r="N128" i="26" s="1"/>
  <c r="O128" i="26" s="1"/>
  <c r="P128" i="26" s="1"/>
  <c r="Q128" i="26" s="1"/>
  <c r="R128" i="26" s="1"/>
  <c r="S128" i="26" s="1"/>
  <c r="T128" i="26" s="1"/>
  <c r="U128" i="26" s="1"/>
  <c r="L140" i="26"/>
  <c r="M140" i="26" s="1"/>
  <c r="N140" i="26" s="1"/>
  <c r="O140" i="26" s="1"/>
  <c r="P140" i="26" s="1"/>
  <c r="Q140" i="26" s="1"/>
  <c r="R140" i="26" s="1"/>
  <c r="S140" i="26" s="1"/>
  <c r="T140" i="26" s="1"/>
  <c r="U140" i="26" s="1"/>
  <c r="L138" i="26"/>
  <c r="M138" i="26" s="1"/>
  <c r="N138" i="26" s="1"/>
  <c r="O138" i="26" s="1"/>
  <c r="P138" i="26" s="1"/>
  <c r="Q138" i="26" s="1"/>
  <c r="R138" i="26" s="1"/>
  <c r="S138" i="26" s="1"/>
  <c r="T138" i="26" s="1"/>
  <c r="U138" i="26" s="1"/>
  <c r="N30" i="26"/>
  <c r="M49" i="12"/>
  <c r="O26" i="26"/>
  <c r="N45" i="12"/>
  <c r="O24" i="26"/>
  <c r="N43" i="12"/>
  <c r="N15" i="26"/>
  <c r="M34" i="12"/>
  <c r="N25" i="26"/>
  <c r="M44" i="12"/>
  <c r="O27" i="26"/>
  <c r="N46" i="12"/>
  <c r="M51" i="12"/>
  <c r="D27" i="11"/>
  <c r="D44" i="11"/>
  <c r="D38" i="11"/>
  <c r="C37" i="11"/>
  <c r="D34" i="11"/>
  <c r="D48" i="11"/>
  <c r="C131" i="11"/>
  <c r="C141" i="11"/>
  <c r="N60" i="12"/>
  <c r="N70" i="12"/>
  <c r="N80" i="12"/>
  <c r="N96" i="12"/>
  <c r="N106" i="12"/>
  <c r="N143" i="12"/>
  <c r="N153" i="12"/>
  <c r="N117" i="12"/>
  <c r="N122" i="12"/>
  <c r="D59" i="11"/>
  <c r="D69" i="11"/>
  <c r="D100" i="11"/>
  <c r="D121" i="11"/>
  <c r="D142" i="11"/>
  <c r="D80" i="11"/>
  <c r="D90" i="11"/>
  <c r="D111" i="11"/>
  <c r="O99" i="12"/>
  <c r="O63" i="12"/>
  <c r="O73" i="12"/>
  <c r="O84" i="12"/>
  <c r="O136" i="12"/>
  <c r="O146" i="12"/>
  <c r="O156" i="12"/>
  <c r="O110" i="12"/>
  <c r="O130" i="12"/>
  <c r="O91" i="12"/>
  <c r="O127" i="12"/>
  <c r="P52" i="12"/>
  <c r="O55" i="12"/>
  <c r="O51" i="12"/>
  <c r="O38" i="12"/>
  <c r="P39" i="12"/>
  <c r="O58" i="12"/>
  <c r="O68" i="12"/>
  <c r="O78" i="12"/>
  <c r="O94" i="12"/>
  <c r="O104" i="12"/>
  <c r="O141" i="12"/>
  <c r="O151" i="12"/>
  <c r="O115" i="12"/>
  <c r="O120" i="12"/>
  <c r="D54" i="11"/>
  <c r="D85" i="11"/>
  <c r="P89" i="12"/>
  <c r="D106" i="11"/>
  <c r="D126" i="11"/>
  <c r="P125" i="12"/>
  <c r="D137" i="11"/>
  <c r="D147" i="11"/>
  <c r="D64" i="11"/>
  <c r="D74" i="11"/>
  <c r="D95" i="11"/>
  <c r="D116" i="11"/>
  <c r="N101" i="12"/>
  <c r="N65" i="12"/>
  <c r="N67" i="12"/>
  <c r="N75" i="12"/>
  <c r="N86" i="12"/>
  <c r="N138" i="12"/>
  <c r="N148" i="12"/>
  <c r="N158" i="12"/>
  <c r="C119" i="26"/>
  <c r="D138" i="12" s="1"/>
  <c r="A120" i="26"/>
  <c r="N112" i="12"/>
  <c r="N132" i="12"/>
  <c r="P37" i="12"/>
  <c r="O56" i="12"/>
  <c r="O53" i="12"/>
  <c r="O50" i="12"/>
  <c r="O48" i="12"/>
  <c r="O40" i="12"/>
  <c r="O41" i="12"/>
  <c r="C32" i="12"/>
  <c r="C26" i="11"/>
  <c r="C31" i="11"/>
  <c r="C41" i="11"/>
  <c r="D43" i="11"/>
  <c r="D39" i="11"/>
  <c r="D33" i="11"/>
  <c r="C46" i="11"/>
  <c r="D49" i="11"/>
  <c r="C88" i="11"/>
  <c r="C109" i="11"/>
  <c r="C83" i="11"/>
  <c r="C57" i="11"/>
  <c r="C98" i="11"/>
  <c r="C124" i="11"/>
  <c r="C67" i="11"/>
  <c r="C114" i="11"/>
  <c r="C104" i="11"/>
  <c r="C62" i="11"/>
  <c r="D60" i="11"/>
  <c r="D70" i="11"/>
  <c r="D101" i="11"/>
  <c r="D122" i="11"/>
  <c r="D143" i="11"/>
  <c r="D81" i="11"/>
  <c r="D91" i="11"/>
  <c r="D112" i="11"/>
  <c r="D129" i="11"/>
  <c r="C97" i="11"/>
  <c r="C123" i="11"/>
  <c r="C45" i="11"/>
  <c r="C71" i="11"/>
  <c r="D55" i="11"/>
  <c r="D86" i="11"/>
  <c r="D107" i="11"/>
  <c r="D127" i="11"/>
  <c r="D138" i="11"/>
  <c r="D148" i="11"/>
  <c r="D65" i="11"/>
  <c r="D75" i="11"/>
  <c r="D96" i="11"/>
  <c r="D117" i="11"/>
  <c r="C113" i="11"/>
  <c r="N66" i="12"/>
  <c r="N64" i="12"/>
  <c r="D130" i="11"/>
  <c r="C82" i="11"/>
  <c r="C134" i="11"/>
  <c r="C103" i="11"/>
  <c r="C40" i="11"/>
  <c r="C35" i="11"/>
  <c r="C129" i="11"/>
  <c r="B77" i="26"/>
  <c r="C96" i="12" s="1"/>
  <c r="D78" i="26"/>
  <c r="E97" i="12" s="1"/>
  <c r="B98" i="26"/>
  <c r="C117" i="12" s="1"/>
  <c r="D99" i="26"/>
  <c r="E118" i="12" s="1"/>
  <c r="B139" i="26"/>
  <c r="C158" i="12" s="1"/>
  <c r="C151" i="11" s="1"/>
  <c r="D140" i="26"/>
  <c r="E159" i="12" s="1"/>
  <c r="D73" i="26"/>
  <c r="E92" i="12" s="1"/>
  <c r="B72" i="26"/>
  <c r="C91" i="12" s="1"/>
  <c r="B46" i="26"/>
  <c r="C65" i="12" s="1"/>
  <c r="D47" i="26"/>
  <c r="E66" i="12" s="1"/>
  <c r="B87" i="26"/>
  <c r="C106" i="12" s="1"/>
  <c r="D88" i="26"/>
  <c r="E107" i="12" s="1"/>
  <c r="D114" i="26"/>
  <c r="E133" i="12" s="1"/>
  <c r="B113" i="26"/>
  <c r="C132" i="12" s="1"/>
  <c r="B56" i="26"/>
  <c r="C75" i="12" s="1"/>
  <c r="D57" i="26"/>
  <c r="E76" i="12" s="1"/>
  <c r="D104" i="26"/>
  <c r="E123" i="12" s="1"/>
  <c r="B103" i="26"/>
  <c r="C122" i="12" s="1"/>
  <c r="D135" i="26"/>
  <c r="E154" i="12" s="1"/>
  <c r="B134" i="26"/>
  <c r="C153" i="12" s="1"/>
  <c r="D125" i="26"/>
  <c r="E144" i="12" s="1"/>
  <c r="B124" i="26"/>
  <c r="C143" i="12" s="1"/>
  <c r="D94" i="26"/>
  <c r="E113" i="12" s="1"/>
  <c r="B93" i="26"/>
  <c r="C112" i="12" s="1"/>
  <c r="B108" i="26"/>
  <c r="C127" i="12" s="1"/>
  <c r="D109" i="26"/>
  <c r="E128" i="12" s="1"/>
  <c r="D52" i="26"/>
  <c r="E71" i="12" s="1"/>
  <c r="B51" i="26"/>
  <c r="C70" i="12" s="1"/>
  <c r="B62" i="26"/>
  <c r="C81" i="12" s="1"/>
  <c r="D63" i="26"/>
  <c r="B83" i="26"/>
  <c r="C102" i="12" s="1"/>
  <c r="D84" i="26"/>
  <c r="B120" i="26"/>
  <c r="C139" i="12" s="1"/>
  <c r="D121" i="26"/>
  <c r="B68" i="26"/>
  <c r="C87" i="12" s="1"/>
  <c r="D69" i="26"/>
  <c r="B130" i="26"/>
  <c r="C149" i="12" s="1"/>
  <c r="D131" i="26"/>
  <c r="D36" i="26"/>
  <c r="E55" i="12" s="1"/>
  <c r="B35" i="26"/>
  <c r="C54" i="12" s="1"/>
  <c r="D21" i="26"/>
  <c r="E40" i="12" s="1"/>
  <c r="B20" i="26"/>
  <c r="C39" i="12" s="1"/>
  <c r="D31" i="26"/>
  <c r="E50" i="12" s="1"/>
  <c r="B30" i="26"/>
  <c r="C49" i="12" s="1"/>
  <c r="B26" i="26"/>
  <c r="C45" i="12" s="1"/>
  <c r="D27" i="26"/>
  <c r="A17" i="26"/>
  <c r="C17" i="26" s="1"/>
  <c r="D36" i="12" s="1"/>
  <c r="C16" i="26"/>
  <c r="D35" i="12" s="1"/>
  <c r="D16" i="26"/>
  <c r="E35" i="12" s="1"/>
  <c r="B15" i="26"/>
  <c r="C34" i="12" s="1"/>
  <c r="Q8" i="58"/>
  <c r="Q7" i="58"/>
  <c r="M152" i="12" l="1"/>
  <c r="N142" i="12"/>
  <c r="N59" i="12"/>
  <c r="B149" i="62"/>
  <c r="B25" i="62"/>
  <c r="B29" i="62"/>
  <c r="B153" i="62"/>
  <c r="B193" i="62"/>
  <c r="B69" i="62"/>
  <c r="C79" i="11"/>
  <c r="B188" i="62"/>
  <c r="B64" i="62"/>
  <c r="B19" i="62"/>
  <c r="B143" i="62"/>
  <c r="C25" i="11"/>
  <c r="B12" i="62"/>
  <c r="B136" i="62"/>
  <c r="B158" i="62"/>
  <c r="B34" i="62"/>
  <c r="C94" i="11"/>
  <c r="B203" i="62"/>
  <c r="B79" i="62"/>
  <c r="C73" i="11"/>
  <c r="B59" i="62"/>
  <c r="B183" i="62"/>
  <c r="B49" i="62"/>
  <c r="B173" i="62"/>
  <c r="B178" i="62"/>
  <c r="B54" i="62"/>
  <c r="B84" i="62"/>
  <c r="B208" i="62"/>
  <c r="B138" i="62"/>
  <c r="B14" i="62"/>
  <c r="B74" i="62"/>
  <c r="B198" i="62"/>
  <c r="B189" i="62"/>
  <c r="B65" i="62"/>
  <c r="B204" i="62"/>
  <c r="B80" i="62"/>
  <c r="B184" i="62"/>
  <c r="B60" i="62"/>
  <c r="B168" i="62"/>
  <c r="B44" i="62"/>
  <c r="D43" i="26"/>
  <c r="M118" i="12"/>
  <c r="O304" i="58"/>
  <c r="O947" i="58"/>
  <c r="O635" i="58"/>
  <c r="O963" i="58"/>
  <c r="O962" i="58"/>
  <c r="O651" i="58"/>
  <c r="O650" i="58"/>
  <c r="O316" i="58"/>
  <c r="O796" i="58"/>
  <c r="O305" i="58"/>
  <c r="O300" i="58"/>
  <c r="O952" i="58"/>
  <c r="O795" i="58"/>
  <c r="O807" i="58"/>
  <c r="O806" i="58"/>
  <c r="O640" i="58"/>
  <c r="O951" i="58"/>
  <c r="O639" i="58"/>
  <c r="O791" i="58"/>
  <c r="O315" i="58"/>
  <c r="O964" i="58"/>
  <c r="O945" i="58"/>
  <c r="O633" i="58"/>
  <c r="O949" i="58"/>
  <c r="O637" i="58"/>
  <c r="O788" i="58"/>
  <c r="O632" i="58"/>
  <c r="O297" i="58"/>
  <c r="O803" i="58"/>
  <c r="O967" i="58"/>
  <c r="O809" i="58"/>
  <c r="O802" i="58"/>
  <c r="O311" i="58"/>
  <c r="O954" i="58"/>
  <c r="O961" i="58"/>
  <c r="O948" i="58"/>
  <c r="O641" i="58"/>
  <c r="O645" i="58"/>
  <c r="O298" i="58"/>
  <c r="O302" i="58"/>
  <c r="O944" i="58"/>
  <c r="O959" i="58"/>
  <c r="O320" i="58"/>
  <c r="O648" i="58"/>
  <c r="O965" i="58"/>
  <c r="O644" i="58"/>
  <c r="O794" i="58"/>
  <c r="O638" i="58"/>
  <c r="O303" i="58"/>
  <c r="O958" i="58"/>
  <c r="O314" i="58"/>
  <c r="O799" i="58"/>
  <c r="O797" i="58"/>
  <c r="O801" i="58"/>
  <c r="O652" i="58"/>
  <c r="O312" i="58"/>
  <c r="O655" i="58"/>
  <c r="O804" i="58"/>
  <c r="O313" i="58"/>
  <c r="O318" i="58"/>
  <c r="O800" i="58"/>
  <c r="O309" i="58"/>
  <c r="O950" i="58"/>
  <c r="O790" i="58"/>
  <c r="O634" i="58"/>
  <c r="O299" i="58"/>
  <c r="O642" i="58"/>
  <c r="O649" i="58"/>
  <c r="O955" i="58"/>
  <c r="O643" i="58"/>
  <c r="O953" i="58"/>
  <c r="O957" i="58"/>
  <c r="O808" i="58"/>
  <c r="O317" i="58"/>
  <c r="O789" i="58"/>
  <c r="O793" i="58"/>
  <c r="O647" i="58"/>
  <c r="O811" i="58"/>
  <c r="O960" i="58"/>
  <c r="O653" i="58"/>
  <c r="O956" i="58"/>
  <c r="O646" i="58"/>
  <c r="O946" i="58"/>
  <c r="O798" i="58"/>
  <c r="O307" i="58"/>
  <c r="O805" i="58"/>
  <c r="O792" i="58"/>
  <c r="O636" i="58"/>
  <c r="O301" i="58"/>
  <c r="O308" i="58"/>
  <c r="O306" i="58"/>
  <c r="O310" i="58"/>
  <c r="O321" i="58"/>
  <c r="O966" i="58"/>
  <c r="O654" i="58"/>
  <c r="O810" i="58"/>
  <c r="O319" i="58"/>
  <c r="P602" i="58"/>
  <c r="P752" i="58"/>
  <c r="P596" i="58"/>
  <c r="P917" i="58"/>
  <c r="P268" i="58"/>
  <c r="P594" i="58"/>
  <c r="P758" i="58"/>
  <c r="P265" i="58"/>
  <c r="P259" i="58"/>
  <c r="P761" i="58"/>
  <c r="P911" i="58"/>
  <c r="P262" i="58"/>
  <c r="P750" i="58"/>
  <c r="P257" i="58"/>
  <c r="P914" i="58"/>
  <c r="P908" i="58"/>
  <c r="P605" i="58"/>
  <c r="P755" i="58"/>
  <c r="P906" i="58"/>
  <c r="P599" i="58"/>
  <c r="P898" i="58"/>
  <c r="P905" i="58"/>
  <c r="P256" i="58"/>
  <c r="P909" i="58"/>
  <c r="P260" i="58"/>
  <c r="P269" i="58"/>
  <c r="P585" i="58"/>
  <c r="P895" i="58"/>
  <c r="P247" i="58"/>
  <c r="P740" i="58"/>
  <c r="P894" i="58"/>
  <c r="P916" i="58"/>
  <c r="P753" i="58"/>
  <c r="P598" i="58"/>
  <c r="P591" i="58"/>
  <c r="P751" i="58"/>
  <c r="P595" i="58"/>
  <c r="P739" i="58"/>
  <c r="P896" i="58"/>
  <c r="P899" i="58"/>
  <c r="P250" i="58"/>
  <c r="P590" i="58"/>
  <c r="P592" i="58"/>
  <c r="P586" i="58"/>
  <c r="P593" i="58"/>
  <c r="P597" i="58"/>
  <c r="P754" i="58"/>
  <c r="P261" i="58"/>
  <c r="P897" i="58"/>
  <c r="P248" i="58"/>
  <c r="P583" i="58"/>
  <c r="P743" i="58"/>
  <c r="P582" i="58"/>
  <c r="P746" i="58"/>
  <c r="P253" i="58"/>
  <c r="P748" i="58"/>
  <c r="P255" i="58"/>
  <c r="P604" i="58"/>
  <c r="P742" i="58"/>
  <c r="P249" i="58"/>
  <c r="P749" i="58"/>
  <c r="P910" i="58"/>
  <c r="P741" i="58"/>
  <c r="P903" i="58"/>
  <c r="P747" i="58"/>
  <c r="P254" i="58"/>
  <c r="P907" i="58"/>
  <c r="P258" i="58"/>
  <c r="P584" i="58"/>
  <c r="P587" i="58"/>
  <c r="P738" i="58"/>
  <c r="P246" i="58"/>
  <c r="P902" i="58"/>
  <c r="P904" i="58"/>
  <c r="P760" i="58"/>
  <c r="P267" i="58"/>
  <c r="P757" i="58"/>
  <c r="P263" i="58"/>
  <c r="P915" i="58"/>
  <c r="P266" i="58"/>
  <c r="P588" i="58"/>
  <c r="P756" i="58"/>
  <c r="P913" i="58"/>
  <c r="P601" i="58"/>
  <c r="P264" i="58"/>
  <c r="P759" i="58"/>
  <c r="P901" i="58"/>
  <c r="P745" i="58"/>
  <c r="P252" i="58"/>
  <c r="P744" i="58"/>
  <c r="P251" i="58"/>
  <c r="P589" i="58"/>
  <c r="P912" i="58"/>
  <c r="P600" i="58"/>
  <c r="P603" i="58"/>
  <c r="P900" i="58"/>
  <c r="Q17" i="58"/>
  <c r="Q10" i="58"/>
  <c r="Q20" i="58" s="1"/>
  <c r="O396" i="58"/>
  <c r="O836" i="58"/>
  <c r="O346" i="58"/>
  <c r="O679" i="58"/>
  <c r="O371" i="58"/>
  <c r="O678" i="58"/>
  <c r="O992" i="58"/>
  <c r="O372" i="58"/>
  <c r="O835" i="58"/>
  <c r="O397" i="58"/>
  <c r="O834" i="58"/>
  <c r="O344" i="58"/>
  <c r="O398" i="58"/>
  <c r="O991" i="58"/>
  <c r="O990" i="58"/>
  <c r="O370" i="58"/>
  <c r="O680" i="58"/>
  <c r="O345" i="58"/>
  <c r="O813" i="58"/>
  <c r="O375" i="58"/>
  <c r="O814" i="58"/>
  <c r="O324" i="58"/>
  <c r="O829" i="58"/>
  <c r="O391" i="58"/>
  <c r="O325" i="58"/>
  <c r="O378" i="58"/>
  <c r="O327" i="58"/>
  <c r="O380" i="58"/>
  <c r="O331" i="58"/>
  <c r="O823" i="58"/>
  <c r="O385" i="58"/>
  <c r="O343" i="58"/>
  <c r="O388" i="58"/>
  <c r="O981" i="58"/>
  <c r="O984" i="58"/>
  <c r="O364" i="58"/>
  <c r="O337" i="58"/>
  <c r="O384" i="58"/>
  <c r="O674" i="58"/>
  <c r="O980" i="58"/>
  <c r="O360" i="58"/>
  <c r="O970" i="58"/>
  <c r="O350" i="58"/>
  <c r="O985" i="58"/>
  <c r="O971" i="58"/>
  <c r="O659" i="58"/>
  <c r="O351" i="58"/>
  <c r="O660" i="58"/>
  <c r="O661" i="58"/>
  <c r="O353" i="58"/>
  <c r="O974" i="58"/>
  <c r="O662" i="58"/>
  <c r="O665" i="58"/>
  <c r="O357" i="58"/>
  <c r="O979" i="58"/>
  <c r="O677" i="58"/>
  <c r="O369" i="58"/>
  <c r="O670" i="58"/>
  <c r="O335" i="58"/>
  <c r="O390" i="58"/>
  <c r="O671" i="58"/>
  <c r="O363" i="58"/>
  <c r="O666" i="58"/>
  <c r="O830" i="58"/>
  <c r="O340" i="58"/>
  <c r="O386" i="58"/>
  <c r="O323" i="58"/>
  <c r="O376" i="58"/>
  <c r="O339" i="58"/>
  <c r="O815" i="58"/>
  <c r="O377" i="58"/>
  <c r="O816" i="58"/>
  <c r="O326" i="58"/>
  <c r="O817" i="58"/>
  <c r="O379" i="58"/>
  <c r="O818" i="58"/>
  <c r="O328" i="58"/>
  <c r="O821" i="58"/>
  <c r="O383" i="58"/>
  <c r="O333" i="58"/>
  <c r="O833" i="58"/>
  <c r="O395" i="58"/>
  <c r="O826" i="58"/>
  <c r="O336" i="58"/>
  <c r="O669" i="58"/>
  <c r="O361" i="58"/>
  <c r="O672" i="58"/>
  <c r="O827" i="58"/>
  <c r="O389" i="58"/>
  <c r="O822" i="58"/>
  <c r="O332" i="58"/>
  <c r="O986" i="58"/>
  <c r="O366" i="58"/>
  <c r="O668" i="58"/>
  <c r="O969" i="58"/>
  <c r="O657" i="58"/>
  <c r="O349" i="58"/>
  <c r="O658" i="58"/>
  <c r="O673" i="58"/>
  <c r="O365" i="58"/>
  <c r="O972" i="58"/>
  <c r="O352" i="58"/>
  <c r="O973" i="58"/>
  <c r="O354" i="58"/>
  <c r="O977" i="58"/>
  <c r="O667" i="58"/>
  <c r="O359" i="58"/>
  <c r="O989" i="58"/>
  <c r="O982" i="58"/>
  <c r="O362" i="58"/>
  <c r="O825" i="58"/>
  <c r="O387" i="58"/>
  <c r="O828" i="58"/>
  <c r="O338" i="58"/>
  <c r="O983" i="58"/>
  <c r="O978" i="58"/>
  <c r="O358" i="58"/>
  <c r="O392" i="58"/>
  <c r="O824" i="58"/>
  <c r="O334" i="58"/>
  <c r="O373" i="58"/>
  <c r="O664" i="58"/>
  <c r="O975" i="58"/>
  <c r="O329" i="58"/>
  <c r="O367" i="58"/>
  <c r="O382" i="58"/>
  <c r="O987" i="58"/>
  <c r="O675" i="58"/>
  <c r="O399" i="58"/>
  <c r="O820" i="58"/>
  <c r="O330" i="58"/>
  <c r="O663" i="58"/>
  <c r="O355" i="58"/>
  <c r="O832" i="58"/>
  <c r="O831" i="58"/>
  <c r="O368" i="58"/>
  <c r="O347" i="58"/>
  <c r="O988" i="58"/>
  <c r="O676" i="58"/>
  <c r="O394" i="58"/>
  <c r="O342" i="58"/>
  <c r="O976" i="58"/>
  <c r="O356" i="58"/>
  <c r="O819" i="58"/>
  <c r="O381" i="58"/>
  <c r="O393" i="58"/>
  <c r="O341" i="58"/>
  <c r="P578" i="58"/>
  <c r="P215" i="58"/>
  <c r="P890" i="58"/>
  <c r="P241" i="58"/>
  <c r="P734" i="58"/>
  <c r="P189" i="58"/>
  <c r="P59" i="58" s="1"/>
  <c r="P85" i="58" s="1"/>
  <c r="P111" i="58" s="1"/>
  <c r="P137" i="58" s="1"/>
  <c r="P163" i="58" s="1"/>
  <c r="P727" i="58"/>
  <c r="P234" i="58"/>
  <c r="P566" i="58"/>
  <c r="P730" i="58"/>
  <c r="P724" i="58"/>
  <c r="P194" i="58"/>
  <c r="P885" i="58"/>
  <c r="P184" i="58"/>
  <c r="P54" i="58" s="1"/>
  <c r="P80" i="58" s="1"/>
  <c r="P106" i="58" s="1"/>
  <c r="P132" i="58" s="1"/>
  <c r="P158" i="58" s="1"/>
  <c r="P559" i="58"/>
  <c r="P716" i="58"/>
  <c r="P197" i="58"/>
  <c r="P561" i="58"/>
  <c r="P718" i="58"/>
  <c r="P199" i="58"/>
  <c r="P565" i="58"/>
  <c r="P723" i="58"/>
  <c r="P204" i="58"/>
  <c r="P178" i="58"/>
  <c r="P48" i="58" s="1"/>
  <c r="P74" i="58" s="1"/>
  <c r="P100" i="58" s="1"/>
  <c r="P126" i="58" s="1"/>
  <c r="P152" i="58" s="1"/>
  <c r="P214" i="58"/>
  <c r="P882" i="58"/>
  <c r="P233" i="58"/>
  <c r="P569" i="58"/>
  <c r="P209" i="58"/>
  <c r="P883" i="58"/>
  <c r="P182" i="58"/>
  <c r="P52" i="58" s="1"/>
  <c r="P78" i="58" s="1"/>
  <c r="P104" i="58" s="1"/>
  <c r="P130" i="58" s="1"/>
  <c r="P156" i="58" s="1"/>
  <c r="P878" i="58"/>
  <c r="P574" i="58"/>
  <c r="P211" i="58"/>
  <c r="P568" i="58"/>
  <c r="P205" i="58"/>
  <c r="P221" i="58"/>
  <c r="P169" i="58"/>
  <c r="P39" i="58" s="1"/>
  <c r="P65" i="58" s="1"/>
  <c r="P91" i="58" s="1"/>
  <c r="P117" i="58" s="1"/>
  <c r="P143" i="58" s="1"/>
  <c r="P871" i="58"/>
  <c r="P715" i="58"/>
  <c r="P222" i="58"/>
  <c r="P170" i="58"/>
  <c r="P40" i="58" s="1"/>
  <c r="P66" i="58" s="1"/>
  <c r="P92" i="58" s="1"/>
  <c r="P118" i="58" s="1"/>
  <c r="P144" i="58" s="1"/>
  <c r="P872" i="58"/>
  <c r="P560" i="58"/>
  <c r="P873" i="58"/>
  <c r="P717" i="58"/>
  <c r="P224" i="58"/>
  <c r="P172" i="58"/>
  <c r="P42" i="58" s="1"/>
  <c r="P68" i="58" s="1"/>
  <c r="P94" i="58" s="1"/>
  <c r="P120" i="58" s="1"/>
  <c r="P146" i="58" s="1"/>
  <c r="P874" i="58"/>
  <c r="P562" i="58"/>
  <c r="P877" i="58"/>
  <c r="P721" i="58"/>
  <c r="P228" i="58"/>
  <c r="P176" i="58"/>
  <c r="P46" i="58" s="1"/>
  <c r="P72" i="58" s="1"/>
  <c r="P98" i="58" s="1"/>
  <c r="P124" i="58" s="1"/>
  <c r="P150" i="58" s="1"/>
  <c r="P879" i="58"/>
  <c r="P230" i="58"/>
  <c r="P577" i="58"/>
  <c r="P239" i="58"/>
  <c r="P726" i="58"/>
  <c r="P181" i="58"/>
  <c r="P51" i="58" s="1"/>
  <c r="P77" i="58" s="1"/>
  <c r="P103" i="58" s="1"/>
  <c r="P129" i="58" s="1"/>
  <c r="P155" i="58" s="1"/>
  <c r="P725" i="58"/>
  <c r="P180" i="58"/>
  <c r="P50" i="58" s="1"/>
  <c r="P76" i="58" s="1"/>
  <c r="P102" i="58" s="1"/>
  <c r="P128" i="58" s="1"/>
  <c r="P154" i="58" s="1"/>
  <c r="P884" i="58"/>
  <c r="P235" i="58"/>
  <c r="P229" i="58"/>
  <c r="P177" i="58"/>
  <c r="P47" i="58" s="1"/>
  <c r="P73" i="58" s="1"/>
  <c r="P99" i="58" s="1"/>
  <c r="P125" i="58" s="1"/>
  <c r="P151" i="58" s="1"/>
  <c r="P237" i="58"/>
  <c r="P231" i="58"/>
  <c r="P179" i="58"/>
  <c r="P49" i="58" s="1"/>
  <c r="P75" i="58" s="1"/>
  <c r="P101" i="58" s="1"/>
  <c r="P127" i="58" s="1"/>
  <c r="P153" i="58" s="1"/>
  <c r="P557" i="58"/>
  <c r="P714" i="58"/>
  <c r="P195" i="58"/>
  <c r="P573" i="58"/>
  <c r="P210" i="58"/>
  <c r="P196" i="58"/>
  <c r="P198" i="58"/>
  <c r="P202" i="58"/>
  <c r="P733" i="58"/>
  <c r="P240" i="58"/>
  <c r="P188" i="58"/>
  <c r="P58" i="58" s="1"/>
  <c r="P84" i="58" s="1"/>
  <c r="P110" i="58" s="1"/>
  <c r="P136" i="58" s="1"/>
  <c r="P162" i="58" s="1"/>
  <c r="P570" i="58"/>
  <c r="P881" i="58"/>
  <c r="P206" i="58"/>
  <c r="P728" i="58"/>
  <c r="P183" i="58"/>
  <c r="P53" i="58" s="1"/>
  <c r="P79" i="58" s="1"/>
  <c r="P105" i="58" s="1"/>
  <c r="P131" i="58" s="1"/>
  <c r="P157" i="58" s="1"/>
  <c r="P571" i="58"/>
  <c r="P208" i="58"/>
  <c r="P722" i="58"/>
  <c r="P203" i="58"/>
  <c r="P886" i="58"/>
  <c r="P238" i="58"/>
  <c r="P185" i="58"/>
  <c r="P55" i="58" s="1"/>
  <c r="P81" i="58" s="1"/>
  <c r="P107" i="58" s="1"/>
  <c r="P133" i="58" s="1"/>
  <c r="P159" i="58" s="1"/>
  <c r="P880" i="58"/>
  <c r="P869" i="58"/>
  <c r="P713" i="58"/>
  <c r="P220" i="58"/>
  <c r="P168" i="58"/>
  <c r="P38" i="58" s="1"/>
  <c r="P64" i="58" s="1"/>
  <c r="P90" i="58" s="1"/>
  <c r="P116" i="58" s="1"/>
  <c r="P142" i="58" s="1"/>
  <c r="P870" i="58"/>
  <c r="P558" i="58"/>
  <c r="P729" i="58"/>
  <c r="P236" i="58"/>
  <c r="P223" i="58"/>
  <c r="P171" i="58"/>
  <c r="P41" i="58" s="1"/>
  <c r="P67" i="58" s="1"/>
  <c r="P93" i="58" s="1"/>
  <c r="P119" i="58" s="1"/>
  <c r="P145" i="58" s="1"/>
  <c r="P225" i="58"/>
  <c r="P173" i="58"/>
  <c r="P43" i="58" s="1"/>
  <c r="P69" i="58" s="1"/>
  <c r="P95" i="58" s="1"/>
  <c r="P121" i="58" s="1"/>
  <c r="P147" i="58" s="1"/>
  <c r="P567" i="58"/>
  <c r="P889" i="58"/>
  <c r="P207" i="58"/>
  <c r="P232" i="58"/>
  <c r="P572" i="58"/>
  <c r="P580" i="58"/>
  <c r="P579" i="58"/>
  <c r="P216" i="58"/>
  <c r="P731" i="58"/>
  <c r="P192" i="58"/>
  <c r="P62" i="58" s="1"/>
  <c r="P88" i="58" s="1"/>
  <c r="P114" i="58" s="1"/>
  <c r="P140" i="58" s="1"/>
  <c r="P166" i="58" s="1"/>
  <c r="P876" i="58"/>
  <c r="P564" i="58"/>
  <c r="P575" i="58"/>
  <c r="P200" i="58"/>
  <c r="P244" i="58"/>
  <c r="P217" i="58"/>
  <c r="P735" i="58"/>
  <c r="P242" i="58"/>
  <c r="P732" i="58"/>
  <c r="P212" i="58"/>
  <c r="P186" i="58"/>
  <c r="P56" i="58" s="1"/>
  <c r="P82" i="58" s="1"/>
  <c r="P108" i="58" s="1"/>
  <c r="P134" i="58" s="1"/>
  <c r="P160" i="58" s="1"/>
  <c r="P563" i="58"/>
  <c r="P191" i="58"/>
  <c r="P61" i="58" s="1"/>
  <c r="P87" i="58" s="1"/>
  <c r="P113" i="58" s="1"/>
  <c r="P139" i="58" s="1"/>
  <c r="P165" i="58" s="1"/>
  <c r="P887" i="58"/>
  <c r="P720" i="58"/>
  <c r="P201" i="58"/>
  <c r="P892" i="58"/>
  <c r="P243" i="58"/>
  <c r="P891" i="58"/>
  <c r="P190" i="58"/>
  <c r="P60" i="58" s="1"/>
  <c r="P86" i="58" s="1"/>
  <c r="P112" i="58" s="1"/>
  <c r="P138" i="58" s="1"/>
  <c r="P164" i="58" s="1"/>
  <c r="P888" i="58"/>
  <c r="P576" i="58"/>
  <c r="P213" i="58"/>
  <c r="P187" i="58"/>
  <c r="P57" i="58" s="1"/>
  <c r="P83" i="58" s="1"/>
  <c r="P109" i="58" s="1"/>
  <c r="P135" i="58" s="1"/>
  <c r="P161" i="58" s="1"/>
  <c r="P875" i="58"/>
  <c r="P719" i="58"/>
  <c r="P226" i="58"/>
  <c r="P174" i="58"/>
  <c r="P44" i="58" s="1"/>
  <c r="P70" i="58" s="1"/>
  <c r="P96" i="58" s="1"/>
  <c r="P122" i="58" s="1"/>
  <c r="P148" i="58" s="1"/>
  <c r="P218" i="58"/>
  <c r="P227" i="58"/>
  <c r="P175" i="58"/>
  <c r="P45" i="58" s="1"/>
  <c r="P71" i="58" s="1"/>
  <c r="P97" i="58" s="1"/>
  <c r="P123" i="58" s="1"/>
  <c r="P149" i="58" s="1"/>
  <c r="P736" i="58"/>
  <c r="P444" i="58"/>
  <c r="P419" i="58"/>
  <c r="P409" i="58"/>
  <c r="P434" i="58"/>
  <c r="P448" i="58"/>
  <c r="P423" i="58"/>
  <c r="P441" i="58"/>
  <c r="P405" i="58"/>
  <c r="P442" i="58"/>
  <c r="P404" i="58"/>
  <c r="P435" i="58"/>
  <c r="P410" i="58"/>
  <c r="P440" i="58"/>
  <c r="P415" i="58"/>
  <c r="P443" i="58"/>
  <c r="P418" i="58"/>
  <c r="P412" i="58"/>
  <c r="P436" i="58"/>
  <c r="P411" i="58"/>
  <c r="P427" i="58"/>
  <c r="P403" i="58"/>
  <c r="P431" i="58"/>
  <c r="P401" i="58"/>
  <c r="P437" i="58"/>
  <c r="P420" i="58"/>
  <c r="P430" i="58"/>
  <c r="P413" i="58"/>
  <c r="P429" i="58"/>
  <c r="P439" i="58"/>
  <c r="P414" i="58"/>
  <c r="P416" i="58"/>
  <c r="P445" i="58"/>
  <c r="P438" i="58"/>
  <c r="P417" i="58"/>
  <c r="P402" i="58"/>
  <c r="P428" i="58"/>
  <c r="P406" i="58"/>
  <c r="P426" i="58"/>
  <c r="P449" i="58"/>
  <c r="P433" i="58"/>
  <c r="P424" i="58"/>
  <c r="P408" i="58"/>
  <c r="P421" i="58"/>
  <c r="P407" i="58"/>
  <c r="P432" i="58"/>
  <c r="P446" i="58"/>
  <c r="P447" i="58"/>
  <c r="P422" i="58"/>
  <c r="Q9" i="58"/>
  <c r="Q19" i="58" s="1"/>
  <c r="Q18" i="58"/>
  <c r="O786" i="58"/>
  <c r="O942" i="58"/>
  <c r="O630" i="58"/>
  <c r="O784" i="58"/>
  <c r="O294" i="58"/>
  <c r="O940" i="58"/>
  <c r="O628" i="58"/>
  <c r="O292" i="58"/>
  <c r="O780" i="58"/>
  <c r="O282" i="58"/>
  <c r="O929" i="58"/>
  <c r="O939" i="58"/>
  <c r="O932" i="58"/>
  <c r="O620" i="58"/>
  <c r="O778" i="58"/>
  <c r="O920" i="58"/>
  <c r="O935" i="58"/>
  <c r="O922" i="58"/>
  <c r="O923" i="58"/>
  <c r="O924" i="58"/>
  <c r="O927" i="58"/>
  <c r="O933" i="58"/>
  <c r="O928" i="58"/>
  <c r="O616" i="58"/>
  <c r="O936" i="58"/>
  <c r="O624" i="58"/>
  <c r="O284" i="58"/>
  <c r="O934" i="58"/>
  <c r="O622" i="58"/>
  <c r="O919" i="58"/>
  <c r="O764" i="58"/>
  <c r="O921" i="58"/>
  <c r="O766" i="58"/>
  <c r="O768" i="58"/>
  <c r="O280" i="58"/>
  <c r="O288" i="58"/>
  <c r="O774" i="58"/>
  <c r="O775" i="58"/>
  <c r="O619" i="58"/>
  <c r="O283" i="58"/>
  <c r="O286" i="58"/>
  <c r="O608" i="58"/>
  <c r="O610" i="58"/>
  <c r="O612" i="58"/>
  <c r="O930" i="58"/>
  <c r="O618" i="58"/>
  <c r="O773" i="58"/>
  <c r="O617" i="58"/>
  <c r="O281" i="58"/>
  <c r="O783" i="58"/>
  <c r="O627" i="58"/>
  <c r="O291" i="58"/>
  <c r="O776" i="58"/>
  <c r="O931" i="58"/>
  <c r="O763" i="58"/>
  <c r="O607" i="58"/>
  <c r="O271" i="58"/>
  <c r="O272" i="58"/>
  <c r="O779" i="58"/>
  <c r="O623" i="58"/>
  <c r="O287" i="58"/>
  <c r="O765" i="58"/>
  <c r="O609" i="58"/>
  <c r="O273" i="58"/>
  <c r="O274" i="58"/>
  <c r="O767" i="58"/>
  <c r="O611" i="58"/>
  <c r="O275" i="58"/>
  <c r="O276" i="58"/>
  <c r="O771" i="58"/>
  <c r="O615" i="58"/>
  <c r="O279" i="58"/>
  <c r="O777" i="58"/>
  <c r="O621" i="58"/>
  <c r="O285" i="58"/>
  <c r="O772" i="58"/>
  <c r="O295" i="58"/>
  <c r="O785" i="58"/>
  <c r="O629" i="58"/>
  <c r="O293" i="58"/>
  <c r="O938" i="58"/>
  <c r="O290" i="58"/>
  <c r="O925" i="58"/>
  <c r="O941" i="58"/>
  <c r="O770" i="58"/>
  <c r="O782" i="58"/>
  <c r="O781" i="58"/>
  <c r="O769" i="58"/>
  <c r="O613" i="58"/>
  <c r="O277" i="58"/>
  <c r="O937" i="58"/>
  <c r="O926" i="58"/>
  <c r="O614" i="58"/>
  <c r="O626" i="58"/>
  <c r="O625" i="58"/>
  <c r="O289" i="58"/>
  <c r="O278" i="58"/>
  <c r="B42" i="26"/>
  <c r="C61" i="12" s="1"/>
  <c r="N74" i="12"/>
  <c r="N81" i="12"/>
  <c r="M81" i="12"/>
  <c r="P860" i="58"/>
  <c r="P849" i="58"/>
  <c r="P693" i="58"/>
  <c r="P553" i="58"/>
  <c r="P847" i="58"/>
  <c r="P691" i="58"/>
  <c r="P696" i="58"/>
  <c r="P844" i="58"/>
  <c r="P688" i="58"/>
  <c r="P846" i="58"/>
  <c r="P690" i="58"/>
  <c r="P540" i="58"/>
  <c r="P532" i="58"/>
  <c r="P704" i="58"/>
  <c r="P548" i="58"/>
  <c r="P537" i="58"/>
  <c r="P534" i="58"/>
  <c r="P865" i="58"/>
  <c r="P709" i="58"/>
  <c r="P535" i="58"/>
  <c r="P852" i="58"/>
  <c r="P845" i="58"/>
  <c r="P689" i="58"/>
  <c r="P859" i="58"/>
  <c r="P858" i="58"/>
  <c r="P546" i="58"/>
  <c r="P694" i="58"/>
  <c r="P855" i="58"/>
  <c r="P543" i="58"/>
  <c r="P536" i="58"/>
  <c r="P701" i="58"/>
  <c r="P856" i="58"/>
  <c r="P700" i="58"/>
  <c r="P544" i="58"/>
  <c r="P853" i="58"/>
  <c r="P541" i="58"/>
  <c r="P538" i="58"/>
  <c r="P705" i="58"/>
  <c r="P549" i="58"/>
  <c r="P698" i="58"/>
  <c r="P552" i="58"/>
  <c r="P857" i="58"/>
  <c r="P547" i="58"/>
  <c r="P695" i="58"/>
  <c r="P539" i="58"/>
  <c r="P697" i="58"/>
  <c r="P850" i="58"/>
  <c r="P861" i="58"/>
  <c r="P864" i="58"/>
  <c r="P708" i="58"/>
  <c r="P533" i="58"/>
  <c r="P703" i="58"/>
  <c r="P851" i="58"/>
  <c r="P702" i="58"/>
  <c r="P699" i="58"/>
  <c r="P848" i="58"/>
  <c r="P692" i="58"/>
  <c r="P854" i="58"/>
  <c r="P542" i="58"/>
  <c r="P545" i="58"/>
  <c r="P551" i="58"/>
  <c r="P554" i="58"/>
  <c r="P707" i="58"/>
  <c r="P866" i="58"/>
  <c r="P710" i="58"/>
  <c r="P863" i="58"/>
  <c r="P555" i="58"/>
  <c r="P867" i="58"/>
  <c r="P711" i="58"/>
  <c r="Q409" i="58"/>
  <c r="Q423" i="58"/>
  <c r="Q434" i="58"/>
  <c r="Q448" i="58"/>
  <c r="Q419" i="58"/>
  <c r="Q444" i="58"/>
  <c r="Q437" i="58"/>
  <c r="Q420" i="58"/>
  <c r="Q405" i="58"/>
  <c r="Q413" i="58"/>
  <c r="Q404" i="58"/>
  <c r="Q439" i="58"/>
  <c r="Q428" i="58"/>
  <c r="Q426" i="58"/>
  <c r="Q416" i="58"/>
  <c r="Q445" i="58"/>
  <c r="Q438" i="58"/>
  <c r="Q417" i="58"/>
  <c r="Q410" i="58"/>
  <c r="Q415" i="58"/>
  <c r="Q401" i="58"/>
  <c r="Q418" i="58"/>
  <c r="Q441" i="58"/>
  <c r="Q411" i="58"/>
  <c r="Q442" i="58"/>
  <c r="Q435" i="58"/>
  <c r="Q440" i="58"/>
  <c r="Q427" i="58"/>
  <c r="Q403" i="58"/>
  <c r="Q431" i="58"/>
  <c r="Q443" i="58"/>
  <c r="Q412" i="58"/>
  <c r="Q436" i="58"/>
  <c r="Q430" i="58"/>
  <c r="Q429" i="58"/>
  <c r="Q414" i="58"/>
  <c r="Q402" i="58"/>
  <c r="Q406" i="58"/>
  <c r="Q407" i="58"/>
  <c r="Q446" i="58"/>
  <c r="Q447" i="58"/>
  <c r="Q422" i="58"/>
  <c r="Q432" i="58"/>
  <c r="Q424" i="58"/>
  <c r="Q408" i="58"/>
  <c r="Q449" i="58"/>
  <c r="Q433" i="58"/>
  <c r="Q421" i="58"/>
  <c r="P11" i="58"/>
  <c r="O523" i="58"/>
  <c r="O498" i="58"/>
  <c r="O473" i="58"/>
  <c r="O513" i="58"/>
  <c r="O476" i="58"/>
  <c r="O477" i="58"/>
  <c r="O478" i="58"/>
  <c r="O504" i="58"/>
  <c r="O505" i="58"/>
  <c r="O506" i="58"/>
  <c r="O459" i="58"/>
  <c r="O515" i="58"/>
  <c r="O460" i="58"/>
  <c r="O461" i="58"/>
  <c r="O520" i="58"/>
  <c r="O514" i="58"/>
  <c r="O488" i="58"/>
  <c r="O516" i="58"/>
  <c r="O451" i="58"/>
  <c r="O452" i="58"/>
  <c r="O517" i="58"/>
  <c r="O453" i="58"/>
  <c r="O479" i="58"/>
  <c r="O480" i="58"/>
  <c r="O481" i="58"/>
  <c r="O490" i="58"/>
  <c r="O518" i="58"/>
  <c r="O512" i="58"/>
  <c r="O495" i="58"/>
  <c r="O489" i="58"/>
  <c r="O463" i="58"/>
  <c r="O491" i="58"/>
  <c r="O492" i="58"/>
  <c r="O454" i="58"/>
  <c r="O455" i="58"/>
  <c r="O456" i="58"/>
  <c r="O509" i="58"/>
  <c r="O465" i="58"/>
  <c r="O510" i="58"/>
  <c r="O493" i="58"/>
  <c r="O487" i="58"/>
  <c r="O511" i="58"/>
  <c r="O470" i="58"/>
  <c r="O464" i="58"/>
  <c r="O466" i="58"/>
  <c r="O501" i="58"/>
  <c r="O502" i="58"/>
  <c r="O467" i="58"/>
  <c r="O503" i="58"/>
  <c r="O484" i="58"/>
  <c r="O485" i="58"/>
  <c r="O468" i="58"/>
  <c r="O462" i="58"/>
  <c r="O486" i="58"/>
  <c r="O499" i="58"/>
  <c r="O497" i="58"/>
  <c r="O457" i="58"/>
  <c r="O519" i="58"/>
  <c r="O496" i="58"/>
  <c r="O458" i="58"/>
  <c r="O474" i="58"/>
  <c r="O472" i="58"/>
  <c r="O494" i="58"/>
  <c r="O471" i="58"/>
  <c r="O508" i="58"/>
  <c r="O524" i="58"/>
  <c r="O482" i="58"/>
  <c r="O507" i="58"/>
  <c r="O469" i="58"/>
  <c r="O483" i="58"/>
  <c r="O522" i="58"/>
  <c r="O521" i="58"/>
  <c r="N137" i="12"/>
  <c r="U11" i="12"/>
  <c r="T10" i="12"/>
  <c r="T12" i="12"/>
  <c r="T13" i="12" s="1"/>
  <c r="T9" i="12"/>
  <c r="H940" i="25"/>
  <c r="H957" i="25"/>
  <c r="H14" i="25"/>
  <c r="H31" i="25"/>
  <c r="H273" i="25"/>
  <c r="H290" i="25"/>
  <c r="H311" i="25"/>
  <c r="H328" i="25"/>
  <c r="H421" i="25"/>
  <c r="H438" i="25"/>
  <c r="H459" i="25"/>
  <c r="H476" i="25"/>
  <c r="H569" i="25"/>
  <c r="H586" i="25"/>
  <c r="H644" i="25"/>
  <c r="H661" i="25"/>
  <c r="H717" i="25"/>
  <c r="H734" i="25"/>
  <c r="H792" i="25"/>
  <c r="H809" i="25"/>
  <c r="H865" i="25"/>
  <c r="H882" i="25"/>
  <c r="H976" i="25"/>
  <c r="H993" i="25"/>
  <c r="H1014" i="25"/>
  <c r="H1031" i="25"/>
  <c r="H1124" i="25"/>
  <c r="H1141" i="25"/>
  <c r="H347" i="25"/>
  <c r="H364" i="25"/>
  <c r="H384" i="25"/>
  <c r="H401" i="25"/>
  <c r="H606" i="25"/>
  <c r="H623" i="25"/>
  <c r="H680" i="25"/>
  <c r="H697" i="25"/>
  <c r="H754" i="25"/>
  <c r="H771" i="25"/>
  <c r="H828" i="25"/>
  <c r="H845" i="25"/>
  <c r="H902" i="25"/>
  <c r="H919" i="25"/>
  <c r="H1050" i="25"/>
  <c r="H1067" i="25"/>
  <c r="H1087" i="25"/>
  <c r="H1104" i="25"/>
  <c r="H201" i="25"/>
  <c r="H218" i="25"/>
  <c r="H236" i="25"/>
  <c r="H253" i="25"/>
  <c r="H495" i="25"/>
  <c r="H512" i="25"/>
  <c r="H532" i="25"/>
  <c r="H549" i="25"/>
  <c r="N159" i="12"/>
  <c r="N139" i="12"/>
  <c r="N118" i="12"/>
  <c r="N79" i="12"/>
  <c r="N69" i="12"/>
  <c r="N61" i="12"/>
  <c r="M140" i="12"/>
  <c r="M59" i="12"/>
  <c r="M147" i="12"/>
  <c r="M72" i="12"/>
  <c r="N116" i="12"/>
  <c r="N152" i="12"/>
  <c r="N150" i="12"/>
  <c r="N77" i="12"/>
  <c r="M142" i="12"/>
  <c r="M126" i="12"/>
  <c r="M71" i="12"/>
  <c r="M74" i="12"/>
  <c r="N147" i="12"/>
  <c r="N76" i="12"/>
  <c r="N160" i="12"/>
  <c r="N140" i="12"/>
  <c r="N119" i="12"/>
  <c r="M154" i="12"/>
  <c r="M157" i="12"/>
  <c r="M137" i="12"/>
  <c r="M77" i="12"/>
  <c r="M79" i="12"/>
  <c r="M69" i="12"/>
  <c r="M160" i="12"/>
  <c r="N154" i="12"/>
  <c r="N149" i="12"/>
  <c r="N144" i="12"/>
  <c r="M144" i="12"/>
  <c r="L87" i="12"/>
  <c r="N71" i="12"/>
  <c r="L36" i="12"/>
  <c r="L35" i="12"/>
  <c r="A54" i="23"/>
  <c r="A59" i="23"/>
  <c r="D214" i="11"/>
  <c r="F34" i="23"/>
  <c r="G34" i="23"/>
  <c r="B34" i="23"/>
  <c r="F49" i="23"/>
  <c r="G49" i="23"/>
  <c r="B49" i="23"/>
  <c r="G14" i="23"/>
  <c r="B14" i="23"/>
  <c r="F14" i="23"/>
  <c r="D224" i="11"/>
  <c r="F64" i="23"/>
  <c r="G64" i="23"/>
  <c r="B64" i="23"/>
  <c r="C229" i="11"/>
  <c r="D219" i="11"/>
  <c r="D244" i="11"/>
  <c r="F29" i="23"/>
  <c r="G29" i="23"/>
  <c r="B29" i="23"/>
  <c r="D209" i="11"/>
  <c r="F44" i="23"/>
  <c r="G44" i="23"/>
  <c r="B44" i="23"/>
  <c r="P27" i="26"/>
  <c r="O46" i="12"/>
  <c r="O25" i="26"/>
  <c r="N44" i="12"/>
  <c r="O15" i="26"/>
  <c r="N34" i="12"/>
  <c r="P24" i="26"/>
  <c r="O43" i="12"/>
  <c r="P26" i="26"/>
  <c r="O45" i="12"/>
  <c r="O30" i="26"/>
  <c r="N49" i="12"/>
  <c r="O28" i="26"/>
  <c r="N47" i="12"/>
  <c r="P35" i="26"/>
  <c r="O54" i="12"/>
  <c r="O23" i="26"/>
  <c r="N42" i="12"/>
  <c r="N157" i="12"/>
  <c r="N155" i="12"/>
  <c r="N145" i="12"/>
  <c r="N82" i="12"/>
  <c r="N72" i="12"/>
  <c r="N62" i="12"/>
  <c r="M116" i="12"/>
  <c r="M82" i="12"/>
  <c r="M62" i="12"/>
  <c r="M159" i="12"/>
  <c r="M149" i="12"/>
  <c r="M139" i="12"/>
  <c r="M128" i="12"/>
  <c r="L157" i="12"/>
  <c r="L159" i="12"/>
  <c r="L147" i="12"/>
  <c r="L149" i="12"/>
  <c r="L137" i="12"/>
  <c r="L139" i="12"/>
  <c r="L126" i="12"/>
  <c r="L128" i="12"/>
  <c r="L116" i="12"/>
  <c r="L118" i="12"/>
  <c r="L77" i="12"/>
  <c r="L62" i="12"/>
  <c r="L103" i="12"/>
  <c r="L93" i="12"/>
  <c r="L155" i="12"/>
  <c r="L145" i="12"/>
  <c r="L131" i="12"/>
  <c r="L133" i="12"/>
  <c r="L121" i="12"/>
  <c r="L123" i="12"/>
  <c r="L111" i="12"/>
  <c r="L113" i="12"/>
  <c r="L82" i="12"/>
  <c r="L72" i="12"/>
  <c r="L108" i="12"/>
  <c r="L98" i="12"/>
  <c r="L88" i="12"/>
  <c r="M155" i="12"/>
  <c r="M119" i="12"/>
  <c r="M61" i="12"/>
  <c r="M150" i="12"/>
  <c r="M129" i="12"/>
  <c r="M76" i="12"/>
  <c r="L160" i="12"/>
  <c r="L150" i="12"/>
  <c r="L140" i="12"/>
  <c r="L129" i="12"/>
  <c r="L119" i="12"/>
  <c r="L74" i="12"/>
  <c r="L76" i="12"/>
  <c r="L59" i="12"/>
  <c r="L61" i="12"/>
  <c r="L100" i="12"/>
  <c r="L102" i="12"/>
  <c r="L90" i="12"/>
  <c r="L92" i="12"/>
  <c r="L152" i="12"/>
  <c r="L154" i="12"/>
  <c r="L142" i="12"/>
  <c r="L144" i="12"/>
  <c r="L134" i="12"/>
  <c r="L124" i="12"/>
  <c r="L114" i="12"/>
  <c r="L79" i="12"/>
  <c r="L81" i="12"/>
  <c r="L69" i="12"/>
  <c r="L71" i="12"/>
  <c r="L105" i="12"/>
  <c r="L107" i="12"/>
  <c r="L95" i="12"/>
  <c r="L97" i="12"/>
  <c r="L85" i="12"/>
  <c r="O107" i="26"/>
  <c r="N126" i="12"/>
  <c r="O109" i="26"/>
  <c r="N128" i="12"/>
  <c r="N84" i="26"/>
  <c r="M103" i="12"/>
  <c r="N74" i="26"/>
  <c r="M93" i="12"/>
  <c r="N112" i="26"/>
  <c r="M131" i="12"/>
  <c r="N114" i="26"/>
  <c r="M133" i="12"/>
  <c r="N102" i="26"/>
  <c r="M121" i="12"/>
  <c r="N104" i="26"/>
  <c r="M123" i="12"/>
  <c r="N92" i="26"/>
  <c r="M111" i="12"/>
  <c r="N94" i="26"/>
  <c r="M113" i="12"/>
  <c r="N89" i="26"/>
  <c r="M108" i="12"/>
  <c r="N79" i="26"/>
  <c r="M98" i="12"/>
  <c r="N69" i="26"/>
  <c r="M88" i="12"/>
  <c r="N14" i="26"/>
  <c r="M33" i="12"/>
  <c r="P13" i="26"/>
  <c r="O32" i="12"/>
  <c r="O110" i="26"/>
  <c r="N129" i="12"/>
  <c r="N81" i="26"/>
  <c r="M100" i="12"/>
  <c r="N83" i="26"/>
  <c r="M102" i="12"/>
  <c r="N71" i="26"/>
  <c r="M90" i="12"/>
  <c r="N73" i="26"/>
  <c r="M92" i="12"/>
  <c r="N115" i="26"/>
  <c r="M134" i="12"/>
  <c r="N105" i="26"/>
  <c r="M124" i="12"/>
  <c r="N95" i="26"/>
  <c r="M114" i="12"/>
  <c r="N86" i="26"/>
  <c r="M105" i="12"/>
  <c r="N88" i="26"/>
  <c r="M107" i="12"/>
  <c r="N76" i="26"/>
  <c r="M95" i="12"/>
  <c r="N78" i="26"/>
  <c r="M97" i="12"/>
  <c r="N66" i="26"/>
  <c r="M85" i="12"/>
  <c r="N68" i="26"/>
  <c r="M87" i="12"/>
  <c r="N17" i="26"/>
  <c r="M36" i="12"/>
  <c r="N16" i="26"/>
  <c r="M35" i="12"/>
  <c r="M145" i="12"/>
  <c r="D29" i="11"/>
  <c r="C38" i="11"/>
  <c r="C142" i="11"/>
  <c r="C80" i="11"/>
  <c r="C132" i="11"/>
  <c r="C95" i="11"/>
  <c r="C74" i="11"/>
  <c r="C120" i="11"/>
  <c r="C68" i="11"/>
  <c r="C99" i="11"/>
  <c r="C58" i="11"/>
  <c r="C110" i="11"/>
  <c r="C89" i="11"/>
  <c r="O157" i="12"/>
  <c r="O159" i="12"/>
  <c r="O147" i="12"/>
  <c r="O149" i="12"/>
  <c r="O137" i="12"/>
  <c r="O139" i="12"/>
  <c r="O74" i="12"/>
  <c r="O76" i="12"/>
  <c r="O64" i="12"/>
  <c r="O66" i="12"/>
  <c r="O116" i="12"/>
  <c r="O118" i="12"/>
  <c r="O152" i="12"/>
  <c r="O154" i="12"/>
  <c r="O142" i="12"/>
  <c r="O144" i="12"/>
  <c r="O79" i="12"/>
  <c r="O81" i="12"/>
  <c r="O69" i="12"/>
  <c r="O71" i="12"/>
  <c r="O59" i="12"/>
  <c r="O61" i="12"/>
  <c r="P41" i="12"/>
  <c r="P40" i="12"/>
  <c r="P48" i="12"/>
  <c r="P50" i="12"/>
  <c r="P53" i="12"/>
  <c r="P56" i="12"/>
  <c r="Q37" i="12"/>
  <c r="O132" i="12"/>
  <c r="O112" i="12"/>
  <c r="D131" i="11"/>
  <c r="O160" i="12"/>
  <c r="O158" i="12"/>
  <c r="O150" i="12"/>
  <c r="O148" i="12"/>
  <c r="O140" i="12"/>
  <c r="O138" i="12"/>
  <c r="O86" i="12"/>
  <c r="O77" i="12"/>
  <c r="O75" i="12"/>
  <c r="O67" i="12"/>
  <c r="O65" i="12"/>
  <c r="O101" i="12"/>
  <c r="Q125" i="12"/>
  <c r="Q89" i="12"/>
  <c r="P120" i="12"/>
  <c r="P115" i="12"/>
  <c r="P151" i="12"/>
  <c r="P141" i="12"/>
  <c r="P104" i="12"/>
  <c r="P94" i="12"/>
  <c r="P78" i="12"/>
  <c r="P68" i="12"/>
  <c r="P58" i="12"/>
  <c r="Q39" i="12"/>
  <c r="P38" i="12"/>
  <c r="P51" i="12"/>
  <c r="P55" i="12"/>
  <c r="Q52" i="12"/>
  <c r="P127" i="12"/>
  <c r="P91" i="12"/>
  <c r="P130" i="12"/>
  <c r="P110" i="12"/>
  <c r="P156" i="12"/>
  <c r="P146" i="12"/>
  <c r="P136" i="12"/>
  <c r="P84" i="12"/>
  <c r="P73" i="12"/>
  <c r="P63" i="12"/>
  <c r="P99" i="12"/>
  <c r="O122" i="12"/>
  <c r="O119" i="12"/>
  <c r="O117" i="12"/>
  <c r="O155" i="12"/>
  <c r="O153" i="12"/>
  <c r="O145" i="12"/>
  <c r="O143" i="12"/>
  <c r="O106" i="12"/>
  <c r="O96" i="12"/>
  <c r="O82" i="12"/>
  <c r="O80" i="12"/>
  <c r="O72" i="12"/>
  <c r="O70" i="12"/>
  <c r="O62" i="12"/>
  <c r="O60" i="12"/>
  <c r="C27" i="11"/>
  <c r="D28" i="11"/>
  <c r="B27" i="26"/>
  <c r="C46" i="12" s="1"/>
  <c r="E46" i="12"/>
  <c r="C42" i="11"/>
  <c r="C32" i="11"/>
  <c r="C47" i="11"/>
  <c r="B131" i="26"/>
  <c r="C150" i="12" s="1"/>
  <c r="E150" i="12"/>
  <c r="B69" i="26"/>
  <c r="C88" i="12" s="1"/>
  <c r="E88" i="12"/>
  <c r="B121" i="26"/>
  <c r="C140" i="12" s="1"/>
  <c r="E140" i="12"/>
  <c r="B43" i="26"/>
  <c r="C62" i="12" s="1"/>
  <c r="E62" i="12"/>
  <c r="B84" i="26"/>
  <c r="C103" i="12" s="1"/>
  <c r="E103" i="12"/>
  <c r="B63" i="26"/>
  <c r="C82" i="12" s="1"/>
  <c r="E82" i="12"/>
  <c r="C63" i="11"/>
  <c r="C105" i="11"/>
  <c r="C136" i="11"/>
  <c r="C146" i="11"/>
  <c r="C115" i="11"/>
  <c r="C125" i="11"/>
  <c r="C84" i="11"/>
  <c r="C120" i="26"/>
  <c r="D139" i="12" s="1"/>
  <c r="A121" i="26"/>
  <c r="C121" i="26" s="1"/>
  <c r="D140" i="12" s="1"/>
  <c r="B52" i="26"/>
  <c r="C71" i="12" s="1"/>
  <c r="D53" i="26"/>
  <c r="B94" i="26"/>
  <c r="C113" i="12" s="1"/>
  <c r="D95" i="26"/>
  <c r="B125" i="26"/>
  <c r="C144" i="12" s="1"/>
  <c r="D126" i="26"/>
  <c r="B135" i="26"/>
  <c r="C154" i="12" s="1"/>
  <c r="D136" i="26"/>
  <c r="B104" i="26"/>
  <c r="C123" i="12" s="1"/>
  <c r="D105" i="26"/>
  <c r="B114" i="26"/>
  <c r="C133" i="12" s="1"/>
  <c r="D115" i="26"/>
  <c r="B73" i="26"/>
  <c r="C92" i="12" s="1"/>
  <c r="D74" i="26"/>
  <c r="B109" i="26"/>
  <c r="C128" i="12" s="1"/>
  <c r="D110" i="26"/>
  <c r="B57" i="26"/>
  <c r="C76" i="12" s="1"/>
  <c r="D58" i="26"/>
  <c r="B88" i="26"/>
  <c r="C107" i="12" s="1"/>
  <c r="D89" i="26"/>
  <c r="B47" i="26"/>
  <c r="C66" i="12" s="1"/>
  <c r="D48" i="26"/>
  <c r="B140" i="26"/>
  <c r="C159" i="12" s="1"/>
  <c r="C152" i="11" s="1"/>
  <c r="D141" i="26"/>
  <c r="B99" i="26"/>
  <c r="C118" i="12" s="1"/>
  <c r="D100" i="26"/>
  <c r="B78" i="26"/>
  <c r="C97" i="12" s="1"/>
  <c r="D79" i="26"/>
  <c r="B36" i="26"/>
  <c r="C55" i="12" s="1"/>
  <c r="D37" i="26"/>
  <c r="B31" i="26"/>
  <c r="C50" i="12" s="1"/>
  <c r="D32" i="26"/>
  <c r="B21" i="26"/>
  <c r="C40" i="12" s="1"/>
  <c r="D22" i="26"/>
  <c r="D17" i="26"/>
  <c r="E36" i="12" s="1"/>
  <c r="B16" i="26"/>
  <c r="C35" i="12" s="1"/>
  <c r="B20" i="62" l="1"/>
  <c r="B144" i="62"/>
  <c r="B154" i="62"/>
  <c r="B30" i="62"/>
  <c r="C54" i="11"/>
  <c r="B40" i="62"/>
  <c r="B164" i="62"/>
  <c r="B26" i="62"/>
  <c r="B150" i="62"/>
  <c r="B194" i="62"/>
  <c r="B70" i="62"/>
  <c r="B185" i="62"/>
  <c r="B61" i="62"/>
  <c r="B139" i="62"/>
  <c r="B15" i="62"/>
  <c r="B35" i="62"/>
  <c r="B159" i="62"/>
  <c r="B81" i="62"/>
  <c r="B205" i="62"/>
  <c r="B75" i="62"/>
  <c r="B199" i="62"/>
  <c r="B41" i="62"/>
  <c r="B165" i="62"/>
  <c r="B66" i="62"/>
  <c r="B190" i="62"/>
  <c r="B169" i="62"/>
  <c r="B45" i="62"/>
  <c r="B50" i="62"/>
  <c r="B174" i="62"/>
  <c r="B85" i="62"/>
  <c r="B209" i="62"/>
  <c r="B179" i="62"/>
  <c r="B55" i="62"/>
  <c r="P678" i="58"/>
  <c r="P396" i="58"/>
  <c r="P992" i="58"/>
  <c r="P346" i="58"/>
  <c r="P679" i="58"/>
  <c r="P371" i="58"/>
  <c r="P834" i="58"/>
  <c r="P372" i="58"/>
  <c r="P835" i="58"/>
  <c r="P397" i="58"/>
  <c r="P990" i="58"/>
  <c r="P344" i="58"/>
  <c r="P680" i="58"/>
  <c r="P398" i="58"/>
  <c r="P991" i="58"/>
  <c r="P370" i="58"/>
  <c r="P836" i="58"/>
  <c r="P345" i="58"/>
  <c r="P813" i="58"/>
  <c r="P375" i="58"/>
  <c r="P324" i="58"/>
  <c r="P829" i="58"/>
  <c r="P391" i="58"/>
  <c r="P325" i="58"/>
  <c r="P972" i="58"/>
  <c r="P660" i="58"/>
  <c r="P378" i="58"/>
  <c r="P327" i="58"/>
  <c r="P662" i="58"/>
  <c r="P380" i="58"/>
  <c r="P331" i="58"/>
  <c r="P823" i="58"/>
  <c r="P385" i="58"/>
  <c r="P343" i="58"/>
  <c r="P670" i="58"/>
  <c r="P388" i="58"/>
  <c r="P981" i="58"/>
  <c r="P364" i="58"/>
  <c r="P337" i="58"/>
  <c r="P666" i="58"/>
  <c r="P384" i="58"/>
  <c r="P830" i="58"/>
  <c r="P360" i="58"/>
  <c r="P969" i="58"/>
  <c r="P350" i="58"/>
  <c r="P985" i="58"/>
  <c r="P659" i="58"/>
  <c r="P351" i="58"/>
  <c r="P816" i="58"/>
  <c r="P661" i="58"/>
  <c r="P353" i="58"/>
  <c r="P818" i="58"/>
  <c r="P665" i="58"/>
  <c r="P357" i="58"/>
  <c r="P979" i="58"/>
  <c r="P677" i="58"/>
  <c r="P369" i="58"/>
  <c r="P826" i="58"/>
  <c r="P335" i="58"/>
  <c r="P672" i="58"/>
  <c r="P390" i="58"/>
  <c r="P671" i="58"/>
  <c r="P363" i="58"/>
  <c r="P822" i="58"/>
  <c r="P986" i="58"/>
  <c r="P340" i="58"/>
  <c r="P668" i="58"/>
  <c r="P386" i="58"/>
  <c r="P323" i="58"/>
  <c r="P658" i="58"/>
  <c r="P376" i="58"/>
  <c r="P339" i="58"/>
  <c r="P815" i="58"/>
  <c r="P377" i="58"/>
  <c r="P326" i="58"/>
  <c r="P973" i="58"/>
  <c r="P817" i="58"/>
  <c r="P379" i="58"/>
  <c r="P328" i="58"/>
  <c r="P821" i="58"/>
  <c r="P383" i="58"/>
  <c r="P333" i="58"/>
  <c r="P833" i="58"/>
  <c r="P395" i="58"/>
  <c r="P982" i="58"/>
  <c r="P336" i="58"/>
  <c r="P669" i="58"/>
  <c r="P361" i="58"/>
  <c r="P828" i="58"/>
  <c r="P827" i="58"/>
  <c r="P389" i="58"/>
  <c r="P978" i="58"/>
  <c r="P332" i="58"/>
  <c r="P366" i="58"/>
  <c r="P824" i="58"/>
  <c r="P657" i="58"/>
  <c r="P349" i="58"/>
  <c r="P970" i="58"/>
  <c r="P814" i="58"/>
  <c r="P673" i="58"/>
  <c r="P365" i="58"/>
  <c r="P971" i="58"/>
  <c r="P352" i="58"/>
  <c r="P974" i="58"/>
  <c r="P354" i="58"/>
  <c r="P977" i="58"/>
  <c r="P667" i="58"/>
  <c r="P359" i="58"/>
  <c r="P989" i="58"/>
  <c r="P362" i="58"/>
  <c r="P825" i="58"/>
  <c r="P387" i="58"/>
  <c r="P984" i="58"/>
  <c r="P338" i="58"/>
  <c r="P983" i="58"/>
  <c r="P358" i="58"/>
  <c r="P674" i="58"/>
  <c r="P392" i="58"/>
  <c r="P980" i="58"/>
  <c r="P334" i="58"/>
  <c r="P373" i="58"/>
  <c r="P820" i="58"/>
  <c r="P975" i="58"/>
  <c r="P329" i="58"/>
  <c r="P988" i="58"/>
  <c r="P676" i="58"/>
  <c r="P367" i="58"/>
  <c r="P664" i="58"/>
  <c r="P382" i="58"/>
  <c r="P399" i="58"/>
  <c r="P976" i="58"/>
  <c r="P330" i="58"/>
  <c r="P663" i="58"/>
  <c r="P355" i="58"/>
  <c r="P831" i="58"/>
  <c r="P368" i="58"/>
  <c r="P987" i="58"/>
  <c r="P675" i="58"/>
  <c r="P356" i="58"/>
  <c r="P819" i="58"/>
  <c r="P381" i="58"/>
  <c r="P832" i="58"/>
  <c r="P393" i="58"/>
  <c r="P341" i="58"/>
  <c r="P347" i="58"/>
  <c r="P394" i="58"/>
  <c r="P342" i="58"/>
  <c r="P942" i="58"/>
  <c r="P630" i="58"/>
  <c r="P784" i="58"/>
  <c r="P940" i="58"/>
  <c r="P628" i="58"/>
  <c r="P294" i="58"/>
  <c r="P786" i="58"/>
  <c r="P292" i="58"/>
  <c r="P936" i="58"/>
  <c r="P624" i="58"/>
  <c r="P282" i="58"/>
  <c r="P929" i="58"/>
  <c r="P939" i="58"/>
  <c r="P934" i="58"/>
  <c r="P622" i="58"/>
  <c r="P919" i="58"/>
  <c r="P764" i="58"/>
  <c r="P935" i="58"/>
  <c r="P921" i="58"/>
  <c r="P766" i="58"/>
  <c r="P924" i="58"/>
  <c r="P768" i="58"/>
  <c r="P927" i="58"/>
  <c r="P933" i="58"/>
  <c r="P774" i="58"/>
  <c r="P284" i="58"/>
  <c r="P619" i="58"/>
  <c r="P608" i="58"/>
  <c r="P610" i="58"/>
  <c r="P612" i="58"/>
  <c r="P280" i="58"/>
  <c r="P288" i="58"/>
  <c r="P930" i="58"/>
  <c r="P618" i="58"/>
  <c r="P617" i="58"/>
  <c r="P627" i="58"/>
  <c r="P776" i="58"/>
  <c r="P775" i="58"/>
  <c r="P283" i="58"/>
  <c r="P286" i="58"/>
  <c r="P607" i="58"/>
  <c r="P623" i="58"/>
  <c r="P609" i="58"/>
  <c r="P611" i="58"/>
  <c r="P615" i="58"/>
  <c r="P621" i="58"/>
  <c r="P772" i="58"/>
  <c r="P780" i="58"/>
  <c r="P773" i="58"/>
  <c r="P281" i="58"/>
  <c r="P783" i="58"/>
  <c r="P291" i="58"/>
  <c r="P932" i="58"/>
  <c r="P620" i="58"/>
  <c r="P931" i="58"/>
  <c r="P778" i="58"/>
  <c r="P763" i="58"/>
  <c r="P271" i="58"/>
  <c r="P920" i="58"/>
  <c r="P272" i="58"/>
  <c r="P779" i="58"/>
  <c r="P287" i="58"/>
  <c r="P765" i="58"/>
  <c r="P273" i="58"/>
  <c r="P922" i="58"/>
  <c r="P274" i="58"/>
  <c r="P923" i="58"/>
  <c r="P767" i="58"/>
  <c r="P275" i="58"/>
  <c r="P276" i="58"/>
  <c r="P771" i="58"/>
  <c r="P279" i="58"/>
  <c r="P777" i="58"/>
  <c r="P285" i="58"/>
  <c r="P928" i="58"/>
  <c r="P616" i="58"/>
  <c r="P295" i="58"/>
  <c r="P785" i="58"/>
  <c r="P293" i="58"/>
  <c r="P926" i="58"/>
  <c r="P770" i="58"/>
  <c r="P938" i="58"/>
  <c r="P625" i="58"/>
  <c r="P613" i="58"/>
  <c r="P278" i="58"/>
  <c r="P937" i="58"/>
  <c r="P941" i="58"/>
  <c r="P614" i="58"/>
  <c r="P781" i="58"/>
  <c r="P769" i="58"/>
  <c r="P277" i="58"/>
  <c r="P629" i="58"/>
  <c r="P782" i="58"/>
  <c r="P289" i="58"/>
  <c r="P925" i="58"/>
  <c r="P626" i="58"/>
  <c r="P290" i="58"/>
  <c r="P473" i="58"/>
  <c r="P498" i="58"/>
  <c r="P523" i="58"/>
  <c r="P513" i="58"/>
  <c r="P516" i="58"/>
  <c r="P502" i="58"/>
  <c r="P492" i="58"/>
  <c r="P453" i="58"/>
  <c r="P505" i="58"/>
  <c r="P481" i="58"/>
  <c r="P459" i="58"/>
  <c r="P468" i="58"/>
  <c r="P512" i="58"/>
  <c r="P486" i="58"/>
  <c r="P489" i="58"/>
  <c r="P451" i="58"/>
  <c r="P517" i="58"/>
  <c r="P478" i="58"/>
  <c r="P454" i="58"/>
  <c r="P506" i="58"/>
  <c r="P484" i="58"/>
  <c r="P465" i="58"/>
  <c r="P460" i="58"/>
  <c r="P493" i="58"/>
  <c r="P511" i="58"/>
  <c r="P470" i="58"/>
  <c r="P514" i="58"/>
  <c r="P463" i="58"/>
  <c r="P466" i="58"/>
  <c r="P476" i="58"/>
  <c r="P452" i="58"/>
  <c r="P503" i="58"/>
  <c r="P479" i="58"/>
  <c r="P455" i="58"/>
  <c r="P509" i="58"/>
  <c r="P490" i="58"/>
  <c r="P485" i="58"/>
  <c r="P518" i="58"/>
  <c r="P462" i="58"/>
  <c r="P495" i="58"/>
  <c r="P488" i="58"/>
  <c r="P491" i="58"/>
  <c r="P501" i="58"/>
  <c r="P477" i="58"/>
  <c r="P467" i="58"/>
  <c r="P504" i="58"/>
  <c r="P480" i="58"/>
  <c r="P456" i="58"/>
  <c r="P515" i="58"/>
  <c r="P510" i="58"/>
  <c r="P487" i="58"/>
  <c r="P461" i="58"/>
  <c r="P520" i="58"/>
  <c r="P464" i="58"/>
  <c r="P474" i="58"/>
  <c r="P522" i="58"/>
  <c r="P482" i="58"/>
  <c r="P508" i="58"/>
  <c r="P497" i="58"/>
  <c r="P519" i="58"/>
  <c r="P499" i="58"/>
  <c r="P507" i="58"/>
  <c r="P469" i="58"/>
  <c r="P471" i="58"/>
  <c r="P524" i="58"/>
  <c r="P472" i="58"/>
  <c r="P494" i="58"/>
  <c r="P496" i="58"/>
  <c r="P458" i="58"/>
  <c r="P457" i="58"/>
  <c r="P521" i="58"/>
  <c r="P483" i="58"/>
  <c r="Q758" i="58"/>
  <c r="Q602" i="58"/>
  <c r="Q596" i="58"/>
  <c r="Q761" i="58"/>
  <c r="Q911" i="58"/>
  <c r="Q750" i="58"/>
  <c r="Q594" i="58"/>
  <c r="Q605" i="58"/>
  <c r="Q268" i="58"/>
  <c r="Q755" i="58"/>
  <c r="Q914" i="58"/>
  <c r="Q265" i="58"/>
  <c r="Q908" i="58"/>
  <c r="Q752" i="58"/>
  <c r="Q259" i="58"/>
  <c r="Q599" i="58"/>
  <c r="Q262" i="58"/>
  <c r="Q906" i="58"/>
  <c r="Q257" i="58"/>
  <c r="Q917" i="58"/>
  <c r="Q898" i="58"/>
  <c r="Q249" i="58"/>
  <c r="Q753" i="58"/>
  <c r="Q747" i="58"/>
  <c r="Q591" i="58"/>
  <c r="Q254" i="58"/>
  <c r="Q751" i="58"/>
  <c r="Q595" i="58"/>
  <c r="Q258" i="58"/>
  <c r="Q739" i="58"/>
  <c r="Q899" i="58"/>
  <c r="Q894" i="58"/>
  <c r="Q246" i="58"/>
  <c r="Q916" i="58"/>
  <c r="Q267" i="58"/>
  <c r="Q749" i="58"/>
  <c r="Q593" i="58"/>
  <c r="Q256" i="58"/>
  <c r="Q597" i="58"/>
  <c r="Q260" i="58"/>
  <c r="Q269" i="58"/>
  <c r="Q754" i="58"/>
  <c r="Q598" i="58"/>
  <c r="Q897" i="58"/>
  <c r="Q583" i="58"/>
  <c r="Q247" i="58"/>
  <c r="Q896" i="58"/>
  <c r="Q743" i="58"/>
  <c r="Q746" i="58"/>
  <c r="Q590" i="58"/>
  <c r="Q748" i="58"/>
  <c r="Q592" i="58"/>
  <c r="Q742" i="58"/>
  <c r="Q586" i="58"/>
  <c r="Q741" i="58"/>
  <c r="Q903" i="58"/>
  <c r="Q907" i="58"/>
  <c r="Q587" i="58"/>
  <c r="Q250" i="58"/>
  <c r="Q738" i="58"/>
  <c r="Q582" i="58"/>
  <c r="Q760" i="58"/>
  <c r="Q604" i="58"/>
  <c r="Q905" i="58"/>
  <c r="Q909" i="58"/>
  <c r="Q910" i="58"/>
  <c r="Q261" i="58"/>
  <c r="Q585" i="58"/>
  <c r="Q248" i="58"/>
  <c r="Q895" i="58"/>
  <c r="Q740" i="58"/>
  <c r="Q584" i="58"/>
  <c r="Q902" i="58"/>
  <c r="Q253" i="58"/>
  <c r="Q904" i="58"/>
  <c r="Q255" i="58"/>
  <c r="Q756" i="58"/>
  <c r="Q759" i="58"/>
  <c r="Q901" i="58"/>
  <c r="Q744" i="58"/>
  <c r="Q588" i="58"/>
  <c r="Q913" i="58"/>
  <c r="Q601" i="58"/>
  <c r="Q912" i="58"/>
  <c r="Q600" i="58"/>
  <c r="Q603" i="58"/>
  <c r="Q266" i="58"/>
  <c r="Q915" i="58"/>
  <c r="Q757" i="58"/>
  <c r="Q263" i="58"/>
  <c r="Q745" i="58"/>
  <c r="Q589" i="58"/>
  <c r="Q252" i="58"/>
  <c r="Q900" i="58"/>
  <c r="Q251" i="58"/>
  <c r="Q264" i="58"/>
  <c r="P304" i="58"/>
  <c r="P962" i="58"/>
  <c r="P650" i="58"/>
  <c r="P316" i="58"/>
  <c r="P796" i="58"/>
  <c r="P305" i="58"/>
  <c r="P795" i="58"/>
  <c r="P300" i="58"/>
  <c r="P963" i="58"/>
  <c r="P651" i="58"/>
  <c r="P952" i="58"/>
  <c r="P640" i="58"/>
  <c r="P951" i="58"/>
  <c r="P639" i="58"/>
  <c r="P791" i="58"/>
  <c r="P806" i="58"/>
  <c r="P947" i="58"/>
  <c r="P635" i="58"/>
  <c r="P807" i="58"/>
  <c r="P315" i="58"/>
  <c r="P964" i="58"/>
  <c r="P788" i="58"/>
  <c r="P297" i="58"/>
  <c r="P959" i="58"/>
  <c r="P965" i="58"/>
  <c r="P638" i="58"/>
  <c r="P802" i="58"/>
  <c r="P311" i="58"/>
  <c r="P954" i="58"/>
  <c r="P948" i="58"/>
  <c r="P799" i="58"/>
  <c r="P643" i="58"/>
  <c r="P797" i="58"/>
  <c r="P801" i="58"/>
  <c r="P298" i="58"/>
  <c r="P302" i="58"/>
  <c r="P944" i="58"/>
  <c r="P655" i="58"/>
  <c r="P320" i="58"/>
  <c r="P648" i="58"/>
  <c r="P794" i="58"/>
  <c r="P303" i="58"/>
  <c r="P958" i="58"/>
  <c r="P634" i="58"/>
  <c r="P642" i="58"/>
  <c r="P649" i="58"/>
  <c r="P314" i="58"/>
  <c r="P955" i="58"/>
  <c r="P953" i="58"/>
  <c r="P957" i="58"/>
  <c r="P652" i="58"/>
  <c r="P789" i="58"/>
  <c r="P793" i="58"/>
  <c r="P647" i="58"/>
  <c r="P312" i="58"/>
  <c r="P967" i="58"/>
  <c r="P811" i="58"/>
  <c r="P804" i="58"/>
  <c r="P313" i="58"/>
  <c r="P653" i="58"/>
  <c r="P318" i="58"/>
  <c r="P800" i="58"/>
  <c r="P644" i="58"/>
  <c r="P309" i="58"/>
  <c r="P950" i="58"/>
  <c r="P790" i="58"/>
  <c r="P299" i="58"/>
  <c r="P805" i="58"/>
  <c r="P636" i="58"/>
  <c r="P641" i="58"/>
  <c r="P808" i="58"/>
  <c r="P317" i="58"/>
  <c r="P945" i="58"/>
  <c r="P633" i="58"/>
  <c r="P949" i="58"/>
  <c r="P637" i="58"/>
  <c r="P632" i="58"/>
  <c r="P803" i="58"/>
  <c r="P960" i="58"/>
  <c r="P809" i="58"/>
  <c r="P956" i="58"/>
  <c r="P646" i="58"/>
  <c r="P946" i="58"/>
  <c r="P798" i="58"/>
  <c r="P307" i="58"/>
  <c r="P961" i="58"/>
  <c r="P792" i="58"/>
  <c r="P301" i="58"/>
  <c r="P308" i="58"/>
  <c r="P306" i="58"/>
  <c r="P645" i="58"/>
  <c r="P310" i="58"/>
  <c r="P966" i="58"/>
  <c r="P654" i="58"/>
  <c r="P810" i="58"/>
  <c r="P319" i="58"/>
  <c r="P321" i="58"/>
  <c r="Q852" i="58"/>
  <c r="Q688" i="58"/>
  <c r="Q690" i="58"/>
  <c r="Q540" i="58"/>
  <c r="Q844" i="58"/>
  <c r="Q532" i="58"/>
  <c r="Q704" i="58"/>
  <c r="Q548" i="58"/>
  <c r="Q846" i="58"/>
  <c r="Q534" i="58"/>
  <c r="Q709" i="58"/>
  <c r="Q860" i="58"/>
  <c r="Q849" i="58"/>
  <c r="Q693" i="58"/>
  <c r="Q537" i="58"/>
  <c r="Q865" i="58"/>
  <c r="Q553" i="58"/>
  <c r="Q847" i="58"/>
  <c r="Q691" i="58"/>
  <c r="Q535" i="58"/>
  <c r="Q696" i="58"/>
  <c r="Q856" i="58"/>
  <c r="Q544" i="58"/>
  <c r="Q850" i="58"/>
  <c r="Q538" i="58"/>
  <c r="Q549" i="58"/>
  <c r="Q699" i="58"/>
  <c r="Q698" i="58"/>
  <c r="Q857" i="58"/>
  <c r="Q695" i="58"/>
  <c r="Q539" i="58"/>
  <c r="Q697" i="58"/>
  <c r="Q541" i="58"/>
  <c r="Q705" i="58"/>
  <c r="Q854" i="58"/>
  <c r="Q864" i="58"/>
  <c r="Q708" i="58"/>
  <c r="Q552" i="58"/>
  <c r="Q703" i="58"/>
  <c r="Q547" i="58"/>
  <c r="Q851" i="58"/>
  <c r="Q702" i="58"/>
  <c r="Q853" i="58"/>
  <c r="Q861" i="58"/>
  <c r="Q543" i="58"/>
  <c r="Q692" i="58"/>
  <c r="Q542" i="58"/>
  <c r="Q845" i="58"/>
  <c r="Q689" i="58"/>
  <c r="Q533" i="58"/>
  <c r="Q700" i="58"/>
  <c r="Q859" i="58"/>
  <c r="Q858" i="58"/>
  <c r="Q546" i="58"/>
  <c r="Q694" i="58"/>
  <c r="Q855" i="58"/>
  <c r="Q848" i="58"/>
  <c r="Q536" i="58"/>
  <c r="Q701" i="58"/>
  <c r="Q545" i="58"/>
  <c r="Q866" i="58"/>
  <c r="Q710" i="58"/>
  <c r="Q554" i="58"/>
  <c r="Q863" i="58"/>
  <c r="Q711" i="58"/>
  <c r="Q551" i="58"/>
  <c r="Q707" i="58"/>
  <c r="Q867" i="58"/>
  <c r="Q555" i="58"/>
  <c r="Q11" i="58"/>
  <c r="Q241" i="58"/>
  <c r="Q189" i="58"/>
  <c r="Q59" i="58" s="1"/>
  <c r="Q85" i="58" s="1"/>
  <c r="Q111" i="58" s="1"/>
  <c r="Q137" i="58" s="1"/>
  <c r="Q163" i="58" s="1"/>
  <c r="Q890" i="58"/>
  <c r="Q734" i="58"/>
  <c r="Q578" i="58"/>
  <c r="Q215" i="58"/>
  <c r="Q177" i="58"/>
  <c r="Q47" i="58" s="1"/>
  <c r="Q73" i="58" s="1"/>
  <c r="Q99" i="58" s="1"/>
  <c r="Q125" i="58" s="1"/>
  <c r="Q151" i="58" s="1"/>
  <c r="Q574" i="58"/>
  <c r="Q211" i="58"/>
  <c r="Q185" i="58"/>
  <c r="Q55" i="58" s="1"/>
  <c r="Q81" i="58" s="1"/>
  <c r="Q107" i="58" s="1"/>
  <c r="Q133" i="58" s="1"/>
  <c r="Q159" i="58" s="1"/>
  <c r="Q568" i="58"/>
  <c r="Q231" i="58"/>
  <c r="Q220" i="58"/>
  <c r="Q195" i="58"/>
  <c r="Q885" i="58"/>
  <c r="Q210" i="58"/>
  <c r="Q715" i="58"/>
  <c r="Q559" i="58"/>
  <c r="Q196" i="58"/>
  <c r="Q872" i="58"/>
  <c r="Q560" i="58"/>
  <c r="Q223" i="58"/>
  <c r="Q717" i="58"/>
  <c r="Q561" i="58"/>
  <c r="Q198" i="58"/>
  <c r="Q874" i="58"/>
  <c r="Q562" i="58"/>
  <c r="Q225" i="58"/>
  <c r="Q721" i="58"/>
  <c r="Q565" i="58"/>
  <c r="Q202" i="58"/>
  <c r="Q204" i="58"/>
  <c r="Q239" i="58"/>
  <c r="Q726" i="58"/>
  <c r="Q725" i="58"/>
  <c r="Q569" i="58"/>
  <c r="Q206" i="58"/>
  <c r="Q884" i="58"/>
  <c r="Q883" i="58"/>
  <c r="Q208" i="58"/>
  <c r="Q203" i="58"/>
  <c r="Q237" i="58"/>
  <c r="Q168" i="58"/>
  <c r="Q38" i="58" s="1"/>
  <c r="Q64" i="58" s="1"/>
  <c r="Q90" i="58" s="1"/>
  <c r="Q116" i="58" s="1"/>
  <c r="Q142" i="58" s="1"/>
  <c r="Q714" i="58"/>
  <c r="Q236" i="58"/>
  <c r="Q184" i="58"/>
  <c r="Q54" i="58" s="1"/>
  <c r="Q80" i="58" s="1"/>
  <c r="Q106" i="58" s="1"/>
  <c r="Q132" i="58" s="1"/>
  <c r="Q158" i="58" s="1"/>
  <c r="Q171" i="58"/>
  <c r="Q41" i="58" s="1"/>
  <c r="Q67" i="58" s="1"/>
  <c r="Q93" i="58" s="1"/>
  <c r="Q119" i="58" s="1"/>
  <c r="Q145" i="58" s="1"/>
  <c r="Q873" i="58"/>
  <c r="Q173" i="58"/>
  <c r="Q43" i="58" s="1"/>
  <c r="Q69" i="58" s="1"/>
  <c r="Q95" i="58" s="1"/>
  <c r="Q121" i="58" s="1"/>
  <c r="Q147" i="58" s="1"/>
  <c r="Q879" i="58"/>
  <c r="Q230" i="58"/>
  <c r="Q733" i="58"/>
  <c r="Q577" i="58"/>
  <c r="Q240" i="58"/>
  <c r="Q570" i="58"/>
  <c r="Q207" i="58"/>
  <c r="Q232" i="58"/>
  <c r="Q180" i="58"/>
  <c r="Q50" i="58" s="1"/>
  <c r="Q76" i="58" s="1"/>
  <c r="Q102" i="58" s="1"/>
  <c r="Q128" i="58" s="1"/>
  <c r="Q154" i="58" s="1"/>
  <c r="Q728" i="58"/>
  <c r="Q234" i="58"/>
  <c r="Q182" i="58"/>
  <c r="Q52" i="58" s="1"/>
  <c r="Q78" i="58" s="1"/>
  <c r="Q104" i="58" s="1"/>
  <c r="Q130" i="58" s="1"/>
  <c r="Q156" i="58" s="1"/>
  <c r="Q722" i="58"/>
  <c r="Q886" i="58"/>
  <c r="Q238" i="58"/>
  <c r="Q880" i="58"/>
  <c r="Q179" i="58"/>
  <c r="Q49" i="58" s="1"/>
  <c r="Q75" i="58" s="1"/>
  <c r="Q101" i="58" s="1"/>
  <c r="Q127" i="58" s="1"/>
  <c r="Q153" i="58" s="1"/>
  <c r="Q869" i="58"/>
  <c r="Q713" i="58"/>
  <c r="Q557" i="58"/>
  <c r="Q194" i="58"/>
  <c r="Q870" i="58"/>
  <c r="Q558" i="58"/>
  <c r="Q221" i="58"/>
  <c r="Q729" i="58"/>
  <c r="Q573" i="58"/>
  <c r="Q871" i="58"/>
  <c r="Q222" i="58"/>
  <c r="Q197" i="58"/>
  <c r="Q224" i="58"/>
  <c r="Q199" i="58"/>
  <c r="Q877" i="58"/>
  <c r="Q228" i="58"/>
  <c r="Q233" i="58"/>
  <c r="Q181" i="58"/>
  <c r="Q51" i="58" s="1"/>
  <c r="Q77" i="58" s="1"/>
  <c r="Q103" i="58" s="1"/>
  <c r="Q129" i="58" s="1"/>
  <c r="Q155" i="58" s="1"/>
  <c r="Q881" i="58"/>
  <c r="Q572" i="58"/>
  <c r="Q209" i="58"/>
  <c r="Q727" i="58"/>
  <c r="Q571" i="58"/>
  <c r="Q878" i="58"/>
  <c r="Q566" i="58"/>
  <c r="Q229" i="58"/>
  <c r="Q730" i="58"/>
  <c r="Q724" i="58"/>
  <c r="Q205" i="58"/>
  <c r="Q169" i="58"/>
  <c r="Q39" i="58" s="1"/>
  <c r="Q65" i="58" s="1"/>
  <c r="Q91" i="58" s="1"/>
  <c r="Q117" i="58" s="1"/>
  <c r="Q143" i="58" s="1"/>
  <c r="Q170" i="58"/>
  <c r="Q40" i="58" s="1"/>
  <c r="Q66" i="58" s="1"/>
  <c r="Q92" i="58" s="1"/>
  <c r="Q118" i="58" s="1"/>
  <c r="Q144" i="58" s="1"/>
  <c r="Q716" i="58"/>
  <c r="Q172" i="58"/>
  <c r="Q42" i="58" s="1"/>
  <c r="Q68" i="58" s="1"/>
  <c r="Q94" i="58" s="1"/>
  <c r="Q120" i="58" s="1"/>
  <c r="Q146" i="58" s="1"/>
  <c r="Q718" i="58"/>
  <c r="Q176" i="58"/>
  <c r="Q46" i="58" s="1"/>
  <c r="Q72" i="58" s="1"/>
  <c r="Q98" i="58" s="1"/>
  <c r="Q124" i="58" s="1"/>
  <c r="Q150" i="58" s="1"/>
  <c r="Q723" i="58"/>
  <c r="Q567" i="58"/>
  <c r="Q178" i="58"/>
  <c r="Q48" i="58" s="1"/>
  <c r="Q74" i="58" s="1"/>
  <c r="Q100" i="58" s="1"/>
  <c r="Q126" i="58" s="1"/>
  <c r="Q152" i="58" s="1"/>
  <c r="Q889" i="58"/>
  <c r="Q214" i="58"/>
  <c r="Q188" i="58"/>
  <c r="Q58" i="58" s="1"/>
  <c r="Q84" i="58" s="1"/>
  <c r="Q110" i="58" s="1"/>
  <c r="Q136" i="58" s="1"/>
  <c r="Q162" i="58" s="1"/>
  <c r="Q882" i="58"/>
  <c r="Q235" i="58"/>
  <c r="Q183" i="58"/>
  <c r="Q53" i="58" s="1"/>
  <c r="Q79" i="58" s="1"/>
  <c r="Q105" i="58" s="1"/>
  <c r="Q131" i="58" s="1"/>
  <c r="Q157" i="58" s="1"/>
  <c r="Q243" i="58"/>
  <c r="Q191" i="58"/>
  <c r="Q61" i="58" s="1"/>
  <c r="Q87" i="58" s="1"/>
  <c r="Q113" i="58" s="1"/>
  <c r="Q139" i="58" s="1"/>
  <c r="Q165" i="58" s="1"/>
  <c r="Q735" i="58"/>
  <c r="Q579" i="58"/>
  <c r="Q888" i="58"/>
  <c r="Q576" i="58"/>
  <c r="Q213" i="58"/>
  <c r="Q187" i="58"/>
  <c r="Q57" i="58" s="1"/>
  <c r="Q83" i="58" s="1"/>
  <c r="Q109" i="58" s="1"/>
  <c r="Q135" i="58" s="1"/>
  <c r="Q161" i="58" s="1"/>
  <c r="Q174" i="58"/>
  <c r="Q44" i="58" s="1"/>
  <c r="Q70" i="58" s="1"/>
  <c r="Q96" i="58" s="1"/>
  <c r="Q122" i="58" s="1"/>
  <c r="Q148" i="58" s="1"/>
  <c r="Q218" i="58"/>
  <c r="Q175" i="58"/>
  <c r="Q45" i="58" s="1"/>
  <c r="Q71" i="58" s="1"/>
  <c r="Q97" i="58" s="1"/>
  <c r="Q123" i="58" s="1"/>
  <c r="Q149" i="58" s="1"/>
  <c r="Q242" i="58"/>
  <c r="Q190" i="58"/>
  <c r="Q60" i="58" s="1"/>
  <c r="Q86" i="58" s="1"/>
  <c r="Q112" i="58" s="1"/>
  <c r="Q138" i="58" s="1"/>
  <c r="Q164" i="58" s="1"/>
  <c r="Q212" i="58"/>
  <c r="Q876" i="58"/>
  <c r="Q564" i="58"/>
  <c r="Q227" i="58"/>
  <c r="Q892" i="58"/>
  <c r="Q731" i="58"/>
  <c r="Q875" i="58"/>
  <c r="Q719" i="58"/>
  <c r="Q563" i="58"/>
  <c r="Q200" i="58"/>
  <c r="Q244" i="58"/>
  <c r="Q192" i="58"/>
  <c r="Q62" i="58" s="1"/>
  <c r="Q88" i="58" s="1"/>
  <c r="Q114" i="58" s="1"/>
  <c r="Q140" i="58" s="1"/>
  <c r="Q166" i="58" s="1"/>
  <c r="Q201" i="58"/>
  <c r="Q217" i="58"/>
  <c r="Q186" i="58"/>
  <c r="Q56" i="58" s="1"/>
  <c r="Q82" i="58" s="1"/>
  <c r="Q108" i="58" s="1"/>
  <c r="Q134" i="58" s="1"/>
  <c r="Q160" i="58" s="1"/>
  <c r="Q226" i="58"/>
  <c r="Q736" i="58"/>
  <c r="Q891" i="58"/>
  <c r="Q216" i="58"/>
  <c r="Q887" i="58"/>
  <c r="Q575" i="58"/>
  <c r="Q720" i="58"/>
  <c r="Q580" i="58"/>
  <c r="Q732" i="58"/>
  <c r="H533" i="25"/>
  <c r="H550" i="25"/>
  <c r="H496" i="25"/>
  <c r="H513" i="25"/>
  <c r="H237" i="25"/>
  <c r="H254" i="25"/>
  <c r="H202" i="25"/>
  <c r="H219" i="25"/>
  <c r="H1088" i="25"/>
  <c r="H1105" i="25"/>
  <c r="H1051" i="25"/>
  <c r="H1068" i="25"/>
  <c r="H903" i="25"/>
  <c r="H920" i="25"/>
  <c r="H829" i="25"/>
  <c r="H846" i="25"/>
  <c r="H755" i="25"/>
  <c r="H772" i="25"/>
  <c r="H681" i="25"/>
  <c r="H698" i="25"/>
  <c r="H607" i="25"/>
  <c r="H624" i="25"/>
  <c r="H385" i="25"/>
  <c r="H402" i="25"/>
  <c r="H348" i="25"/>
  <c r="H365" i="25"/>
  <c r="H1125" i="25"/>
  <c r="H1142" i="25"/>
  <c r="H1015" i="25"/>
  <c r="H1032" i="25"/>
  <c r="H977" i="25"/>
  <c r="H994" i="25"/>
  <c r="H866" i="25"/>
  <c r="H883" i="25"/>
  <c r="H793" i="25"/>
  <c r="H810" i="25"/>
  <c r="H718" i="25"/>
  <c r="H735" i="25"/>
  <c r="H645" i="25"/>
  <c r="H662" i="25"/>
  <c r="H570" i="25"/>
  <c r="H587" i="25"/>
  <c r="H460" i="25"/>
  <c r="H477" i="25"/>
  <c r="H422" i="25"/>
  <c r="H439" i="25"/>
  <c r="H312" i="25"/>
  <c r="H329" i="25"/>
  <c r="H274" i="25"/>
  <c r="H291" i="25"/>
  <c r="H15" i="25"/>
  <c r="H32" i="25"/>
  <c r="H941" i="25"/>
  <c r="H958" i="25"/>
  <c r="U9" i="12"/>
  <c r="U10" i="12"/>
  <c r="U12" i="12"/>
  <c r="U13" i="12" s="1"/>
  <c r="E44" i="23"/>
  <c r="E29" i="23"/>
  <c r="C224" i="11"/>
  <c r="D230" i="11"/>
  <c r="C244" i="11"/>
  <c r="E49" i="23"/>
  <c r="C219" i="11"/>
  <c r="D215" i="11"/>
  <c r="F59" i="23"/>
  <c r="G59" i="23"/>
  <c r="B59" i="23"/>
  <c r="F54" i="23"/>
  <c r="G54" i="23"/>
  <c r="B54" i="23"/>
  <c r="D210" i="11"/>
  <c r="D225" i="11"/>
  <c r="C214" i="11"/>
  <c r="E64" i="23"/>
  <c r="C209" i="11"/>
  <c r="D245" i="11"/>
  <c r="E14" i="23"/>
  <c r="D220" i="11"/>
  <c r="E34" i="23"/>
  <c r="D234" i="11"/>
  <c r="D239" i="11"/>
  <c r="P23" i="26"/>
  <c r="O42" i="12"/>
  <c r="Q35" i="26"/>
  <c r="P54" i="12"/>
  <c r="P28" i="26"/>
  <c r="O47" i="12"/>
  <c r="P30" i="26"/>
  <c r="O49" i="12"/>
  <c r="Q26" i="26"/>
  <c r="P45" i="12"/>
  <c r="Q24" i="26"/>
  <c r="P43" i="12"/>
  <c r="P15" i="26"/>
  <c r="O34" i="12"/>
  <c r="P25" i="26"/>
  <c r="O44" i="12"/>
  <c r="Q27" i="26"/>
  <c r="P46" i="12"/>
  <c r="O16" i="26"/>
  <c r="N35" i="12"/>
  <c r="O17" i="26"/>
  <c r="N36" i="12"/>
  <c r="O68" i="26"/>
  <c r="N87" i="12"/>
  <c r="O66" i="26"/>
  <c r="N85" i="12"/>
  <c r="O78" i="26"/>
  <c r="N97" i="12"/>
  <c r="O76" i="26"/>
  <c r="N95" i="12"/>
  <c r="O88" i="26"/>
  <c r="N107" i="12"/>
  <c r="O86" i="26"/>
  <c r="N105" i="12"/>
  <c r="O95" i="26"/>
  <c r="N114" i="12"/>
  <c r="O105" i="26"/>
  <c r="N124" i="12"/>
  <c r="O115" i="26"/>
  <c r="N134" i="12"/>
  <c r="O73" i="26"/>
  <c r="N92" i="12"/>
  <c r="O71" i="26"/>
  <c r="N90" i="12"/>
  <c r="O83" i="26"/>
  <c r="N102" i="12"/>
  <c r="O81" i="26"/>
  <c r="N100" i="12"/>
  <c r="P110" i="26"/>
  <c r="O129" i="12"/>
  <c r="P32" i="12"/>
  <c r="Q13" i="26"/>
  <c r="O14" i="26"/>
  <c r="N33" i="12"/>
  <c r="O69" i="26"/>
  <c r="N88" i="12"/>
  <c r="O79" i="26"/>
  <c r="N98" i="12"/>
  <c r="O89" i="26"/>
  <c r="N108" i="12"/>
  <c r="O94" i="26"/>
  <c r="N113" i="12"/>
  <c r="O92" i="26"/>
  <c r="N111" i="12"/>
  <c r="O104" i="26"/>
  <c r="N123" i="12"/>
  <c r="O102" i="26"/>
  <c r="N121" i="12"/>
  <c r="O114" i="26"/>
  <c r="N133" i="12"/>
  <c r="O112" i="26"/>
  <c r="N131" i="12"/>
  <c r="O74" i="26"/>
  <c r="N93" i="12"/>
  <c r="O84" i="26"/>
  <c r="N103" i="12"/>
  <c r="P109" i="26"/>
  <c r="O128" i="12"/>
  <c r="P107" i="26"/>
  <c r="O126" i="12"/>
  <c r="B17" i="26"/>
  <c r="C36" i="12" s="1"/>
  <c r="C33" i="11"/>
  <c r="C43" i="11"/>
  <c r="C48" i="11"/>
  <c r="B79" i="26"/>
  <c r="C98" i="12" s="1"/>
  <c r="E98" i="12"/>
  <c r="B100" i="26"/>
  <c r="C119" i="12" s="1"/>
  <c r="E119" i="12"/>
  <c r="B141" i="26"/>
  <c r="C160" i="12" s="1"/>
  <c r="C153" i="11" s="1"/>
  <c r="E160" i="12"/>
  <c r="B48" i="26"/>
  <c r="C67" i="12" s="1"/>
  <c r="E67" i="12"/>
  <c r="B89" i="26"/>
  <c r="C108" i="12" s="1"/>
  <c r="E108" i="12"/>
  <c r="B58" i="26"/>
  <c r="C77" i="12" s="1"/>
  <c r="E77" i="12"/>
  <c r="B110" i="26"/>
  <c r="C129" i="12" s="1"/>
  <c r="E129" i="12"/>
  <c r="B74" i="26"/>
  <c r="C93" i="12" s="1"/>
  <c r="E93" i="12"/>
  <c r="B115" i="26"/>
  <c r="C134" i="12" s="1"/>
  <c r="E134" i="12"/>
  <c r="B105" i="26"/>
  <c r="C124" i="12" s="1"/>
  <c r="E124" i="12"/>
  <c r="B136" i="26"/>
  <c r="C155" i="12" s="1"/>
  <c r="E155" i="12"/>
  <c r="B126" i="26"/>
  <c r="C145" i="12" s="1"/>
  <c r="E145" i="12"/>
  <c r="B95" i="26"/>
  <c r="C114" i="12" s="1"/>
  <c r="E114" i="12"/>
  <c r="B53" i="26"/>
  <c r="C72" i="12" s="1"/>
  <c r="E72" i="12"/>
  <c r="D133" i="11"/>
  <c r="P60" i="12"/>
  <c r="P62" i="12"/>
  <c r="P70" i="12"/>
  <c r="P72" i="12"/>
  <c r="P80" i="12"/>
  <c r="P82" i="12"/>
  <c r="P96" i="12"/>
  <c r="P106" i="12"/>
  <c r="P143" i="12"/>
  <c r="P145" i="12"/>
  <c r="P153" i="12"/>
  <c r="P155" i="12"/>
  <c r="P117" i="12"/>
  <c r="P119" i="12"/>
  <c r="P122" i="12"/>
  <c r="Q99" i="12"/>
  <c r="Q63" i="12"/>
  <c r="Q73" i="12"/>
  <c r="Q84" i="12"/>
  <c r="Q136" i="12"/>
  <c r="Q146" i="12"/>
  <c r="Q156" i="12"/>
  <c r="Q110" i="12"/>
  <c r="Q130" i="12"/>
  <c r="Q91" i="12"/>
  <c r="Q127" i="12"/>
  <c r="R52" i="12"/>
  <c r="Q55" i="12"/>
  <c r="Q51" i="12"/>
  <c r="Q38" i="12"/>
  <c r="R39" i="12"/>
  <c r="Q58" i="12"/>
  <c r="Q68" i="12"/>
  <c r="Q78" i="12"/>
  <c r="Q94" i="12"/>
  <c r="Q104" i="12"/>
  <c r="Q141" i="12"/>
  <c r="Q151" i="12"/>
  <c r="Q115" i="12"/>
  <c r="Q120" i="12"/>
  <c r="R89" i="12"/>
  <c r="R125" i="12"/>
  <c r="P101" i="12"/>
  <c r="P65" i="12"/>
  <c r="P67" i="12"/>
  <c r="P75" i="12"/>
  <c r="P77" i="12"/>
  <c r="P86" i="12"/>
  <c r="P138" i="12"/>
  <c r="P140" i="12"/>
  <c r="P148" i="12"/>
  <c r="P150" i="12"/>
  <c r="P158" i="12"/>
  <c r="P160" i="12"/>
  <c r="P112" i="12"/>
  <c r="P132" i="12"/>
  <c r="R37" i="12"/>
  <c r="Q56" i="12"/>
  <c r="Q53" i="12"/>
  <c r="Q50" i="12"/>
  <c r="Q48" i="12"/>
  <c r="Q40" i="12"/>
  <c r="Q41" i="12"/>
  <c r="P61" i="12"/>
  <c r="P59" i="12"/>
  <c r="P71" i="12"/>
  <c r="P69" i="12"/>
  <c r="P81" i="12"/>
  <c r="P79" i="12"/>
  <c r="P144" i="12"/>
  <c r="P142" i="12"/>
  <c r="P154" i="12"/>
  <c r="P152" i="12"/>
  <c r="P118" i="12"/>
  <c r="P116" i="12"/>
  <c r="P66" i="12"/>
  <c r="P64" i="12"/>
  <c r="P76" i="12"/>
  <c r="P74" i="12"/>
  <c r="P139" i="12"/>
  <c r="P137" i="12"/>
  <c r="P149" i="12"/>
  <c r="P147" i="12"/>
  <c r="P159" i="12"/>
  <c r="P157" i="12"/>
  <c r="C28" i="11"/>
  <c r="B22" i="26"/>
  <c r="C41" i="12" s="1"/>
  <c r="E41" i="12"/>
  <c r="B32" i="26"/>
  <c r="C51" i="12" s="1"/>
  <c r="E51" i="12"/>
  <c r="B37" i="26"/>
  <c r="C56" i="12" s="1"/>
  <c r="E56" i="12"/>
  <c r="C90" i="11"/>
  <c r="C111" i="11"/>
  <c r="C59" i="11"/>
  <c r="C100" i="11"/>
  <c r="C69" i="11"/>
  <c r="C121" i="11"/>
  <c r="C85" i="11"/>
  <c r="C126" i="11"/>
  <c r="C116" i="11"/>
  <c r="C147" i="11"/>
  <c r="C137" i="11"/>
  <c r="C106" i="11"/>
  <c r="C64" i="11"/>
  <c r="D132" i="11"/>
  <c r="C75" i="11"/>
  <c r="C96" i="11"/>
  <c r="C55" i="11"/>
  <c r="C133" i="11"/>
  <c r="C81" i="11"/>
  <c r="C143" i="11"/>
  <c r="C39" i="11"/>
  <c r="B71" i="62" l="1"/>
  <c r="B195" i="62"/>
  <c r="B155" i="62"/>
  <c r="B31" i="62"/>
  <c r="B145" i="62"/>
  <c r="B21" i="62"/>
  <c r="B140" i="62"/>
  <c r="B16" i="62"/>
  <c r="B180" i="62"/>
  <c r="B56" i="62"/>
  <c r="B210" i="62"/>
  <c r="B86" i="62"/>
  <c r="B175" i="62"/>
  <c r="B51" i="62"/>
  <c r="B170" i="62"/>
  <c r="B46" i="62"/>
  <c r="B76" i="62"/>
  <c r="B200" i="62"/>
  <c r="B36" i="62"/>
  <c r="B160" i="62"/>
  <c r="Q834" i="58"/>
  <c r="Q372" i="58"/>
  <c r="Q835" i="58"/>
  <c r="Q397" i="58"/>
  <c r="Q990" i="58"/>
  <c r="Q344" i="58"/>
  <c r="Q680" i="58"/>
  <c r="Q398" i="58"/>
  <c r="Q991" i="58"/>
  <c r="Q370" i="58"/>
  <c r="Q836" i="58"/>
  <c r="Q345" i="58"/>
  <c r="Q678" i="58"/>
  <c r="Q396" i="58"/>
  <c r="Q992" i="58"/>
  <c r="Q346" i="58"/>
  <c r="Q679" i="58"/>
  <c r="Q371" i="58"/>
  <c r="Q969" i="58"/>
  <c r="Q970" i="58"/>
  <c r="Q350" i="58"/>
  <c r="Q985" i="58"/>
  <c r="Q659" i="58"/>
  <c r="Q351" i="58"/>
  <c r="Q816" i="58"/>
  <c r="Q973" i="58"/>
  <c r="Q661" i="58"/>
  <c r="Q353" i="58"/>
  <c r="Q974" i="58"/>
  <c r="Q818" i="58"/>
  <c r="Q665" i="58"/>
  <c r="Q357" i="58"/>
  <c r="Q979" i="58"/>
  <c r="Q677" i="58"/>
  <c r="Q369" i="58"/>
  <c r="Q826" i="58"/>
  <c r="Q335" i="58"/>
  <c r="Q672" i="58"/>
  <c r="Q390" i="58"/>
  <c r="Q671" i="58"/>
  <c r="Q363" i="58"/>
  <c r="Q822" i="58"/>
  <c r="Q986" i="58"/>
  <c r="Q340" i="58"/>
  <c r="Q668" i="58"/>
  <c r="Q386" i="58"/>
  <c r="Q323" i="58"/>
  <c r="Q658" i="58"/>
  <c r="Q376" i="58"/>
  <c r="Q339" i="58"/>
  <c r="Q815" i="58"/>
  <c r="Q377" i="58"/>
  <c r="Q326" i="58"/>
  <c r="Q817" i="58"/>
  <c r="Q379" i="58"/>
  <c r="Q328" i="58"/>
  <c r="Q821" i="58"/>
  <c r="Q383" i="58"/>
  <c r="Q333" i="58"/>
  <c r="Q833" i="58"/>
  <c r="Q395" i="58"/>
  <c r="Q982" i="58"/>
  <c r="Q336" i="58"/>
  <c r="Q669" i="58"/>
  <c r="Q361" i="58"/>
  <c r="Q828" i="58"/>
  <c r="Q827" i="58"/>
  <c r="Q389" i="58"/>
  <c r="Q978" i="58"/>
  <c r="Q332" i="58"/>
  <c r="Q366" i="58"/>
  <c r="Q824" i="58"/>
  <c r="Q657" i="58"/>
  <c r="Q349" i="58"/>
  <c r="Q814" i="58"/>
  <c r="Q673" i="58"/>
  <c r="Q365" i="58"/>
  <c r="Q971" i="58"/>
  <c r="Q972" i="58"/>
  <c r="Q352" i="58"/>
  <c r="Q354" i="58"/>
  <c r="Q977" i="58"/>
  <c r="Q667" i="58"/>
  <c r="Q359" i="58"/>
  <c r="Q989" i="58"/>
  <c r="Q362" i="58"/>
  <c r="Q825" i="58"/>
  <c r="Q387" i="58"/>
  <c r="Q984" i="58"/>
  <c r="Q338" i="58"/>
  <c r="Q983" i="58"/>
  <c r="Q358" i="58"/>
  <c r="Q674" i="58"/>
  <c r="Q392" i="58"/>
  <c r="Q980" i="58"/>
  <c r="Q334" i="58"/>
  <c r="Q813" i="58"/>
  <c r="Q375" i="58"/>
  <c r="Q324" i="58"/>
  <c r="Q829" i="58"/>
  <c r="Q391" i="58"/>
  <c r="Q325" i="58"/>
  <c r="Q660" i="58"/>
  <c r="Q378" i="58"/>
  <c r="Q327" i="58"/>
  <c r="Q662" i="58"/>
  <c r="Q380" i="58"/>
  <c r="Q331" i="58"/>
  <c r="Q823" i="58"/>
  <c r="Q385" i="58"/>
  <c r="Q343" i="58"/>
  <c r="Q670" i="58"/>
  <c r="Q388" i="58"/>
  <c r="Q981" i="58"/>
  <c r="Q364" i="58"/>
  <c r="Q337" i="58"/>
  <c r="Q666" i="58"/>
  <c r="Q384" i="58"/>
  <c r="Q830" i="58"/>
  <c r="Q360" i="58"/>
  <c r="Q399" i="58"/>
  <c r="Q976" i="58"/>
  <c r="Q330" i="58"/>
  <c r="Q663" i="58"/>
  <c r="Q355" i="58"/>
  <c r="Q987" i="58"/>
  <c r="Q832" i="58"/>
  <c r="Q675" i="58"/>
  <c r="Q393" i="58"/>
  <c r="Q341" i="58"/>
  <c r="Q356" i="58"/>
  <c r="Q819" i="58"/>
  <c r="Q381" i="58"/>
  <c r="Q394" i="58"/>
  <c r="Q342" i="58"/>
  <c r="Q373" i="58"/>
  <c r="Q820" i="58"/>
  <c r="Q329" i="58"/>
  <c r="Q368" i="58"/>
  <c r="Q347" i="58"/>
  <c r="Q664" i="58"/>
  <c r="Q382" i="58"/>
  <c r="Q975" i="58"/>
  <c r="Q988" i="58"/>
  <c r="Q831" i="58"/>
  <c r="Q676" i="58"/>
  <c r="Q367" i="58"/>
  <c r="Q795" i="58"/>
  <c r="Q952" i="58"/>
  <c r="Q951" i="58"/>
  <c r="Q639" i="58"/>
  <c r="Q304" i="58"/>
  <c r="Q791" i="58"/>
  <c r="Q962" i="58"/>
  <c r="Q807" i="58"/>
  <c r="Q650" i="58"/>
  <c r="Q315" i="58"/>
  <c r="Q305" i="58"/>
  <c r="Q947" i="58"/>
  <c r="Q635" i="58"/>
  <c r="Q300" i="58"/>
  <c r="Q316" i="58"/>
  <c r="Q963" i="58"/>
  <c r="Q806" i="58"/>
  <c r="Q651" i="58"/>
  <c r="Q796" i="58"/>
  <c r="Q640" i="58"/>
  <c r="Q317" i="58"/>
  <c r="Q944" i="58"/>
  <c r="Q655" i="58"/>
  <c r="Q648" i="58"/>
  <c r="Q794" i="58"/>
  <c r="Q638" i="58"/>
  <c r="Q958" i="58"/>
  <c r="Q307" i="58"/>
  <c r="Q649" i="58"/>
  <c r="Q301" i="58"/>
  <c r="Q955" i="58"/>
  <c r="Q308" i="58"/>
  <c r="Q953" i="58"/>
  <c r="Q306" i="58"/>
  <c r="Q957" i="58"/>
  <c r="Q310" i="58"/>
  <c r="Q652" i="58"/>
  <c r="Q789" i="58"/>
  <c r="Q793" i="58"/>
  <c r="Q297" i="58"/>
  <c r="Q647" i="58"/>
  <c r="Q811" i="58"/>
  <c r="Q804" i="58"/>
  <c r="Q653" i="58"/>
  <c r="Q800" i="58"/>
  <c r="Q644" i="58"/>
  <c r="Q950" i="58"/>
  <c r="Q311" i="58"/>
  <c r="Q790" i="58"/>
  <c r="Q634" i="58"/>
  <c r="Q642" i="58"/>
  <c r="Q805" i="58"/>
  <c r="Q641" i="58"/>
  <c r="Q808" i="58"/>
  <c r="Q945" i="58"/>
  <c r="Q633" i="58"/>
  <c r="Q298" i="58"/>
  <c r="Q949" i="58"/>
  <c r="Q637" i="58"/>
  <c r="Q302" i="58"/>
  <c r="Q803" i="58"/>
  <c r="Q320" i="58"/>
  <c r="Q960" i="58"/>
  <c r="Q809" i="58"/>
  <c r="Q956" i="58"/>
  <c r="Q303" i="58"/>
  <c r="Q646" i="58"/>
  <c r="Q946" i="58"/>
  <c r="Q798" i="58"/>
  <c r="Q961" i="58"/>
  <c r="Q314" i="58"/>
  <c r="Q792" i="58"/>
  <c r="Q636" i="58"/>
  <c r="Q643" i="58"/>
  <c r="Q645" i="58"/>
  <c r="Q964" i="58"/>
  <c r="Q788" i="58"/>
  <c r="Q632" i="58"/>
  <c r="Q959" i="58"/>
  <c r="Q312" i="58"/>
  <c r="Q967" i="58"/>
  <c r="Q313" i="58"/>
  <c r="Q965" i="58"/>
  <c r="Q318" i="58"/>
  <c r="Q309" i="58"/>
  <c r="Q802" i="58"/>
  <c r="Q299" i="58"/>
  <c r="Q954" i="58"/>
  <c r="Q948" i="58"/>
  <c r="Q799" i="58"/>
  <c r="Q797" i="58"/>
  <c r="Q801" i="58"/>
  <c r="Q321" i="58"/>
  <c r="Q654" i="58"/>
  <c r="Q810" i="58"/>
  <c r="Q319" i="58"/>
  <c r="Q966" i="58"/>
  <c r="Q940" i="58"/>
  <c r="Q628" i="58"/>
  <c r="Q292" i="58"/>
  <c r="Q786" i="58"/>
  <c r="Q942" i="58"/>
  <c r="Q630" i="58"/>
  <c r="Q294" i="58"/>
  <c r="Q784" i="58"/>
  <c r="Q774" i="58"/>
  <c r="Q281" i="58"/>
  <c r="Q291" i="58"/>
  <c r="Q919" i="58"/>
  <c r="Q271" i="58"/>
  <c r="Q608" i="58"/>
  <c r="Q272" i="58"/>
  <c r="Q287" i="58"/>
  <c r="Q921" i="58"/>
  <c r="Q273" i="58"/>
  <c r="Q610" i="58"/>
  <c r="Q274" i="58"/>
  <c r="Q923" i="58"/>
  <c r="Q275" i="58"/>
  <c r="Q612" i="58"/>
  <c r="Q276" i="58"/>
  <c r="Q279" i="58"/>
  <c r="Q285" i="58"/>
  <c r="Q930" i="58"/>
  <c r="Q618" i="58"/>
  <c r="Q282" i="58"/>
  <c r="Q776" i="58"/>
  <c r="Q775" i="58"/>
  <c r="Q619" i="58"/>
  <c r="Q772" i="58"/>
  <c r="Q780" i="58"/>
  <c r="Q773" i="58"/>
  <c r="Q617" i="58"/>
  <c r="Q783" i="58"/>
  <c r="Q627" i="58"/>
  <c r="Q932" i="58"/>
  <c r="Q620" i="58"/>
  <c r="Q284" i="58"/>
  <c r="Q931" i="58"/>
  <c r="Q778" i="58"/>
  <c r="Q763" i="58"/>
  <c r="Q607" i="58"/>
  <c r="Q920" i="58"/>
  <c r="Q779" i="58"/>
  <c r="Q623" i="58"/>
  <c r="Q765" i="58"/>
  <c r="Q609" i="58"/>
  <c r="Q922" i="58"/>
  <c r="Q767" i="58"/>
  <c r="Q611" i="58"/>
  <c r="Q771" i="58"/>
  <c r="Q615" i="58"/>
  <c r="Q777" i="58"/>
  <c r="Q621" i="58"/>
  <c r="Q928" i="58"/>
  <c r="Q616" i="58"/>
  <c r="Q280" i="58"/>
  <c r="Q936" i="58"/>
  <c r="Q624" i="58"/>
  <c r="Q288" i="58"/>
  <c r="Q929" i="58"/>
  <c r="Q939" i="58"/>
  <c r="Q283" i="58"/>
  <c r="Q934" i="58"/>
  <c r="Q622" i="58"/>
  <c r="Q286" i="58"/>
  <c r="Q764" i="58"/>
  <c r="Q935" i="58"/>
  <c r="Q766" i="58"/>
  <c r="Q924" i="58"/>
  <c r="Q768" i="58"/>
  <c r="Q927" i="58"/>
  <c r="Q933" i="58"/>
  <c r="Q941" i="58"/>
  <c r="Q926" i="58"/>
  <c r="Q614" i="58"/>
  <c r="Q278" i="58"/>
  <c r="Q937" i="58"/>
  <c r="Q782" i="58"/>
  <c r="Q289" i="58"/>
  <c r="Q769" i="58"/>
  <c r="Q613" i="58"/>
  <c r="Q785" i="58"/>
  <c r="Q625" i="58"/>
  <c r="Q295" i="58"/>
  <c r="Q293" i="58"/>
  <c r="Q626" i="58"/>
  <c r="Q290" i="58"/>
  <c r="Q629" i="58"/>
  <c r="Q770" i="58"/>
  <c r="Q938" i="58"/>
  <c r="Q781" i="58"/>
  <c r="Q925" i="58"/>
  <c r="Q277" i="58"/>
  <c r="Q473" i="58"/>
  <c r="Q498" i="58"/>
  <c r="Q523" i="58"/>
  <c r="Q451" i="58"/>
  <c r="Q517" i="58"/>
  <c r="Q478" i="58"/>
  <c r="Q454" i="58"/>
  <c r="Q506" i="58"/>
  <c r="Q484" i="58"/>
  <c r="Q465" i="58"/>
  <c r="Q460" i="58"/>
  <c r="Q493" i="58"/>
  <c r="Q511" i="58"/>
  <c r="Q470" i="58"/>
  <c r="Q514" i="58"/>
  <c r="Q463" i="58"/>
  <c r="Q466" i="58"/>
  <c r="Q476" i="58"/>
  <c r="Q452" i="58"/>
  <c r="Q503" i="58"/>
  <c r="Q479" i="58"/>
  <c r="Q455" i="58"/>
  <c r="Q509" i="58"/>
  <c r="Q490" i="58"/>
  <c r="Q485" i="58"/>
  <c r="Q518" i="58"/>
  <c r="Q462" i="58"/>
  <c r="Q495" i="58"/>
  <c r="Q488" i="58"/>
  <c r="Q491" i="58"/>
  <c r="Q501" i="58"/>
  <c r="Q477" i="58"/>
  <c r="Q467" i="58"/>
  <c r="Q504" i="58"/>
  <c r="Q480" i="58"/>
  <c r="Q456" i="58"/>
  <c r="Q515" i="58"/>
  <c r="Q510" i="58"/>
  <c r="Q487" i="58"/>
  <c r="Q461" i="58"/>
  <c r="Q520" i="58"/>
  <c r="Q464" i="58"/>
  <c r="Q513" i="58"/>
  <c r="Q516" i="58"/>
  <c r="Q502" i="58"/>
  <c r="Q492" i="58"/>
  <c r="Q453" i="58"/>
  <c r="Q505" i="58"/>
  <c r="Q481" i="58"/>
  <c r="Q459" i="58"/>
  <c r="Q468" i="58"/>
  <c r="Q512" i="58"/>
  <c r="Q486" i="58"/>
  <c r="Q489" i="58"/>
  <c r="Q499" i="58"/>
  <c r="Q507" i="58"/>
  <c r="Q469" i="58"/>
  <c r="Q471" i="58"/>
  <c r="Q524" i="58"/>
  <c r="Q472" i="58"/>
  <c r="Q494" i="58"/>
  <c r="Q496" i="58"/>
  <c r="Q458" i="58"/>
  <c r="Q522" i="58"/>
  <c r="Q508" i="58"/>
  <c r="Q497" i="58"/>
  <c r="Q457" i="58"/>
  <c r="Q519" i="58"/>
  <c r="Q521" i="58"/>
  <c r="Q483" i="58"/>
  <c r="Q474" i="58"/>
  <c r="Q482" i="58"/>
  <c r="H942" i="25"/>
  <c r="H959" i="25"/>
  <c r="H16" i="25"/>
  <c r="H33" i="25"/>
  <c r="H275" i="25"/>
  <c r="H292" i="25"/>
  <c r="H313" i="25"/>
  <c r="H330" i="25"/>
  <c r="H423" i="25"/>
  <c r="H440" i="25"/>
  <c r="H461" i="25"/>
  <c r="H478" i="25"/>
  <c r="H571" i="25"/>
  <c r="H588" i="25"/>
  <c r="H646" i="25"/>
  <c r="H663" i="25"/>
  <c r="H719" i="25"/>
  <c r="H736" i="25"/>
  <c r="H794" i="25"/>
  <c r="H811" i="25"/>
  <c r="H867" i="25"/>
  <c r="H884" i="25"/>
  <c r="H978" i="25"/>
  <c r="H995" i="25"/>
  <c r="H1016" i="25"/>
  <c r="H1033" i="25"/>
  <c r="H1126" i="25"/>
  <c r="H1143" i="25"/>
  <c r="H349" i="25"/>
  <c r="H366" i="25"/>
  <c r="H386" i="25"/>
  <c r="H403" i="25"/>
  <c r="H608" i="25"/>
  <c r="H625" i="25"/>
  <c r="H682" i="25"/>
  <c r="H699" i="25"/>
  <c r="H756" i="25"/>
  <c r="H773" i="25"/>
  <c r="H830" i="25"/>
  <c r="H847" i="25"/>
  <c r="H904" i="25"/>
  <c r="H921" i="25"/>
  <c r="H1052" i="25"/>
  <c r="H1069" i="25"/>
  <c r="H1089" i="25"/>
  <c r="H1106" i="25"/>
  <c r="H203" i="25"/>
  <c r="H220" i="25"/>
  <c r="H238" i="25"/>
  <c r="H255" i="25"/>
  <c r="H497" i="25"/>
  <c r="H514" i="25"/>
  <c r="H534" i="25"/>
  <c r="H551" i="25"/>
  <c r="E54" i="23"/>
  <c r="C239" i="11"/>
  <c r="D235" i="11"/>
  <c r="C220" i="11"/>
  <c r="C225" i="11"/>
  <c r="C210" i="11"/>
  <c r="C230" i="11"/>
  <c r="C215" i="11"/>
  <c r="C245" i="11"/>
  <c r="D240" i="11"/>
  <c r="E59" i="23"/>
  <c r="C234" i="11"/>
  <c r="Q107" i="26"/>
  <c r="P126" i="12"/>
  <c r="Q109" i="26"/>
  <c r="P128" i="12"/>
  <c r="P84" i="26"/>
  <c r="O103" i="12"/>
  <c r="P74" i="26"/>
  <c r="O93" i="12"/>
  <c r="P112" i="26"/>
  <c r="O131" i="12"/>
  <c r="P114" i="26"/>
  <c r="O133" i="12"/>
  <c r="P102" i="26"/>
  <c r="O121" i="12"/>
  <c r="P104" i="26"/>
  <c r="O123" i="12"/>
  <c r="P92" i="26"/>
  <c r="O111" i="12"/>
  <c r="P94" i="26"/>
  <c r="O113" i="12"/>
  <c r="P89" i="26"/>
  <c r="O108" i="12"/>
  <c r="P79" i="26"/>
  <c r="O98" i="12"/>
  <c r="P69" i="26"/>
  <c r="O88" i="12"/>
  <c r="O33" i="12"/>
  <c r="P14" i="26"/>
  <c r="Q110" i="26"/>
  <c r="P129" i="12"/>
  <c r="P81" i="26"/>
  <c r="O100" i="12"/>
  <c r="P83" i="26"/>
  <c r="O102" i="12"/>
  <c r="P71" i="26"/>
  <c r="O90" i="12"/>
  <c r="P73" i="26"/>
  <c r="O92" i="12"/>
  <c r="P115" i="26"/>
  <c r="O134" i="12"/>
  <c r="P105" i="26"/>
  <c r="O124" i="12"/>
  <c r="P95" i="26"/>
  <c r="O114" i="12"/>
  <c r="P86" i="26"/>
  <c r="O105" i="12"/>
  <c r="P88" i="26"/>
  <c r="O107" i="12"/>
  <c r="P76" i="26"/>
  <c r="O95" i="12"/>
  <c r="P78" i="26"/>
  <c r="O97" i="12"/>
  <c r="P66" i="26"/>
  <c r="O85" i="12"/>
  <c r="P68" i="26"/>
  <c r="O87" i="12"/>
  <c r="P17" i="26"/>
  <c r="O36" i="12"/>
  <c r="P16" i="26"/>
  <c r="O35" i="12"/>
  <c r="R27" i="26"/>
  <c r="Q46" i="12"/>
  <c r="Q25" i="26"/>
  <c r="P44" i="12"/>
  <c r="Q15" i="26"/>
  <c r="P34" i="12"/>
  <c r="R24" i="26"/>
  <c r="Q43" i="12"/>
  <c r="R26" i="26"/>
  <c r="Q45" i="12"/>
  <c r="Q30" i="26"/>
  <c r="P49" i="12"/>
  <c r="Q28" i="26"/>
  <c r="P47" i="12"/>
  <c r="R35" i="26"/>
  <c r="Q54" i="12"/>
  <c r="Q23" i="26"/>
  <c r="P42" i="12"/>
  <c r="R13" i="26"/>
  <c r="Q32" i="12"/>
  <c r="C49" i="11"/>
  <c r="C44" i="11"/>
  <c r="C34" i="11"/>
  <c r="Q157" i="12"/>
  <c r="Q159" i="12"/>
  <c r="Q147" i="12"/>
  <c r="Q149" i="12"/>
  <c r="Q137" i="12"/>
  <c r="Q139" i="12"/>
  <c r="Q74" i="12"/>
  <c r="Q76" i="12"/>
  <c r="Q64" i="12"/>
  <c r="Q66" i="12"/>
  <c r="Q116" i="12"/>
  <c r="Q118" i="12"/>
  <c r="Q152" i="12"/>
  <c r="Q154" i="12"/>
  <c r="Q142" i="12"/>
  <c r="Q144" i="12"/>
  <c r="Q79" i="12"/>
  <c r="Q81" i="12"/>
  <c r="Q69" i="12"/>
  <c r="Q71" i="12"/>
  <c r="Q59" i="12"/>
  <c r="Q61" i="12"/>
  <c r="R41" i="12"/>
  <c r="R40" i="12"/>
  <c r="R48" i="12"/>
  <c r="R50" i="12"/>
  <c r="R53" i="12"/>
  <c r="R56" i="12"/>
  <c r="S37" i="12"/>
  <c r="Q132" i="12"/>
  <c r="Q112" i="12"/>
  <c r="Q160" i="12"/>
  <c r="Q158" i="12"/>
  <c r="Q150" i="12"/>
  <c r="Q148" i="12"/>
  <c r="Q140" i="12"/>
  <c r="Q138" i="12"/>
  <c r="Q86" i="12"/>
  <c r="Q77" i="12"/>
  <c r="Q75" i="12"/>
  <c r="Q67" i="12"/>
  <c r="Q65" i="12"/>
  <c r="Q101" i="12"/>
  <c r="S125" i="12"/>
  <c r="S89" i="12"/>
  <c r="R120" i="12"/>
  <c r="R115" i="12"/>
  <c r="R151" i="12"/>
  <c r="R141" i="12"/>
  <c r="R104" i="12"/>
  <c r="R94" i="12"/>
  <c r="R78" i="12"/>
  <c r="R68" i="12"/>
  <c r="R58" i="12"/>
  <c r="S39" i="12"/>
  <c r="R38" i="12"/>
  <c r="R51" i="12"/>
  <c r="R55" i="12"/>
  <c r="S52" i="12"/>
  <c r="R127" i="12"/>
  <c r="R91" i="12"/>
  <c r="R130" i="12"/>
  <c r="R110" i="12"/>
  <c r="R156" i="12"/>
  <c r="R146" i="12"/>
  <c r="R136" i="12"/>
  <c r="R84" i="12"/>
  <c r="R73" i="12"/>
  <c r="R63" i="12"/>
  <c r="R99" i="12"/>
  <c r="Q122" i="12"/>
  <c r="Q119" i="12"/>
  <c r="Q117" i="12"/>
  <c r="Q155" i="12"/>
  <c r="Q153" i="12"/>
  <c r="Q145" i="12"/>
  <c r="Q143" i="12"/>
  <c r="Q106" i="12"/>
  <c r="Q96" i="12"/>
  <c r="Q82" i="12"/>
  <c r="Q80" i="12"/>
  <c r="Q72" i="12"/>
  <c r="Q70" i="12"/>
  <c r="Q62" i="12"/>
  <c r="Q60" i="12"/>
  <c r="C65" i="11"/>
  <c r="C107" i="11"/>
  <c r="C138" i="11"/>
  <c r="C148" i="11"/>
  <c r="C117" i="11"/>
  <c r="C127" i="11"/>
  <c r="C86" i="11"/>
  <c r="C122" i="11"/>
  <c r="C70" i="11"/>
  <c r="C101" i="11"/>
  <c r="C60" i="11"/>
  <c r="C112" i="11"/>
  <c r="C91" i="11"/>
  <c r="C29" i="11"/>
  <c r="H535" i="25" l="1"/>
  <c r="H552" i="25"/>
  <c r="H498" i="25"/>
  <c r="H515" i="25"/>
  <c r="H239" i="25"/>
  <c r="H256" i="25"/>
  <c r="H204" i="25"/>
  <c r="H221" i="25"/>
  <c r="H1090" i="25"/>
  <c r="H1107" i="25"/>
  <c r="H1053" i="25"/>
  <c r="H1070" i="25"/>
  <c r="H905" i="25"/>
  <c r="H922" i="25"/>
  <c r="H831" i="25"/>
  <c r="H848" i="25"/>
  <c r="H757" i="25"/>
  <c r="H774" i="25"/>
  <c r="H683" i="25"/>
  <c r="H700" i="25"/>
  <c r="H609" i="25"/>
  <c r="H626" i="25"/>
  <c r="H387" i="25"/>
  <c r="H404" i="25"/>
  <c r="H350" i="25"/>
  <c r="H367" i="25"/>
  <c r="H1127" i="25"/>
  <c r="H1144" i="25"/>
  <c r="H1017" i="25"/>
  <c r="H1034" i="25"/>
  <c r="H979" i="25"/>
  <c r="H996" i="25"/>
  <c r="H868" i="25"/>
  <c r="H885" i="25"/>
  <c r="H795" i="25"/>
  <c r="H812" i="25"/>
  <c r="H720" i="25"/>
  <c r="H737" i="25"/>
  <c r="H647" i="25"/>
  <c r="H664" i="25"/>
  <c r="H572" i="25"/>
  <c r="H589" i="25"/>
  <c r="H462" i="25"/>
  <c r="H479" i="25"/>
  <c r="H424" i="25"/>
  <c r="H441" i="25"/>
  <c r="H314" i="25"/>
  <c r="H331" i="25"/>
  <c r="H276" i="25"/>
  <c r="H293" i="25"/>
  <c r="H17" i="25"/>
  <c r="H34" i="25"/>
  <c r="H943" i="25"/>
  <c r="H960" i="25"/>
  <c r="C235" i="11"/>
  <c r="C240" i="11"/>
  <c r="S13" i="26"/>
  <c r="R32" i="12"/>
  <c r="R23" i="26"/>
  <c r="Q42" i="12"/>
  <c r="S35" i="26"/>
  <c r="R54" i="12"/>
  <c r="R28" i="26"/>
  <c r="Q47" i="12"/>
  <c r="R30" i="26"/>
  <c r="Q49" i="12"/>
  <c r="S26" i="26"/>
  <c r="R45" i="12"/>
  <c r="S24" i="26"/>
  <c r="R43" i="12"/>
  <c r="R15" i="26"/>
  <c r="Q34" i="12"/>
  <c r="R25" i="26"/>
  <c r="Q44" i="12"/>
  <c r="S27" i="26"/>
  <c r="R46" i="12"/>
  <c r="Q16" i="26"/>
  <c r="P35" i="12"/>
  <c r="Q17" i="26"/>
  <c r="P36" i="12"/>
  <c r="Q68" i="26"/>
  <c r="P87" i="12"/>
  <c r="Q66" i="26"/>
  <c r="P85" i="12"/>
  <c r="Q78" i="26"/>
  <c r="P97" i="12"/>
  <c r="Q76" i="26"/>
  <c r="P95" i="12"/>
  <c r="Q88" i="26"/>
  <c r="P107" i="12"/>
  <c r="Q86" i="26"/>
  <c r="P105" i="12"/>
  <c r="Q95" i="26"/>
  <c r="P114" i="12"/>
  <c r="Q105" i="26"/>
  <c r="P124" i="12"/>
  <c r="Q115" i="26"/>
  <c r="P134" i="12"/>
  <c r="Q73" i="26"/>
  <c r="P92" i="12"/>
  <c r="Q71" i="26"/>
  <c r="P90" i="12"/>
  <c r="Q83" i="26"/>
  <c r="P102" i="12"/>
  <c r="Q81" i="26"/>
  <c r="P100" i="12"/>
  <c r="R110" i="26"/>
  <c r="Q129" i="12"/>
  <c r="Q69" i="26"/>
  <c r="P88" i="12"/>
  <c r="Q79" i="26"/>
  <c r="P98" i="12"/>
  <c r="Q89" i="26"/>
  <c r="P108" i="12"/>
  <c r="Q94" i="26"/>
  <c r="P113" i="12"/>
  <c r="Q92" i="26"/>
  <c r="P111" i="12"/>
  <c r="Q104" i="26"/>
  <c r="P123" i="12"/>
  <c r="Q102" i="26"/>
  <c r="P121" i="12"/>
  <c r="Q114" i="26"/>
  <c r="P133" i="12"/>
  <c r="Q112" i="26"/>
  <c r="P131" i="12"/>
  <c r="Q74" i="26"/>
  <c r="P93" i="12"/>
  <c r="Q84" i="26"/>
  <c r="P103" i="12"/>
  <c r="R109" i="26"/>
  <c r="Q128" i="12"/>
  <c r="R107" i="26"/>
  <c r="Q126" i="12"/>
  <c r="P33" i="12"/>
  <c r="Q14" i="26"/>
  <c r="R60" i="12"/>
  <c r="R62" i="12"/>
  <c r="R70" i="12"/>
  <c r="R72" i="12"/>
  <c r="R80" i="12"/>
  <c r="R82" i="12"/>
  <c r="R96" i="12"/>
  <c r="R106" i="12"/>
  <c r="R143" i="12"/>
  <c r="R145" i="12"/>
  <c r="R153" i="12"/>
  <c r="R155" i="12"/>
  <c r="R117" i="12"/>
  <c r="R119" i="12"/>
  <c r="R122" i="12"/>
  <c r="S99" i="12"/>
  <c r="S63" i="12"/>
  <c r="S73" i="12"/>
  <c r="S84" i="12"/>
  <c r="S136" i="12"/>
  <c r="S146" i="12"/>
  <c r="S156" i="12"/>
  <c r="S110" i="12"/>
  <c r="S130" i="12"/>
  <c r="S91" i="12"/>
  <c r="S127" i="12"/>
  <c r="U52" i="12"/>
  <c r="T52" i="12"/>
  <c r="S55" i="12"/>
  <c r="S51" i="12"/>
  <c r="S38" i="12"/>
  <c r="U39" i="12"/>
  <c r="T39" i="12"/>
  <c r="S58" i="12"/>
  <c r="S68" i="12"/>
  <c r="S78" i="12"/>
  <c r="S94" i="12"/>
  <c r="S104" i="12"/>
  <c r="S141" i="12"/>
  <c r="S151" i="12"/>
  <c r="S115" i="12"/>
  <c r="S120" i="12"/>
  <c r="U89" i="12"/>
  <c r="T89" i="12"/>
  <c r="U125" i="12"/>
  <c r="T125" i="12"/>
  <c r="R101" i="12"/>
  <c r="R65" i="12"/>
  <c r="R67" i="12"/>
  <c r="R75" i="12"/>
  <c r="R77" i="12"/>
  <c r="R86" i="12"/>
  <c r="R138" i="12"/>
  <c r="R140" i="12"/>
  <c r="R148" i="12"/>
  <c r="R150" i="12"/>
  <c r="R158" i="12"/>
  <c r="R160" i="12"/>
  <c r="R112" i="12"/>
  <c r="R132" i="12"/>
  <c r="U37" i="12"/>
  <c r="T37" i="12"/>
  <c r="S56" i="12"/>
  <c r="S53" i="12"/>
  <c r="S50" i="12"/>
  <c r="S48" i="12"/>
  <c r="S40" i="12"/>
  <c r="S41" i="12"/>
  <c r="R61" i="12"/>
  <c r="R59" i="12"/>
  <c r="R71" i="12"/>
  <c r="R69" i="12"/>
  <c r="R81" i="12"/>
  <c r="R79" i="12"/>
  <c r="R144" i="12"/>
  <c r="R142" i="12"/>
  <c r="R154" i="12"/>
  <c r="R152" i="12"/>
  <c r="R118" i="12"/>
  <c r="R116" i="12"/>
  <c r="R66" i="12"/>
  <c r="R64" i="12"/>
  <c r="R76" i="12"/>
  <c r="R74" i="12"/>
  <c r="R139" i="12"/>
  <c r="R137" i="12"/>
  <c r="R149" i="12"/>
  <c r="R147" i="12"/>
  <c r="R159" i="12"/>
  <c r="R157" i="12"/>
  <c r="H944" i="25" l="1"/>
  <c r="H961" i="25"/>
  <c r="H18" i="25"/>
  <c r="H35" i="25"/>
  <c r="H277" i="25"/>
  <c r="H294" i="25"/>
  <c r="H315" i="25"/>
  <c r="H332" i="25"/>
  <c r="H425" i="25"/>
  <c r="H442" i="25"/>
  <c r="H463" i="25"/>
  <c r="H480" i="25"/>
  <c r="H573" i="25"/>
  <c r="H590" i="25"/>
  <c r="H648" i="25"/>
  <c r="H665" i="25"/>
  <c r="H721" i="25"/>
  <c r="H738" i="25"/>
  <c r="H796" i="25"/>
  <c r="H813" i="25"/>
  <c r="H869" i="25"/>
  <c r="H886" i="25"/>
  <c r="H980" i="25"/>
  <c r="H997" i="25"/>
  <c r="H1018" i="25"/>
  <c r="H1035" i="25"/>
  <c r="H1128" i="25"/>
  <c r="H1145" i="25"/>
  <c r="H351" i="25"/>
  <c r="H368" i="25"/>
  <c r="H388" i="25"/>
  <c r="H405" i="25"/>
  <c r="H610" i="25"/>
  <c r="H627" i="25"/>
  <c r="H684" i="25"/>
  <c r="H701" i="25"/>
  <c r="H758" i="25"/>
  <c r="H775" i="25"/>
  <c r="H832" i="25"/>
  <c r="H849" i="25"/>
  <c r="H906" i="25"/>
  <c r="H923" i="25"/>
  <c r="H1054" i="25"/>
  <c r="H1071" i="25"/>
  <c r="H1091" i="25"/>
  <c r="H1108" i="25"/>
  <c r="H205" i="25"/>
  <c r="H222" i="25"/>
  <c r="H240" i="25"/>
  <c r="H257" i="25"/>
  <c r="H499" i="25"/>
  <c r="H516" i="25"/>
  <c r="H536" i="25"/>
  <c r="H553" i="25"/>
  <c r="S107" i="26"/>
  <c r="R126" i="12"/>
  <c r="S109" i="26"/>
  <c r="R128" i="12"/>
  <c r="R84" i="26"/>
  <c r="Q103" i="12"/>
  <c r="R74" i="26"/>
  <c r="Q93" i="12"/>
  <c r="R112" i="26"/>
  <c r="Q131" i="12"/>
  <c r="R114" i="26"/>
  <c r="Q133" i="12"/>
  <c r="R102" i="26"/>
  <c r="Q121" i="12"/>
  <c r="R104" i="26"/>
  <c r="Q123" i="12"/>
  <c r="R92" i="26"/>
  <c r="Q111" i="12"/>
  <c r="R94" i="26"/>
  <c r="Q113" i="12"/>
  <c r="R89" i="26"/>
  <c r="Q108" i="12"/>
  <c r="R79" i="26"/>
  <c r="Q98" i="12"/>
  <c r="R69" i="26"/>
  <c r="Q88" i="12"/>
  <c r="S110" i="26"/>
  <c r="R129" i="12"/>
  <c r="R81" i="26"/>
  <c r="Q100" i="12"/>
  <c r="R83" i="26"/>
  <c r="Q102" i="12"/>
  <c r="R71" i="26"/>
  <c r="Q90" i="12"/>
  <c r="R73" i="26"/>
  <c r="Q92" i="12"/>
  <c r="R115" i="26"/>
  <c r="Q134" i="12"/>
  <c r="R105" i="26"/>
  <c r="Q124" i="12"/>
  <c r="R95" i="26"/>
  <c r="Q114" i="12"/>
  <c r="R86" i="26"/>
  <c r="Q105" i="12"/>
  <c r="R88" i="26"/>
  <c r="Q107" i="12"/>
  <c r="R76" i="26"/>
  <c r="Q95" i="12"/>
  <c r="R78" i="26"/>
  <c r="Q97" i="12"/>
  <c r="R66" i="26"/>
  <c r="Q85" i="12"/>
  <c r="R68" i="26"/>
  <c r="Q87" i="12"/>
  <c r="R17" i="26"/>
  <c r="Q36" i="12"/>
  <c r="R16" i="26"/>
  <c r="Q35" i="12"/>
  <c r="T27" i="26"/>
  <c r="S46" i="12"/>
  <c r="S25" i="26"/>
  <c r="R44" i="12"/>
  <c r="S15" i="26"/>
  <c r="R34" i="12"/>
  <c r="T24" i="26"/>
  <c r="S43" i="12"/>
  <c r="T26" i="26"/>
  <c r="S45" i="12"/>
  <c r="S30" i="26"/>
  <c r="R49" i="12"/>
  <c r="S28" i="26"/>
  <c r="R47" i="12"/>
  <c r="T35" i="26"/>
  <c r="S54" i="12"/>
  <c r="S23" i="26"/>
  <c r="R42" i="12"/>
  <c r="S32" i="12"/>
  <c r="T13" i="26"/>
  <c r="R14" i="26"/>
  <c r="Q33" i="12"/>
  <c r="S157" i="12"/>
  <c r="S159" i="12"/>
  <c r="S147" i="12"/>
  <c r="S149" i="12"/>
  <c r="S137" i="12"/>
  <c r="S139" i="12"/>
  <c r="S74" i="12"/>
  <c r="S76" i="12"/>
  <c r="S64" i="12"/>
  <c r="S66" i="12"/>
  <c r="S116" i="12"/>
  <c r="S118" i="12"/>
  <c r="S152" i="12"/>
  <c r="S154" i="12"/>
  <c r="S142" i="12"/>
  <c r="S144" i="12"/>
  <c r="S79" i="12"/>
  <c r="S81" i="12"/>
  <c r="S69" i="12"/>
  <c r="S71" i="12"/>
  <c r="S59" i="12"/>
  <c r="S61" i="12"/>
  <c r="U41" i="12"/>
  <c r="T41" i="12"/>
  <c r="U40" i="12"/>
  <c r="T40" i="12"/>
  <c r="U48" i="12"/>
  <c r="T48" i="12"/>
  <c r="U50" i="12"/>
  <c r="T50" i="12"/>
  <c r="U53" i="12"/>
  <c r="T53" i="12"/>
  <c r="U56" i="12"/>
  <c r="T56" i="12"/>
  <c r="S132" i="12"/>
  <c r="S112" i="12"/>
  <c r="S160" i="12"/>
  <c r="S158" i="12"/>
  <c r="S150" i="12"/>
  <c r="S148" i="12"/>
  <c r="S140" i="12"/>
  <c r="S138" i="12"/>
  <c r="S86" i="12"/>
  <c r="S77" i="12"/>
  <c r="S75" i="12"/>
  <c r="S67" i="12"/>
  <c r="S65" i="12"/>
  <c r="S101" i="12"/>
  <c r="U120" i="12"/>
  <c r="T120" i="12"/>
  <c r="U115" i="12"/>
  <c r="T115" i="12"/>
  <c r="U151" i="12"/>
  <c r="T151" i="12"/>
  <c r="U141" i="12"/>
  <c r="T141" i="12"/>
  <c r="U104" i="12"/>
  <c r="T104" i="12"/>
  <c r="U94" i="12"/>
  <c r="T94" i="12"/>
  <c r="U78" i="12"/>
  <c r="T78" i="12"/>
  <c r="U68" i="12"/>
  <c r="T68" i="12"/>
  <c r="U58" i="12"/>
  <c r="T58" i="12"/>
  <c r="U38" i="12"/>
  <c r="T38" i="12"/>
  <c r="U51" i="12"/>
  <c r="T51" i="12"/>
  <c r="U55" i="12"/>
  <c r="T55" i="12"/>
  <c r="U127" i="12"/>
  <c r="T127" i="12"/>
  <c r="U91" i="12"/>
  <c r="T91" i="12"/>
  <c r="U130" i="12"/>
  <c r="T130" i="12"/>
  <c r="U110" i="12"/>
  <c r="T110" i="12"/>
  <c r="U156" i="12"/>
  <c r="T156" i="12"/>
  <c r="U146" i="12"/>
  <c r="T146" i="12"/>
  <c r="U136" i="12"/>
  <c r="T136" i="12"/>
  <c r="U84" i="12"/>
  <c r="T84" i="12"/>
  <c r="U73" i="12"/>
  <c r="T73" i="12"/>
  <c r="U63" i="12"/>
  <c r="T63" i="12"/>
  <c r="U99" i="12"/>
  <c r="T99" i="12"/>
  <c r="S122" i="12"/>
  <c r="S119" i="12"/>
  <c r="S117" i="12"/>
  <c r="S155" i="12"/>
  <c r="S153" i="12"/>
  <c r="S145" i="12"/>
  <c r="S143" i="12"/>
  <c r="S106" i="12"/>
  <c r="S96" i="12"/>
  <c r="S82" i="12"/>
  <c r="S80" i="12"/>
  <c r="S72" i="12"/>
  <c r="S70" i="12"/>
  <c r="S62" i="12"/>
  <c r="S60" i="12"/>
  <c r="H537" i="25" l="1"/>
  <c r="H554" i="25"/>
  <c r="H500" i="25"/>
  <c r="H517" i="25"/>
  <c r="H241" i="25"/>
  <c r="H258" i="25"/>
  <c r="H206" i="25"/>
  <c r="H223" i="25"/>
  <c r="H1092" i="25"/>
  <c r="H1109" i="25"/>
  <c r="H1055" i="25"/>
  <c r="H1072" i="25"/>
  <c r="H907" i="25"/>
  <c r="H924" i="25"/>
  <c r="H833" i="25"/>
  <c r="H850" i="25"/>
  <c r="H759" i="25"/>
  <c r="H776" i="25"/>
  <c r="H685" i="25"/>
  <c r="H702" i="25"/>
  <c r="H611" i="25"/>
  <c r="H628" i="25"/>
  <c r="H389" i="25"/>
  <c r="H406" i="25"/>
  <c r="H352" i="25"/>
  <c r="H369" i="25"/>
  <c r="H1129" i="25"/>
  <c r="H1146" i="25"/>
  <c r="H1019" i="25"/>
  <c r="H1036" i="25"/>
  <c r="H981" i="25"/>
  <c r="H998" i="25"/>
  <c r="H870" i="25"/>
  <c r="H887" i="25"/>
  <c r="H797" i="25"/>
  <c r="H814" i="25"/>
  <c r="H722" i="25"/>
  <c r="H739" i="25"/>
  <c r="H649" i="25"/>
  <c r="H666" i="25"/>
  <c r="H574" i="25"/>
  <c r="H591" i="25"/>
  <c r="H464" i="25"/>
  <c r="H481" i="25"/>
  <c r="H426" i="25"/>
  <c r="H443" i="25"/>
  <c r="H316" i="25"/>
  <c r="H333" i="25"/>
  <c r="H278" i="25"/>
  <c r="H295" i="25"/>
  <c r="H19" i="25"/>
  <c r="H36" i="25"/>
  <c r="H945" i="25"/>
  <c r="H962" i="25"/>
  <c r="S14" i="26"/>
  <c r="R33" i="12"/>
  <c r="T23" i="26"/>
  <c r="S42" i="12"/>
  <c r="U35" i="26"/>
  <c r="U54" i="12" s="1"/>
  <c r="T54" i="12"/>
  <c r="T28" i="26"/>
  <c r="S47" i="12"/>
  <c r="T30" i="26"/>
  <c r="S49" i="12"/>
  <c r="U26" i="26"/>
  <c r="U45" i="12" s="1"/>
  <c r="T45" i="12"/>
  <c r="U24" i="26"/>
  <c r="U43" i="12" s="1"/>
  <c r="T43" i="12"/>
  <c r="T15" i="26"/>
  <c r="S34" i="12"/>
  <c r="T25" i="26"/>
  <c r="S44" i="12"/>
  <c r="U27" i="26"/>
  <c r="U46" i="12" s="1"/>
  <c r="T46" i="12"/>
  <c r="S16" i="26"/>
  <c r="R35" i="12"/>
  <c r="S17" i="26"/>
  <c r="R36" i="12"/>
  <c r="S68" i="26"/>
  <c r="R87" i="12"/>
  <c r="S66" i="26"/>
  <c r="R85" i="12"/>
  <c r="S78" i="26"/>
  <c r="R97" i="12"/>
  <c r="S76" i="26"/>
  <c r="R95" i="12"/>
  <c r="S88" i="26"/>
  <c r="R107" i="12"/>
  <c r="S86" i="26"/>
  <c r="R105" i="12"/>
  <c r="S95" i="26"/>
  <c r="R114" i="12"/>
  <c r="S105" i="26"/>
  <c r="R124" i="12"/>
  <c r="S115" i="26"/>
  <c r="R134" i="12"/>
  <c r="S73" i="26"/>
  <c r="R92" i="12"/>
  <c r="S71" i="26"/>
  <c r="R90" i="12"/>
  <c r="S83" i="26"/>
  <c r="R102" i="12"/>
  <c r="S81" i="26"/>
  <c r="R100" i="12"/>
  <c r="T110" i="26"/>
  <c r="S129" i="12"/>
  <c r="S69" i="26"/>
  <c r="R88" i="12"/>
  <c r="S79" i="26"/>
  <c r="R98" i="12"/>
  <c r="S89" i="26"/>
  <c r="R108" i="12"/>
  <c r="S94" i="26"/>
  <c r="R113" i="12"/>
  <c r="S92" i="26"/>
  <c r="R111" i="12"/>
  <c r="S104" i="26"/>
  <c r="R123" i="12"/>
  <c r="S102" i="26"/>
  <c r="R121" i="12"/>
  <c r="S114" i="26"/>
  <c r="R133" i="12"/>
  <c r="S112" i="26"/>
  <c r="R131" i="12"/>
  <c r="S74" i="26"/>
  <c r="R93" i="12"/>
  <c r="S84" i="26"/>
  <c r="R103" i="12"/>
  <c r="T109" i="26"/>
  <c r="S128" i="12"/>
  <c r="T107" i="26"/>
  <c r="S126" i="12"/>
  <c r="U13" i="26"/>
  <c r="U32" i="12" s="1"/>
  <c r="T32" i="12"/>
  <c r="U101" i="12"/>
  <c r="T101" i="12"/>
  <c r="U65" i="12"/>
  <c r="T65" i="12"/>
  <c r="U67" i="12"/>
  <c r="T67" i="12"/>
  <c r="U75" i="12"/>
  <c r="T75" i="12"/>
  <c r="U77" i="12"/>
  <c r="T77" i="12"/>
  <c r="U86" i="12"/>
  <c r="T86" i="12"/>
  <c r="U138" i="12"/>
  <c r="T138" i="12"/>
  <c r="U140" i="12"/>
  <c r="T140" i="12"/>
  <c r="U148" i="12"/>
  <c r="T148" i="12"/>
  <c r="U150" i="12"/>
  <c r="T150" i="12"/>
  <c r="U158" i="12"/>
  <c r="T158" i="12"/>
  <c r="U160" i="12"/>
  <c r="T160" i="12"/>
  <c r="U112" i="12"/>
  <c r="T112" i="12"/>
  <c r="U132" i="12"/>
  <c r="T132" i="12"/>
  <c r="U61" i="12"/>
  <c r="T61" i="12"/>
  <c r="U59" i="12"/>
  <c r="T59" i="12"/>
  <c r="U71" i="12"/>
  <c r="T71" i="12"/>
  <c r="U69" i="12"/>
  <c r="T69" i="12"/>
  <c r="U81" i="12"/>
  <c r="T81" i="12"/>
  <c r="U79" i="12"/>
  <c r="T79" i="12"/>
  <c r="U144" i="12"/>
  <c r="T144" i="12"/>
  <c r="U142" i="12"/>
  <c r="T142" i="12"/>
  <c r="U154" i="12"/>
  <c r="T154" i="12"/>
  <c r="U152" i="12"/>
  <c r="T152" i="12"/>
  <c r="U118" i="12"/>
  <c r="T118" i="12"/>
  <c r="U116" i="12"/>
  <c r="T116" i="12"/>
  <c r="U66" i="12"/>
  <c r="T66" i="12"/>
  <c r="U64" i="12"/>
  <c r="T64" i="12"/>
  <c r="U76" i="12"/>
  <c r="T76" i="12"/>
  <c r="U74" i="12"/>
  <c r="T74" i="12"/>
  <c r="U139" i="12"/>
  <c r="T139" i="12"/>
  <c r="U137" i="12"/>
  <c r="T137" i="12"/>
  <c r="U149" i="12"/>
  <c r="T149" i="12"/>
  <c r="U147" i="12"/>
  <c r="T147" i="12"/>
  <c r="U159" i="12"/>
  <c r="T159" i="12"/>
  <c r="U157" i="12"/>
  <c r="T157" i="12"/>
  <c r="U60" i="12"/>
  <c r="T60" i="12"/>
  <c r="U62" i="12"/>
  <c r="T62" i="12"/>
  <c r="U70" i="12"/>
  <c r="T70" i="12"/>
  <c r="U72" i="12"/>
  <c r="T72" i="12"/>
  <c r="U80" i="12"/>
  <c r="T80" i="12"/>
  <c r="U82" i="12"/>
  <c r="T82" i="12"/>
  <c r="U96" i="12"/>
  <c r="T96" i="12"/>
  <c r="U106" i="12"/>
  <c r="T106" i="12"/>
  <c r="U143" i="12"/>
  <c r="T143" i="12"/>
  <c r="U145" i="12"/>
  <c r="T145" i="12"/>
  <c r="U153" i="12"/>
  <c r="T153" i="12"/>
  <c r="U155" i="12"/>
  <c r="T155" i="12"/>
  <c r="U117" i="12"/>
  <c r="T117" i="12"/>
  <c r="U119" i="12"/>
  <c r="T119" i="12"/>
  <c r="U122" i="12"/>
  <c r="T122" i="12"/>
  <c r="H946" i="25" l="1"/>
  <c r="H963" i="25"/>
  <c r="H20" i="25"/>
  <c r="H37" i="25"/>
  <c r="H279" i="25"/>
  <c r="H296" i="25"/>
  <c r="H317" i="25"/>
  <c r="H334" i="25"/>
  <c r="H427" i="25"/>
  <c r="H444" i="25"/>
  <c r="H465" i="25"/>
  <c r="H482" i="25"/>
  <c r="H575" i="25"/>
  <c r="H592" i="25"/>
  <c r="H650" i="25"/>
  <c r="H667" i="25"/>
  <c r="H723" i="25"/>
  <c r="H740" i="25"/>
  <c r="H798" i="25"/>
  <c r="H815" i="25"/>
  <c r="H871" i="25"/>
  <c r="H888" i="25"/>
  <c r="H982" i="25"/>
  <c r="H999" i="25"/>
  <c r="H1020" i="25"/>
  <c r="H1037" i="25"/>
  <c r="H1130" i="25"/>
  <c r="H1147" i="25"/>
  <c r="H353" i="25"/>
  <c r="H370" i="25"/>
  <c r="H390" i="25"/>
  <c r="H407" i="25"/>
  <c r="H612" i="25"/>
  <c r="H629" i="25"/>
  <c r="H686" i="25"/>
  <c r="H703" i="25"/>
  <c r="H760" i="25"/>
  <c r="H777" i="25"/>
  <c r="H834" i="25"/>
  <c r="H851" i="25"/>
  <c r="H908" i="25"/>
  <c r="H925" i="25"/>
  <c r="H1056" i="25"/>
  <c r="H1073" i="25"/>
  <c r="H1093" i="25"/>
  <c r="H1110" i="25"/>
  <c r="H207" i="25"/>
  <c r="H224" i="25"/>
  <c r="H242" i="25"/>
  <c r="H259" i="25"/>
  <c r="H501" i="25"/>
  <c r="H518" i="25"/>
  <c r="H538" i="25"/>
  <c r="H555" i="25"/>
  <c r="U107" i="26"/>
  <c r="U126" i="12" s="1"/>
  <c r="T126" i="12"/>
  <c r="U109" i="26"/>
  <c r="U128" i="12" s="1"/>
  <c r="T128" i="12"/>
  <c r="T84" i="26"/>
  <c r="S103" i="12"/>
  <c r="T74" i="26"/>
  <c r="S93" i="12"/>
  <c r="T112" i="26"/>
  <c r="S131" i="12"/>
  <c r="T114" i="26"/>
  <c r="S133" i="12"/>
  <c r="T102" i="26"/>
  <c r="S121" i="12"/>
  <c r="T104" i="26"/>
  <c r="S123" i="12"/>
  <c r="T92" i="26"/>
  <c r="S111" i="12"/>
  <c r="T94" i="26"/>
  <c r="S113" i="12"/>
  <c r="T89" i="26"/>
  <c r="S108" i="12"/>
  <c r="T79" i="26"/>
  <c r="S98" i="12"/>
  <c r="T69" i="26"/>
  <c r="S88" i="12"/>
  <c r="U110" i="26"/>
  <c r="U129" i="12" s="1"/>
  <c r="T129" i="12"/>
  <c r="T81" i="26"/>
  <c r="S100" i="12"/>
  <c r="T83" i="26"/>
  <c r="S102" i="12"/>
  <c r="T71" i="26"/>
  <c r="S90" i="12"/>
  <c r="T73" i="26"/>
  <c r="S92" i="12"/>
  <c r="T115" i="26"/>
  <c r="S134" i="12"/>
  <c r="T105" i="26"/>
  <c r="S124" i="12"/>
  <c r="T95" i="26"/>
  <c r="S114" i="12"/>
  <c r="T86" i="26"/>
  <c r="S105" i="12"/>
  <c r="T88" i="26"/>
  <c r="S107" i="12"/>
  <c r="T76" i="26"/>
  <c r="S95" i="12"/>
  <c r="T78" i="26"/>
  <c r="S97" i="12"/>
  <c r="T66" i="26"/>
  <c r="S85" i="12"/>
  <c r="T68" i="26"/>
  <c r="S87" i="12"/>
  <c r="T17" i="26"/>
  <c r="S36" i="12"/>
  <c r="T16" i="26"/>
  <c r="S35" i="12"/>
  <c r="U25" i="26"/>
  <c r="U44" i="12" s="1"/>
  <c r="T44" i="12"/>
  <c r="U15" i="26"/>
  <c r="U34" i="12" s="1"/>
  <c r="T34" i="12"/>
  <c r="U30" i="26"/>
  <c r="U49" i="12" s="1"/>
  <c r="T49" i="12"/>
  <c r="U28" i="26"/>
  <c r="U47" i="12" s="1"/>
  <c r="T47" i="12"/>
  <c r="U23" i="26"/>
  <c r="U42" i="12" s="1"/>
  <c r="T42" i="12"/>
  <c r="T14" i="26"/>
  <c r="S33" i="12"/>
  <c r="H539" i="25" l="1"/>
  <c r="H556" i="25"/>
  <c r="H502" i="25"/>
  <c r="H519" i="25"/>
  <c r="H243" i="25"/>
  <c r="H260" i="25"/>
  <c r="H208" i="25"/>
  <c r="H226" i="25" s="1"/>
  <c r="H225" i="25"/>
  <c r="H1094" i="25"/>
  <c r="H1111" i="25"/>
  <c r="H1057" i="25"/>
  <c r="H1074" i="25"/>
  <c r="H909" i="25"/>
  <c r="H926" i="25"/>
  <c r="H835" i="25"/>
  <c r="H852" i="25"/>
  <c r="H761" i="25"/>
  <c r="H778" i="25"/>
  <c r="H687" i="25"/>
  <c r="H704" i="25"/>
  <c r="H613" i="25"/>
  <c r="H630" i="25"/>
  <c r="H391" i="25"/>
  <c r="H408" i="25"/>
  <c r="H354" i="25"/>
  <c r="H371" i="25"/>
  <c r="H1131" i="25"/>
  <c r="H1148" i="25"/>
  <c r="H1021" i="25"/>
  <c r="H1038" i="25"/>
  <c r="H983" i="25"/>
  <c r="H1000" i="25"/>
  <c r="H872" i="25"/>
  <c r="H889" i="25"/>
  <c r="H799" i="25"/>
  <c r="H816" i="25"/>
  <c r="H724" i="25"/>
  <c r="H741" i="25"/>
  <c r="H651" i="25"/>
  <c r="H668" i="25"/>
  <c r="H576" i="25"/>
  <c r="H593" i="25"/>
  <c r="H466" i="25"/>
  <c r="H483" i="25"/>
  <c r="H428" i="25"/>
  <c r="H445" i="25"/>
  <c r="H318" i="25"/>
  <c r="H335" i="25"/>
  <c r="H280" i="25"/>
  <c r="H297" i="25"/>
  <c r="H21" i="25"/>
  <c r="H38" i="25"/>
  <c r="H947" i="25"/>
  <c r="H964" i="25"/>
  <c r="T33" i="12"/>
  <c r="U14" i="26"/>
  <c r="U33" i="12" s="1"/>
  <c r="U16" i="26"/>
  <c r="U35" i="12" s="1"/>
  <c r="T35" i="12"/>
  <c r="U17" i="26"/>
  <c r="U36" i="12" s="1"/>
  <c r="T36" i="12"/>
  <c r="U68" i="26"/>
  <c r="U87" i="12" s="1"/>
  <c r="T87" i="12"/>
  <c r="U66" i="26"/>
  <c r="U85" i="12" s="1"/>
  <c r="T85" i="12"/>
  <c r="U78" i="26"/>
  <c r="U97" i="12" s="1"/>
  <c r="T97" i="12"/>
  <c r="U76" i="26"/>
  <c r="U95" i="12" s="1"/>
  <c r="T95" i="12"/>
  <c r="U88" i="26"/>
  <c r="U107" i="12" s="1"/>
  <c r="T107" i="12"/>
  <c r="U86" i="26"/>
  <c r="U105" i="12" s="1"/>
  <c r="T105" i="12"/>
  <c r="U95" i="26"/>
  <c r="U114" i="12" s="1"/>
  <c r="T114" i="12"/>
  <c r="U105" i="26"/>
  <c r="U124" i="12" s="1"/>
  <c r="T124" i="12"/>
  <c r="U115" i="26"/>
  <c r="U134" i="12" s="1"/>
  <c r="T134" i="12"/>
  <c r="U73" i="26"/>
  <c r="U92" i="12" s="1"/>
  <c r="T92" i="12"/>
  <c r="U71" i="26"/>
  <c r="U90" i="12" s="1"/>
  <c r="T90" i="12"/>
  <c r="U83" i="26"/>
  <c r="U102" i="12" s="1"/>
  <c r="T102" i="12"/>
  <c r="U81" i="26"/>
  <c r="U100" i="12" s="1"/>
  <c r="T100" i="12"/>
  <c r="U69" i="26"/>
  <c r="U88" i="12" s="1"/>
  <c r="T88" i="12"/>
  <c r="U79" i="26"/>
  <c r="U98" i="12" s="1"/>
  <c r="T98" i="12"/>
  <c r="U89" i="26"/>
  <c r="U108" i="12" s="1"/>
  <c r="T108" i="12"/>
  <c r="U94" i="26"/>
  <c r="U113" i="12" s="1"/>
  <c r="T113" i="12"/>
  <c r="U92" i="26"/>
  <c r="U111" i="12" s="1"/>
  <c r="T111" i="12"/>
  <c r="U104" i="26"/>
  <c r="U123" i="12" s="1"/>
  <c r="T123" i="12"/>
  <c r="U102" i="26"/>
  <c r="U121" i="12" s="1"/>
  <c r="T121" i="12"/>
  <c r="U114" i="26"/>
  <c r="U133" i="12" s="1"/>
  <c r="T133" i="12"/>
  <c r="U112" i="26"/>
  <c r="U131" i="12" s="1"/>
  <c r="T131" i="12"/>
  <c r="U74" i="26"/>
  <c r="U93" i="12" s="1"/>
  <c r="T93" i="12"/>
  <c r="U84" i="26"/>
  <c r="U103" i="12" s="1"/>
  <c r="T103" i="12"/>
  <c r="H948" i="25" l="1"/>
  <c r="H966" i="25" s="1"/>
  <c r="H965" i="25"/>
  <c r="H22" i="25"/>
  <c r="H39" i="25"/>
  <c r="H281" i="25"/>
  <c r="H298" i="25"/>
  <c r="H319" i="25"/>
  <c r="H337" i="25" s="1"/>
  <c r="H336" i="25"/>
  <c r="H429" i="25"/>
  <c r="H446" i="25"/>
  <c r="H467" i="25"/>
  <c r="H485" i="25" s="1"/>
  <c r="H484" i="25"/>
  <c r="H577" i="25"/>
  <c r="H594" i="25"/>
  <c r="H652" i="25"/>
  <c r="H670" i="25" s="1"/>
  <c r="H669" i="25"/>
  <c r="H725" i="25"/>
  <c r="H742" i="25"/>
  <c r="H800" i="25"/>
  <c r="H818" i="25" s="1"/>
  <c r="H817" i="25"/>
  <c r="H873" i="25"/>
  <c r="H890" i="25"/>
  <c r="H984" i="25"/>
  <c r="H1001" i="25"/>
  <c r="H1022" i="25"/>
  <c r="H1040" i="25" s="1"/>
  <c r="H1039" i="25"/>
  <c r="H1132" i="25"/>
  <c r="H1149" i="25"/>
  <c r="H355" i="25"/>
  <c r="H372" i="25"/>
  <c r="H392" i="25"/>
  <c r="H409" i="25"/>
  <c r="H614" i="25"/>
  <c r="H631" i="25"/>
  <c r="H688" i="25"/>
  <c r="H705" i="25"/>
  <c r="H762" i="25"/>
  <c r="H779" i="25"/>
  <c r="H836" i="25"/>
  <c r="H853" i="25"/>
  <c r="H910" i="25"/>
  <c r="H927" i="25"/>
  <c r="H1058" i="25"/>
  <c r="H1075" i="25"/>
  <c r="H1095" i="25"/>
  <c r="H1112" i="25"/>
  <c r="H244" i="25"/>
  <c r="H261" i="25"/>
  <c r="H503" i="25"/>
  <c r="H520" i="25"/>
  <c r="H540" i="25"/>
  <c r="H557" i="25"/>
  <c r="H541" i="25" l="1"/>
  <c r="H559" i="25" s="1"/>
  <c r="H558" i="25"/>
  <c r="H504" i="25"/>
  <c r="H522" i="25" s="1"/>
  <c r="H521" i="25"/>
  <c r="H245" i="25"/>
  <c r="H263" i="25" s="1"/>
  <c r="H262" i="25"/>
  <c r="H1096" i="25"/>
  <c r="H1114" i="25" s="1"/>
  <c r="H1113" i="25"/>
  <c r="H1059" i="25"/>
  <c r="H1077" i="25" s="1"/>
  <c r="H1076" i="25"/>
  <c r="H911" i="25"/>
  <c r="H929" i="25" s="1"/>
  <c r="H928" i="25"/>
  <c r="H837" i="25"/>
  <c r="H855" i="25" s="1"/>
  <c r="H854" i="25"/>
  <c r="H763" i="25"/>
  <c r="H781" i="25" s="1"/>
  <c r="H780" i="25"/>
  <c r="H689" i="25"/>
  <c r="H707" i="25" s="1"/>
  <c r="H706" i="25"/>
  <c r="H615" i="25"/>
  <c r="H633" i="25" s="1"/>
  <c r="H632" i="25"/>
  <c r="H393" i="25"/>
  <c r="H411" i="25" s="1"/>
  <c r="H410" i="25"/>
  <c r="H356" i="25"/>
  <c r="H374" i="25" s="1"/>
  <c r="H373" i="25"/>
  <c r="H1133" i="25"/>
  <c r="H1151" i="25" s="1"/>
  <c r="H1150" i="25"/>
  <c r="H985" i="25"/>
  <c r="H1003" i="25" s="1"/>
  <c r="H1002" i="25"/>
  <c r="H874" i="25"/>
  <c r="H892" i="25" s="1"/>
  <c r="H891" i="25"/>
  <c r="H726" i="25"/>
  <c r="H744" i="25" s="1"/>
  <c r="H743" i="25"/>
  <c r="H578" i="25"/>
  <c r="H596" i="25" s="1"/>
  <c r="H595" i="25"/>
  <c r="H430" i="25"/>
  <c r="H448" i="25" s="1"/>
  <c r="H447" i="25"/>
  <c r="H282" i="25"/>
  <c r="H300" i="25" s="1"/>
  <c r="H299" i="25"/>
  <c r="H23" i="25"/>
  <c r="H40" i="25"/>
  <c r="H41" i="25" l="1"/>
  <c r="P73" i="24" a="1"/>
  <c r="P73" i="24" s="1"/>
  <c r="M44" i="24" a="1"/>
  <c r="M44" i="24" s="1"/>
  <c r="P76" i="24" a="1"/>
  <c r="P76" i="24" s="1"/>
  <c r="P76" i="56" s="1"/>
  <c r="M47" i="24" a="1"/>
  <c r="M47" i="24" s="1"/>
  <c r="L7" i="24" a="1"/>
  <c r="L7" i="24" s="1"/>
  <c r="H64" i="24" a="1"/>
  <c r="H64" i="24" s="1"/>
  <c r="M21" i="24" a="1"/>
  <c r="M21" i="24" s="1"/>
  <c r="M21" i="56" s="1"/>
  <c r="H67" i="24" a="1"/>
  <c r="H67" i="24" s="1"/>
  <c r="M15" i="24" a="1"/>
  <c r="M15" i="24" s="1"/>
  <c r="F20" i="24" a="1"/>
  <c r="F20" i="24" s="1"/>
  <c r="L54" i="24" a="1"/>
  <c r="L54" i="24" s="1"/>
  <c r="L54" i="56" s="1"/>
  <c r="O30" i="24" a="1"/>
  <c r="O30" i="24" s="1"/>
  <c r="L57" i="24" a="1"/>
  <c r="L57" i="24" s="1"/>
  <c r="L57" i="56" s="1"/>
  <c r="O33" i="24" a="1"/>
  <c r="O33" i="24" s="1"/>
  <c r="G74" i="24" a="1"/>
  <c r="G74" i="24" s="1"/>
  <c r="G74" i="56" s="1"/>
  <c r="D45" i="24" a="1"/>
  <c r="D45" i="24" s="1"/>
  <c r="Z28" i="23" s="1" a="1"/>
  <c r="Z28" i="23" s="1"/>
  <c r="G29" i="24" a="1"/>
  <c r="G29" i="24" s="1"/>
  <c r="D48" i="24" a="1"/>
  <c r="D48" i="24" s="1"/>
  <c r="Z43" i="23" s="1" a="1"/>
  <c r="Z43" i="23" s="1"/>
  <c r="G32" i="24" a="1"/>
  <c r="G32" i="24" s="1"/>
  <c r="D17" i="24" a="1"/>
  <c r="D17" i="24" s="1"/>
  <c r="N62" i="24" a="1"/>
  <c r="N62" i="24" s="1"/>
  <c r="D38" i="24" a="1"/>
  <c r="D38" i="24" s="1"/>
  <c r="N65" i="24" a="1"/>
  <c r="N65" i="24" s="1"/>
  <c r="E42" i="24" a="1"/>
  <c r="E42" i="24" s="1"/>
  <c r="Z75" i="23" s="1" a="1"/>
  <c r="Z75" i="23" s="1"/>
  <c r="H16" i="24" a="1"/>
  <c r="H16" i="24" s="1"/>
  <c r="F52" i="24" a="1"/>
  <c r="F52" i="24" s="1"/>
  <c r="Z187" i="23" s="1" a="1"/>
  <c r="Z187" i="23" s="1"/>
  <c r="L36" i="24" a="1"/>
  <c r="L36" i="24" s="1"/>
  <c r="L36" i="56" s="1"/>
  <c r="F55" i="24" a="1"/>
  <c r="F55" i="24" s="1"/>
  <c r="Z192" i="23" s="1" a="1"/>
  <c r="Z192" i="23" s="1"/>
  <c r="L39" i="24" a="1"/>
  <c r="L39" i="24" s="1"/>
  <c r="L39" i="56" s="1"/>
  <c r="P28" i="24" a="1"/>
  <c r="P28" i="24" s="1"/>
  <c r="F67" i="24" a="1"/>
  <c r="F67" i="24" s="1"/>
  <c r="AA172" i="23" s="1" a="1"/>
  <c r="AA172" i="23" s="1"/>
  <c r="O15" i="24" a="1"/>
  <c r="O15" i="24" s="1"/>
  <c r="F70" i="24" a="1"/>
  <c r="F70" i="24" s="1"/>
  <c r="AA187" i="23" s="1" a="1"/>
  <c r="AA187" i="23" s="1"/>
  <c r="O9" i="24" a="1"/>
  <c r="O9" i="24" s="1"/>
  <c r="E63" i="24" a="1"/>
  <c r="E63" i="24" s="1"/>
  <c r="AA90" i="23" s="1" a="1"/>
  <c r="AA90" i="23" s="1"/>
  <c r="H38" i="24" a="1"/>
  <c r="H38" i="24" s="1"/>
  <c r="H38" i="56" s="1"/>
  <c r="E66" i="24" a="1"/>
  <c r="E66" i="24" s="1"/>
  <c r="AA105" i="23" s="1" a="1"/>
  <c r="AA105" i="23" s="1"/>
  <c r="P42" i="24" a="1"/>
  <c r="P42" i="24" s="1"/>
  <c r="O12" i="24" a="1"/>
  <c r="O12" i="24" s="1"/>
  <c r="G6" i="24" a="1"/>
  <c r="G6" i="24" s="1"/>
  <c r="F15" i="24" a="1"/>
  <c r="F15" i="24" s="1"/>
  <c r="X182" i="23" s="1" a="1"/>
  <c r="X182" i="23" s="1"/>
  <c r="G19" i="24" a="1"/>
  <c r="G19" i="24" s="1"/>
  <c r="D68" i="24" a="1"/>
  <c r="D68" i="24" s="1"/>
  <c r="AA53" i="23" s="1" a="1"/>
  <c r="AA53" i="23" s="1"/>
  <c r="L14" i="24" a="1"/>
  <c r="L14" i="24" s="1"/>
  <c r="D71" i="24" a="1"/>
  <c r="D71" i="24" s="1"/>
  <c r="L8" i="24" a="1"/>
  <c r="L8" i="24" s="1"/>
  <c r="P63" i="24" a="1"/>
  <c r="P63" i="24" s="1"/>
  <c r="F39" i="24" a="1"/>
  <c r="F39" i="24" s="1"/>
  <c r="P66" i="24" a="1"/>
  <c r="P66" i="24" s="1"/>
  <c r="L44" i="24" a="1"/>
  <c r="L44" i="24" s="1"/>
  <c r="L11" i="24" a="1"/>
  <c r="L11" i="24" s="1"/>
  <c r="D20" i="24" a="1"/>
  <c r="D20" i="24" s="1"/>
  <c r="M48" i="24" a="1"/>
  <c r="M48" i="24" s="1"/>
  <c r="P32" i="24" a="1"/>
  <c r="P32" i="24" s="1"/>
  <c r="M51" i="24" a="1"/>
  <c r="M51" i="24" s="1"/>
  <c r="P31" i="24" a="1"/>
  <c r="P31" i="24" s="1"/>
  <c r="H68" i="24" a="1"/>
  <c r="H68" i="24" s="1"/>
  <c r="M13" i="24" a="1"/>
  <c r="M13" i="24" s="1"/>
  <c r="H71" i="24" a="1"/>
  <c r="H71" i="24" s="1"/>
  <c r="H71" i="56" s="1"/>
  <c r="M7" i="24" a="1"/>
  <c r="M7" i="24" s="1"/>
  <c r="G11" i="24" a="1"/>
  <c r="G11" i="24" s="1"/>
  <c r="O6" i="24" a="1"/>
  <c r="O6" i="24" s="1"/>
  <c r="O55" i="24" a="1"/>
  <c r="O55" i="24" s="1"/>
  <c r="E40" i="24" a="1"/>
  <c r="E40" i="24" s="1"/>
  <c r="O58" i="24" a="1"/>
  <c r="O58" i="24" s="1"/>
  <c r="O58" i="56" s="1"/>
  <c r="G46" i="24" a="1"/>
  <c r="G46" i="24" s="1"/>
  <c r="M75" i="24" a="1"/>
  <c r="M75" i="24" s="1"/>
  <c r="M75" i="56" s="1"/>
  <c r="D28" i="24" a="1"/>
  <c r="D28" i="24" s="1"/>
  <c r="Y33" i="23" s="1" a="1"/>
  <c r="Y33" i="23" s="1"/>
  <c r="N54" i="24" a="1"/>
  <c r="N54" i="24" s="1"/>
  <c r="N54" i="56" s="1"/>
  <c r="D31" i="24" a="1"/>
  <c r="D31" i="24" s="1"/>
  <c r="Y48" i="23" s="1" a="1"/>
  <c r="Y48" i="23" s="1"/>
  <c r="F17" i="24" a="1"/>
  <c r="F17" i="24" s="1"/>
  <c r="N66" i="24" a="1"/>
  <c r="N66" i="24" s="1"/>
  <c r="E44" i="24" a="1"/>
  <c r="E44" i="24" s="1"/>
  <c r="Z85" i="23" s="1" a="1"/>
  <c r="Z85" i="23" s="1"/>
  <c r="N69" i="24" a="1"/>
  <c r="N69" i="24" s="1"/>
  <c r="E50" i="24" a="1"/>
  <c r="E50" i="24" s="1"/>
  <c r="Z115" i="23" s="1" a="1"/>
  <c r="Z115" i="23" s="1"/>
  <c r="D15" i="24" a="1"/>
  <c r="D15" i="24" s="1"/>
  <c r="X58" i="23" s="1" a="1"/>
  <c r="X58" i="23" s="1"/>
  <c r="F56" i="24" a="1"/>
  <c r="F56" i="24" s="1"/>
  <c r="L40" i="24" a="1"/>
  <c r="L40" i="24" s="1"/>
  <c r="L40" i="56" s="1"/>
  <c r="H25" i="24" a="1"/>
  <c r="H25" i="24" s="1"/>
  <c r="F21" i="24" a="1"/>
  <c r="F21" i="24" s="1"/>
  <c r="H8" i="24" a="1"/>
  <c r="H8" i="24" s="1"/>
  <c r="D19" i="24" a="1"/>
  <c r="D19" i="24" s="1"/>
  <c r="X68" i="23" s="1" a="1"/>
  <c r="X68" i="23" s="1"/>
  <c r="O64" i="24" a="1"/>
  <c r="O64" i="24" s="1"/>
  <c r="N20" i="24" a="1"/>
  <c r="N20" i="24" s="1"/>
  <c r="N20" i="56" s="1"/>
  <c r="O67" i="24" a="1"/>
  <c r="O67" i="24" s="1"/>
  <c r="N14" i="24" a="1"/>
  <c r="N14" i="24" s="1"/>
  <c r="N60" i="24" a="1"/>
  <c r="N60" i="24" s="1"/>
  <c r="D36" i="24" a="1"/>
  <c r="D36" i="24" s="1"/>
  <c r="N63" i="24" a="1"/>
  <c r="N63" i="24" s="1"/>
  <c r="D39" i="24" a="1"/>
  <c r="D39" i="24" s="1"/>
  <c r="N17" i="24" a="1"/>
  <c r="N17" i="24" s="1"/>
  <c r="N17" i="56" s="1"/>
  <c r="N74" i="24" a="1"/>
  <c r="N74" i="24" s="1"/>
  <c r="N74" i="56" s="1"/>
  <c r="H45" i="24" a="1"/>
  <c r="H45" i="24" s="1"/>
  <c r="N29" i="24" a="1"/>
  <c r="N29" i="24" s="1"/>
  <c r="H48" i="24" a="1"/>
  <c r="H48" i="24" s="1"/>
  <c r="L25" i="24" a="1"/>
  <c r="L25" i="24" s="1"/>
  <c r="F65" i="24" a="1"/>
  <c r="F65" i="24" s="1"/>
  <c r="AA162" i="23" s="1" a="1"/>
  <c r="AA162" i="23" s="1"/>
  <c r="O19" i="24" a="1"/>
  <c r="O19" i="24" s="1"/>
  <c r="F68" i="24" a="1"/>
  <c r="F68" i="24" s="1"/>
  <c r="AA177" i="23" s="1" a="1"/>
  <c r="AA177" i="23" s="1"/>
  <c r="O13" i="24" a="1"/>
  <c r="O13" i="24" s="1"/>
  <c r="G34" i="24" a="1"/>
  <c r="G34" i="24" s="1"/>
  <c r="N11" i="24" a="1"/>
  <c r="N11" i="24" s="1"/>
  <c r="M52" i="24" a="1"/>
  <c r="M52" i="24" s="1"/>
  <c r="P36" i="24" a="1"/>
  <c r="P36" i="24" s="1"/>
  <c r="P36" i="56" s="1"/>
  <c r="M55" i="24" a="1"/>
  <c r="M55" i="24" s="1"/>
  <c r="E39" i="24" a="1"/>
  <c r="E39" i="24" s="1"/>
  <c r="H72" i="24" a="1"/>
  <c r="H72" i="24" s="1"/>
  <c r="H72" i="56" s="1"/>
  <c r="O24" i="24" a="1"/>
  <c r="O24" i="24" s="1"/>
  <c r="H75" i="24" a="1"/>
  <c r="H75" i="24" s="1"/>
  <c r="H75" i="56" s="1"/>
  <c r="O27" i="24" a="1"/>
  <c r="O27" i="24" s="1"/>
  <c r="L6" i="24" a="1"/>
  <c r="L6" i="24" s="1"/>
  <c r="L63" i="24" a="1"/>
  <c r="L63" i="24" s="1"/>
  <c r="O38" i="24" a="1"/>
  <c r="O38" i="24" s="1"/>
  <c r="O38" i="56" s="1"/>
  <c r="L66" i="24" a="1"/>
  <c r="L66" i="24" s="1"/>
  <c r="N43" i="24" a="1"/>
  <c r="N43" i="24" s="1"/>
  <c r="F10" i="24" a="1"/>
  <c r="F10" i="24" s="1"/>
  <c r="X157" i="23" s="1" a="1"/>
  <c r="X157" i="23" s="1"/>
  <c r="G37" i="24" a="1"/>
  <c r="G37" i="24" s="1"/>
  <c r="G40" i="24" a="1"/>
  <c r="G40" i="24" s="1"/>
  <c r="G40" i="56" s="1"/>
  <c r="H17" i="24" a="1"/>
  <c r="H17" i="24" s="1"/>
  <c r="H17" i="56" s="1"/>
  <c r="G64" i="24" a="1"/>
  <c r="G64" i="24" s="1"/>
  <c r="G67" i="24" a="1"/>
  <c r="G67" i="24" s="1"/>
  <c r="M6" i="24" a="1"/>
  <c r="M6" i="24" s="1"/>
  <c r="E38" i="24" a="1"/>
  <c r="E38" i="24" s="1"/>
  <c r="G42" i="24" a="1"/>
  <c r="G42" i="24" s="1"/>
  <c r="O68" i="24" a="1"/>
  <c r="O68" i="24" s="1"/>
  <c r="O71" i="24" a="1"/>
  <c r="O71" i="24" s="1"/>
  <c r="O71" i="56" s="1"/>
  <c r="L15" i="24" a="1"/>
  <c r="L15" i="24" s="1"/>
  <c r="N50" i="24" a="1"/>
  <c r="N50" i="24" s="1"/>
  <c r="L20" i="24" a="1"/>
  <c r="L20" i="24" s="1"/>
  <c r="L20" i="56" s="1"/>
  <c r="F16" i="24" a="1"/>
  <c r="F16" i="24" s="1"/>
  <c r="X187" i="23" s="1" a="1"/>
  <c r="X187" i="23" s="1"/>
  <c r="N33" i="24" a="1"/>
  <c r="N33" i="24" s="1"/>
  <c r="L33" i="24" a="1"/>
  <c r="L33" i="24" s="1"/>
  <c r="O11" i="24" a="1"/>
  <c r="O11" i="24" s="1"/>
  <c r="M45" i="24" a="1"/>
  <c r="M45" i="24" s="1"/>
  <c r="P29" i="24" a="1"/>
  <c r="P29" i="24" s="1"/>
  <c r="P35" i="24" a="1"/>
  <c r="P35" i="24" s="1"/>
  <c r="P35" i="56" s="1"/>
  <c r="M56" i="24" a="1"/>
  <c r="M56" i="24" s="1"/>
  <c r="M56" i="56" s="1"/>
  <c r="P40" i="24" a="1"/>
  <c r="P40" i="24" s="1"/>
  <c r="P40" i="56" s="1"/>
  <c r="M38" i="24" a="1"/>
  <c r="M38" i="24" s="1"/>
  <c r="M38" i="56" s="1"/>
  <c r="O49" i="24" a="1"/>
  <c r="O49" i="24" s="1"/>
  <c r="O52" i="24" a="1"/>
  <c r="O52" i="24" s="1"/>
  <c r="H20" i="24" a="1"/>
  <c r="H20" i="24" s="1"/>
  <c r="H20" i="56" s="1"/>
  <c r="H22" i="24" a="1"/>
  <c r="H22" i="24" s="1"/>
  <c r="H22" i="56" s="1"/>
  <c r="G10" i="24" a="1"/>
  <c r="G10" i="24" s="1"/>
  <c r="L19" i="24" a="1"/>
  <c r="L19" i="24" s="1"/>
  <c r="E11" i="24" a="1"/>
  <c r="E11" i="24" s="1"/>
  <c r="X100" i="23" s="1" a="1"/>
  <c r="X100" i="23" s="1"/>
  <c r="H57" i="24" a="1"/>
  <c r="H57" i="24" s="1"/>
  <c r="H57" i="56" s="1"/>
  <c r="L43" i="24" a="1"/>
  <c r="L43" i="24" s="1"/>
  <c r="L43" i="56" s="1"/>
  <c r="J18" i="57" s="1" a="1"/>
  <c r="J18" i="57" s="1"/>
  <c r="H61" i="24" a="1"/>
  <c r="H61" i="24" s="1"/>
  <c r="L49" i="24" a="1"/>
  <c r="L49" i="24" s="1"/>
  <c r="G53" i="24" a="1"/>
  <c r="G53" i="24" s="1"/>
  <c r="G53" i="56" s="1"/>
  <c r="M29" i="24" a="1"/>
  <c r="M29" i="24" s="1"/>
  <c r="G56" i="24" a="1"/>
  <c r="G56" i="24" s="1"/>
  <c r="G56" i="56" s="1"/>
  <c r="M32" i="24" a="1"/>
  <c r="M32" i="24" s="1"/>
  <c r="E14" i="24" a="1"/>
  <c r="E14" i="24" s="1"/>
  <c r="X115" i="23" s="1" a="1"/>
  <c r="X115" i="23" s="1"/>
  <c r="G68" i="24" a="1"/>
  <c r="G68" i="24" s="1"/>
  <c r="G47" i="24" a="1"/>
  <c r="G47" i="24" s="1"/>
  <c r="G71" i="24" a="1"/>
  <c r="G71" i="24" s="1"/>
  <c r="G71" i="56" s="1"/>
  <c r="D42" i="24" a="1"/>
  <c r="D42" i="24" s="1"/>
  <c r="G8" i="24" a="1"/>
  <c r="G8" i="24" s="1"/>
  <c r="O57" i="24" a="1"/>
  <c r="O57" i="24" s="1"/>
  <c r="O57" i="56" s="1"/>
  <c r="G44" i="24" a="1"/>
  <c r="G44" i="24" s="1"/>
  <c r="O61" i="24" a="1"/>
  <c r="O61" i="24" s="1"/>
  <c r="G50" i="24" a="1"/>
  <c r="G50" i="24" s="1"/>
  <c r="F13" i="24" a="1"/>
  <c r="F13" i="24" s="1"/>
  <c r="X172" i="23" s="1" a="1"/>
  <c r="X172" i="23" s="1"/>
  <c r="L75" i="24" a="1"/>
  <c r="L75" i="24" s="1"/>
  <c r="L75" i="56" s="1"/>
  <c r="F46" i="24" a="1"/>
  <c r="F46" i="24" s="1"/>
  <c r="Z157" i="23" s="1" a="1"/>
  <c r="Z157" i="23" s="1"/>
  <c r="L30" i="24" a="1"/>
  <c r="L30" i="24" s="1"/>
  <c r="F49" i="24" a="1"/>
  <c r="F49" i="24" s="1"/>
  <c r="Z172" i="23" s="1" a="1"/>
  <c r="Z172" i="23" s="1"/>
  <c r="E27" i="24" a="1"/>
  <c r="E27" i="24" s="1"/>
  <c r="Y90" i="23" s="1" a="1"/>
  <c r="Y90" i="23" s="1"/>
  <c r="D66" i="24" a="1"/>
  <c r="D66" i="24" s="1"/>
  <c r="AA43" i="23" s="1" a="1"/>
  <c r="AA43" i="23" s="1"/>
  <c r="L18" i="24" a="1"/>
  <c r="L18" i="24" s="1"/>
  <c r="L18" i="56" s="1"/>
  <c r="D69" i="24" a="1"/>
  <c r="D69" i="24" s="1"/>
  <c r="AA58" i="23" s="1" a="1"/>
  <c r="AA58" i="23" s="1"/>
  <c r="L12" i="24" a="1"/>
  <c r="L12" i="24" s="1"/>
  <c r="D14" i="24" a="1"/>
  <c r="D14" i="24" s="1"/>
  <c r="X53" i="23" s="1" a="1"/>
  <c r="X53" i="23" s="1"/>
  <c r="E56" i="24" a="1"/>
  <c r="E56" i="24" s="1"/>
  <c r="H32" i="24" a="1"/>
  <c r="H32" i="24" s="1"/>
  <c r="E60" i="24" a="1"/>
  <c r="E60" i="24" s="1"/>
  <c r="AA75" i="23" s="1" a="1"/>
  <c r="AA75" i="23" s="1"/>
  <c r="H35" i="24" a="1"/>
  <c r="H35" i="24" s="1"/>
  <c r="H35" i="56" s="1"/>
  <c r="P75" i="24" a="1"/>
  <c r="P75" i="24" s="1"/>
  <c r="P75" i="56" s="1"/>
  <c r="M46" i="24" a="1"/>
  <c r="M46" i="24" s="1"/>
  <c r="P30" i="24" a="1"/>
  <c r="P30" i="24" s="1"/>
  <c r="M49" i="24" a="1"/>
  <c r="M49" i="24" s="1"/>
  <c r="P33" i="24" a="1"/>
  <c r="P33" i="24" s="1"/>
  <c r="E24" i="24" a="1"/>
  <c r="E24" i="24" s="1"/>
  <c r="Y75" i="23" s="1" a="1"/>
  <c r="Y75" i="23" s="1"/>
  <c r="M20" i="24" a="1"/>
  <c r="M20" i="24" s="1"/>
  <c r="M20" i="56" s="1"/>
  <c r="G21" i="24" a="1"/>
  <c r="G21" i="24" s="1"/>
  <c r="G21" i="56" s="1"/>
  <c r="P56" i="24" a="1"/>
  <c r="P56" i="24" s="1"/>
  <c r="P56" i="56" s="1"/>
  <c r="F33" i="24" a="1"/>
  <c r="F33" i="24" s="1"/>
  <c r="Y182" i="23" s="1" a="1"/>
  <c r="Y182" i="23" s="1"/>
  <c r="P60" i="24" a="1"/>
  <c r="P60" i="24" s="1"/>
  <c r="F36" i="24" a="1"/>
  <c r="F36" i="24" s="1"/>
  <c r="N76" i="24" a="1"/>
  <c r="N76" i="24" s="1"/>
  <c r="N76" i="56" s="1"/>
  <c r="H47" i="24" a="1"/>
  <c r="H47" i="24" s="1"/>
  <c r="N31" i="24" a="1"/>
  <c r="N31" i="24" s="1"/>
  <c r="H50" i="24" a="1"/>
  <c r="H50" i="24" s="1"/>
  <c r="N34" i="24" a="1"/>
  <c r="N34" i="24" s="1"/>
  <c r="F19" i="24" a="1"/>
  <c r="F19" i="24" s="1"/>
  <c r="X192" i="23" s="1" a="1"/>
  <c r="X192" i="23" s="1"/>
  <c r="H62" i="24" a="1"/>
  <c r="H62" i="24" s="1"/>
  <c r="L51" i="24" a="1"/>
  <c r="L51" i="24" s="1"/>
  <c r="H65" i="24" a="1"/>
  <c r="H65" i="24" s="1"/>
  <c r="M19" i="24" a="1"/>
  <c r="M19" i="24" s="1"/>
  <c r="G57" i="24" a="1"/>
  <c r="G57" i="24" s="1"/>
  <c r="G57" i="56" s="1"/>
  <c r="M33" i="24" a="1"/>
  <c r="M33" i="24" s="1"/>
  <c r="G61" i="24" a="1"/>
  <c r="G61" i="24" s="1"/>
  <c r="M36" i="24" a="1"/>
  <c r="M36" i="24" s="1"/>
  <c r="M36" i="56" s="1"/>
  <c r="M22" i="24" a="1"/>
  <c r="M22" i="24" s="1"/>
  <c r="M22" i="56" s="1"/>
  <c r="G26" i="24" a="1"/>
  <c r="G26" i="24" s="1"/>
  <c r="M69" i="24" a="1"/>
  <c r="M69" i="24" s="1"/>
  <c r="P10" i="24" a="1"/>
  <c r="P10" i="24" s="1"/>
  <c r="M72" i="24" a="1"/>
  <c r="M72" i="24" s="1"/>
  <c r="M72" i="56" s="1"/>
  <c r="D25" i="24" a="1"/>
  <c r="D25" i="24" s="1"/>
  <c r="L65" i="24" a="1"/>
  <c r="L65" i="24" s="1"/>
  <c r="O40" i="24" a="1"/>
  <c r="O40" i="24" s="1"/>
  <c r="O40" i="56" s="1"/>
  <c r="L68" i="24" a="1"/>
  <c r="L68" i="24" s="1"/>
  <c r="N47" i="24" a="1"/>
  <c r="N47" i="24" s="1"/>
  <c r="P7" i="24" a="1"/>
  <c r="P7" i="24" s="1"/>
  <c r="H6" i="24" a="1"/>
  <c r="H6" i="24" s="1"/>
  <c r="F50" i="24" a="1"/>
  <c r="F50" i="24" s="1"/>
  <c r="Z177" i="23" s="1" a="1"/>
  <c r="Z177" i="23" s="1"/>
  <c r="L34" i="24" a="1"/>
  <c r="L34" i="24" s="1"/>
  <c r="F53" i="24" a="1"/>
  <c r="F53" i="24" s="1"/>
  <c r="E35" i="24" a="1"/>
  <c r="E35" i="24" s="1"/>
  <c r="D70" i="24" a="1"/>
  <c r="D70" i="24" s="1"/>
  <c r="AA63" i="23" s="1" a="1"/>
  <c r="AA63" i="23" s="1"/>
  <c r="L10" i="24" a="1"/>
  <c r="L10" i="24" s="1"/>
  <c r="H46" i="24" a="1"/>
  <c r="H46" i="24" s="1"/>
  <c r="L37" i="24" a="1"/>
  <c r="L37" i="24" s="1"/>
  <c r="E28" i="24" a="1"/>
  <c r="E28" i="24" s="1"/>
  <c r="Y95" i="23" s="1" a="1"/>
  <c r="Y95" i="23" s="1"/>
  <c r="F11" i="24" a="1"/>
  <c r="F11" i="24" s="1"/>
  <c r="X162" i="23" s="1" a="1"/>
  <c r="X162" i="23" s="1"/>
  <c r="N53" i="24" a="1"/>
  <c r="N53" i="24" s="1"/>
  <c r="N53" i="56" s="1"/>
  <c r="D30" i="24" a="1"/>
  <c r="D30" i="24" s="1"/>
  <c r="Y43" i="23" s="1" a="1"/>
  <c r="Y43" i="23" s="1"/>
  <c r="N56" i="24" a="1"/>
  <c r="N56" i="24" s="1"/>
  <c r="N56" i="56" s="1"/>
  <c r="D33" i="24" a="1"/>
  <c r="D33" i="24" s="1"/>
  <c r="Y58" i="23" s="1" a="1"/>
  <c r="Y58" i="23" s="1"/>
  <c r="L73" i="24" a="1"/>
  <c r="L73" i="24" s="1"/>
  <c r="F44" i="24" a="1"/>
  <c r="F44" i="24" s="1"/>
  <c r="Z147" i="23" s="1" a="1"/>
  <c r="Z147" i="23" s="1"/>
  <c r="L76" i="24" a="1"/>
  <c r="L76" i="24" s="1"/>
  <c r="L76" i="56" s="1"/>
  <c r="F47" i="24" a="1"/>
  <c r="F47" i="24" s="1"/>
  <c r="Z162" i="23" s="1" a="1"/>
  <c r="Z162" i="23" s="1"/>
  <c r="L31" i="24" a="1"/>
  <c r="L31" i="24" s="1"/>
  <c r="E13" i="24" a="1"/>
  <c r="E13" i="24" s="1"/>
  <c r="X110" i="23" s="1" a="1"/>
  <c r="X110" i="23" s="1"/>
  <c r="F58" i="24" a="1"/>
  <c r="F58" i="24" s="1"/>
  <c r="E45" i="24" a="1"/>
  <c r="E45" i="24" s="1"/>
  <c r="Z90" i="23" s="1" a="1"/>
  <c r="Z90" i="23" s="1"/>
  <c r="F62" i="24" a="1"/>
  <c r="F62" i="24" s="1"/>
  <c r="AA147" i="23" s="1" a="1"/>
  <c r="AA147" i="23" s="1"/>
  <c r="E51" i="24" a="1"/>
  <c r="E51" i="24" s="1"/>
  <c r="Z120" i="23" s="1" a="1"/>
  <c r="Z120" i="23" s="1"/>
  <c r="E54" i="24" a="1"/>
  <c r="E54" i="24" s="1"/>
  <c r="H30" i="24" a="1"/>
  <c r="H30" i="24" s="1"/>
  <c r="E57" i="24" a="1"/>
  <c r="E57" i="24" s="1"/>
  <c r="H33" i="24" a="1"/>
  <c r="H33" i="24" s="1"/>
  <c r="G12" i="24" a="1"/>
  <c r="G12" i="24" s="1"/>
  <c r="P26" i="24" a="1"/>
  <c r="P26" i="24" s="1"/>
  <c r="H66" i="24" a="1"/>
  <c r="H66" i="24" s="1"/>
  <c r="M17" i="24" a="1"/>
  <c r="M17" i="24" s="1"/>
  <c r="M17" i="56" s="1"/>
  <c r="H69" i="24" a="1"/>
  <c r="H69" i="24" s="1"/>
  <c r="M11" i="24" a="1"/>
  <c r="M11" i="24" s="1"/>
  <c r="M37" i="24" a="1"/>
  <c r="M37" i="24" s="1"/>
  <c r="M40" i="24" a="1"/>
  <c r="M40" i="24" s="1"/>
  <c r="M40" i="56" s="1"/>
  <c r="G76" i="24" a="1"/>
  <c r="G76" i="24" s="1"/>
  <c r="G76" i="56" s="1"/>
  <c r="G31" i="24" a="1"/>
  <c r="G31" i="24" s="1"/>
  <c r="N28" i="24" a="1"/>
  <c r="N28" i="24" s="1"/>
  <c r="N16" i="24" a="1"/>
  <c r="N16" i="24" s="1"/>
  <c r="N10" i="24" a="1"/>
  <c r="N10" i="24" s="1"/>
  <c r="E9" i="24" a="1"/>
  <c r="E9" i="24" s="1"/>
  <c r="X90" i="23" s="1" a="1"/>
  <c r="X90" i="23" s="1"/>
  <c r="H13" i="24" a="1"/>
  <c r="H13" i="24" s="1"/>
  <c r="E32" i="24" a="1"/>
  <c r="E32" i="24" s="1"/>
  <c r="Y115" i="23" s="1" a="1"/>
  <c r="Y115" i="23" s="1"/>
  <c r="G30" i="24" a="1"/>
  <c r="G30" i="24" s="1"/>
  <c r="P14" i="24" a="1"/>
  <c r="P14" i="24" s="1"/>
  <c r="P8" i="24" a="1"/>
  <c r="P8" i="24" s="1"/>
  <c r="N57" i="24" a="1"/>
  <c r="N57" i="24" s="1"/>
  <c r="N57" i="56" s="1"/>
  <c r="N61" i="24" a="1"/>
  <c r="N61" i="24" s="1"/>
  <c r="G25" i="24" a="1"/>
  <c r="G25" i="24" s="1"/>
  <c r="L32" i="24" a="1"/>
  <c r="L32" i="24" s="1"/>
  <c r="L35" i="24" a="1"/>
  <c r="L35" i="24" s="1"/>
  <c r="L35" i="56" s="1"/>
  <c r="P65" i="24" a="1"/>
  <c r="P65" i="24" s="1"/>
  <c r="P68" i="24" a="1"/>
  <c r="P68" i="24" s="1"/>
  <c r="E18" i="24" a="1"/>
  <c r="E18" i="24" s="1"/>
  <c r="N39" i="24" a="1"/>
  <c r="N39" i="24" s="1"/>
  <c r="N39" i="56" s="1"/>
  <c r="L45" i="24" a="1"/>
  <c r="L45" i="24" s="1"/>
  <c r="D9" i="24" a="1"/>
  <c r="D9" i="24" s="1"/>
  <c r="X28" i="23" s="1" a="1"/>
  <c r="X28" i="23" s="1"/>
  <c r="M9" i="24" a="1"/>
  <c r="M9" i="24" s="1"/>
  <c r="O25" i="24" a="1"/>
  <c r="O25" i="24" s="1"/>
  <c r="G43" i="24" a="1"/>
  <c r="G43" i="24" s="1"/>
  <c r="G49" i="24" a="1"/>
  <c r="G49" i="24" s="1"/>
  <c r="D16" i="24" a="1"/>
  <c r="D16" i="24" s="1"/>
  <c r="X63" i="23" s="1" a="1"/>
  <c r="X63" i="23" s="1"/>
  <c r="F8" i="24" a="1"/>
  <c r="F8" i="24" s="1"/>
  <c r="X147" i="23" s="1" a="1"/>
  <c r="X147" i="23" s="1"/>
  <c r="E26" i="24" a="1"/>
  <c r="E26" i="24" s="1"/>
  <c r="Y85" i="23" s="1" a="1"/>
  <c r="Y85" i="23" s="1"/>
  <c r="P21" i="24" a="1"/>
  <c r="P21" i="24" s="1"/>
  <c r="P21" i="56" s="1"/>
  <c r="P24" i="24" a="1"/>
  <c r="P24" i="24" s="1"/>
  <c r="D35" i="24" a="1"/>
  <c r="D35" i="24" s="1"/>
  <c r="L21" i="24" a="1"/>
  <c r="L21" i="24" s="1"/>
  <c r="L21" i="56" s="1"/>
  <c r="P20" i="24" a="1"/>
  <c r="P20" i="24" s="1"/>
  <c r="P20" i="56" s="1"/>
  <c r="O35" i="24" a="1"/>
  <c r="O35" i="24" s="1"/>
  <c r="O35" i="56" s="1"/>
  <c r="L74" i="24" a="1"/>
  <c r="L74" i="24" s="1"/>
  <c r="L74" i="56" s="1"/>
  <c r="N67" i="24" a="1"/>
  <c r="N67" i="24" s="1"/>
  <c r="D76" i="24" a="1"/>
  <c r="D76" i="24" s="1"/>
  <c r="F71" i="24" a="1"/>
  <c r="F71" i="24" s="1"/>
  <c r="O7" i="24" a="1"/>
  <c r="O7" i="24" s="1"/>
  <c r="F74" i="24" a="1"/>
  <c r="F74" i="24" s="1"/>
  <c r="M26" i="24" a="1"/>
  <c r="M26" i="24" s="1"/>
  <c r="E67" i="24" a="1"/>
  <c r="E67" i="24" s="1"/>
  <c r="AA110" i="23" s="1" a="1"/>
  <c r="AA110" i="23" s="1"/>
  <c r="P44" i="24" a="1"/>
  <c r="P44" i="24" s="1"/>
  <c r="E70" i="24" a="1"/>
  <c r="E70" i="24" s="1"/>
  <c r="AA125" i="23" s="1" a="1"/>
  <c r="AA125" i="23" s="1"/>
  <c r="P50" i="24" a="1"/>
  <c r="P50" i="24" s="1"/>
  <c r="E25" i="24" a="1"/>
  <c r="E25" i="24" s="1"/>
  <c r="Y80" i="23" s="1" a="1"/>
  <c r="Y80" i="23" s="1"/>
  <c r="E10" i="24" a="1"/>
  <c r="E10" i="24" s="1"/>
  <c r="X95" i="23" s="1" a="1"/>
  <c r="X95" i="23" s="1"/>
  <c r="O51" i="24" a="1"/>
  <c r="O51" i="24" s="1"/>
  <c r="E36" i="24" a="1"/>
  <c r="E36" i="24" s="1"/>
  <c r="O54" i="24" a="1"/>
  <c r="O54" i="24" s="1"/>
  <c r="O54" i="56" s="1"/>
  <c r="G38" i="24" a="1"/>
  <c r="G38" i="24" s="1"/>
  <c r="G38" i="56" s="1"/>
  <c r="M71" i="24" a="1"/>
  <c r="M71" i="24" s="1"/>
  <c r="M71" i="56" s="1"/>
  <c r="D24" i="24" a="1"/>
  <c r="D24" i="24" s="1"/>
  <c r="M74" i="24" a="1"/>
  <c r="M74" i="24" s="1"/>
  <c r="M74" i="56" s="1"/>
  <c r="D27" i="24" a="1"/>
  <c r="D27" i="24" s="1"/>
  <c r="Y28" i="23" s="1" a="1"/>
  <c r="Y28" i="23" s="1"/>
  <c r="H9" i="24" a="1"/>
  <c r="H9" i="24" s="1"/>
  <c r="H14" i="24" a="1"/>
  <c r="H14" i="24" s="1"/>
  <c r="D60" i="24" a="1"/>
  <c r="D60" i="24" s="1"/>
  <c r="N46" i="24" a="1"/>
  <c r="N46" i="24" s="1"/>
  <c r="D63" i="24" a="1"/>
  <c r="D63" i="24" s="1"/>
  <c r="AA28" i="23" s="1" a="1"/>
  <c r="AA28" i="23" s="1"/>
  <c r="N52" i="24" a="1"/>
  <c r="N52" i="24" s="1"/>
  <c r="P54" i="24" a="1"/>
  <c r="P54" i="24" s="1"/>
  <c r="P54" i="56" s="1"/>
  <c r="F31" i="24" a="1"/>
  <c r="F31" i="24" s="1"/>
  <c r="Y172" i="23" s="1" a="1"/>
  <c r="Y172" i="23" s="1"/>
  <c r="P57" i="24" a="1"/>
  <c r="P57" i="24" s="1"/>
  <c r="P57" i="56" s="1"/>
  <c r="F34" i="24" a="1"/>
  <c r="F34" i="24" s="1"/>
  <c r="Y187" i="23" s="1" a="1"/>
  <c r="Y187" i="23" s="1"/>
  <c r="D11" i="24" a="1"/>
  <c r="D11" i="24" s="1"/>
  <c r="X38" i="23" s="1" a="1"/>
  <c r="X38" i="23" s="1"/>
  <c r="P69" i="24" a="1"/>
  <c r="P69" i="24" s="1"/>
  <c r="L50" i="24" a="1"/>
  <c r="L50" i="24" s="1"/>
  <c r="P72" i="24" a="1"/>
  <c r="P72" i="24" s="1"/>
  <c r="P72" i="56" s="1"/>
  <c r="M43" i="24" a="1"/>
  <c r="M43" i="24" s="1"/>
  <c r="M18" i="24" a="1"/>
  <c r="M18" i="24" s="1"/>
  <c r="M18" i="56" s="1"/>
  <c r="H60" i="24" a="1"/>
  <c r="H60" i="24" s="1"/>
  <c r="L47" i="24" a="1"/>
  <c r="L47" i="24" s="1"/>
  <c r="H63" i="24" a="1"/>
  <c r="H63" i="24" s="1"/>
  <c r="E7" i="24" a="1"/>
  <c r="E7" i="24" s="1"/>
  <c r="X80" i="23" s="1" a="1"/>
  <c r="X80" i="23" s="1"/>
  <c r="L9" i="24" a="1"/>
  <c r="L9" i="24" s="1"/>
  <c r="E20" i="24" a="1"/>
  <c r="E20" i="24" s="1"/>
  <c r="F6" i="24" a="1"/>
  <c r="F6" i="24" s="1"/>
  <c r="X137" i="23" s="1" a="1"/>
  <c r="X137" i="23" s="1"/>
  <c r="N70" i="24" a="1"/>
  <c r="N70" i="24" s="1"/>
  <c r="E52" i="24" a="1"/>
  <c r="E52" i="24" s="1"/>
  <c r="Z125" i="23" s="1" a="1"/>
  <c r="Z125" i="23" s="1"/>
  <c r="N73" i="24" a="1"/>
  <c r="N73" i="24" s="1"/>
  <c r="H44" i="24" a="1"/>
  <c r="H44" i="24" s="1"/>
  <c r="O16" i="24" a="1"/>
  <c r="O16" i="24" s="1"/>
  <c r="F61" i="24" a="1"/>
  <c r="F61" i="24" s="1"/>
  <c r="AA142" i="23" s="1" a="1"/>
  <c r="AA142" i="23" s="1"/>
  <c r="E49" i="24" a="1"/>
  <c r="E49" i="24" s="1"/>
  <c r="Z110" i="23" s="1" a="1"/>
  <c r="Z110" i="23" s="1"/>
  <c r="F64" i="24" a="1"/>
  <c r="F64" i="24" s="1"/>
  <c r="AA157" i="23" s="1" a="1"/>
  <c r="AA157" i="23" s="1"/>
  <c r="O21" i="24" a="1"/>
  <c r="O21" i="24" s="1"/>
  <c r="O21" i="56" s="1"/>
  <c r="L24" i="24" a="1"/>
  <c r="L24" i="24" s="1"/>
  <c r="F75" i="24" a="1"/>
  <c r="F75" i="24" s="1"/>
  <c r="M27" i="24" a="1"/>
  <c r="M27" i="24" s="1"/>
  <c r="G54" i="24" a="1"/>
  <c r="G54" i="24" s="1"/>
  <c r="G54" i="56" s="1"/>
  <c r="M30" i="24" a="1"/>
  <c r="M30" i="24" s="1"/>
  <c r="E71" i="24" a="1"/>
  <c r="E71" i="24" s="1"/>
  <c r="P52" i="24" a="1"/>
  <c r="P52" i="24" s="1"/>
  <c r="E74" i="24" a="1"/>
  <c r="E74" i="24" s="1"/>
  <c r="O44" i="24" a="1"/>
  <c r="O44" i="24" s="1"/>
  <c r="E29" i="24" a="1"/>
  <c r="E29" i="24" s="1"/>
  <c r="Y100" i="23" s="1" a="1"/>
  <c r="Y100" i="23" s="1"/>
  <c r="G14" i="24" a="1"/>
  <c r="G14" i="24" s="1"/>
  <c r="L58" i="24" a="1"/>
  <c r="L58" i="24" s="1"/>
  <c r="L58" i="56" s="1"/>
  <c r="O34" i="24" a="1"/>
  <c r="O34" i="24" s="1"/>
  <c r="L62" i="24" a="1"/>
  <c r="L62" i="24" s="1"/>
  <c r="O37" i="24" a="1"/>
  <c r="O37" i="24" s="1"/>
  <c r="L28" i="24" a="1"/>
  <c r="L28" i="24" s="1"/>
  <c r="D49" i="24" a="1"/>
  <c r="D49" i="24" s="1"/>
  <c r="Z48" i="23" s="1" a="1"/>
  <c r="Z48" i="23" s="1"/>
  <c r="G33" i="24" a="1"/>
  <c r="G33" i="24" s="1"/>
  <c r="D52" i="24" a="1"/>
  <c r="D52" i="24" s="1"/>
  <c r="Z63" i="23" s="1" a="1"/>
  <c r="Z63" i="23" s="1"/>
  <c r="G36" i="24" a="1"/>
  <c r="G36" i="24" s="1"/>
  <c r="G36" i="56" s="1"/>
  <c r="O22" i="24" a="1"/>
  <c r="O22" i="24" s="1"/>
  <c r="O22" i="56" s="1"/>
  <c r="D64" i="24" a="1"/>
  <c r="D64" i="24" s="1"/>
  <c r="AA33" i="23" s="1" a="1"/>
  <c r="AA33" i="23" s="1"/>
  <c r="L22" i="24" a="1"/>
  <c r="L22" i="24" s="1"/>
  <c r="L22" i="56" s="1"/>
  <c r="D67" i="24" a="1"/>
  <c r="D67" i="24" s="1"/>
  <c r="AA48" i="23" s="1" a="1"/>
  <c r="AA48" i="23" s="1"/>
  <c r="L16" i="24" a="1"/>
  <c r="L16" i="24" s="1"/>
  <c r="P58" i="24" a="1"/>
  <c r="P58" i="24" s="1"/>
  <c r="P58" i="56" s="1"/>
  <c r="F35" i="24" a="1"/>
  <c r="F35" i="24" s="1"/>
  <c r="D73" i="24" a="1"/>
  <c r="D73" i="24" s="1"/>
  <c r="AA68" i="23" s="1" a="1"/>
  <c r="AA68" i="23" s="1"/>
  <c r="E15" i="24" a="1"/>
  <c r="E15" i="24" s="1"/>
  <c r="X120" i="23" s="1" a="1"/>
  <c r="X120" i="23" s="1"/>
  <c r="P19" i="24" a="1"/>
  <c r="P19" i="24" s="1"/>
  <c r="F7" i="24" a="1"/>
  <c r="F7" i="24" s="1"/>
  <c r="X142" i="23" s="1" a="1"/>
  <c r="X142" i="23" s="1"/>
  <c r="L67" i="24" a="1"/>
  <c r="L67" i="24" s="1"/>
  <c r="N45" i="24" a="1"/>
  <c r="N45" i="24" s="1"/>
  <c r="L70" i="24" a="1"/>
  <c r="L70" i="24" s="1"/>
  <c r="N51" i="24" a="1"/>
  <c r="N51" i="24" s="1"/>
  <c r="H11" i="24" a="1"/>
  <c r="H11" i="24" s="1"/>
  <c r="D57" i="24" a="1"/>
  <c r="D57" i="24" s="1"/>
  <c r="N42" i="24" a="1"/>
  <c r="N42" i="24" s="1"/>
  <c r="D61" i="24" a="1"/>
  <c r="D61" i="24" s="1"/>
  <c r="N48" i="24" a="1"/>
  <c r="N48" i="24" s="1"/>
  <c r="O18" i="24" a="1"/>
  <c r="O18" i="24" s="1"/>
  <c r="O18" i="56" s="1"/>
  <c r="D72" i="24" a="1"/>
  <c r="D72" i="24" s="1"/>
  <c r="H24" i="24" a="1"/>
  <c r="H24" i="24" s="1"/>
  <c r="D75" i="24" a="1"/>
  <c r="D75" i="24" s="1"/>
  <c r="H27" i="24" a="1"/>
  <c r="H27" i="24" s="1"/>
  <c r="P67" i="24" a="1"/>
  <c r="P67" i="24" s="1"/>
  <c r="L46" i="24" a="1"/>
  <c r="L46" i="24" s="1"/>
  <c r="P70" i="24" a="1"/>
  <c r="P70" i="24" s="1"/>
  <c r="L52" i="24" a="1"/>
  <c r="L52" i="24" s="1"/>
  <c r="P25" i="24" a="1"/>
  <c r="P25" i="24" s="1"/>
  <c r="F14" i="24" a="1"/>
  <c r="F14" i="24" s="1"/>
  <c r="X177" i="23" s="1" a="1"/>
  <c r="X177" i="23" s="1"/>
  <c r="G55" i="24" a="1"/>
  <c r="G55" i="24" s="1"/>
  <c r="M31" i="24" a="1"/>
  <c r="M31" i="24" s="1"/>
  <c r="G58" i="24" a="1"/>
  <c r="G58" i="24" s="1"/>
  <c r="G58" i="56" s="1"/>
  <c r="M34" i="24" a="1"/>
  <c r="M34" i="24" s="1"/>
  <c r="E75" i="24" a="1"/>
  <c r="E75" i="24" s="1"/>
  <c r="O45" i="24" a="1"/>
  <c r="O45" i="24" s="1"/>
  <c r="E30" i="24" a="1"/>
  <c r="E30" i="24" s="1"/>
  <c r="Y105" i="23" s="1" a="1"/>
  <c r="Y105" i="23" s="1"/>
  <c r="O48" i="24" a="1"/>
  <c r="O48" i="24" s="1"/>
  <c r="E33" i="24" a="1"/>
  <c r="E33" i="24" s="1"/>
  <c r="Y120" i="23" s="1" a="1"/>
  <c r="Y120" i="23" s="1"/>
  <c r="F22" i="24" a="1"/>
  <c r="F22" i="24" s="1"/>
  <c r="O60" i="24" a="1"/>
  <c r="O60" i="24" s="1"/>
  <c r="G48" i="24" a="1"/>
  <c r="G48" i="24" s="1"/>
  <c r="O63" i="24" a="1"/>
  <c r="O63" i="24" s="1"/>
  <c r="N22" i="24" a="1"/>
  <c r="N22" i="24" s="1"/>
  <c r="N22" i="56" s="1"/>
  <c r="D53" i="24" a="1"/>
  <c r="D53" i="24" s="1"/>
  <c r="D56" i="24" a="1"/>
  <c r="D56" i="24" s="1"/>
  <c r="G18" i="24" a="1"/>
  <c r="G18" i="24" s="1"/>
  <c r="G18" i="56" s="1"/>
  <c r="E8" i="24" a="1"/>
  <c r="E8" i="24" s="1"/>
  <c r="X85" i="23" s="1" a="1"/>
  <c r="X85" i="23" s="1"/>
  <c r="M39" i="24" a="1"/>
  <c r="M39" i="24" s="1"/>
  <c r="M39" i="56" s="1"/>
  <c r="G45" i="24" a="1"/>
  <c r="G45" i="24" s="1"/>
  <c r="O53" i="24" a="1"/>
  <c r="O53" i="24" s="1"/>
  <c r="O53" i="56" s="1"/>
  <c r="O56" i="24" a="1"/>
  <c r="O56" i="24" s="1"/>
  <c r="O56" i="56" s="1"/>
  <c r="H21" i="24" a="1"/>
  <c r="H21" i="24" s="1"/>
  <c r="H21" i="56" s="1"/>
  <c r="N12" i="24" a="1"/>
  <c r="N12" i="24" s="1"/>
  <c r="F24" i="24" a="1"/>
  <c r="F24" i="24" s="1"/>
  <c r="Y137" i="23" s="1" a="1"/>
  <c r="Y137" i="23" s="1"/>
  <c r="D62" i="24" a="1"/>
  <c r="D62" i="24" s="1"/>
  <c r="AA23" i="23" s="1" a="1"/>
  <c r="AA23" i="23" s="1"/>
  <c r="D65" i="24" a="1"/>
  <c r="D65" i="24" s="1"/>
  <c r="AA38" i="23" s="1" a="1"/>
  <c r="AA38" i="23" s="1"/>
  <c r="P11" i="24" a="1"/>
  <c r="P11" i="24" s="1"/>
  <c r="H49" i="24" a="1"/>
  <c r="H49" i="24" s="1"/>
  <c r="H52" i="24" a="1"/>
  <c r="H52" i="24" s="1"/>
  <c r="F69" i="24" a="1"/>
  <c r="F69" i="24" s="1"/>
  <c r="AA182" i="23" s="1" a="1"/>
  <c r="AA182" i="23" s="1"/>
  <c r="F72" i="24" a="1"/>
  <c r="F72" i="24" s="1"/>
  <c r="M24" i="24" a="1"/>
  <c r="M24" i="24" s="1"/>
  <c r="F18" i="24" a="1"/>
  <c r="F18" i="24" s="1"/>
  <c r="G60" i="24" a="1"/>
  <c r="G60" i="24" s="1"/>
  <c r="M35" i="24" a="1"/>
  <c r="M35" i="24" s="1"/>
  <c r="M35" i="56" s="1"/>
  <c r="G63" i="24" a="1"/>
  <c r="G63" i="24" s="1"/>
  <c r="H18" i="24" a="1"/>
  <c r="H18" i="24" s="1"/>
  <c r="H18" i="56" s="1"/>
  <c r="E34" i="24" a="1"/>
  <c r="E34" i="24" s="1"/>
  <c r="Y125" i="23" s="1" a="1"/>
  <c r="Y125" i="23" s="1"/>
  <c r="E37" i="24" a="1"/>
  <c r="E37" i="24" s="1"/>
  <c r="Y130" i="23" s="1" a="1"/>
  <c r="Y130" i="23" s="1"/>
  <c r="D10" i="24" a="1"/>
  <c r="D10" i="24" s="1"/>
  <c r="X33" i="23" s="1" a="1"/>
  <c r="X33" i="23" s="1"/>
  <c r="P27" i="24" a="1"/>
  <c r="P27" i="24" s="1"/>
  <c r="N75" i="24" a="1"/>
  <c r="N75" i="24" s="1"/>
  <c r="N75" i="56" s="1"/>
  <c r="N25" i="24" a="1"/>
  <c r="N25" i="24" s="1"/>
  <c r="E61" i="24" a="1"/>
  <c r="E61" i="24" s="1"/>
  <c r="AA80" i="23" s="1" a="1"/>
  <c r="AA80" i="23" s="1"/>
  <c r="H36" i="24" a="1"/>
  <c r="H36" i="24" s="1"/>
  <c r="H36" i="56" s="1"/>
  <c r="E64" i="24" a="1"/>
  <c r="E64" i="24" s="1"/>
  <c r="AA95" i="23" s="1" a="1"/>
  <c r="AA95" i="23" s="1"/>
  <c r="H39" i="24" a="1"/>
  <c r="H39" i="24" s="1"/>
  <c r="H39" i="56" s="1"/>
  <c r="F12" i="24" a="1"/>
  <c r="F12" i="24" s="1"/>
  <c r="X167" i="23" s="1" a="1"/>
  <c r="X167" i="23" s="1"/>
  <c r="M50" i="24" a="1"/>
  <c r="M50" i="24" s="1"/>
  <c r="P34" i="24" a="1"/>
  <c r="P34" i="24" s="1"/>
  <c r="M53" i="24" a="1"/>
  <c r="M53" i="24" s="1"/>
  <c r="M53" i="56" s="1"/>
  <c r="P37" i="24" a="1"/>
  <c r="P37" i="24" s="1"/>
  <c r="P9" i="24" a="1"/>
  <c r="P9" i="24" s="1"/>
  <c r="M65" i="24" a="1"/>
  <c r="M65" i="24" s="1"/>
  <c r="P18" i="24" a="1"/>
  <c r="P18" i="24" s="1"/>
  <c r="P18" i="56" s="1"/>
  <c r="M68" i="24" a="1"/>
  <c r="M68" i="24" s="1"/>
  <c r="P12" i="24" a="1"/>
  <c r="P12" i="24" s="1"/>
  <c r="L61" i="24" a="1"/>
  <c r="L61" i="24" s="1"/>
  <c r="L61" i="56" s="1"/>
  <c r="K18" i="57" s="1" a="1"/>
  <c r="K18" i="57" s="1"/>
  <c r="O36" i="24" a="1"/>
  <c r="O36" i="24" s="1"/>
  <c r="O36" i="56" s="1"/>
  <c r="L64" i="24" a="1"/>
  <c r="L64" i="24" s="1"/>
  <c r="O39" i="24" a="1"/>
  <c r="O39" i="24" s="1"/>
  <c r="O39" i="56" s="1"/>
  <c r="P15" i="24" a="1"/>
  <c r="P15" i="24" s="1"/>
  <c r="G9" i="24" a="1"/>
  <c r="G9" i="24" s="1"/>
  <c r="O72" i="24" a="1"/>
  <c r="O72" i="24" s="1"/>
  <c r="O72" i="56" s="1"/>
  <c r="F25" i="24" a="1"/>
  <c r="F25" i="24" s="1"/>
  <c r="Y142" i="23" s="1" a="1"/>
  <c r="Y142" i="23" s="1"/>
  <c r="O75" i="24" a="1"/>
  <c r="O75" i="24" s="1"/>
  <c r="O75" i="56" s="1"/>
  <c r="F28" i="24" a="1"/>
  <c r="F28" i="24" s="1"/>
  <c r="Y157" i="23" s="1" a="1"/>
  <c r="Y157" i="23" s="1"/>
  <c r="N68" i="24" a="1"/>
  <c r="N68" i="24" s="1"/>
  <c r="E48" i="24" a="1"/>
  <c r="E48" i="24" s="1"/>
  <c r="Z105" i="23" s="1" a="1"/>
  <c r="Z105" i="23" s="1"/>
  <c r="N71" i="24" a="1"/>
  <c r="N71" i="24" s="1"/>
  <c r="N71" i="56" s="1"/>
  <c r="H42" i="24" a="1"/>
  <c r="H42" i="24" s="1"/>
  <c r="N26" i="24" a="1"/>
  <c r="N26" i="24" s="1"/>
  <c r="O8" i="24" a="1"/>
  <c r="O8" i="24" s="1"/>
  <c r="H53" i="24" a="1"/>
  <c r="H53" i="24" s="1"/>
  <c r="H53" i="56" s="1"/>
  <c r="N37" i="24" a="1"/>
  <c r="N37" i="24" s="1"/>
  <c r="H56" i="24" a="1"/>
  <c r="H56" i="24" s="1"/>
  <c r="H56" i="56" s="1"/>
  <c r="N40" i="24" a="1"/>
  <c r="N40" i="24" s="1"/>
  <c r="N40" i="56" s="1"/>
  <c r="F73" i="24" a="1"/>
  <c r="F73" i="24" s="1"/>
  <c r="AA192" i="23" s="1" a="1"/>
  <c r="AA192" i="23" s="1"/>
  <c r="M25" i="24" a="1"/>
  <c r="M25" i="24" s="1"/>
  <c r="F76" i="24" a="1"/>
  <c r="F76" i="24" s="1"/>
  <c r="M28" i="24" a="1"/>
  <c r="M28" i="24" s="1"/>
  <c r="E22" i="24" a="1"/>
  <c r="E22" i="24" s="1"/>
  <c r="D7" i="24" a="1"/>
  <c r="D7" i="24" s="1"/>
  <c r="L29" i="24" a="1"/>
  <c r="L29" i="24" s="1"/>
  <c r="P39" i="24" a="1"/>
  <c r="P39" i="24" s="1"/>
  <c r="P39" i="56" s="1"/>
  <c r="F54" i="24" a="1"/>
  <c r="F54" i="24" s="1"/>
  <c r="L38" i="24" a="1"/>
  <c r="L38" i="24" s="1"/>
  <c r="L38" i="56" s="1"/>
  <c r="F57" i="24" a="1"/>
  <c r="F57" i="24" s="1"/>
  <c r="E43" i="24" a="1"/>
  <c r="E43" i="24" s="1"/>
  <c r="Z80" i="23" s="1" a="1"/>
  <c r="Z80" i="23" s="1"/>
  <c r="D74" i="24" a="1"/>
  <c r="D74" i="24" s="1"/>
  <c r="H26" i="24" a="1"/>
  <c r="H26" i="24" s="1"/>
  <c r="E53" i="24" a="1"/>
  <c r="E53" i="24" s="1"/>
  <c r="H29" i="24" a="1"/>
  <c r="H29" i="24" s="1"/>
  <c r="G20" i="24" a="1"/>
  <c r="G20" i="24" s="1"/>
  <c r="G20" i="56" s="1"/>
  <c r="E65" i="24" a="1"/>
  <c r="E65" i="24" s="1"/>
  <c r="AA100" i="23" s="1" a="1"/>
  <c r="AA100" i="23" s="1"/>
  <c r="H40" i="24" a="1"/>
  <c r="H40" i="24" s="1"/>
  <c r="H40" i="56" s="1"/>
  <c r="E68" i="24" a="1"/>
  <c r="E68" i="24" s="1"/>
  <c r="AA115" i="23" s="1" a="1"/>
  <c r="AA115" i="23" s="1"/>
  <c r="P46" i="24" a="1"/>
  <c r="P46" i="24" s="1"/>
  <c r="H19" i="24" a="1"/>
  <c r="H19" i="24" s="1"/>
  <c r="M54" i="24" a="1"/>
  <c r="M54" i="24" s="1"/>
  <c r="M54" i="56" s="1"/>
  <c r="P38" i="24" a="1"/>
  <c r="P38" i="24" s="1"/>
  <c r="P38" i="56" s="1"/>
  <c r="M57" i="24" a="1"/>
  <c r="M57" i="24" s="1"/>
  <c r="M57" i="56" s="1"/>
  <c r="P43" i="24" a="1"/>
  <c r="P43" i="24" s="1"/>
  <c r="D22" i="24" a="1"/>
  <c r="D22" i="24" s="1"/>
  <c r="G72" i="24" a="1"/>
  <c r="G72" i="24" s="1"/>
  <c r="G72" i="56" s="1"/>
  <c r="D43" i="24" a="1"/>
  <c r="D43" i="24" s="1"/>
  <c r="G75" i="24" a="1"/>
  <c r="G75" i="24" s="1"/>
  <c r="G75" i="56" s="1"/>
  <c r="D46" i="24" a="1"/>
  <c r="D46" i="24" s="1"/>
  <c r="Z33" i="23" s="1" a="1"/>
  <c r="Z33" i="23" s="1"/>
  <c r="N13" i="24" a="1"/>
  <c r="N13" i="24" s="1"/>
  <c r="O62" i="24" a="1"/>
  <c r="O62" i="24" s="1"/>
  <c r="G52" i="24" a="1"/>
  <c r="G52" i="24" s="1"/>
  <c r="O65" i="24" a="1"/>
  <c r="O65" i="24" s="1"/>
  <c r="N18" i="24" a="1"/>
  <c r="N18" i="24" s="1"/>
  <c r="N18" i="56" s="1"/>
  <c r="N27" i="24" a="1"/>
  <c r="N27" i="24" s="1"/>
  <c r="O76" i="24" a="1"/>
  <c r="O76" i="24" s="1"/>
  <c r="O76" i="56" s="1"/>
  <c r="F29" i="24" a="1"/>
  <c r="F29" i="24" s="1"/>
  <c r="Y162" i="23" s="1" a="1"/>
  <c r="Y162" i="23" s="1"/>
  <c r="P55" i="24" a="1"/>
  <c r="P55" i="24" s="1"/>
  <c r="F32" i="24" a="1"/>
  <c r="F32" i="24" s="1"/>
  <c r="Y177" i="23" s="1" a="1"/>
  <c r="Y177" i="23" s="1"/>
  <c r="N72" i="24" a="1"/>
  <c r="N72" i="24" s="1"/>
  <c r="N72" i="56" s="1"/>
  <c r="H43" i="24" a="1"/>
  <c r="H43" i="24" s="1"/>
  <c r="P62" i="24" a="1"/>
  <c r="P62" i="24" s="1"/>
  <c r="N30" i="24" a="1"/>
  <c r="N30" i="24" s="1"/>
  <c r="G17" i="24" a="1"/>
  <c r="G17" i="24" s="1"/>
  <c r="G17" i="56" s="1"/>
  <c r="N15" i="24" a="1"/>
  <c r="N15" i="24" s="1"/>
  <c r="L13" i="24" a="1"/>
  <c r="L13" i="24" s="1"/>
  <c r="D51" i="24" a="1"/>
  <c r="D51" i="24" s="1"/>
  <c r="Z58" i="23" s="1" a="1"/>
  <c r="Z58" i="23" s="1"/>
  <c r="G35" i="24" a="1"/>
  <c r="G35" i="24" s="1"/>
  <c r="G35" i="56" s="1"/>
  <c r="D54" i="24" a="1"/>
  <c r="D54" i="24" s="1"/>
  <c r="N36" i="24" a="1"/>
  <c r="N36" i="24" s="1"/>
  <c r="N36" i="56" s="1"/>
  <c r="O70" i="24" a="1"/>
  <c r="O70" i="24" s="1"/>
  <c r="N8" i="24" a="1"/>
  <c r="N8" i="24" s="1"/>
  <c r="O73" i="24" a="1"/>
  <c r="O73" i="24" s="1"/>
  <c r="F26" i="24" a="1"/>
  <c r="F26" i="24" s="1"/>
  <c r="Y147" i="23" s="1" a="1"/>
  <c r="Y147" i="23" s="1"/>
  <c r="D12" i="24" a="1"/>
  <c r="D12" i="24" s="1"/>
  <c r="X43" i="23" s="1" a="1"/>
  <c r="X43" i="23" s="1"/>
  <c r="P61" i="24" a="1"/>
  <c r="P61" i="24" s="1"/>
  <c r="F37" i="24" a="1"/>
  <c r="F37" i="24" s="1"/>
  <c r="Y192" i="23" s="1" a="1"/>
  <c r="Y192" i="23" s="1"/>
  <c r="P64" i="24" a="1"/>
  <c r="P64" i="24" s="1"/>
  <c r="F40" i="24" a="1"/>
  <c r="F40" i="24" s="1"/>
  <c r="N6" i="24" a="1"/>
  <c r="N6" i="24" s="1"/>
  <c r="H51" i="24" a="1"/>
  <c r="H51" i="24" s="1"/>
  <c r="N35" i="24" a="1"/>
  <c r="N35" i="24" s="1"/>
  <c r="N35" i="56" s="1"/>
  <c r="H54" i="24" a="1"/>
  <c r="H54" i="24" s="1"/>
  <c r="H54" i="56" s="1"/>
  <c r="N38" i="24" a="1"/>
  <c r="N38" i="24" s="1"/>
  <c r="N38" i="56" s="1"/>
  <c r="E6" i="24" a="1"/>
  <c r="E6" i="24" s="1"/>
  <c r="X75" i="23" s="1" a="1"/>
  <c r="X75" i="23" s="1"/>
  <c r="E69" i="24" a="1"/>
  <c r="E69" i="24" s="1"/>
  <c r="AA120" i="23" s="1" a="1"/>
  <c r="AA120" i="23" s="1"/>
  <c r="P48" i="24" a="1"/>
  <c r="P48" i="24" s="1"/>
  <c r="E72" i="24" a="1"/>
  <c r="E72" i="24" s="1"/>
  <c r="O42" i="24" a="1"/>
  <c r="O42" i="24" s="1"/>
  <c r="N21" i="24" a="1"/>
  <c r="N21" i="24" s="1"/>
  <c r="N21" i="56" s="1"/>
  <c r="M58" i="24" a="1"/>
  <c r="M58" i="24" s="1"/>
  <c r="M58" i="56" s="1"/>
  <c r="P45" i="24" a="1"/>
  <c r="P45" i="24" s="1"/>
  <c r="M62" i="24" a="1"/>
  <c r="M62" i="24" s="1"/>
  <c r="P51" i="24" a="1"/>
  <c r="P51" i="24" s="1"/>
  <c r="M12" i="24" a="1"/>
  <c r="M12" i="24" s="1"/>
  <c r="M73" i="24" a="1"/>
  <c r="M73" i="24" s="1"/>
  <c r="D26" i="24" a="1"/>
  <c r="D26" i="24" s="1"/>
  <c r="Y23" i="23" s="1" a="1"/>
  <c r="Y23" i="23" s="1"/>
  <c r="M76" i="24" a="1"/>
  <c r="M76" i="24" s="1"/>
  <c r="M76" i="56" s="1"/>
  <c r="D29" i="24" a="1"/>
  <c r="D29" i="24" s="1"/>
  <c r="Y38" i="23" s="1" a="1"/>
  <c r="Y38" i="23" s="1"/>
  <c r="L69" i="24" a="1"/>
  <c r="L69" i="24" s="1"/>
  <c r="N49" i="24" a="1"/>
  <c r="N49" i="24" s="1"/>
  <c r="L72" i="24" a="1"/>
  <c r="L72" i="24" s="1"/>
  <c r="L72" i="56" s="1"/>
  <c r="F43" i="24" a="1"/>
  <c r="F43" i="24" s="1"/>
  <c r="Z142" i="23" s="1" a="1"/>
  <c r="Z142" i="23" s="1"/>
  <c r="L27" i="24" a="1"/>
  <c r="L27" i="24" s="1"/>
  <c r="E16" i="24" a="1"/>
  <c r="E16" i="24" s="1"/>
  <c r="X125" i="23" s="1" a="1"/>
  <c r="X125" i="23" s="1"/>
  <c r="P17" i="24" a="1"/>
  <c r="P17" i="24" s="1"/>
  <c r="P17" i="56" s="1"/>
  <c r="E12" i="24" a="1"/>
  <c r="E12" i="24" s="1"/>
  <c r="X105" i="23" s="1" a="1"/>
  <c r="X105" i="23" s="1"/>
  <c r="H74" i="24" a="1"/>
  <c r="H74" i="24" s="1"/>
  <c r="H74" i="56" s="1"/>
  <c r="O26" i="24" a="1"/>
  <c r="O26" i="24" s="1"/>
  <c r="L53" i="24" a="1"/>
  <c r="L53" i="24" s="1"/>
  <c r="L53" i="56" s="1"/>
  <c r="O29" i="24" a="1"/>
  <c r="O29" i="24" s="1"/>
  <c r="G70" i="24" a="1"/>
  <c r="G70" i="24" s="1"/>
  <c r="G51" i="24" a="1"/>
  <c r="G51" i="24" s="1"/>
  <c r="G73" i="24" a="1"/>
  <c r="G73" i="24" s="1"/>
  <c r="D44" i="24" a="1"/>
  <c r="D44" i="24" s="1"/>
  <c r="Z23" i="23" s="1" a="1"/>
  <c r="Z23" i="23" s="1"/>
  <c r="G28" i="24" a="1"/>
  <c r="G28" i="24" s="1"/>
  <c r="N32" i="24" a="1"/>
  <c r="N32" i="24" s="1"/>
  <c r="D55" i="24" a="1"/>
  <c r="D55" i="24" s="1"/>
  <c r="Z68" i="23" s="1" a="1"/>
  <c r="Z68" i="23" s="1"/>
  <c r="G39" i="24" a="1"/>
  <c r="G39" i="24" s="1"/>
  <c r="G39" i="56" s="1"/>
  <c r="D58" i="24" a="1"/>
  <c r="D58" i="24" s="1"/>
  <c r="N44" i="24" a="1"/>
  <c r="N44" i="24" s="1"/>
  <c r="O74" i="24" a="1"/>
  <c r="O74" i="24" s="1"/>
  <c r="O74" i="56" s="1"/>
  <c r="F27" i="24" a="1"/>
  <c r="F27" i="24" s="1"/>
  <c r="Y152" i="23" s="1" a="1"/>
  <c r="Y152" i="23" s="1"/>
  <c r="P53" i="24" a="1"/>
  <c r="P53" i="24" s="1"/>
  <c r="P53" i="56" s="1"/>
  <c r="F30" i="24" a="1"/>
  <c r="F30" i="24" s="1"/>
  <c r="Y167" i="23" s="1" a="1"/>
  <c r="Y167" i="23" s="1"/>
  <c r="G27" i="24" a="1"/>
  <c r="G27" i="24" s="1"/>
  <c r="L26" i="24" a="1"/>
  <c r="L26" i="24" s="1"/>
  <c r="F63" i="24" a="1"/>
  <c r="F63" i="24" s="1"/>
  <c r="AA152" i="23" s="1" a="1"/>
  <c r="AA152" i="23" s="1"/>
  <c r="G7" i="24" a="1"/>
  <c r="G7" i="24" s="1"/>
  <c r="F66" i="24" a="1"/>
  <c r="F66" i="24" s="1"/>
  <c r="AA167" i="23" s="1" a="1"/>
  <c r="AA167" i="23" s="1"/>
  <c r="O17" i="24" a="1"/>
  <c r="O17" i="24" s="1"/>
  <c r="O17" i="56" s="1"/>
  <c r="E58" i="24" a="1"/>
  <c r="E58" i="24" s="1"/>
  <c r="H34" i="24" a="1"/>
  <c r="H34" i="24" s="1"/>
  <c r="E62" i="24" a="1"/>
  <c r="E62" i="24" s="1"/>
  <c r="AA85" i="23" s="1" a="1"/>
  <c r="AA85" i="23" s="1"/>
  <c r="H37" i="24" a="1"/>
  <c r="H37" i="24" s="1"/>
  <c r="O20" i="24" a="1"/>
  <c r="O20" i="24" s="1"/>
  <c r="O20" i="56" s="1"/>
  <c r="E73" i="24" a="1"/>
  <c r="E73" i="24" s="1"/>
  <c r="AA130" i="23" s="1" a="1"/>
  <c r="AA130" i="23" s="1"/>
  <c r="O43" i="24" a="1"/>
  <c r="O43" i="24" s="1"/>
  <c r="E76" i="24" a="1"/>
  <c r="E76" i="24" s="1"/>
  <c r="O46" i="24" a="1"/>
  <c r="O46" i="24" s="1"/>
  <c r="M10" i="24" a="1"/>
  <c r="M10" i="24" s="1"/>
  <c r="M63" i="24" a="1"/>
  <c r="M63" i="24" s="1"/>
  <c r="P22" i="24" a="1"/>
  <c r="P22" i="24" s="1"/>
  <c r="P22" i="56" s="1"/>
  <c r="M66" i="24" a="1"/>
  <c r="M66" i="24" s="1"/>
  <c r="P16" i="24" a="1"/>
  <c r="P16" i="24" s="1"/>
  <c r="P6" i="24" a="1"/>
  <c r="P6" i="24" s="1"/>
  <c r="O10" i="24" a="1"/>
  <c r="O10" i="24" s="1"/>
  <c r="L17" i="24" a="1"/>
  <c r="L17" i="24" s="1"/>
  <c r="L17" i="56" s="1"/>
  <c r="D8" i="24" a="1"/>
  <c r="D8" i="24" s="1"/>
  <c r="X23" i="23" s="1" a="1"/>
  <c r="X23" i="23" s="1"/>
  <c r="D21" i="24" a="1"/>
  <c r="D21" i="24" s="1"/>
  <c r="P13" i="24" a="1"/>
  <c r="P13" i="24" s="1"/>
  <c r="E47" i="24" a="1"/>
  <c r="E47" i="24" s="1"/>
  <c r="Z100" i="23" s="1" a="1"/>
  <c r="Z100" i="23" s="1"/>
  <c r="M8" i="24" a="1"/>
  <c r="M8" i="24" s="1"/>
  <c r="E21" i="24" a="1"/>
  <c r="E21" i="24" s="1"/>
  <c r="N55" i="24" a="1"/>
  <c r="N55" i="24" s="1"/>
  <c r="N58" i="24" a="1"/>
  <c r="N58" i="24" s="1"/>
  <c r="N58" i="56" s="1"/>
  <c r="F9" i="24" a="1"/>
  <c r="F9" i="24" s="1"/>
  <c r="X152" i="23" s="1" a="1"/>
  <c r="X152" i="23" s="1"/>
  <c r="D13" i="24" a="1"/>
  <c r="D13" i="24" s="1"/>
  <c r="X48" i="23" s="1" a="1"/>
  <c r="X48" i="23" s="1"/>
  <c r="M61" i="24" a="1"/>
  <c r="M61" i="24" s="1"/>
  <c r="M64" i="24" a="1"/>
  <c r="M64" i="24" s="1"/>
  <c r="L56" i="24" a="1"/>
  <c r="L56" i="24" s="1"/>
  <c r="L56" i="56" s="1"/>
  <c r="L60" i="24" a="1"/>
  <c r="L60" i="24" s="1"/>
  <c r="L60" i="56" s="1"/>
  <c r="K13" i="57" s="1" a="1"/>
  <c r="K13" i="57" s="1"/>
  <c r="H7" i="24" a="1"/>
  <c r="H7" i="24" s="1"/>
  <c r="F42" i="24" a="1"/>
  <c r="F42" i="24" s="1"/>
  <c r="Z137" i="23" s="1" a="1"/>
  <c r="Z137" i="23" s="1"/>
  <c r="F45" i="24" a="1"/>
  <c r="F45" i="24" s="1"/>
  <c r="Z152" i="23" s="1" a="1"/>
  <c r="Z152" i="23" s="1"/>
  <c r="D40" i="24" a="1"/>
  <c r="D40" i="24" s="1"/>
  <c r="E46" i="24" a="1"/>
  <c r="E46" i="24" s="1"/>
  <c r="Z95" i="23" s="1" a="1"/>
  <c r="Z95" i="23" s="1"/>
  <c r="M16" i="24" a="1"/>
  <c r="M16" i="24" s="1"/>
  <c r="H28" i="24" a="1"/>
  <c r="H28" i="24" s="1"/>
  <c r="H31" i="24" a="1"/>
  <c r="H31" i="24" s="1"/>
  <c r="M42" i="24" a="1"/>
  <c r="M42" i="24" s="1"/>
  <c r="M60" i="24" a="1"/>
  <c r="M60" i="24" s="1"/>
  <c r="H76" i="24" a="1"/>
  <c r="H76" i="24" s="1"/>
  <c r="H76" i="56" s="1"/>
  <c r="L55" i="24" a="1"/>
  <c r="L55" i="24" s="1"/>
  <c r="H15" i="24" a="1"/>
  <c r="H15" i="24" s="1"/>
  <c r="D18" i="24" a="1"/>
  <c r="D18" i="24" s="1"/>
  <c r="G16" i="24" a="1"/>
  <c r="G16" i="24" s="1"/>
  <c r="F38" i="24" a="1"/>
  <c r="F38" i="24" s="1"/>
  <c r="G22" i="24" a="1"/>
  <c r="G22" i="24" s="1"/>
  <c r="G22" i="56" s="1"/>
  <c r="G62" i="24" a="1"/>
  <c r="G62" i="24" s="1"/>
  <c r="G65" i="24" a="1"/>
  <c r="G65" i="24" s="1"/>
  <c r="M14" i="24" a="1"/>
  <c r="M14" i="24" s="1"/>
  <c r="D47" i="24" a="1"/>
  <c r="D47" i="24" s="1"/>
  <c r="Z38" i="23" s="1" a="1"/>
  <c r="Z38" i="23" s="1"/>
  <c r="D50" i="24" a="1"/>
  <c r="D50" i="24" s="1"/>
  <c r="Z53" i="23" s="1" a="1"/>
  <c r="Z53" i="23" s="1"/>
  <c r="O66" i="24" a="1"/>
  <c r="O66" i="24" s="1"/>
  <c r="O69" i="24" a="1"/>
  <c r="O69" i="24" s="1"/>
  <c r="H10" i="24" a="1"/>
  <c r="H10" i="24" s="1"/>
  <c r="G15" i="24" a="1"/>
  <c r="G15" i="24" s="1"/>
  <c r="O47" i="24" a="1"/>
  <c r="O47" i="24" s="1"/>
  <c r="O50" i="24" a="1"/>
  <c r="O50" i="24" s="1"/>
  <c r="M67" i="24" a="1"/>
  <c r="M67" i="24" s="1"/>
  <c r="M70" i="24" a="1"/>
  <c r="M70" i="24" s="1"/>
  <c r="D6" i="24" a="1"/>
  <c r="D6" i="24" s="1"/>
  <c r="D34" i="24" a="1"/>
  <c r="D34" i="24" s="1"/>
  <c r="Y63" i="23" s="1" a="1"/>
  <c r="Y63" i="23" s="1"/>
  <c r="D37" i="24" a="1"/>
  <c r="D37" i="24" s="1"/>
  <c r="Y68" i="23" s="1" a="1"/>
  <c r="Y68" i="23" s="1"/>
  <c r="F48" i="24" a="1"/>
  <c r="F48" i="24" s="1"/>
  <c r="Z167" i="23" s="1" a="1"/>
  <c r="Z167" i="23" s="1"/>
  <c r="F51" i="24" a="1"/>
  <c r="F51" i="24" s="1"/>
  <c r="Z182" i="23" s="1" a="1"/>
  <c r="Z182" i="23" s="1"/>
  <c r="E19" i="24" a="1"/>
  <c r="E19" i="24" s="1"/>
  <c r="X130" i="23" s="1" a="1"/>
  <c r="X130" i="23" s="1"/>
  <c r="L42" i="24" a="1"/>
  <c r="L42" i="24" s="1"/>
  <c r="L42" i="56" s="1"/>
  <c r="J13" i="57" s="1" a="1"/>
  <c r="J13" i="57" s="1"/>
  <c r="L48" i="24" a="1"/>
  <c r="L48" i="24" s="1"/>
  <c r="H55" i="24" a="1"/>
  <c r="H55" i="24" s="1"/>
  <c r="H58" i="24" a="1"/>
  <c r="H58" i="24" s="1"/>
  <c r="H58" i="56" s="1"/>
  <c r="H70" i="24" a="1"/>
  <c r="H70" i="24" s="1"/>
  <c r="H73" i="24" a="1"/>
  <c r="H73" i="24" s="1"/>
  <c r="G66" i="24" a="1"/>
  <c r="G66" i="24" s="1"/>
  <c r="G69" i="24" a="1"/>
  <c r="G69" i="24" s="1"/>
  <c r="G24" i="24" a="1"/>
  <c r="G24" i="24" s="1"/>
  <c r="H12" i="24" a="1"/>
  <c r="H12" i="24" s="1"/>
  <c r="N7" i="24" a="1"/>
  <c r="N7" i="24" s="1"/>
  <c r="F60" i="24" a="1"/>
  <c r="F60" i="24" s="1"/>
  <c r="AA137" i="23" s="1" a="1"/>
  <c r="AA137" i="23" s="1"/>
  <c r="O14" i="24" a="1"/>
  <c r="O14" i="24" s="1"/>
  <c r="D32" i="24" a="1"/>
  <c r="D32" i="24" s="1"/>
  <c r="Y53" i="23" s="1" a="1"/>
  <c r="Y53" i="23" s="1"/>
  <c r="E31" i="24" a="1"/>
  <c r="E31" i="24" s="1"/>
  <c r="Y110" i="23" s="1" a="1"/>
  <c r="Y110" i="23" s="1"/>
  <c r="P49" i="24" a="1"/>
  <c r="P49" i="24" s="1"/>
  <c r="O32" i="24" a="1"/>
  <c r="O32" i="24" s="1"/>
  <c r="L71" i="24" a="1"/>
  <c r="L71" i="24" s="1"/>
  <c r="L71" i="56" s="1"/>
  <c r="N64" i="24" a="1"/>
  <c r="N64" i="24" s="1"/>
  <c r="N9" i="24" a="1"/>
  <c r="N9" i="24" s="1"/>
  <c r="E55" i="24" a="1"/>
  <c r="E55" i="24" s="1"/>
  <c r="Z130" i="23" s="1" a="1"/>
  <c r="Z130" i="23" s="1"/>
  <c r="P71" i="24" a="1"/>
  <c r="P71" i="24" s="1"/>
  <c r="P71" i="56" s="1"/>
  <c r="P74" i="24" a="1"/>
  <c r="P74" i="24" s="1"/>
  <c r="P74" i="56" s="1"/>
  <c r="P47" i="24" a="1"/>
  <c r="P47" i="24" s="1"/>
  <c r="O28" i="24" a="1"/>
  <c r="O28" i="24" s="1"/>
  <c r="O31" i="24" a="1"/>
  <c r="O31" i="24" s="1"/>
  <c r="N24" i="24" a="1"/>
  <c r="N24" i="24" s="1"/>
  <c r="E17" i="24" a="1"/>
  <c r="E17" i="24" s="1"/>
  <c r="G13" i="24" a="1"/>
  <c r="G13" i="24" s="1"/>
  <c r="N19" i="24" a="1"/>
  <c r="N19" i="24" s="1"/>
  <c r="N9" i="56" l="1"/>
  <c r="H152" i="57" s="1"/>
  <c r="H152" i="23"/>
  <c r="AA244" i="23" a="1"/>
  <c r="AA244" i="23" s="1"/>
  <c r="G69" i="56"/>
  <c r="AA244" i="57" s="1" a="1"/>
  <c r="AA244" i="57" s="1"/>
  <c r="N24" i="56"/>
  <c r="I137" i="57" s="1"/>
  <c r="I137" i="23"/>
  <c r="N19" i="56"/>
  <c r="H192" i="57" s="1"/>
  <c r="H192" i="23"/>
  <c r="O31" i="56"/>
  <c r="I234" i="57" s="1"/>
  <c r="I234" i="23"/>
  <c r="X291" i="23" a="1"/>
  <c r="X291" i="23" s="1"/>
  <c r="H12" i="56"/>
  <c r="X291" i="57" s="1" a="1"/>
  <c r="X291" i="57" s="1"/>
  <c r="AA316" i="23" a="1"/>
  <c r="AA316" i="23" s="1"/>
  <c r="H73" i="56"/>
  <c r="AA316" i="57" s="1" a="1"/>
  <c r="AA316" i="57" s="1"/>
  <c r="J43" i="23" a="1"/>
  <c r="J43" i="23" s="1"/>
  <c r="L48" i="56"/>
  <c r="J43" i="57" s="1" a="1"/>
  <c r="J43" i="57" s="1"/>
  <c r="K125" i="23" a="1"/>
  <c r="K125" i="23" s="1"/>
  <c r="M70" i="56"/>
  <c r="K125" i="57" s="1" a="1"/>
  <c r="K125" i="57" s="1"/>
  <c r="X244" i="23" a="1"/>
  <c r="X244" i="23" s="1"/>
  <c r="G15" i="56"/>
  <c r="X244" i="57" s="1" a="1"/>
  <c r="X244" i="57" s="1"/>
  <c r="AA209" i="23" a="1"/>
  <c r="AA209" i="23" s="1"/>
  <c r="G62" i="56"/>
  <c r="AA209" i="57" s="1" a="1"/>
  <c r="AA209" i="57" s="1"/>
  <c r="K75" i="23" a="1"/>
  <c r="K75" i="23" s="1"/>
  <c r="M60" i="56"/>
  <c r="K75" i="57" s="1" a="1"/>
  <c r="K75" i="57" s="1"/>
  <c r="M16" i="56"/>
  <c r="H125" i="57" s="1"/>
  <c r="H125" i="23"/>
  <c r="K95" i="23" a="1"/>
  <c r="K95" i="23" s="1"/>
  <c r="M64" i="56"/>
  <c r="K95" i="57" s="1" a="1"/>
  <c r="K95" i="57" s="1"/>
  <c r="K105" i="23" a="1"/>
  <c r="K105" i="23" s="1"/>
  <c r="M66" i="56"/>
  <c r="K105" i="57" s="1" a="1"/>
  <c r="K105" i="57" s="1"/>
  <c r="J219" i="23" a="1"/>
  <c r="J219" i="23" s="1"/>
  <c r="O46" i="56"/>
  <c r="J219" i="57" s="1" a="1"/>
  <c r="J219" i="57" s="1"/>
  <c r="X234" i="23" a="1"/>
  <c r="X234" i="23" s="1"/>
  <c r="G13" i="56"/>
  <c r="X234" i="57" s="1" a="1"/>
  <c r="X234" i="57" s="1"/>
  <c r="O28" i="56"/>
  <c r="I219" i="57" s="1"/>
  <c r="I219" i="23"/>
  <c r="O32" i="56"/>
  <c r="I239" i="57" s="1"/>
  <c r="I239" i="23"/>
  <c r="O14" i="56"/>
  <c r="H239" i="57" s="1"/>
  <c r="H239" i="23"/>
  <c r="Y199" i="23" a="1"/>
  <c r="Y199" i="23" s="1"/>
  <c r="G24" i="56"/>
  <c r="Y199" i="57" s="1" a="1"/>
  <c r="Y199" i="57" s="1"/>
  <c r="AA311" i="23" a="1"/>
  <c r="AA311" i="23" s="1"/>
  <c r="H70" i="56"/>
  <c r="AA311" i="57" s="1" a="1"/>
  <c r="AA311" i="57" s="1"/>
  <c r="J15" i="57"/>
  <c r="J14" i="57"/>
  <c r="J17" i="57"/>
  <c r="J16" i="57"/>
  <c r="K110" i="23" a="1"/>
  <c r="K110" i="23" s="1"/>
  <c r="M67" i="56"/>
  <c r="K110" i="57" s="1" a="1"/>
  <c r="K110" i="57" s="1"/>
  <c r="X281" i="23" a="1"/>
  <c r="X281" i="23" s="1"/>
  <c r="H10" i="56"/>
  <c r="X281" i="57" s="1" a="1"/>
  <c r="X281" i="57" s="1"/>
  <c r="X306" i="23" a="1"/>
  <c r="X306" i="23" s="1"/>
  <c r="H15" i="56"/>
  <c r="X306" i="57" s="1" a="1"/>
  <c r="X306" i="57" s="1"/>
  <c r="J75" i="23" a="1"/>
  <c r="J75" i="23" s="1"/>
  <c r="M42" i="56"/>
  <c r="J75" i="57" s="1" a="1"/>
  <c r="J75" i="57" s="1"/>
  <c r="X266" i="23" a="1"/>
  <c r="X266" i="23" s="1"/>
  <c r="H7" i="56"/>
  <c r="X266" i="57" s="1" a="1"/>
  <c r="X266" i="57" s="1"/>
  <c r="K80" i="23" a="1"/>
  <c r="K80" i="23" s="1"/>
  <c r="M61" i="56"/>
  <c r="K80" i="57" s="1" a="1"/>
  <c r="K80" i="57" s="1"/>
  <c r="J192" i="23" a="1"/>
  <c r="J192" i="23" s="1"/>
  <c r="N55" i="56"/>
  <c r="J192" i="57" s="1" a="1"/>
  <c r="J192" i="57" s="1"/>
  <c r="P13" i="56"/>
  <c r="H296" i="57" s="1"/>
  <c r="H296" i="23"/>
  <c r="O10" i="56"/>
  <c r="H219" i="57" s="1"/>
  <c r="H219" i="23"/>
  <c r="Y316" i="23" a="1"/>
  <c r="Y316" i="23" s="1"/>
  <c r="H37" i="56"/>
  <c r="Y316" i="57" s="1" a="1"/>
  <c r="Y316" i="57" s="1"/>
  <c r="L26" i="56"/>
  <c r="I23" i="57" s="1"/>
  <c r="I23" i="23"/>
  <c r="O29" i="56"/>
  <c r="I224" i="57" s="1"/>
  <c r="I224" i="23"/>
  <c r="M12" i="56"/>
  <c r="H105" i="57" s="1"/>
  <c r="H105" i="23"/>
  <c r="J291" i="23" a="1"/>
  <c r="J291" i="23" s="1"/>
  <c r="P48" i="56"/>
  <c r="J291" i="57" s="1" a="1"/>
  <c r="J291" i="57" s="1"/>
  <c r="K249" i="23" a="1"/>
  <c r="K249" i="23" s="1"/>
  <c r="O70" i="56"/>
  <c r="K249" i="57" s="1" a="1"/>
  <c r="K249" i="57" s="1"/>
  <c r="N30" i="56"/>
  <c r="I167" i="57" s="1"/>
  <c r="I167" i="23"/>
  <c r="N27" i="56"/>
  <c r="I152" i="57" s="1"/>
  <c r="I152" i="23"/>
  <c r="K209" i="23" a="1"/>
  <c r="K209" i="23" s="1"/>
  <c r="O62" i="56"/>
  <c r="K209" i="57" s="1" a="1"/>
  <c r="K209" i="57" s="1"/>
  <c r="J281" i="23" a="1"/>
  <c r="J281" i="23" s="1"/>
  <c r="P46" i="56"/>
  <c r="J281" i="57" s="1" a="1"/>
  <c r="J281" i="57" s="1"/>
  <c r="P15" i="56"/>
  <c r="H306" i="57" s="1"/>
  <c r="H306" i="23"/>
  <c r="K21" i="57"/>
  <c r="K20" i="57"/>
  <c r="K19" i="57"/>
  <c r="K22" i="57"/>
  <c r="K100" i="23" a="1"/>
  <c r="K100" i="23" s="1"/>
  <c r="M65" i="56"/>
  <c r="K100" i="57" s="1" a="1"/>
  <c r="K100" i="57" s="1"/>
  <c r="P34" i="56"/>
  <c r="I311" i="57" s="1"/>
  <c r="I311" i="23"/>
  <c r="AA199" i="23" a="1"/>
  <c r="AA199" i="23" s="1"/>
  <c r="G60" i="56"/>
  <c r="AA199" i="57" s="1" a="1"/>
  <c r="AA199" i="57" s="1"/>
  <c r="K199" i="23" a="1"/>
  <c r="K199" i="23" s="1"/>
  <c r="O60" i="56"/>
  <c r="K199" i="57" s="1" a="1"/>
  <c r="K199" i="57" s="1"/>
  <c r="P25" i="56"/>
  <c r="I266" i="57" s="1"/>
  <c r="I266" i="23"/>
  <c r="K296" i="23" a="1"/>
  <c r="K296" i="23" s="1"/>
  <c r="P67" i="56"/>
  <c r="K296" i="57" s="1" a="1"/>
  <c r="K296" i="57" s="1"/>
  <c r="J137" i="23" a="1"/>
  <c r="J137" i="23" s="1"/>
  <c r="N42" i="56"/>
  <c r="J137" i="57" s="1" a="1"/>
  <c r="J137" i="57" s="1"/>
  <c r="K63" i="23" a="1"/>
  <c r="K63" i="23" s="1"/>
  <c r="L70" i="56"/>
  <c r="K63" i="57" s="1" a="1"/>
  <c r="K63" i="57" s="1"/>
  <c r="P19" i="56"/>
  <c r="H316" i="57" s="1"/>
  <c r="H316" i="23"/>
  <c r="Y244" i="23" a="1"/>
  <c r="Y244" i="23" s="1"/>
  <c r="G33" i="56"/>
  <c r="Y244" i="57" s="1" a="1"/>
  <c r="Y244" i="57" s="1"/>
  <c r="K23" i="23" a="1"/>
  <c r="K23" i="23" s="1"/>
  <c r="L62" i="56"/>
  <c r="K23" i="57" s="1" a="1"/>
  <c r="K23" i="57" s="1"/>
  <c r="K192" i="23" a="1"/>
  <c r="K192" i="23" s="1"/>
  <c r="N73" i="56"/>
  <c r="K192" i="57" s="1" a="1"/>
  <c r="K192" i="57" s="1"/>
  <c r="J38" i="23" a="1"/>
  <c r="J38" i="23" s="1"/>
  <c r="L47" i="56"/>
  <c r="J38" i="57" s="1" a="1"/>
  <c r="J38" i="57" s="1"/>
  <c r="J187" i="23" a="1"/>
  <c r="J187" i="23" s="1"/>
  <c r="N52" i="56"/>
  <c r="J187" i="57" s="1" a="1"/>
  <c r="J187" i="57" s="1"/>
  <c r="X301" i="23" a="1"/>
  <c r="X301" i="23" s="1"/>
  <c r="H14" i="56"/>
  <c r="X301" i="57" s="1" a="1"/>
  <c r="X301" i="57" s="1"/>
  <c r="J301" i="23" a="1"/>
  <c r="J301" i="23" s="1"/>
  <c r="P50" i="56"/>
  <c r="J301" i="57" s="1" a="1"/>
  <c r="J301" i="57" s="1"/>
  <c r="M26" i="56"/>
  <c r="I85" i="57" s="1"/>
  <c r="I85" i="23"/>
  <c r="Z234" i="23" a="1"/>
  <c r="Z234" i="23" s="1"/>
  <c r="G49" i="56"/>
  <c r="Z234" i="57" s="1" a="1"/>
  <c r="Z234" i="57" s="1"/>
  <c r="K301" i="23" a="1"/>
  <c r="K301" i="23" s="1"/>
  <c r="P68" i="56"/>
  <c r="K301" i="57" s="1" a="1"/>
  <c r="K301" i="57" s="1"/>
  <c r="Y204" i="23" a="1"/>
  <c r="Y204" i="23" s="1"/>
  <c r="G25" i="56"/>
  <c r="Y204" i="57" s="1" a="1"/>
  <c r="Y204" i="57" s="1"/>
  <c r="P14" i="56"/>
  <c r="H301" i="57" s="1"/>
  <c r="H301" i="23"/>
  <c r="Y234" i="23" a="1"/>
  <c r="Y234" i="23" s="1"/>
  <c r="G31" i="56"/>
  <c r="Y234" i="57" s="1" a="1"/>
  <c r="Y234" i="57" s="1"/>
  <c r="M11" i="56"/>
  <c r="H100" i="57" s="1"/>
  <c r="H100" i="23"/>
  <c r="P26" i="56"/>
  <c r="I271" i="57" s="1"/>
  <c r="I271" i="23"/>
  <c r="Y291" i="23" a="1"/>
  <c r="Y291" i="23" s="1"/>
  <c r="H30" i="56"/>
  <c r="Y291" i="57" s="1" a="1"/>
  <c r="Y291" i="57" s="1"/>
  <c r="L10" i="56"/>
  <c r="H33" i="57" s="1"/>
  <c r="H33" i="23"/>
  <c r="L34" i="56"/>
  <c r="I63" i="57" s="1"/>
  <c r="I63" i="23"/>
  <c r="J162" i="23" a="1"/>
  <c r="J162" i="23" s="1"/>
  <c r="N47" i="56"/>
  <c r="J162" i="57" s="1" a="1"/>
  <c r="J162" i="57" s="1"/>
  <c r="Y209" i="23" a="1"/>
  <c r="Y209" i="23" s="1"/>
  <c r="G26" i="56"/>
  <c r="Y209" i="57" s="1" a="1"/>
  <c r="Y209" i="57" s="1"/>
  <c r="M33" i="56"/>
  <c r="I120" i="57" s="1"/>
  <c r="I120" i="23"/>
  <c r="J58" i="23" a="1"/>
  <c r="J58" i="23" s="1"/>
  <c r="L51" i="56"/>
  <c r="J58" i="57" s="1" a="1"/>
  <c r="J58" i="57" s="1"/>
  <c r="Z301" i="23" a="1"/>
  <c r="Z301" i="23" s="1"/>
  <c r="H50" i="56"/>
  <c r="Z301" i="57" s="1" a="1"/>
  <c r="Z301" i="57" s="1"/>
  <c r="J110" i="23" a="1"/>
  <c r="J110" i="23" s="1"/>
  <c r="M49" i="56"/>
  <c r="J110" i="57" s="1" a="1"/>
  <c r="J110" i="57" s="1"/>
  <c r="K204" i="23" a="1"/>
  <c r="K204" i="23" s="1"/>
  <c r="O61" i="56"/>
  <c r="K204" i="57" s="1" a="1"/>
  <c r="K204" i="57" s="1"/>
  <c r="P29" i="56"/>
  <c r="I286" i="57" s="1"/>
  <c r="I286" i="23"/>
  <c r="N33" i="56"/>
  <c r="I182" i="57" s="1"/>
  <c r="I182" i="23"/>
  <c r="L15" i="56"/>
  <c r="H58" i="57" s="1"/>
  <c r="H58" i="23"/>
  <c r="J142" i="23" a="1"/>
  <c r="J142" i="23" s="1"/>
  <c r="N43" i="56"/>
  <c r="J142" i="57" s="1" a="1"/>
  <c r="J142" i="57" s="1"/>
  <c r="L6" i="56"/>
  <c r="H13" i="57" s="1"/>
  <c r="H13" i="23"/>
  <c r="J125" i="23" a="1"/>
  <c r="J125" i="23" s="1"/>
  <c r="M52" i="56"/>
  <c r="J125" i="57" s="1" a="1"/>
  <c r="J125" i="57" s="1"/>
  <c r="Z291" i="23" a="1"/>
  <c r="Z291" i="23" s="1"/>
  <c r="H48" i="56"/>
  <c r="Z291" i="57" s="1" a="1"/>
  <c r="Z291" i="57" s="1"/>
  <c r="K137" i="23" a="1"/>
  <c r="K137" i="23" s="1"/>
  <c r="N60" i="56"/>
  <c r="K137" i="57" s="1" a="1"/>
  <c r="K137" i="57" s="1"/>
  <c r="K219" i="23" a="1"/>
  <c r="K219" i="23" s="1"/>
  <c r="O64" i="56"/>
  <c r="K219" i="57" s="1" a="1"/>
  <c r="K219" i="57" s="1"/>
  <c r="Y266" i="23" a="1"/>
  <c r="Y266" i="23" s="1"/>
  <c r="H25" i="56"/>
  <c r="Y266" i="57" s="1" a="1"/>
  <c r="Y266" i="57" s="1"/>
  <c r="J254" i="23" a="1"/>
  <c r="J254" i="23" s="1"/>
  <c r="O55" i="56"/>
  <c r="J254" i="57" s="1" a="1"/>
  <c r="J254" i="57" s="1"/>
  <c r="J120" i="23" a="1"/>
  <c r="J120" i="23" s="1"/>
  <c r="M51" i="56"/>
  <c r="J120" i="57" s="1" a="1"/>
  <c r="J120" i="57" s="1"/>
  <c r="L11" i="56"/>
  <c r="H38" i="57" s="1"/>
  <c r="H38" i="23"/>
  <c r="K276" i="23" a="1"/>
  <c r="K276" i="23" s="1"/>
  <c r="P63" i="56"/>
  <c r="K276" i="57" s="1" a="1"/>
  <c r="K276" i="57" s="1"/>
  <c r="O12" i="56"/>
  <c r="H229" i="57" s="1"/>
  <c r="H229" i="23"/>
  <c r="K162" i="23" a="1"/>
  <c r="K162" i="23" s="1"/>
  <c r="N65" i="56"/>
  <c r="K162" i="57" s="1" a="1"/>
  <c r="K162" i="57" s="1"/>
  <c r="Y239" i="23" a="1"/>
  <c r="Y239" i="23" s="1"/>
  <c r="G32" i="56"/>
  <c r="Y239" i="57" s="1" a="1"/>
  <c r="Y239" i="57" s="1"/>
  <c r="J239" i="23" a="1"/>
  <c r="J239" i="23" s="1"/>
  <c r="O50" i="56"/>
  <c r="J239" i="57" s="1" a="1"/>
  <c r="J239" i="57" s="1"/>
  <c r="K244" i="23" a="1"/>
  <c r="K244" i="23" s="1"/>
  <c r="O69" i="56"/>
  <c r="K244" i="57" s="1" a="1"/>
  <c r="K244" i="57" s="1"/>
  <c r="M14" i="56"/>
  <c r="H115" i="57" s="1"/>
  <c r="H115" i="23"/>
  <c r="J68" i="23" a="1"/>
  <c r="J68" i="23" s="1"/>
  <c r="L55" i="56"/>
  <c r="J68" i="57" s="1" a="1"/>
  <c r="J68" i="57" s="1"/>
  <c r="Y296" i="23" a="1"/>
  <c r="Y296" i="23" s="1"/>
  <c r="H31" i="56"/>
  <c r="Y296" i="57" s="1" a="1"/>
  <c r="Y296" i="57" s="1"/>
  <c r="K15" i="57"/>
  <c r="K16" i="57"/>
  <c r="K17" i="57"/>
  <c r="K14" i="57"/>
  <c r="P6" i="56"/>
  <c r="H261" i="57" s="1"/>
  <c r="H261" i="23"/>
  <c r="K90" i="23" a="1"/>
  <c r="K90" i="23" s="1"/>
  <c r="M63" i="56"/>
  <c r="K90" i="57" s="1" a="1"/>
  <c r="K90" i="57" s="1"/>
  <c r="J204" i="23" a="1"/>
  <c r="J204" i="23" s="1"/>
  <c r="O43" i="56"/>
  <c r="J204" i="57" s="1" a="1"/>
  <c r="J204" i="57" s="1"/>
  <c r="Y214" i="23" a="1"/>
  <c r="Y214" i="23" s="1"/>
  <c r="G27" i="56"/>
  <c r="Y214" i="57" s="1" a="1"/>
  <c r="Y214" i="57" s="1"/>
  <c r="AA254" i="23" a="1"/>
  <c r="AA254" i="23" s="1"/>
  <c r="G73" i="56"/>
  <c r="AA254" i="57" s="1" a="1"/>
  <c r="AA254" i="57" s="1"/>
  <c r="J306" i="23" a="1"/>
  <c r="J306" i="23" s="1"/>
  <c r="P51" i="56"/>
  <c r="J306" i="57" s="1" a="1"/>
  <c r="J306" i="57" s="1"/>
  <c r="K281" i="23" a="1"/>
  <c r="K281" i="23" s="1"/>
  <c r="P64" i="56"/>
  <c r="K281" i="57" s="1" a="1"/>
  <c r="K281" i="57" s="1"/>
  <c r="L13" i="56"/>
  <c r="H48" i="57" s="1"/>
  <c r="H48" i="23"/>
  <c r="K271" i="23" a="1"/>
  <c r="K271" i="23" s="1"/>
  <c r="P62" i="56"/>
  <c r="K271" i="57" s="1" a="1"/>
  <c r="K271" i="57" s="1"/>
  <c r="J316" i="23" a="1"/>
  <c r="J316" i="23" s="1"/>
  <c r="P55" i="56"/>
  <c r="J316" i="57" s="1" a="1"/>
  <c r="J316" i="57" s="1"/>
  <c r="N13" i="56"/>
  <c r="H172" i="57" s="1"/>
  <c r="H172" i="23"/>
  <c r="Y286" i="23" a="1"/>
  <c r="Y286" i="23" s="1"/>
  <c r="H29" i="56"/>
  <c r="Y286" i="57" s="1" a="1"/>
  <c r="Y286" i="57" s="1"/>
  <c r="M28" i="56"/>
  <c r="I95" i="57" s="1"/>
  <c r="I95" i="23"/>
  <c r="O8" i="56"/>
  <c r="H209" i="57" s="1"/>
  <c r="H209" i="23"/>
  <c r="P12" i="56"/>
  <c r="H291" i="57" s="1"/>
  <c r="H291" i="23"/>
  <c r="P9" i="56"/>
  <c r="H276" i="57" s="1"/>
  <c r="H276" i="23"/>
  <c r="J115" i="23" a="1"/>
  <c r="J115" i="23" s="1"/>
  <c r="M50" i="56"/>
  <c r="J115" i="57" s="1" a="1"/>
  <c r="J115" i="57" s="1"/>
  <c r="P27" i="56"/>
  <c r="I276" i="57" s="1"/>
  <c r="I276" i="23"/>
  <c r="Z311" i="23" a="1"/>
  <c r="Z311" i="23" s="1"/>
  <c r="H52" i="56"/>
  <c r="Z311" i="57" s="1" a="1"/>
  <c r="Z311" i="57" s="1"/>
  <c r="J214" i="23" a="1"/>
  <c r="J214" i="23" s="1"/>
  <c r="O45" i="56"/>
  <c r="J214" i="57" s="1" a="1"/>
  <c r="J214" i="57" s="1"/>
  <c r="M31" i="56"/>
  <c r="I110" i="57" s="1"/>
  <c r="I110" i="23"/>
  <c r="J63" i="23" a="1"/>
  <c r="J63" i="23" s="1"/>
  <c r="L52" i="56"/>
  <c r="J63" i="57" s="1" a="1"/>
  <c r="J63" i="57" s="1"/>
  <c r="Y276" i="23" a="1"/>
  <c r="Y276" i="23" s="1"/>
  <c r="H27" i="56"/>
  <c r="Y276" i="57" s="1" a="1"/>
  <c r="Y276" i="57" s="1"/>
  <c r="J152" i="23" a="1"/>
  <c r="J152" i="23" s="1"/>
  <c r="N45" i="56"/>
  <c r="J152" i="57" s="1" a="1"/>
  <c r="J152" i="57" s="1"/>
  <c r="L16" i="56"/>
  <c r="H63" i="57" s="1"/>
  <c r="H63" i="23"/>
  <c r="O34" i="56"/>
  <c r="I249" i="57" s="1"/>
  <c r="I249" i="23"/>
  <c r="J209" i="23" a="1"/>
  <c r="J209" i="23" s="1"/>
  <c r="O44" i="56"/>
  <c r="J209" i="57" s="1" a="1"/>
  <c r="J209" i="57" s="1"/>
  <c r="M30" i="56"/>
  <c r="I105" i="57" s="1"/>
  <c r="I105" i="23"/>
  <c r="L24" i="56"/>
  <c r="I13" i="57" s="1"/>
  <c r="I13" i="23"/>
  <c r="L9" i="56"/>
  <c r="H28" i="57" s="1"/>
  <c r="H28" i="23"/>
  <c r="AA261" i="23" a="1"/>
  <c r="AA261" i="23" s="1"/>
  <c r="H60" i="56"/>
  <c r="AA261" i="57" s="1" a="1"/>
  <c r="AA261" i="57" s="1"/>
  <c r="J53" i="23" a="1"/>
  <c r="J53" i="23" s="1"/>
  <c r="L50" i="56"/>
  <c r="J53" i="57" s="1" a="1"/>
  <c r="J53" i="57" s="1"/>
  <c r="X276" i="23" a="1"/>
  <c r="X276" i="23" s="1"/>
  <c r="H9" i="56"/>
  <c r="X276" i="57" s="1" a="1"/>
  <c r="X276" i="57" s="1"/>
  <c r="J244" i="23" a="1"/>
  <c r="J244" i="23" s="1"/>
  <c r="O51" i="56"/>
  <c r="J244" i="57" s="1" a="1"/>
  <c r="J244" i="57" s="1"/>
  <c r="K172" i="23" a="1"/>
  <c r="K172" i="23" s="1"/>
  <c r="N67" i="56"/>
  <c r="K172" i="57" s="1" a="1"/>
  <c r="K172" i="57" s="1"/>
  <c r="Z204" i="23" a="1"/>
  <c r="Z204" i="23" s="1"/>
  <c r="G43" i="56"/>
  <c r="Z204" i="57" s="1" a="1"/>
  <c r="Z204" i="57" s="1"/>
  <c r="J28" i="23" a="1"/>
  <c r="J28" i="23" s="1"/>
  <c r="L45" i="56"/>
  <c r="J28" i="57" s="1" a="1"/>
  <c r="J28" i="57" s="1"/>
  <c r="K286" i="23" a="1"/>
  <c r="K286" i="23" s="1"/>
  <c r="P65" i="56"/>
  <c r="K286" i="57" s="1" a="1"/>
  <c r="K286" i="57" s="1"/>
  <c r="K142" i="23" a="1"/>
  <c r="K142" i="23" s="1"/>
  <c r="N61" i="56"/>
  <c r="K142" i="57" s="1" a="1"/>
  <c r="K142" i="57" s="1"/>
  <c r="Y229" i="23" a="1"/>
  <c r="Y229" i="23" s="1"/>
  <c r="G30" i="56"/>
  <c r="Y229" i="57" s="1" a="1"/>
  <c r="Y229" i="57" s="1"/>
  <c r="N10" i="56"/>
  <c r="H157" i="57" s="1"/>
  <c r="H157" i="23"/>
  <c r="AA306" i="23" a="1"/>
  <c r="AA306" i="23" s="1"/>
  <c r="H69" i="56"/>
  <c r="AA306" i="57" s="1" a="1"/>
  <c r="AA306" i="57" s="1"/>
  <c r="X229" i="23" a="1"/>
  <c r="X229" i="23" s="1"/>
  <c r="G12" i="56"/>
  <c r="X229" i="57" s="1" a="1"/>
  <c r="X229" i="57" s="1"/>
  <c r="K53" i="23" a="1"/>
  <c r="K53" i="23" s="1"/>
  <c r="L68" i="56"/>
  <c r="K53" i="57" s="1" a="1"/>
  <c r="K53" i="57" s="1"/>
  <c r="AA271" i="23" a="1"/>
  <c r="AA271" i="23" s="1"/>
  <c r="H62" i="56"/>
  <c r="AA271" i="57" s="1" a="1"/>
  <c r="AA271" i="57" s="1"/>
  <c r="N31" i="56"/>
  <c r="I172" i="57" s="1"/>
  <c r="I172" i="23"/>
  <c r="K261" i="23" a="1"/>
  <c r="K261" i="23" s="1"/>
  <c r="P60" i="56"/>
  <c r="K261" i="57" s="1" a="1"/>
  <c r="K261" i="57" s="1"/>
  <c r="P30" i="56"/>
  <c r="I291" i="57" s="1"/>
  <c r="I291" i="23"/>
  <c r="L12" i="56"/>
  <c r="H43" i="57" s="1"/>
  <c r="H43" i="23"/>
  <c r="Z209" i="23" a="1"/>
  <c r="Z209" i="23" s="1"/>
  <c r="G44" i="56"/>
  <c r="Z209" i="57" s="1" a="1"/>
  <c r="Z209" i="57" s="1"/>
  <c r="M32" i="56"/>
  <c r="I115" i="57" s="1"/>
  <c r="I115" i="23"/>
  <c r="J48" i="23" a="1"/>
  <c r="J48" i="23" s="1"/>
  <c r="L49" i="56"/>
  <c r="J48" i="57" s="1" a="1"/>
  <c r="J48" i="57" s="1"/>
  <c r="J90" i="23" a="1"/>
  <c r="J90" i="23" s="1"/>
  <c r="M45" i="56"/>
  <c r="J90" i="57" s="1" a="1"/>
  <c r="J90" i="57" s="1"/>
  <c r="M6" i="56"/>
  <c r="H75" i="57" s="1"/>
  <c r="H75" i="23"/>
  <c r="K43" i="23" a="1"/>
  <c r="K43" i="23" s="1"/>
  <c r="L66" i="56"/>
  <c r="K43" i="57" s="1" a="1"/>
  <c r="K43" i="57" s="1"/>
  <c r="O27" i="56"/>
  <c r="I214" i="57" s="1"/>
  <c r="I214" i="23"/>
  <c r="N11" i="56"/>
  <c r="H162" i="57" s="1"/>
  <c r="H162" i="23"/>
  <c r="O19" i="56"/>
  <c r="H254" i="57" s="1"/>
  <c r="H254" i="23"/>
  <c r="N29" i="56"/>
  <c r="I162" i="57" s="1"/>
  <c r="I162" i="23"/>
  <c r="N14" i="56"/>
  <c r="H177" i="57" s="1"/>
  <c r="H177" i="23"/>
  <c r="K182" i="23" a="1"/>
  <c r="K182" i="23" s="1"/>
  <c r="N69" i="56"/>
  <c r="K182" i="57" s="1" a="1"/>
  <c r="K182" i="57" s="1"/>
  <c r="Z219" i="23" a="1"/>
  <c r="Z219" i="23" s="1"/>
  <c r="G46" i="56"/>
  <c r="Z219" i="57" s="1" a="1"/>
  <c r="Z219" i="57" s="1"/>
  <c r="O6" i="56"/>
  <c r="H199" i="57" s="1"/>
  <c r="H199" i="23"/>
  <c r="M13" i="56"/>
  <c r="H110" i="57" s="1"/>
  <c r="H110" i="23"/>
  <c r="P32" i="56"/>
  <c r="I301" i="57" s="1"/>
  <c r="I301" i="23"/>
  <c r="J23" i="23" a="1"/>
  <c r="J23" i="23" s="1"/>
  <c r="L44" i="56"/>
  <c r="J23" i="57" s="1" a="1"/>
  <c r="J23" i="57" s="1"/>
  <c r="L8" i="56"/>
  <c r="H23" i="57" s="1"/>
  <c r="H23" i="23"/>
  <c r="X254" i="23" a="1"/>
  <c r="X254" i="23" s="1"/>
  <c r="G19" i="56"/>
  <c r="X254" i="57" s="1" a="1"/>
  <c r="X254" i="57" s="1"/>
  <c r="J261" i="23" a="1"/>
  <c r="J261" i="23" s="1"/>
  <c r="P42" i="56"/>
  <c r="J261" i="57" s="1" a="1"/>
  <c r="J261" i="57" s="1"/>
  <c r="O9" i="56"/>
  <c r="H214" i="57" s="1"/>
  <c r="H214" i="23"/>
  <c r="P28" i="56"/>
  <c r="I281" i="57" s="1"/>
  <c r="I281" i="23"/>
  <c r="O33" i="56"/>
  <c r="I244" i="57" s="1"/>
  <c r="I244" i="23"/>
  <c r="AA281" i="23" a="1"/>
  <c r="AA281" i="23" s="1"/>
  <c r="H64" i="56"/>
  <c r="AA281" i="57" s="1" a="1"/>
  <c r="AA281" i="57" s="1"/>
  <c r="J85" i="23" a="1"/>
  <c r="J85" i="23" s="1"/>
  <c r="M44" i="56"/>
  <c r="J85" i="57" s="1" a="1"/>
  <c r="J85" i="57" s="1"/>
  <c r="J286" i="23" a="1"/>
  <c r="J286" i="23" s="1"/>
  <c r="P47" i="56"/>
  <c r="J286" i="57" s="1" a="1"/>
  <c r="J286" i="57" s="1"/>
  <c r="K157" i="23" a="1"/>
  <c r="K157" i="23" s="1"/>
  <c r="N64" i="56"/>
  <c r="K157" i="57" s="1" a="1"/>
  <c r="K157" i="57" s="1"/>
  <c r="N7" i="56"/>
  <c r="H142" i="57" s="1"/>
  <c r="H142" i="23"/>
  <c r="AA229" i="23" a="1"/>
  <c r="AA229" i="23" s="1"/>
  <c r="G66" i="56"/>
  <c r="AA229" i="57" s="1" a="1"/>
  <c r="AA229" i="57" s="1"/>
  <c r="Z316" i="23" a="1"/>
  <c r="Z316" i="23" s="1"/>
  <c r="H55" i="56"/>
  <c r="Z316" i="57" s="1" a="1"/>
  <c r="Z316" i="57" s="1"/>
  <c r="J224" i="23" a="1"/>
  <c r="J224" i="23" s="1"/>
  <c r="O47" i="56"/>
  <c r="J224" i="57" s="1" a="1"/>
  <c r="J224" i="57" s="1"/>
  <c r="K229" i="23" a="1"/>
  <c r="K229" i="23" s="1"/>
  <c r="O66" i="56"/>
  <c r="K229" i="57" s="1" a="1"/>
  <c r="K229" i="57" s="1"/>
  <c r="AA224" i="23" a="1"/>
  <c r="AA224" i="23" s="1"/>
  <c r="G65" i="56"/>
  <c r="AA224" i="57" s="1" a="1"/>
  <c r="AA224" i="57" s="1"/>
  <c r="X249" i="23" a="1"/>
  <c r="X249" i="23" s="1"/>
  <c r="G16" i="56"/>
  <c r="X249" i="57" s="1" a="1"/>
  <c r="X249" i="57" s="1"/>
  <c r="Y281" i="23" a="1"/>
  <c r="Y281" i="23" s="1"/>
  <c r="H28" i="56"/>
  <c r="Y281" i="57" s="1" a="1"/>
  <c r="Y281" i="57" s="1"/>
  <c r="M8" i="56"/>
  <c r="H85" i="57" s="1"/>
  <c r="H85" i="23"/>
  <c r="P16" i="56"/>
  <c r="H311" i="57" s="1"/>
  <c r="H311" i="23"/>
  <c r="M10" i="56"/>
  <c r="H95" i="57" s="1"/>
  <c r="H95" i="23"/>
  <c r="Y311" i="23" a="1"/>
  <c r="Y311" i="23" s="1"/>
  <c r="H34" i="56"/>
  <c r="Y311" i="57" s="1" a="1"/>
  <c r="Y311" i="57" s="1"/>
  <c r="X204" i="23" a="1"/>
  <c r="X204" i="23" s="1"/>
  <c r="G7" i="56"/>
  <c r="X204" i="57" s="1" a="1"/>
  <c r="X204" i="57" s="1"/>
  <c r="J147" i="23" a="1"/>
  <c r="J147" i="23" s="1"/>
  <c r="N44" i="56"/>
  <c r="J147" i="57" s="1" a="1"/>
  <c r="J147" i="57" s="1"/>
  <c r="N32" i="56"/>
  <c r="I177" i="57" s="1"/>
  <c r="I177" i="23"/>
  <c r="Z244" i="23" a="1"/>
  <c r="Z244" i="23" s="1"/>
  <c r="G51" i="56"/>
  <c r="Z244" i="57" s="1" a="1"/>
  <c r="Z244" i="57" s="1"/>
  <c r="O26" i="56"/>
  <c r="I209" i="57" s="1"/>
  <c r="I209" i="23"/>
  <c r="J172" i="23" a="1"/>
  <c r="J172" i="23" s="1"/>
  <c r="N49" i="56"/>
  <c r="J172" i="57" s="1" a="1"/>
  <c r="J172" i="57" s="1"/>
  <c r="K85" i="23" a="1"/>
  <c r="K85" i="23" s="1"/>
  <c r="M62" i="56"/>
  <c r="K85" i="57" s="1" a="1"/>
  <c r="K85" i="57" s="1"/>
  <c r="J199" i="23" a="1"/>
  <c r="J199" i="23" s="1"/>
  <c r="O42" i="56"/>
  <c r="J199" i="57" s="1" a="1"/>
  <c r="J199" i="57" s="1"/>
  <c r="Z306" i="23" a="1"/>
  <c r="Z306" i="23" s="1"/>
  <c r="H51" i="56"/>
  <c r="Z306" i="57" s="1" a="1"/>
  <c r="Z306" i="57" s="1"/>
  <c r="K254" i="23" a="1"/>
  <c r="K254" i="23" s="1"/>
  <c r="O73" i="56"/>
  <c r="K254" i="57" s="1" a="1"/>
  <c r="K254" i="57" s="1"/>
  <c r="N15" i="56"/>
  <c r="H182" i="57" s="1"/>
  <c r="H182" i="23"/>
  <c r="Z266" i="23" a="1"/>
  <c r="Z266" i="23" s="1"/>
  <c r="H43" i="56"/>
  <c r="Z266" i="57" s="1" a="1"/>
  <c r="Z266" i="57" s="1"/>
  <c r="K224" i="23" a="1"/>
  <c r="K224" i="23" s="1"/>
  <c r="O65" i="56"/>
  <c r="K224" i="57" s="1" a="1"/>
  <c r="K224" i="57" s="1"/>
  <c r="L29" i="56"/>
  <c r="I38" i="57" s="1"/>
  <c r="I38" i="23"/>
  <c r="N26" i="56"/>
  <c r="I147" i="57" s="1"/>
  <c r="I147" i="23"/>
  <c r="K177" i="23" a="1"/>
  <c r="K177" i="23" s="1"/>
  <c r="N68" i="56"/>
  <c r="K177" i="57" s="1" a="1"/>
  <c r="K177" i="57" s="1"/>
  <c r="K33" i="23" a="1"/>
  <c r="K33" i="23" s="1"/>
  <c r="L64" i="56"/>
  <c r="K33" i="57" s="1" a="1"/>
  <c r="K33" i="57" s="1"/>
  <c r="K115" i="23" a="1"/>
  <c r="K115" i="23" s="1"/>
  <c r="M68" i="56"/>
  <c r="K115" i="57" s="1" a="1"/>
  <c r="K115" i="57" s="1"/>
  <c r="P37" i="56"/>
  <c r="I316" i="57" s="1"/>
  <c r="I316" i="23"/>
  <c r="AA214" i="23" a="1"/>
  <c r="AA214" i="23" s="1"/>
  <c r="G63" i="56"/>
  <c r="AA214" i="57" s="1" a="1"/>
  <c r="AA214" i="57" s="1"/>
  <c r="M24" i="56"/>
  <c r="I75" i="57" s="1"/>
  <c r="I75" i="23"/>
  <c r="Z296" i="23" a="1"/>
  <c r="Z296" i="23" s="1"/>
  <c r="H49" i="56"/>
  <c r="Z296" i="57" s="1" a="1"/>
  <c r="Z296" i="57" s="1"/>
  <c r="K214" i="23" a="1"/>
  <c r="K214" i="23" s="1"/>
  <c r="O63" i="56"/>
  <c r="K214" i="57" s="1" a="1"/>
  <c r="K214" i="57" s="1"/>
  <c r="Z254" i="23" a="1"/>
  <c r="Z254" i="23" s="1"/>
  <c r="G55" i="56"/>
  <c r="Z254" i="57" s="1" a="1"/>
  <c r="Z254" i="57" s="1"/>
  <c r="K311" i="23" a="1"/>
  <c r="K311" i="23" s="1"/>
  <c r="P70" i="56"/>
  <c r="K311" i="57" s="1" a="1"/>
  <c r="K311" i="57" s="1"/>
  <c r="J167" i="23" a="1"/>
  <c r="J167" i="23" s="1"/>
  <c r="N48" i="56"/>
  <c r="J167" i="57" s="1" a="1"/>
  <c r="J167" i="57" s="1"/>
  <c r="X286" i="23" a="1"/>
  <c r="X286" i="23" s="1"/>
  <c r="H11" i="56"/>
  <c r="X286" i="57" s="1" a="1"/>
  <c r="X286" i="57" s="1"/>
  <c r="K48" i="23" a="1"/>
  <c r="K48" i="23" s="1"/>
  <c r="L67" i="56"/>
  <c r="K48" i="57" s="1" a="1"/>
  <c r="K48" i="57" s="1"/>
  <c r="L28" i="56"/>
  <c r="I33" i="57" s="1"/>
  <c r="I33" i="23"/>
  <c r="O16" i="56"/>
  <c r="H249" i="57" s="1"/>
  <c r="H249" i="23"/>
  <c r="K187" i="23" a="1"/>
  <c r="K187" i="23" s="1"/>
  <c r="N70" i="56"/>
  <c r="K187" i="57" s="1" a="1"/>
  <c r="K187" i="57" s="1"/>
  <c r="K306" i="23" a="1"/>
  <c r="K306" i="23" s="1"/>
  <c r="P69" i="56"/>
  <c r="K306" i="57" s="1" a="1"/>
  <c r="K306" i="57" s="1"/>
  <c r="J157" i="23" a="1"/>
  <c r="J157" i="23" s="1"/>
  <c r="N46" i="56"/>
  <c r="J157" i="57" s="1" a="1"/>
  <c r="J157" i="57" s="1"/>
  <c r="J271" i="23" a="1"/>
  <c r="J271" i="23" s="1"/>
  <c r="P44" i="56"/>
  <c r="J271" i="57" s="1" a="1"/>
  <c r="J271" i="57" s="1"/>
  <c r="O7" i="56"/>
  <c r="H204" i="57" s="1"/>
  <c r="H204" i="23"/>
  <c r="O25" i="56"/>
  <c r="I204" i="57" s="1"/>
  <c r="I204" i="23"/>
  <c r="N16" i="56"/>
  <c r="H187" i="57" s="1"/>
  <c r="H187" i="23"/>
  <c r="Y306" i="23" a="1"/>
  <c r="Y306" i="23" s="1"/>
  <c r="H33" i="56"/>
  <c r="Y306" i="57" s="1" a="1"/>
  <c r="Y306" i="57" s="1"/>
  <c r="L37" i="56"/>
  <c r="I68" i="57" s="1"/>
  <c r="I68" i="23"/>
  <c r="X261" i="23" a="1"/>
  <c r="X261" i="23" s="1"/>
  <c r="H6" i="56"/>
  <c r="X261" i="57" s="1" a="1"/>
  <c r="X261" i="57" s="1"/>
  <c r="P10" i="56"/>
  <c r="H281" i="57" s="1"/>
  <c r="H281" i="23"/>
  <c r="M19" i="56"/>
  <c r="H130" i="57" s="1"/>
  <c r="H130" i="23"/>
  <c r="Z286" i="23" a="1"/>
  <c r="Z286" i="23" s="1"/>
  <c r="H47" i="56"/>
  <c r="Z286" i="57" s="1" a="1"/>
  <c r="Z286" i="57" s="1"/>
  <c r="J95" i="23" a="1"/>
  <c r="J95" i="23" s="1"/>
  <c r="M46" i="56"/>
  <c r="J95" i="57" s="1" a="1"/>
  <c r="J95" i="57" s="1"/>
  <c r="Y301" i="23" a="1"/>
  <c r="Y301" i="23" s="1"/>
  <c r="H32" i="56"/>
  <c r="Y301" i="57" s="1" a="1"/>
  <c r="Y301" i="57" s="1"/>
  <c r="Z224" i="23" a="1"/>
  <c r="Z224" i="23" s="1"/>
  <c r="G47" i="56"/>
  <c r="Z224" i="57" s="1" a="1"/>
  <c r="Z224" i="57" s="1"/>
  <c r="AA266" i="23" a="1"/>
  <c r="AA266" i="23" s="1"/>
  <c r="H61" i="56"/>
  <c r="AA266" i="57" s="1" a="1"/>
  <c r="AA266" i="57" s="1"/>
  <c r="L19" i="56"/>
  <c r="H68" i="57" s="1"/>
  <c r="H68" i="23"/>
  <c r="J249" i="23" a="1"/>
  <c r="J249" i="23" s="1"/>
  <c r="O52" i="56"/>
  <c r="J249" i="57" s="1" a="1"/>
  <c r="J249" i="57" s="1"/>
  <c r="O11" i="56"/>
  <c r="H224" i="57" s="1"/>
  <c r="H224" i="23"/>
  <c r="K239" i="23" a="1"/>
  <c r="K239" i="23" s="1"/>
  <c r="O68" i="56"/>
  <c r="K239" i="57" s="1" a="1"/>
  <c r="K239" i="57" s="1"/>
  <c r="AA234" i="23" a="1"/>
  <c r="AA234" i="23" s="1"/>
  <c r="G67" i="56"/>
  <c r="AA234" i="57" s="1" a="1"/>
  <c r="AA234" i="57" s="1"/>
  <c r="Y254" i="23" a="1"/>
  <c r="Y254" i="23" s="1"/>
  <c r="G37" i="56"/>
  <c r="Y254" i="57" s="1" a="1"/>
  <c r="Y254" i="57" s="1"/>
  <c r="J130" i="23" a="1"/>
  <c r="J130" i="23" s="1"/>
  <c r="M55" i="56"/>
  <c r="J130" i="57" s="1" a="1"/>
  <c r="J130" i="57" s="1"/>
  <c r="Y249" i="23" a="1"/>
  <c r="Y249" i="23" s="1"/>
  <c r="G34" i="56"/>
  <c r="Y249" i="57" s="1" a="1"/>
  <c r="Y249" i="57" s="1"/>
  <c r="Z276" i="23" a="1"/>
  <c r="Z276" i="23" s="1"/>
  <c r="H45" i="56"/>
  <c r="Z276" i="57" s="1" a="1"/>
  <c r="Z276" i="57" s="1"/>
  <c r="K152" i="23" a="1"/>
  <c r="K152" i="23" s="1"/>
  <c r="N63" i="56"/>
  <c r="K152" i="57" s="1" a="1"/>
  <c r="K152" i="57" s="1"/>
  <c r="K234" i="23" a="1"/>
  <c r="K234" i="23" s="1"/>
  <c r="O67" i="56"/>
  <c r="K234" i="57" s="1" a="1"/>
  <c r="K234" i="57" s="1"/>
  <c r="X271" i="23" a="1"/>
  <c r="X271" i="23" s="1"/>
  <c r="H8" i="56"/>
  <c r="X271" i="57" s="1" a="1"/>
  <c r="X271" i="57" s="1"/>
  <c r="X224" i="23" a="1"/>
  <c r="X224" i="23" s="1"/>
  <c r="G11" i="56"/>
  <c r="X224" i="57" s="1" a="1"/>
  <c r="X224" i="57" s="1"/>
  <c r="AA301" i="23" a="1"/>
  <c r="AA301" i="23" s="1"/>
  <c r="H68" i="56"/>
  <c r="AA301" i="57" s="1" a="1"/>
  <c r="AA301" i="57" s="1"/>
  <c r="J105" i="23" a="1"/>
  <c r="J105" i="23" s="1"/>
  <c r="M48" i="56"/>
  <c r="J105" i="57" s="1" a="1"/>
  <c r="J105" i="57" s="1"/>
  <c r="K291" i="23" a="1"/>
  <c r="K291" i="23" s="1"/>
  <c r="P66" i="56"/>
  <c r="K291" i="57" s="1" a="1"/>
  <c r="K291" i="57" s="1"/>
  <c r="X311" i="23" a="1"/>
  <c r="X311" i="23" s="1"/>
  <c r="H16" i="56"/>
  <c r="X311" i="57" s="1" a="1"/>
  <c r="X311" i="57" s="1"/>
  <c r="K147" i="23" a="1"/>
  <c r="K147" i="23" s="1"/>
  <c r="N62" i="56"/>
  <c r="K147" i="57" s="1" a="1"/>
  <c r="K147" i="57" s="1"/>
  <c r="Y224" i="23" a="1"/>
  <c r="Y224" i="23" s="1"/>
  <c r="G29" i="56"/>
  <c r="Y224" i="57" s="1" a="1"/>
  <c r="Y224" i="57" s="1"/>
  <c r="M15" i="56"/>
  <c r="H120" i="57" s="1"/>
  <c r="H120" i="23"/>
  <c r="L7" i="56"/>
  <c r="H18" i="57" s="1"/>
  <c r="H18" i="23"/>
  <c r="K316" i="23" a="1"/>
  <c r="K316" i="23" s="1"/>
  <c r="P73" i="56"/>
  <c r="K316" i="57" s="1" a="1"/>
  <c r="K316" i="57" s="1"/>
  <c r="J296" i="23" a="1"/>
  <c r="J296" i="23" s="1"/>
  <c r="P49" i="56"/>
  <c r="J296" i="57" s="1" a="1"/>
  <c r="J296" i="57" s="1"/>
  <c r="Y219" i="23" a="1"/>
  <c r="Y219" i="23" s="1"/>
  <c r="G28" i="56"/>
  <c r="Y219" i="57" s="1" a="1"/>
  <c r="Y219" i="57" s="1"/>
  <c r="AA249" i="23" a="1"/>
  <c r="AA249" i="23" s="1"/>
  <c r="G70" i="56"/>
  <c r="AA249" i="57" s="1" a="1"/>
  <c r="AA249" i="57" s="1"/>
  <c r="L27" i="56"/>
  <c r="I28" i="57" s="1"/>
  <c r="I28" i="23"/>
  <c r="K58" i="23" a="1"/>
  <c r="K58" i="23" s="1"/>
  <c r="L69" i="56"/>
  <c r="K58" i="57" s="1" a="1"/>
  <c r="K58" i="57" s="1"/>
  <c r="K130" i="23" a="1"/>
  <c r="K130" i="23" s="1"/>
  <c r="M73" i="56"/>
  <c r="K130" i="57" s="1" a="1"/>
  <c r="K130" i="57" s="1"/>
  <c r="J276" i="23" a="1"/>
  <c r="J276" i="23" s="1"/>
  <c r="P45" i="56"/>
  <c r="J276" i="57" s="1" a="1"/>
  <c r="J276" i="57" s="1"/>
  <c r="N6" i="56"/>
  <c r="H137" i="57" s="1"/>
  <c r="H137" i="23"/>
  <c r="K266" i="23" a="1"/>
  <c r="K266" i="23" s="1"/>
  <c r="P61" i="56"/>
  <c r="K266" i="57" s="1" a="1"/>
  <c r="K266" i="57" s="1"/>
  <c r="N8" i="56"/>
  <c r="H147" i="57" s="1"/>
  <c r="H147" i="23"/>
  <c r="Z249" i="23" a="1"/>
  <c r="Z249" i="23" s="1"/>
  <c r="G52" i="56"/>
  <c r="Z249" i="57" s="1" a="1"/>
  <c r="Z249" i="57" s="1"/>
  <c r="J266" i="23" a="1"/>
  <c r="J266" i="23" s="1"/>
  <c r="P43" i="56"/>
  <c r="J266" i="57" s="1" a="1"/>
  <c r="J266" i="57" s="1"/>
  <c r="X316" i="23" a="1"/>
  <c r="X316" i="23" s="1"/>
  <c r="H19" i="56"/>
  <c r="X316" i="57" s="1" a="1"/>
  <c r="X316" i="57" s="1"/>
  <c r="Y271" i="23" a="1"/>
  <c r="Y271" i="23" s="1"/>
  <c r="H26" i="56"/>
  <c r="Y271" i="57" s="1" a="1"/>
  <c r="Y271" i="57" s="1"/>
  <c r="M25" i="56"/>
  <c r="I80" i="57" s="1"/>
  <c r="I80" i="23"/>
  <c r="N37" i="56"/>
  <c r="I192" i="57" s="1"/>
  <c r="I192" i="23"/>
  <c r="Z261" i="23" a="1"/>
  <c r="Z261" i="23" s="1"/>
  <c r="H42" i="56"/>
  <c r="Z261" i="57" s="1" a="1"/>
  <c r="Z261" i="57" s="1"/>
  <c r="X214" i="23" a="1"/>
  <c r="X214" i="23" s="1"/>
  <c r="G9" i="56"/>
  <c r="X214" i="57" s="1" a="1"/>
  <c r="X214" i="57" s="1"/>
  <c r="N25" i="56"/>
  <c r="I142" i="57" s="1"/>
  <c r="I142" i="23"/>
  <c r="P11" i="56"/>
  <c r="H286" i="57" s="1"/>
  <c r="H286" i="23"/>
  <c r="N12" i="56"/>
  <c r="H167" i="57" s="1"/>
  <c r="H167" i="23"/>
  <c r="Z214" i="23" a="1"/>
  <c r="Z214" i="23" s="1"/>
  <c r="G45" i="56"/>
  <c r="Z214" i="57" s="1" a="1"/>
  <c r="Z214" i="57" s="1"/>
  <c r="Z229" i="23" a="1"/>
  <c r="Z229" i="23" s="1"/>
  <c r="G48" i="56"/>
  <c r="Z229" i="57" s="1" a="1"/>
  <c r="Z229" i="57" s="1"/>
  <c r="J229" i="23" a="1"/>
  <c r="J229" i="23" s="1"/>
  <c r="O48" i="56"/>
  <c r="J229" i="57" s="1" a="1"/>
  <c r="J229" i="57" s="1"/>
  <c r="M34" i="56"/>
  <c r="I125" i="57" s="1"/>
  <c r="I125" i="23"/>
  <c r="J33" i="23" a="1"/>
  <c r="J33" i="23" s="1"/>
  <c r="L46" i="56"/>
  <c r="J33" i="57" s="1" a="1"/>
  <c r="J33" i="57" s="1"/>
  <c r="Y261" i="23" a="1"/>
  <c r="Y261" i="23" s="1"/>
  <c r="H24" i="56"/>
  <c r="Y261" i="57" s="1" a="1"/>
  <c r="Y261" i="57" s="1"/>
  <c r="J182" i="23" a="1"/>
  <c r="J182" i="23" s="1"/>
  <c r="N51" i="56"/>
  <c r="J182" i="57" s="1" a="1"/>
  <c r="J182" i="57" s="1"/>
  <c r="O37" i="56"/>
  <c r="I254" i="57" s="1"/>
  <c r="I254" i="23"/>
  <c r="X239" i="23" a="1"/>
  <c r="X239" i="23" s="1"/>
  <c r="G14" i="56"/>
  <c r="X239" i="57" s="1" a="1"/>
  <c r="X239" i="57" s="1"/>
  <c r="J311" i="23" a="1"/>
  <c r="J311" i="23" s="1"/>
  <c r="P52" i="56"/>
  <c r="J311" i="57" s="1" a="1"/>
  <c r="J311" i="57" s="1"/>
  <c r="M27" i="56"/>
  <c r="I90" i="57" s="1"/>
  <c r="I90" i="23"/>
  <c r="Z271" i="23" a="1"/>
  <c r="Z271" i="23" s="1"/>
  <c r="H44" i="56"/>
  <c r="Z271" i="57" s="1" a="1"/>
  <c r="Z271" i="57" s="1"/>
  <c r="AA276" i="23" a="1"/>
  <c r="AA276" i="23" s="1"/>
  <c r="H63" i="56"/>
  <c r="AA276" i="57" s="1" a="1"/>
  <c r="AA276" i="57" s="1"/>
  <c r="J80" i="23" a="1"/>
  <c r="J80" i="23" s="1"/>
  <c r="M43" i="56"/>
  <c r="J80" i="57" s="1" a="1"/>
  <c r="J80" i="57" s="1"/>
  <c r="P24" i="56"/>
  <c r="I261" i="57" s="1"/>
  <c r="I261" i="23"/>
  <c r="M9" i="56"/>
  <c r="H90" i="57" s="1"/>
  <c r="H90" i="23"/>
  <c r="L32" i="56"/>
  <c r="I53" i="57" s="1"/>
  <c r="I53" i="23"/>
  <c r="P8" i="56"/>
  <c r="H271" i="57" s="1"/>
  <c r="H271" i="23"/>
  <c r="X296" i="23" a="1"/>
  <c r="X296" i="23" s="1"/>
  <c r="H13" i="56"/>
  <c r="X296" i="57" s="1" a="1"/>
  <c r="X296" i="57" s="1"/>
  <c r="N28" i="56"/>
  <c r="I157" i="57" s="1"/>
  <c r="I157" i="23"/>
  <c r="M37" i="56"/>
  <c r="I130" i="57" s="1"/>
  <c r="I130" i="23"/>
  <c r="AA291" i="23" a="1"/>
  <c r="AA291" i="23" s="1"/>
  <c r="H66" i="56"/>
  <c r="AA291" i="57" s="1" a="1"/>
  <c r="AA291" i="57" s="1"/>
  <c r="L31" i="56"/>
  <c r="I48" i="57" s="1"/>
  <c r="I48" i="23"/>
  <c r="K68" i="23" a="1"/>
  <c r="K68" i="23" s="1"/>
  <c r="L73" i="56"/>
  <c r="K68" i="57" s="1" a="1"/>
  <c r="K68" i="57" s="1"/>
  <c r="Z281" i="23" a="1"/>
  <c r="Z281" i="23" s="1"/>
  <c r="H46" i="56"/>
  <c r="Z281" i="57" s="1" a="1"/>
  <c r="Z281" i="57" s="1"/>
  <c r="P7" i="56"/>
  <c r="H266" i="57" s="1"/>
  <c r="H266" i="23"/>
  <c r="K38" i="23" a="1"/>
  <c r="K38" i="23" s="1"/>
  <c r="L65" i="56"/>
  <c r="K38" i="57" s="1" a="1"/>
  <c r="K38" i="57" s="1"/>
  <c r="K120" i="23" a="1"/>
  <c r="K120" i="23" s="1"/>
  <c r="M69" i="56"/>
  <c r="K120" i="57" s="1" a="1"/>
  <c r="K120" i="57" s="1"/>
  <c r="AA204" i="23" a="1"/>
  <c r="AA204" i="23" s="1"/>
  <c r="G61" i="56"/>
  <c r="AA204" i="57" s="1" a="1"/>
  <c r="AA204" i="57" s="1"/>
  <c r="AA286" i="23" a="1"/>
  <c r="AA286" i="23" s="1"/>
  <c r="H65" i="56"/>
  <c r="AA286" i="57" s="1" a="1"/>
  <c r="AA286" i="57" s="1"/>
  <c r="N34" i="56"/>
  <c r="I187" i="57" s="1"/>
  <c r="I187" i="23"/>
  <c r="P33" i="56"/>
  <c r="I306" i="57" s="1"/>
  <c r="I306" i="23"/>
  <c r="L30" i="56"/>
  <c r="I43" i="57" s="1"/>
  <c r="I43" i="23"/>
  <c r="Z239" i="23" a="1"/>
  <c r="Z239" i="23" s="1"/>
  <c r="G50" i="56"/>
  <c r="Z239" i="57" s="1" a="1"/>
  <c r="Z239" i="57" s="1"/>
  <c r="X209" i="23" a="1"/>
  <c r="X209" i="23" s="1"/>
  <c r="G8" i="56"/>
  <c r="X209" i="57" s="1" a="1"/>
  <c r="X209" i="57" s="1"/>
  <c r="AA239" i="23" a="1"/>
  <c r="AA239" i="23" s="1"/>
  <c r="G68" i="56"/>
  <c r="AA239" i="57" s="1" a="1"/>
  <c r="AA239" i="57" s="1"/>
  <c r="M29" i="56"/>
  <c r="I100" i="57" s="1"/>
  <c r="I100" i="23"/>
  <c r="J20" i="57"/>
  <c r="J19" i="57"/>
  <c r="J22" i="57"/>
  <c r="J21" i="57"/>
  <c r="X219" i="23" a="1"/>
  <c r="X219" i="23" s="1"/>
  <c r="G10" i="56"/>
  <c r="X219" i="57" s="1" a="1"/>
  <c r="X219" i="57" s="1"/>
  <c r="J234" i="23" a="1"/>
  <c r="J234" i="23" s="1"/>
  <c r="O49" i="56"/>
  <c r="J234" i="57" s="1" a="1"/>
  <c r="J234" i="57" s="1"/>
  <c r="L33" i="56"/>
  <c r="I58" i="57" s="1"/>
  <c r="I58" i="23"/>
  <c r="J177" i="23" a="1"/>
  <c r="J177" i="23" s="1"/>
  <c r="N50" i="56"/>
  <c r="J177" i="57" s="1" a="1"/>
  <c r="J177" i="57" s="1"/>
  <c r="Z199" i="23" a="1"/>
  <c r="Z199" i="23" s="1"/>
  <c r="G42" i="56"/>
  <c r="Z199" i="57" s="1" a="1"/>
  <c r="Z199" i="57" s="1"/>
  <c r="AA219" i="23" a="1"/>
  <c r="AA219" i="23" s="1"/>
  <c r="G64" i="56"/>
  <c r="AA219" i="57" s="1" a="1"/>
  <c r="AA219" i="57" s="1"/>
  <c r="K28" i="23" a="1"/>
  <c r="K28" i="23" s="1"/>
  <c r="L63" i="56"/>
  <c r="K28" i="57" s="1" a="1"/>
  <c r="K28" i="57" s="1"/>
  <c r="O24" i="56"/>
  <c r="I199" i="57" s="1"/>
  <c r="I199" i="23"/>
  <c r="O13" i="56"/>
  <c r="H234" i="57" s="1"/>
  <c r="H234" i="23"/>
  <c r="L25" i="56"/>
  <c r="I18" i="57" s="1"/>
  <c r="I18" i="23"/>
  <c r="K167" i="23" a="1"/>
  <c r="K167" i="23" s="1"/>
  <c r="N66" i="56"/>
  <c r="K167" i="57" s="1" a="1"/>
  <c r="K167" i="57" s="1"/>
  <c r="M7" i="56"/>
  <c r="H80" i="57" s="1"/>
  <c r="H80" i="23"/>
  <c r="P31" i="56"/>
  <c r="I296" i="57" s="1"/>
  <c r="I296" i="23"/>
  <c r="L14" i="56"/>
  <c r="H53" i="57" s="1"/>
  <c r="H53" i="23"/>
  <c r="X199" i="23" a="1"/>
  <c r="X199" i="23" s="1"/>
  <c r="G6" i="56"/>
  <c r="X199" i="57" s="1" a="1"/>
  <c r="X199" i="57" s="1"/>
  <c r="O15" i="56"/>
  <c r="H244" i="57" s="1"/>
  <c r="H244" i="23"/>
  <c r="O30" i="56"/>
  <c r="I229" i="57" s="1"/>
  <c r="I229" i="23"/>
  <c r="AA296" i="23" a="1"/>
  <c r="AA296" i="23" s="1"/>
  <c r="H67" i="56"/>
  <c r="AA296" i="57" s="1" a="1"/>
  <c r="AA296" i="57" s="1"/>
  <c r="J100" i="23" a="1"/>
  <c r="J100" i="23" s="1"/>
  <c r="M47" i="56"/>
  <c r="J100" i="57" s="1" a="1"/>
  <c r="J100" i="57" s="1"/>
  <c r="H195" i="23"/>
  <c r="L195" i="23" s="1"/>
  <c r="H193" i="23"/>
  <c r="L193" i="23" s="1"/>
  <c r="H196" i="23"/>
  <c r="L196" i="23" s="1"/>
  <c r="H194" i="23"/>
  <c r="L194" i="23" s="1"/>
  <c r="L192" i="23"/>
  <c r="I237" i="23"/>
  <c r="M237" i="23" s="1"/>
  <c r="I235" i="23"/>
  <c r="M235" i="23" s="1"/>
  <c r="I238" i="23"/>
  <c r="M238" i="23" s="1"/>
  <c r="I236" i="23"/>
  <c r="M236" i="23" s="1"/>
  <c r="M234" i="23"/>
  <c r="Y57" i="23"/>
  <c r="Y55" i="23"/>
  <c r="AC53" i="23"/>
  <c r="Y56" i="23"/>
  <c r="Y54" i="23"/>
  <c r="AC54" i="23" s="1"/>
  <c r="AG54" i="23" s="1"/>
  <c r="X294" i="23"/>
  <c r="AB294" i="23" s="1"/>
  <c r="X292" i="23"/>
  <c r="AB292" i="23" s="1"/>
  <c r="AF292" i="23" s="1"/>
  <c r="X295" i="23"/>
  <c r="AB295" i="23" s="1"/>
  <c r="AF295" i="23" s="1"/>
  <c r="X293" i="23"/>
  <c r="AB293" i="23" s="1"/>
  <c r="AB291" i="23"/>
  <c r="AA319" i="23"/>
  <c r="AE319" i="23" s="1"/>
  <c r="AA317" i="23"/>
  <c r="AE317" i="23" s="1"/>
  <c r="AI317" i="23" s="1"/>
  <c r="AA320" i="23"/>
  <c r="AE320" i="23" s="1"/>
  <c r="AA318" i="23"/>
  <c r="AE318" i="23" s="1"/>
  <c r="AE316" i="23"/>
  <c r="J47" i="23"/>
  <c r="J45" i="23"/>
  <c r="J46" i="23"/>
  <c r="J44" i="23"/>
  <c r="AC63" i="23"/>
  <c r="Y66" i="23"/>
  <c r="Y64" i="23"/>
  <c r="AC64" i="23" s="1"/>
  <c r="AG64" i="23" s="1"/>
  <c r="Y67" i="23"/>
  <c r="Y65" i="23"/>
  <c r="J242" i="23"/>
  <c r="J240" i="23"/>
  <c r="J243" i="23"/>
  <c r="J241" i="23"/>
  <c r="K247" i="23"/>
  <c r="K245" i="23"/>
  <c r="K248" i="23"/>
  <c r="K246" i="23"/>
  <c r="H118" i="23"/>
  <c r="L118" i="23" s="1"/>
  <c r="H116" i="23"/>
  <c r="L116" i="23" s="1"/>
  <c r="H119" i="23"/>
  <c r="L119" i="23" s="1"/>
  <c r="H117" i="23"/>
  <c r="L117" i="23" s="1"/>
  <c r="L115" i="23"/>
  <c r="J72" i="23"/>
  <c r="J70" i="23"/>
  <c r="J71" i="23"/>
  <c r="J69" i="23"/>
  <c r="K78" i="23"/>
  <c r="K76" i="23"/>
  <c r="K79" i="23"/>
  <c r="K77" i="23"/>
  <c r="Y299" i="23"/>
  <c r="AC299" i="23" s="1"/>
  <c r="Y297" i="23"/>
  <c r="AC297" i="23" s="1"/>
  <c r="AG297" i="23" s="1"/>
  <c r="Y300" i="23"/>
  <c r="AC300" i="23" s="1"/>
  <c r="AG300" i="23" s="1"/>
  <c r="Y298" i="23"/>
  <c r="AC298" i="23" s="1"/>
  <c r="AC296" i="23"/>
  <c r="H128" i="23"/>
  <c r="L128" i="23" s="1"/>
  <c r="H126" i="23"/>
  <c r="L126" i="23" s="1"/>
  <c r="H129" i="23"/>
  <c r="L129" i="23" s="1"/>
  <c r="H127" i="23"/>
  <c r="L127" i="23" s="1"/>
  <c r="L125" i="23"/>
  <c r="Z140" i="23"/>
  <c r="AD140" i="23" s="1"/>
  <c r="Z138" i="23"/>
  <c r="AD138" i="23" s="1"/>
  <c r="AH138" i="23" s="1"/>
  <c r="Z141" i="23"/>
  <c r="AD141" i="23" s="1"/>
  <c r="Z139" i="23"/>
  <c r="AD139" i="23" s="1"/>
  <c r="AD137" i="23"/>
  <c r="K98" i="23"/>
  <c r="K96" i="23"/>
  <c r="K99" i="23"/>
  <c r="K97" i="23"/>
  <c r="AB48" i="23"/>
  <c r="X51" i="23"/>
  <c r="X49" i="23"/>
  <c r="AB49" i="23" s="1"/>
  <c r="AF49" i="23" s="1"/>
  <c r="X52" i="23"/>
  <c r="X50" i="23"/>
  <c r="Z103" i="23"/>
  <c r="AD103" i="23" s="1"/>
  <c r="Z101" i="23"/>
  <c r="AD101" i="23" s="1"/>
  <c r="AH101" i="23" s="1"/>
  <c r="Z104" i="23"/>
  <c r="AD104" i="23" s="1"/>
  <c r="AH104" i="23" s="1"/>
  <c r="Z102" i="23"/>
  <c r="AD102" i="23" s="1"/>
  <c r="AD100" i="23"/>
  <c r="H264" i="23"/>
  <c r="L264" i="23" s="1"/>
  <c r="H262" i="23"/>
  <c r="L262" i="23" s="1"/>
  <c r="H265" i="23"/>
  <c r="L265" i="23" s="1"/>
  <c r="H263" i="23"/>
  <c r="L263" i="23" s="1"/>
  <c r="L261" i="23"/>
  <c r="K108" i="23"/>
  <c r="K106" i="23"/>
  <c r="K109" i="23"/>
  <c r="K107" i="23"/>
  <c r="K93" i="23"/>
  <c r="K91" i="23"/>
  <c r="K94" i="23"/>
  <c r="K92" i="23"/>
  <c r="J222" i="23"/>
  <c r="J220" i="23"/>
  <c r="J223" i="23"/>
  <c r="J221" i="23"/>
  <c r="J207" i="23"/>
  <c r="J205" i="23"/>
  <c r="J208" i="23"/>
  <c r="J206" i="23"/>
  <c r="AA88" i="23"/>
  <c r="AE88" i="23" s="1"/>
  <c r="AA86" i="23"/>
  <c r="AE86" i="23" s="1"/>
  <c r="AI86" i="23" s="1"/>
  <c r="AA89" i="23"/>
  <c r="AE89" i="23" s="1"/>
  <c r="AA87" i="23"/>
  <c r="AE87" i="23" s="1"/>
  <c r="AE85" i="23"/>
  <c r="AA170" i="23"/>
  <c r="AE170" i="23" s="1"/>
  <c r="AA168" i="23"/>
  <c r="AE168" i="23" s="1"/>
  <c r="AI168" i="23" s="1"/>
  <c r="AA171" i="23"/>
  <c r="AE171" i="23" s="1"/>
  <c r="AA169" i="23"/>
  <c r="AE169" i="23" s="1"/>
  <c r="AI169" i="23" s="1"/>
  <c r="AE167" i="23"/>
  <c r="AA155" i="23"/>
  <c r="AE155" i="23" s="1"/>
  <c r="AA153" i="23"/>
  <c r="AE153" i="23" s="1"/>
  <c r="AI153" i="23" s="1"/>
  <c r="AA156" i="23"/>
  <c r="AE156" i="23" s="1"/>
  <c r="AA154" i="23"/>
  <c r="AE154" i="23" s="1"/>
  <c r="AE152" i="23"/>
  <c r="Y217" i="23"/>
  <c r="AC217" i="23" s="1"/>
  <c r="Y215" i="23"/>
  <c r="AC215" i="23" s="1"/>
  <c r="AG215" i="23" s="1"/>
  <c r="Y218" i="23"/>
  <c r="AC218" i="23" s="1"/>
  <c r="Y216" i="23"/>
  <c r="AC216" i="23" s="1"/>
  <c r="AC214" i="23"/>
  <c r="AD68" i="23"/>
  <c r="Z71" i="23"/>
  <c r="Z69" i="23"/>
  <c r="Z72" i="23"/>
  <c r="Z70" i="23"/>
  <c r="Y222" i="23"/>
  <c r="AC222" i="23" s="1"/>
  <c r="Y220" i="23"/>
  <c r="AC220" i="23" s="1"/>
  <c r="AG220" i="23" s="1"/>
  <c r="Y223" i="23"/>
  <c r="AC223" i="23" s="1"/>
  <c r="Y221" i="23"/>
  <c r="AC221" i="23" s="1"/>
  <c r="AG221" i="23" s="1"/>
  <c r="AC219" i="23"/>
  <c r="AA257" i="23"/>
  <c r="AE257" i="23" s="1"/>
  <c r="AA255" i="23"/>
  <c r="AE255" i="23" s="1"/>
  <c r="AI255" i="23" s="1"/>
  <c r="AA258" i="23"/>
  <c r="AE258" i="23" s="1"/>
  <c r="AI258" i="23" s="1"/>
  <c r="AA256" i="23"/>
  <c r="AE256" i="23" s="1"/>
  <c r="AE254" i="23"/>
  <c r="K61" i="23"/>
  <c r="K59" i="23"/>
  <c r="K62" i="23"/>
  <c r="K60" i="23"/>
  <c r="K133" i="23"/>
  <c r="K131" i="23"/>
  <c r="K134" i="23"/>
  <c r="K132" i="23"/>
  <c r="J279" i="23"/>
  <c r="J277" i="23"/>
  <c r="J280" i="23"/>
  <c r="J278" i="23"/>
  <c r="AA123" i="23"/>
  <c r="AE123" i="23" s="1"/>
  <c r="AA121" i="23"/>
  <c r="AE121" i="23" s="1"/>
  <c r="AI121" i="23" s="1"/>
  <c r="AA124" i="23"/>
  <c r="AE124" i="23" s="1"/>
  <c r="AA122" i="23"/>
  <c r="AE122" i="23" s="1"/>
  <c r="AE120" i="23"/>
  <c r="K284" i="23"/>
  <c r="K282" i="23"/>
  <c r="K285" i="23"/>
  <c r="K283" i="23"/>
  <c r="Y150" i="23"/>
  <c r="AC150" i="23" s="1"/>
  <c r="Y148" i="23"/>
  <c r="AC148" i="23" s="1"/>
  <c r="AG148" i="23" s="1"/>
  <c r="Y151" i="23"/>
  <c r="AC151" i="23" s="1"/>
  <c r="Y149" i="23"/>
  <c r="AC149" i="23" s="1"/>
  <c r="AC147" i="23"/>
  <c r="H51" i="23"/>
  <c r="H49" i="23"/>
  <c r="L49" i="23" s="1"/>
  <c r="L48" i="23"/>
  <c r="H52" i="23"/>
  <c r="H50" i="23"/>
  <c r="X237" i="23"/>
  <c r="AB237" i="23" s="1"/>
  <c r="X235" i="23"/>
  <c r="AB235" i="23" s="1"/>
  <c r="AF235" i="23" s="1"/>
  <c r="X238" i="23"/>
  <c r="AB238" i="23" s="1"/>
  <c r="X236" i="23"/>
  <c r="AB236" i="23" s="1"/>
  <c r="AB234" i="23"/>
  <c r="I140" i="23"/>
  <c r="M140" i="23" s="1"/>
  <c r="N140" i="23" s="1"/>
  <c r="O140" i="23" s="1"/>
  <c r="P140" i="23" s="1"/>
  <c r="Q140" i="23" s="1"/>
  <c r="R140" i="23" s="1"/>
  <c r="S140" i="23" s="1"/>
  <c r="T140" i="23" s="1"/>
  <c r="U140" i="23" s="1"/>
  <c r="V140" i="23" s="1"/>
  <c r="I138" i="23"/>
  <c r="M138" i="23" s="1"/>
  <c r="N138" i="23" s="1"/>
  <c r="O138" i="23" s="1"/>
  <c r="P138" i="23" s="1"/>
  <c r="Q138" i="23" s="1"/>
  <c r="R138" i="23" s="1"/>
  <c r="S138" i="23" s="1"/>
  <c r="T138" i="23" s="1"/>
  <c r="U138" i="23" s="1"/>
  <c r="V138" i="23" s="1"/>
  <c r="I141" i="23"/>
  <c r="M141" i="23" s="1"/>
  <c r="N141" i="23" s="1"/>
  <c r="O141" i="23" s="1"/>
  <c r="P141" i="23" s="1"/>
  <c r="Q141" i="23" s="1"/>
  <c r="R141" i="23" s="1"/>
  <c r="S141" i="23" s="1"/>
  <c r="T141" i="23" s="1"/>
  <c r="U141" i="23" s="1"/>
  <c r="V141" i="23" s="1"/>
  <c r="I139" i="23"/>
  <c r="M139" i="23" s="1"/>
  <c r="N139" i="23" s="1"/>
  <c r="O139" i="23" s="1"/>
  <c r="P139" i="23" s="1"/>
  <c r="Q139" i="23" s="1"/>
  <c r="R139" i="23" s="1"/>
  <c r="S139" i="23" s="1"/>
  <c r="T139" i="23" s="1"/>
  <c r="U139" i="23" s="1"/>
  <c r="V139" i="23" s="1"/>
  <c r="M137" i="23"/>
  <c r="N137" i="23" s="1"/>
  <c r="O137" i="23" s="1"/>
  <c r="P137" i="23" s="1"/>
  <c r="Q137" i="23" s="1"/>
  <c r="R137" i="23" s="1"/>
  <c r="S137" i="23" s="1"/>
  <c r="T137" i="23" s="1"/>
  <c r="U137" i="23" s="1"/>
  <c r="V137" i="23" s="1"/>
  <c r="I222" i="23"/>
  <c r="M222" i="23" s="1"/>
  <c r="I220" i="23"/>
  <c r="M220" i="23" s="1"/>
  <c r="I223" i="23"/>
  <c r="M223" i="23" s="1"/>
  <c r="I221" i="23"/>
  <c r="M221" i="23" s="1"/>
  <c r="M219" i="23"/>
  <c r="Z133" i="23"/>
  <c r="AD133" i="23" s="1"/>
  <c r="Z131" i="23"/>
  <c r="AD131" i="23" s="1"/>
  <c r="AH131" i="23" s="1"/>
  <c r="Z134" i="23"/>
  <c r="AD134" i="23" s="1"/>
  <c r="Z132" i="23"/>
  <c r="AD132" i="23" s="1"/>
  <c r="AD130" i="23"/>
  <c r="K160" i="23"/>
  <c r="K158" i="23"/>
  <c r="K161" i="23"/>
  <c r="K159" i="23"/>
  <c r="I242" i="23"/>
  <c r="M242" i="23" s="1"/>
  <c r="I240" i="23"/>
  <c r="M240" i="23" s="1"/>
  <c r="I243" i="23"/>
  <c r="M243" i="23" s="1"/>
  <c r="I241" i="23"/>
  <c r="M241" i="23" s="1"/>
  <c r="M239" i="23"/>
  <c r="Y113" i="23"/>
  <c r="AC113" i="23" s="1"/>
  <c r="Y111" i="23"/>
  <c r="AC111" i="23" s="1"/>
  <c r="AG111" i="23" s="1"/>
  <c r="Y114" i="23"/>
  <c r="AC114" i="23" s="1"/>
  <c r="Y112" i="23"/>
  <c r="AC112" i="23" s="1"/>
  <c r="AC110" i="23"/>
  <c r="H242" i="23"/>
  <c r="L242" i="23" s="1"/>
  <c r="H240" i="23"/>
  <c r="L240" i="23" s="1"/>
  <c r="H243" i="23"/>
  <c r="L243" i="23" s="1"/>
  <c r="H241" i="23"/>
  <c r="L241" i="23" s="1"/>
  <c r="L239" i="23"/>
  <c r="H145" i="23"/>
  <c r="L145" i="23" s="1"/>
  <c r="H143" i="23"/>
  <c r="L143" i="23" s="1"/>
  <c r="H146" i="23"/>
  <c r="L146" i="23" s="1"/>
  <c r="H144" i="23"/>
  <c r="L144" i="23" s="1"/>
  <c r="L142" i="23"/>
  <c r="Y202" i="23"/>
  <c r="AC202" i="23" s="1"/>
  <c r="Y200" i="23"/>
  <c r="AC200" i="23" s="1"/>
  <c r="AG200" i="23" s="1"/>
  <c r="Y203" i="23"/>
  <c r="AC203" i="23" s="1"/>
  <c r="AG203" i="23" s="1"/>
  <c r="Y201" i="23"/>
  <c r="AC201" i="23" s="1"/>
  <c r="AC199" i="23"/>
  <c r="AA232" i="23"/>
  <c r="AE232" i="23" s="1"/>
  <c r="AA233" i="23"/>
  <c r="AE233" i="23" s="1"/>
  <c r="AA230" i="23"/>
  <c r="AE230" i="23" s="1"/>
  <c r="AI230" i="23" s="1"/>
  <c r="AA231" i="23"/>
  <c r="AE231" i="23" s="1"/>
  <c r="AE229" i="23"/>
  <c r="AI229" i="23" s="1"/>
  <c r="AA314" i="23"/>
  <c r="AE314" i="23" s="1"/>
  <c r="AA312" i="23"/>
  <c r="AE312" i="23" s="1"/>
  <c r="AI312" i="23" s="1"/>
  <c r="AA315" i="23"/>
  <c r="AE315" i="23" s="1"/>
  <c r="AA313" i="23"/>
  <c r="AE313" i="23" s="1"/>
  <c r="AE311" i="23"/>
  <c r="Z319" i="23"/>
  <c r="AD319" i="23" s="1"/>
  <c r="Z317" i="23"/>
  <c r="AD317" i="23" s="1"/>
  <c r="AH317" i="23" s="1"/>
  <c r="Z320" i="23"/>
  <c r="AD320" i="23" s="1"/>
  <c r="Z318" i="23"/>
  <c r="AD318" i="23" s="1"/>
  <c r="AH318" i="23" s="1"/>
  <c r="AD316" i="23"/>
  <c r="Z185" i="23"/>
  <c r="AD185" i="23" s="1"/>
  <c r="Z183" i="23"/>
  <c r="AD183" i="23" s="1"/>
  <c r="AH183" i="23" s="1"/>
  <c r="Z186" i="23"/>
  <c r="AD186" i="23" s="1"/>
  <c r="Z184" i="23"/>
  <c r="AD184" i="23" s="1"/>
  <c r="AD182" i="23"/>
  <c r="Y72" i="23"/>
  <c r="Y70" i="23"/>
  <c r="AC68" i="23"/>
  <c r="Y71" i="23"/>
  <c r="Y69" i="23"/>
  <c r="K113" i="23"/>
  <c r="K111" i="23"/>
  <c r="K114" i="23"/>
  <c r="K112" i="23"/>
  <c r="J227" i="23"/>
  <c r="J225" i="23"/>
  <c r="J228" i="23"/>
  <c r="J226" i="23"/>
  <c r="X284" i="23"/>
  <c r="AB284" i="23" s="1"/>
  <c r="X282" i="23"/>
  <c r="AB282" i="23" s="1"/>
  <c r="AF282" i="23" s="1"/>
  <c r="X285" i="23"/>
  <c r="AB285" i="23" s="1"/>
  <c r="X283" i="23"/>
  <c r="AB283" i="23" s="1"/>
  <c r="AB281" i="23"/>
  <c r="K232" i="23"/>
  <c r="K230" i="23"/>
  <c r="K233" i="23"/>
  <c r="K231" i="23"/>
  <c r="AD38" i="23"/>
  <c r="Z41" i="23"/>
  <c r="Z39" i="23"/>
  <c r="AD39" i="23" s="1"/>
  <c r="AH39" i="23" s="1"/>
  <c r="Z42" i="23"/>
  <c r="Z40" i="23"/>
  <c r="AA227" i="23"/>
  <c r="AE227" i="23" s="1"/>
  <c r="AA225" i="23"/>
  <c r="AE225" i="23" s="1"/>
  <c r="AI225" i="23" s="1"/>
  <c r="AA228" i="23"/>
  <c r="AE228" i="23" s="1"/>
  <c r="AA226" i="23"/>
  <c r="AE226" i="23" s="1"/>
  <c r="AE224" i="23"/>
  <c r="X252" i="23"/>
  <c r="AB252" i="23" s="1"/>
  <c r="X250" i="23"/>
  <c r="AB250" i="23" s="1"/>
  <c r="AF250" i="23" s="1"/>
  <c r="X253" i="23"/>
  <c r="AB253" i="23" s="1"/>
  <c r="X251" i="23"/>
  <c r="AB251" i="23" s="1"/>
  <c r="AB249" i="23"/>
  <c r="X309" i="23"/>
  <c r="AB309" i="23" s="1"/>
  <c r="X307" i="23"/>
  <c r="AB307" i="23" s="1"/>
  <c r="AF307" i="23" s="1"/>
  <c r="X310" i="23"/>
  <c r="AB310" i="23" s="1"/>
  <c r="X308" i="23"/>
  <c r="AB308" i="23" s="1"/>
  <c r="AB306" i="23"/>
  <c r="J78" i="23"/>
  <c r="J76" i="23"/>
  <c r="J79" i="23"/>
  <c r="J77" i="23"/>
  <c r="Y284" i="23"/>
  <c r="AC284" i="23" s="1"/>
  <c r="Y282" i="23"/>
  <c r="AC282" i="23" s="1"/>
  <c r="AG282" i="23" s="1"/>
  <c r="Y285" i="23"/>
  <c r="AC285" i="23" s="1"/>
  <c r="Y283" i="23"/>
  <c r="AC283" i="23" s="1"/>
  <c r="AG283" i="23" s="1"/>
  <c r="AC281" i="23"/>
  <c r="Z98" i="23"/>
  <c r="AD98" i="23" s="1"/>
  <c r="Z96" i="23"/>
  <c r="AD96" i="23" s="1"/>
  <c r="AH96" i="23" s="1"/>
  <c r="Z99" i="23"/>
  <c r="AD99" i="23" s="1"/>
  <c r="Z97" i="23"/>
  <c r="AD97" i="23" s="1"/>
  <c r="AD95" i="23"/>
  <c r="Z155" i="23"/>
  <c r="AD155" i="23" s="1"/>
  <c r="Z153" i="23"/>
  <c r="AD153" i="23" s="1"/>
  <c r="AH153" i="23" s="1"/>
  <c r="Z156" i="23"/>
  <c r="AD156" i="23" s="1"/>
  <c r="Z154" i="23"/>
  <c r="AD154" i="23" s="1"/>
  <c r="AD152" i="23"/>
  <c r="X269" i="23"/>
  <c r="AB269" i="23" s="1"/>
  <c r="X267" i="23"/>
  <c r="AB267" i="23" s="1"/>
  <c r="AF267" i="23" s="1"/>
  <c r="X270" i="23"/>
  <c r="AB270" i="23" s="1"/>
  <c r="X268" i="23"/>
  <c r="AB268" i="23" s="1"/>
  <c r="AB266" i="23"/>
  <c r="K83" i="23"/>
  <c r="K81" i="23"/>
  <c r="K84" i="23"/>
  <c r="K82" i="23"/>
  <c r="X155" i="23"/>
  <c r="AB155" i="23" s="1"/>
  <c r="X153" i="23"/>
  <c r="AB153" i="23" s="1"/>
  <c r="AF153" i="23" s="1"/>
  <c r="X156" i="23"/>
  <c r="AB156" i="23" s="1"/>
  <c r="X154" i="23"/>
  <c r="AB154" i="23" s="1"/>
  <c r="AF154" i="23" s="1"/>
  <c r="AB152" i="23"/>
  <c r="J195" i="23"/>
  <c r="J193" i="23"/>
  <c r="J196" i="23"/>
  <c r="J194" i="23"/>
  <c r="H88" i="23"/>
  <c r="L88" i="23" s="1"/>
  <c r="H86" i="23"/>
  <c r="L86" i="23" s="1"/>
  <c r="H89" i="23"/>
  <c r="L89" i="23" s="1"/>
  <c r="H87" i="23"/>
  <c r="L87" i="23" s="1"/>
  <c r="L85" i="23"/>
  <c r="H299" i="23"/>
  <c r="L299" i="23" s="1"/>
  <c r="H297" i="23"/>
  <c r="L297" i="23" s="1"/>
  <c r="H300" i="23"/>
  <c r="L300" i="23" s="1"/>
  <c r="H298" i="23"/>
  <c r="L298" i="23" s="1"/>
  <c r="L296" i="23"/>
  <c r="AB23" i="23"/>
  <c r="X26" i="23"/>
  <c r="X24" i="23"/>
  <c r="X27" i="23"/>
  <c r="X25" i="23"/>
  <c r="H222" i="23"/>
  <c r="L222" i="23" s="1"/>
  <c r="H220" i="23"/>
  <c r="L220" i="23" s="1"/>
  <c r="H223" i="23"/>
  <c r="L223" i="23" s="1"/>
  <c r="H221" i="23"/>
  <c r="L221" i="23" s="1"/>
  <c r="L219" i="23"/>
  <c r="H314" i="23"/>
  <c r="L314" i="23" s="1"/>
  <c r="H312" i="23"/>
  <c r="L312" i="23" s="1"/>
  <c r="H315" i="23"/>
  <c r="L315" i="23" s="1"/>
  <c r="H313" i="23"/>
  <c r="L313" i="23" s="1"/>
  <c r="L311" i="23"/>
  <c r="H98" i="23"/>
  <c r="L98" i="23" s="1"/>
  <c r="H96" i="23"/>
  <c r="L96" i="23" s="1"/>
  <c r="H99" i="23"/>
  <c r="L99" i="23" s="1"/>
  <c r="H97" i="23"/>
  <c r="L97" i="23" s="1"/>
  <c r="L95" i="23"/>
  <c r="AA133" i="23"/>
  <c r="AE133" i="23" s="1"/>
  <c r="AA131" i="23"/>
  <c r="AE131" i="23" s="1"/>
  <c r="AI131" i="23" s="1"/>
  <c r="AA134" i="23"/>
  <c r="AE134" i="23" s="1"/>
  <c r="AA132" i="23"/>
  <c r="AE132" i="23" s="1"/>
  <c r="AE130" i="23"/>
  <c r="Y319" i="23"/>
  <c r="AC319" i="23" s="1"/>
  <c r="Y317" i="23"/>
  <c r="AC317" i="23" s="1"/>
  <c r="AG317" i="23" s="1"/>
  <c r="Y320" i="23"/>
  <c r="AC320" i="23" s="1"/>
  <c r="Y318" i="23"/>
  <c r="AC318" i="23" s="1"/>
  <c r="AC316" i="23"/>
  <c r="Y314" i="23"/>
  <c r="AC314" i="23" s="1"/>
  <c r="Y312" i="23"/>
  <c r="AC312" i="23" s="1"/>
  <c r="AG312" i="23" s="1"/>
  <c r="Y315" i="23"/>
  <c r="AC315" i="23" s="1"/>
  <c r="AG315" i="23" s="1"/>
  <c r="Y313" i="23"/>
  <c r="AC313" i="23" s="1"/>
  <c r="AC311" i="23"/>
  <c r="X207" i="23"/>
  <c r="AB207" i="23" s="1"/>
  <c r="X205" i="23"/>
  <c r="AB205" i="23" s="1"/>
  <c r="AF205" i="23" s="1"/>
  <c r="X208" i="23"/>
  <c r="AB208" i="23" s="1"/>
  <c r="X206" i="23"/>
  <c r="AB206" i="23" s="1"/>
  <c r="AB204" i="23"/>
  <c r="AF204" i="23" s="1"/>
  <c r="I27" i="23"/>
  <c r="I25" i="23"/>
  <c r="I26" i="23"/>
  <c r="I24" i="23"/>
  <c r="M23" i="23"/>
  <c r="N23" i="23" s="1"/>
  <c r="O23" i="23" s="1"/>
  <c r="P23" i="23" s="1"/>
  <c r="Q23" i="23" s="1"/>
  <c r="R23" i="23" s="1"/>
  <c r="S23" i="23" s="1"/>
  <c r="T23" i="23" s="1"/>
  <c r="U23" i="23" s="1"/>
  <c r="V23" i="23" s="1"/>
  <c r="Y170" i="23"/>
  <c r="AC170" i="23" s="1"/>
  <c r="Y168" i="23"/>
  <c r="AC168" i="23" s="1"/>
  <c r="AG168" i="23" s="1"/>
  <c r="Y171" i="23"/>
  <c r="AC171" i="23" s="1"/>
  <c r="Y169" i="23"/>
  <c r="AC169" i="23" s="1"/>
  <c r="AG169" i="23" s="1"/>
  <c r="AC167" i="23"/>
  <c r="Y155" i="23"/>
  <c r="AC155" i="23" s="1"/>
  <c r="Y153" i="23"/>
  <c r="AC153" i="23" s="1"/>
  <c r="AG153" i="23" s="1"/>
  <c r="Y156" i="23"/>
  <c r="AC156" i="23" s="1"/>
  <c r="AG156" i="23" s="1"/>
  <c r="Y154" i="23"/>
  <c r="AC154" i="23" s="1"/>
  <c r="AC152" i="23"/>
  <c r="J150" i="23"/>
  <c r="J148" i="23"/>
  <c r="J151" i="23"/>
  <c r="J149" i="23"/>
  <c r="I180" i="23"/>
  <c r="M180" i="23" s="1"/>
  <c r="I178" i="23"/>
  <c r="M178" i="23" s="1"/>
  <c r="I181" i="23"/>
  <c r="M181" i="23" s="1"/>
  <c r="I179" i="23"/>
  <c r="M179" i="23" s="1"/>
  <c r="M177" i="23"/>
  <c r="AD23" i="23"/>
  <c r="Z26" i="23"/>
  <c r="Z24" i="23"/>
  <c r="Z27" i="23"/>
  <c r="Z25" i="23"/>
  <c r="Z247" i="23"/>
  <c r="AD247" i="23" s="1"/>
  <c r="Z245" i="23"/>
  <c r="AD245" i="23" s="1"/>
  <c r="AH245" i="23" s="1"/>
  <c r="Z248" i="23"/>
  <c r="AD248" i="23" s="1"/>
  <c r="Z246" i="23"/>
  <c r="AD246" i="23" s="1"/>
  <c r="AH246" i="23" s="1"/>
  <c r="AD244" i="23"/>
  <c r="I227" i="23"/>
  <c r="M227" i="23" s="1"/>
  <c r="I225" i="23"/>
  <c r="M225" i="23" s="1"/>
  <c r="I228" i="23"/>
  <c r="M228" i="23" s="1"/>
  <c r="I226" i="23"/>
  <c r="M226" i="23" s="1"/>
  <c r="M224" i="23"/>
  <c r="I212" i="23"/>
  <c r="M212" i="23" s="1"/>
  <c r="I210" i="23"/>
  <c r="M210" i="23" s="1"/>
  <c r="I213" i="23"/>
  <c r="M213" i="23" s="1"/>
  <c r="I211" i="23"/>
  <c r="M211" i="23" s="1"/>
  <c r="M209" i="23"/>
  <c r="X108" i="23"/>
  <c r="AB108" i="23" s="1"/>
  <c r="X106" i="23"/>
  <c r="AB106" i="23" s="1"/>
  <c r="AF106" i="23" s="1"/>
  <c r="X109" i="23"/>
  <c r="AB109" i="23" s="1"/>
  <c r="X107" i="23"/>
  <c r="AB107" i="23" s="1"/>
  <c r="AB105" i="23"/>
  <c r="X128" i="23"/>
  <c r="AB128" i="23" s="1"/>
  <c r="X126" i="23"/>
  <c r="AB126" i="23" s="1"/>
  <c r="AF126" i="23" s="1"/>
  <c r="X129" i="23"/>
  <c r="AB129" i="23" s="1"/>
  <c r="X127" i="23"/>
  <c r="AB127" i="23" s="1"/>
  <c r="AF127" i="23" s="1"/>
  <c r="AB125" i="23"/>
  <c r="Z145" i="23"/>
  <c r="AD145" i="23" s="1"/>
  <c r="Z143" i="23"/>
  <c r="AD143" i="23" s="1"/>
  <c r="AH143" i="23" s="1"/>
  <c r="Z146" i="23"/>
  <c r="AD146" i="23" s="1"/>
  <c r="AH146" i="23" s="1"/>
  <c r="Z144" i="23"/>
  <c r="AD144" i="23" s="1"/>
  <c r="AD142" i="23"/>
  <c r="J175" i="23"/>
  <c r="J173" i="23"/>
  <c r="J176" i="23"/>
  <c r="J174" i="23"/>
  <c r="Y42" i="23"/>
  <c r="Y40" i="23"/>
  <c r="AC38" i="23"/>
  <c r="Y41" i="23"/>
  <c r="Y39" i="23"/>
  <c r="AC39" i="23" s="1"/>
  <c r="AG39" i="23" s="1"/>
  <c r="Y27" i="23"/>
  <c r="Y25" i="23"/>
  <c r="AC23" i="23"/>
  <c r="Y26" i="23"/>
  <c r="Y24" i="23"/>
  <c r="H108" i="23"/>
  <c r="L108" i="23" s="1"/>
  <c r="H106" i="23"/>
  <c r="L106" i="23" s="1"/>
  <c r="H109" i="23"/>
  <c r="L109" i="23" s="1"/>
  <c r="H107" i="23"/>
  <c r="L107" i="23" s="1"/>
  <c r="L105" i="23"/>
  <c r="K88" i="23"/>
  <c r="K86" i="23"/>
  <c r="K89" i="23"/>
  <c r="K87" i="23"/>
  <c r="J202" i="23"/>
  <c r="J200" i="23"/>
  <c r="J203" i="23"/>
  <c r="J201" i="23"/>
  <c r="J294" i="23"/>
  <c r="J292" i="23"/>
  <c r="J295" i="23"/>
  <c r="J293" i="23"/>
  <c r="X78" i="23"/>
  <c r="AB78" i="23" s="1"/>
  <c r="X76" i="23"/>
  <c r="AB76" i="23" s="1"/>
  <c r="AF76" i="23" s="1"/>
  <c r="X79" i="23"/>
  <c r="AB79" i="23" s="1"/>
  <c r="AF79" i="23" s="1"/>
  <c r="X77" i="23"/>
  <c r="AB77" i="23" s="1"/>
  <c r="AB75" i="23"/>
  <c r="Z309" i="23"/>
  <c r="AD309" i="23" s="1"/>
  <c r="Z307" i="23"/>
  <c r="AD307" i="23" s="1"/>
  <c r="AH307" i="23" s="1"/>
  <c r="Z310" i="23"/>
  <c r="AD310" i="23" s="1"/>
  <c r="Z308" i="23"/>
  <c r="AD308" i="23" s="1"/>
  <c r="AD306" i="23"/>
  <c r="Y195" i="23"/>
  <c r="AC195" i="23" s="1"/>
  <c r="Y193" i="23"/>
  <c r="AC193" i="23" s="1"/>
  <c r="AG193" i="23" s="1"/>
  <c r="Y196" i="23"/>
  <c r="AC196" i="23" s="1"/>
  <c r="Y194" i="23"/>
  <c r="AC194" i="23" s="1"/>
  <c r="AC192" i="23"/>
  <c r="AB43" i="23"/>
  <c r="X46" i="23"/>
  <c r="X44" i="23"/>
  <c r="AB44" i="23" s="1"/>
  <c r="AF44" i="23" s="1"/>
  <c r="X47" i="23"/>
  <c r="X45" i="23"/>
  <c r="K257" i="23"/>
  <c r="K255" i="23"/>
  <c r="K258" i="23"/>
  <c r="K256" i="23"/>
  <c r="K252" i="23"/>
  <c r="K250" i="23"/>
  <c r="K253" i="23"/>
  <c r="K251" i="23"/>
  <c r="Z62" i="23"/>
  <c r="Z60" i="23"/>
  <c r="AD58" i="23"/>
  <c r="Z61" i="23"/>
  <c r="Z59" i="23"/>
  <c r="AD59" i="23" s="1"/>
  <c r="AH59" i="23" s="1"/>
  <c r="H185" i="23"/>
  <c r="L185" i="23" s="1"/>
  <c r="H183" i="23"/>
  <c r="L183" i="23" s="1"/>
  <c r="H186" i="23"/>
  <c r="L186" i="23" s="1"/>
  <c r="H184" i="23"/>
  <c r="L184" i="23" s="1"/>
  <c r="L182" i="23"/>
  <c r="I170" i="23"/>
  <c r="M170" i="23" s="1"/>
  <c r="I168" i="23"/>
  <c r="M168" i="23" s="1"/>
  <c r="I171" i="23"/>
  <c r="M171" i="23" s="1"/>
  <c r="I169" i="23"/>
  <c r="M169" i="23" s="1"/>
  <c r="M167" i="23"/>
  <c r="Z269" i="23"/>
  <c r="AD269" i="23" s="1"/>
  <c r="Z267" i="23"/>
  <c r="AD267" i="23" s="1"/>
  <c r="AH267" i="23" s="1"/>
  <c r="Z270" i="23"/>
  <c r="AD270" i="23" s="1"/>
  <c r="Z268" i="23"/>
  <c r="AD268" i="23" s="1"/>
  <c r="AD266" i="23"/>
  <c r="Y180" i="23"/>
  <c r="AC180" i="23" s="1"/>
  <c r="Y178" i="23"/>
  <c r="AC178" i="23" s="1"/>
  <c r="AG178" i="23" s="1"/>
  <c r="Y181" i="23"/>
  <c r="AC181" i="23" s="1"/>
  <c r="Y179" i="23"/>
  <c r="AC179" i="23" s="1"/>
  <c r="AC177" i="23"/>
  <c r="Y165" i="23"/>
  <c r="AC165" i="23" s="1"/>
  <c r="Y163" i="23"/>
  <c r="AC163" i="23" s="1"/>
  <c r="AG163" i="23" s="1"/>
  <c r="Y166" i="23"/>
  <c r="AC166" i="23" s="1"/>
  <c r="Y164" i="23"/>
  <c r="AC164" i="23" s="1"/>
  <c r="AC162" i="23"/>
  <c r="I155" i="23"/>
  <c r="M155" i="23" s="1"/>
  <c r="I153" i="23"/>
  <c r="M153" i="23" s="1"/>
  <c r="I156" i="23"/>
  <c r="M156" i="23" s="1"/>
  <c r="I154" i="23"/>
  <c r="M154" i="23" s="1"/>
  <c r="M152" i="23"/>
  <c r="K227" i="23"/>
  <c r="K225" i="23"/>
  <c r="K228" i="23"/>
  <c r="K226" i="23"/>
  <c r="K212" i="23"/>
  <c r="K210" i="23"/>
  <c r="K213" i="23"/>
  <c r="K211" i="23"/>
  <c r="Z37" i="23"/>
  <c r="Z35" i="23"/>
  <c r="AD33" i="23"/>
  <c r="Z36" i="23"/>
  <c r="Z34" i="23"/>
  <c r="AD34" i="23" s="1"/>
  <c r="AH34" i="23" s="1"/>
  <c r="J284" i="23"/>
  <c r="J282" i="23"/>
  <c r="J285" i="23"/>
  <c r="J283" i="23"/>
  <c r="I41" i="23"/>
  <c r="I39" i="23"/>
  <c r="M39" i="23" s="1"/>
  <c r="I42" i="23"/>
  <c r="I40" i="23"/>
  <c r="M38" i="23"/>
  <c r="AA195" i="23"/>
  <c r="AE195" i="23" s="1"/>
  <c r="AA193" i="23"/>
  <c r="AE193" i="23" s="1"/>
  <c r="AI193" i="23" s="1"/>
  <c r="AA196" i="23"/>
  <c r="AE196" i="23" s="1"/>
  <c r="AA194" i="23"/>
  <c r="AE194" i="23" s="1"/>
  <c r="AE192" i="23"/>
  <c r="I150" i="23"/>
  <c r="M150" i="23" s="1"/>
  <c r="I148" i="23"/>
  <c r="M148" i="23" s="1"/>
  <c r="I151" i="23"/>
  <c r="M151" i="23" s="1"/>
  <c r="I149" i="23"/>
  <c r="M149" i="23" s="1"/>
  <c r="M147" i="23"/>
  <c r="K180" i="23"/>
  <c r="K178" i="23"/>
  <c r="K181" i="23"/>
  <c r="K179" i="23"/>
  <c r="H309" i="23"/>
  <c r="L309" i="23" s="1"/>
  <c r="H307" i="23"/>
  <c r="L307" i="23" s="1"/>
  <c r="H310" i="23"/>
  <c r="L310" i="23" s="1"/>
  <c r="H308" i="23"/>
  <c r="L308" i="23" s="1"/>
  <c r="L306" i="23"/>
  <c r="K37" i="23"/>
  <c r="K35" i="23"/>
  <c r="K36" i="23"/>
  <c r="K34" i="23"/>
  <c r="K118" i="23"/>
  <c r="K116" i="23"/>
  <c r="K119" i="23"/>
  <c r="K117" i="23"/>
  <c r="K103" i="23"/>
  <c r="K101" i="23"/>
  <c r="K104" i="23"/>
  <c r="K102" i="23"/>
  <c r="I318" i="23"/>
  <c r="M318" i="23" s="1"/>
  <c r="I317" i="23"/>
  <c r="M317" i="23" s="1"/>
  <c r="I320" i="23"/>
  <c r="M320" i="23" s="1"/>
  <c r="I319" i="23"/>
  <c r="M319" i="23" s="1"/>
  <c r="M316" i="23"/>
  <c r="I314" i="23"/>
  <c r="M314" i="23" s="1"/>
  <c r="I312" i="23"/>
  <c r="M312" i="23" s="1"/>
  <c r="I315" i="23"/>
  <c r="M315" i="23" s="1"/>
  <c r="I313" i="23"/>
  <c r="M313" i="23" s="1"/>
  <c r="M311" i="23"/>
  <c r="X170" i="23"/>
  <c r="AB170" i="23" s="1"/>
  <c r="X168" i="23"/>
  <c r="AB168" i="23" s="1"/>
  <c r="AF168" i="23" s="1"/>
  <c r="X171" i="23"/>
  <c r="AB171" i="23" s="1"/>
  <c r="X169" i="23"/>
  <c r="AB169" i="23" s="1"/>
  <c r="AB167" i="23"/>
  <c r="AA98" i="23"/>
  <c r="AE98" i="23" s="1"/>
  <c r="AA96" i="23"/>
  <c r="AE96" i="23" s="1"/>
  <c r="AI96" i="23" s="1"/>
  <c r="AA99" i="23"/>
  <c r="AE99" i="23" s="1"/>
  <c r="AA97" i="23"/>
  <c r="AE97" i="23" s="1"/>
  <c r="AI97" i="23" s="1"/>
  <c r="AE95" i="23"/>
  <c r="AA83" i="23"/>
  <c r="AE83" i="23" s="1"/>
  <c r="AA81" i="23"/>
  <c r="AE81" i="23" s="1"/>
  <c r="AI81" i="23" s="1"/>
  <c r="AA84" i="23"/>
  <c r="AE84" i="23" s="1"/>
  <c r="AI84" i="23" s="1"/>
  <c r="AA82" i="23"/>
  <c r="AE82" i="23" s="1"/>
  <c r="AE80" i="23"/>
  <c r="X37" i="23"/>
  <c r="X35" i="23"/>
  <c r="AB33" i="23"/>
  <c r="X36" i="23"/>
  <c r="X34" i="23"/>
  <c r="AB34" i="23" s="1"/>
  <c r="AF34" i="23" s="1"/>
  <c r="Y128" i="23"/>
  <c r="AC128" i="23" s="1"/>
  <c r="Y126" i="23"/>
  <c r="AC126" i="23" s="1"/>
  <c r="AG126" i="23" s="1"/>
  <c r="Y129" i="23"/>
  <c r="AC129" i="23" s="1"/>
  <c r="Y127" i="23"/>
  <c r="AC127" i="23" s="1"/>
  <c r="AC125" i="23"/>
  <c r="AA217" i="23"/>
  <c r="AE217" i="23" s="1"/>
  <c r="AA215" i="23"/>
  <c r="AE215" i="23" s="1"/>
  <c r="AI215" i="23" s="1"/>
  <c r="AA218" i="23"/>
  <c r="AE218" i="23" s="1"/>
  <c r="AA216" i="23"/>
  <c r="AE216" i="23" s="1"/>
  <c r="AI216" i="23" s="1"/>
  <c r="AE214" i="23"/>
  <c r="AA202" i="23"/>
  <c r="AE202" i="23" s="1"/>
  <c r="AA200" i="23"/>
  <c r="AE200" i="23" s="1"/>
  <c r="AI200" i="23" s="1"/>
  <c r="AA203" i="23"/>
  <c r="AE203" i="23" s="1"/>
  <c r="AI203" i="23" s="1"/>
  <c r="AA201" i="23"/>
  <c r="AE201" i="23" s="1"/>
  <c r="AE199" i="23"/>
  <c r="I78" i="23"/>
  <c r="M78" i="23" s="1"/>
  <c r="I76" i="23"/>
  <c r="M76" i="23" s="1"/>
  <c r="I79" i="23"/>
  <c r="M79" i="23" s="1"/>
  <c r="I77" i="23"/>
  <c r="M77" i="23" s="1"/>
  <c r="M75" i="23"/>
  <c r="AA185" i="23"/>
  <c r="AE185" i="23" s="1"/>
  <c r="AA183" i="23"/>
  <c r="AE183" i="23" s="1"/>
  <c r="AI183" i="23" s="1"/>
  <c r="AA186" i="23"/>
  <c r="AE186" i="23" s="1"/>
  <c r="AA184" i="23"/>
  <c r="AE184" i="23" s="1"/>
  <c r="AE182" i="23"/>
  <c r="Z299" i="23"/>
  <c r="AD299" i="23" s="1"/>
  <c r="Z297" i="23"/>
  <c r="AD297" i="23" s="1"/>
  <c r="AH297" i="23" s="1"/>
  <c r="Z300" i="23"/>
  <c r="AD300" i="23" s="1"/>
  <c r="Z298" i="23"/>
  <c r="AD298" i="23" s="1"/>
  <c r="AH298" i="23" s="1"/>
  <c r="AD296" i="23"/>
  <c r="AA42" i="23"/>
  <c r="AA40" i="23"/>
  <c r="AE38" i="23"/>
  <c r="AA41" i="23"/>
  <c r="AA39" i="23"/>
  <c r="AE39" i="23" s="1"/>
  <c r="AI39" i="23" s="1"/>
  <c r="Y140" i="23"/>
  <c r="AC140" i="23" s="1"/>
  <c r="Y138" i="23"/>
  <c r="AC138" i="23" s="1"/>
  <c r="AG138" i="23" s="1"/>
  <c r="Y141" i="23"/>
  <c r="AC141" i="23" s="1"/>
  <c r="Y139" i="23"/>
  <c r="AC139" i="23" s="1"/>
  <c r="AC137" i="23"/>
  <c r="AG137" i="23" s="1"/>
  <c r="K217" i="23"/>
  <c r="K215" i="23"/>
  <c r="K218" i="23"/>
  <c r="K216" i="23"/>
  <c r="K202" i="23"/>
  <c r="K200" i="23"/>
  <c r="K203" i="23"/>
  <c r="K201" i="23"/>
  <c r="Y123" i="23"/>
  <c r="AC123" i="23" s="1"/>
  <c r="Y121" i="23"/>
  <c r="AC121" i="23" s="1"/>
  <c r="AG121" i="23" s="1"/>
  <c r="Y124" i="23"/>
  <c r="AC124" i="23" s="1"/>
  <c r="Y122" i="23"/>
  <c r="AC122" i="23" s="1"/>
  <c r="AC120" i="23"/>
  <c r="Y108" i="23"/>
  <c r="AC108" i="23" s="1"/>
  <c r="Y106" i="23"/>
  <c r="AC106" i="23" s="1"/>
  <c r="AG106" i="23" s="1"/>
  <c r="Y109" i="23"/>
  <c r="AC109" i="23" s="1"/>
  <c r="Y107" i="23"/>
  <c r="AC107" i="23" s="1"/>
  <c r="AG107" i="23" s="1"/>
  <c r="AC105" i="23"/>
  <c r="Z257" i="23"/>
  <c r="AD257" i="23" s="1"/>
  <c r="Z255" i="23"/>
  <c r="AD255" i="23" s="1"/>
  <c r="AH255" i="23" s="1"/>
  <c r="Z258" i="23"/>
  <c r="AD258" i="23" s="1"/>
  <c r="AH258" i="23" s="1"/>
  <c r="Z256" i="23"/>
  <c r="AD256" i="23" s="1"/>
  <c r="AD254" i="23"/>
  <c r="I269" i="23"/>
  <c r="M269" i="23" s="1"/>
  <c r="I267" i="23"/>
  <c r="M267" i="23" s="1"/>
  <c r="I270" i="23"/>
  <c r="M270" i="23" s="1"/>
  <c r="I268" i="23"/>
  <c r="M268" i="23" s="1"/>
  <c r="M266" i="23"/>
  <c r="K314" i="23"/>
  <c r="K312" i="23"/>
  <c r="K315" i="23"/>
  <c r="K313" i="23"/>
  <c r="K299" i="23"/>
  <c r="K297" i="23"/>
  <c r="K300" i="23"/>
  <c r="K298" i="23"/>
  <c r="J170" i="23"/>
  <c r="J168" i="23"/>
  <c r="J171" i="23"/>
  <c r="J169" i="23"/>
  <c r="J140" i="23"/>
  <c r="J138" i="23"/>
  <c r="J141" i="23"/>
  <c r="J139" i="23"/>
  <c r="X289" i="23"/>
  <c r="AB289" i="23" s="1"/>
  <c r="X287" i="23"/>
  <c r="AB287" i="23" s="1"/>
  <c r="AF287" i="23" s="1"/>
  <c r="X290" i="23"/>
  <c r="AB290" i="23" s="1"/>
  <c r="X288" i="23"/>
  <c r="AB288" i="23" s="1"/>
  <c r="AB286" i="23"/>
  <c r="K66" i="23"/>
  <c r="K64" i="23"/>
  <c r="K67" i="23"/>
  <c r="K65" i="23"/>
  <c r="K52" i="23"/>
  <c r="K50" i="23"/>
  <c r="K51" i="23"/>
  <c r="K49" i="23"/>
  <c r="H318" i="23"/>
  <c r="L318" i="23" s="1"/>
  <c r="H317" i="23"/>
  <c r="L317" i="23" s="1"/>
  <c r="H320" i="23"/>
  <c r="L320" i="23" s="1"/>
  <c r="H319" i="23"/>
  <c r="L319" i="23" s="1"/>
  <c r="L316" i="23"/>
  <c r="AA72" i="23"/>
  <c r="AA70" i="23"/>
  <c r="AE68" i="23"/>
  <c r="AA71" i="23"/>
  <c r="AA69" i="23"/>
  <c r="AA52" i="23"/>
  <c r="AA50" i="23"/>
  <c r="AE48" i="23"/>
  <c r="AA51" i="23"/>
  <c r="AA49" i="23"/>
  <c r="AE49" i="23" s="1"/>
  <c r="AI49" i="23" s="1"/>
  <c r="AE33" i="23"/>
  <c r="AA36" i="23"/>
  <c r="AA34" i="23"/>
  <c r="AE34" i="23" s="1"/>
  <c r="AI34" i="23" s="1"/>
  <c r="AA37" i="23"/>
  <c r="AA35" i="23"/>
  <c r="Y247" i="23"/>
  <c r="AC247" i="23" s="1"/>
  <c r="Y245" i="23"/>
  <c r="AC245" i="23" s="1"/>
  <c r="AG245" i="23" s="1"/>
  <c r="Y248" i="23"/>
  <c r="AC248" i="23" s="1"/>
  <c r="Y246" i="23"/>
  <c r="AC246" i="23" s="1"/>
  <c r="AG246" i="23" s="1"/>
  <c r="AC244" i="23"/>
  <c r="I36" i="23"/>
  <c r="I34" i="23"/>
  <c r="M34" i="23" s="1"/>
  <c r="M33" i="23"/>
  <c r="I37" i="23"/>
  <c r="I35" i="23"/>
  <c r="K27" i="23"/>
  <c r="K25" i="23"/>
  <c r="K26" i="23"/>
  <c r="K24" i="23"/>
  <c r="Y103" i="23"/>
  <c r="AC103" i="23" s="1"/>
  <c r="Y101" i="23"/>
  <c r="AC101" i="23" s="1"/>
  <c r="AG101" i="23" s="1"/>
  <c r="Y104" i="23"/>
  <c r="AC104" i="23" s="1"/>
  <c r="Y102" i="23"/>
  <c r="AC102" i="23" s="1"/>
  <c r="AC100" i="23"/>
  <c r="AG100" i="23" s="1"/>
  <c r="Z113" i="23"/>
  <c r="AD113" i="23" s="1"/>
  <c r="Z111" i="23"/>
  <c r="AD111" i="23" s="1"/>
  <c r="AH111" i="23" s="1"/>
  <c r="Z114" i="23"/>
  <c r="AD114" i="23" s="1"/>
  <c r="Z112" i="23"/>
  <c r="AD112" i="23" s="1"/>
  <c r="AD110" i="23"/>
  <c r="H252" i="23"/>
  <c r="L252" i="23" s="1"/>
  <c r="H250" i="23"/>
  <c r="L250" i="23" s="1"/>
  <c r="H253" i="23"/>
  <c r="L253" i="23" s="1"/>
  <c r="H251" i="23"/>
  <c r="L251" i="23" s="1"/>
  <c r="L249" i="23"/>
  <c r="K195" i="23"/>
  <c r="K193" i="23"/>
  <c r="K196" i="23"/>
  <c r="K194" i="23"/>
  <c r="K190" i="23"/>
  <c r="K188" i="23"/>
  <c r="K191" i="23"/>
  <c r="K189" i="23"/>
  <c r="X83" i="23"/>
  <c r="AB83" i="23" s="1"/>
  <c r="X81" i="23"/>
  <c r="AB81" i="23" s="1"/>
  <c r="AF81" i="23" s="1"/>
  <c r="X84" i="23"/>
  <c r="AB84" i="23" s="1"/>
  <c r="AF84" i="23" s="1"/>
  <c r="X82" i="23"/>
  <c r="AB82" i="23" s="1"/>
  <c r="AB80" i="23"/>
  <c r="J41" i="23"/>
  <c r="J39" i="23"/>
  <c r="J42" i="23"/>
  <c r="J40" i="23"/>
  <c r="K309" i="23"/>
  <c r="K307" i="23"/>
  <c r="K310" i="23"/>
  <c r="K308" i="23"/>
  <c r="Y190" i="23"/>
  <c r="AC190" i="23" s="1"/>
  <c r="Y188" i="23"/>
  <c r="AC188" i="23" s="1"/>
  <c r="AG188" i="23" s="1"/>
  <c r="Y191" i="23"/>
  <c r="AC191" i="23" s="1"/>
  <c r="Y189" i="23"/>
  <c r="AC189" i="23" s="1"/>
  <c r="AC187" i="23"/>
  <c r="AG187" i="23" s="1"/>
  <c r="Y175" i="23"/>
  <c r="AC175" i="23" s="1"/>
  <c r="Y173" i="23"/>
  <c r="AC173" i="23" s="1"/>
  <c r="AG173" i="23" s="1"/>
  <c r="Y176" i="23"/>
  <c r="AC176" i="23" s="1"/>
  <c r="Y174" i="23"/>
  <c r="AC174" i="23" s="1"/>
  <c r="AC172" i="23"/>
  <c r="J190" i="23"/>
  <c r="J188" i="23"/>
  <c r="J191" i="23"/>
  <c r="J189" i="23"/>
  <c r="J160" i="23"/>
  <c r="J158" i="23"/>
  <c r="J161" i="23"/>
  <c r="J159" i="23"/>
  <c r="X304" i="23"/>
  <c r="AB304" i="23" s="1"/>
  <c r="X302" i="23"/>
  <c r="AB302" i="23" s="1"/>
  <c r="AF302" i="23" s="1"/>
  <c r="X305" i="23"/>
  <c r="AB305" i="23" s="1"/>
  <c r="X303" i="23"/>
  <c r="AB303" i="23" s="1"/>
  <c r="AF303" i="23" s="1"/>
  <c r="AB301" i="23"/>
  <c r="AC28" i="23"/>
  <c r="Y31" i="23"/>
  <c r="Y29" i="23"/>
  <c r="AC29" i="23" s="1"/>
  <c r="AG29" i="23" s="1"/>
  <c r="Y32" i="23"/>
  <c r="Y30" i="23"/>
  <c r="X98" i="23"/>
  <c r="AB98" i="23" s="1"/>
  <c r="X96" i="23"/>
  <c r="AB96" i="23" s="1"/>
  <c r="AF96" i="23" s="1"/>
  <c r="X99" i="23"/>
  <c r="AB99" i="23" s="1"/>
  <c r="X97" i="23"/>
  <c r="AB97" i="23" s="1"/>
  <c r="AB95" i="23"/>
  <c r="AF95" i="23" s="1"/>
  <c r="J304" i="23"/>
  <c r="J302" i="23"/>
  <c r="J305" i="23"/>
  <c r="J303" i="23"/>
  <c r="J274" i="23"/>
  <c r="J272" i="23"/>
  <c r="J275" i="23"/>
  <c r="J273" i="23"/>
  <c r="I88" i="23"/>
  <c r="M88" i="23" s="1"/>
  <c r="I86" i="23"/>
  <c r="M86" i="23" s="1"/>
  <c r="I89" i="23"/>
  <c r="M89" i="23" s="1"/>
  <c r="I87" i="23"/>
  <c r="M87" i="23" s="1"/>
  <c r="M85" i="23"/>
  <c r="H207" i="23"/>
  <c r="L207" i="23" s="1"/>
  <c r="H205" i="23"/>
  <c r="L205" i="23" s="1"/>
  <c r="H208" i="23"/>
  <c r="L208" i="23" s="1"/>
  <c r="H206" i="23"/>
  <c r="L206" i="23" s="1"/>
  <c r="L204" i="23"/>
  <c r="X150" i="23"/>
  <c r="AB150" i="23" s="1"/>
  <c r="X148" i="23"/>
  <c r="AB148" i="23" s="1"/>
  <c r="AF148" i="23" s="1"/>
  <c r="X151" i="23"/>
  <c r="AB151" i="23" s="1"/>
  <c r="AF151" i="23" s="1"/>
  <c r="X149" i="23"/>
  <c r="AB149" i="23" s="1"/>
  <c r="AB147" i="23"/>
  <c r="Z237" i="23"/>
  <c r="AD237" i="23" s="1"/>
  <c r="Z235" i="23"/>
  <c r="AD235" i="23" s="1"/>
  <c r="AH235" i="23" s="1"/>
  <c r="Z238" i="23"/>
  <c r="AD238" i="23" s="1"/>
  <c r="Z236" i="23"/>
  <c r="AD236" i="23" s="1"/>
  <c r="AD234" i="23"/>
  <c r="AH234" i="23" s="1"/>
  <c r="I207" i="23"/>
  <c r="M207" i="23" s="1"/>
  <c r="N207" i="23" s="1"/>
  <c r="O207" i="23" s="1"/>
  <c r="P207" i="23" s="1"/>
  <c r="Q207" i="23" s="1"/>
  <c r="R207" i="23" s="1"/>
  <c r="S207" i="23" s="1"/>
  <c r="T207" i="23" s="1"/>
  <c r="U207" i="23" s="1"/>
  <c r="V207" i="23" s="1"/>
  <c r="I205" i="23"/>
  <c r="M205" i="23" s="1"/>
  <c r="N205" i="23" s="1"/>
  <c r="O205" i="23" s="1"/>
  <c r="P205" i="23" s="1"/>
  <c r="Q205" i="23" s="1"/>
  <c r="R205" i="23" s="1"/>
  <c r="S205" i="23" s="1"/>
  <c r="T205" i="23" s="1"/>
  <c r="U205" i="23" s="1"/>
  <c r="V205" i="23" s="1"/>
  <c r="I208" i="23"/>
  <c r="M208" i="23" s="1"/>
  <c r="N208" i="23" s="1"/>
  <c r="O208" i="23" s="1"/>
  <c r="P208" i="23" s="1"/>
  <c r="Q208" i="23" s="1"/>
  <c r="R208" i="23" s="1"/>
  <c r="S208" i="23" s="1"/>
  <c r="T208" i="23" s="1"/>
  <c r="U208" i="23" s="1"/>
  <c r="V208" i="23" s="1"/>
  <c r="I206" i="23"/>
  <c r="M206" i="23" s="1"/>
  <c r="N206" i="23" s="1"/>
  <c r="O206" i="23" s="1"/>
  <c r="P206" i="23" s="1"/>
  <c r="Q206" i="23" s="1"/>
  <c r="R206" i="23" s="1"/>
  <c r="S206" i="23" s="1"/>
  <c r="T206" i="23" s="1"/>
  <c r="U206" i="23" s="1"/>
  <c r="V206" i="23" s="1"/>
  <c r="M204" i="23"/>
  <c r="N204" i="23" s="1"/>
  <c r="O204" i="23" s="1"/>
  <c r="P204" i="23" s="1"/>
  <c r="Q204" i="23" s="1"/>
  <c r="R204" i="23" s="1"/>
  <c r="S204" i="23" s="1"/>
  <c r="T204" i="23" s="1"/>
  <c r="U204" i="23" s="1"/>
  <c r="V204" i="23" s="1"/>
  <c r="X32" i="23"/>
  <c r="X30" i="23"/>
  <c r="AB28" i="23"/>
  <c r="X31" i="23"/>
  <c r="X29" i="23"/>
  <c r="AB29" i="23" s="1"/>
  <c r="AF29" i="23" s="1"/>
  <c r="K304" i="23"/>
  <c r="K302" i="23"/>
  <c r="K305" i="23"/>
  <c r="K303" i="23"/>
  <c r="Y207" i="23"/>
  <c r="AC207" i="23" s="1"/>
  <c r="Y205" i="23"/>
  <c r="AC205" i="23" s="1"/>
  <c r="AG205" i="23" s="1"/>
  <c r="Y208" i="23"/>
  <c r="AC208" i="23" s="1"/>
  <c r="AG208" i="23" s="1"/>
  <c r="Y206" i="23"/>
  <c r="AC206" i="23" s="1"/>
  <c r="AC204" i="23"/>
  <c r="H304" i="23"/>
  <c r="L304" i="23" s="1"/>
  <c r="H302" i="23"/>
  <c r="L302" i="23" s="1"/>
  <c r="H305" i="23"/>
  <c r="L305" i="23" s="1"/>
  <c r="H303" i="23"/>
  <c r="L303" i="23" s="1"/>
  <c r="L301" i="23"/>
  <c r="Y118" i="23"/>
  <c r="AC118" i="23" s="1"/>
  <c r="Y116" i="23"/>
  <c r="AC116" i="23" s="1"/>
  <c r="AG116" i="23" s="1"/>
  <c r="Y119" i="23"/>
  <c r="AC119" i="23" s="1"/>
  <c r="Y117" i="23"/>
  <c r="AC117" i="23" s="1"/>
  <c r="AC115" i="23"/>
  <c r="X93" i="23"/>
  <c r="AB93" i="23" s="1"/>
  <c r="X91" i="23"/>
  <c r="AB91" i="23" s="1"/>
  <c r="AF91" i="23" s="1"/>
  <c r="X94" i="23"/>
  <c r="AB94" i="23" s="1"/>
  <c r="X92" i="23"/>
  <c r="AB92" i="23" s="1"/>
  <c r="AF92" i="23" s="1"/>
  <c r="AB90" i="23"/>
  <c r="H190" i="23"/>
  <c r="L190" i="23" s="1"/>
  <c r="H188" i="23"/>
  <c r="L188" i="23" s="1"/>
  <c r="H191" i="23"/>
  <c r="L191" i="23" s="1"/>
  <c r="H189" i="23"/>
  <c r="L189" i="23" s="1"/>
  <c r="L187" i="23"/>
  <c r="Y237" i="23"/>
  <c r="AC237" i="23" s="1"/>
  <c r="Y235" i="23"/>
  <c r="AC235" i="23" s="1"/>
  <c r="AG235" i="23" s="1"/>
  <c r="Y238" i="23"/>
  <c r="AC238" i="23" s="1"/>
  <c r="Y236" i="23"/>
  <c r="AC236" i="23" s="1"/>
  <c r="AC234" i="23"/>
  <c r="AG234" i="23" s="1"/>
  <c r="H103" i="23"/>
  <c r="L103" i="23" s="1"/>
  <c r="H101" i="23"/>
  <c r="L101" i="23" s="1"/>
  <c r="H104" i="23"/>
  <c r="L104" i="23" s="1"/>
  <c r="H102" i="23"/>
  <c r="L102" i="23" s="1"/>
  <c r="L100" i="23"/>
  <c r="I274" i="23"/>
  <c r="M274" i="23" s="1"/>
  <c r="I272" i="23"/>
  <c r="M272" i="23" s="1"/>
  <c r="I275" i="23"/>
  <c r="M275" i="23" s="1"/>
  <c r="I273" i="23"/>
  <c r="M273" i="23" s="1"/>
  <c r="M271" i="23"/>
  <c r="Y309" i="23"/>
  <c r="AC309" i="23" s="1"/>
  <c r="Y307" i="23"/>
  <c r="AC307" i="23" s="1"/>
  <c r="AG307" i="23" s="1"/>
  <c r="Y310" i="23"/>
  <c r="AC310" i="23" s="1"/>
  <c r="AG310" i="23" s="1"/>
  <c r="Y308" i="23"/>
  <c r="AC308" i="23" s="1"/>
  <c r="AC306" i="23"/>
  <c r="Y294" i="23"/>
  <c r="AC294" i="23" s="1"/>
  <c r="Y292" i="23"/>
  <c r="AC292" i="23" s="1"/>
  <c r="AG292" i="23" s="1"/>
  <c r="Y295" i="23"/>
  <c r="AC295" i="23" s="1"/>
  <c r="Y293" i="23"/>
  <c r="AC293" i="23" s="1"/>
  <c r="AC291" i="23"/>
  <c r="AG291" i="23" s="1"/>
  <c r="Z123" i="23"/>
  <c r="AD123" i="23" s="1"/>
  <c r="Z121" i="23"/>
  <c r="AD121" i="23" s="1"/>
  <c r="AH121" i="23" s="1"/>
  <c r="Z124" i="23"/>
  <c r="AD124" i="23" s="1"/>
  <c r="Z122" i="23"/>
  <c r="AD122" i="23" s="1"/>
  <c r="AD120" i="23"/>
  <c r="Z93" i="23"/>
  <c r="AD93" i="23" s="1"/>
  <c r="Z91" i="23"/>
  <c r="AD91" i="23" s="1"/>
  <c r="AH91" i="23" s="1"/>
  <c r="Z94" i="23"/>
  <c r="AD94" i="23" s="1"/>
  <c r="Z92" i="23"/>
  <c r="AD92" i="23" s="1"/>
  <c r="AH92" i="23" s="1"/>
  <c r="AD90" i="23"/>
  <c r="X113" i="23"/>
  <c r="AB113" i="23" s="1"/>
  <c r="X111" i="23"/>
  <c r="AB111" i="23" s="1"/>
  <c r="AF111" i="23" s="1"/>
  <c r="X114" i="23"/>
  <c r="AB114" i="23" s="1"/>
  <c r="AF114" i="23" s="1"/>
  <c r="X112" i="23"/>
  <c r="AB112" i="23" s="1"/>
  <c r="AB110" i="23"/>
  <c r="Z165" i="23"/>
  <c r="AD165" i="23" s="1"/>
  <c r="Z163" i="23"/>
  <c r="AD163" i="23" s="1"/>
  <c r="AH163" i="23" s="1"/>
  <c r="Z166" i="23"/>
  <c r="AD166" i="23" s="1"/>
  <c r="Z164" i="23"/>
  <c r="AD164" i="23" s="1"/>
  <c r="AD162" i="23"/>
  <c r="AH162" i="23" s="1"/>
  <c r="Z150" i="23"/>
  <c r="AD150" i="23" s="1"/>
  <c r="Z148" i="23"/>
  <c r="AD148" i="23" s="1"/>
  <c r="AH148" i="23" s="1"/>
  <c r="Z151" i="23"/>
  <c r="AD151" i="23" s="1"/>
  <c r="Z149" i="23"/>
  <c r="AD149" i="23" s="1"/>
  <c r="AD147" i="23"/>
  <c r="AC58" i="23"/>
  <c r="Y61" i="23"/>
  <c r="Y59" i="23"/>
  <c r="AC59" i="23" s="1"/>
  <c r="AG59" i="23" s="1"/>
  <c r="Y62" i="23"/>
  <c r="Y60" i="23"/>
  <c r="Y47" i="23"/>
  <c r="Y45" i="23"/>
  <c r="AC43" i="23"/>
  <c r="Y46" i="23"/>
  <c r="Y44" i="23"/>
  <c r="AC44" i="23" s="1"/>
  <c r="AG44" i="23" s="1"/>
  <c r="X165" i="23"/>
  <c r="AB165" i="23" s="1"/>
  <c r="X163" i="23"/>
  <c r="AB163" i="23" s="1"/>
  <c r="AF163" i="23" s="1"/>
  <c r="X166" i="23"/>
  <c r="AB166" i="23" s="1"/>
  <c r="X164" i="23"/>
  <c r="AB164" i="23" s="1"/>
  <c r="AB162" i="23"/>
  <c r="AF162" i="23" s="1"/>
  <c r="M68" i="23"/>
  <c r="N68" i="23" s="1"/>
  <c r="O68" i="23" s="1"/>
  <c r="P68" i="23" s="1"/>
  <c r="Q68" i="23" s="1"/>
  <c r="R68" i="23" s="1"/>
  <c r="S68" i="23" s="1"/>
  <c r="T68" i="23" s="1"/>
  <c r="U68" i="23" s="1"/>
  <c r="V68" i="23" s="1"/>
  <c r="I72" i="23"/>
  <c r="I70" i="23"/>
  <c r="I71" i="23"/>
  <c r="I69" i="23"/>
  <c r="H36" i="23"/>
  <c r="H34" i="23"/>
  <c r="L34" i="23" s="1"/>
  <c r="H37" i="23"/>
  <c r="H35" i="23"/>
  <c r="L33" i="23"/>
  <c r="I66" i="23"/>
  <c r="I64" i="23"/>
  <c r="M64" i="23" s="1"/>
  <c r="N64" i="23" s="1"/>
  <c r="O64" i="23" s="1"/>
  <c r="P64" i="23" s="1"/>
  <c r="Q64" i="23" s="1"/>
  <c r="R64" i="23" s="1"/>
  <c r="S64" i="23" s="1"/>
  <c r="T64" i="23" s="1"/>
  <c r="U64" i="23" s="1"/>
  <c r="V64" i="23" s="1"/>
  <c r="M63" i="23"/>
  <c r="N63" i="23" s="1"/>
  <c r="O63" i="23" s="1"/>
  <c r="P63" i="23" s="1"/>
  <c r="Q63" i="23" s="1"/>
  <c r="R63" i="23" s="1"/>
  <c r="S63" i="23" s="1"/>
  <c r="T63" i="23" s="1"/>
  <c r="U63" i="23" s="1"/>
  <c r="V63" i="23" s="1"/>
  <c r="I67" i="23"/>
  <c r="I65" i="23"/>
  <c r="X264" i="23"/>
  <c r="AB264" i="23" s="1"/>
  <c r="X262" i="23"/>
  <c r="AB262" i="23" s="1"/>
  <c r="AF262" i="23" s="1"/>
  <c r="X265" i="23"/>
  <c r="AB265" i="23" s="1"/>
  <c r="X263" i="23"/>
  <c r="AB263" i="23" s="1"/>
  <c r="AB261" i="23"/>
  <c r="AF261" i="23" s="1"/>
  <c r="J165" i="23"/>
  <c r="J163" i="23"/>
  <c r="J166" i="23"/>
  <c r="J164" i="23"/>
  <c r="H284" i="23"/>
  <c r="L284" i="23" s="1"/>
  <c r="H282" i="23"/>
  <c r="L282" i="23" s="1"/>
  <c r="H285" i="23"/>
  <c r="L285" i="23" s="1"/>
  <c r="H283" i="23"/>
  <c r="L283" i="23" s="1"/>
  <c r="L281" i="23"/>
  <c r="Y212" i="23"/>
  <c r="AC212" i="23" s="1"/>
  <c r="Y210" i="23"/>
  <c r="AC210" i="23" s="1"/>
  <c r="AG210" i="23" s="1"/>
  <c r="Y213" i="23"/>
  <c r="AC213" i="23" s="1"/>
  <c r="Y211" i="23"/>
  <c r="AC211" i="23" s="1"/>
  <c r="AG211" i="23" s="1"/>
  <c r="AC209" i="23"/>
  <c r="I123" i="23"/>
  <c r="M123" i="23" s="1"/>
  <c r="I121" i="23"/>
  <c r="M121" i="23" s="1"/>
  <c r="I124" i="23"/>
  <c r="M124" i="23" s="1"/>
  <c r="I122" i="23"/>
  <c r="M122" i="23" s="1"/>
  <c r="M120" i="23"/>
  <c r="H133" i="23"/>
  <c r="L133" i="23" s="1"/>
  <c r="H131" i="23"/>
  <c r="L131" i="23" s="1"/>
  <c r="H134" i="23"/>
  <c r="L134" i="23" s="1"/>
  <c r="H132" i="23"/>
  <c r="L132" i="23" s="1"/>
  <c r="L130" i="23"/>
  <c r="J61" i="23"/>
  <c r="J59" i="23"/>
  <c r="J62" i="23"/>
  <c r="J60" i="23"/>
  <c r="X195" i="23"/>
  <c r="AB195" i="23" s="1"/>
  <c r="X193" i="23"/>
  <c r="AB193" i="23" s="1"/>
  <c r="AF193" i="23" s="1"/>
  <c r="X196" i="23"/>
  <c r="AB196" i="23" s="1"/>
  <c r="X194" i="23"/>
  <c r="AB194" i="23" s="1"/>
  <c r="AB192" i="23"/>
  <c r="Z304" i="23"/>
  <c r="AD304" i="23" s="1"/>
  <c r="Z302" i="23"/>
  <c r="AD302" i="23" s="1"/>
  <c r="AH302" i="23" s="1"/>
  <c r="Z305" i="23"/>
  <c r="AD305" i="23" s="1"/>
  <c r="Z303" i="23"/>
  <c r="AD303" i="23" s="1"/>
  <c r="AH303" i="23" s="1"/>
  <c r="AD301" i="23"/>
  <c r="Z289" i="23"/>
  <c r="AD289" i="23" s="1"/>
  <c r="Z287" i="23"/>
  <c r="AD287" i="23" s="1"/>
  <c r="AH287" i="23" s="1"/>
  <c r="Z290" i="23"/>
  <c r="AD290" i="23" s="1"/>
  <c r="AH290" i="23" s="1"/>
  <c r="Z288" i="23"/>
  <c r="AD288" i="23" s="1"/>
  <c r="AD286" i="23"/>
  <c r="Y185" i="23"/>
  <c r="AC185" i="23" s="1"/>
  <c r="Y183" i="23"/>
  <c r="AC183" i="23" s="1"/>
  <c r="AG183" i="23" s="1"/>
  <c r="Y186" i="23"/>
  <c r="AC186" i="23" s="1"/>
  <c r="Y184" i="23"/>
  <c r="AC184" i="23" s="1"/>
  <c r="AC182" i="23"/>
  <c r="AG182" i="23" s="1"/>
  <c r="Y78" i="23"/>
  <c r="AC78" i="23" s="1"/>
  <c r="Y76" i="23"/>
  <c r="AC76" i="23" s="1"/>
  <c r="AG76" i="23" s="1"/>
  <c r="Y79" i="23"/>
  <c r="AC79" i="23" s="1"/>
  <c r="Y77" i="23"/>
  <c r="AC77" i="23" s="1"/>
  <c r="AC75" i="23"/>
  <c r="J113" i="23"/>
  <c r="J111" i="23"/>
  <c r="J114" i="23"/>
  <c r="J112" i="23"/>
  <c r="J98" i="23"/>
  <c r="J96" i="23"/>
  <c r="J99" i="23"/>
  <c r="J97" i="23"/>
  <c r="Y304" i="23"/>
  <c r="AC304" i="23" s="1"/>
  <c r="Y302" i="23"/>
  <c r="AC302" i="23" s="1"/>
  <c r="AG302" i="23" s="1"/>
  <c r="Y305" i="23"/>
  <c r="AC305" i="23" s="1"/>
  <c r="Y303" i="23"/>
  <c r="AC303" i="23" s="1"/>
  <c r="AG303" i="23" s="1"/>
  <c r="AC301" i="23"/>
  <c r="X57" i="23"/>
  <c r="X55" i="23"/>
  <c r="AB53" i="23"/>
  <c r="X56" i="23"/>
  <c r="X54" i="23"/>
  <c r="AB54" i="23" s="1"/>
  <c r="AF54" i="23" s="1"/>
  <c r="AE58" i="23"/>
  <c r="AA61" i="23"/>
  <c r="AA59" i="23"/>
  <c r="AE59" i="23" s="1"/>
  <c r="AI59" i="23" s="1"/>
  <c r="AA62" i="23"/>
  <c r="AA60" i="23"/>
  <c r="AA47" i="23"/>
  <c r="AA45" i="23"/>
  <c r="AE43" i="23"/>
  <c r="AA46" i="23"/>
  <c r="AA44" i="23"/>
  <c r="AE44" i="23" s="1"/>
  <c r="AI44" i="23" s="1"/>
  <c r="Z175" i="23"/>
  <c r="AD175" i="23" s="1"/>
  <c r="Z173" i="23"/>
  <c r="AD173" i="23" s="1"/>
  <c r="AH173" i="23" s="1"/>
  <c r="Z176" i="23"/>
  <c r="AD176" i="23" s="1"/>
  <c r="Z174" i="23"/>
  <c r="AD174" i="23" s="1"/>
  <c r="AH174" i="23" s="1"/>
  <c r="AD172" i="23"/>
  <c r="Z160" i="23"/>
  <c r="AD160" i="23" s="1"/>
  <c r="Z158" i="23"/>
  <c r="AD158" i="23" s="1"/>
  <c r="AH158" i="23" s="1"/>
  <c r="Z161" i="23"/>
  <c r="AD161" i="23" s="1"/>
  <c r="AH161" i="23" s="1"/>
  <c r="Z159" i="23"/>
  <c r="AD159" i="23" s="1"/>
  <c r="AD157" i="23"/>
  <c r="X175" i="23"/>
  <c r="AB175" i="23" s="1"/>
  <c r="X173" i="23"/>
  <c r="AB173" i="23" s="1"/>
  <c r="AF173" i="23" s="1"/>
  <c r="X176" i="23"/>
  <c r="AB176" i="23" s="1"/>
  <c r="X174" i="23"/>
  <c r="AB174" i="23" s="1"/>
  <c r="AB172" i="23"/>
  <c r="AF172" i="23" s="1"/>
  <c r="K207" i="23"/>
  <c r="K205" i="23"/>
  <c r="K208" i="23"/>
  <c r="K206" i="23"/>
  <c r="Z227" i="23"/>
  <c r="AD227" i="23" s="1"/>
  <c r="Z225" i="23"/>
  <c r="AD225" i="23" s="1"/>
  <c r="AH225" i="23" s="1"/>
  <c r="Z228" i="23"/>
  <c r="AD228" i="23" s="1"/>
  <c r="Z226" i="23"/>
  <c r="AD226" i="23" s="1"/>
  <c r="AD224" i="23"/>
  <c r="X118" i="23"/>
  <c r="AB118" i="23" s="1"/>
  <c r="X116" i="23"/>
  <c r="AB116" i="23" s="1"/>
  <c r="AF116" i="23" s="1"/>
  <c r="X119" i="23"/>
  <c r="AB119" i="23" s="1"/>
  <c r="X117" i="23"/>
  <c r="AB117" i="23" s="1"/>
  <c r="AF117" i="23" s="1"/>
  <c r="AB115" i="23"/>
  <c r="AA269" i="23"/>
  <c r="AE269" i="23" s="1"/>
  <c r="AA267" i="23"/>
  <c r="AE267" i="23" s="1"/>
  <c r="AI267" i="23" s="1"/>
  <c r="AA270" i="23"/>
  <c r="AE270" i="23" s="1"/>
  <c r="AI270" i="23" s="1"/>
  <c r="AA268" i="23"/>
  <c r="AE268" i="23" s="1"/>
  <c r="AE266" i="23"/>
  <c r="L68" i="23"/>
  <c r="H72" i="23"/>
  <c r="H70" i="23"/>
  <c r="H71" i="23"/>
  <c r="H69" i="23"/>
  <c r="J252" i="23"/>
  <c r="J250" i="23"/>
  <c r="J253" i="23"/>
  <c r="J251" i="23"/>
  <c r="I289" i="23"/>
  <c r="M289" i="23" s="1"/>
  <c r="I287" i="23"/>
  <c r="M287" i="23" s="1"/>
  <c r="I290" i="23"/>
  <c r="M290" i="23" s="1"/>
  <c r="I288" i="23"/>
  <c r="M288" i="23" s="1"/>
  <c r="M286" i="23"/>
  <c r="H227" i="23"/>
  <c r="L227" i="23" s="1"/>
  <c r="H225" i="23"/>
  <c r="L225" i="23" s="1"/>
  <c r="H228" i="23"/>
  <c r="L228" i="23" s="1"/>
  <c r="H226" i="23"/>
  <c r="L226" i="23" s="1"/>
  <c r="L224" i="23"/>
  <c r="I185" i="23"/>
  <c r="M185" i="23" s="1"/>
  <c r="I183" i="23"/>
  <c r="M183" i="23" s="1"/>
  <c r="I186" i="23"/>
  <c r="M186" i="23" s="1"/>
  <c r="I184" i="23"/>
  <c r="M184" i="23" s="1"/>
  <c r="M182" i="23"/>
  <c r="H61" i="23"/>
  <c r="H59" i="23"/>
  <c r="L59" i="23" s="1"/>
  <c r="L58" i="23"/>
  <c r="H62" i="23"/>
  <c r="H60" i="23"/>
  <c r="K242" i="23"/>
  <c r="K240" i="23"/>
  <c r="K243" i="23"/>
  <c r="K241" i="23"/>
  <c r="AA237" i="23"/>
  <c r="AE237" i="23" s="1"/>
  <c r="AA235" i="23"/>
  <c r="AE235" i="23" s="1"/>
  <c r="AI235" i="23" s="1"/>
  <c r="AA238" i="23"/>
  <c r="AE238" i="23" s="1"/>
  <c r="AA236" i="23"/>
  <c r="AE236" i="23" s="1"/>
  <c r="AE234" i="23"/>
  <c r="Y257" i="23"/>
  <c r="AC257" i="23" s="1"/>
  <c r="Y255" i="23"/>
  <c r="AC255" i="23" s="1"/>
  <c r="AG255" i="23" s="1"/>
  <c r="Y258" i="23"/>
  <c r="AC258" i="23" s="1"/>
  <c r="Y256" i="23"/>
  <c r="AC256" i="23" s="1"/>
  <c r="AG256" i="23" s="1"/>
  <c r="AC254" i="23"/>
  <c r="J145" i="23"/>
  <c r="J143" i="23"/>
  <c r="J146" i="23"/>
  <c r="J144" i="23"/>
  <c r="J133" i="23"/>
  <c r="J131" i="23"/>
  <c r="J134" i="23"/>
  <c r="J132" i="23"/>
  <c r="J128" i="23"/>
  <c r="J126" i="23"/>
  <c r="J129" i="23"/>
  <c r="J127" i="23"/>
  <c r="Y252" i="23"/>
  <c r="AC252" i="23" s="1"/>
  <c r="Y250" i="23"/>
  <c r="AC250" i="23" s="1"/>
  <c r="AG250" i="23" s="1"/>
  <c r="Y253" i="23"/>
  <c r="AC253" i="23" s="1"/>
  <c r="AG253" i="23" s="1"/>
  <c r="Y251" i="23"/>
  <c r="AC251" i="23" s="1"/>
  <c r="AC249" i="23"/>
  <c r="AA180" i="23"/>
  <c r="AE180" i="23" s="1"/>
  <c r="AA178" i="23"/>
  <c r="AE178" i="23" s="1"/>
  <c r="AI178" i="23" s="1"/>
  <c r="AA181" i="23"/>
  <c r="AE181" i="23" s="1"/>
  <c r="AA179" i="23"/>
  <c r="AE179" i="23" s="1"/>
  <c r="AE177" i="23"/>
  <c r="AI177" i="23" s="1"/>
  <c r="AA165" i="23"/>
  <c r="AE165" i="23" s="1"/>
  <c r="AA163" i="23"/>
  <c r="AE163" i="23" s="1"/>
  <c r="AI163" i="23" s="1"/>
  <c r="AA166" i="23"/>
  <c r="AE166" i="23" s="1"/>
  <c r="AA164" i="23"/>
  <c r="AE164" i="23" s="1"/>
  <c r="AE162" i="23"/>
  <c r="Z294" i="23"/>
  <c r="AD294" i="23" s="1"/>
  <c r="Z292" i="23"/>
  <c r="AD292" i="23" s="1"/>
  <c r="AH292" i="23" s="1"/>
  <c r="Z295" i="23"/>
  <c r="AD295" i="23" s="1"/>
  <c r="Z293" i="23"/>
  <c r="AD293" i="23" s="1"/>
  <c r="AH293" i="23" s="1"/>
  <c r="AD291" i="23"/>
  <c r="Z279" i="23"/>
  <c r="AD279" i="23" s="1"/>
  <c r="Z277" i="23"/>
  <c r="AD277" i="23" s="1"/>
  <c r="AH277" i="23" s="1"/>
  <c r="Z280" i="23"/>
  <c r="AD280" i="23" s="1"/>
  <c r="AH280" i="23" s="1"/>
  <c r="Z278" i="23"/>
  <c r="AD278" i="23" s="1"/>
  <c r="AD276" i="23"/>
  <c r="K155" i="23"/>
  <c r="K153" i="23"/>
  <c r="K156" i="23"/>
  <c r="K154" i="23"/>
  <c r="K140" i="23"/>
  <c r="K138" i="23"/>
  <c r="K141" i="23"/>
  <c r="K139" i="23"/>
  <c r="K237" i="23"/>
  <c r="K235" i="23"/>
  <c r="K238" i="23"/>
  <c r="K236" i="23"/>
  <c r="K222" i="23"/>
  <c r="K220" i="23"/>
  <c r="K223" i="23"/>
  <c r="K221" i="23"/>
  <c r="X274" i="23"/>
  <c r="AB274" i="23" s="1"/>
  <c r="X272" i="23"/>
  <c r="AB272" i="23" s="1"/>
  <c r="AF272" i="23" s="1"/>
  <c r="X275" i="23"/>
  <c r="AB275" i="23" s="1"/>
  <c r="X273" i="23"/>
  <c r="AB273" i="23" s="1"/>
  <c r="AB271" i="23"/>
  <c r="AF271" i="23" s="1"/>
  <c r="Y269" i="23"/>
  <c r="AC269" i="23" s="1"/>
  <c r="Y267" i="23"/>
  <c r="AC267" i="23" s="1"/>
  <c r="AG267" i="23" s="1"/>
  <c r="Y270" i="23"/>
  <c r="AC270" i="23" s="1"/>
  <c r="Y268" i="23"/>
  <c r="AC268" i="23" s="1"/>
  <c r="AC266" i="23"/>
  <c r="Z118" i="23"/>
  <c r="AD118" i="23" s="1"/>
  <c r="Z116" i="23"/>
  <c r="AD116" i="23" s="1"/>
  <c r="AH116" i="23" s="1"/>
  <c r="Z119" i="23"/>
  <c r="AD119" i="23" s="1"/>
  <c r="Z117" i="23"/>
  <c r="AD117" i="23" s="1"/>
  <c r="AH117" i="23" s="1"/>
  <c r="AD115" i="23"/>
  <c r="Z88" i="23"/>
  <c r="AD88" i="23" s="1"/>
  <c r="Z86" i="23"/>
  <c r="AD86" i="23" s="1"/>
  <c r="AH86" i="23" s="1"/>
  <c r="Z89" i="23"/>
  <c r="AD89" i="23" s="1"/>
  <c r="AH89" i="23" s="1"/>
  <c r="Z87" i="23"/>
  <c r="AD87" i="23" s="1"/>
  <c r="AD85" i="23"/>
  <c r="J257" i="23"/>
  <c r="J255" i="23"/>
  <c r="J258" i="23"/>
  <c r="J256" i="23"/>
  <c r="X227" i="23"/>
  <c r="AB227" i="23" s="1"/>
  <c r="X225" i="23"/>
  <c r="AB225" i="23" s="1"/>
  <c r="AF225" i="23" s="1"/>
  <c r="X228" i="23"/>
  <c r="AB228" i="23" s="1"/>
  <c r="X226" i="23"/>
  <c r="AB226" i="23" s="1"/>
  <c r="AB224" i="23"/>
  <c r="AF224" i="23" s="1"/>
  <c r="AA304" i="23"/>
  <c r="AE304" i="23" s="1"/>
  <c r="AA302" i="23"/>
  <c r="AE302" i="23" s="1"/>
  <c r="AI302" i="23" s="1"/>
  <c r="AA305" i="23"/>
  <c r="AE305" i="23" s="1"/>
  <c r="AA303" i="23"/>
  <c r="AE303" i="23" s="1"/>
  <c r="AE301" i="23"/>
  <c r="J123" i="23"/>
  <c r="J121" i="23"/>
  <c r="J124" i="23"/>
  <c r="J122" i="23"/>
  <c r="J108" i="23"/>
  <c r="J106" i="23"/>
  <c r="J109" i="23"/>
  <c r="J107" i="23"/>
  <c r="H41" i="23"/>
  <c r="H39" i="23"/>
  <c r="L39" i="23" s="1"/>
  <c r="H42" i="23"/>
  <c r="H40" i="23"/>
  <c r="L38" i="23"/>
  <c r="K294" i="23"/>
  <c r="K292" i="23"/>
  <c r="K295" i="23"/>
  <c r="K293" i="23"/>
  <c r="K279" i="23"/>
  <c r="K277" i="23"/>
  <c r="K280" i="23"/>
  <c r="K278" i="23"/>
  <c r="AE53" i="23"/>
  <c r="AA56" i="23"/>
  <c r="AA54" i="23"/>
  <c r="AE54" i="23" s="1"/>
  <c r="AI54" i="23" s="1"/>
  <c r="AA57" i="23"/>
  <c r="AA55" i="23"/>
  <c r="X185" i="23"/>
  <c r="AB185" i="23" s="1"/>
  <c r="X183" i="23"/>
  <c r="AB183" i="23" s="1"/>
  <c r="AF183" i="23" s="1"/>
  <c r="X186" i="23"/>
  <c r="AB186" i="23" s="1"/>
  <c r="X184" i="23"/>
  <c r="AB184" i="23" s="1"/>
  <c r="AB182" i="23"/>
  <c r="H232" i="23"/>
  <c r="L232" i="23" s="1"/>
  <c r="H230" i="23"/>
  <c r="L230" i="23" s="1"/>
  <c r="H233" i="23"/>
  <c r="L233" i="23" s="1"/>
  <c r="H231" i="23"/>
  <c r="L231" i="23" s="1"/>
  <c r="L229" i="23"/>
  <c r="AA108" i="23"/>
  <c r="AE108" i="23" s="1"/>
  <c r="AA106" i="23"/>
  <c r="AE106" i="23" s="1"/>
  <c r="AI106" i="23" s="1"/>
  <c r="AA109" i="23"/>
  <c r="AE109" i="23" s="1"/>
  <c r="AA107" i="23"/>
  <c r="AE107" i="23" s="1"/>
  <c r="AI107" i="23" s="1"/>
  <c r="AE105" i="23"/>
  <c r="AA93" i="23"/>
  <c r="AE93" i="23" s="1"/>
  <c r="AA91" i="23"/>
  <c r="AE91" i="23" s="1"/>
  <c r="AI91" i="23" s="1"/>
  <c r="AA94" i="23"/>
  <c r="AE94" i="23" s="1"/>
  <c r="AI94" i="23" s="1"/>
  <c r="AA92" i="23"/>
  <c r="AE92" i="23" s="1"/>
  <c r="AE90" i="23"/>
  <c r="AA190" i="23"/>
  <c r="AE190" i="23" s="1"/>
  <c r="AA188" i="23"/>
  <c r="AE188" i="23" s="1"/>
  <c r="AI188" i="23" s="1"/>
  <c r="AA191" i="23"/>
  <c r="AE191" i="23" s="1"/>
  <c r="AA189" i="23"/>
  <c r="AE189" i="23" s="1"/>
  <c r="AE187" i="23"/>
  <c r="AI187" i="23" s="1"/>
  <c r="AA175" i="23"/>
  <c r="AE175" i="23" s="1"/>
  <c r="AA173" i="23"/>
  <c r="AE173" i="23" s="1"/>
  <c r="AI173" i="23" s="1"/>
  <c r="AA176" i="23"/>
  <c r="AE176" i="23" s="1"/>
  <c r="AA174" i="23"/>
  <c r="AE174" i="23" s="1"/>
  <c r="AE172" i="23"/>
  <c r="X314" i="23"/>
  <c r="AB314" i="23" s="1"/>
  <c r="X312" i="23"/>
  <c r="AB312" i="23" s="1"/>
  <c r="AF312" i="23" s="1"/>
  <c r="X315" i="23"/>
  <c r="AB315" i="23" s="1"/>
  <c r="X313" i="23"/>
  <c r="AB313" i="23" s="1"/>
  <c r="AF313" i="23" s="1"/>
  <c r="AB311" i="23"/>
  <c r="K165" i="23"/>
  <c r="K163" i="23"/>
  <c r="K166" i="23"/>
  <c r="K164" i="23"/>
  <c r="K150" i="23"/>
  <c r="K148" i="23"/>
  <c r="K151" i="23"/>
  <c r="K149" i="23"/>
  <c r="Y242" i="23"/>
  <c r="AC242" i="23" s="1"/>
  <c r="Y240" i="23"/>
  <c r="AC240" i="23" s="1"/>
  <c r="AG240" i="23" s="1"/>
  <c r="Y243" i="23"/>
  <c r="AC243" i="23" s="1"/>
  <c r="AG243" i="23" s="1"/>
  <c r="Y241" i="23"/>
  <c r="AC241" i="23" s="1"/>
  <c r="AC239" i="23"/>
  <c r="Y227" i="23"/>
  <c r="AC227" i="23" s="1"/>
  <c r="Y225" i="23"/>
  <c r="AC225" i="23" s="1"/>
  <c r="AG225" i="23" s="1"/>
  <c r="Y228" i="23"/>
  <c r="AC228" i="23" s="1"/>
  <c r="Y226" i="23"/>
  <c r="AC226" i="23" s="1"/>
  <c r="AC224" i="23"/>
  <c r="AG224" i="23" s="1"/>
  <c r="H123" i="23"/>
  <c r="L123" i="23" s="1"/>
  <c r="H121" i="23"/>
  <c r="L121" i="23" s="1"/>
  <c r="H124" i="23"/>
  <c r="L124" i="23" s="1"/>
  <c r="H122" i="23"/>
  <c r="L122" i="23" s="1"/>
  <c r="L120" i="23"/>
  <c r="K318" i="23"/>
  <c r="K317" i="23"/>
  <c r="K320" i="23"/>
  <c r="K319" i="23"/>
  <c r="J289" i="23"/>
  <c r="J287" i="23"/>
  <c r="J290" i="23"/>
  <c r="J288" i="23"/>
  <c r="H155" i="23"/>
  <c r="L155" i="23" s="1"/>
  <c r="H153" i="23"/>
  <c r="L153" i="23" s="1"/>
  <c r="H156" i="23"/>
  <c r="L156" i="23" s="1"/>
  <c r="H154" i="23"/>
  <c r="L154" i="23" s="1"/>
  <c r="L152" i="23"/>
  <c r="J299" i="23"/>
  <c r="J297" i="23"/>
  <c r="J300" i="23"/>
  <c r="J298" i="23"/>
  <c r="AA140" i="23"/>
  <c r="AE140" i="23" s="1"/>
  <c r="AA138" i="23"/>
  <c r="AE138" i="23" s="1"/>
  <c r="AI138" i="23" s="1"/>
  <c r="AA141" i="23"/>
  <c r="AE141" i="23" s="1"/>
  <c r="AI141" i="23" s="1"/>
  <c r="AA139" i="23"/>
  <c r="AE139" i="23" s="1"/>
  <c r="AE137" i="23"/>
  <c r="AA247" i="23"/>
  <c r="AE247" i="23" s="1"/>
  <c r="AA245" i="23"/>
  <c r="AE245" i="23" s="1"/>
  <c r="AI245" i="23" s="1"/>
  <c r="AA248" i="23"/>
  <c r="AE248" i="23" s="1"/>
  <c r="AA246" i="23"/>
  <c r="AE246" i="23" s="1"/>
  <c r="AE244" i="23"/>
  <c r="AI244" i="23" s="1"/>
  <c r="X133" i="23"/>
  <c r="AB133" i="23" s="1"/>
  <c r="X131" i="23"/>
  <c r="AB131" i="23" s="1"/>
  <c r="AF131" i="23" s="1"/>
  <c r="X134" i="23"/>
  <c r="AB134" i="23" s="1"/>
  <c r="X132" i="23"/>
  <c r="AB132" i="23" s="1"/>
  <c r="AB130" i="23"/>
  <c r="Z170" i="23"/>
  <c r="AD170" i="23" s="1"/>
  <c r="Z168" i="23"/>
  <c r="AD168" i="23" s="1"/>
  <c r="AH168" i="23" s="1"/>
  <c r="Z171" i="23"/>
  <c r="AD171" i="23" s="1"/>
  <c r="Z169" i="23"/>
  <c r="AD169" i="23" s="1"/>
  <c r="AH169" i="23" s="1"/>
  <c r="AD167" i="23"/>
  <c r="K128" i="23"/>
  <c r="K126" i="23"/>
  <c r="K129" i="23"/>
  <c r="K127" i="23"/>
  <c r="X247" i="23"/>
  <c r="AB247" i="23" s="1"/>
  <c r="X245" i="23"/>
  <c r="AB245" i="23" s="1"/>
  <c r="AF245" i="23" s="1"/>
  <c r="X248" i="23"/>
  <c r="AB248" i="23" s="1"/>
  <c r="AF248" i="23" s="1"/>
  <c r="X246" i="23"/>
  <c r="AB246" i="23" s="1"/>
  <c r="AB244" i="23"/>
  <c r="AD53" i="23"/>
  <c r="Z56" i="23"/>
  <c r="Z54" i="23"/>
  <c r="AD54" i="23" s="1"/>
  <c r="AH54" i="23" s="1"/>
  <c r="Z57" i="23"/>
  <c r="Z55" i="23"/>
  <c r="AA212" i="23"/>
  <c r="AE212" i="23" s="1"/>
  <c r="AA210" i="23"/>
  <c r="AE210" i="23" s="1"/>
  <c r="AI210" i="23" s="1"/>
  <c r="AA213" i="23"/>
  <c r="AE213" i="23" s="1"/>
  <c r="AA211" i="23"/>
  <c r="AE211" i="23" s="1"/>
  <c r="AE209" i="23"/>
  <c r="AA252" i="23"/>
  <c r="AE252" i="23" s="1"/>
  <c r="AA250" i="23"/>
  <c r="AE250" i="23" s="1"/>
  <c r="AI250" i="23" s="1"/>
  <c r="AA253" i="23"/>
  <c r="AE253" i="23" s="1"/>
  <c r="AA251" i="23"/>
  <c r="AE251" i="23" s="1"/>
  <c r="AI251" i="23" s="1"/>
  <c r="AE249" i="23"/>
  <c r="I32" i="23"/>
  <c r="I30" i="23"/>
  <c r="I31" i="23"/>
  <c r="I29" i="23"/>
  <c r="M29" i="23" s="1"/>
  <c r="M28" i="23"/>
  <c r="J309" i="23"/>
  <c r="J307" i="23"/>
  <c r="J310" i="23"/>
  <c r="J308" i="23"/>
  <c r="H140" i="23"/>
  <c r="L140" i="23" s="1"/>
  <c r="H138" i="23"/>
  <c r="L138" i="23" s="1"/>
  <c r="H141" i="23"/>
  <c r="L141" i="23" s="1"/>
  <c r="H139" i="23"/>
  <c r="L139" i="23" s="1"/>
  <c r="L137" i="23"/>
  <c r="K269" i="23"/>
  <c r="K267" i="23"/>
  <c r="K270" i="23"/>
  <c r="K268" i="23"/>
  <c r="H150" i="23"/>
  <c r="L150" i="23" s="1"/>
  <c r="H148" i="23"/>
  <c r="L148" i="23" s="1"/>
  <c r="H151" i="23"/>
  <c r="L151" i="23" s="1"/>
  <c r="H149" i="23"/>
  <c r="L149" i="23" s="1"/>
  <c r="L147" i="23"/>
  <c r="K274" i="23"/>
  <c r="K272" i="23"/>
  <c r="K275" i="23"/>
  <c r="K273" i="23"/>
  <c r="J317" i="23"/>
  <c r="J318" i="23"/>
  <c r="J319" i="23"/>
  <c r="J320" i="23"/>
  <c r="Z252" i="23"/>
  <c r="AD252" i="23" s="1"/>
  <c r="Z250" i="23"/>
  <c r="AD250" i="23" s="1"/>
  <c r="AH250" i="23" s="1"/>
  <c r="Z253" i="23"/>
  <c r="AD253" i="23" s="1"/>
  <c r="Z251" i="23"/>
  <c r="AD251" i="23" s="1"/>
  <c r="AH251" i="23" s="1"/>
  <c r="AD249" i="23"/>
  <c r="H175" i="23"/>
  <c r="L175" i="23" s="1"/>
  <c r="H173" i="23"/>
  <c r="L173" i="23" s="1"/>
  <c r="H176" i="23"/>
  <c r="L176" i="23" s="1"/>
  <c r="H174" i="23"/>
  <c r="L174" i="23" s="1"/>
  <c r="L172" i="23"/>
  <c r="J269" i="23"/>
  <c r="J267" i="23"/>
  <c r="J270" i="23"/>
  <c r="J268" i="23"/>
  <c r="X319" i="23"/>
  <c r="AB319" i="23" s="1"/>
  <c r="X317" i="23"/>
  <c r="AB317" i="23" s="1"/>
  <c r="AF317" i="23" s="1"/>
  <c r="X320" i="23"/>
  <c r="AB320" i="23" s="1"/>
  <c r="X318" i="23"/>
  <c r="AB318" i="23" s="1"/>
  <c r="AB316" i="23"/>
  <c r="AA118" i="23"/>
  <c r="AE118" i="23" s="1"/>
  <c r="AA116" i="23"/>
  <c r="AE116" i="23" s="1"/>
  <c r="AI116" i="23" s="1"/>
  <c r="AA119" i="23"/>
  <c r="AE119" i="23" s="1"/>
  <c r="AA117" i="23"/>
  <c r="AE117" i="23" s="1"/>
  <c r="AE115" i="23"/>
  <c r="AA103" i="23"/>
  <c r="AE103" i="23" s="1"/>
  <c r="AA101" i="23"/>
  <c r="AE101" i="23" s="1"/>
  <c r="AI101" i="23" s="1"/>
  <c r="AA104" i="23"/>
  <c r="AE104" i="23" s="1"/>
  <c r="AA102" i="23"/>
  <c r="AE102" i="23" s="1"/>
  <c r="AI102" i="23" s="1"/>
  <c r="AE100" i="23"/>
  <c r="Y289" i="23"/>
  <c r="AC289" i="23" s="1"/>
  <c r="Y287" i="23"/>
  <c r="AC287" i="23" s="1"/>
  <c r="AG287" i="23" s="1"/>
  <c r="Y290" i="23"/>
  <c r="AC290" i="23" s="1"/>
  <c r="AG290" i="23" s="1"/>
  <c r="Y288" i="23"/>
  <c r="AC288" i="23" s="1"/>
  <c r="AC286" i="23"/>
  <c r="Y274" i="23"/>
  <c r="AC274" i="23" s="1"/>
  <c r="Y272" i="23"/>
  <c r="AC272" i="23" s="1"/>
  <c r="AG272" i="23" s="1"/>
  <c r="Y275" i="23"/>
  <c r="AC275" i="23" s="1"/>
  <c r="Y273" i="23"/>
  <c r="AC273" i="23" s="1"/>
  <c r="AC271" i="23"/>
  <c r="Z83" i="23"/>
  <c r="AD83" i="23" s="1"/>
  <c r="Z81" i="23"/>
  <c r="AD81" i="23" s="1"/>
  <c r="AH81" i="23" s="1"/>
  <c r="Z84" i="23"/>
  <c r="AD84" i="23" s="1"/>
  <c r="Z82" i="23"/>
  <c r="AD82" i="23" s="1"/>
  <c r="AD80" i="23"/>
  <c r="I98" i="23"/>
  <c r="M98" i="23" s="1"/>
  <c r="I96" i="23"/>
  <c r="M96" i="23" s="1"/>
  <c r="I99" i="23"/>
  <c r="M99" i="23" s="1"/>
  <c r="I97" i="23"/>
  <c r="M97" i="23" s="1"/>
  <c r="M95" i="23"/>
  <c r="I83" i="23"/>
  <c r="M83" i="23" s="1"/>
  <c r="I81" i="23"/>
  <c r="M81" i="23" s="1"/>
  <c r="I84" i="23"/>
  <c r="M84" i="23" s="1"/>
  <c r="I82" i="23"/>
  <c r="M82" i="23" s="1"/>
  <c r="M80" i="23"/>
  <c r="I195" i="23"/>
  <c r="M195" i="23" s="1"/>
  <c r="I193" i="23"/>
  <c r="M193" i="23" s="1"/>
  <c r="I196" i="23"/>
  <c r="M196" i="23" s="1"/>
  <c r="I194" i="23"/>
  <c r="M194" i="23" s="1"/>
  <c r="M192" i="23"/>
  <c r="H212" i="23"/>
  <c r="L212" i="23" s="1"/>
  <c r="H210" i="23"/>
  <c r="L210" i="23" s="1"/>
  <c r="H213" i="23"/>
  <c r="L213" i="23" s="1"/>
  <c r="H211" i="23"/>
  <c r="L211" i="23" s="1"/>
  <c r="L209" i="23"/>
  <c r="Z264" i="23"/>
  <c r="AD264" i="23" s="1"/>
  <c r="Z262" i="23"/>
  <c r="AD262" i="23" s="1"/>
  <c r="AH262" i="23" s="1"/>
  <c r="Z265" i="23"/>
  <c r="AD265" i="23" s="1"/>
  <c r="Z263" i="23"/>
  <c r="AD263" i="23" s="1"/>
  <c r="AH263" i="23" s="1"/>
  <c r="AD261" i="23"/>
  <c r="Z108" i="23"/>
  <c r="AD108" i="23" s="1"/>
  <c r="Z106" i="23"/>
  <c r="AD106" i="23" s="1"/>
  <c r="AH106" i="23" s="1"/>
  <c r="Z109" i="23"/>
  <c r="AD109" i="23" s="1"/>
  <c r="AH109" i="23" s="1"/>
  <c r="Z107" i="23"/>
  <c r="AD107" i="23" s="1"/>
  <c r="AD105" i="23"/>
  <c r="Y160" i="23"/>
  <c r="AC160" i="23" s="1"/>
  <c r="Y158" i="23"/>
  <c r="AC158" i="23" s="1"/>
  <c r="AG158" i="23" s="1"/>
  <c r="Y161" i="23"/>
  <c r="AC161" i="23" s="1"/>
  <c r="Y159" i="23"/>
  <c r="AC159" i="23" s="1"/>
  <c r="AC157" i="23"/>
  <c r="Y145" i="23"/>
  <c r="AC145" i="23" s="1"/>
  <c r="Y143" i="23"/>
  <c r="AC143" i="23" s="1"/>
  <c r="AG143" i="23" s="1"/>
  <c r="Y146" i="23"/>
  <c r="AC146" i="23" s="1"/>
  <c r="Y144" i="23"/>
  <c r="AC144" i="23" s="1"/>
  <c r="AC142" i="23"/>
  <c r="X217" i="23"/>
  <c r="AB217" i="23" s="1"/>
  <c r="X215" i="23"/>
  <c r="AB215" i="23" s="1"/>
  <c r="AF215" i="23" s="1"/>
  <c r="X218" i="23"/>
  <c r="AB218" i="23" s="1"/>
  <c r="X216" i="23"/>
  <c r="AB216" i="23" s="1"/>
  <c r="AF216" i="23" s="1"/>
  <c r="AB214" i="23"/>
  <c r="H294" i="23"/>
  <c r="L294" i="23" s="1"/>
  <c r="H292" i="23"/>
  <c r="L292" i="23" s="1"/>
  <c r="H295" i="23"/>
  <c r="L295" i="23" s="1"/>
  <c r="H293" i="23"/>
  <c r="L293" i="23" s="1"/>
  <c r="L291" i="23"/>
  <c r="H279" i="23"/>
  <c r="L279" i="23" s="1"/>
  <c r="H277" i="23"/>
  <c r="L277" i="23" s="1"/>
  <c r="H280" i="23"/>
  <c r="L280" i="23" s="1"/>
  <c r="H278" i="23"/>
  <c r="L278" i="23" s="1"/>
  <c r="L276" i="23"/>
  <c r="J118" i="23"/>
  <c r="J116" i="23"/>
  <c r="J119" i="23"/>
  <c r="J117" i="23"/>
  <c r="I145" i="23"/>
  <c r="M145" i="23" s="1"/>
  <c r="I143" i="23"/>
  <c r="M143" i="23" s="1"/>
  <c r="I146" i="23"/>
  <c r="M146" i="23" s="1"/>
  <c r="I144" i="23"/>
  <c r="M144" i="23" s="1"/>
  <c r="M142" i="23"/>
  <c r="I279" i="23"/>
  <c r="M279" i="23" s="1"/>
  <c r="I277" i="23"/>
  <c r="M277" i="23" s="1"/>
  <c r="I280" i="23"/>
  <c r="M280" i="23" s="1"/>
  <c r="I278" i="23"/>
  <c r="M278" i="23" s="1"/>
  <c r="M276" i="23"/>
  <c r="Y133" i="23"/>
  <c r="AC133" i="23" s="1"/>
  <c r="Y131" i="23"/>
  <c r="AC131" i="23" s="1"/>
  <c r="AG131" i="23" s="1"/>
  <c r="Y134" i="23"/>
  <c r="AC134" i="23" s="1"/>
  <c r="AG134" i="23" s="1"/>
  <c r="Y132" i="23"/>
  <c r="AC132" i="23" s="1"/>
  <c r="AC130" i="23"/>
  <c r="Z314" i="23"/>
  <c r="AD314" i="23" s="1"/>
  <c r="Z312" i="23"/>
  <c r="AD312" i="23" s="1"/>
  <c r="AH312" i="23" s="1"/>
  <c r="Z315" i="23"/>
  <c r="AD315" i="23" s="1"/>
  <c r="Z313" i="23"/>
  <c r="AD313" i="23" s="1"/>
  <c r="AD311" i="23"/>
  <c r="H289" i="23"/>
  <c r="L289" i="23" s="1"/>
  <c r="H287" i="23"/>
  <c r="L287" i="23" s="1"/>
  <c r="H290" i="23"/>
  <c r="L290" i="23" s="1"/>
  <c r="H288" i="23"/>
  <c r="L288" i="23" s="1"/>
  <c r="L286" i="23"/>
  <c r="AA27" i="23"/>
  <c r="AA25" i="23"/>
  <c r="AE23" i="23"/>
  <c r="AA26" i="23"/>
  <c r="AA24" i="23"/>
  <c r="H170" i="23"/>
  <c r="L170" i="23" s="1"/>
  <c r="H168" i="23"/>
  <c r="L168" i="23" s="1"/>
  <c r="H171" i="23"/>
  <c r="L171" i="23" s="1"/>
  <c r="H169" i="23"/>
  <c r="L169" i="23" s="1"/>
  <c r="L167" i="23"/>
  <c r="Z217" i="23"/>
  <c r="AD217" i="23" s="1"/>
  <c r="Z215" i="23"/>
  <c r="AD215" i="23" s="1"/>
  <c r="AH215" i="23" s="1"/>
  <c r="Z218" i="23"/>
  <c r="AD218" i="23" s="1"/>
  <c r="Z216" i="23"/>
  <c r="AD216" i="23" s="1"/>
  <c r="AD214" i="23"/>
  <c r="X88" i="23"/>
  <c r="AB88" i="23" s="1"/>
  <c r="X86" i="23"/>
  <c r="AB86" i="23" s="1"/>
  <c r="AF86" i="23" s="1"/>
  <c r="X89" i="23"/>
  <c r="AB89" i="23" s="1"/>
  <c r="X87" i="23"/>
  <c r="AB87" i="23" s="1"/>
  <c r="AB85" i="23"/>
  <c r="Z232" i="23"/>
  <c r="AD232" i="23" s="1"/>
  <c r="Z230" i="23"/>
  <c r="AD230" i="23" s="1"/>
  <c r="AH230" i="23" s="1"/>
  <c r="Z233" i="23"/>
  <c r="AD233" i="23" s="1"/>
  <c r="Z231" i="23"/>
  <c r="AD231" i="23" s="1"/>
  <c r="AH231" i="23" s="1"/>
  <c r="AD229" i="23"/>
  <c r="J232" i="23"/>
  <c r="J230" i="23"/>
  <c r="J233" i="23"/>
  <c r="J231" i="23"/>
  <c r="J217" i="23"/>
  <c r="J215" i="23"/>
  <c r="J218" i="23"/>
  <c r="J216" i="23"/>
  <c r="I128" i="23"/>
  <c r="M128" i="23" s="1"/>
  <c r="I126" i="23"/>
  <c r="M126" i="23" s="1"/>
  <c r="I129" i="23"/>
  <c r="M129" i="23" s="1"/>
  <c r="I127" i="23"/>
  <c r="M127" i="23" s="1"/>
  <c r="M125" i="23"/>
  <c r="I113" i="23"/>
  <c r="M113" i="23" s="1"/>
  <c r="I111" i="23"/>
  <c r="M111" i="23" s="1"/>
  <c r="I114" i="23"/>
  <c r="M114" i="23" s="1"/>
  <c r="I112" i="23"/>
  <c r="M112" i="23" s="1"/>
  <c r="M110" i="23"/>
  <c r="X180" i="23"/>
  <c r="AB180" i="23" s="1"/>
  <c r="X178" i="23"/>
  <c r="AB178" i="23" s="1"/>
  <c r="AF178" i="23" s="1"/>
  <c r="X181" i="23"/>
  <c r="AB181" i="23" s="1"/>
  <c r="X179" i="23"/>
  <c r="AB179" i="23" s="1"/>
  <c r="AB177" i="23"/>
  <c r="J66" i="23"/>
  <c r="J64" i="23"/>
  <c r="J67" i="23"/>
  <c r="J65" i="23"/>
  <c r="J37" i="23"/>
  <c r="J35" i="23"/>
  <c r="J36" i="23"/>
  <c r="J34" i="23"/>
  <c r="Y279" i="23"/>
  <c r="AC279" i="23" s="1"/>
  <c r="Y277" i="23"/>
  <c r="AC277" i="23" s="1"/>
  <c r="AG277" i="23" s="1"/>
  <c r="Y280" i="23"/>
  <c r="AC280" i="23" s="1"/>
  <c r="Y278" i="23"/>
  <c r="AC278" i="23" s="1"/>
  <c r="AG278" i="23" s="1"/>
  <c r="AC276" i="23"/>
  <c r="Y264" i="23"/>
  <c r="AC264" i="23" s="1"/>
  <c r="Y262" i="23"/>
  <c r="AC262" i="23" s="1"/>
  <c r="AG262" i="23" s="1"/>
  <c r="Y265" i="23"/>
  <c r="AC265" i="23" s="1"/>
  <c r="AG265" i="23" s="1"/>
  <c r="Y263" i="23"/>
  <c r="AC263" i="23" s="1"/>
  <c r="AC261" i="23"/>
  <c r="J185" i="23"/>
  <c r="J183" i="23"/>
  <c r="J186" i="23"/>
  <c r="J184" i="23"/>
  <c r="J155" i="23"/>
  <c r="J153" i="23"/>
  <c r="J156" i="23"/>
  <c r="J154" i="23"/>
  <c r="X145" i="23"/>
  <c r="AB145" i="23" s="1"/>
  <c r="X143" i="23"/>
  <c r="AB143" i="23" s="1"/>
  <c r="AF143" i="23" s="1"/>
  <c r="X146" i="23"/>
  <c r="AB146" i="23" s="1"/>
  <c r="X144" i="23"/>
  <c r="AB144" i="23" s="1"/>
  <c r="AB142" i="23"/>
  <c r="AF142" i="23" s="1"/>
  <c r="X123" i="23"/>
  <c r="AB123" i="23" s="1"/>
  <c r="X121" i="23"/>
  <c r="AB121" i="23" s="1"/>
  <c r="AF121" i="23" s="1"/>
  <c r="X124" i="23"/>
  <c r="AB124" i="23" s="1"/>
  <c r="X122" i="23"/>
  <c r="AB122" i="23" s="1"/>
  <c r="AB120" i="23"/>
  <c r="H66" i="23"/>
  <c r="H64" i="23"/>
  <c r="L64" i="23" s="1"/>
  <c r="H67" i="23"/>
  <c r="H65" i="23"/>
  <c r="L63" i="23"/>
  <c r="Z67" i="23"/>
  <c r="Z65" i="23"/>
  <c r="AD63" i="23"/>
  <c r="Z66" i="23"/>
  <c r="Z64" i="23"/>
  <c r="AD64" i="23" s="1"/>
  <c r="AH64" i="23" s="1"/>
  <c r="AD48" i="23"/>
  <c r="Z51" i="23"/>
  <c r="Z49" i="23"/>
  <c r="AD49" i="23" s="1"/>
  <c r="AH49" i="23" s="1"/>
  <c r="Z52" i="23"/>
  <c r="Z50" i="23"/>
  <c r="I257" i="23"/>
  <c r="M257" i="23" s="1"/>
  <c r="I255" i="23"/>
  <c r="M255" i="23" s="1"/>
  <c r="I258" i="23"/>
  <c r="M258" i="23" s="1"/>
  <c r="I256" i="23"/>
  <c r="M256" i="23" s="1"/>
  <c r="M254" i="23"/>
  <c r="I252" i="23"/>
  <c r="M252" i="23" s="1"/>
  <c r="I250" i="23"/>
  <c r="M250" i="23" s="1"/>
  <c r="I253" i="23"/>
  <c r="M253" i="23" s="1"/>
  <c r="I251" i="23"/>
  <c r="M251" i="23" s="1"/>
  <c r="M249" i="23"/>
  <c r="X242" i="23"/>
  <c r="AB242" i="23" s="1"/>
  <c r="X240" i="23"/>
  <c r="AB240" i="23" s="1"/>
  <c r="AF240" i="23" s="1"/>
  <c r="X243" i="23"/>
  <c r="AB243" i="23" s="1"/>
  <c r="AF243" i="23" s="1"/>
  <c r="X241" i="23"/>
  <c r="AB241" i="23" s="1"/>
  <c r="AB239" i="23"/>
  <c r="J212" i="23"/>
  <c r="J210" i="23"/>
  <c r="J213" i="23"/>
  <c r="J211" i="23"/>
  <c r="J314" i="23"/>
  <c r="J312" i="23"/>
  <c r="J315" i="23"/>
  <c r="J313" i="23"/>
  <c r="I108" i="23"/>
  <c r="M108" i="23" s="1"/>
  <c r="N108" i="23" s="1"/>
  <c r="O108" i="23" s="1"/>
  <c r="P108" i="23" s="1"/>
  <c r="Q108" i="23" s="1"/>
  <c r="R108" i="23" s="1"/>
  <c r="S108" i="23" s="1"/>
  <c r="T108" i="23" s="1"/>
  <c r="U108" i="23" s="1"/>
  <c r="V108" i="23" s="1"/>
  <c r="I106" i="23"/>
  <c r="M106" i="23" s="1"/>
  <c r="N106" i="23" s="1"/>
  <c r="O106" i="23" s="1"/>
  <c r="P106" i="23" s="1"/>
  <c r="Q106" i="23" s="1"/>
  <c r="R106" i="23" s="1"/>
  <c r="S106" i="23" s="1"/>
  <c r="T106" i="23" s="1"/>
  <c r="U106" i="23" s="1"/>
  <c r="V106" i="23" s="1"/>
  <c r="I109" i="23"/>
  <c r="M109" i="23" s="1"/>
  <c r="N109" i="23" s="1"/>
  <c r="O109" i="23" s="1"/>
  <c r="P109" i="23" s="1"/>
  <c r="Q109" i="23" s="1"/>
  <c r="R109" i="23" s="1"/>
  <c r="S109" i="23" s="1"/>
  <c r="T109" i="23" s="1"/>
  <c r="U109" i="23" s="1"/>
  <c r="V109" i="23" s="1"/>
  <c r="I107" i="23"/>
  <c r="M107" i="23" s="1"/>
  <c r="N107" i="23" s="1"/>
  <c r="O107" i="23" s="1"/>
  <c r="P107" i="23" s="1"/>
  <c r="Q107" i="23" s="1"/>
  <c r="R107" i="23" s="1"/>
  <c r="S107" i="23" s="1"/>
  <c r="T107" i="23" s="1"/>
  <c r="U107" i="23" s="1"/>
  <c r="V107" i="23" s="1"/>
  <c r="M105" i="23"/>
  <c r="N105" i="23" s="1"/>
  <c r="O105" i="23" s="1"/>
  <c r="P105" i="23" s="1"/>
  <c r="Q105" i="23" s="1"/>
  <c r="R105" i="23" s="1"/>
  <c r="S105" i="23" s="1"/>
  <c r="T105" i="23" s="1"/>
  <c r="U105" i="23" s="1"/>
  <c r="V105" i="23" s="1"/>
  <c r="I93" i="23"/>
  <c r="M93" i="23" s="1"/>
  <c r="I91" i="23"/>
  <c r="M91" i="23" s="1"/>
  <c r="I94" i="23"/>
  <c r="M94" i="23" s="1"/>
  <c r="I92" i="23"/>
  <c r="M92" i="23" s="1"/>
  <c r="M90" i="23"/>
  <c r="AA160" i="23"/>
  <c r="AE160" i="23" s="1"/>
  <c r="AA158" i="23"/>
  <c r="AE158" i="23" s="1"/>
  <c r="AI158" i="23" s="1"/>
  <c r="AA161" i="23"/>
  <c r="AE161" i="23" s="1"/>
  <c r="AA159" i="23"/>
  <c r="AE159" i="23" s="1"/>
  <c r="AI159" i="23" s="1"/>
  <c r="AE157" i="23"/>
  <c r="AA145" i="23"/>
  <c r="AE145" i="23" s="1"/>
  <c r="AA143" i="23"/>
  <c r="AE143" i="23" s="1"/>
  <c r="AI143" i="23" s="1"/>
  <c r="AA146" i="23"/>
  <c r="AE146" i="23" s="1"/>
  <c r="AI146" i="23" s="1"/>
  <c r="AA144" i="23"/>
  <c r="AE144" i="23" s="1"/>
  <c r="AE142" i="23"/>
  <c r="Z274" i="23"/>
  <c r="AD274" i="23" s="1"/>
  <c r="Z272" i="23"/>
  <c r="AD272" i="23" s="1"/>
  <c r="AH272" i="23" s="1"/>
  <c r="Z275" i="23"/>
  <c r="AD275" i="23" s="1"/>
  <c r="Z273" i="23"/>
  <c r="AD273" i="23" s="1"/>
  <c r="AD271" i="23"/>
  <c r="Z128" i="23"/>
  <c r="AD128" i="23" s="1"/>
  <c r="Z126" i="23"/>
  <c r="AD126" i="23" s="1"/>
  <c r="AH126" i="23" s="1"/>
  <c r="Z129" i="23"/>
  <c r="AD129" i="23" s="1"/>
  <c r="Z127" i="23"/>
  <c r="AD127" i="23" s="1"/>
  <c r="AD125" i="23"/>
  <c r="X140" i="23"/>
  <c r="AB140" i="23" s="1"/>
  <c r="X138" i="23"/>
  <c r="AB138" i="23" s="1"/>
  <c r="AF138" i="23" s="1"/>
  <c r="X141" i="23"/>
  <c r="AB141" i="23" s="1"/>
  <c r="X139" i="23"/>
  <c r="AB139" i="23" s="1"/>
  <c r="AF139" i="23" s="1"/>
  <c r="AB137" i="23"/>
  <c r="H32" i="23"/>
  <c r="H30" i="23"/>
  <c r="L28" i="23"/>
  <c r="H31" i="23"/>
  <c r="H29" i="23"/>
  <c r="L29" i="23" s="1"/>
  <c r="AA279" i="23"/>
  <c r="AE279" i="23" s="1"/>
  <c r="AA277" i="23"/>
  <c r="AE277" i="23" s="1"/>
  <c r="AI277" i="23" s="1"/>
  <c r="AA280" i="23"/>
  <c r="AE280" i="23" s="1"/>
  <c r="AA278" i="23"/>
  <c r="AE278" i="23" s="1"/>
  <c r="AE276" i="23"/>
  <c r="AA264" i="23"/>
  <c r="AE264" i="23" s="1"/>
  <c r="AA262" i="23"/>
  <c r="AE262" i="23" s="1"/>
  <c r="AI262" i="23" s="1"/>
  <c r="AA265" i="23"/>
  <c r="AE265" i="23" s="1"/>
  <c r="AA263" i="23"/>
  <c r="AE263" i="23" s="1"/>
  <c r="AE261" i="23"/>
  <c r="J83" i="23"/>
  <c r="J81" i="23"/>
  <c r="J84" i="23"/>
  <c r="J82" i="23"/>
  <c r="J56" i="23"/>
  <c r="J54" i="23"/>
  <c r="J57" i="23"/>
  <c r="J55" i="23"/>
  <c r="AB38" i="23"/>
  <c r="X41" i="23"/>
  <c r="X39" i="23"/>
  <c r="AB39" i="23" s="1"/>
  <c r="AF39" i="23" s="1"/>
  <c r="X42" i="23"/>
  <c r="X40" i="23"/>
  <c r="AE28" i="23"/>
  <c r="AA31" i="23"/>
  <c r="AA29" i="23"/>
  <c r="AE29" i="23" s="1"/>
  <c r="AI29" i="23" s="1"/>
  <c r="AA32" i="23"/>
  <c r="AA30" i="23"/>
  <c r="X279" i="23"/>
  <c r="AB279" i="23" s="1"/>
  <c r="X277" i="23"/>
  <c r="AB277" i="23" s="1"/>
  <c r="AF277" i="23" s="1"/>
  <c r="X280" i="23"/>
  <c r="AB280" i="23" s="1"/>
  <c r="X278" i="23"/>
  <c r="AB278" i="23" s="1"/>
  <c r="AB276" i="23"/>
  <c r="AF276" i="23" s="1"/>
  <c r="J247" i="23"/>
  <c r="J245" i="23"/>
  <c r="J248" i="23"/>
  <c r="J246" i="23"/>
  <c r="Y83" i="23"/>
  <c r="AC83" i="23" s="1"/>
  <c r="Y81" i="23"/>
  <c r="AC81" i="23" s="1"/>
  <c r="AG81" i="23" s="1"/>
  <c r="Y84" i="23"/>
  <c r="AC84" i="23" s="1"/>
  <c r="Y82" i="23"/>
  <c r="AC82" i="23" s="1"/>
  <c r="AC80" i="23"/>
  <c r="AA128" i="23"/>
  <c r="AE128" i="23" s="1"/>
  <c r="AA126" i="23"/>
  <c r="AE126" i="23" s="1"/>
  <c r="AI126" i="23" s="1"/>
  <c r="AA129" i="23"/>
  <c r="AE129" i="23" s="1"/>
  <c r="AA127" i="23"/>
  <c r="AE127" i="23" s="1"/>
  <c r="AI127" i="23" s="1"/>
  <c r="AE125" i="23"/>
  <c r="AA113" i="23"/>
  <c r="AE113" i="23" s="1"/>
  <c r="AA111" i="23"/>
  <c r="AE111" i="23" s="1"/>
  <c r="AI111" i="23" s="1"/>
  <c r="AA114" i="23"/>
  <c r="AE114" i="23" s="1"/>
  <c r="AI114" i="23" s="1"/>
  <c r="AA112" i="23"/>
  <c r="AE112" i="23" s="1"/>
  <c r="AE110" i="23"/>
  <c r="K175" i="23"/>
  <c r="K173" i="23"/>
  <c r="K176" i="23"/>
  <c r="K174" i="23"/>
  <c r="I264" i="23"/>
  <c r="M264" i="23" s="1"/>
  <c r="N264" i="23" s="1"/>
  <c r="O264" i="23" s="1"/>
  <c r="P264" i="23" s="1"/>
  <c r="Q264" i="23" s="1"/>
  <c r="R264" i="23" s="1"/>
  <c r="S264" i="23" s="1"/>
  <c r="T264" i="23" s="1"/>
  <c r="U264" i="23" s="1"/>
  <c r="V264" i="23" s="1"/>
  <c r="I262" i="23"/>
  <c r="M262" i="23" s="1"/>
  <c r="N262" i="23" s="1"/>
  <c r="O262" i="23" s="1"/>
  <c r="P262" i="23" s="1"/>
  <c r="Q262" i="23" s="1"/>
  <c r="R262" i="23" s="1"/>
  <c r="S262" i="23" s="1"/>
  <c r="T262" i="23" s="1"/>
  <c r="U262" i="23" s="1"/>
  <c r="V262" i="23" s="1"/>
  <c r="I265" i="23"/>
  <c r="M265" i="23" s="1"/>
  <c r="N265" i="23" s="1"/>
  <c r="O265" i="23" s="1"/>
  <c r="P265" i="23" s="1"/>
  <c r="Q265" i="23" s="1"/>
  <c r="R265" i="23" s="1"/>
  <c r="S265" i="23" s="1"/>
  <c r="T265" i="23" s="1"/>
  <c r="U265" i="23" s="1"/>
  <c r="V265" i="23" s="1"/>
  <c r="I263" i="23"/>
  <c r="M263" i="23" s="1"/>
  <c r="N263" i="23" s="1"/>
  <c r="O263" i="23" s="1"/>
  <c r="P263" i="23" s="1"/>
  <c r="Q263" i="23" s="1"/>
  <c r="R263" i="23" s="1"/>
  <c r="S263" i="23" s="1"/>
  <c r="T263" i="23" s="1"/>
  <c r="U263" i="23" s="1"/>
  <c r="V263" i="23" s="1"/>
  <c r="M261" i="23"/>
  <c r="N261" i="23" s="1"/>
  <c r="O261" i="23" s="1"/>
  <c r="P261" i="23" s="1"/>
  <c r="Q261" i="23" s="1"/>
  <c r="R261" i="23" s="1"/>
  <c r="S261" i="23" s="1"/>
  <c r="T261" i="23" s="1"/>
  <c r="U261" i="23" s="1"/>
  <c r="V261" i="23" s="1"/>
  <c r="Y88" i="23"/>
  <c r="AC88" i="23" s="1"/>
  <c r="Y86" i="23"/>
  <c r="AC86" i="23" s="1"/>
  <c r="AG86" i="23" s="1"/>
  <c r="Y89" i="23"/>
  <c r="AC89" i="23" s="1"/>
  <c r="Y87" i="23"/>
  <c r="AC87" i="23" s="1"/>
  <c r="AC85" i="23"/>
  <c r="X67" i="23"/>
  <c r="X65" i="23"/>
  <c r="AB63" i="23"/>
  <c r="X66" i="23"/>
  <c r="X64" i="23"/>
  <c r="AB64" i="23" s="1"/>
  <c r="AF64" i="23" s="1"/>
  <c r="Z207" i="23"/>
  <c r="AD207" i="23" s="1"/>
  <c r="Z205" i="23"/>
  <c r="AD205" i="23" s="1"/>
  <c r="AH205" i="23" s="1"/>
  <c r="Z208" i="23"/>
  <c r="AD208" i="23" s="1"/>
  <c r="AH208" i="23" s="1"/>
  <c r="Z206" i="23"/>
  <c r="AD206" i="23" s="1"/>
  <c r="AD204" i="23"/>
  <c r="H93" i="23"/>
  <c r="L93" i="23" s="1"/>
  <c r="H91" i="23"/>
  <c r="L91" i="23" s="1"/>
  <c r="H94" i="23"/>
  <c r="L94" i="23" s="1"/>
  <c r="H92" i="23"/>
  <c r="L92" i="23" s="1"/>
  <c r="L90" i="23"/>
  <c r="J31" i="23"/>
  <c r="J29" i="23"/>
  <c r="J32" i="23"/>
  <c r="J30" i="23"/>
  <c r="K289" i="23"/>
  <c r="K287" i="23"/>
  <c r="K290" i="23"/>
  <c r="K288" i="23"/>
  <c r="I56" i="23"/>
  <c r="I54" i="23"/>
  <c r="M54" i="23" s="1"/>
  <c r="M53" i="23"/>
  <c r="I57" i="23"/>
  <c r="I55" i="23"/>
  <c r="K145" i="23"/>
  <c r="K143" i="23"/>
  <c r="K146" i="23"/>
  <c r="K144" i="23"/>
  <c r="H274" i="23"/>
  <c r="L274" i="23" s="1"/>
  <c r="H272" i="23"/>
  <c r="L272" i="23" s="1"/>
  <c r="H275" i="23"/>
  <c r="L275" i="23" s="1"/>
  <c r="H273" i="23"/>
  <c r="L273" i="23" s="1"/>
  <c r="L271" i="23"/>
  <c r="Y232" i="23"/>
  <c r="AC232" i="23" s="1"/>
  <c r="Y230" i="23"/>
  <c r="AC230" i="23" s="1"/>
  <c r="AG230" i="23" s="1"/>
  <c r="Y233" i="23"/>
  <c r="AC233" i="23" s="1"/>
  <c r="AG233" i="23" s="1"/>
  <c r="Y231" i="23"/>
  <c r="AC231" i="23" s="1"/>
  <c r="AC229" i="23"/>
  <c r="X299" i="23"/>
  <c r="AB299" i="23" s="1"/>
  <c r="X297" i="23"/>
  <c r="AB297" i="23" s="1"/>
  <c r="AF297" i="23" s="1"/>
  <c r="X300" i="23"/>
  <c r="AB300" i="23" s="1"/>
  <c r="X298" i="23"/>
  <c r="AB298" i="23" s="1"/>
  <c r="AB296" i="23"/>
  <c r="AF296" i="23" s="1"/>
  <c r="H160" i="23"/>
  <c r="L160" i="23" s="1"/>
  <c r="H158" i="23"/>
  <c r="L158" i="23" s="1"/>
  <c r="H161" i="23"/>
  <c r="L161" i="23" s="1"/>
  <c r="H159" i="23"/>
  <c r="L159" i="23" s="1"/>
  <c r="L157" i="23"/>
  <c r="I160" i="23"/>
  <c r="M160" i="23" s="1"/>
  <c r="I158" i="23"/>
  <c r="M158" i="23" s="1"/>
  <c r="I161" i="23"/>
  <c r="M161" i="23" s="1"/>
  <c r="I159" i="23"/>
  <c r="M159" i="23" s="1"/>
  <c r="M157" i="23"/>
  <c r="I133" i="23"/>
  <c r="M133" i="23" s="1"/>
  <c r="I131" i="23"/>
  <c r="M131" i="23" s="1"/>
  <c r="I134" i="23"/>
  <c r="M134" i="23" s="1"/>
  <c r="I132" i="23"/>
  <c r="M132" i="23" s="1"/>
  <c r="M130" i="23"/>
  <c r="AA309" i="23"/>
  <c r="AE309" i="23" s="1"/>
  <c r="AA307" i="23"/>
  <c r="AE307" i="23" s="1"/>
  <c r="AI307" i="23" s="1"/>
  <c r="AA310" i="23"/>
  <c r="AE310" i="23" s="1"/>
  <c r="AA308" i="23"/>
  <c r="AE308" i="23" s="1"/>
  <c r="AE306" i="23"/>
  <c r="AI306" i="23" s="1"/>
  <c r="AA294" i="23"/>
  <c r="AE294" i="23" s="1"/>
  <c r="AA292" i="23"/>
  <c r="AE292" i="23" s="1"/>
  <c r="AI292" i="23" s="1"/>
  <c r="AA295" i="23"/>
  <c r="AE295" i="23" s="1"/>
  <c r="AA293" i="23"/>
  <c r="AE293" i="23" s="1"/>
  <c r="AE291" i="23"/>
  <c r="X232" i="23"/>
  <c r="AB232" i="23" s="1"/>
  <c r="X230" i="23"/>
  <c r="AB230" i="23" s="1"/>
  <c r="AF230" i="23" s="1"/>
  <c r="X233" i="23"/>
  <c r="AB233" i="23" s="1"/>
  <c r="X231" i="23"/>
  <c r="AB231" i="23" s="1"/>
  <c r="AF231" i="23" s="1"/>
  <c r="AB229" i="23"/>
  <c r="AA150" i="23"/>
  <c r="AE150" i="23" s="1"/>
  <c r="AA148" i="23"/>
  <c r="AE148" i="23" s="1"/>
  <c r="AI148" i="23" s="1"/>
  <c r="AA151" i="23"/>
  <c r="AE151" i="23" s="1"/>
  <c r="AI151" i="23" s="1"/>
  <c r="AA149" i="23"/>
  <c r="AE149" i="23" s="1"/>
  <c r="AE147" i="23"/>
  <c r="I51" i="23"/>
  <c r="I49" i="23"/>
  <c r="M49" i="23" s="1"/>
  <c r="I52" i="23"/>
  <c r="I50" i="23"/>
  <c r="M48" i="23"/>
  <c r="K72" i="23"/>
  <c r="K70" i="23"/>
  <c r="K71" i="23"/>
  <c r="K69" i="23"/>
  <c r="Y98" i="23"/>
  <c r="AC98" i="23" s="1"/>
  <c r="Y96" i="23"/>
  <c r="AC96" i="23" s="1"/>
  <c r="AG96" i="23" s="1"/>
  <c r="Y99" i="23"/>
  <c r="AC99" i="23" s="1"/>
  <c r="Y97" i="23"/>
  <c r="AC97" i="23" s="1"/>
  <c r="AC95" i="23"/>
  <c r="Z284" i="23"/>
  <c r="AD284" i="23" s="1"/>
  <c r="Z282" i="23"/>
  <c r="AD282" i="23" s="1"/>
  <c r="AH282" i="23" s="1"/>
  <c r="Z285" i="23"/>
  <c r="AD285" i="23" s="1"/>
  <c r="Z283" i="23"/>
  <c r="AD283" i="23" s="1"/>
  <c r="AH283" i="23" s="1"/>
  <c r="AD281" i="23"/>
  <c r="AE63" i="23"/>
  <c r="AA66" i="23"/>
  <c r="AA64" i="23"/>
  <c r="AE64" i="23" s="1"/>
  <c r="AI64" i="23" s="1"/>
  <c r="AA67" i="23"/>
  <c r="AA65" i="23"/>
  <c r="Z180" i="23"/>
  <c r="AD180" i="23" s="1"/>
  <c r="Z178" i="23"/>
  <c r="AD178" i="23" s="1"/>
  <c r="AH178" i="23" s="1"/>
  <c r="Z181" i="23"/>
  <c r="AD181" i="23" s="1"/>
  <c r="Z179" i="23"/>
  <c r="AD179" i="23" s="1"/>
  <c r="AD177" i="23"/>
  <c r="AH177" i="23" s="1"/>
  <c r="H269" i="23"/>
  <c r="L269" i="23" s="1"/>
  <c r="H267" i="23"/>
  <c r="L267" i="23" s="1"/>
  <c r="H270" i="23"/>
  <c r="L270" i="23" s="1"/>
  <c r="H268" i="23"/>
  <c r="L268" i="23" s="1"/>
  <c r="L266" i="23"/>
  <c r="K56" i="23"/>
  <c r="K54" i="23"/>
  <c r="K57" i="23"/>
  <c r="K55" i="23"/>
  <c r="K41" i="23"/>
  <c r="K39" i="23"/>
  <c r="K42" i="23"/>
  <c r="K40" i="23"/>
  <c r="K123" i="23"/>
  <c r="K121" i="23"/>
  <c r="K124" i="23"/>
  <c r="K122" i="23"/>
  <c r="AA207" i="23"/>
  <c r="AE207" i="23" s="1"/>
  <c r="AA205" i="23"/>
  <c r="AE205" i="23" s="1"/>
  <c r="AI205" i="23" s="1"/>
  <c r="AA208" i="23"/>
  <c r="AE208" i="23" s="1"/>
  <c r="AA206" i="23"/>
  <c r="AE206" i="23" s="1"/>
  <c r="AI206" i="23" s="1"/>
  <c r="AE204" i="23"/>
  <c r="AA289" i="23"/>
  <c r="AE289" i="23" s="1"/>
  <c r="AA287" i="23"/>
  <c r="AE287" i="23" s="1"/>
  <c r="AI287" i="23" s="1"/>
  <c r="AA290" i="23"/>
  <c r="AE290" i="23" s="1"/>
  <c r="AI290" i="23" s="1"/>
  <c r="AA288" i="23"/>
  <c r="AE288" i="23" s="1"/>
  <c r="AE286" i="23"/>
  <c r="AA274" i="23"/>
  <c r="AE274" i="23" s="1"/>
  <c r="AA272" i="23"/>
  <c r="AE272" i="23" s="1"/>
  <c r="AI272" i="23" s="1"/>
  <c r="AA275" i="23"/>
  <c r="AE275" i="23" s="1"/>
  <c r="AA273" i="23"/>
  <c r="AE273" i="23" s="1"/>
  <c r="AE271" i="23"/>
  <c r="AI271" i="23" s="1"/>
  <c r="I190" i="23"/>
  <c r="M190" i="23" s="1"/>
  <c r="I188" i="23"/>
  <c r="M188" i="23" s="1"/>
  <c r="I191" i="23"/>
  <c r="M191" i="23" s="1"/>
  <c r="I189" i="23"/>
  <c r="M189" i="23" s="1"/>
  <c r="M187" i="23"/>
  <c r="I175" i="23"/>
  <c r="M175" i="23" s="1"/>
  <c r="I173" i="23"/>
  <c r="M173" i="23" s="1"/>
  <c r="I176" i="23"/>
  <c r="M176" i="23" s="1"/>
  <c r="I174" i="23"/>
  <c r="M174" i="23" s="1"/>
  <c r="M172" i="23"/>
  <c r="K264" i="23"/>
  <c r="K262" i="23"/>
  <c r="K265" i="23"/>
  <c r="K263" i="23"/>
  <c r="I309" i="23"/>
  <c r="M309" i="23" s="1"/>
  <c r="I307" i="23"/>
  <c r="M307" i="23" s="1"/>
  <c r="I310" i="23"/>
  <c r="M310" i="23" s="1"/>
  <c r="I308" i="23"/>
  <c r="M308" i="23" s="1"/>
  <c r="M306" i="23"/>
  <c r="I294" i="23"/>
  <c r="M294" i="23" s="1"/>
  <c r="I292" i="23"/>
  <c r="M292" i="23" s="1"/>
  <c r="I295" i="23"/>
  <c r="M295" i="23" s="1"/>
  <c r="I293" i="23"/>
  <c r="M293" i="23" s="1"/>
  <c r="M291" i="23"/>
  <c r="AA78" i="23"/>
  <c r="AE78" i="23" s="1"/>
  <c r="AA76" i="23"/>
  <c r="AE76" i="23" s="1"/>
  <c r="AI76" i="23" s="1"/>
  <c r="AA79" i="23"/>
  <c r="AE79" i="23" s="1"/>
  <c r="AA77" i="23"/>
  <c r="AE77" i="23" s="1"/>
  <c r="AE75" i="23"/>
  <c r="H47" i="23"/>
  <c r="H45" i="23"/>
  <c r="L43" i="23"/>
  <c r="H46" i="23"/>
  <c r="H44" i="23"/>
  <c r="L44" i="23" s="1"/>
  <c r="Y93" i="23"/>
  <c r="AC93" i="23" s="1"/>
  <c r="Y91" i="23"/>
  <c r="AC91" i="23" s="1"/>
  <c r="AG91" i="23" s="1"/>
  <c r="Y94" i="23"/>
  <c r="AC94" i="23" s="1"/>
  <c r="AG94" i="23" s="1"/>
  <c r="Y92" i="23"/>
  <c r="AC92" i="23" s="1"/>
  <c r="AC90" i="23"/>
  <c r="I47" i="23"/>
  <c r="I45" i="23"/>
  <c r="I46" i="23"/>
  <c r="I44" i="23"/>
  <c r="M44" i="23" s="1"/>
  <c r="M43" i="23"/>
  <c r="Z242" i="23"/>
  <c r="AD242" i="23" s="1"/>
  <c r="Z240" i="23"/>
  <c r="AD240" i="23" s="1"/>
  <c r="AH240" i="23" s="1"/>
  <c r="Z243" i="23"/>
  <c r="AD243" i="23" s="1"/>
  <c r="Z241" i="23"/>
  <c r="AD241" i="23" s="1"/>
  <c r="AD239" i="23"/>
  <c r="Z212" i="23"/>
  <c r="AD212" i="23" s="1"/>
  <c r="Z210" i="23"/>
  <c r="AD210" i="23" s="1"/>
  <c r="AH210" i="23" s="1"/>
  <c r="Z213" i="23"/>
  <c r="AD213" i="23" s="1"/>
  <c r="Z211" i="23"/>
  <c r="AD211" i="23" s="1"/>
  <c r="AH211" i="23" s="1"/>
  <c r="AD209" i="23"/>
  <c r="X212" i="23"/>
  <c r="AB212" i="23" s="1"/>
  <c r="X210" i="23"/>
  <c r="AB210" i="23" s="1"/>
  <c r="AF210" i="23" s="1"/>
  <c r="X213" i="23"/>
  <c r="AB213" i="23" s="1"/>
  <c r="AF213" i="23" s="1"/>
  <c r="X211" i="23"/>
  <c r="AB211" i="23" s="1"/>
  <c r="AB209" i="23"/>
  <c r="AA242" i="23"/>
  <c r="AE242" i="23" s="1"/>
  <c r="AA240" i="23"/>
  <c r="AE240" i="23" s="1"/>
  <c r="AI240" i="23" s="1"/>
  <c r="AA243" i="23"/>
  <c r="AE243" i="23" s="1"/>
  <c r="AA241" i="23"/>
  <c r="AE241" i="23" s="1"/>
  <c r="AE239" i="23"/>
  <c r="AI239" i="23" s="1"/>
  <c r="I118" i="23"/>
  <c r="M118" i="23" s="1"/>
  <c r="I116" i="23"/>
  <c r="M116" i="23" s="1"/>
  <c r="I119" i="23"/>
  <c r="M119" i="23" s="1"/>
  <c r="I117" i="23"/>
  <c r="M117" i="23" s="1"/>
  <c r="M115" i="23"/>
  <c r="I103" i="23"/>
  <c r="M103" i="23" s="1"/>
  <c r="I101" i="23"/>
  <c r="M101" i="23" s="1"/>
  <c r="I104" i="23"/>
  <c r="M104" i="23" s="1"/>
  <c r="I102" i="23"/>
  <c r="M102" i="23" s="1"/>
  <c r="M100" i="23"/>
  <c r="J52" i="23"/>
  <c r="J50" i="23"/>
  <c r="J51" i="23"/>
  <c r="J49" i="23"/>
  <c r="X103" i="23"/>
  <c r="AB103" i="23" s="1"/>
  <c r="X101" i="23"/>
  <c r="AB101" i="23" s="1"/>
  <c r="AF101" i="23" s="1"/>
  <c r="X104" i="23"/>
  <c r="AB104" i="23" s="1"/>
  <c r="AF104" i="23" s="1"/>
  <c r="X102" i="23"/>
  <c r="AB102" i="23" s="1"/>
  <c r="AB100" i="23"/>
  <c r="X222" i="23"/>
  <c r="AB222" i="23" s="1"/>
  <c r="X220" i="23"/>
  <c r="AB220" i="23" s="1"/>
  <c r="AF220" i="23" s="1"/>
  <c r="X223" i="23"/>
  <c r="AB223" i="23" s="1"/>
  <c r="X221" i="23"/>
  <c r="AB221" i="23" s="1"/>
  <c r="AB219" i="23"/>
  <c r="AF219" i="23" s="1"/>
  <c r="J237" i="23"/>
  <c r="J235" i="23"/>
  <c r="J238" i="23"/>
  <c r="J236" i="23"/>
  <c r="J93" i="23"/>
  <c r="J91" i="23"/>
  <c r="J94" i="23"/>
  <c r="J92" i="23"/>
  <c r="I61" i="23"/>
  <c r="I59" i="23"/>
  <c r="M59" i="23" s="1"/>
  <c r="I62" i="23"/>
  <c r="I60" i="23"/>
  <c r="M58" i="23"/>
  <c r="X190" i="23"/>
  <c r="AB190" i="23" s="1"/>
  <c r="X188" i="23"/>
  <c r="AB188" i="23" s="1"/>
  <c r="AF188" i="23" s="1"/>
  <c r="X191" i="23"/>
  <c r="AB191" i="23" s="1"/>
  <c r="X189" i="23"/>
  <c r="AB189" i="23" s="1"/>
  <c r="AF189" i="23" s="1"/>
  <c r="AB187" i="23"/>
  <c r="J180" i="23"/>
  <c r="J178" i="23"/>
  <c r="J181" i="23"/>
  <c r="J179" i="23"/>
  <c r="Z202" i="23"/>
  <c r="AD202" i="23" s="1"/>
  <c r="Z200" i="23"/>
  <c r="AD200" i="23" s="1"/>
  <c r="AH200" i="23" s="1"/>
  <c r="Z203" i="23"/>
  <c r="AD203" i="23" s="1"/>
  <c r="AH203" i="23" s="1"/>
  <c r="Z201" i="23"/>
  <c r="AD201" i="23" s="1"/>
  <c r="AD199" i="23"/>
  <c r="H78" i="23"/>
  <c r="L78" i="23" s="1"/>
  <c r="H76" i="23"/>
  <c r="L76" i="23" s="1"/>
  <c r="H79" i="23"/>
  <c r="L79" i="23" s="1"/>
  <c r="H77" i="23"/>
  <c r="L77" i="23" s="1"/>
  <c r="L75" i="23"/>
  <c r="AA222" i="23"/>
  <c r="AE222" i="23" s="1"/>
  <c r="AA220" i="23"/>
  <c r="AE220" i="23" s="1"/>
  <c r="AI220" i="23" s="1"/>
  <c r="AA223" i="23"/>
  <c r="AE223" i="23" s="1"/>
  <c r="AA221" i="23"/>
  <c r="AE221" i="23" s="1"/>
  <c r="AE219" i="23"/>
  <c r="X160" i="23"/>
  <c r="AB160" i="23" s="1"/>
  <c r="X158" i="23"/>
  <c r="AB158" i="23" s="1"/>
  <c r="AF158" i="23" s="1"/>
  <c r="X161" i="23"/>
  <c r="AB161" i="23" s="1"/>
  <c r="X159" i="23"/>
  <c r="AB159" i="23" s="1"/>
  <c r="AF159" i="23" s="1"/>
  <c r="AB157" i="23"/>
  <c r="K47" i="23"/>
  <c r="K45" i="23"/>
  <c r="K46" i="23"/>
  <c r="K44" i="23"/>
  <c r="K31" i="23"/>
  <c r="K29" i="23"/>
  <c r="K32" i="23"/>
  <c r="K30" i="23"/>
  <c r="I217" i="23"/>
  <c r="M217" i="23" s="1"/>
  <c r="I215" i="23"/>
  <c r="M215" i="23" s="1"/>
  <c r="I218" i="23"/>
  <c r="M218" i="23" s="1"/>
  <c r="I216" i="23"/>
  <c r="M216" i="23" s="1"/>
  <c r="M214" i="23"/>
  <c r="I202" i="23"/>
  <c r="M202" i="23" s="1"/>
  <c r="I200" i="23"/>
  <c r="M200" i="23" s="1"/>
  <c r="I203" i="23"/>
  <c r="M203" i="23" s="1"/>
  <c r="I201" i="23"/>
  <c r="M201" i="23" s="1"/>
  <c r="M199" i="23"/>
  <c r="H165" i="23"/>
  <c r="L165" i="23" s="1"/>
  <c r="H163" i="23"/>
  <c r="L163" i="23" s="1"/>
  <c r="H166" i="23"/>
  <c r="L166" i="23" s="1"/>
  <c r="H164" i="23"/>
  <c r="L164" i="23" s="1"/>
  <c r="L162" i="23"/>
  <c r="H237" i="23"/>
  <c r="L237" i="23" s="1"/>
  <c r="H235" i="23"/>
  <c r="L235" i="23" s="1"/>
  <c r="H238" i="23"/>
  <c r="L238" i="23" s="1"/>
  <c r="H236" i="23"/>
  <c r="L236" i="23" s="1"/>
  <c r="L234" i="23"/>
  <c r="H257" i="23"/>
  <c r="L257" i="23" s="1"/>
  <c r="H255" i="23"/>
  <c r="L255" i="23" s="1"/>
  <c r="H258" i="23"/>
  <c r="L258" i="23" s="1"/>
  <c r="H256" i="23"/>
  <c r="L256" i="23" s="1"/>
  <c r="L254" i="23"/>
  <c r="I165" i="23"/>
  <c r="M165" i="23" s="1"/>
  <c r="I163" i="23"/>
  <c r="M163" i="23" s="1"/>
  <c r="I166" i="23"/>
  <c r="M166" i="23" s="1"/>
  <c r="I164" i="23"/>
  <c r="M164" i="23" s="1"/>
  <c r="M162" i="23"/>
  <c r="H180" i="23"/>
  <c r="L180" i="23" s="1"/>
  <c r="H178" i="23"/>
  <c r="L178" i="23" s="1"/>
  <c r="H181" i="23"/>
  <c r="L181" i="23" s="1"/>
  <c r="H179" i="23"/>
  <c r="L179" i="23" s="1"/>
  <c r="L177" i="23"/>
  <c r="AB68" i="23"/>
  <c r="X71" i="23"/>
  <c r="X69" i="23"/>
  <c r="X72" i="23"/>
  <c r="X70" i="23"/>
  <c r="X62" i="23"/>
  <c r="X60" i="23"/>
  <c r="AB58" i="23"/>
  <c r="X61" i="23"/>
  <c r="X59" i="23"/>
  <c r="AB59" i="23" s="1"/>
  <c r="AF59" i="23" s="1"/>
  <c r="K185" i="23"/>
  <c r="K183" i="23"/>
  <c r="K186" i="23"/>
  <c r="K184" i="23"/>
  <c r="K170" i="23"/>
  <c r="K168" i="23"/>
  <c r="K171" i="23"/>
  <c r="K169" i="23"/>
  <c r="Y52" i="23"/>
  <c r="Y50" i="23"/>
  <c r="AC48" i="23"/>
  <c r="Y51" i="23"/>
  <c r="Y49" i="23"/>
  <c r="AC49" i="23" s="1"/>
  <c r="AG49" i="23" s="1"/>
  <c r="AC33" i="23"/>
  <c r="Y36" i="23"/>
  <c r="Y34" i="23"/>
  <c r="AC34" i="23" s="1"/>
  <c r="AG34" i="23" s="1"/>
  <c r="Y37" i="23"/>
  <c r="Y35" i="23"/>
  <c r="Z222" i="23"/>
  <c r="AD222" i="23" s="1"/>
  <c r="Z220" i="23"/>
  <c r="AD220" i="23" s="1"/>
  <c r="AH220" i="23" s="1"/>
  <c r="Z223" i="23"/>
  <c r="AD223" i="23" s="1"/>
  <c r="Z221" i="23"/>
  <c r="AD221" i="23" s="1"/>
  <c r="AH221" i="23" s="1"/>
  <c r="AD219" i="23"/>
  <c r="H202" i="23"/>
  <c r="L202" i="23" s="1"/>
  <c r="H200" i="23"/>
  <c r="L200" i="23" s="1"/>
  <c r="H203" i="23"/>
  <c r="L203" i="23" s="1"/>
  <c r="H201" i="23"/>
  <c r="L201" i="23" s="1"/>
  <c r="L199" i="23"/>
  <c r="H83" i="23"/>
  <c r="L83" i="23" s="1"/>
  <c r="H81" i="23"/>
  <c r="L81" i="23" s="1"/>
  <c r="H84" i="23"/>
  <c r="L84" i="23" s="1"/>
  <c r="H82" i="23"/>
  <c r="L82" i="23" s="1"/>
  <c r="L80" i="23"/>
  <c r="H113" i="23"/>
  <c r="L113" i="23" s="1"/>
  <c r="H111" i="23"/>
  <c r="L111" i="23" s="1"/>
  <c r="H114" i="23"/>
  <c r="L114" i="23" s="1"/>
  <c r="H112" i="23"/>
  <c r="L112" i="23" s="1"/>
  <c r="L110" i="23"/>
  <c r="I299" i="23"/>
  <c r="M299" i="23" s="1"/>
  <c r="I297" i="23"/>
  <c r="M297" i="23" s="1"/>
  <c r="I300" i="23"/>
  <c r="M300" i="23" s="1"/>
  <c r="I298" i="23"/>
  <c r="M298" i="23" s="1"/>
  <c r="M296" i="23"/>
  <c r="I304" i="23"/>
  <c r="M304" i="23" s="1"/>
  <c r="I302" i="23"/>
  <c r="M302" i="23" s="1"/>
  <c r="I305" i="23"/>
  <c r="M305" i="23" s="1"/>
  <c r="I303" i="23"/>
  <c r="M303" i="23" s="1"/>
  <c r="M301" i="23"/>
  <c r="J27" i="23"/>
  <c r="J25" i="23"/>
  <c r="J26" i="23"/>
  <c r="J24" i="23"/>
  <c r="H27" i="23"/>
  <c r="H25" i="23"/>
  <c r="L23" i="23"/>
  <c r="H26" i="23"/>
  <c r="H24" i="23"/>
  <c r="H56" i="23"/>
  <c r="H54" i="23"/>
  <c r="L54" i="23" s="1"/>
  <c r="H57" i="23"/>
  <c r="H55" i="23"/>
  <c r="L53" i="23"/>
  <c r="X257" i="23"/>
  <c r="AB257" i="23" s="1"/>
  <c r="X255" i="23"/>
  <c r="AB255" i="23" s="1"/>
  <c r="AF255" i="23" s="1"/>
  <c r="X258" i="23"/>
  <c r="AB258" i="23" s="1"/>
  <c r="X256" i="23"/>
  <c r="AB256" i="23" s="1"/>
  <c r="AF256" i="23" s="1"/>
  <c r="AB254" i="23"/>
  <c r="X202" i="23"/>
  <c r="AB202" i="23" s="1"/>
  <c r="X200" i="23"/>
  <c r="AB200" i="23" s="1"/>
  <c r="AF200" i="23" s="1"/>
  <c r="X203" i="23"/>
  <c r="AB203" i="23" s="1"/>
  <c r="AF203" i="23" s="1"/>
  <c r="X201" i="23"/>
  <c r="AB201" i="23" s="1"/>
  <c r="AB199" i="23"/>
  <c r="J264" i="23"/>
  <c r="J262" i="23"/>
  <c r="J265" i="23"/>
  <c r="J263" i="23"/>
  <c r="H217" i="23"/>
  <c r="L217" i="23" s="1"/>
  <c r="H215" i="23"/>
  <c r="L215" i="23" s="1"/>
  <c r="H218" i="23"/>
  <c r="L218" i="23" s="1"/>
  <c r="H216" i="23"/>
  <c r="L216" i="23" s="1"/>
  <c r="L214" i="23"/>
  <c r="H247" i="23"/>
  <c r="L247" i="23" s="1"/>
  <c r="H245" i="23"/>
  <c r="L245" i="23" s="1"/>
  <c r="H248" i="23"/>
  <c r="L248" i="23" s="1"/>
  <c r="H246" i="23"/>
  <c r="L246" i="23" s="1"/>
  <c r="L244" i="23"/>
  <c r="I284" i="23"/>
  <c r="M284" i="23" s="1"/>
  <c r="I282" i="23"/>
  <c r="M282" i="23" s="1"/>
  <c r="I285" i="23"/>
  <c r="M285" i="23" s="1"/>
  <c r="I283" i="23"/>
  <c r="M283" i="23" s="1"/>
  <c r="M281" i="23"/>
  <c r="Z195" i="23"/>
  <c r="AD195" i="23" s="1"/>
  <c r="Z193" i="23"/>
  <c r="AD193" i="23" s="1"/>
  <c r="AH193" i="23" s="1"/>
  <c r="Z196" i="23"/>
  <c r="AD196" i="23" s="1"/>
  <c r="AH196" i="23" s="1"/>
  <c r="Z194" i="23"/>
  <c r="AD194" i="23" s="1"/>
  <c r="AD192" i="23"/>
  <c r="Z190" i="23"/>
  <c r="AD190" i="23" s="1"/>
  <c r="Z188" i="23"/>
  <c r="AD188" i="23" s="1"/>
  <c r="AH188" i="23" s="1"/>
  <c r="Z191" i="23"/>
  <c r="AD191" i="23" s="1"/>
  <c r="Z189" i="23"/>
  <c r="AD189" i="23" s="1"/>
  <c r="AD187" i="23"/>
  <c r="AH187" i="23" s="1"/>
  <c r="Z78" i="23"/>
  <c r="AD78" i="23" s="1"/>
  <c r="Z76" i="23"/>
  <c r="AD76" i="23" s="1"/>
  <c r="AH76" i="23" s="1"/>
  <c r="Z79" i="23"/>
  <c r="AD79" i="23" s="1"/>
  <c r="Z77" i="23"/>
  <c r="AD77" i="23" s="1"/>
  <c r="AD75" i="23"/>
  <c r="AD43" i="23"/>
  <c r="Z46" i="23"/>
  <c r="Z44" i="23"/>
  <c r="AD44" i="23" s="1"/>
  <c r="AH44" i="23" s="1"/>
  <c r="Z47" i="23"/>
  <c r="Z45" i="23"/>
  <c r="Z32" i="23"/>
  <c r="Z30" i="23"/>
  <c r="AD28" i="23"/>
  <c r="Z31" i="23"/>
  <c r="Z29" i="23"/>
  <c r="AD29" i="23" s="1"/>
  <c r="AH29" i="23" s="1"/>
  <c r="I247" i="23"/>
  <c r="M247" i="23" s="1"/>
  <c r="I245" i="23"/>
  <c r="M245" i="23" s="1"/>
  <c r="I248" i="23"/>
  <c r="M248" i="23" s="1"/>
  <c r="I246" i="23"/>
  <c r="M246" i="23" s="1"/>
  <c r="M244" i="23"/>
  <c r="I232" i="23"/>
  <c r="M232" i="23" s="1"/>
  <c r="N232" i="23" s="1"/>
  <c r="O232" i="23" s="1"/>
  <c r="P232" i="23" s="1"/>
  <c r="Q232" i="23" s="1"/>
  <c r="R232" i="23" s="1"/>
  <c r="S232" i="23" s="1"/>
  <c r="T232" i="23" s="1"/>
  <c r="U232" i="23" s="1"/>
  <c r="V232" i="23" s="1"/>
  <c r="I230" i="23"/>
  <c r="M230" i="23" s="1"/>
  <c r="N230" i="23" s="1"/>
  <c r="O230" i="23" s="1"/>
  <c r="P230" i="23" s="1"/>
  <c r="Q230" i="23" s="1"/>
  <c r="R230" i="23" s="1"/>
  <c r="S230" i="23" s="1"/>
  <c r="T230" i="23" s="1"/>
  <c r="U230" i="23" s="1"/>
  <c r="V230" i="23" s="1"/>
  <c r="I233" i="23"/>
  <c r="M233" i="23" s="1"/>
  <c r="N233" i="23" s="1"/>
  <c r="O233" i="23" s="1"/>
  <c r="P233" i="23" s="1"/>
  <c r="Q233" i="23" s="1"/>
  <c r="R233" i="23" s="1"/>
  <c r="S233" i="23" s="1"/>
  <c r="T233" i="23" s="1"/>
  <c r="U233" i="23" s="1"/>
  <c r="V233" i="23" s="1"/>
  <c r="I231" i="23"/>
  <c r="M231" i="23" s="1"/>
  <c r="N231" i="23" s="1"/>
  <c r="O231" i="23" s="1"/>
  <c r="P231" i="23" s="1"/>
  <c r="Q231" i="23" s="1"/>
  <c r="R231" i="23" s="1"/>
  <c r="S231" i="23" s="1"/>
  <c r="T231" i="23" s="1"/>
  <c r="U231" i="23" s="1"/>
  <c r="V231" i="23" s="1"/>
  <c r="M229" i="23"/>
  <c r="N229" i="23" s="1"/>
  <c r="O229" i="23" s="1"/>
  <c r="P229" i="23" s="1"/>
  <c r="Q229" i="23" s="1"/>
  <c r="R229" i="23" s="1"/>
  <c r="S229" i="23" s="1"/>
  <c r="T229" i="23" s="1"/>
  <c r="U229" i="23" s="1"/>
  <c r="V229" i="23" s="1"/>
  <c r="AA299" i="23"/>
  <c r="AE299" i="23" s="1"/>
  <c r="AA297" i="23"/>
  <c r="AE297" i="23" s="1"/>
  <c r="AI297" i="23" s="1"/>
  <c r="AA300" i="23"/>
  <c r="AE300" i="23" s="1"/>
  <c r="AA298" i="23"/>
  <c r="AE298" i="23" s="1"/>
  <c r="AI298" i="23" s="1"/>
  <c r="AE296" i="23"/>
  <c r="AA284" i="23"/>
  <c r="AE284" i="23" s="1"/>
  <c r="AA282" i="23"/>
  <c r="AE282" i="23" s="1"/>
  <c r="AI282" i="23" s="1"/>
  <c r="AA285" i="23"/>
  <c r="AE285" i="23" s="1"/>
  <c r="AI285" i="23" s="1"/>
  <c r="AA283" i="23"/>
  <c r="AE283" i="23" s="1"/>
  <c r="AE281" i="23"/>
  <c r="J103" i="23"/>
  <c r="J101" i="23"/>
  <c r="J104" i="23"/>
  <c r="J102" i="23"/>
  <c r="J88" i="23"/>
  <c r="J86" i="23"/>
  <c r="J89" i="23"/>
  <c r="J87" i="23"/>
  <c r="AI296" i="23" l="1"/>
  <c r="AH191" i="23"/>
  <c r="AF254" i="23"/>
  <c r="AF157" i="23"/>
  <c r="AH201" i="23"/>
  <c r="AF187" i="23"/>
  <c r="AF102" i="23"/>
  <c r="AF211" i="23"/>
  <c r="AI288" i="23"/>
  <c r="AI149" i="23"/>
  <c r="AI310" i="23"/>
  <c r="AG231" i="23"/>
  <c r="AH206" i="23"/>
  <c r="AI112" i="23"/>
  <c r="AI280" i="23"/>
  <c r="AF137" i="23"/>
  <c r="AI144" i="23"/>
  <c r="AF146" i="23"/>
  <c r="AG276" i="23"/>
  <c r="AH218" i="23"/>
  <c r="AG132" i="23"/>
  <c r="AG161" i="23"/>
  <c r="AH261" i="23"/>
  <c r="AG275" i="23"/>
  <c r="AI100" i="23"/>
  <c r="AH249" i="23"/>
  <c r="AI248" i="23"/>
  <c r="AG228" i="23"/>
  <c r="AF311" i="23"/>
  <c r="AI92" i="23"/>
  <c r="AF186" i="23"/>
  <c r="AH115" i="23"/>
  <c r="AH278" i="23"/>
  <c r="AI181" i="23"/>
  <c r="AI268" i="23"/>
  <c r="AH159" i="23"/>
  <c r="AG301" i="23"/>
  <c r="AH288" i="23"/>
  <c r="AF166" i="23"/>
  <c r="AF112" i="23"/>
  <c r="AG295" i="23"/>
  <c r="AH238" i="23"/>
  <c r="AG191" i="23"/>
  <c r="AG244" i="23"/>
  <c r="AG105" i="23"/>
  <c r="AI214" i="23"/>
  <c r="AI82" i="23"/>
  <c r="AG179" i="23"/>
  <c r="AF77" i="23"/>
  <c r="AF125" i="23"/>
  <c r="AG154" i="23"/>
  <c r="AF208" i="23"/>
  <c r="AG316" i="23"/>
  <c r="AH97" i="23"/>
  <c r="AI226" i="23"/>
  <c r="AH184" i="23"/>
  <c r="AF236" i="23"/>
  <c r="AI154" i="23"/>
  <c r="AI320" i="23"/>
  <c r="AH99" i="23"/>
  <c r="AI228" i="23"/>
  <c r="AH186" i="23"/>
  <c r="AH132" i="23"/>
  <c r="AI156" i="23"/>
  <c r="AI192" i="23"/>
  <c r="AG162" i="23"/>
  <c r="AH306" i="23"/>
  <c r="AH152" i="23"/>
  <c r="AF249" i="23"/>
  <c r="AG110" i="23"/>
  <c r="AI120" i="23"/>
  <c r="AG214" i="23"/>
  <c r="AI283" i="23"/>
  <c r="AH194" i="23"/>
  <c r="AF201" i="23"/>
  <c r="AH219" i="23"/>
  <c r="AF223" i="23"/>
  <c r="AI243" i="23"/>
  <c r="AH209" i="23"/>
  <c r="AG92" i="23"/>
  <c r="AI275" i="23"/>
  <c r="AI204" i="23"/>
  <c r="AH181" i="23"/>
  <c r="AH281" i="23"/>
  <c r="AF229" i="23"/>
  <c r="AF300" i="23"/>
  <c r="AI125" i="23"/>
  <c r="AF280" i="23"/>
  <c r="AH275" i="23"/>
  <c r="AI157" i="23"/>
  <c r="AF241" i="23"/>
  <c r="AG263" i="23"/>
  <c r="AH229" i="23"/>
  <c r="AH315" i="23"/>
  <c r="AF214" i="23"/>
  <c r="AH107" i="23"/>
  <c r="AG288" i="23"/>
  <c r="AF320" i="23"/>
  <c r="AI249" i="23"/>
  <c r="AF246" i="23"/>
  <c r="AH167" i="23"/>
  <c r="AI139" i="23"/>
  <c r="AG241" i="23"/>
  <c r="AI191" i="23"/>
  <c r="AI105" i="23"/>
  <c r="AF228" i="23"/>
  <c r="AH87" i="23"/>
  <c r="AF275" i="23"/>
  <c r="AH291" i="23"/>
  <c r="AG251" i="23"/>
  <c r="AG254" i="23"/>
  <c r="AF115" i="23"/>
  <c r="AF176" i="23"/>
  <c r="AH172" i="23"/>
  <c r="AG186" i="23"/>
  <c r="AH301" i="23"/>
  <c r="AG209" i="23"/>
  <c r="AF265" i="23"/>
  <c r="AH166" i="23"/>
  <c r="AH90" i="23"/>
  <c r="AG308" i="23"/>
  <c r="AG238" i="23"/>
  <c r="AF90" i="23"/>
  <c r="AG206" i="23"/>
  <c r="AF149" i="23"/>
  <c r="AF99" i="23"/>
  <c r="AF301" i="23"/>
  <c r="AF82" i="23"/>
  <c r="AG104" i="23"/>
  <c r="AH256" i="23"/>
  <c r="AG141" i="23"/>
  <c r="AH296" i="23"/>
  <c r="AI201" i="23"/>
  <c r="AI95" i="23"/>
  <c r="AI196" i="23"/>
  <c r="AG166" i="23"/>
  <c r="AH266" i="23"/>
  <c r="AH310" i="23"/>
  <c r="AH144" i="23"/>
  <c r="AH244" i="23"/>
  <c r="AG167" i="23"/>
  <c r="AG313" i="23"/>
  <c r="AF152" i="23"/>
  <c r="AH156" i="23"/>
  <c r="AG281" i="23"/>
  <c r="AF253" i="23"/>
  <c r="AH316" i="23"/>
  <c r="AG201" i="23"/>
  <c r="AG114" i="23"/>
  <c r="AI124" i="23"/>
  <c r="AI256" i="23"/>
  <c r="AG218" i="23"/>
  <c r="AH102" i="23"/>
  <c r="AG298" i="23"/>
  <c r="AF293" i="23"/>
  <c r="AG181" i="23"/>
  <c r="AH268" i="23"/>
  <c r="AG318" i="23"/>
  <c r="AF238" i="23"/>
  <c r="AI300" i="23"/>
  <c r="AH79" i="23"/>
  <c r="AH189" i="23"/>
  <c r="AI223" i="23"/>
  <c r="AF221" i="23"/>
  <c r="AI241" i="23"/>
  <c r="AH243" i="23"/>
  <c r="AI79" i="23"/>
  <c r="AI273" i="23"/>
  <c r="AH179" i="23"/>
  <c r="AG99" i="23"/>
  <c r="AI295" i="23"/>
  <c r="AI308" i="23"/>
  <c r="AF298" i="23"/>
  <c r="AG89" i="23"/>
  <c r="AG84" i="23"/>
  <c r="AF278" i="23"/>
  <c r="AI265" i="23"/>
  <c r="AI278" i="23"/>
  <c r="AH129" i="23"/>
  <c r="AH273" i="23"/>
  <c r="AF124" i="23"/>
  <c r="AF144" i="23"/>
  <c r="AF181" i="23"/>
  <c r="AF89" i="23"/>
  <c r="AH216" i="23"/>
  <c r="AH313" i="23"/>
  <c r="AG146" i="23"/>
  <c r="AG159" i="23"/>
  <c r="AH84" i="23"/>
  <c r="AG273" i="23"/>
  <c r="AI119" i="23"/>
  <c r="AF318" i="23"/>
  <c r="AI213" i="23"/>
  <c r="AF134" i="23"/>
  <c r="AI246" i="23"/>
  <c r="AG226" i="23"/>
  <c r="AI176" i="23"/>
  <c r="AI189" i="23"/>
  <c r="AF184" i="23"/>
  <c r="AI305" i="23"/>
  <c r="AF226" i="23"/>
  <c r="AG270" i="23"/>
  <c r="AF273" i="23"/>
  <c r="AI166" i="23"/>
  <c r="AI179" i="23"/>
  <c r="AI238" i="23"/>
  <c r="AH228" i="23"/>
  <c r="AF174" i="23"/>
  <c r="AG79" i="23"/>
  <c r="AG184" i="23"/>
  <c r="AF196" i="23"/>
  <c r="AF263" i="23"/>
  <c r="AF164" i="23"/>
  <c r="AH151" i="23"/>
  <c r="AH164" i="23"/>
  <c r="AH124" i="23"/>
  <c r="AG293" i="23"/>
  <c r="AG236" i="23"/>
  <c r="AG119" i="23"/>
  <c r="AH236" i="23"/>
  <c r="AF97" i="23"/>
  <c r="AG176" i="23"/>
  <c r="AG189" i="23"/>
  <c r="AH114" i="23"/>
  <c r="AG102" i="23"/>
  <c r="AF290" i="23"/>
  <c r="AG124" i="23"/>
  <c r="AG139" i="23"/>
  <c r="AI186" i="23"/>
  <c r="AG129" i="23"/>
  <c r="AF171" i="23"/>
  <c r="AI194" i="23"/>
  <c r="AG164" i="23"/>
  <c r="AG196" i="23"/>
  <c r="AH308" i="23"/>
  <c r="AF109" i="23"/>
  <c r="AF206" i="23"/>
  <c r="AI134" i="23"/>
  <c r="AF270" i="23"/>
  <c r="AH154" i="23"/>
  <c r="AF310" i="23"/>
  <c r="AF251" i="23"/>
  <c r="AF285" i="23"/>
  <c r="AI315" i="23"/>
  <c r="AG112" i="23"/>
  <c r="AG151" i="23"/>
  <c r="AI122" i="23"/>
  <c r="AG216" i="23"/>
  <c r="AI89" i="23"/>
  <c r="AH141" i="23"/>
  <c r="AI318" i="23"/>
  <c r="J101" i="57"/>
  <c r="J104" i="57"/>
  <c r="J102" i="57"/>
  <c r="J103" i="57"/>
  <c r="X203" i="57"/>
  <c r="AB203" i="57" s="1"/>
  <c r="X200" i="57"/>
  <c r="AB200" i="57" s="1"/>
  <c r="AF200" i="57" s="1"/>
  <c r="V398" i="12" s="1"/>
  <c r="X202" i="57"/>
  <c r="AB202" i="57" s="1"/>
  <c r="AB199" i="57"/>
  <c r="X201" i="57"/>
  <c r="AB201" i="57" s="1"/>
  <c r="K168" i="57"/>
  <c r="K171" i="57"/>
  <c r="K170" i="57"/>
  <c r="K169" i="57"/>
  <c r="K31" i="57"/>
  <c r="K32" i="57"/>
  <c r="K30" i="57"/>
  <c r="K29" i="57"/>
  <c r="Z201" i="57"/>
  <c r="AD201" i="57" s="1"/>
  <c r="Z200" i="57"/>
  <c r="AD200" i="57" s="1"/>
  <c r="AH200" i="57" s="1"/>
  <c r="X398" i="12" s="1"/>
  <c r="Z203" i="57"/>
  <c r="AD203" i="57" s="1"/>
  <c r="AH203" i="57" s="1"/>
  <c r="X401" i="12" s="1"/>
  <c r="Z202" i="57"/>
  <c r="AD202" i="57" s="1"/>
  <c r="AD199" i="57"/>
  <c r="X223" i="57"/>
  <c r="AB223" i="57" s="1"/>
  <c r="X221" i="57"/>
  <c r="AB221" i="57" s="1"/>
  <c r="X222" i="57"/>
  <c r="AB222" i="57" s="1"/>
  <c r="AB219" i="57"/>
  <c r="X220" i="57"/>
  <c r="AB220" i="57" s="1"/>
  <c r="AF220" i="57" s="1"/>
  <c r="V418" i="12" s="1"/>
  <c r="AA243" i="57"/>
  <c r="AE243" i="57" s="1"/>
  <c r="AI243" i="57" s="1"/>
  <c r="Y441" i="12" s="1"/>
  <c r="AA242" i="57"/>
  <c r="AE242" i="57" s="1"/>
  <c r="AA241" i="57"/>
  <c r="AE241" i="57" s="1"/>
  <c r="AA240" i="57"/>
  <c r="AE240" i="57" s="1"/>
  <c r="AI240" i="57" s="1"/>
  <c r="Y438" i="12" s="1"/>
  <c r="AE239" i="57"/>
  <c r="AI239" i="57" s="1"/>
  <c r="Y437" i="12" s="1"/>
  <c r="Z240" i="57"/>
  <c r="AD240" i="57" s="1"/>
  <c r="AH240" i="57" s="1"/>
  <c r="X438" i="12" s="1"/>
  <c r="AD239" i="57"/>
  <c r="Z243" i="57"/>
  <c r="AD243" i="57" s="1"/>
  <c r="Z242" i="57"/>
  <c r="AD242" i="57" s="1"/>
  <c r="AH242" i="57" s="1"/>
  <c r="X440" i="12" s="1"/>
  <c r="Z241" i="57"/>
  <c r="AD241" i="57" s="1"/>
  <c r="AH241" i="57" s="1"/>
  <c r="X439" i="12" s="1"/>
  <c r="AA287" i="57"/>
  <c r="AE287" i="57" s="1"/>
  <c r="AI287" i="57" s="1"/>
  <c r="Y485" i="12" s="1"/>
  <c r="AA290" i="57"/>
  <c r="AE290" i="57" s="1"/>
  <c r="AE286" i="57"/>
  <c r="AA289" i="57"/>
  <c r="AE289" i="57" s="1"/>
  <c r="AA288" i="57"/>
  <c r="AE288" i="57" s="1"/>
  <c r="AI288" i="57" s="1"/>
  <c r="Y486" i="12" s="1"/>
  <c r="K124" i="57"/>
  <c r="K122" i="57"/>
  <c r="K123" i="57"/>
  <c r="K121" i="57"/>
  <c r="K70" i="57"/>
  <c r="K69" i="57"/>
  <c r="K72" i="57"/>
  <c r="K71" i="57"/>
  <c r="AA292" i="57"/>
  <c r="AE292" i="57" s="1"/>
  <c r="AI292" i="57" s="1"/>
  <c r="Y490" i="12" s="1"/>
  <c r="AA295" i="57"/>
  <c r="AE295" i="57" s="1"/>
  <c r="AA293" i="57"/>
  <c r="AE293" i="57" s="1"/>
  <c r="AE291" i="57"/>
  <c r="AI291" i="57" s="1"/>
  <c r="Y489" i="12" s="1"/>
  <c r="AA294" i="57"/>
  <c r="AE294" i="57" s="1"/>
  <c r="J83" i="57"/>
  <c r="J81" i="57"/>
  <c r="J84" i="57"/>
  <c r="J82" i="57"/>
  <c r="Z273" i="57"/>
  <c r="AD273" i="57" s="1"/>
  <c r="AD271" i="57"/>
  <c r="Z275" i="57"/>
  <c r="AD275" i="57" s="1"/>
  <c r="Z272" i="57"/>
  <c r="AD272" i="57" s="1"/>
  <c r="AH272" i="57" s="1"/>
  <c r="X470" i="12" s="1"/>
  <c r="Z274" i="57"/>
  <c r="AD274" i="57" s="1"/>
  <c r="AH274" i="57" s="1"/>
  <c r="X472" i="12" s="1"/>
  <c r="J314" i="57"/>
  <c r="J313" i="57"/>
  <c r="J312" i="57"/>
  <c r="J315" i="57"/>
  <c r="Y265" i="57"/>
  <c r="AC265" i="57" s="1"/>
  <c r="AC261" i="57"/>
  <c r="Y264" i="57"/>
  <c r="AC264" i="57" s="1"/>
  <c r="Y263" i="57"/>
  <c r="AC263" i="57" s="1"/>
  <c r="Y262" i="57"/>
  <c r="AC262" i="57" s="1"/>
  <c r="AG262" i="57" s="1"/>
  <c r="Z231" i="57"/>
  <c r="AD231" i="57" s="1"/>
  <c r="Z230" i="57"/>
  <c r="AD230" i="57" s="1"/>
  <c r="AH230" i="57" s="1"/>
  <c r="Z232" i="57"/>
  <c r="AD232" i="57" s="1"/>
  <c r="AH232" i="57" s="1"/>
  <c r="Z233" i="57"/>
  <c r="AD233" i="57" s="1"/>
  <c r="AD229" i="57"/>
  <c r="AH229" i="57" s="1"/>
  <c r="Z263" i="57"/>
  <c r="AD263" i="57" s="1"/>
  <c r="Z262" i="57"/>
  <c r="AD262" i="57" s="1"/>
  <c r="AH262" i="57" s="1"/>
  <c r="AD261" i="57"/>
  <c r="Z265" i="57"/>
  <c r="AD265" i="57" s="1"/>
  <c r="Z264" i="57"/>
  <c r="AD264" i="57" s="1"/>
  <c r="X320" i="57"/>
  <c r="AB320" i="57" s="1"/>
  <c r="AF320" i="57" s="1"/>
  <c r="V518" i="12" s="1"/>
  <c r="X319" i="57"/>
  <c r="AB319" i="57" s="1"/>
  <c r="X318" i="57"/>
  <c r="AB318" i="57" s="1"/>
  <c r="X317" i="57"/>
  <c r="AB317" i="57" s="1"/>
  <c r="AF317" i="57" s="1"/>
  <c r="V515" i="12" s="1"/>
  <c r="AB316" i="57"/>
  <c r="Z252" i="57"/>
  <c r="AD252" i="57" s="1"/>
  <c r="Z251" i="57"/>
  <c r="AD251" i="57" s="1"/>
  <c r="AD249" i="57"/>
  <c r="Z250" i="57"/>
  <c r="AD250" i="57" s="1"/>
  <c r="AH250" i="57" s="1"/>
  <c r="X448" i="12" s="1"/>
  <c r="Z253" i="57"/>
  <c r="AD253" i="57" s="1"/>
  <c r="AH253" i="57" s="1"/>
  <c r="X451" i="12" s="1"/>
  <c r="K267" i="57"/>
  <c r="K270" i="57"/>
  <c r="K269" i="57"/>
  <c r="K268" i="57"/>
  <c r="J279" i="57"/>
  <c r="J278" i="57"/>
  <c r="J277" i="57"/>
  <c r="J280" i="57"/>
  <c r="K62" i="57"/>
  <c r="K61" i="57"/>
  <c r="K59" i="57"/>
  <c r="K60" i="57"/>
  <c r="AA250" i="57"/>
  <c r="AE250" i="57" s="1"/>
  <c r="AI250" i="57" s="1"/>
  <c r="Y448" i="12" s="1"/>
  <c r="AA253" i="57"/>
  <c r="AE253" i="57" s="1"/>
  <c r="AE249" i="57"/>
  <c r="AI249" i="57" s="1"/>
  <c r="Y447" i="12" s="1"/>
  <c r="AA252" i="57"/>
  <c r="AE252" i="57" s="1"/>
  <c r="AA251" i="57"/>
  <c r="AE251" i="57" s="1"/>
  <c r="AI251" i="57" s="1"/>
  <c r="Y449" i="12" s="1"/>
  <c r="J299" i="57"/>
  <c r="J298" i="57"/>
  <c r="J297" i="57"/>
  <c r="J300" i="57"/>
  <c r="Y225" i="57"/>
  <c r="AC225" i="57" s="1"/>
  <c r="AG225" i="57" s="1"/>
  <c r="W423" i="12" s="1"/>
  <c r="AC224" i="57"/>
  <c r="AG224" i="57" s="1"/>
  <c r="W422" i="12" s="1"/>
  <c r="Y226" i="57"/>
  <c r="AC226" i="57" s="1"/>
  <c r="Y227" i="57"/>
  <c r="AC227" i="57" s="1"/>
  <c r="Y228" i="57"/>
  <c r="AC228" i="57" s="1"/>
  <c r="X314" i="57"/>
  <c r="AB314" i="57" s="1"/>
  <c r="X313" i="57"/>
  <c r="AB313" i="57" s="1"/>
  <c r="X312" i="57"/>
  <c r="AB312" i="57" s="1"/>
  <c r="AF312" i="57" s="1"/>
  <c r="V510" i="12" s="1"/>
  <c r="X315" i="57"/>
  <c r="AB315" i="57" s="1"/>
  <c r="AB311" i="57"/>
  <c r="AF311" i="57" s="1"/>
  <c r="V509" i="12" s="1"/>
  <c r="J107" i="57"/>
  <c r="J106" i="57"/>
  <c r="J109" i="57"/>
  <c r="J108" i="57"/>
  <c r="X225" i="57"/>
  <c r="AB225" i="57" s="1"/>
  <c r="AF225" i="57" s="1"/>
  <c r="V423" i="12" s="1"/>
  <c r="X228" i="57"/>
  <c r="AB228" i="57" s="1"/>
  <c r="AB224" i="57"/>
  <c r="X227" i="57"/>
  <c r="AB227" i="57" s="1"/>
  <c r="X226" i="57"/>
  <c r="AB226" i="57" s="1"/>
  <c r="AF226" i="57" s="1"/>
  <c r="V424" i="12" s="1"/>
  <c r="K235" i="57"/>
  <c r="K238" i="57"/>
  <c r="K237" i="57"/>
  <c r="K236" i="57"/>
  <c r="Z278" i="57"/>
  <c r="AD278" i="57" s="1"/>
  <c r="Z277" i="57"/>
  <c r="AD277" i="57" s="1"/>
  <c r="AH277" i="57" s="1"/>
  <c r="X475" i="12" s="1"/>
  <c r="Z280" i="57"/>
  <c r="AD280" i="57" s="1"/>
  <c r="AH280" i="57" s="1"/>
  <c r="X478" i="12" s="1"/>
  <c r="Z279" i="57"/>
  <c r="AD279" i="57" s="1"/>
  <c r="AD276" i="57"/>
  <c r="J132" i="57"/>
  <c r="J131" i="57"/>
  <c r="J134" i="57"/>
  <c r="J133" i="57"/>
  <c r="AE234" i="57"/>
  <c r="AA238" i="57"/>
  <c r="AE238" i="57" s="1"/>
  <c r="AA235" i="57"/>
  <c r="AE235" i="57" s="1"/>
  <c r="AI235" i="57" s="1"/>
  <c r="Y433" i="12" s="1"/>
  <c r="AA236" i="57"/>
  <c r="AE236" i="57" s="1"/>
  <c r="AI236" i="57" s="1"/>
  <c r="Y434" i="12" s="1"/>
  <c r="AA237" i="57"/>
  <c r="AE237" i="57" s="1"/>
  <c r="Z228" i="57"/>
  <c r="AD228" i="57" s="1"/>
  <c r="AH228" i="57" s="1"/>
  <c r="X426" i="12" s="1"/>
  <c r="Z227" i="57"/>
  <c r="AD227" i="57" s="1"/>
  <c r="Z226" i="57"/>
  <c r="AD226" i="57" s="1"/>
  <c r="Z225" i="57"/>
  <c r="AD225" i="57" s="1"/>
  <c r="AH225" i="57" s="1"/>
  <c r="X423" i="12" s="1"/>
  <c r="AD224" i="57"/>
  <c r="AH224" i="57" s="1"/>
  <c r="X422" i="12" s="1"/>
  <c r="J97" i="57"/>
  <c r="J96" i="57"/>
  <c r="J99" i="57"/>
  <c r="J98" i="57"/>
  <c r="X263" i="57"/>
  <c r="AB263" i="57" s="1"/>
  <c r="X262" i="57"/>
  <c r="AB262" i="57" s="1"/>
  <c r="AF262" i="57" s="1"/>
  <c r="X265" i="57"/>
  <c r="AB265" i="57" s="1"/>
  <c r="AB261" i="57"/>
  <c r="AF261" i="57" s="1"/>
  <c r="X264" i="57"/>
  <c r="AB264" i="57" s="1"/>
  <c r="Y308" i="57"/>
  <c r="AC308" i="57" s="1"/>
  <c r="Y307" i="57"/>
  <c r="AC307" i="57" s="1"/>
  <c r="AG307" i="57" s="1"/>
  <c r="W505" i="12" s="1"/>
  <c r="Y310" i="57"/>
  <c r="AC310" i="57" s="1"/>
  <c r="AC306" i="57"/>
  <c r="Y309" i="57"/>
  <c r="AC309" i="57" s="1"/>
  <c r="AG309" i="57" s="1"/>
  <c r="W507" i="12" s="1"/>
  <c r="J273" i="57"/>
  <c r="J274" i="57"/>
  <c r="J272" i="57"/>
  <c r="J275" i="57"/>
  <c r="K307" i="57"/>
  <c r="K310" i="57"/>
  <c r="K309" i="57"/>
  <c r="K308" i="57"/>
  <c r="K49" i="57"/>
  <c r="K52" i="57"/>
  <c r="K51" i="57"/>
  <c r="K50" i="57"/>
  <c r="J169" i="57"/>
  <c r="J168" i="57"/>
  <c r="J171" i="57"/>
  <c r="J170" i="57"/>
  <c r="Z255" i="57"/>
  <c r="AD255" i="57" s="1"/>
  <c r="AH255" i="57" s="1"/>
  <c r="X453" i="12" s="1"/>
  <c r="Z258" i="57"/>
  <c r="AD258" i="57" s="1"/>
  <c r="AH258" i="57" s="1"/>
  <c r="X456" i="12" s="1"/>
  <c r="Z256" i="57"/>
  <c r="AD256" i="57" s="1"/>
  <c r="Z257" i="57"/>
  <c r="AD257" i="57" s="1"/>
  <c r="AD254" i="57"/>
  <c r="Z297" i="57"/>
  <c r="AD297" i="57" s="1"/>
  <c r="AH297" i="57" s="1"/>
  <c r="X495" i="12" s="1"/>
  <c r="Z300" i="57"/>
  <c r="AD300" i="57" s="1"/>
  <c r="AD296" i="57"/>
  <c r="Z299" i="57"/>
  <c r="AD299" i="57" s="1"/>
  <c r="Z298" i="57"/>
  <c r="AD298" i="57" s="1"/>
  <c r="AH298" i="57" s="1"/>
  <c r="X496" i="12" s="1"/>
  <c r="AA218" i="57"/>
  <c r="AE218" i="57" s="1"/>
  <c r="AA217" i="57"/>
  <c r="AE217" i="57" s="1"/>
  <c r="AE214" i="57"/>
  <c r="AA216" i="57"/>
  <c r="AE216" i="57" s="1"/>
  <c r="AI216" i="57" s="1"/>
  <c r="Y414" i="12" s="1"/>
  <c r="AA215" i="57"/>
  <c r="AE215" i="57" s="1"/>
  <c r="AI215" i="57" s="1"/>
  <c r="Y413" i="12" s="1"/>
  <c r="K119" i="57"/>
  <c r="K117" i="57"/>
  <c r="K118" i="57"/>
  <c r="K116" i="57"/>
  <c r="K180" i="57"/>
  <c r="K179" i="57"/>
  <c r="K178" i="57"/>
  <c r="K181" i="57"/>
  <c r="Z267" i="57"/>
  <c r="AD267" i="57" s="1"/>
  <c r="AH267" i="57" s="1"/>
  <c r="X465" i="12" s="1"/>
  <c r="AD266" i="57"/>
  <c r="Z270" i="57"/>
  <c r="AD270" i="57" s="1"/>
  <c r="AH270" i="57" s="1"/>
  <c r="X468" i="12" s="1"/>
  <c r="Z268" i="57"/>
  <c r="AD268" i="57" s="1"/>
  <c r="Z269" i="57"/>
  <c r="AD269" i="57" s="1"/>
  <c r="K258" i="57"/>
  <c r="K257" i="57"/>
  <c r="K256" i="57"/>
  <c r="K255" i="57"/>
  <c r="J202" i="57"/>
  <c r="J201" i="57"/>
  <c r="J200" i="57"/>
  <c r="J203" i="57"/>
  <c r="J175" i="57"/>
  <c r="J173" i="57"/>
  <c r="J176" i="57"/>
  <c r="J174" i="57"/>
  <c r="Z245" i="57"/>
  <c r="AD245" i="57" s="1"/>
  <c r="AH245" i="57" s="1"/>
  <c r="X443" i="12" s="1"/>
  <c r="Z248" i="57"/>
  <c r="AD248" i="57" s="1"/>
  <c r="AH248" i="57" s="1"/>
  <c r="X446" i="12" s="1"/>
  <c r="Z247" i="57"/>
  <c r="AD247" i="57" s="1"/>
  <c r="Z246" i="57"/>
  <c r="AD246" i="57" s="1"/>
  <c r="AD244" i="57"/>
  <c r="J148" i="57"/>
  <c r="J151" i="57"/>
  <c r="J150" i="57"/>
  <c r="J149" i="57"/>
  <c r="Y312" i="57"/>
  <c r="AC312" i="57" s="1"/>
  <c r="AG312" i="57" s="1"/>
  <c r="W510" i="12" s="1"/>
  <c r="Y315" i="57"/>
  <c r="AC315" i="57" s="1"/>
  <c r="AC311" i="57"/>
  <c r="Y314" i="57"/>
  <c r="AC314" i="57" s="1"/>
  <c r="Y313" i="57"/>
  <c r="AC313" i="57" s="1"/>
  <c r="Y284" i="57"/>
  <c r="AC284" i="57" s="1"/>
  <c r="AC281" i="57"/>
  <c r="Y283" i="57"/>
  <c r="AC283" i="57" s="1"/>
  <c r="Y285" i="57"/>
  <c r="AC285" i="57" s="1"/>
  <c r="AG285" i="57" s="1"/>
  <c r="W483" i="12" s="1"/>
  <c r="Y282" i="57"/>
  <c r="AC282" i="57" s="1"/>
  <c r="AG282" i="57" s="1"/>
  <c r="W480" i="12" s="1"/>
  <c r="AA226" i="57"/>
  <c r="AE226" i="57" s="1"/>
  <c r="AA225" i="57"/>
  <c r="AE225" i="57" s="1"/>
  <c r="AI225" i="57" s="1"/>
  <c r="Y423" i="12" s="1"/>
  <c r="AA228" i="57"/>
  <c r="AE228" i="57" s="1"/>
  <c r="AE224" i="57"/>
  <c r="AA227" i="57"/>
  <c r="AE227" i="57" s="1"/>
  <c r="J227" i="57"/>
  <c r="J226" i="57"/>
  <c r="J225" i="57"/>
  <c r="J228" i="57"/>
  <c r="AA233" i="57"/>
  <c r="AE233" i="57" s="1"/>
  <c r="AA231" i="57"/>
  <c r="AE231" i="57" s="1"/>
  <c r="AA232" i="57"/>
  <c r="AE232" i="57" s="1"/>
  <c r="AA230" i="57"/>
  <c r="AE230" i="57" s="1"/>
  <c r="AI230" i="57" s="1"/>
  <c r="AE229" i="57"/>
  <c r="K159" i="57"/>
  <c r="K158" i="57"/>
  <c r="K160" i="57"/>
  <c r="K161" i="57"/>
  <c r="J88" i="57"/>
  <c r="J89" i="57"/>
  <c r="J87" i="57"/>
  <c r="J86" i="57"/>
  <c r="X257" i="57"/>
  <c r="AB257" i="57" s="1"/>
  <c r="X258" i="57"/>
  <c r="AB258" i="57" s="1"/>
  <c r="X256" i="57"/>
  <c r="AB256" i="57" s="1"/>
  <c r="X255" i="57"/>
  <c r="AB255" i="57" s="1"/>
  <c r="AF255" i="57" s="1"/>
  <c r="V453" i="12" s="1"/>
  <c r="AB254" i="57"/>
  <c r="J25" i="57"/>
  <c r="J24" i="57"/>
  <c r="J27" i="57"/>
  <c r="J26" i="57"/>
  <c r="Z220" i="57"/>
  <c r="AD220" i="57" s="1"/>
  <c r="AH220" i="57" s="1"/>
  <c r="X418" i="12" s="1"/>
  <c r="Z223" i="57"/>
  <c r="AD223" i="57" s="1"/>
  <c r="Z222" i="57"/>
  <c r="AD222" i="57" s="1"/>
  <c r="Z221" i="57"/>
  <c r="AD221" i="57" s="1"/>
  <c r="AH221" i="57" s="1"/>
  <c r="X419" i="12" s="1"/>
  <c r="AD219" i="57"/>
  <c r="J51" i="57"/>
  <c r="J52" i="57"/>
  <c r="J50" i="57"/>
  <c r="J49" i="57"/>
  <c r="Z210" i="57"/>
  <c r="AD210" i="57" s="1"/>
  <c r="AH210" i="57" s="1"/>
  <c r="X408" i="12" s="1"/>
  <c r="Z213" i="57"/>
  <c r="AD213" i="57" s="1"/>
  <c r="Z212" i="57"/>
  <c r="AD212" i="57" s="1"/>
  <c r="Z211" i="57"/>
  <c r="AD211" i="57" s="1"/>
  <c r="AD209" i="57"/>
  <c r="AH209" i="57" s="1"/>
  <c r="X407" i="12" s="1"/>
  <c r="K54" i="57"/>
  <c r="K57" i="57"/>
  <c r="K56" i="57"/>
  <c r="K55" i="57"/>
  <c r="AA310" i="57"/>
  <c r="AE310" i="57" s="1"/>
  <c r="AA309" i="57"/>
  <c r="AE309" i="57" s="1"/>
  <c r="AA308" i="57"/>
  <c r="AE308" i="57" s="1"/>
  <c r="AA307" i="57"/>
  <c r="AE307" i="57" s="1"/>
  <c r="AI307" i="57" s="1"/>
  <c r="Y505" i="12" s="1"/>
  <c r="AE306" i="57"/>
  <c r="Y232" i="57"/>
  <c r="AC232" i="57" s="1"/>
  <c r="Y231" i="57"/>
  <c r="AC231" i="57" s="1"/>
  <c r="Y230" i="57"/>
  <c r="AC230" i="57" s="1"/>
  <c r="AG230" i="57" s="1"/>
  <c r="Y233" i="57"/>
  <c r="AC233" i="57" s="1"/>
  <c r="AC229" i="57"/>
  <c r="AG229" i="57" s="1"/>
  <c r="K287" i="57"/>
  <c r="K290" i="57"/>
  <c r="K289" i="57"/>
  <c r="K288" i="57"/>
  <c r="Z207" i="57"/>
  <c r="AD207" i="57" s="1"/>
  <c r="Z206" i="57"/>
  <c r="AD206" i="57" s="1"/>
  <c r="Z205" i="57"/>
  <c r="AD205" i="57" s="1"/>
  <c r="AH205" i="57" s="1"/>
  <c r="Z208" i="57"/>
  <c r="AD208" i="57" s="1"/>
  <c r="AH208" i="57" s="1"/>
  <c r="AD204" i="57"/>
  <c r="J247" i="57"/>
  <c r="J246" i="57"/>
  <c r="J245" i="57"/>
  <c r="J248" i="57"/>
  <c r="J56" i="57"/>
  <c r="J55" i="57"/>
  <c r="J54" i="57"/>
  <c r="J57" i="57"/>
  <c r="J156" i="57"/>
  <c r="J155" i="57"/>
  <c r="J154" i="57"/>
  <c r="J153" i="57"/>
  <c r="J64" i="57"/>
  <c r="J67" i="57"/>
  <c r="J66" i="57"/>
  <c r="J65" i="57"/>
  <c r="J215" i="57"/>
  <c r="J218" i="57"/>
  <c r="J216" i="57"/>
  <c r="J217" i="57"/>
  <c r="Y290" i="57"/>
  <c r="AC290" i="57" s="1"/>
  <c r="AC286" i="57"/>
  <c r="Y288" i="57"/>
  <c r="AC288" i="57" s="1"/>
  <c r="AG288" i="57" s="1"/>
  <c r="W486" i="12" s="1"/>
  <c r="Y289" i="57"/>
  <c r="AC289" i="57" s="1"/>
  <c r="Y287" i="57"/>
  <c r="AC287" i="57" s="1"/>
  <c r="AG287" i="57" s="1"/>
  <c r="W485" i="12" s="1"/>
  <c r="J318" i="57"/>
  <c r="J317" i="57"/>
  <c r="J320" i="57"/>
  <c r="J319" i="57"/>
  <c r="J308" i="57"/>
  <c r="J307" i="57"/>
  <c r="J310" i="57"/>
  <c r="J309" i="57"/>
  <c r="Y217" i="57"/>
  <c r="AC217" i="57" s="1"/>
  <c r="Y216" i="57"/>
  <c r="AC216" i="57" s="1"/>
  <c r="AG216" i="57" s="1"/>
  <c r="W414" i="12" s="1"/>
  <c r="Y218" i="57"/>
  <c r="AC218" i="57" s="1"/>
  <c r="Y215" i="57"/>
  <c r="AC215" i="57" s="1"/>
  <c r="AG215" i="57" s="1"/>
  <c r="W413" i="12" s="1"/>
  <c r="AC214" i="57"/>
  <c r="K91" i="57"/>
  <c r="K94" i="57"/>
  <c r="K92" i="57"/>
  <c r="K93" i="57"/>
  <c r="Y299" i="57"/>
  <c r="AC299" i="57" s="1"/>
  <c r="Y298" i="57"/>
  <c r="AC298" i="57" s="1"/>
  <c r="Y297" i="57"/>
  <c r="AC297" i="57" s="1"/>
  <c r="AG297" i="57" s="1"/>
  <c r="W495" i="12" s="1"/>
  <c r="Y300" i="57"/>
  <c r="AC300" i="57" s="1"/>
  <c r="AC296" i="57"/>
  <c r="AG296" i="57" s="1"/>
  <c r="W494" i="12" s="1"/>
  <c r="J242" i="57"/>
  <c r="J240" i="57"/>
  <c r="J243" i="57"/>
  <c r="J241" i="57"/>
  <c r="K165" i="57"/>
  <c r="K163" i="57"/>
  <c r="K166" i="57"/>
  <c r="K164" i="57"/>
  <c r="K277" i="57"/>
  <c r="K280" i="57"/>
  <c r="K279" i="57"/>
  <c r="K278" i="57"/>
  <c r="J122" i="57"/>
  <c r="J123" i="57"/>
  <c r="J121" i="57"/>
  <c r="J124" i="57"/>
  <c r="Y270" i="57"/>
  <c r="AC270" i="57" s="1"/>
  <c r="Y269" i="57"/>
  <c r="AC269" i="57" s="1"/>
  <c r="Y268" i="57"/>
  <c r="AC268" i="57" s="1"/>
  <c r="Y267" i="57"/>
  <c r="AC267" i="57" s="1"/>
  <c r="AG267" i="57" s="1"/>
  <c r="W465" i="12" s="1"/>
  <c r="AC266" i="57"/>
  <c r="K141" i="57"/>
  <c r="K138" i="57"/>
  <c r="K139" i="57"/>
  <c r="K140" i="57"/>
  <c r="J129" i="57"/>
  <c r="J128" i="57"/>
  <c r="J127" i="57"/>
  <c r="J126" i="57"/>
  <c r="J144" i="57"/>
  <c r="J145" i="57"/>
  <c r="J143" i="57"/>
  <c r="J146" i="57"/>
  <c r="K208" i="57"/>
  <c r="K207" i="57"/>
  <c r="K206" i="57"/>
  <c r="K205" i="57"/>
  <c r="Z304" i="57"/>
  <c r="AD304" i="57" s="1"/>
  <c r="Z303" i="57"/>
  <c r="AD303" i="57" s="1"/>
  <c r="Z302" i="57"/>
  <c r="AD302" i="57" s="1"/>
  <c r="AH302" i="57" s="1"/>
  <c r="X500" i="12" s="1"/>
  <c r="Z305" i="57"/>
  <c r="AD305" i="57" s="1"/>
  <c r="AD301" i="57"/>
  <c r="AH301" i="57" s="1"/>
  <c r="X499" i="12" s="1"/>
  <c r="J164" i="57"/>
  <c r="J163" i="57"/>
  <c r="J166" i="57"/>
  <c r="J165" i="57"/>
  <c r="Y237" i="57"/>
  <c r="AC237" i="57" s="1"/>
  <c r="Y236" i="57"/>
  <c r="AC236" i="57" s="1"/>
  <c r="AG236" i="57" s="1"/>
  <c r="W434" i="12" s="1"/>
  <c r="AC234" i="57"/>
  <c r="Y235" i="57"/>
  <c r="AC235" i="57" s="1"/>
  <c r="AG235" i="57" s="1"/>
  <c r="W433" i="12" s="1"/>
  <c r="Y238" i="57"/>
  <c r="AC238" i="57" s="1"/>
  <c r="AG238" i="57" s="1"/>
  <c r="W436" i="12" s="1"/>
  <c r="Y207" i="57"/>
  <c r="AC207" i="57" s="1"/>
  <c r="Y206" i="57"/>
  <c r="AC206" i="57" s="1"/>
  <c r="Y208" i="57"/>
  <c r="AC208" i="57" s="1"/>
  <c r="Y205" i="57"/>
  <c r="AC205" i="57" s="1"/>
  <c r="AG205" i="57" s="1"/>
  <c r="AC204" i="57"/>
  <c r="AG204" i="57" s="1"/>
  <c r="Z237" i="57"/>
  <c r="AD237" i="57" s="1"/>
  <c r="Z236" i="57"/>
  <c r="AD236" i="57" s="1"/>
  <c r="Z238" i="57"/>
  <c r="AD238" i="57" s="1"/>
  <c r="Z235" i="57"/>
  <c r="AD235" i="57" s="1"/>
  <c r="AH235" i="57" s="1"/>
  <c r="X433" i="12" s="1"/>
  <c r="AD234" i="57"/>
  <c r="J304" i="57"/>
  <c r="J303" i="57"/>
  <c r="J302" i="57"/>
  <c r="J305" i="57"/>
  <c r="J190" i="57"/>
  <c r="J188" i="57"/>
  <c r="J189" i="57"/>
  <c r="J191" i="57"/>
  <c r="K194" i="57"/>
  <c r="K193" i="57"/>
  <c r="K196" i="57"/>
  <c r="K195" i="57"/>
  <c r="Y247" i="57"/>
  <c r="AC247" i="57" s="1"/>
  <c r="Y246" i="57"/>
  <c r="AC246" i="57" s="1"/>
  <c r="Y245" i="57"/>
  <c r="AC245" i="57" s="1"/>
  <c r="AG245" i="57" s="1"/>
  <c r="W443" i="12" s="1"/>
  <c r="Y248" i="57"/>
  <c r="AC248" i="57" s="1"/>
  <c r="AC244" i="57"/>
  <c r="AG244" i="57" s="1"/>
  <c r="W442" i="12" s="1"/>
  <c r="K64" i="57"/>
  <c r="K67" i="57"/>
  <c r="K65" i="57"/>
  <c r="K66" i="57"/>
  <c r="K300" i="57"/>
  <c r="K298" i="57"/>
  <c r="K299" i="57"/>
  <c r="K297" i="57"/>
  <c r="K203" i="57"/>
  <c r="K202" i="57"/>
  <c r="K201" i="57"/>
  <c r="K200" i="57"/>
  <c r="K213" i="57"/>
  <c r="K212" i="57"/>
  <c r="K210" i="57"/>
  <c r="K211" i="57"/>
  <c r="J295" i="57"/>
  <c r="J292" i="57"/>
  <c r="J294" i="57"/>
  <c r="J293" i="57"/>
  <c r="Y318" i="57"/>
  <c r="AC318" i="57" s="1"/>
  <c r="Y317" i="57"/>
  <c r="AC317" i="57" s="1"/>
  <c r="AG317" i="57" s="1"/>
  <c r="W515" i="12" s="1"/>
  <c r="Y320" i="57"/>
  <c r="AC320" i="57" s="1"/>
  <c r="AC316" i="57"/>
  <c r="AG316" i="57" s="1"/>
  <c r="W514" i="12" s="1"/>
  <c r="Y319" i="57"/>
  <c r="AC319" i="57" s="1"/>
  <c r="K84" i="57"/>
  <c r="K83" i="57"/>
  <c r="K82" i="57"/>
  <c r="K81" i="57"/>
  <c r="J76" i="57"/>
  <c r="J79" i="57"/>
  <c r="J78" i="57"/>
  <c r="J77" i="57"/>
  <c r="X285" i="57"/>
  <c r="AB285" i="57" s="1"/>
  <c r="AF285" i="57" s="1"/>
  <c r="V483" i="12" s="1"/>
  <c r="X284" i="57"/>
  <c r="AB284" i="57" s="1"/>
  <c r="AB281" i="57"/>
  <c r="X283" i="57"/>
  <c r="AB283" i="57" s="1"/>
  <c r="X282" i="57"/>
  <c r="AB282" i="57" s="1"/>
  <c r="AF282" i="57" s="1"/>
  <c r="V480" i="12" s="1"/>
  <c r="AA313" i="57"/>
  <c r="AE313" i="57" s="1"/>
  <c r="AA312" i="57"/>
  <c r="AE312" i="57" s="1"/>
  <c r="AI312" i="57" s="1"/>
  <c r="Y510" i="12" s="1"/>
  <c r="AA315" i="57"/>
  <c r="AE315" i="57" s="1"/>
  <c r="AE311" i="57"/>
  <c r="AI311" i="57" s="1"/>
  <c r="Y509" i="12" s="1"/>
  <c r="AA314" i="57"/>
  <c r="AE314" i="57" s="1"/>
  <c r="J221" i="57"/>
  <c r="J222" i="57"/>
  <c r="J220" i="57"/>
  <c r="J223" i="57"/>
  <c r="K99" i="57"/>
  <c r="K97" i="57"/>
  <c r="K98" i="57"/>
  <c r="K96" i="57"/>
  <c r="K79" i="57"/>
  <c r="K77" i="57"/>
  <c r="K76" i="57"/>
  <c r="K78" i="57"/>
  <c r="X245" i="57"/>
  <c r="AB245" i="57" s="1"/>
  <c r="AF245" i="57" s="1"/>
  <c r="V443" i="12" s="1"/>
  <c r="X246" i="57"/>
  <c r="AB246" i="57" s="1"/>
  <c r="X247" i="57"/>
  <c r="AB247" i="57" s="1"/>
  <c r="AF247" i="57" s="1"/>
  <c r="V445" i="12" s="1"/>
  <c r="AB244" i="57"/>
  <c r="X248" i="57"/>
  <c r="AB248" i="57" s="1"/>
  <c r="J47" i="57"/>
  <c r="J46" i="57"/>
  <c r="J45" i="57"/>
  <c r="J44" i="57"/>
  <c r="X295" i="57"/>
  <c r="AB295" i="57" s="1"/>
  <c r="AB291" i="57"/>
  <c r="AF291" i="57" s="1"/>
  <c r="V489" i="12" s="1"/>
  <c r="X294" i="57"/>
  <c r="AB294" i="57" s="1"/>
  <c r="X293" i="57"/>
  <c r="AB293" i="57" s="1"/>
  <c r="AF293" i="57" s="1"/>
  <c r="V491" i="12" s="1"/>
  <c r="X292" i="57"/>
  <c r="AB292" i="57" s="1"/>
  <c r="AF292" i="57" s="1"/>
  <c r="V490" i="12" s="1"/>
  <c r="AA246" i="57"/>
  <c r="AE246" i="57" s="1"/>
  <c r="AI246" i="57" s="1"/>
  <c r="Y444" i="12" s="1"/>
  <c r="AA245" i="57"/>
  <c r="AE245" i="57" s="1"/>
  <c r="AI245" i="57" s="1"/>
  <c r="Y443" i="12" s="1"/>
  <c r="AA248" i="57"/>
  <c r="AE248" i="57" s="1"/>
  <c r="AE244" i="57"/>
  <c r="AA247" i="57"/>
  <c r="AE247" i="57" s="1"/>
  <c r="AI247" i="57" s="1"/>
  <c r="Y445" i="12" s="1"/>
  <c r="AH130" i="23"/>
  <c r="AG219" i="23"/>
  <c r="AI167" i="23"/>
  <c r="I230" i="57"/>
  <c r="M230" i="57" s="1"/>
  <c r="N230" i="57" s="1"/>
  <c r="O230" i="57" s="1"/>
  <c r="P230" i="57" s="1"/>
  <c r="Q230" i="57" s="1"/>
  <c r="R230" i="57" s="1"/>
  <c r="S230" i="57" s="1"/>
  <c r="T230" i="57" s="1"/>
  <c r="U230" i="57" s="1"/>
  <c r="V230" i="57" s="1"/>
  <c r="I233" i="57"/>
  <c r="M233" i="57" s="1"/>
  <c r="N233" i="57" s="1"/>
  <c r="O233" i="57" s="1"/>
  <c r="P233" i="57" s="1"/>
  <c r="Q233" i="57" s="1"/>
  <c r="R233" i="57" s="1"/>
  <c r="S233" i="57" s="1"/>
  <c r="T233" i="57" s="1"/>
  <c r="U233" i="57" s="1"/>
  <c r="V233" i="57" s="1"/>
  <c r="M229" i="57"/>
  <c r="N229" i="57" s="1"/>
  <c r="O229" i="57" s="1"/>
  <c r="P229" i="57" s="1"/>
  <c r="Q229" i="57" s="1"/>
  <c r="R229" i="57" s="1"/>
  <c r="S229" i="57" s="1"/>
  <c r="T229" i="57" s="1"/>
  <c r="U229" i="57" s="1"/>
  <c r="V229" i="57" s="1"/>
  <c r="I232" i="57"/>
  <c r="M232" i="57" s="1"/>
  <c r="N232" i="57" s="1"/>
  <c r="O232" i="57" s="1"/>
  <c r="P232" i="57" s="1"/>
  <c r="Q232" i="57" s="1"/>
  <c r="R232" i="57" s="1"/>
  <c r="S232" i="57" s="1"/>
  <c r="T232" i="57" s="1"/>
  <c r="U232" i="57" s="1"/>
  <c r="V232" i="57" s="1"/>
  <c r="I231" i="57"/>
  <c r="M231" i="57" s="1"/>
  <c r="N231" i="57" s="1"/>
  <c r="O231" i="57" s="1"/>
  <c r="P231" i="57" s="1"/>
  <c r="Q231" i="57" s="1"/>
  <c r="R231" i="57" s="1"/>
  <c r="S231" i="57" s="1"/>
  <c r="T231" i="57" s="1"/>
  <c r="U231" i="57" s="1"/>
  <c r="V231" i="57" s="1"/>
  <c r="I298" i="57"/>
  <c r="M298" i="57" s="1"/>
  <c r="I297" i="57"/>
  <c r="M297" i="57" s="1"/>
  <c r="I300" i="57"/>
  <c r="M300" i="57" s="1"/>
  <c r="M296" i="57"/>
  <c r="I299" i="57"/>
  <c r="M299" i="57" s="1"/>
  <c r="H238" i="57"/>
  <c r="L238" i="57" s="1"/>
  <c r="L234" i="57"/>
  <c r="H237" i="57"/>
  <c r="L237" i="57" s="1"/>
  <c r="H236" i="57"/>
  <c r="L236" i="57" s="1"/>
  <c r="H235" i="57"/>
  <c r="L235" i="57" s="1"/>
  <c r="I59" i="57"/>
  <c r="M59" i="57" s="1"/>
  <c r="I62" i="57"/>
  <c r="M62" i="57" s="1"/>
  <c r="M58" i="57"/>
  <c r="I61" i="57"/>
  <c r="M61" i="57" s="1"/>
  <c r="I60" i="57"/>
  <c r="M60" i="57" s="1"/>
  <c r="I308" i="57"/>
  <c r="M308" i="57" s="1"/>
  <c r="I309" i="57"/>
  <c r="M309" i="57" s="1"/>
  <c r="M306" i="57"/>
  <c r="I307" i="57"/>
  <c r="M307" i="57" s="1"/>
  <c r="I310" i="57"/>
  <c r="M310" i="57" s="1"/>
  <c r="H267" i="57"/>
  <c r="L267" i="57" s="1"/>
  <c r="H268" i="57"/>
  <c r="L268" i="57" s="1"/>
  <c r="L266" i="57"/>
  <c r="H270" i="57"/>
  <c r="L270" i="57" s="1"/>
  <c r="H269" i="57"/>
  <c r="L269" i="57" s="1"/>
  <c r="I159" i="57"/>
  <c r="M159" i="57" s="1"/>
  <c r="I158" i="57"/>
  <c r="M158" i="57" s="1"/>
  <c r="I161" i="57"/>
  <c r="M161" i="57" s="1"/>
  <c r="I160" i="57"/>
  <c r="M160" i="57" s="1"/>
  <c r="M157" i="57"/>
  <c r="H274" i="57"/>
  <c r="L274" i="57" s="1"/>
  <c r="H273" i="57"/>
  <c r="L273" i="57" s="1"/>
  <c r="H272" i="57"/>
  <c r="L272" i="57" s="1"/>
  <c r="H275" i="57"/>
  <c r="L275" i="57" s="1"/>
  <c r="L271" i="57"/>
  <c r="H94" i="57"/>
  <c r="L94" i="57" s="1"/>
  <c r="L90" i="57"/>
  <c r="H93" i="57"/>
  <c r="L93" i="57" s="1"/>
  <c r="H92" i="57"/>
  <c r="L92" i="57" s="1"/>
  <c r="H91" i="57"/>
  <c r="L91" i="57" s="1"/>
  <c r="I256" i="57"/>
  <c r="M256" i="57" s="1"/>
  <c r="I255" i="57"/>
  <c r="M255" i="57" s="1"/>
  <c r="I258" i="57"/>
  <c r="M258" i="57" s="1"/>
  <c r="I257" i="57"/>
  <c r="M257" i="57" s="1"/>
  <c r="M254" i="57"/>
  <c r="I127" i="57"/>
  <c r="M127" i="57" s="1"/>
  <c r="M125" i="57"/>
  <c r="I128" i="57"/>
  <c r="M128" i="57" s="1"/>
  <c r="I129" i="57"/>
  <c r="M129" i="57" s="1"/>
  <c r="I126" i="57"/>
  <c r="M126" i="57" s="1"/>
  <c r="H171" i="57"/>
  <c r="L171" i="57" s="1"/>
  <c r="L167" i="57"/>
  <c r="H170" i="57"/>
  <c r="L170" i="57" s="1"/>
  <c r="H169" i="57"/>
  <c r="L169" i="57" s="1"/>
  <c r="H168" i="57"/>
  <c r="L168" i="57" s="1"/>
  <c r="I146" i="57"/>
  <c r="M146" i="57" s="1"/>
  <c r="M142" i="57"/>
  <c r="I145" i="57"/>
  <c r="M145" i="57" s="1"/>
  <c r="I144" i="57"/>
  <c r="M144" i="57" s="1"/>
  <c r="I143" i="57"/>
  <c r="M143" i="57" s="1"/>
  <c r="I83" i="57"/>
  <c r="M83" i="57" s="1"/>
  <c r="M80" i="57"/>
  <c r="I81" i="57"/>
  <c r="M81" i="57" s="1"/>
  <c r="I84" i="57"/>
  <c r="M84" i="57" s="1"/>
  <c r="I82" i="57"/>
  <c r="M82" i="57" s="1"/>
  <c r="H22" i="57"/>
  <c r="L22" i="57" s="1"/>
  <c r="L18" i="57"/>
  <c r="H21" i="57"/>
  <c r="L21" i="57" s="1"/>
  <c r="H20" i="57"/>
  <c r="L20" i="57" s="1"/>
  <c r="H19" i="57"/>
  <c r="L19" i="57" s="1"/>
  <c r="H227" i="57"/>
  <c r="L227" i="57" s="1"/>
  <c r="H225" i="57"/>
  <c r="L225" i="57" s="1"/>
  <c r="H226" i="57"/>
  <c r="L226" i="57" s="1"/>
  <c r="H228" i="57"/>
  <c r="L228" i="57" s="1"/>
  <c r="L224" i="57"/>
  <c r="H69" i="57"/>
  <c r="L69" i="57" s="1"/>
  <c r="H72" i="57"/>
  <c r="L72" i="57" s="1"/>
  <c r="L68" i="57"/>
  <c r="H71" i="57"/>
  <c r="L71" i="57" s="1"/>
  <c r="H70" i="57"/>
  <c r="L70" i="57" s="1"/>
  <c r="H132" i="57"/>
  <c r="L132" i="57" s="1"/>
  <c r="H131" i="57"/>
  <c r="L131" i="57" s="1"/>
  <c r="H134" i="57"/>
  <c r="L134" i="57" s="1"/>
  <c r="H133" i="57"/>
  <c r="L133" i="57" s="1"/>
  <c r="L130" i="57"/>
  <c r="I206" i="57"/>
  <c r="M206" i="57" s="1"/>
  <c r="N206" i="57" s="1"/>
  <c r="O206" i="57" s="1"/>
  <c r="P206" i="57" s="1"/>
  <c r="Q206" i="57" s="1"/>
  <c r="R206" i="57" s="1"/>
  <c r="S206" i="57" s="1"/>
  <c r="T206" i="57" s="1"/>
  <c r="U206" i="57" s="1"/>
  <c r="V206" i="57" s="1"/>
  <c r="I205" i="57"/>
  <c r="M205" i="57" s="1"/>
  <c r="N205" i="57" s="1"/>
  <c r="O205" i="57" s="1"/>
  <c r="P205" i="57" s="1"/>
  <c r="Q205" i="57" s="1"/>
  <c r="R205" i="57" s="1"/>
  <c r="S205" i="57" s="1"/>
  <c r="T205" i="57" s="1"/>
  <c r="U205" i="57" s="1"/>
  <c r="V205" i="57" s="1"/>
  <c r="I208" i="57"/>
  <c r="M208" i="57" s="1"/>
  <c r="N208" i="57" s="1"/>
  <c r="O208" i="57" s="1"/>
  <c r="P208" i="57" s="1"/>
  <c r="Q208" i="57" s="1"/>
  <c r="R208" i="57" s="1"/>
  <c r="S208" i="57" s="1"/>
  <c r="T208" i="57" s="1"/>
  <c r="U208" i="57" s="1"/>
  <c r="V208" i="57" s="1"/>
  <c r="M204" i="57"/>
  <c r="N204" i="57" s="1"/>
  <c r="O204" i="57" s="1"/>
  <c r="P204" i="57" s="1"/>
  <c r="Q204" i="57" s="1"/>
  <c r="R204" i="57" s="1"/>
  <c r="S204" i="57" s="1"/>
  <c r="T204" i="57" s="1"/>
  <c r="U204" i="57" s="1"/>
  <c r="V204" i="57" s="1"/>
  <c r="I207" i="57"/>
  <c r="M207" i="57" s="1"/>
  <c r="N207" i="57" s="1"/>
  <c r="O207" i="57" s="1"/>
  <c r="P207" i="57" s="1"/>
  <c r="Q207" i="57" s="1"/>
  <c r="R207" i="57" s="1"/>
  <c r="S207" i="57" s="1"/>
  <c r="T207" i="57" s="1"/>
  <c r="U207" i="57" s="1"/>
  <c r="V207" i="57" s="1"/>
  <c r="H251" i="57"/>
  <c r="L251" i="57" s="1"/>
  <c r="H250" i="57"/>
  <c r="L250" i="57" s="1"/>
  <c r="H253" i="57"/>
  <c r="L253" i="57" s="1"/>
  <c r="L249" i="57"/>
  <c r="H252" i="57"/>
  <c r="L252" i="57" s="1"/>
  <c r="I39" i="57"/>
  <c r="M39" i="57" s="1"/>
  <c r="I42" i="57"/>
  <c r="M42" i="57" s="1"/>
  <c r="M38" i="57"/>
  <c r="I41" i="57"/>
  <c r="M41" i="57" s="1"/>
  <c r="I40" i="57"/>
  <c r="M40" i="57" s="1"/>
  <c r="H315" i="57"/>
  <c r="L315" i="57" s="1"/>
  <c r="L311" i="57"/>
  <c r="H314" i="57"/>
  <c r="L314" i="57" s="1"/>
  <c r="H313" i="57"/>
  <c r="L313" i="57" s="1"/>
  <c r="H312" i="57"/>
  <c r="L312" i="57" s="1"/>
  <c r="I248" i="57"/>
  <c r="M248" i="57" s="1"/>
  <c r="I247" i="57"/>
  <c r="M247" i="57" s="1"/>
  <c r="I246" i="57"/>
  <c r="M246" i="57" s="1"/>
  <c r="I245" i="57"/>
  <c r="M245" i="57" s="1"/>
  <c r="M244" i="57"/>
  <c r="H218" i="57"/>
  <c r="L218" i="57" s="1"/>
  <c r="L214" i="57"/>
  <c r="H217" i="57"/>
  <c r="L217" i="57" s="1"/>
  <c r="H216" i="57"/>
  <c r="L216" i="57" s="1"/>
  <c r="H215" i="57"/>
  <c r="L215" i="57" s="1"/>
  <c r="H112" i="57"/>
  <c r="L112" i="57" s="1"/>
  <c r="L110" i="57"/>
  <c r="H111" i="57"/>
  <c r="L111" i="57" s="1"/>
  <c r="H114" i="57"/>
  <c r="L114" i="57" s="1"/>
  <c r="H113" i="57"/>
  <c r="L113" i="57" s="1"/>
  <c r="H179" i="57"/>
  <c r="L179" i="57" s="1"/>
  <c r="H178" i="57"/>
  <c r="L178" i="57" s="1"/>
  <c r="H181" i="57"/>
  <c r="L181" i="57" s="1"/>
  <c r="L177" i="57"/>
  <c r="H180" i="57"/>
  <c r="L180" i="57" s="1"/>
  <c r="H256" i="57"/>
  <c r="L256" i="57" s="1"/>
  <c r="H255" i="57"/>
  <c r="L255" i="57" s="1"/>
  <c r="H258" i="57"/>
  <c r="L258" i="57" s="1"/>
  <c r="L254" i="57"/>
  <c r="H257" i="57"/>
  <c r="L257" i="57" s="1"/>
  <c r="I218" i="57"/>
  <c r="M218" i="57" s="1"/>
  <c r="M214" i="57"/>
  <c r="I217" i="57"/>
  <c r="M217" i="57" s="1"/>
  <c r="I215" i="57"/>
  <c r="M215" i="57" s="1"/>
  <c r="I216" i="57"/>
  <c r="M216" i="57" s="1"/>
  <c r="H77" i="57"/>
  <c r="L77" i="57" s="1"/>
  <c r="H76" i="57"/>
  <c r="L76" i="57" s="1"/>
  <c r="L75" i="57"/>
  <c r="H79" i="57"/>
  <c r="L79" i="57" s="1"/>
  <c r="H78" i="57"/>
  <c r="L78" i="57" s="1"/>
  <c r="I292" i="57"/>
  <c r="M292" i="57" s="1"/>
  <c r="I295" i="57"/>
  <c r="M295" i="57" s="1"/>
  <c r="M291" i="57"/>
  <c r="I294" i="57"/>
  <c r="M294" i="57" s="1"/>
  <c r="I293" i="57"/>
  <c r="M293" i="57" s="1"/>
  <c r="I173" i="57"/>
  <c r="M173" i="57" s="1"/>
  <c r="I176" i="57"/>
  <c r="M176" i="57" s="1"/>
  <c r="M172" i="57"/>
  <c r="I174" i="57"/>
  <c r="M174" i="57" s="1"/>
  <c r="I175" i="57"/>
  <c r="M175" i="57" s="1"/>
  <c r="H29" i="57"/>
  <c r="L29" i="57" s="1"/>
  <c r="H32" i="57"/>
  <c r="L32" i="57" s="1"/>
  <c r="L28" i="57"/>
  <c r="H31" i="57"/>
  <c r="L31" i="57" s="1"/>
  <c r="H30" i="57"/>
  <c r="L30" i="57" s="1"/>
  <c r="I108" i="57"/>
  <c r="M108" i="57" s="1"/>
  <c r="N108" i="57" s="1"/>
  <c r="O108" i="57" s="1"/>
  <c r="P108" i="57" s="1"/>
  <c r="Q108" i="57" s="1"/>
  <c r="R108" i="57" s="1"/>
  <c r="S108" i="57" s="1"/>
  <c r="T108" i="57" s="1"/>
  <c r="U108" i="57" s="1"/>
  <c r="V108" i="57" s="1"/>
  <c r="M105" i="57"/>
  <c r="N105" i="57" s="1"/>
  <c r="O105" i="57" s="1"/>
  <c r="P105" i="57" s="1"/>
  <c r="Q105" i="57" s="1"/>
  <c r="R105" i="57" s="1"/>
  <c r="S105" i="57" s="1"/>
  <c r="T105" i="57" s="1"/>
  <c r="U105" i="57" s="1"/>
  <c r="V105" i="57" s="1"/>
  <c r="I106" i="57"/>
  <c r="M106" i="57" s="1"/>
  <c r="N106" i="57" s="1"/>
  <c r="O106" i="57" s="1"/>
  <c r="P106" i="57" s="1"/>
  <c r="Q106" i="57" s="1"/>
  <c r="R106" i="57" s="1"/>
  <c r="S106" i="57" s="1"/>
  <c r="T106" i="57" s="1"/>
  <c r="U106" i="57" s="1"/>
  <c r="V106" i="57" s="1"/>
  <c r="I109" i="57"/>
  <c r="M109" i="57" s="1"/>
  <c r="N109" i="57" s="1"/>
  <c r="O109" i="57" s="1"/>
  <c r="P109" i="57" s="1"/>
  <c r="Q109" i="57" s="1"/>
  <c r="R109" i="57" s="1"/>
  <c r="S109" i="57" s="1"/>
  <c r="T109" i="57" s="1"/>
  <c r="U109" i="57" s="1"/>
  <c r="V109" i="57" s="1"/>
  <c r="I107" i="57"/>
  <c r="M107" i="57" s="1"/>
  <c r="N107" i="57" s="1"/>
  <c r="O107" i="57" s="1"/>
  <c r="P107" i="57" s="1"/>
  <c r="Q107" i="57" s="1"/>
  <c r="R107" i="57" s="1"/>
  <c r="S107" i="57" s="1"/>
  <c r="T107" i="57" s="1"/>
  <c r="U107" i="57" s="1"/>
  <c r="V107" i="57" s="1"/>
  <c r="I253" i="57"/>
  <c r="M253" i="57" s="1"/>
  <c r="M249" i="57"/>
  <c r="I252" i="57"/>
  <c r="M252" i="57" s="1"/>
  <c r="I251" i="57"/>
  <c r="M251" i="57" s="1"/>
  <c r="I250" i="57"/>
  <c r="M250" i="57" s="1"/>
  <c r="I280" i="57"/>
  <c r="M280" i="57" s="1"/>
  <c r="I277" i="57"/>
  <c r="M277" i="57" s="1"/>
  <c r="I279" i="57"/>
  <c r="M279" i="57" s="1"/>
  <c r="I278" i="57"/>
  <c r="M278" i="57" s="1"/>
  <c r="M276" i="57"/>
  <c r="H277" i="57"/>
  <c r="L277" i="57" s="1"/>
  <c r="H280" i="57"/>
  <c r="L280" i="57" s="1"/>
  <c r="L276" i="57"/>
  <c r="H279" i="57"/>
  <c r="L279" i="57" s="1"/>
  <c r="H278" i="57"/>
  <c r="L278" i="57" s="1"/>
  <c r="H211" i="57"/>
  <c r="L211" i="57" s="1"/>
  <c r="H210" i="57"/>
  <c r="L210" i="57" s="1"/>
  <c r="H213" i="57"/>
  <c r="L213" i="57" s="1"/>
  <c r="L209" i="57"/>
  <c r="H212" i="57"/>
  <c r="L212" i="57" s="1"/>
  <c r="H49" i="57"/>
  <c r="L49" i="57" s="1"/>
  <c r="H52" i="57"/>
  <c r="L52" i="57" s="1"/>
  <c r="L48" i="57"/>
  <c r="H51" i="57"/>
  <c r="L51" i="57" s="1"/>
  <c r="H50" i="57"/>
  <c r="L50" i="57" s="1"/>
  <c r="H118" i="57"/>
  <c r="L118" i="57" s="1"/>
  <c r="H117" i="57"/>
  <c r="L117" i="57" s="1"/>
  <c r="H119" i="57"/>
  <c r="L119" i="57" s="1"/>
  <c r="H116" i="57"/>
  <c r="L116" i="57" s="1"/>
  <c r="L115" i="57"/>
  <c r="I186" i="57"/>
  <c r="M186" i="57" s="1"/>
  <c r="I185" i="57"/>
  <c r="M185" i="57" s="1"/>
  <c r="I183" i="57"/>
  <c r="M183" i="57" s="1"/>
  <c r="M182" i="57"/>
  <c r="I184" i="57"/>
  <c r="M184" i="57" s="1"/>
  <c r="I124" i="57"/>
  <c r="M124" i="57" s="1"/>
  <c r="I122" i="57"/>
  <c r="M122" i="57" s="1"/>
  <c r="I123" i="57"/>
  <c r="M123" i="57" s="1"/>
  <c r="M120" i="57"/>
  <c r="I121" i="57"/>
  <c r="M121" i="57" s="1"/>
  <c r="H37" i="57"/>
  <c r="L37" i="57" s="1"/>
  <c r="L33" i="57"/>
  <c r="H36" i="57"/>
  <c r="L36" i="57" s="1"/>
  <c r="H35" i="57"/>
  <c r="L35" i="57" s="1"/>
  <c r="H34" i="57"/>
  <c r="L34" i="57" s="1"/>
  <c r="I272" i="57"/>
  <c r="M272" i="57" s="1"/>
  <c r="I274" i="57"/>
  <c r="M274" i="57" s="1"/>
  <c r="I273" i="57"/>
  <c r="M273" i="57" s="1"/>
  <c r="I275" i="57"/>
  <c r="M275" i="57" s="1"/>
  <c r="M271" i="57"/>
  <c r="I313" i="57"/>
  <c r="M313" i="57" s="1"/>
  <c r="I312" i="57"/>
  <c r="M312" i="57" s="1"/>
  <c r="I315" i="57"/>
  <c r="M315" i="57" s="1"/>
  <c r="M311" i="57"/>
  <c r="I314" i="57"/>
  <c r="M314" i="57" s="1"/>
  <c r="H310" i="57"/>
  <c r="L310" i="57" s="1"/>
  <c r="L306" i="57"/>
  <c r="H309" i="57"/>
  <c r="L309" i="57" s="1"/>
  <c r="H308" i="57"/>
  <c r="L308" i="57" s="1"/>
  <c r="H307" i="57"/>
  <c r="L307" i="57" s="1"/>
  <c r="I171" i="57"/>
  <c r="M171" i="57" s="1"/>
  <c r="I169" i="57"/>
  <c r="M169" i="57" s="1"/>
  <c r="I170" i="57"/>
  <c r="M170" i="57" s="1"/>
  <c r="M167" i="57"/>
  <c r="I168" i="57"/>
  <c r="M168" i="57" s="1"/>
  <c r="I225" i="57"/>
  <c r="M225" i="57" s="1"/>
  <c r="I228" i="57"/>
  <c r="M228" i="57" s="1"/>
  <c r="M224" i="57"/>
  <c r="I227" i="57"/>
  <c r="M227" i="57" s="1"/>
  <c r="I226" i="57"/>
  <c r="M226" i="57" s="1"/>
  <c r="H298" i="57"/>
  <c r="L298" i="57" s="1"/>
  <c r="H297" i="57"/>
  <c r="L297" i="57" s="1"/>
  <c r="H300" i="57"/>
  <c r="L300" i="57" s="1"/>
  <c r="L296" i="57"/>
  <c r="H299" i="57"/>
  <c r="L299" i="57" s="1"/>
  <c r="H243" i="57"/>
  <c r="L243" i="57" s="1"/>
  <c r="L239" i="57"/>
  <c r="H242" i="57"/>
  <c r="L242" i="57" s="1"/>
  <c r="H241" i="57"/>
  <c r="L241" i="57" s="1"/>
  <c r="H240" i="57"/>
  <c r="L240" i="57" s="1"/>
  <c r="I220" i="57"/>
  <c r="M220" i="57" s="1"/>
  <c r="I223" i="57"/>
  <c r="M223" i="57" s="1"/>
  <c r="M219" i="57"/>
  <c r="I222" i="57"/>
  <c r="M222" i="57" s="1"/>
  <c r="I221" i="57"/>
  <c r="M221" i="57" s="1"/>
  <c r="H196" i="57"/>
  <c r="L196" i="57" s="1"/>
  <c r="L192" i="57"/>
  <c r="H195" i="57"/>
  <c r="L195" i="57" s="1"/>
  <c r="H194" i="57"/>
  <c r="L194" i="57" s="1"/>
  <c r="H193" i="57"/>
  <c r="L193" i="57" s="1"/>
  <c r="AA300" i="57"/>
  <c r="AE300" i="57" s="1"/>
  <c r="AE296" i="57"/>
  <c r="AI296" i="57" s="1"/>
  <c r="Y494" i="12" s="1"/>
  <c r="AA299" i="57"/>
  <c r="AE299" i="57" s="1"/>
  <c r="AA298" i="57"/>
  <c r="AE298" i="57" s="1"/>
  <c r="AA297" i="57"/>
  <c r="AE297" i="57" s="1"/>
  <c r="AI297" i="57" s="1"/>
  <c r="Y495" i="12" s="1"/>
  <c r="AE219" i="57"/>
  <c r="AI219" i="57" s="1"/>
  <c r="Y417" i="12" s="1"/>
  <c r="AA223" i="57"/>
  <c r="AE223" i="57" s="1"/>
  <c r="AA222" i="57"/>
  <c r="AE222" i="57" s="1"/>
  <c r="AA221" i="57"/>
  <c r="AE221" i="57" s="1"/>
  <c r="AA220" i="57"/>
  <c r="AE220" i="57" s="1"/>
  <c r="AI220" i="57" s="1"/>
  <c r="Y418" i="12" s="1"/>
  <c r="J180" i="57"/>
  <c r="J179" i="57"/>
  <c r="J178" i="57"/>
  <c r="J181" i="57"/>
  <c r="J236" i="57"/>
  <c r="J238" i="57"/>
  <c r="J235" i="57"/>
  <c r="J237" i="57"/>
  <c r="X210" i="57"/>
  <c r="AB210" i="57" s="1"/>
  <c r="AF210" i="57" s="1"/>
  <c r="V408" i="12" s="1"/>
  <c r="X213" i="57"/>
  <c r="AB213" i="57" s="1"/>
  <c r="AB209" i="57"/>
  <c r="X212" i="57"/>
  <c r="AB212" i="57" s="1"/>
  <c r="AF212" i="57" s="1"/>
  <c r="V410" i="12" s="1"/>
  <c r="X211" i="57"/>
  <c r="AB211" i="57" s="1"/>
  <c r="AF211" i="57" s="1"/>
  <c r="V409" i="12" s="1"/>
  <c r="AA205" i="57"/>
  <c r="AE205" i="57" s="1"/>
  <c r="AI205" i="57" s="1"/>
  <c r="AA208" i="57"/>
  <c r="AE208" i="57" s="1"/>
  <c r="AE204" i="57"/>
  <c r="AI204" i="57" s="1"/>
  <c r="AA207" i="57"/>
  <c r="AE207" i="57" s="1"/>
  <c r="AA206" i="57"/>
  <c r="AE206" i="57" s="1"/>
  <c r="AI206" i="57" s="1"/>
  <c r="K42" i="57"/>
  <c r="K41" i="57"/>
  <c r="K40" i="57"/>
  <c r="K39" i="57"/>
  <c r="Z284" i="57"/>
  <c r="AD284" i="57" s="1"/>
  <c r="Z283" i="57"/>
  <c r="AD283" i="57" s="1"/>
  <c r="Z282" i="57"/>
  <c r="AD282" i="57" s="1"/>
  <c r="AH282" i="57" s="1"/>
  <c r="X480" i="12" s="1"/>
  <c r="AD281" i="57"/>
  <c r="Z285" i="57"/>
  <c r="AD285" i="57" s="1"/>
  <c r="AH285" i="57" s="1"/>
  <c r="X483" i="12" s="1"/>
  <c r="X300" i="57"/>
  <c r="AB300" i="57" s="1"/>
  <c r="X299" i="57"/>
  <c r="AB299" i="57" s="1"/>
  <c r="X298" i="57"/>
  <c r="AB298" i="57" s="1"/>
  <c r="X297" i="57"/>
  <c r="AB297" i="57" s="1"/>
  <c r="AF297" i="57" s="1"/>
  <c r="V495" i="12" s="1"/>
  <c r="AB296" i="57"/>
  <c r="AF296" i="57" s="1"/>
  <c r="V494" i="12" s="1"/>
  <c r="AA277" i="57"/>
  <c r="AE277" i="57" s="1"/>
  <c r="AI277" i="57" s="1"/>
  <c r="Y475" i="12" s="1"/>
  <c r="AE276" i="57"/>
  <c r="AA280" i="57"/>
  <c r="AE280" i="57" s="1"/>
  <c r="AA278" i="57"/>
  <c r="AE278" i="57" s="1"/>
  <c r="AA279" i="57"/>
  <c r="AE279" i="57" s="1"/>
  <c r="X241" i="57"/>
  <c r="AB241" i="57" s="1"/>
  <c r="X242" i="57"/>
  <c r="AB242" i="57" s="1"/>
  <c r="AB239" i="57"/>
  <c r="AF239" i="57" s="1"/>
  <c r="V437" i="12" s="1"/>
  <c r="X240" i="57"/>
  <c r="AB240" i="57" s="1"/>
  <c r="AF240" i="57" s="1"/>
  <c r="V438" i="12" s="1"/>
  <c r="X243" i="57"/>
  <c r="AB243" i="57" s="1"/>
  <c r="J183" i="57"/>
  <c r="J186" i="57"/>
  <c r="J185" i="57"/>
  <c r="J184" i="57"/>
  <c r="J37" i="57"/>
  <c r="J36" i="57"/>
  <c r="J35" i="57"/>
  <c r="J34" i="57"/>
  <c r="J230" i="57"/>
  <c r="J233" i="57"/>
  <c r="J231" i="57"/>
  <c r="J232" i="57"/>
  <c r="Z216" i="57"/>
  <c r="AD216" i="57" s="1"/>
  <c r="Z215" i="57"/>
  <c r="AD215" i="57" s="1"/>
  <c r="AH215" i="57" s="1"/>
  <c r="X413" i="12" s="1"/>
  <c r="Z218" i="57"/>
  <c r="AD218" i="57" s="1"/>
  <c r="AD214" i="57"/>
  <c r="Z217" i="57"/>
  <c r="AD217" i="57" s="1"/>
  <c r="X218" i="57"/>
  <c r="AB218" i="57" s="1"/>
  <c r="AB214" i="57"/>
  <c r="X215" i="57"/>
  <c r="AB215" i="57" s="1"/>
  <c r="AF215" i="57" s="1"/>
  <c r="V413" i="12" s="1"/>
  <c r="X216" i="57"/>
  <c r="AB216" i="57" s="1"/>
  <c r="AF216" i="57" s="1"/>
  <c r="V414" i="12" s="1"/>
  <c r="X217" i="57"/>
  <c r="AB217" i="57" s="1"/>
  <c r="Y273" i="57"/>
  <c r="AC273" i="57" s="1"/>
  <c r="Y272" i="57"/>
  <c r="AC272" i="57" s="1"/>
  <c r="AG272" i="57" s="1"/>
  <c r="AC271" i="57"/>
  <c r="Y275" i="57"/>
  <c r="AC275" i="57" s="1"/>
  <c r="Y274" i="57"/>
  <c r="AC274" i="57" s="1"/>
  <c r="J267" i="57"/>
  <c r="J270" i="57"/>
  <c r="J269" i="57"/>
  <c r="J268" i="57"/>
  <c r="K134" i="57"/>
  <c r="K132" i="57"/>
  <c r="K133" i="57"/>
  <c r="K131" i="57"/>
  <c r="Y222" i="57"/>
  <c r="AC222" i="57" s="1"/>
  <c r="Y220" i="57"/>
  <c r="AC220" i="57" s="1"/>
  <c r="AG220" i="57" s="1"/>
  <c r="W418" i="12" s="1"/>
  <c r="Y223" i="57"/>
  <c r="AC223" i="57" s="1"/>
  <c r="AG223" i="57" s="1"/>
  <c r="W421" i="12" s="1"/>
  <c r="AC219" i="57"/>
  <c r="Y221" i="57"/>
  <c r="AC221" i="57" s="1"/>
  <c r="K317" i="57"/>
  <c r="K320" i="57"/>
  <c r="K319" i="57"/>
  <c r="K318" i="57"/>
  <c r="K151" i="57"/>
  <c r="K149" i="57"/>
  <c r="K148" i="57"/>
  <c r="K150" i="57"/>
  <c r="K293" i="57"/>
  <c r="K295" i="57"/>
  <c r="K294" i="57"/>
  <c r="K292" i="57"/>
  <c r="AA303" i="57"/>
  <c r="AE303" i="57" s="1"/>
  <c r="AA302" i="57"/>
  <c r="AE302" i="57" s="1"/>
  <c r="AI302" i="57" s="1"/>
  <c r="Y500" i="12" s="1"/>
  <c r="AA305" i="57"/>
  <c r="AE305" i="57" s="1"/>
  <c r="AE301" i="57"/>
  <c r="AA304" i="57"/>
  <c r="AE304" i="57" s="1"/>
  <c r="X274" i="57"/>
  <c r="AB274" i="57" s="1"/>
  <c r="AF274" i="57" s="1"/>
  <c r="V472" i="12" s="1"/>
  <c r="X273" i="57"/>
  <c r="AB273" i="57" s="1"/>
  <c r="X275" i="57"/>
  <c r="AB275" i="57" s="1"/>
  <c r="AB271" i="57"/>
  <c r="X272" i="57"/>
  <c r="AB272" i="57" s="1"/>
  <c r="AF272" i="57" s="1"/>
  <c r="K154" i="57"/>
  <c r="K153" i="57"/>
  <c r="K156" i="57"/>
  <c r="K155" i="57"/>
  <c r="Y252" i="57"/>
  <c r="AC252" i="57" s="1"/>
  <c r="Y251" i="57"/>
  <c r="AC251" i="57" s="1"/>
  <c r="Y250" i="57"/>
  <c r="AC250" i="57" s="1"/>
  <c r="AG250" i="57" s="1"/>
  <c r="W448" i="12" s="1"/>
  <c r="Y253" i="57"/>
  <c r="AC253" i="57" s="1"/>
  <c r="AC249" i="57"/>
  <c r="Y258" i="57"/>
  <c r="AC258" i="57" s="1"/>
  <c r="AC254" i="57"/>
  <c r="Y257" i="57"/>
  <c r="AC257" i="57" s="1"/>
  <c r="AG257" i="57" s="1"/>
  <c r="W455" i="12" s="1"/>
  <c r="Y256" i="57"/>
  <c r="AC256" i="57" s="1"/>
  <c r="Y255" i="57"/>
  <c r="AC255" i="57" s="1"/>
  <c r="AG255" i="57" s="1"/>
  <c r="W453" i="12" s="1"/>
  <c r="K241" i="57"/>
  <c r="K240" i="57"/>
  <c r="K243" i="57"/>
  <c r="K242" i="57"/>
  <c r="J250" i="57"/>
  <c r="J253" i="57"/>
  <c r="J252" i="57"/>
  <c r="J251" i="57"/>
  <c r="AA269" i="57"/>
  <c r="AE269" i="57" s="1"/>
  <c r="AA268" i="57"/>
  <c r="AE268" i="57" s="1"/>
  <c r="AA267" i="57"/>
  <c r="AE267" i="57" s="1"/>
  <c r="AI267" i="57" s="1"/>
  <c r="Y465" i="12" s="1"/>
  <c r="AA270" i="57"/>
  <c r="AE270" i="57" s="1"/>
  <c r="AE266" i="57"/>
  <c r="Y302" i="57"/>
  <c r="AC302" i="57" s="1"/>
  <c r="AG302" i="57" s="1"/>
  <c r="W500" i="12" s="1"/>
  <c r="Y305" i="57"/>
  <c r="AC305" i="57" s="1"/>
  <c r="AC301" i="57"/>
  <c r="Y304" i="57"/>
  <c r="AC304" i="57" s="1"/>
  <c r="AG304" i="57" s="1"/>
  <c r="W502" i="12" s="1"/>
  <c r="Y303" i="57"/>
  <c r="AC303" i="57" s="1"/>
  <c r="AG303" i="57" s="1"/>
  <c r="W501" i="12" s="1"/>
  <c r="Z290" i="57"/>
  <c r="AD290" i="57" s="1"/>
  <c r="AD286" i="57"/>
  <c r="Z289" i="57"/>
  <c r="AD289" i="57" s="1"/>
  <c r="Z288" i="57"/>
  <c r="AD288" i="57" s="1"/>
  <c r="Z287" i="57"/>
  <c r="AD287" i="57" s="1"/>
  <c r="AH287" i="57" s="1"/>
  <c r="X485" i="12" s="1"/>
  <c r="J159" i="57"/>
  <c r="J158" i="57"/>
  <c r="J161" i="57"/>
  <c r="J160" i="57"/>
  <c r="K190" i="57"/>
  <c r="K189" i="57"/>
  <c r="K188" i="57"/>
  <c r="K191" i="57"/>
  <c r="X288" i="57"/>
  <c r="AB288" i="57" s="1"/>
  <c r="X287" i="57"/>
  <c r="AB287" i="57" s="1"/>
  <c r="AF287" i="57" s="1"/>
  <c r="V485" i="12" s="1"/>
  <c r="X290" i="57"/>
  <c r="AB290" i="57" s="1"/>
  <c r="AF290" i="57" s="1"/>
  <c r="V488" i="12" s="1"/>
  <c r="AB286" i="57"/>
  <c r="X289" i="57"/>
  <c r="AB289" i="57" s="1"/>
  <c r="K313" i="57"/>
  <c r="K312" i="57"/>
  <c r="K315" i="57"/>
  <c r="K314" i="57"/>
  <c r="K217" i="57"/>
  <c r="K216" i="57"/>
  <c r="K218" i="57"/>
  <c r="K215" i="57"/>
  <c r="K34" i="57"/>
  <c r="K37" i="57"/>
  <c r="K36" i="57"/>
  <c r="K35" i="57"/>
  <c r="K227" i="57"/>
  <c r="K226" i="57"/>
  <c r="K225" i="57"/>
  <c r="K228" i="57"/>
  <c r="Z307" i="57"/>
  <c r="AD307" i="57" s="1"/>
  <c r="AH307" i="57" s="1"/>
  <c r="X505" i="12" s="1"/>
  <c r="Z308" i="57"/>
  <c r="AD308" i="57" s="1"/>
  <c r="AH308" i="57" s="1"/>
  <c r="X506" i="12" s="1"/>
  <c r="Z309" i="57"/>
  <c r="AD309" i="57" s="1"/>
  <c r="Z310" i="57"/>
  <c r="AD310" i="57" s="1"/>
  <c r="AD306" i="57"/>
  <c r="K89" i="57"/>
  <c r="K88" i="57"/>
  <c r="K87" i="57"/>
  <c r="K86" i="57"/>
  <c r="X207" i="57"/>
  <c r="AB207" i="57" s="1"/>
  <c r="X206" i="57"/>
  <c r="AB206" i="57" s="1"/>
  <c r="X205" i="57"/>
  <c r="AB205" i="57" s="1"/>
  <c r="AF205" i="57" s="1"/>
  <c r="X208" i="57"/>
  <c r="AB208" i="57" s="1"/>
  <c r="AB204" i="57"/>
  <c r="X251" i="57"/>
  <c r="AB251" i="57" s="1"/>
  <c r="AB249" i="57"/>
  <c r="X250" i="57"/>
  <c r="AB250" i="57" s="1"/>
  <c r="AF250" i="57" s="1"/>
  <c r="V448" i="12" s="1"/>
  <c r="X253" i="57"/>
  <c r="AB253" i="57" s="1"/>
  <c r="X252" i="57"/>
  <c r="AB252" i="57" s="1"/>
  <c r="K233" i="57"/>
  <c r="K230" i="57"/>
  <c r="K231" i="57"/>
  <c r="K232" i="57"/>
  <c r="Z320" i="57"/>
  <c r="AD320" i="57" s="1"/>
  <c r="Z319" i="57"/>
  <c r="AD319" i="57" s="1"/>
  <c r="AH319" i="57" s="1"/>
  <c r="X517" i="12" s="1"/>
  <c r="Z317" i="57"/>
  <c r="AD317" i="57" s="1"/>
  <c r="AH317" i="57" s="1"/>
  <c r="X515" i="12" s="1"/>
  <c r="Z318" i="57"/>
  <c r="AD318" i="57" s="1"/>
  <c r="AD316" i="57"/>
  <c r="J288" i="57"/>
  <c r="J287" i="57"/>
  <c r="J290" i="57"/>
  <c r="J289" i="57"/>
  <c r="AA283" i="57"/>
  <c r="AE283" i="57" s="1"/>
  <c r="AA282" i="57"/>
  <c r="AE282" i="57" s="1"/>
  <c r="AI282" i="57" s="1"/>
  <c r="Y480" i="12" s="1"/>
  <c r="AA285" i="57"/>
  <c r="AE285" i="57" s="1"/>
  <c r="AE281" i="57"/>
  <c r="AA284" i="57"/>
  <c r="AE284" i="57" s="1"/>
  <c r="AI284" i="57" s="1"/>
  <c r="Y482" i="12" s="1"/>
  <c r="J264" i="57"/>
  <c r="J263" i="57"/>
  <c r="J262" i="57"/>
  <c r="J265" i="57"/>
  <c r="K186" i="57"/>
  <c r="K185" i="57"/>
  <c r="K184" i="57"/>
  <c r="K183" i="57"/>
  <c r="K44" i="57"/>
  <c r="K47" i="57"/>
  <c r="K46" i="57"/>
  <c r="K45" i="57"/>
  <c r="J94" i="57"/>
  <c r="J93" i="57"/>
  <c r="J92" i="57"/>
  <c r="J91" i="57"/>
  <c r="K263" i="57"/>
  <c r="K262" i="57"/>
  <c r="K265" i="57"/>
  <c r="K264" i="57"/>
  <c r="AE271" i="57"/>
  <c r="AA273" i="57"/>
  <c r="AE273" i="57" s="1"/>
  <c r="AA274" i="57"/>
  <c r="AE274" i="57" s="1"/>
  <c r="AA275" i="57"/>
  <c r="AE275" i="57" s="1"/>
  <c r="AI275" i="57" s="1"/>
  <c r="Y473" i="12" s="1"/>
  <c r="AA272" i="57"/>
  <c r="AE272" i="57" s="1"/>
  <c r="AI272" i="57" s="1"/>
  <c r="X232" i="57"/>
  <c r="AB232" i="57" s="1"/>
  <c r="X231" i="57"/>
  <c r="AB231" i="57" s="1"/>
  <c r="X230" i="57"/>
  <c r="AB230" i="57" s="1"/>
  <c r="AF230" i="57" s="1"/>
  <c r="X233" i="57"/>
  <c r="AB233" i="57" s="1"/>
  <c r="AB229" i="57"/>
  <c r="K146" i="57"/>
  <c r="K144" i="57"/>
  <c r="K143" i="57"/>
  <c r="K145" i="57"/>
  <c r="J29" i="57"/>
  <c r="J32" i="57"/>
  <c r="J31" i="57"/>
  <c r="J30" i="57"/>
  <c r="K174" i="57"/>
  <c r="K173" i="57"/>
  <c r="K176" i="57"/>
  <c r="K175" i="57"/>
  <c r="X278" i="57"/>
  <c r="AB278" i="57" s="1"/>
  <c r="X277" i="57"/>
  <c r="AB277" i="57" s="1"/>
  <c r="AF277" i="57" s="1"/>
  <c r="V475" i="12" s="1"/>
  <c r="X280" i="57"/>
  <c r="AB280" i="57" s="1"/>
  <c r="X279" i="57"/>
  <c r="AB279" i="57" s="1"/>
  <c r="AB276" i="57"/>
  <c r="AA264" i="57"/>
  <c r="AE264" i="57" s="1"/>
  <c r="AI264" i="57" s="1"/>
  <c r="AA263" i="57"/>
  <c r="AE263" i="57" s="1"/>
  <c r="AA262" i="57"/>
  <c r="AE262" i="57" s="1"/>
  <c r="AI262" i="57" s="1"/>
  <c r="AE261" i="57"/>
  <c r="AA265" i="57"/>
  <c r="AE265" i="57" s="1"/>
  <c r="J210" i="57"/>
  <c r="J213" i="57"/>
  <c r="J211" i="57"/>
  <c r="J212" i="57"/>
  <c r="AC276" i="57"/>
  <c r="Y278" i="57"/>
  <c r="AC278" i="57" s="1"/>
  <c r="Y280" i="57"/>
  <c r="AC280" i="57" s="1"/>
  <c r="Y277" i="57"/>
  <c r="AC277" i="57" s="1"/>
  <c r="AG277" i="57" s="1"/>
  <c r="W475" i="12" s="1"/>
  <c r="Y279" i="57"/>
  <c r="AC279" i="57" s="1"/>
  <c r="AG279" i="57" s="1"/>
  <c r="W477" i="12" s="1"/>
  <c r="Z314" i="57"/>
  <c r="AD314" i="57" s="1"/>
  <c r="Z313" i="57"/>
  <c r="AD313" i="57" s="1"/>
  <c r="Z312" i="57"/>
  <c r="AD312" i="57" s="1"/>
  <c r="AH312" i="57" s="1"/>
  <c r="X510" i="12" s="1"/>
  <c r="Z315" i="57"/>
  <c r="AD315" i="57" s="1"/>
  <c r="AD311" i="57"/>
  <c r="J116" i="57"/>
  <c r="J119" i="57"/>
  <c r="J117" i="57"/>
  <c r="J118" i="57"/>
  <c r="K275" i="57"/>
  <c r="K274" i="57"/>
  <c r="K272" i="57"/>
  <c r="K273" i="57"/>
  <c r="K285" i="57"/>
  <c r="K284" i="57"/>
  <c r="K282" i="57"/>
  <c r="K283" i="57"/>
  <c r="AA258" i="57"/>
  <c r="AE258" i="57" s="1"/>
  <c r="AE254" i="57"/>
  <c r="AA257" i="57"/>
  <c r="AE257" i="57" s="1"/>
  <c r="AI257" i="57" s="1"/>
  <c r="Y455" i="12" s="1"/>
  <c r="AA256" i="57"/>
  <c r="AE256" i="57" s="1"/>
  <c r="AA255" i="57"/>
  <c r="AE255" i="57" s="1"/>
  <c r="AI255" i="57" s="1"/>
  <c r="Y453" i="12" s="1"/>
  <c r="J208" i="57"/>
  <c r="J207" i="57"/>
  <c r="J206" i="57"/>
  <c r="J205" i="57"/>
  <c r="J71" i="57"/>
  <c r="J69" i="57"/>
  <c r="J72" i="57"/>
  <c r="J70" i="57"/>
  <c r="K247" i="57"/>
  <c r="K246" i="57"/>
  <c r="K245" i="57"/>
  <c r="K248" i="57"/>
  <c r="Y240" i="57"/>
  <c r="AC240" i="57" s="1"/>
  <c r="AG240" i="57" s="1"/>
  <c r="W438" i="12" s="1"/>
  <c r="Y243" i="57"/>
  <c r="AC243" i="57" s="1"/>
  <c r="AG243" i="57" s="1"/>
  <c r="W441" i="12" s="1"/>
  <c r="AC239" i="57"/>
  <c r="Y242" i="57"/>
  <c r="AC242" i="57" s="1"/>
  <c r="Y241" i="57"/>
  <c r="AC241" i="57" s="1"/>
  <c r="J257" i="57"/>
  <c r="J256" i="57"/>
  <c r="J255" i="57"/>
  <c r="J258" i="57"/>
  <c r="K223" i="57"/>
  <c r="K222" i="57"/>
  <c r="K221" i="57"/>
  <c r="K220" i="57"/>
  <c r="Z293" i="57"/>
  <c r="AD293" i="57" s="1"/>
  <c r="Z292" i="57"/>
  <c r="AD292" i="57" s="1"/>
  <c r="AH292" i="57" s="1"/>
  <c r="X490" i="12" s="1"/>
  <c r="AD291" i="57"/>
  <c r="Z294" i="57"/>
  <c r="AD294" i="57" s="1"/>
  <c r="AH294" i="57" s="1"/>
  <c r="X492" i="12" s="1"/>
  <c r="Z295" i="57"/>
  <c r="AD295" i="57" s="1"/>
  <c r="AH295" i="57" s="1"/>
  <c r="X493" i="12" s="1"/>
  <c r="J112" i="57"/>
  <c r="J113" i="57"/>
  <c r="J111" i="57"/>
  <c r="J114" i="57"/>
  <c r="J59" i="57"/>
  <c r="J61" i="57"/>
  <c r="J62" i="57"/>
  <c r="J60" i="57"/>
  <c r="Y211" i="57"/>
  <c r="AC211" i="57" s="1"/>
  <c r="Y210" i="57"/>
  <c r="AC210" i="57" s="1"/>
  <c r="AG210" i="57" s="1"/>
  <c r="W408" i="12" s="1"/>
  <c r="Y213" i="57"/>
  <c r="AC213" i="57" s="1"/>
  <c r="Y212" i="57"/>
  <c r="AC212" i="57" s="1"/>
  <c r="AC209" i="57"/>
  <c r="AG209" i="57" s="1"/>
  <c r="W407" i="12" s="1"/>
  <c r="Y294" i="57"/>
  <c r="AC294" i="57" s="1"/>
  <c r="Y293" i="57"/>
  <c r="AC293" i="57" s="1"/>
  <c r="Y292" i="57"/>
  <c r="AC292" i="57" s="1"/>
  <c r="AG292" i="57" s="1"/>
  <c r="W490" i="12" s="1"/>
  <c r="Y295" i="57"/>
  <c r="AC295" i="57" s="1"/>
  <c r="AC291" i="57"/>
  <c r="K304" i="57"/>
  <c r="K303" i="57"/>
  <c r="K302" i="57"/>
  <c r="K305" i="57"/>
  <c r="AB301" i="57"/>
  <c r="X302" i="57"/>
  <c r="AB302" i="57" s="1"/>
  <c r="AF302" i="57" s="1"/>
  <c r="V500" i="12" s="1"/>
  <c r="X305" i="57"/>
  <c r="AB305" i="57" s="1"/>
  <c r="X304" i="57"/>
  <c r="AB304" i="57" s="1"/>
  <c r="X303" i="57"/>
  <c r="AB303" i="57" s="1"/>
  <c r="J40" i="57"/>
  <c r="J39" i="57"/>
  <c r="J42" i="57"/>
  <c r="J41" i="57"/>
  <c r="K24" i="57"/>
  <c r="K27" i="57"/>
  <c r="K26" i="57"/>
  <c r="K25" i="57"/>
  <c r="J141" i="57"/>
  <c r="J140" i="57"/>
  <c r="J138" i="57"/>
  <c r="J139" i="57"/>
  <c r="AA201" i="57"/>
  <c r="AE201" i="57" s="1"/>
  <c r="AA200" i="57"/>
  <c r="AE200" i="57" s="1"/>
  <c r="AI200" i="57" s="1"/>
  <c r="Y398" i="12" s="1"/>
  <c r="AA203" i="57"/>
  <c r="AE203" i="57" s="1"/>
  <c r="AE199" i="57"/>
  <c r="AA202" i="57"/>
  <c r="AE202" i="57" s="1"/>
  <c r="AI202" i="57" s="1"/>
  <c r="Y400" i="12" s="1"/>
  <c r="K104" i="57"/>
  <c r="K102" i="57"/>
  <c r="K101" i="57"/>
  <c r="K103" i="57"/>
  <c r="J285" i="57"/>
  <c r="J282" i="57"/>
  <c r="J284" i="57"/>
  <c r="J283" i="57"/>
  <c r="K251" i="57"/>
  <c r="K250" i="57"/>
  <c r="K253" i="57"/>
  <c r="K252" i="57"/>
  <c r="J194" i="57"/>
  <c r="J193" i="57"/>
  <c r="J196" i="57"/>
  <c r="J195" i="57"/>
  <c r="X269" i="57"/>
  <c r="AB269" i="57" s="1"/>
  <c r="X268" i="57"/>
  <c r="AB268" i="57" s="1"/>
  <c r="X267" i="57"/>
  <c r="AB267" i="57" s="1"/>
  <c r="AF267" i="57" s="1"/>
  <c r="V465" i="12" s="1"/>
  <c r="X270" i="57"/>
  <c r="AB270" i="57" s="1"/>
  <c r="AB266" i="57"/>
  <c r="X308" i="57"/>
  <c r="AB308" i="57" s="1"/>
  <c r="AB306" i="57"/>
  <c r="AF306" i="57" s="1"/>
  <c r="V504" i="12" s="1"/>
  <c r="X307" i="57"/>
  <c r="AB307" i="57" s="1"/>
  <c r="AF307" i="57" s="1"/>
  <c r="V505" i="12" s="1"/>
  <c r="X310" i="57"/>
  <c r="AB310" i="57" s="1"/>
  <c r="X309" i="57"/>
  <c r="AB309" i="57" s="1"/>
  <c r="K111" i="57"/>
  <c r="K112" i="57"/>
  <c r="K113" i="57"/>
  <c r="K114" i="57"/>
  <c r="Y203" i="57"/>
  <c r="AC203" i="57" s="1"/>
  <c r="AG203" i="57" s="1"/>
  <c r="W401" i="12" s="1"/>
  <c r="Y200" i="57"/>
  <c r="AC200" i="57" s="1"/>
  <c r="AG200" i="57" s="1"/>
  <c r="W398" i="12" s="1"/>
  <c r="Y201" i="57"/>
  <c r="AC201" i="57" s="1"/>
  <c r="Y202" i="57"/>
  <c r="AC202" i="57" s="1"/>
  <c r="AC199" i="57"/>
  <c r="X238" i="57"/>
  <c r="AB238" i="57" s="1"/>
  <c r="AF238" i="57" s="1"/>
  <c r="V436" i="12" s="1"/>
  <c r="AB234" i="57"/>
  <c r="X237" i="57"/>
  <c r="AB237" i="57" s="1"/>
  <c r="X236" i="57"/>
  <c r="AB236" i="57" s="1"/>
  <c r="X235" i="57"/>
  <c r="AB235" i="57" s="1"/>
  <c r="AF235" i="57" s="1"/>
  <c r="V433" i="12" s="1"/>
  <c r="K108" i="57"/>
  <c r="K106" i="57"/>
  <c r="K107" i="57"/>
  <c r="K109" i="57"/>
  <c r="AA212" i="57"/>
  <c r="AE212" i="57" s="1"/>
  <c r="AA211" i="57"/>
  <c r="AE211" i="57" s="1"/>
  <c r="AE209" i="57"/>
  <c r="AI209" i="57" s="1"/>
  <c r="Y407" i="12" s="1"/>
  <c r="AA210" i="57"/>
  <c r="AE210" i="57" s="1"/>
  <c r="AI210" i="57" s="1"/>
  <c r="Y408" i="12" s="1"/>
  <c r="AA213" i="57"/>
  <c r="AE213" i="57" s="1"/>
  <c r="K128" i="57"/>
  <c r="K127" i="57"/>
  <c r="K126" i="57"/>
  <c r="K129" i="57"/>
  <c r="AA317" i="57"/>
  <c r="AE317" i="57" s="1"/>
  <c r="AI317" i="57" s="1"/>
  <c r="Y515" i="12" s="1"/>
  <c r="AA320" i="57"/>
  <c r="AE320" i="57" s="1"/>
  <c r="AE316" i="57"/>
  <c r="AI316" i="57" s="1"/>
  <c r="Y514" i="12" s="1"/>
  <c r="AA319" i="57"/>
  <c r="AE319" i="57" s="1"/>
  <c r="AA318" i="57"/>
  <c r="AE318" i="57" s="1"/>
  <c r="AH77" i="23"/>
  <c r="AF258" i="23"/>
  <c r="AH223" i="23"/>
  <c r="AF161" i="23"/>
  <c r="AI221" i="23"/>
  <c r="AF191" i="23"/>
  <c r="AH213" i="23"/>
  <c r="AH241" i="23"/>
  <c r="AI77" i="23"/>
  <c r="AI208" i="23"/>
  <c r="AH285" i="23"/>
  <c r="AG97" i="23"/>
  <c r="AF233" i="23"/>
  <c r="AI293" i="23"/>
  <c r="AG87" i="23"/>
  <c r="AI129" i="23"/>
  <c r="AG82" i="23"/>
  <c r="AI263" i="23"/>
  <c r="AI276" i="23"/>
  <c r="AF141" i="23"/>
  <c r="AH127" i="23"/>
  <c r="AH271" i="23"/>
  <c r="AI161" i="23"/>
  <c r="AF122" i="23"/>
  <c r="AG280" i="23"/>
  <c r="AF179" i="23"/>
  <c r="AH233" i="23"/>
  <c r="AF87" i="23"/>
  <c r="AH214" i="23"/>
  <c r="AH311" i="23"/>
  <c r="AF218" i="23"/>
  <c r="AG144" i="23"/>
  <c r="AG157" i="23"/>
  <c r="AH265" i="23"/>
  <c r="AH82" i="23"/>
  <c r="AG271" i="23"/>
  <c r="AI104" i="23"/>
  <c r="AI117" i="23"/>
  <c r="AF316" i="23"/>
  <c r="AH253" i="23"/>
  <c r="AI253" i="23"/>
  <c r="AI211" i="23"/>
  <c r="AH171" i="23"/>
  <c r="AF132" i="23"/>
  <c r="AF315" i="23"/>
  <c r="AI174" i="23"/>
  <c r="AI109" i="23"/>
  <c r="AF182" i="23"/>
  <c r="AI303" i="23"/>
  <c r="AH119" i="23"/>
  <c r="AG268" i="23"/>
  <c r="AH295" i="23"/>
  <c r="AI164" i="23"/>
  <c r="AG258" i="23"/>
  <c r="AI236" i="23"/>
  <c r="AF119" i="23"/>
  <c r="AH226" i="23"/>
  <c r="AH176" i="23"/>
  <c r="AG305" i="23"/>
  <c r="AG77" i="23"/>
  <c r="AH305" i="23"/>
  <c r="AF194" i="23"/>
  <c r="AG213" i="23"/>
  <c r="AH149" i="23"/>
  <c r="AH94" i="23"/>
  <c r="AH122" i="23"/>
  <c r="AF94" i="23"/>
  <c r="AG117" i="23"/>
  <c r="AF305" i="23"/>
  <c r="AG174" i="23"/>
  <c r="AH112" i="23"/>
  <c r="AG248" i="23"/>
  <c r="AF288" i="23"/>
  <c r="AG109" i="23"/>
  <c r="AG122" i="23"/>
  <c r="AH300" i="23"/>
  <c r="AI184" i="23"/>
  <c r="AI218" i="23"/>
  <c r="AG127" i="23"/>
  <c r="AI99" i="23"/>
  <c r="AF169" i="23"/>
  <c r="AH270" i="23"/>
  <c r="AG194" i="23"/>
  <c r="AF129" i="23"/>
  <c r="AF107" i="23"/>
  <c r="AH248" i="23"/>
  <c r="AG171" i="23"/>
  <c r="AG320" i="23"/>
  <c r="AI132" i="23"/>
  <c r="AF156" i="23"/>
  <c r="AF268" i="23"/>
  <c r="AG285" i="23"/>
  <c r="AF308" i="23"/>
  <c r="AF283" i="23"/>
  <c r="AH320" i="23"/>
  <c r="AI313" i="23"/>
  <c r="AH134" i="23"/>
  <c r="AG149" i="23"/>
  <c r="AG223" i="23"/>
  <c r="AI171" i="23"/>
  <c r="AI87" i="23"/>
  <c r="AH139" i="23"/>
  <c r="AI316" i="23"/>
  <c r="H247" i="57"/>
  <c r="L247" i="57" s="1"/>
  <c r="H246" i="57"/>
  <c r="L246" i="57" s="1"/>
  <c r="H245" i="57"/>
  <c r="L245" i="57" s="1"/>
  <c r="H248" i="57"/>
  <c r="L248" i="57" s="1"/>
  <c r="L244" i="57"/>
  <c r="H57" i="57"/>
  <c r="L57" i="57" s="1"/>
  <c r="L53" i="57"/>
  <c r="H56" i="57"/>
  <c r="L56" i="57" s="1"/>
  <c r="H55" i="57"/>
  <c r="L55" i="57" s="1"/>
  <c r="H54" i="57"/>
  <c r="L54" i="57" s="1"/>
  <c r="H84" i="57"/>
  <c r="L84" i="57" s="1"/>
  <c r="H83" i="57"/>
  <c r="L83" i="57" s="1"/>
  <c r="H82" i="57"/>
  <c r="L82" i="57" s="1"/>
  <c r="H81" i="57"/>
  <c r="L81" i="57" s="1"/>
  <c r="L80" i="57"/>
  <c r="I19" i="57"/>
  <c r="M19" i="57" s="1"/>
  <c r="I22" i="57"/>
  <c r="M22" i="57" s="1"/>
  <c r="M18" i="57"/>
  <c r="I21" i="57"/>
  <c r="M21" i="57" s="1"/>
  <c r="I20" i="57"/>
  <c r="M20" i="57" s="1"/>
  <c r="I202" i="57"/>
  <c r="M202" i="57" s="1"/>
  <c r="I201" i="57"/>
  <c r="M201" i="57" s="1"/>
  <c r="I200" i="57"/>
  <c r="M200" i="57" s="1"/>
  <c r="I203" i="57"/>
  <c r="M203" i="57" s="1"/>
  <c r="M199" i="57"/>
  <c r="I104" i="57"/>
  <c r="M104" i="57" s="1"/>
  <c r="M100" i="57"/>
  <c r="I103" i="57"/>
  <c r="M103" i="57" s="1"/>
  <c r="I102" i="57"/>
  <c r="M102" i="57" s="1"/>
  <c r="I101" i="57"/>
  <c r="M101" i="57" s="1"/>
  <c r="I45" i="57"/>
  <c r="M45" i="57" s="1"/>
  <c r="I44" i="57"/>
  <c r="M44" i="57" s="1"/>
  <c r="I46" i="57"/>
  <c r="M46" i="57" s="1"/>
  <c r="I47" i="57"/>
  <c r="M47" i="57" s="1"/>
  <c r="M43" i="57"/>
  <c r="I191" i="57"/>
  <c r="M191" i="57" s="1"/>
  <c r="I190" i="57"/>
  <c r="M190" i="57" s="1"/>
  <c r="I188" i="57"/>
  <c r="M188" i="57" s="1"/>
  <c r="I189" i="57"/>
  <c r="M189" i="57" s="1"/>
  <c r="M187" i="57"/>
  <c r="I52" i="57"/>
  <c r="M52" i="57" s="1"/>
  <c r="I51" i="57"/>
  <c r="M51" i="57" s="1"/>
  <c r="I50" i="57"/>
  <c r="M50" i="57" s="1"/>
  <c r="I49" i="57"/>
  <c r="M49" i="57" s="1"/>
  <c r="M48" i="57"/>
  <c r="I131" i="57"/>
  <c r="M131" i="57" s="1"/>
  <c r="I132" i="57"/>
  <c r="M132" i="57" s="1"/>
  <c r="I134" i="57"/>
  <c r="M134" i="57" s="1"/>
  <c r="I133" i="57"/>
  <c r="M133" i="57" s="1"/>
  <c r="M130" i="57"/>
  <c r="I57" i="57"/>
  <c r="M57" i="57" s="1"/>
  <c r="M53" i="57"/>
  <c r="I56" i="57"/>
  <c r="M56" i="57" s="1"/>
  <c r="I55" i="57"/>
  <c r="M55" i="57" s="1"/>
  <c r="I54" i="57"/>
  <c r="M54" i="57" s="1"/>
  <c r="I263" i="57"/>
  <c r="M263" i="57" s="1"/>
  <c r="N263" i="57" s="1"/>
  <c r="O263" i="57" s="1"/>
  <c r="P263" i="57" s="1"/>
  <c r="Q263" i="57" s="1"/>
  <c r="R263" i="57" s="1"/>
  <c r="S263" i="57" s="1"/>
  <c r="T263" i="57" s="1"/>
  <c r="U263" i="57" s="1"/>
  <c r="V263" i="57" s="1"/>
  <c r="I262" i="57"/>
  <c r="M262" i="57" s="1"/>
  <c r="N262" i="57" s="1"/>
  <c r="O262" i="57" s="1"/>
  <c r="P262" i="57" s="1"/>
  <c r="Q262" i="57" s="1"/>
  <c r="R262" i="57" s="1"/>
  <c r="S262" i="57" s="1"/>
  <c r="T262" i="57" s="1"/>
  <c r="U262" i="57" s="1"/>
  <c r="V262" i="57" s="1"/>
  <c r="I265" i="57"/>
  <c r="M265" i="57" s="1"/>
  <c r="N265" i="57" s="1"/>
  <c r="O265" i="57" s="1"/>
  <c r="P265" i="57" s="1"/>
  <c r="Q265" i="57" s="1"/>
  <c r="R265" i="57" s="1"/>
  <c r="S265" i="57" s="1"/>
  <c r="T265" i="57" s="1"/>
  <c r="U265" i="57" s="1"/>
  <c r="V265" i="57" s="1"/>
  <c r="M261" i="57"/>
  <c r="N261" i="57" s="1"/>
  <c r="O261" i="57" s="1"/>
  <c r="P261" i="57" s="1"/>
  <c r="Q261" i="57" s="1"/>
  <c r="R261" i="57" s="1"/>
  <c r="S261" i="57" s="1"/>
  <c r="T261" i="57" s="1"/>
  <c r="U261" i="57" s="1"/>
  <c r="V261" i="57" s="1"/>
  <c r="I264" i="57"/>
  <c r="M264" i="57" s="1"/>
  <c r="N264" i="57" s="1"/>
  <c r="O264" i="57" s="1"/>
  <c r="P264" i="57" s="1"/>
  <c r="Q264" i="57" s="1"/>
  <c r="R264" i="57" s="1"/>
  <c r="S264" i="57" s="1"/>
  <c r="T264" i="57" s="1"/>
  <c r="U264" i="57" s="1"/>
  <c r="V264" i="57" s="1"/>
  <c r="M90" i="57"/>
  <c r="I91" i="57"/>
  <c r="M91" i="57" s="1"/>
  <c r="I94" i="57"/>
  <c r="M94" i="57" s="1"/>
  <c r="I93" i="57"/>
  <c r="M93" i="57" s="1"/>
  <c r="I92" i="57"/>
  <c r="M92" i="57" s="1"/>
  <c r="H288" i="57"/>
  <c r="L288" i="57" s="1"/>
  <c r="H287" i="57"/>
  <c r="L287" i="57" s="1"/>
  <c r="H290" i="57"/>
  <c r="L290" i="57" s="1"/>
  <c r="H289" i="57"/>
  <c r="L289" i="57" s="1"/>
  <c r="L286" i="57"/>
  <c r="I196" i="57"/>
  <c r="M196" i="57" s="1"/>
  <c r="M192" i="57"/>
  <c r="I195" i="57"/>
  <c r="M195" i="57" s="1"/>
  <c r="I194" i="57"/>
  <c r="M194" i="57" s="1"/>
  <c r="I193" i="57"/>
  <c r="M193" i="57" s="1"/>
  <c r="H148" i="57"/>
  <c r="L148" i="57" s="1"/>
  <c r="H151" i="57"/>
  <c r="L151" i="57" s="1"/>
  <c r="L147" i="57"/>
  <c r="H150" i="57"/>
  <c r="L150" i="57" s="1"/>
  <c r="H149" i="57"/>
  <c r="L149" i="57" s="1"/>
  <c r="H141" i="57"/>
  <c r="L141" i="57" s="1"/>
  <c r="H139" i="57"/>
  <c r="L139" i="57" s="1"/>
  <c r="H140" i="57"/>
  <c r="L140" i="57" s="1"/>
  <c r="L137" i="57"/>
  <c r="H138" i="57"/>
  <c r="L138" i="57" s="1"/>
  <c r="I32" i="57"/>
  <c r="M32" i="57" s="1"/>
  <c r="M28" i="57"/>
  <c r="I31" i="57"/>
  <c r="M31" i="57" s="1"/>
  <c r="I30" i="57"/>
  <c r="M30" i="57" s="1"/>
  <c r="I29" i="57"/>
  <c r="M29" i="57" s="1"/>
  <c r="H123" i="57"/>
  <c r="L123" i="57" s="1"/>
  <c r="H122" i="57"/>
  <c r="L122" i="57" s="1"/>
  <c r="H121" i="57"/>
  <c r="L121" i="57" s="1"/>
  <c r="H124" i="57"/>
  <c r="L124" i="57" s="1"/>
  <c r="L120" i="57"/>
  <c r="H284" i="57"/>
  <c r="L284" i="57" s="1"/>
  <c r="H285" i="57"/>
  <c r="L285" i="57" s="1"/>
  <c r="H282" i="57"/>
  <c r="L282" i="57" s="1"/>
  <c r="L281" i="57"/>
  <c r="H283" i="57"/>
  <c r="L283" i="57" s="1"/>
  <c r="I71" i="57"/>
  <c r="M71" i="57" s="1"/>
  <c r="I70" i="57"/>
  <c r="M70" i="57" s="1"/>
  <c r="I69" i="57"/>
  <c r="M69" i="57" s="1"/>
  <c r="I72" i="57"/>
  <c r="M72" i="57" s="1"/>
  <c r="M68" i="57"/>
  <c r="H189" i="57"/>
  <c r="L189" i="57" s="1"/>
  <c r="H188" i="57"/>
  <c r="L188" i="57" s="1"/>
  <c r="L187" i="57"/>
  <c r="H190" i="57"/>
  <c r="L190" i="57" s="1"/>
  <c r="H191" i="57"/>
  <c r="L191" i="57" s="1"/>
  <c r="H206" i="57"/>
  <c r="L206" i="57" s="1"/>
  <c r="H205" i="57"/>
  <c r="L205" i="57" s="1"/>
  <c r="H208" i="57"/>
  <c r="L208" i="57" s="1"/>
  <c r="L204" i="57"/>
  <c r="H207" i="57"/>
  <c r="L207" i="57" s="1"/>
  <c r="I36" i="57"/>
  <c r="M36" i="57" s="1"/>
  <c r="I34" i="57"/>
  <c r="M34" i="57" s="1"/>
  <c r="I35" i="57"/>
  <c r="M35" i="57" s="1"/>
  <c r="I37" i="57"/>
  <c r="M37" i="57" s="1"/>
  <c r="M33" i="57"/>
  <c r="I79" i="57"/>
  <c r="M79" i="57" s="1"/>
  <c r="I76" i="57"/>
  <c r="M76" i="57" s="1"/>
  <c r="I78" i="57"/>
  <c r="M78" i="57" s="1"/>
  <c r="M75" i="57"/>
  <c r="I77" i="57"/>
  <c r="M77" i="57" s="1"/>
  <c r="I320" i="57"/>
  <c r="M320" i="57" s="1"/>
  <c r="I319" i="57"/>
  <c r="M319" i="57" s="1"/>
  <c r="I318" i="57"/>
  <c r="M318" i="57" s="1"/>
  <c r="I317" i="57"/>
  <c r="M317" i="57" s="1"/>
  <c r="M316" i="57"/>
  <c r="I150" i="57"/>
  <c r="M150" i="57" s="1"/>
  <c r="I149" i="57"/>
  <c r="M149" i="57" s="1"/>
  <c r="I148" i="57"/>
  <c r="M148" i="57" s="1"/>
  <c r="I151" i="57"/>
  <c r="M151" i="57" s="1"/>
  <c r="M147" i="57"/>
  <c r="H184" i="57"/>
  <c r="L184" i="57" s="1"/>
  <c r="H183" i="57"/>
  <c r="L183" i="57" s="1"/>
  <c r="H186" i="57"/>
  <c r="L186" i="57" s="1"/>
  <c r="L182" i="57"/>
  <c r="H185" i="57"/>
  <c r="L185" i="57" s="1"/>
  <c r="I211" i="57"/>
  <c r="M211" i="57" s="1"/>
  <c r="I210" i="57"/>
  <c r="M210" i="57" s="1"/>
  <c r="I213" i="57"/>
  <c r="M213" i="57" s="1"/>
  <c r="M209" i="57"/>
  <c r="I212" i="57"/>
  <c r="M212" i="57" s="1"/>
  <c r="I179" i="57"/>
  <c r="M179" i="57" s="1"/>
  <c r="I178" i="57"/>
  <c r="M178" i="57" s="1"/>
  <c r="I181" i="57"/>
  <c r="M181" i="57" s="1"/>
  <c r="I180" i="57"/>
  <c r="M180" i="57" s="1"/>
  <c r="M177" i="57"/>
  <c r="H99" i="57"/>
  <c r="L99" i="57" s="1"/>
  <c r="H97" i="57"/>
  <c r="L97" i="57" s="1"/>
  <c r="L95" i="57"/>
  <c r="H96" i="57"/>
  <c r="L96" i="57" s="1"/>
  <c r="H98" i="57"/>
  <c r="L98" i="57" s="1"/>
  <c r="H87" i="57"/>
  <c r="L87" i="57" s="1"/>
  <c r="H86" i="57"/>
  <c r="L86" i="57" s="1"/>
  <c r="L85" i="57"/>
  <c r="H89" i="57"/>
  <c r="L89" i="57" s="1"/>
  <c r="H88" i="57"/>
  <c r="L88" i="57" s="1"/>
  <c r="H145" i="57"/>
  <c r="L145" i="57" s="1"/>
  <c r="H144" i="57"/>
  <c r="L144" i="57" s="1"/>
  <c r="H143" i="57"/>
  <c r="L143" i="57" s="1"/>
  <c r="H146" i="57"/>
  <c r="L146" i="57" s="1"/>
  <c r="L142" i="57"/>
  <c r="I284" i="57"/>
  <c r="M284" i="57" s="1"/>
  <c r="I283" i="57"/>
  <c r="M283" i="57" s="1"/>
  <c r="I282" i="57"/>
  <c r="M282" i="57" s="1"/>
  <c r="I285" i="57"/>
  <c r="M285" i="57" s="1"/>
  <c r="M281" i="57"/>
  <c r="H24" i="57"/>
  <c r="L24" i="57" s="1"/>
  <c r="H25" i="57"/>
  <c r="L25" i="57" s="1"/>
  <c r="L23" i="57"/>
  <c r="H27" i="57"/>
  <c r="L27" i="57" s="1"/>
  <c r="H26" i="57"/>
  <c r="L26" i="57" s="1"/>
  <c r="I303" i="57"/>
  <c r="M303" i="57" s="1"/>
  <c r="I302" i="57"/>
  <c r="M302" i="57" s="1"/>
  <c r="I305" i="57"/>
  <c r="M305" i="57" s="1"/>
  <c r="M301" i="57"/>
  <c r="I304" i="57"/>
  <c r="M304" i="57" s="1"/>
  <c r="H203" i="57"/>
  <c r="L203" i="57" s="1"/>
  <c r="L199" i="57"/>
  <c r="H202" i="57"/>
  <c r="L202" i="57" s="1"/>
  <c r="H200" i="57"/>
  <c r="L200" i="57" s="1"/>
  <c r="H201" i="57"/>
  <c r="L201" i="57" s="1"/>
  <c r="I164" i="57"/>
  <c r="M164" i="57" s="1"/>
  <c r="I163" i="57"/>
  <c r="M163" i="57" s="1"/>
  <c r="I166" i="57"/>
  <c r="M166" i="57" s="1"/>
  <c r="M162" i="57"/>
  <c r="I165" i="57"/>
  <c r="M165" i="57" s="1"/>
  <c r="H164" i="57"/>
  <c r="L164" i="57" s="1"/>
  <c r="H163" i="57"/>
  <c r="L163" i="57" s="1"/>
  <c r="H166" i="57"/>
  <c r="L166" i="57" s="1"/>
  <c r="L162" i="57"/>
  <c r="H165" i="57"/>
  <c r="L165" i="57" s="1"/>
  <c r="I118" i="57"/>
  <c r="M118" i="57" s="1"/>
  <c r="I117" i="57"/>
  <c r="M117" i="57" s="1"/>
  <c r="I116" i="57"/>
  <c r="M116" i="57" s="1"/>
  <c r="I119" i="57"/>
  <c r="M119" i="57" s="1"/>
  <c r="M115" i="57"/>
  <c r="H47" i="57"/>
  <c r="L47" i="57" s="1"/>
  <c r="H45" i="57"/>
  <c r="L45" i="57" s="1"/>
  <c r="L43" i="57"/>
  <c r="H46" i="57"/>
  <c r="L46" i="57" s="1"/>
  <c r="H44" i="57"/>
  <c r="L44" i="57" s="1"/>
  <c r="L157" i="57"/>
  <c r="H158" i="57"/>
  <c r="L158" i="57" s="1"/>
  <c r="H161" i="57"/>
  <c r="L161" i="57" s="1"/>
  <c r="H160" i="57"/>
  <c r="L160" i="57" s="1"/>
  <c r="H159" i="57"/>
  <c r="L159" i="57" s="1"/>
  <c r="I14" i="57"/>
  <c r="M14" i="57" s="1"/>
  <c r="N14" i="57" s="1"/>
  <c r="O14" i="57" s="1"/>
  <c r="P14" i="57" s="1"/>
  <c r="Q14" i="57" s="1"/>
  <c r="R14" i="57" s="1"/>
  <c r="S14" i="57" s="1"/>
  <c r="T14" i="57" s="1"/>
  <c r="U14" i="57" s="1"/>
  <c r="V14" i="57" s="1"/>
  <c r="I16" i="57"/>
  <c r="M16" i="57" s="1"/>
  <c r="N16" i="57" s="1"/>
  <c r="O16" i="57" s="1"/>
  <c r="P16" i="57" s="1"/>
  <c r="Q16" i="57" s="1"/>
  <c r="R16" i="57" s="1"/>
  <c r="S16" i="57" s="1"/>
  <c r="T16" i="57" s="1"/>
  <c r="U16" i="57" s="1"/>
  <c r="V16" i="57" s="1"/>
  <c r="I17" i="57"/>
  <c r="M17" i="57" s="1"/>
  <c r="N17" i="57" s="1"/>
  <c r="O17" i="57" s="1"/>
  <c r="P17" i="57" s="1"/>
  <c r="Q17" i="57" s="1"/>
  <c r="R17" i="57" s="1"/>
  <c r="S17" i="57" s="1"/>
  <c r="T17" i="57" s="1"/>
  <c r="U17" i="57" s="1"/>
  <c r="V17" i="57" s="1"/>
  <c r="I15" i="57"/>
  <c r="M15" i="57" s="1"/>
  <c r="N15" i="57" s="1"/>
  <c r="O15" i="57" s="1"/>
  <c r="P15" i="57" s="1"/>
  <c r="Q15" i="57" s="1"/>
  <c r="R15" i="57" s="1"/>
  <c r="S15" i="57" s="1"/>
  <c r="T15" i="57" s="1"/>
  <c r="U15" i="57" s="1"/>
  <c r="V15" i="57" s="1"/>
  <c r="M13" i="57"/>
  <c r="N13" i="57" s="1"/>
  <c r="O13" i="57" s="1"/>
  <c r="P13" i="57" s="1"/>
  <c r="Q13" i="57" s="1"/>
  <c r="R13" i="57" s="1"/>
  <c r="S13" i="57" s="1"/>
  <c r="T13" i="57" s="1"/>
  <c r="U13" i="57" s="1"/>
  <c r="V13" i="57" s="1"/>
  <c r="H67" i="57"/>
  <c r="L67" i="57" s="1"/>
  <c r="L63" i="57"/>
  <c r="H66" i="57"/>
  <c r="L66" i="57" s="1"/>
  <c r="H65" i="57"/>
  <c r="L65" i="57" s="1"/>
  <c r="H64" i="57"/>
  <c r="L64" i="57" s="1"/>
  <c r="I114" i="57"/>
  <c r="M114" i="57" s="1"/>
  <c r="I111" i="57"/>
  <c r="M111" i="57" s="1"/>
  <c r="I113" i="57"/>
  <c r="M113" i="57" s="1"/>
  <c r="M110" i="57"/>
  <c r="I112" i="57"/>
  <c r="M112" i="57" s="1"/>
  <c r="H295" i="57"/>
  <c r="L295" i="57" s="1"/>
  <c r="H293" i="57"/>
  <c r="L293" i="57" s="1"/>
  <c r="H294" i="57"/>
  <c r="L294" i="57" s="1"/>
  <c r="L291" i="57"/>
  <c r="H292" i="57"/>
  <c r="L292" i="57" s="1"/>
  <c r="I98" i="57"/>
  <c r="M98" i="57" s="1"/>
  <c r="I97" i="57"/>
  <c r="M97" i="57" s="1"/>
  <c r="I99" i="57"/>
  <c r="M99" i="57" s="1"/>
  <c r="M95" i="57"/>
  <c r="I96" i="57"/>
  <c r="M96" i="57" s="1"/>
  <c r="H175" i="57"/>
  <c r="L175" i="57" s="1"/>
  <c r="H174" i="57"/>
  <c r="L174" i="57" s="1"/>
  <c r="H173" i="57"/>
  <c r="L173" i="57" s="1"/>
  <c r="H176" i="57"/>
  <c r="L176" i="57" s="1"/>
  <c r="L172" i="57"/>
  <c r="H264" i="57"/>
  <c r="L264" i="57" s="1"/>
  <c r="H263" i="57"/>
  <c r="L263" i="57" s="1"/>
  <c r="H262" i="57"/>
  <c r="L262" i="57" s="1"/>
  <c r="H265" i="57"/>
  <c r="L265" i="57" s="1"/>
  <c r="L261" i="57"/>
  <c r="H231" i="57"/>
  <c r="L231" i="57" s="1"/>
  <c r="H230" i="57"/>
  <c r="L230" i="57" s="1"/>
  <c r="H233" i="57"/>
  <c r="L233" i="57" s="1"/>
  <c r="L229" i="57"/>
  <c r="H232" i="57"/>
  <c r="L232" i="57" s="1"/>
  <c r="L38" i="57"/>
  <c r="H41" i="57"/>
  <c r="L41" i="57" s="1"/>
  <c r="H40" i="57"/>
  <c r="L40" i="57" s="1"/>
  <c r="H39" i="57"/>
  <c r="L39" i="57" s="1"/>
  <c r="H42" i="57"/>
  <c r="L42" i="57" s="1"/>
  <c r="H14" i="57"/>
  <c r="L14" i="57" s="1"/>
  <c r="H17" i="57"/>
  <c r="L17" i="57" s="1"/>
  <c r="L13" i="57"/>
  <c r="H16" i="57"/>
  <c r="L16" i="57" s="1"/>
  <c r="H15" i="57"/>
  <c r="L15" i="57" s="1"/>
  <c r="H62" i="57"/>
  <c r="L62" i="57" s="1"/>
  <c r="L58" i="57"/>
  <c r="H61" i="57"/>
  <c r="L61" i="57" s="1"/>
  <c r="H60" i="57"/>
  <c r="L60" i="57" s="1"/>
  <c r="H59" i="57"/>
  <c r="L59" i="57" s="1"/>
  <c r="I288" i="57"/>
  <c r="M288" i="57" s="1"/>
  <c r="I287" i="57"/>
  <c r="M287" i="57" s="1"/>
  <c r="I290" i="57"/>
  <c r="M290" i="57" s="1"/>
  <c r="M286" i="57"/>
  <c r="I289" i="57"/>
  <c r="M289" i="57" s="1"/>
  <c r="I66" i="57"/>
  <c r="M66" i="57" s="1"/>
  <c r="I64" i="57"/>
  <c r="M64" i="57" s="1"/>
  <c r="I65" i="57"/>
  <c r="M65" i="57" s="1"/>
  <c r="I67" i="57"/>
  <c r="M67" i="57" s="1"/>
  <c r="M63" i="57"/>
  <c r="H103" i="57"/>
  <c r="L103" i="57" s="1"/>
  <c r="H102" i="57"/>
  <c r="L102" i="57" s="1"/>
  <c r="H101" i="57"/>
  <c r="L101" i="57" s="1"/>
  <c r="H104" i="57"/>
  <c r="L104" i="57" s="1"/>
  <c r="L100" i="57"/>
  <c r="H305" i="57"/>
  <c r="L305" i="57" s="1"/>
  <c r="L301" i="57"/>
  <c r="H304" i="57"/>
  <c r="L304" i="57" s="1"/>
  <c r="H303" i="57"/>
  <c r="L303" i="57" s="1"/>
  <c r="H302" i="57"/>
  <c r="L302" i="57" s="1"/>
  <c r="I86" i="57"/>
  <c r="M86" i="57" s="1"/>
  <c r="I89" i="57"/>
  <c r="M89" i="57" s="1"/>
  <c r="I88" i="57"/>
  <c r="M88" i="57" s="1"/>
  <c r="I87" i="57"/>
  <c r="M87" i="57" s="1"/>
  <c r="M85" i="57"/>
  <c r="H319" i="57"/>
  <c r="L319" i="57" s="1"/>
  <c r="H318" i="57"/>
  <c r="L318" i="57" s="1"/>
  <c r="H317" i="57"/>
  <c r="L317" i="57" s="1"/>
  <c r="H320" i="57"/>
  <c r="L320" i="57" s="1"/>
  <c r="L316" i="57"/>
  <c r="M266" i="57"/>
  <c r="I270" i="57"/>
  <c r="M270" i="57" s="1"/>
  <c r="I269" i="57"/>
  <c r="M269" i="57" s="1"/>
  <c r="I267" i="57"/>
  <c r="M267" i="57" s="1"/>
  <c r="I268" i="57"/>
  <c r="M268" i="57" s="1"/>
  <c r="I154" i="57"/>
  <c r="M154" i="57" s="1"/>
  <c r="I156" i="57"/>
  <c r="M156" i="57" s="1"/>
  <c r="I153" i="57"/>
  <c r="M153" i="57" s="1"/>
  <c r="M152" i="57"/>
  <c r="I155" i="57"/>
  <c r="M155" i="57" s="1"/>
  <c r="H109" i="57"/>
  <c r="L109" i="57" s="1"/>
  <c r="L105" i="57"/>
  <c r="H108" i="57"/>
  <c r="L108" i="57" s="1"/>
  <c r="H107" i="57"/>
  <c r="L107" i="57" s="1"/>
  <c r="H106" i="57"/>
  <c r="L106" i="57" s="1"/>
  <c r="I25" i="57"/>
  <c r="M25" i="57" s="1"/>
  <c r="I24" i="57"/>
  <c r="M24" i="57" s="1"/>
  <c r="I27" i="57"/>
  <c r="M27" i="57" s="1"/>
  <c r="I26" i="57"/>
  <c r="M26" i="57" s="1"/>
  <c r="M23" i="57"/>
  <c r="H223" i="57"/>
  <c r="L223" i="57" s="1"/>
  <c r="H221" i="57"/>
  <c r="L221" i="57" s="1"/>
  <c r="H220" i="57"/>
  <c r="L220" i="57" s="1"/>
  <c r="L219" i="57"/>
  <c r="H222" i="57"/>
  <c r="L222" i="57" s="1"/>
  <c r="I241" i="57"/>
  <c r="M241" i="57" s="1"/>
  <c r="M239" i="57"/>
  <c r="I243" i="57"/>
  <c r="M243" i="57" s="1"/>
  <c r="I242" i="57"/>
  <c r="M242" i="57" s="1"/>
  <c r="I240" i="57"/>
  <c r="M240" i="57" s="1"/>
  <c r="H129" i="57"/>
  <c r="L129" i="57" s="1"/>
  <c r="H126" i="57"/>
  <c r="L126" i="57" s="1"/>
  <c r="H127" i="57"/>
  <c r="L127" i="57" s="1"/>
  <c r="L125" i="57"/>
  <c r="H128" i="57"/>
  <c r="L128" i="57" s="1"/>
  <c r="I238" i="57"/>
  <c r="M238" i="57" s="1"/>
  <c r="M234" i="57"/>
  <c r="I237" i="57"/>
  <c r="M237" i="57" s="1"/>
  <c r="I236" i="57"/>
  <c r="M236" i="57" s="1"/>
  <c r="I235" i="57"/>
  <c r="M235" i="57" s="1"/>
  <c r="I138" i="57"/>
  <c r="M138" i="57" s="1"/>
  <c r="N138" i="57" s="1"/>
  <c r="O138" i="57" s="1"/>
  <c r="P138" i="57" s="1"/>
  <c r="Q138" i="57" s="1"/>
  <c r="R138" i="57" s="1"/>
  <c r="S138" i="57" s="1"/>
  <c r="T138" i="57" s="1"/>
  <c r="U138" i="57" s="1"/>
  <c r="V138" i="57" s="1"/>
  <c r="I141" i="57"/>
  <c r="M141" i="57" s="1"/>
  <c r="N141" i="57" s="1"/>
  <c r="O141" i="57" s="1"/>
  <c r="P141" i="57" s="1"/>
  <c r="Q141" i="57" s="1"/>
  <c r="R141" i="57" s="1"/>
  <c r="S141" i="57" s="1"/>
  <c r="T141" i="57" s="1"/>
  <c r="U141" i="57" s="1"/>
  <c r="V141" i="57" s="1"/>
  <c r="I140" i="57"/>
  <c r="M140" i="57" s="1"/>
  <c r="N140" i="57" s="1"/>
  <c r="O140" i="57" s="1"/>
  <c r="P140" i="57" s="1"/>
  <c r="Q140" i="57" s="1"/>
  <c r="R140" i="57" s="1"/>
  <c r="S140" i="57" s="1"/>
  <c r="T140" i="57" s="1"/>
  <c r="U140" i="57" s="1"/>
  <c r="V140" i="57" s="1"/>
  <c r="I139" i="57"/>
  <c r="M139" i="57" s="1"/>
  <c r="N139" i="57" s="1"/>
  <c r="O139" i="57" s="1"/>
  <c r="P139" i="57" s="1"/>
  <c r="Q139" i="57" s="1"/>
  <c r="R139" i="57" s="1"/>
  <c r="S139" i="57" s="1"/>
  <c r="T139" i="57" s="1"/>
  <c r="U139" i="57" s="1"/>
  <c r="V139" i="57" s="1"/>
  <c r="M137" i="57"/>
  <c r="N137" i="57" s="1"/>
  <c r="O137" i="57" s="1"/>
  <c r="P137" i="57" s="1"/>
  <c r="Q137" i="57" s="1"/>
  <c r="R137" i="57" s="1"/>
  <c r="S137" i="57" s="1"/>
  <c r="T137" i="57" s="1"/>
  <c r="U137" i="57" s="1"/>
  <c r="V137" i="57" s="1"/>
  <c r="H153" i="57"/>
  <c r="L153" i="57" s="1"/>
  <c r="H156" i="57"/>
  <c r="L156" i="57" s="1"/>
  <c r="H155" i="57"/>
  <c r="L155" i="57" s="1"/>
  <c r="H154" i="57"/>
  <c r="L154" i="57" s="1"/>
  <c r="L152" i="57"/>
  <c r="N244" i="23"/>
  <c r="N247" i="23"/>
  <c r="AI281" i="23"/>
  <c r="AI284" i="23"/>
  <c r="N246" i="23"/>
  <c r="N245" i="23"/>
  <c r="AH75" i="23"/>
  <c r="AH78" i="23"/>
  <c r="AH192" i="23"/>
  <c r="AH195" i="23"/>
  <c r="N283" i="23"/>
  <c r="N282" i="23"/>
  <c r="AF199" i="23"/>
  <c r="AF202" i="23"/>
  <c r="N301" i="23"/>
  <c r="N305" i="23"/>
  <c r="N304" i="23"/>
  <c r="N298" i="23"/>
  <c r="N297" i="23"/>
  <c r="N164" i="23"/>
  <c r="N163" i="23"/>
  <c r="N201" i="23"/>
  <c r="N200" i="23"/>
  <c r="N214" i="23"/>
  <c r="N218" i="23"/>
  <c r="N217" i="23"/>
  <c r="AI219" i="23"/>
  <c r="AI222" i="23"/>
  <c r="AH199" i="23"/>
  <c r="AH202" i="23"/>
  <c r="N58" i="23"/>
  <c r="AF100" i="23"/>
  <c r="AF103" i="23"/>
  <c r="N102" i="23"/>
  <c r="N101" i="23"/>
  <c r="N115" i="23"/>
  <c r="N119" i="23"/>
  <c r="N118" i="23"/>
  <c r="AF209" i="23"/>
  <c r="AF212" i="23"/>
  <c r="AH239" i="23"/>
  <c r="AH242" i="23"/>
  <c r="N44" i="23"/>
  <c r="AG90" i="23"/>
  <c r="AG93" i="23"/>
  <c r="AI75" i="23"/>
  <c r="AI78" i="23"/>
  <c r="N293" i="23"/>
  <c r="N292" i="23"/>
  <c r="N306" i="23"/>
  <c r="N310" i="23"/>
  <c r="N309" i="23"/>
  <c r="N174" i="23"/>
  <c r="N173" i="23"/>
  <c r="N187" i="23"/>
  <c r="N191" i="23"/>
  <c r="N190" i="23"/>
  <c r="AI286" i="23"/>
  <c r="AI289" i="23"/>
  <c r="AG95" i="23"/>
  <c r="AG98" i="23"/>
  <c r="N49" i="23"/>
  <c r="AI147" i="23"/>
  <c r="AI150" i="23"/>
  <c r="AI291" i="23"/>
  <c r="AI294" i="23"/>
  <c r="N130" i="23"/>
  <c r="N134" i="23"/>
  <c r="N133" i="23"/>
  <c r="N159" i="23"/>
  <c r="N158" i="23"/>
  <c r="AG229" i="23"/>
  <c r="AG232" i="23"/>
  <c r="N53" i="23"/>
  <c r="AH204" i="23"/>
  <c r="AH207" i="23"/>
  <c r="AG85" i="23"/>
  <c r="AG88" i="23"/>
  <c r="AI110" i="23"/>
  <c r="AI113" i="23"/>
  <c r="AG80" i="23"/>
  <c r="AG83" i="23"/>
  <c r="AI261" i="23"/>
  <c r="AI264" i="23"/>
  <c r="AH125" i="23"/>
  <c r="AH128" i="23"/>
  <c r="AI142" i="23"/>
  <c r="AI145" i="23"/>
  <c r="N90" i="23"/>
  <c r="N94" i="23"/>
  <c r="N93" i="23"/>
  <c r="AF239" i="23"/>
  <c r="AF242" i="23"/>
  <c r="N251" i="23"/>
  <c r="N250" i="23"/>
  <c r="N254" i="23"/>
  <c r="N258" i="23"/>
  <c r="N257" i="23"/>
  <c r="AF120" i="23"/>
  <c r="AF123" i="23"/>
  <c r="AG261" i="23"/>
  <c r="AG264" i="23"/>
  <c r="AF177" i="23"/>
  <c r="AF180" i="23"/>
  <c r="N112" i="23"/>
  <c r="N111" i="23"/>
  <c r="N125" i="23"/>
  <c r="N129" i="23"/>
  <c r="N128" i="23"/>
  <c r="AF85" i="23"/>
  <c r="AF88" i="23"/>
  <c r="AG130" i="23"/>
  <c r="AG133" i="23"/>
  <c r="N278" i="23"/>
  <c r="N277" i="23"/>
  <c r="N142" i="23"/>
  <c r="N146" i="23"/>
  <c r="N145" i="23"/>
  <c r="AG142" i="23"/>
  <c r="AG145" i="23"/>
  <c r="AH105" i="23"/>
  <c r="AH108" i="23"/>
  <c r="N194" i="23"/>
  <c r="N193" i="23"/>
  <c r="N80" i="23"/>
  <c r="N84" i="23"/>
  <c r="N83" i="23"/>
  <c r="N97" i="23"/>
  <c r="N96" i="23"/>
  <c r="AH80" i="23"/>
  <c r="AH83" i="23"/>
  <c r="AG286" i="23"/>
  <c r="AG289" i="23"/>
  <c r="AI115" i="23"/>
  <c r="AI118" i="23"/>
  <c r="N28" i="23"/>
  <c r="AI209" i="23"/>
  <c r="AI212" i="23"/>
  <c r="AF244" i="23"/>
  <c r="AF247" i="23"/>
  <c r="AF130" i="23"/>
  <c r="AF133" i="23"/>
  <c r="AI137" i="23"/>
  <c r="AI140" i="23"/>
  <c r="AG239" i="23"/>
  <c r="AG242" i="23"/>
  <c r="AI172" i="23"/>
  <c r="AI175" i="23"/>
  <c r="AI90" i="23"/>
  <c r="AI93" i="23"/>
  <c r="AI301" i="23"/>
  <c r="AI304" i="23"/>
  <c r="AH85" i="23"/>
  <c r="AH88" i="23"/>
  <c r="AG266" i="23"/>
  <c r="AG269" i="23"/>
  <c r="AH276" i="23"/>
  <c r="AH279" i="23"/>
  <c r="AI162" i="23"/>
  <c r="AI165" i="23"/>
  <c r="AG249" i="23"/>
  <c r="AG252" i="23"/>
  <c r="AI234" i="23"/>
  <c r="AI237" i="23"/>
  <c r="N182" i="23"/>
  <c r="N186" i="23"/>
  <c r="N185" i="23"/>
  <c r="N286" i="23"/>
  <c r="N290" i="23"/>
  <c r="N289" i="23"/>
  <c r="AI266" i="23"/>
  <c r="AI269" i="23"/>
  <c r="AH224" i="23"/>
  <c r="AH227" i="23"/>
  <c r="AH157" i="23"/>
  <c r="AH160" i="23"/>
  <c r="AG75" i="23"/>
  <c r="AG78" i="23"/>
  <c r="AH286" i="23"/>
  <c r="AH289" i="23"/>
  <c r="AF192" i="23"/>
  <c r="AF195" i="23"/>
  <c r="N120" i="23"/>
  <c r="N124" i="23"/>
  <c r="N123" i="23"/>
  <c r="AH147" i="23"/>
  <c r="AH150" i="23"/>
  <c r="AF110" i="23"/>
  <c r="AF113" i="23"/>
  <c r="AH120" i="23"/>
  <c r="AH123" i="23"/>
  <c r="AG306" i="23"/>
  <c r="AG309" i="23"/>
  <c r="N273" i="23"/>
  <c r="N272" i="23"/>
  <c r="AG115" i="23"/>
  <c r="AG118" i="23"/>
  <c r="AG204" i="23"/>
  <c r="AG207" i="23"/>
  <c r="AF147" i="23"/>
  <c r="AF150" i="23"/>
  <c r="N85" i="23"/>
  <c r="N89" i="23"/>
  <c r="N88" i="23"/>
  <c r="AG172" i="23"/>
  <c r="AG175" i="23"/>
  <c r="AF80" i="23"/>
  <c r="AF83" i="23"/>
  <c r="AH110" i="23"/>
  <c r="AH113" i="23"/>
  <c r="N33" i="23"/>
  <c r="AF286" i="23"/>
  <c r="AF289" i="23"/>
  <c r="N268" i="23"/>
  <c r="N267" i="23"/>
  <c r="AH254" i="23"/>
  <c r="AH257" i="23"/>
  <c r="AG120" i="23"/>
  <c r="AG123" i="23"/>
  <c r="AI182" i="23"/>
  <c r="AI185" i="23"/>
  <c r="N77" i="23"/>
  <c r="N76" i="23"/>
  <c r="AI199" i="23"/>
  <c r="AI202" i="23"/>
  <c r="AG125" i="23"/>
  <c r="AG128" i="23"/>
  <c r="AI80" i="23"/>
  <c r="AI83" i="23"/>
  <c r="AF167" i="23"/>
  <c r="AF170" i="23"/>
  <c r="N313" i="23"/>
  <c r="N312" i="23"/>
  <c r="N316" i="23"/>
  <c r="N320" i="23"/>
  <c r="N318" i="23"/>
  <c r="N147" i="23"/>
  <c r="N151" i="23"/>
  <c r="N150" i="23"/>
  <c r="N38" i="23"/>
  <c r="N152" i="23"/>
  <c r="N156" i="23"/>
  <c r="N155" i="23"/>
  <c r="AG177" i="23"/>
  <c r="AG180" i="23"/>
  <c r="N167" i="23"/>
  <c r="N171" i="23"/>
  <c r="N170" i="23"/>
  <c r="AG192" i="23"/>
  <c r="AG195" i="23"/>
  <c r="AF75" i="23"/>
  <c r="AF78" i="23"/>
  <c r="AH142" i="23"/>
  <c r="AH145" i="23"/>
  <c r="AF105" i="23"/>
  <c r="AF108" i="23"/>
  <c r="N211" i="23"/>
  <c r="N210" i="23"/>
  <c r="N224" i="23"/>
  <c r="N228" i="23"/>
  <c r="N227" i="23"/>
  <c r="N179" i="23"/>
  <c r="N178" i="23"/>
  <c r="AG152" i="23"/>
  <c r="AG155" i="23"/>
  <c r="AG311" i="23"/>
  <c r="AG314" i="23"/>
  <c r="AI130" i="23"/>
  <c r="AI133" i="23"/>
  <c r="AF266" i="23"/>
  <c r="AF269" i="23"/>
  <c r="AH95" i="23"/>
  <c r="AH98" i="23"/>
  <c r="AF306" i="23"/>
  <c r="AF309" i="23"/>
  <c r="AI224" i="23"/>
  <c r="AI227" i="23"/>
  <c r="AF281" i="23"/>
  <c r="AF284" i="23"/>
  <c r="AH182" i="23"/>
  <c r="AH185" i="23"/>
  <c r="AI311" i="23"/>
  <c r="AI314" i="23"/>
  <c r="AI231" i="23"/>
  <c r="AI233" i="23"/>
  <c r="AG199" i="23"/>
  <c r="AG202" i="23"/>
  <c r="N239" i="23"/>
  <c r="N243" i="23"/>
  <c r="N242" i="23"/>
  <c r="N219" i="23"/>
  <c r="N223" i="23"/>
  <c r="N222" i="23"/>
  <c r="AF234" i="23"/>
  <c r="AF237" i="23"/>
  <c r="AG147" i="23"/>
  <c r="AG150" i="23"/>
  <c r="AI254" i="23"/>
  <c r="AI257" i="23"/>
  <c r="AI152" i="23"/>
  <c r="AI155" i="23"/>
  <c r="AI85" i="23"/>
  <c r="AI88" i="23"/>
  <c r="AH100" i="23"/>
  <c r="AH103" i="23"/>
  <c r="AH137" i="23"/>
  <c r="AH140" i="23"/>
  <c r="AG296" i="23"/>
  <c r="AG299" i="23"/>
  <c r="AF291" i="23"/>
  <c r="AF294" i="23"/>
  <c r="N234" i="23"/>
  <c r="N238" i="23"/>
  <c r="N237" i="23"/>
  <c r="AI299" i="23"/>
  <c r="N248" i="23"/>
  <c r="AH190" i="23"/>
  <c r="N281" i="23"/>
  <c r="N285" i="23"/>
  <c r="N284" i="23"/>
  <c r="AF257" i="23"/>
  <c r="N303" i="23"/>
  <c r="N302" i="23"/>
  <c r="N296" i="23"/>
  <c r="N300" i="23"/>
  <c r="N299" i="23"/>
  <c r="AH222" i="23"/>
  <c r="N162" i="23"/>
  <c r="N166" i="23"/>
  <c r="N165" i="23"/>
  <c r="N199" i="23"/>
  <c r="N203" i="23"/>
  <c r="N202" i="23"/>
  <c r="N216" i="23"/>
  <c r="N215" i="23"/>
  <c r="AF160" i="23"/>
  <c r="AF190" i="23"/>
  <c r="N59" i="23"/>
  <c r="AF222" i="23"/>
  <c r="N100" i="23"/>
  <c r="N104" i="23"/>
  <c r="N103" i="23"/>
  <c r="N117" i="23"/>
  <c r="N116" i="23"/>
  <c r="AI242" i="23"/>
  <c r="AH212" i="23"/>
  <c r="N43" i="23"/>
  <c r="N291" i="23"/>
  <c r="N295" i="23"/>
  <c r="N294" i="23"/>
  <c r="N308" i="23"/>
  <c r="N307" i="23"/>
  <c r="N172" i="23"/>
  <c r="N176" i="23"/>
  <c r="N175" i="23"/>
  <c r="N189" i="23"/>
  <c r="N188" i="23"/>
  <c r="AI274" i="23"/>
  <c r="AI207" i="23"/>
  <c r="AH180" i="23"/>
  <c r="AH284" i="23"/>
  <c r="N48" i="23"/>
  <c r="AF232" i="23"/>
  <c r="AI309" i="23"/>
  <c r="N132" i="23"/>
  <c r="N131" i="23"/>
  <c r="N157" i="23"/>
  <c r="N161" i="23"/>
  <c r="N160" i="23"/>
  <c r="AF299" i="23"/>
  <c r="N54" i="23"/>
  <c r="AI128" i="23"/>
  <c r="AF279" i="23"/>
  <c r="AI279" i="23"/>
  <c r="AF140" i="23"/>
  <c r="AH274" i="23"/>
  <c r="AI160" i="23"/>
  <c r="N92" i="23"/>
  <c r="N91" i="23"/>
  <c r="N249" i="23"/>
  <c r="N253" i="23"/>
  <c r="N252" i="23"/>
  <c r="N256" i="23"/>
  <c r="N255" i="23"/>
  <c r="AF145" i="23"/>
  <c r="AG279" i="23"/>
  <c r="N110" i="23"/>
  <c r="N114" i="23"/>
  <c r="N113" i="23"/>
  <c r="N127" i="23"/>
  <c r="N126" i="23"/>
  <c r="AH232" i="23"/>
  <c r="AH217" i="23"/>
  <c r="AH314" i="23"/>
  <c r="N276" i="23"/>
  <c r="N280" i="23"/>
  <c r="N279" i="23"/>
  <c r="N144" i="23"/>
  <c r="N143" i="23"/>
  <c r="AF217" i="23"/>
  <c r="AG160" i="23"/>
  <c r="AH264" i="23"/>
  <c r="N192" i="23"/>
  <c r="N196" i="23"/>
  <c r="N195" i="23"/>
  <c r="N82" i="23"/>
  <c r="N81" i="23"/>
  <c r="N95" i="23"/>
  <c r="N99" i="23"/>
  <c r="N98" i="23"/>
  <c r="AG274" i="23"/>
  <c r="AI103" i="23"/>
  <c r="AF319" i="23"/>
  <c r="AH252" i="23"/>
  <c r="N29" i="23"/>
  <c r="AI252" i="23"/>
  <c r="AH170" i="23"/>
  <c r="AI247" i="23"/>
  <c r="AG227" i="23"/>
  <c r="AF314" i="23"/>
  <c r="AI190" i="23"/>
  <c r="AI108" i="23"/>
  <c r="AF185" i="23"/>
  <c r="AF227" i="23"/>
  <c r="AH118" i="23"/>
  <c r="AF274" i="23"/>
  <c r="AH294" i="23"/>
  <c r="AI180" i="23"/>
  <c r="AG257" i="23"/>
  <c r="N184" i="23"/>
  <c r="N183" i="23"/>
  <c r="N288" i="23"/>
  <c r="N287" i="23"/>
  <c r="AF118" i="23"/>
  <c r="AF175" i="23"/>
  <c r="AH175" i="23"/>
  <c r="AG304" i="23"/>
  <c r="AG185" i="23"/>
  <c r="AH304" i="23"/>
  <c r="N122" i="23"/>
  <c r="N121" i="23"/>
  <c r="AG212" i="23"/>
  <c r="AF264" i="23"/>
  <c r="AF165" i="23"/>
  <c r="AH165" i="23"/>
  <c r="AH93" i="23"/>
  <c r="AG294" i="23"/>
  <c r="N271" i="23"/>
  <c r="N275" i="23"/>
  <c r="N274" i="23"/>
  <c r="AG237" i="23"/>
  <c r="AF93" i="23"/>
  <c r="AH237" i="23"/>
  <c r="N87" i="23"/>
  <c r="N86" i="23"/>
  <c r="AF98" i="23"/>
  <c r="AF304" i="23"/>
  <c r="AG190" i="23"/>
  <c r="AG103" i="23"/>
  <c r="N34" i="23"/>
  <c r="AG247" i="23"/>
  <c r="N266" i="23"/>
  <c r="N270" i="23"/>
  <c r="N269" i="23"/>
  <c r="AG108" i="23"/>
  <c r="AG140" i="23"/>
  <c r="AH299" i="23"/>
  <c r="N75" i="23"/>
  <c r="N79" i="23"/>
  <c r="N78" i="23"/>
  <c r="AI217" i="23"/>
  <c r="AI98" i="23"/>
  <c r="N311" i="23"/>
  <c r="N315" i="23"/>
  <c r="N314" i="23"/>
  <c r="N319" i="23"/>
  <c r="N317" i="23"/>
  <c r="N149" i="23"/>
  <c r="N148" i="23"/>
  <c r="AI195" i="23"/>
  <c r="N39" i="23"/>
  <c r="N154" i="23"/>
  <c r="N153" i="23"/>
  <c r="AG165" i="23"/>
  <c r="AH269" i="23"/>
  <c r="N169" i="23"/>
  <c r="N168" i="23"/>
  <c r="AH309" i="23"/>
  <c r="AF128" i="23"/>
  <c r="N209" i="23"/>
  <c r="N213" i="23"/>
  <c r="N212" i="23"/>
  <c r="N226" i="23"/>
  <c r="N225" i="23"/>
  <c r="AH247" i="23"/>
  <c r="N177" i="23"/>
  <c r="N181" i="23"/>
  <c r="N180" i="23"/>
  <c r="AG170" i="23"/>
  <c r="AF207" i="23"/>
  <c r="AG319" i="23"/>
  <c r="AF155" i="23"/>
  <c r="AH155" i="23"/>
  <c r="AG284" i="23"/>
  <c r="AF252" i="23"/>
  <c r="AH319" i="23"/>
  <c r="AI232" i="23"/>
  <c r="AG113" i="23"/>
  <c r="N241" i="23"/>
  <c r="N240" i="23"/>
  <c r="AH133" i="23"/>
  <c r="N221" i="23"/>
  <c r="N220" i="23"/>
  <c r="AI123" i="23"/>
  <c r="AG222" i="23"/>
  <c r="AG217" i="23"/>
  <c r="AI170" i="23"/>
  <c r="AI319" i="23"/>
  <c r="N236" i="23"/>
  <c r="N235" i="23"/>
  <c r="AF266" i="57" l="1"/>
  <c r="V464" i="12" s="1"/>
  <c r="AF305" i="57"/>
  <c r="V503" i="12" s="1"/>
  <c r="AG295" i="57"/>
  <c r="W493" i="12" s="1"/>
  <c r="AG211" i="57"/>
  <c r="W409" i="12" s="1"/>
  <c r="AI256" i="57"/>
  <c r="Y454" i="12" s="1"/>
  <c r="AH311" i="57"/>
  <c r="X509" i="12" s="1"/>
  <c r="AF286" i="57"/>
  <c r="V484" i="12" s="1"/>
  <c r="AG249" i="57"/>
  <c r="W447" i="12" s="1"/>
  <c r="AG219" i="57"/>
  <c r="W417" i="12" s="1"/>
  <c r="AI313" i="57"/>
  <c r="Y511" i="12" s="1"/>
  <c r="AG320" i="57"/>
  <c r="W518" i="12" s="1"/>
  <c r="AG248" i="57"/>
  <c r="W446" i="12" s="1"/>
  <c r="AH234" i="57"/>
  <c r="X432" i="12" s="1"/>
  <c r="AG266" i="57"/>
  <c r="W464" i="12" s="1"/>
  <c r="AI318" i="57"/>
  <c r="Y516" i="12" s="1"/>
  <c r="AF276" i="57"/>
  <c r="V474" i="12" s="1"/>
  <c r="AF281" i="57"/>
  <c r="V479" i="12" s="1"/>
  <c r="AI213" i="57"/>
  <c r="Y411" i="12" s="1"/>
  <c r="AF310" i="57"/>
  <c r="V508" i="12" s="1"/>
  <c r="AF279" i="57"/>
  <c r="V477" i="12" s="1"/>
  <c r="AF229" i="57"/>
  <c r="AF252" i="57"/>
  <c r="V450" i="12" s="1"/>
  <c r="AF206" i="57"/>
  <c r="V404" i="12" s="1"/>
  <c r="AG256" i="57"/>
  <c r="W454" i="12" s="1"/>
  <c r="AI279" i="57"/>
  <c r="Y477" i="12" s="1"/>
  <c r="AI223" i="57"/>
  <c r="Y421" i="12" s="1"/>
  <c r="AF244" i="57"/>
  <c r="V442" i="12" s="1"/>
  <c r="AF284" i="57"/>
  <c r="V482" i="12" s="1"/>
  <c r="AH305" i="57"/>
  <c r="X503" i="12" s="1"/>
  <c r="AI309" i="57"/>
  <c r="Y507" i="12" s="1"/>
  <c r="AH212" i="57"/>
  <c r="X410" i="12" s="1"/>
  <c r="AF254" i="57"/>
  <c r="V452" i="12" s="1"/>
  <c r="AI231" i="57"/>
  <c r="AI228" i="57"/>
  <c r="Y426" i="12" s="1"/>
  <c r="AG313" i="57"/>
  <c r="W511" i="12" s="1"/>
  <c r="AG310" i="57"/>
  <c r="W508" i="12" s="1"/>
  <c r="AF316" i="57"/>
  <c r="V514" i="12" s="1"/>
  <c r="AI286" i="57"/>
  <c r="Y484" i="12" s="1"/>
  <c r="AG241" i="57"/>
  <c r="W439" i="12" s="1"/>
  <c r="AI265" i="57"/>
  <c r="AH289" i="57"/>
  <c r="X487" i="12" s="1"/>
  <c r="AI304" i="57"/>
  <c r="Y502" i="12" s="1"/>
  <c r="AH217" i="57"/>
  <c r="X415" i="12" s="1"/>
  <c r="AI237" i="57"/>
  <c r="Y435" i="12" s="1"/>
  <c r="AH276" i="57"/>
  <c r="X474" i="12" s="1"/>
  <c r="AF270" i="57"/>
  <c r="V468" i="12" s="1"/>
  <c r="AG212" i="57"/>
  <c r="W410" i="12" s="1"/>
  <c r="AH293" i="57"/>
  <c r="X491" i="12" s="1"/>
  <c r="AH315" i="57"/>
  <c r="X513" i="12" s="1"/>
  <c r="AG276" i="57"/>
  <c r="W474" i="12" s="1"/>
  <c r="AI263" i="57"/>
  <c r="AF280" i="57"/>
  <c r="V478" i="12" s="1"/>
  <c r="AF233" i="57"/>
  <c r="V431" i="12" s="1"/>
  <c r="AI271" i="57"/>
  <c r="Y469" i="12" s="1"/>
  <c r="AF253" i="57"/>
  <c r="V451" i="12" s="1"/>
  <c r="AF204" i="57"/>
  <c r="AH288" i="57"/>
  <c r="X486" i="12" s="1"/>
  <c r="AI268" i="57"/>
  <c r="Y466" i="12" s="1"/>
  <c r="AG253" i="57"/>
  <c r="W451" i="12" s="1"/>
  <c r="AG275" i="57"/>
  <c r="W473" i="12" s="1"/>
  <c r="AF217" i="57"/>
  <c r="V415" i="12" s="1"/>
  <c r="AF218" i="57"/>
  <c r="V416" i="12" s="1"/>
  <c r="AI278" i="57"/>
  <c r="Y476" i="12" s="1"/>
  <c r="AF300" i="57"/>
  <c r="V498" i="12" s="1"/>
  <c r="AH283" i="57"/>
  <c r="X481" i="12" s="1"/>
  <c r="AI238" i="57"/>
  <c r="Y436" i="12" s="1"/>
  <c r="AF227" i="57"/>
  <c r="V425" i="12" s="1"/>
  <c r="AH273" i="57"/>
  <c r="X471" i="12" s="1"/>
  <c r="AI295" i="57"/>
  <c r="Y493" i="12" s="1"/>
  <c r="AF221" i="57"/>
  <c r="V419" i="12" s="1"/>
  <c r="AI320" i="57"/>
  <c r="Y518" i="12" s="1"/>
  <c r="AI254" i="57"/>
  <c r="Y452" i="12" s="1"/>
  <c r="AG254" i="57"/>
  <c r="W452" i="12" s="1"/>
  <c r="AF271" i="57"/>
  <c r="V469" i="12" s="1"/>
  <c r="AG271" i="57"/>
  <c r="W469" i="12" s="1"/>
  <c r="AI280" i="57"/>
  <c r="Y478" i="12" s="1"/>
  <c r="AH284" i="57"/>
  <c r="X482" i="12" s="1"/>
  <c r="AI208" i="57"/>
  <c r="AF209" i="57"/>
  <c r="V407" i="12" s="1"/>
  <c r="AI300" i="57"/>
  <c r="Y498" i="12" s="1"/>
  <c r="AG290" i="57"/>
  <c r="W488" i="12" s="1"/>
  <c r="AH206" i="57"/>
  <c r="AH223" i="57"/>
  <c r="X421" i="12" s="1"/>
  <c r="AF256" i="57"/>
  <c r="V454" i="12" s="1"/>
  <c r="AI227" i="57"/>
  <c r="Y425" i="12" s="1"/>
  <c r="AG281" i="57"/>
  <c r="W479" i="12" s="1"/>
  <c r="AH246" i="57"/>
  <c r="X444" i="12" s="1"/>
  <c r="AH269" i="57"/>
  <c r="X467" i="12" s="1"/>
  <c r="AI217" i="57"/>
  <c r="Y415" i="12" s="1"/>
  <c r="AH257" i="57"/>
  <c r="X455" i="12" s="1"/>
  <c r="AG308" i="57"/>
  <c r="W506" i="12" s="1"/>
  <c r="AH226" i="57"/>
  <c r="X424" i="12" s="1"/>
  <c r="AH278" i="57"/>
  <c r="X476" i="12" s="1"/>
  <c r="AF318" i="57"/>
  <c r="V516" i="12" s="1"/>
  <c r="AH265" i="57"/>
  <c r="AB463" i="12" s="1"/>
  <c r="AH231" i="57"/>
  <c r="AI241" i="57"/>
  <c r="Y439" i="12" s="1"/>
  <c r="AH201" i="57"/>
  <c r="X399" i="12" s="1"/>
  <c r="AG206" i="57"/>
  <c r="AG218" i="57"/>
  <c r="W416" i="12" s="1"/>
  <c r="AG289" i="57"/>
  <c r="W487" i="12" s="1"/>
  <c r="AI232" i="57"/>
  <c r="AG315" i="57"/>
  <c r="W513" i="12" s="1"/>
  <c r="AH247" i="57"/>
  <c r="X445" i="12" s="1"/>
  <c r="AH300" i="57"/>
  <c r="X498" i="12" s="1"/>
  <c r="AH256" i="57"/>
  <c r="X454" i="12" s="1"/>
  <c r="AG226" i="57"/>
  <c r="W424" i="12" s="1"/>
  <c r="AH252" i="57"/>
  <c r="X450" i="12" s="1"/>
  <c r="AH261" i="57"/>
  <c r="AB459" i="12" s="1"/>
  <c r="AG265" i="57"/>
  <c r="AI293" i="57"/>
  <c r="Y491" i="12" s="1"/>
  <c r="AF203" i="57"/>
  <c r="V401" i="12" s="1"/>
  <c r="N243" i="57"/>
  <c r="K441" i="12"/>
  <c r="N66" i="57"/>
  <c r="K284" i="12"/>
  <c r="N96" i="57"/>
  <c r="K309" i="12"/>
  <c r="N301" i="57"/>
  <c r="K499" i="12"/>
  <c r="N178" i="57"/>
  <c r="K376" i="12"/>
  <c r="N78" i="57"/>
  <c r="K296" i="12"/>
  <c r="N57" i="57"/>
  <c r="K275" i="12"/>
  <c r="N45" i="57"/>
  <c r="K200" i="12"/>
  <c r="Z402" i="12"/>
  <c r="V402" i="12"/>
  <c r="AF273" i="57"/>
  <c r="V471" i="12" s="1"/>
  <c r="V470" i="12"/>
  <c r="AC402" i="12"/>
  <c r="Y402" i="12"/>
  <c r="N273" i="57"/>
  <c r="K471" i="12"/>
  <c r="N84" i="57"/>
  <c r="K302" i="12"/>
  <c r="N143" i="57"/>
  <c r="K351" i="12"/>
  <c r="N146" i="57"/>
  <c r="K354" i="12"/>
  <c r="N128" i="57"/>
  <c r="K336" i="12"/>
  <c r="N257" i="57"/>
  <c r="K455" i="12"/>
  <c r="N161" i="57"/>
  <c r="K364" i="12"/>
  <c r="N310" i="57"/>
  <c r="K508" i="12"/>
  <c r="N308" i="57"/>
  <c r="K506" i="12"/>
  <c r="N62" i="57"/>
  <c r="K280" i="12"/>
  <c r="N296" i="57"/>
  <c r="K494" i="12"/>
  <c r="AA402" i="12"/>
  <c r="W402" i="12"/>
  <c r="AG207" i="57"/>
  <c r="AG299" i="57"/>
  <c r="W497" i="12" s="1"/>
  <c r="AB406" i="12"/>
  <c r="X406" i="12"/>
  <c r="AA427" i="12"/>
  <c r="W427" i="12"/>
  <c r="AG232" i="57"/>
  <c r="AF257" i="57"/>
  <c r="V455" i="12" s="1"/>
  <c r="AC429" i="12"/>
  <c r="Y429" i="12"/>
  <c r="Z459" i="12"/>
  <c r="V459" i="12"/>
  <c r="AF314" i="57"/>
  <c r="V512" i="12" s="1"/>
  <c r="AB460" i="12"/>
  <c r="X460" i="12"/>
  <c r="AB430" i="12"/>
  <c r="X430" i="12"/>
  <c r="AB7" i="57"/>
  <c r="N238" i="57"/>
  <c r="K436" i="12"/>
  <c r="N25" i="57"/>
  <c r="K205" i="12"/>
  <c r="N287" i="57"/>
  <c r="K485" i="12"/>
  <c r="N113" i="57"/>
  <c r="K321" i="12"/>
  <c r="N213" i="57"/>
  <c r="K411" i="12"/>
  <c r="N319" i="57"/>
  <c r="K517" i="12"/>
  <c r="N196" i="57"/>
  <c r="K394" i="12"/>
  <c r="N54" i="57"/>
  <c r="K272" i="12"/>
  <c r="N189" i="57"/>
  <c r="K387" i="12"/>
  <c r="N100" i="57"/>
  <c r="K313" i="12"/>
  <c r="Z431" i="12"/>
  <c r="N222" i="57"/>
  <c r="K420" i="12"/>
  <c r="N224" i="57"/>
  <c r="K422" i="12"/>
  <c r="N121" i="57"/>
  <c r="K329" i="12"/>
  <c r="N185" i="57"/>
  <c r="K383" i="12"/>
  <c r="N279" i="57"/>
  <c r="K477" i="12"/>
  <c r="N172" i="57"/>
  <c r="K370" i="12"/>
  <c r="N40" i="57"/>
  <c r="K263" i="12"/>
  <c r="N236" i="57"/>
  <c r="K434" i="12"/>
  <c r="N239" i="57"/>
  <c r="K437" i="12"/>
  <c r="N26" i="57"/>
  <c r="K206" i="12"/>
  <c r="N156" i="57"/>
  <c r="K359" i="12"/>
  <c r="N269" i="57"/>
  <c r="K467" i="12"/>
  <c r="N85" i="57"/>
  <c r="K213" i="12"/>
  <c r="N86" i="57"/>
  <c r="K214" i="12"/>
  <c r="N67" i="57"/>
  <c r="K285" i="12"/>
  <c r="N289" i="57"/>
  <c r="K487" i="12"/>
  <c r="N288" i="57"/>
  <c r="K486" i="12"/>
  <c r="N95" i="57"/>
  <c r="K308" i="12"/>
  <c r="N111" i="57"/>
  <c r="K319" i="12"/>
  <c r="N116" i="57"/>
  <c r="K324" i="12"/>
  <c r="N165" i="57"/>
  <c r="K368" i="12"/>
  <c r="N164" i="57"/>
  <c r="K367" i="12"/>
  <c r="N305" i="57"/>
  <c r="K503" i="12"/>
  <c r="N281" i="57"/>
  <c r="K479" i="12"/>
  <c r="N284" i="57"/>
  <c r="K482" i="12"/>
  <c r="N177" i="57"/>
  <c r="K375" i="12"/>
  <c r="N179" i="57"/>
  <c r="K377" i="12"/>
  <c r="N210" i="57"/>
  <c r="K408" i="12"/>
  <c r="N151" i="57"/>
  <c r="K227" i="12"/>
  <c r="N316" i="57"/>
  <c r="K514" i="12"/>
  <c r="N320" i="57"/>
  <c r="K518" i="12"/>
  <c r="N76" i="57"/>
  <c r="K294" i="12"/>
  <c r="N35" i="57"/>
  <c r="K258" i="12"/>
  <c r="N70" i="57"/>
  <c r="K288" i="12"/>
  <c r="N29" i="57"/>
  <c r="K252" i="12"/>
  <c r="N32" i="57"/>
  <c r="K255" i="12"/>
  <c r="N194" i="57"/>
  <c r="K392" i="12"/>
  <c r="N91" i="57"/>
  <c r="K304" i="12"/>
  <c r="N55" i="57"/>
  <c r="K273" i="12"/>
  <c r="N130" i="57"/>
  <c r="K338" i="12"/>
  <c r="N131" i="57"/>
  <c r="K339" i="12"/>
  <c r="N51" i="57"/>
  <c r="K269" i="12"/>
  <c r="N188" i="57"/>
  <c r="K386" i="12"/>
  <c r="N47" i="57"/>
  <c r="K202" i="12"/>
  <c r="N101" i="57"/>
  <c r="K314" i="12"/>
  <c r="N104" i="57"/>
  <c r="K317" i="12"/>
  <c r="N201" i="57"/>
  <c r="K399" i="12"/>
  <c r="N18" i="57"/>
  <c r="K246" i="12"/>
  <c r="AF236" i="57"/>
  <c r="V434" i="12" s="1"/>
  <c r="AG199" i="57"/>
  <c r="W397" i="12" s="1"/>
  <c r="AC7" i="57"/>
  <c r="AE7" i="57"/>
  <c r="AF303" i="57"/>
  <c r="V501" i="12" s="1"/>
  <c r="AF301" i="57"/>
  <c r="V499" i="12" s="1"/>
  <c r="AG293" i="57"/>
  <c r="W491" i="12" s="1"/>
  <c r="AG213" i="57"/>
  <c r="W411" i="12" s="1"/>
  <c r="AC463" i="12"/>
  <c r="Y463" i="12"/>
  <c r="AC462" i="12"/>
  <c r="Y462" i="12"/>
  <c r="Z428" i="12"/>
  <c r="V428" i="12"/>
  <c r="AI283" i="57"/>
  <c r="Y481" i="12" s="1"/>
  <c r="AF208" i="57"/>
  <c r="AH306" i="57"/>
  <c r="X504" i="12" s="1"/>
  <c r="AI266" i="57"/>
  <c r="Y464" i="12" s="1"/>
  <c r="AI269" i="57"/>
  <c r="Y467" i="12" s="1"/>
  <c r="AI303" i="57"/>
  <c r="Y501" i="12" s="1"/>
  <c r="AH216" i="57"/>
  <c r="X414" i="12" s="1"/>
  <c r="AF242" i="57"/>
  <c r="V440" i="12" s="1"/>
  <c r="AC406" i="12"/>
  <c r="Y406" i="12"/>
  <c r="AI221" i="57"/>
  <c r="Y419" i="12" s="1"/>
  <c r="N219" i="57"/>
  <c r="K417" i="12"/>
  <c r="N228" i="57"/>
  <c r="K426" i="12"/>
  <c r="N170" i="57"/>
  <c r="K221" i="12"/>
  <c r="N314" i="57"/>
  <c r="K512" i="12"/>
  <c r="N313" i="57"/>
  <c r="K511" i="12"/>
  <c r="N274" i="57"/>
  <c r="K472" i="12"/>
  <c r="N120" i="57"/>
  <c r="K328" i="12"/>
  <c r="N184" i="57"/>
  <c r="K382" i="12"/>
  <c r="N186" i="57"/>
  <c r="K384" i="12"/>
  <c r="N277" i="57"/>
  <c r="K475" i="12"/>
  <c r="N252" i="57"/>
  <c r="K450" i="12"/>
  <c r="N176" i="57"/>
  <c r="K374" i="12"/>
  <c r="N291" i="57"/>
  <c r="K489" i="12"/>
  <c r="N216" i="57"/>
  <c r="K414" i="12"/>
  <c r="N218" i="57"/>
  <c r="K416" i="12"/>
  <c r="N247" i="57"/>
  <c r="K445" i="12"/>
  <c r="N41" i="57"/>
  <c r="K264" i="12"/>
  <c r="N81" i="57"/>
  <c r="K299" i="12"/>
  <c r="N144" i="57"/>
  <c r="K352" i="12"/>
  <c r="N125" i="57"/>
  <c r="K333" i="12"/>
  <c r="N258" i="57"/>
  <c r="K456" i="12"/>
  <c r="N158" i="57"/>
  <c r="K361" i="12"/>
  <c r="N307" i="57"/>
  <c r="K505" i="12"/>
  <c r="N60" i="57"/>
  <c r="K278" i="12"/>
  <c r="N59" i="57"/>
  <c r="K277" i="12"/>
  <c r="N300" i="57"/>
  <c r="K498" i="12"/>
  <c r="AI244" i="57"/>
  <c r="Y442" i="12" s="1"/>
  <c r="AF295" i="57"/>
  <c r="V493" i="12" s="1"/>
  <c r="AF246" i="57"/>
  <c r="V444" i="12" s="1"/>
  <c r="AI315" i="57"/>
  <c r="Y513" i="12" s="1"/>
  <c r="AF283" i="57"/>
  <c r="V481" i="12" s="1"/>
  <c r="AG319" i="57"/>
  <c r="W517" i="12" s="1"/>
  <c r="AG318" i="57"/>
  <c r="W516" i="12" s="1"/>
  <c r="AG246" i="57"/>
  <c r="W444" i="12" s="1"/>
  <c r="AH238" i="57"/>
  <c r="X436" i="12" s="1"/>
  <c r="AA403" i="12"/>
  <c r="W403" i="12"/>
  <c r="AG237" i="57"/>
  <c r="W435" i="12" s="1"/>
  <c r="AH303" i="57"/>
  <c r="X501" i="12" s="1"/>
  <c r="AG268" i="57"/>
  <c r="W466" i="12" s="1"/>
  <c r="AG300" i="57"/>
  <c r="W498" i="12" s="1"/>
  <c r="AG214" i="57"/>
  <c r="W412" i="12" s="1"/>
  <c r="AG217" i="57"/>
  <c r="W415" i="12" s="1"/>
  <c r="AG286" i="57"/>
  <c r="W484" i="12" s="1"/>
  <c r="AB403" i="12"/>
  <c r="X403" i="12"/>
  <c r="AG233" i="57"/>
  <c r="AI306" i="57"/>
  <c r="Y504" i="12" s="1"/>
  <c r="AI310" i="57"/>
  <c r="Y508" i="12" s="1"/>
  <c r="AH213" i="57"/>
  <c r="X411" i="12" s="1"/>
  <c r="AH222" i="57"/>
  <c r="X420" i="12" s="1"/>
  <c r="AI229" i="57"/>
  <c r="AI233" i="57"/>
  <c r="AG283" i="57"/>
  <c r="W481" i="12" s="1"/>
  <c r="AG314" i="57"/>
  <c r="W512" i="12" s="1"/>
  <c r="AH244" i="57"/>
  <c r="X442" i="12" s="1"/>
  <c r="AH266" i="57"/>
  <c r="X464" i="12" s="1"/>
  <c r="AI214" i="57"/>
  <c r="Y412" i="12" s="1"/>
  <c r="AH299" i="57"/>
  <c r="X497" i="12" s="1"/>
  <c r="AH254" i="57"/>
  <c r="X452" i="12" s="1"/>
  <c r="AF265" i="57"/>
  <c r="AI234" i="57"/>
  <c r="Y432" i="12" s="1"/>
  <c r="AF224" i="57"/>
  <c r="V422" i="12" s="1"/>
  <c r="AF315" i="57"/>
  <c r="V513" i="12" s="1"/>
  <c r="AG228" i="57"/>
  <c r="W426" i="12" s="1"/>
  <c r="AI253" i="57"/>
  <c r="Y451" i="12" s="1"/>
  <c r="AH249" i="57"/>
  <c r="X447" i="12" s="1"/>
  <c r="AH264" i="57"/>
  <c r="AH263" i="57"/>
  <c r="AB428" i="12"/>
  <c r="X428" i="12"/>
  <c r="AG264" i="57"/>
  <c r="AI294" i="57"/>
  <c r="Y492" i="12" s="1"/>
  <c r="AI290" i="57"/>
  <c r="Y488" i="12" s="1"/>
  <c r="AH243" i="57"/>
  <c r="X441" i="12" s="1"/>
  <c r="AF223" i="57"/>
  <c r="V421" i="12" s="1"/>
  <c r="AF202" i="57"/>
  <c r="V400" i="12" s="1"/>
  <c r="N235" i="57"/>
  <c r="K433" i="12"/>
  <c r="N153" i="57"/>
  <c r="K356" i="12"/>
  <c r="N98" i="57"/>
  <c r="K311" i="12"/>
  <c r="N163" i="57"/>
  <c r="K366" i="12"/>
  <c r="N150" i="57"/>
  <c r="K226" i="12"/>
  <c r="N28" i="57"/>
  <c r="K251" i="12"/>
  <c r="N193" i="57"/>
  <c r="K391" i="12"/>
  <c r="N94" i="57"/>
  <c r="K307" i="12"/>
  <c r="N132" i="57"/>
  <c r="K340" i="12"/>
  <c r="N43" i="57"/>
  <c r="K198" i="12"/>
  <c r="N21" i="57"/>
  <c r="K249" i="12"/>
  <c r="AC461" i="12"/>
  <c r="Y461" i="12"/>
  <c r="AI273" i="57"/>
  <c r="Y471" i="12" s="1"/>
  <c r="Y470" i="12"/>
  <c r="N294" i="57"/>
  <c r="K492" i="12"/>
  <c r="N214" i="57"/>
  <c r="K412" i="12"/>
  <c r="N246" i="57"/>
  <c r="K444" i="12"/>
  <c r="N39" i="57"/>
  <c r="K262" i="12"/>
  <c r="N237" i="57"/>
  <c r="K435" i="12"/>
  <c r="N240" i="57"/>
  <c r="K438" i="12"/>
  <c r="N241" i="57"/>
  <c r="K439" i="12"/>
  <c r="N27" i="57"/>
  <c r="K207" i="12"/>
  <c r="N155" i="57"/>
  <c r="K358" i="12"/>
  <c r="N154" i="57"/>
  <c r="K357" i="12"/>
  <c r="N270" i="57"/>
  <c r="K468" i="12"/>
  <c r="N87" i="57"/>
  <c r="K215" i="12"/>
  <c r="N65" i="57"/>
  <c r="K283" i="12"/>
  <c r="N286" i="57"/>
  <c r="K484" i="12"/>
  <c r="N99" i="57"/>
  <c r="K312" i="12"/>
  <c r="N112" i="57"/>
  <c r="K320" i="12"/>
  <c r="N114" i="57"/>
  <c r="K322" i="12"/>
  <c r="N117" i="57"/>
  <c r="K325" i="12"/>
  <c r="N162" i="57"/>
  <c r="K365" i="12"/>
  <c r="N302" i="57"/>
  <c r="K500" i="12"/>
  <c r="N285" i="57"/>
  <c r="K483" i="12"/>
  <c r="N180" i="57"/>
  <c r="K378" i="12"/>
  <c r="N212" i="57"/>
  <c r="K410" i="12"/>
  <c r="N211" i="57"/>
  <c r="K409" i="12"/>
  <c r="N148" i="57"/>
  <c r="K224" i="12"/>
  <c r="N317" i="57"/>
  <c r="K515" i="12"/>
  <c r="N77" i="57"/>
  <c r="K295" i="12"/>
  <c r="N79" i="57"/>
  <c r="K297" i="12"/>
  <c r="N34" i="57"/>
  <c r="K257" i="12"/>
  <c r="N68" i="57"/>
  <c r="K286" i="12"/>
  <c r="N71" i="57"/>
  <c r="K289" i="12"/>
  <c r="N30" i="57"/>
  <c r="K253" i="12"/>
  <c r="N195" i="57"/>
  <c r="K393" i="12"/>
  <c r="N92" i="57"/>
  <c r="K305" i="12"/>
  <c r="N90" i="57"/>
  <c r="K303" i="12"/>
  <c r="N56" i="57"/>
  <c r="K274" i="12"/>
  <c r="N133" i="57"/>
  <c r="K341" i="12"/>
  <c r="N48" i="57"/>
  <c r="K266" i="12"/>
  <c r="N52" i="57"/>
  <c r="K270" i="12"/>
  <c r="N190" i="57"/>
  <c r="K388" i="12"/>
  <c r="N46" i="57"/>
  <c r="K201" i="12"/>
  <c r="N102" i="57"/>
  <c r="K315" i="12"/>
  <c r="N199" i="57"/>
  <c r="K397" i="12"/>
  <c r="N202" i="57"/>
  <c r="K400" i="12"/>
  <c r="N22" i="57"/>
  <c r="K250" i="12"/>
  <c r="AI211" i="57"/>
  <c r="Y409" i="12" s="1"/>
  <c r="AF237" i="57"/>
  <c r="V435" i="12" s="1"/>
  <c r="AG202" i="57"/>
  <c r="W400" i="12" s="1"/>
  <c r="AF309" i="57"/>
  <c r="V507" i="12" s="1"/>
  <c r="AF308" i="57"/>
  <c r="V506" i="12" s="1"/>
  <c r="AF268" i="57"/>
  <c r="V466" i="12" s="1"/>
  <c r="AI203" i="57"/>
  <c r="Y401" i="12" s="1"/>
  <c r="AF304" i="57"/>
  <c r="V502" i="12" s="1"/>
  <c r="AG291" i="57"/>
  <c r="W489" i="12" s="1"/>
  <c r="AG294" i="57"/>
  <c r="W492" i="12" s="1"/>
  <c r="AH291" i="57"/>
  <c r="X489" i="12" s="1"/>
  <c r="AG242" i="57"/>
  <c r="W440" i="12" s="1"/>
  <c r="AI258" i="57"/>
  <c r="Y456" i="12" s="1"/>
  <c r="AH313" i="57"/>
  <c r="X511" i="12" s="1"/>
  <c r="AG280" i="57"/>
  <c r="W478" i="12" s="1"/>
  <c r="AI261" i="57"/>
  <c r="AF278" i="57"/>
  <c r="V476" i="12" s="1"/>
  <c r="AF231" i="57"/>
  <c r="AI274" i="57"/>
  <c r="Y472" i="12" s="1"/>
  <c r="AI281" i="57"/>
  <c r="Y479" i="12" s="1"/>
  <c r="AH316" i="57"/>
  <c r="X514" i="12" s="1"/>
  <c r="AH320" i="57"/>
  <c r="X518" i="12" s="1"/>
  <c r="AF249" i="57"/>
  <c r="V447" i="12" s="1"/>
  <c r="Z403" i="12"/>
  <c r="V403" i="12"/>
  <c r="AH310" i="57"/>
  <c r="X508" i="12" s="1"/>
  <c r="AF289" i="57"/>
  <c r="V487" i="12" s="1"/>
  <c r="AF288" i="57"/>
  <c r="V486" i="12" s="1"/>
  <c r="AH286" i="57"/>
  <c r="X484" i="12" s="1"/>
  <c r="AG301" i="57"/>
  <c r="W499" i="12" s="1"/>
  <c r="AI270" i="57"/>
  <c r="Y468" i="12" s="1"/>
  <c r="AG258" i="57"/>
  <c r="W456" i="12" s="1"/>
  <c r="AG251" i="57"/>
  <c r="W449" i="12" s="1"/>
  <c r="AF275" i="57"/>
  <c r="V473" i="12" s="1"/>
  <c r="AI301" i="57"/>
  <c r="Y499" i="12" s="1"/>
  <c r="AG221" i="57"/>
  <c r="W419" i="12" s="1"/>
  <c r="AG222" i="57"/>
  <c r="W420" i="12" s="1"/>
  <c r="AG273" i="57"/>
  <c r="W471" i="12" s="1"/>
  <c r="W470" i="12"/>
  <c r="AH214" i="57"/>
  <c r="X412" i="12" s="1"/>
  <c r="AF243" i="57"/>
  <c r="V441" i="12" s="1"/>
  <c r="AF241" i="57"/>
  <c r="V439" i="12" s="1"/>
  <c r="AI276" i="57"/>
  <c r="Y474" i="12" s="1"/>
  <c r="AF298" i="57"/>
  <c r="V496" i="12" s="1"/>
  <c r="AH281" i="57"/>
  <c r="X479" i="12" s="1"/>
  <c r="AC404" i="12"/>
  <c r="Y404" i="12"/>
  <c r="AC403" i="12"/>
  <c r="Y403" i="12"/>
  <c r="AF213" i="57"/>
  <c r="V411" i="12" s="1"/>
  <c r="AI222" i="57"/>
  <c r="Y420" i="12" s="1"/>
  <c r="AI298" i="57"/>
  <c r="Y496" i="12" s="1"/>
  <c r="N223" i="57"/>
  <c r="K421" i="12"/>
  <c r="N226" i="57"/>
  <c r="K424" i="12"/>
  <c r="N225" i="57"/>
  <c r="K423" i="12"/>
  <c r="N169" i="57"/>
  <c r="K220" i="12"/>
  <c r="N311" i="57"/>
  <c r="K509" i="12"/>
  <c r="N271" i="57"/>
  <c r="K469" i="12"/>
  <c r="N272" i="57"/>
  <c r="K470" i="12"/>
  <c r="N123" i="57"/>
  <c r="K331" i="12"/>
  <c r="N182" i="57"/>
  <c r="K380" i="12"/>
  <c r="N276" i="57"/>
  <c r="K474" i="12"/>
  <c r="N280" i="57"/>
  <c r="K478" i="12"/>
  <c r="N249" i="57"/>
  <c r="K447" i="12"/>
  <c r="N175" i="57"/>
  <c r="K373" i="12"/>
  <c r="N173" i="57"/>
  <c r="K371" i="12"/>
  <c r="N295" i="57"/>
  <c r="K493" i="12"/>
  <c r="N215" i="57"/>
  <c r="K413" i="12"/>
  <c r="N244" i="57"/>
  <c r="K442" i="12"/>
  <c r="N248" i="57"/>
  <c r="K446" i="12"/>
  <c r="N38" i="57"/>
  <c r="K261" i="12"/>
  <c r="N80" i="57"/>
  <c r="K298" i="12"/>
  <c r="N145" i="57"/>
  <c r="K353" i="12"/>
  <c r="N126" i="57"/>
  <c r="K334" i="12"/>
  <c r="N127" i="57"/>
  <c r="K335" i="12"/>
  <c r="N255" i="57"/>
  <c r="K453" i="12"/>
  <c r="N157" i="57"/>
  <c r="K360" i="12"/>
  <c r="N159" i="57"/>
  <c r="K362" i="12"/>
  <c r="N306" i="57"/>
  <c r="K504" i="12"/>
  <c r="N61" i="57"/>
  <c r="K279" i="12"/>
  <c r="N297" i="57"/>
  <c r="K495" i="12"/>
  <c r="AI248" i="57"/>
  <c r="Y446" i="12" s="1"/>
  <c r="AF248" i="57"/>
  <c r="V446" i="12" s="1"/>
  <c r="AG247" i="57"/>
  <c r="W445" i="12" s="1"/>
  <c r="AH236" i="57"/>
  <c r="X434" i="12" s="1"/>
  <c r="AG208" i="57"/>
  <c r="AH304" i="57"/>
  <c r="X502" i="12" s="1"/>
  <c r="AG269" i="57"/>
  <c r="W467" i="12" s="1"/>
  <c r="AB404" i="12"/>
  <c r="X404" i="12"/>
  <c r="AA428" i="12"/>
  <c r="W428" i="12"/>
  <c r="AC428" i="12"/>
  <c r="Y428" i="12"/>
  <c r="AI224" i="57"/>
  <c r="Y422" i="12" s="1"/>
  <c r="AI226" i="57"/>
  <c r="Y424" i="12" s="1"/>
  <c r="AG311" i="57"/>
  <c r="W509" i="12" s="1"/>
  <c r="AH296" i="57"/>
  <c r="X494" i="12" s="1"/>
  <c r="Z460" i="12"/>
  <c r="V460" i="12"/>
  <c r="AF228" i="57"/>
  <c r="V426" i="12" s="1"/>
  <c r="AG227" i="57"/>
  <c r="W425" i="12" s="1"/>
  <c r="AH251" i="57"/>
  <c r="X449" i="12" s="1"/>
  <c r="X463" i="12"/>
  <c r="AB427" i="12"/>
  <c r="X427" i="12"/>
  <c r="AB429" i="12"/>
  <c r="X429" i="12"/>
  <c r="AG261" i="57"/>
  <c r="AH275" i="57"/>
  <c r="X473" i="12" s="1"/>
  <c r="AH239" i="57"/>
  <c r="X437" i="12" s="1"/>
  <c r="AF219" i="57"/>
  <c r="V417" i="12" s="1"/>
  <c r="AH199" i="57"/>
  <c r="X397" i="12" s="1"/>
  <c r="AD7" i="57"/>
  <c r="N23" i="57"/>
  <c r="K203" i="12"/>
  <c r="N267" i="57"/>
  <c r="K465" i="12"/>
  <c r="N89" i="57"/>
  <c r="K217" i="12"/>
  <c r="N63" i="57"/>
  <c r="K281" i="12"/>
  <c r="N119" i="57"/>
  <c r="K327" i="12"/>
  <c r="N283" i="57"/>
  <c r="K481" i="12"/>
  <c r="N147" i="57"/>
  <c r="K223" i="12"/>
  <c r="N37" i="57"/>
  <c r="K260" i="12"/>
  <c r="N69" i="57"/>
  <c r="K287" i="12"/>
  <c r="N50" i="57"/>
  <c r="K268" i="12"/>
  <c r="N200" i="57"/>
  <c r="K398" i="12"/>
  <c r="AI199" i="57"/>
  <c r="Y397" i="12" s="1"/>
  <c r="AI201" i="57"/>
  <c r="Y399" i="12" s="1"/>
  <c r="AF207" i="57"/>
  <c r="N167" i="57"/>
  <c r="K218" i="12"/>
  <c r="N312" i="57"/>
  <c r="K510" i="12"/>
  <c r="N124" i="57"/>
  <c r="K332" i="12"/>
  <c r="N251" i="57"/>
  <c r="K449" i="12"/>
  <c r="N234" i="57"/>
  <c r="K432" i="12"/>
  <c r="N242" i="57"/>
  <c r="K440" i="12"/>
  <c r="N24" i="57"/>
  <c r="K204" i="12"/>
  <c r="N152" i="57"/>
  <c r="K355" i="12"/>
  <c r="N268" i="57"/>
  <c r="K466" i="12"/>
  <c r="N266" i="57"/>
  <c r="K464" i="12"/>
  <c r="N88" i="57"/>
  <c r="K216" i="12"/>
  <c r="N64" i="57"/>
  <c r="K282" i="12"/>
  <c r="N290" i="57"/>
  <c r="K488" i="12"/>
  <c r="N97" i="57"/>
  <c r="K310" i="12"/>
  <c r="N110" i="57"/>
  <c r="K318" i="12"/>
  <c r="N115" i="57"/>
  <c r="K323" i="12"/>
  <c r="N118" i="57"/>
  <c r="K326" i="12"/>
  <c r="N166" i="57"/>
  <c r="K369" i="12"/>
  <c r="N304" i="57"/>
  <c r="K502" i="12"/>
  <c r="N303" i="57"/>
  <c r="K501" i="12"/>
  <c r="N282" i="57"/>
  <c r="K480" i="12"/>
  <c r="N181" i="57"/>
  <c r="K379" i="12"/>
  <c r="N209" i="57"/>
  <c r="K407" i="12"/>
  <c r="N149" i="57"/>
  <c r="K225" i="12"/>
  <c r="N318" i="57"/>
  <c r="K516" i="12"/>
  <c r="N75" i="57"/>
  <c r="K293" i="12"/>
  <c r="N33" i="57"/>
  <c r="K256" i="12"/>
  <c r="N36" i="57"/>
  <c r="K259" i="12"/>
  <c r="N72" i="57"/>
  <c r="K290" i="12"/>
  <c r="N31" i="57"/>
  <c r="K254" i="12"/>
  <c r="N192" i="57"/>
  <c r="K390" i="12"/>
  <c r="N93" i="57"/>
  <c r="K306" i="12"/>
  <c r="N53" i="57"/>
  <c r="K271" i="12"/>
  <c r="N134" i="57"/>
  <c r="K342" i="12"/>
  <c r="N49" i="57"/>
  <c r="K267" i="12"/>
  <c r="N187" i="57"/>
  <c r="K385" i="12"/>
  <c r="N191" i="57"/>
  <c r="K389" i="12"/>
  <c r="N44" i="57"/>
  <c r="K199" i="12"/>
  <c r="N103" i="57"/>
  <c r="K316" i="12"/>
  <c r="N203" i="57"/>
  <c r="K401" i="12"/>
  <c r="N20" i="57"/>
  <c r="K248" i="12"/>
  <c r="N19" i="57"/>
  <c r="K247" i="12"/>
  <c r="AI319" i="57"/>
  <c r="Y517" i="12" s="1"/>
  <c r="AI212" i="57"/>
  <c r="Y410" i="12" s="1"/>
  <c r="AF234" i="57"/>
  <c r="V432" i="12" s="1"/>
  <c r="AG201" i="57"/>
  <c r="W399" i="12" s="1"/>
  <c r="AF269" i="57"/>
  <c r="V467" i="12" s="1"/>
  <c r="AG239" i="57"/>
  <c r="W437" i="12" s="1"/>
  <c r="AH314" i="57"/>
  <c r="X512" i="12" s="1"/>
  <c r="AG278" i="57"/>
  <c r="W476" i="12" s="1"/>
  <c r="AC460" i="12"/>
  <c r="Y460" i="12"/>
  <c r="Z427" i="12"/>
  <c r="V427" i="12"/>
  <c r="AF232" i="57"/>
  <c r="AI285" i="57"/>
  <c r="Y483" i="12" s="1"/>
  <c r="AH318" i="57"/>
  <c r="X516" i="12" s="1"/>
  <c r="AF251" i="57"/>
  <c r="V449" i="12" s="1"/>
  <c r="Z404" i="12"/>
  <c r="AH309" i="57"/>
  <c r="X507" i="12" s="1"/>
  <c r="AH290" i="57"/>
  <c r="X488" i="12" s="1"/>
  <c r="AG305" i="57"/>
  <c r="W503" i="12" s="1"/>
  <c r="AG252" i="57"/>
  <c r="W450" i="12" s="1"/>
  <c r="AI305" i="57"/>
  <c r="Y503" i="12" s="1"/>
  <c r="AG274" i="57"/>
  <c r="W472" i="12" s="1"/>
  <c r="AF214" i="57"/>
  <c r="V412" i="12" s="1"/>
  <c r="AH218" i="57"/>
  <c r="X416" i="12" s="1"/>
  <c r="AF299" i="57"/>
  <c r="V497" i="12" s="1"/>
  <c r="AI207" i="57"/>
  <c r="AI299" i="57"/>
  <c r="Y497" i="12" s="1"/>
  <c r="N221" i="57"/>
  <c r="K419" i="12"/>
  <c r="N220" i="57"/>
  <c r="K418" i="12"/>
  <c r="N227" i="57"/>
  <c r="K425" i="12"/>
  <c r="N168" i="57"/>
  <c r="K219" i="12"/>
  <c r="N171" i="57"/>
  <c r="K222" i="12"/>
  <c r="N315" i="57"/>
  <c r="K513" i="12"/>
  <c r="N275" i="57"/>
  <c r="K473" i="12"/>
  <c r="N122" i="57"/>
  <c r="K330" i="12"/>
  <c r="N183" i="57"/>
  <c r="K381" i="12"/>
  <c r="N278" i="57"/>
  <c r="K476" i="12"/>
  <c r="N250" i="57"/>
  <c r="K448" i="12"/>
  <c r="N253" i="57"/>
  <c r="K451" i="12"/>
  <c r="N174" i="57"/>
  <c r="K372" i="12"/>
  <c r="N293" i="57"/>
  <c r="K491" i="12"/>
  <c r="N292" i="57"/>
  <c r="K490" i="12"/>
  <c r="N217" i="57"/>
  <c r="K415" i="12"/>
  <c r="N245" i="57"/>
  <c r="K443" i="12"/>
  <c r="N42" i="57"/>
  <c r="K265" i="12"/>
  <c r="N82" i="57"/>
  <c r="K300" i="12"/>
  <c r="N83" i="57"/>
  <c r="K301" i="12"/>
  <c r="N142" i="57"/>
  <c r="K350" i="12"/>
  <c r="N129" i="57"/>
  <c r="K337" i="12"/>
  <c r="N254" i="57"/>
  <c r="K452" i="12"/>
  <c r="N256" i="57"/>
  <c r="K454" i="12"/>
  <c r="N160" i="57"/>
  <c r="K363" i="12"/>
  <c r="N309" i="57"/>
  <c r="K507" i="12"/>
  <c r="N58" i="57"/>
  <c r="K276" i="12"/>
  <c r="N299" i="57"/>
  <c r="K497" i="12"/>
  <c r="N298" i="57"/>
  <c r="K496" i="12"/>
  <c r="AF294" i="57"/>
  <c r="V492" i="12" s="1"/>
  <c r="AI314" i="57"/>
  <c r="Y512" i="12" s="1"/>
  <c r="AH237" i="57"/>
  <c r="X435" i="12" s="1"/>
  <c r="AA404" i="12"/>
  <c r="W404" i="12"/>
  <c r="AG234" i="57"/>
  <c r="W432" i="12" s="1"/>
  <c r="AG270" i="57"/>
  <c r="W468" i="12" s="1"/>
  <c r="AG298" i="57"/>
  <c r="W496" i="12" s="1"/>
  <c r="AH204" i="57"/>
  <c r="AH207" i="57"/>
  <c r="AG231" i="57"/>
  <c r="AI308" i="57"/>
  <c r="Y506" i="12" s="1"/>
  <c r="AH211" i="57"/>
  <c r="X409" i="12" s="1"/>
  <c r="AH219" i="57"/>
  <c r="X417" i="12" s="1"/>
  <c r="AF258" i="57"/>
  <c r="V456" i="12" s="1"/>
  <c r="AC430" i="12"/>
  <c r="Y430" i="12"/>
  <c r="AG284" i="57"/>
  <c r="W482" i="12" s="1"/>
  <c r="AH268" i="57"/>
  <c r="X466" i="12" s="1"/>
  <c r="AI218" i="57"/>
  <c r="Y416" i="12" s="1"/>
  <c r="AG306" i="57"/>
  <c r="W504" i="12" s="1"/>
  <c r="AF264" i="57"/>
  <c r="AF263" i="57"/>
  <c r="AH227" i="57"/>
  <c r="X425" i="12" s="1"/>
  <c r="AH279" i="57"/>
  <c r="X477" i="12" s="1"/>
  <c r="AF313" i="57"/>
  <c r="V511" i="12" s="1"/>
  <c r="AI252" i="57"/>
  <c r="Y450" i="12" s="1"/>
  <c r="AF319" i="57"/>
  <c r="V517" i="12" s="1"/>
  <c r="AH233" i="57"/>
  <c r="AG263" i="57"/>
  <c r="AA460" i="12"/>
  <c r="W460" i="12"/>
  <c r="AA463" i="12"/>
  <c r="W463" i="12"/>
  <c r="AH271" i="57"/>
  <c r="X469" i="12" s="1"/>
  <c r="AI289" i="57"/>
  <c r="Y487" i="12" s="1"/>
  <c r="AI242" i="57"/>
  <c r="Y440" i="12" s="1"/>
  <c r="AF222" i="57"/>
  <c r="V420" i="12" s="1"/>
  <c r="AH202" i="57"/>
  <c r="X400" i="12" s="1"/>
  <c r="AF199" i="57"/>
  <c r="AF201" i="57"/>
  <c r="V399" i="12" s="1"/>
  <c r="O221" i="23"/>
  <c r="O181" i="23"/>
  <c r="O226" i="23"/>
  <c r="O39" i="23"/>
  <c r="O148" i="23"/>
  <c r="O149" i="23"/>
  <c r="O317" i="23"/>
  <c r="O319" i="23"/>
  <c r="O314" i="23"/>
  <c r="O315" i="23"/>
  <c r="O311" i="23"/>
  <c r="O78" i="23"/>
  <c r="O79" i="23"/>
  <c r="O75" i="23"/>
  <c r="O86" i="23"/>
  <c r="O87" i="23"/>
  <c r="O288" i="23"/>
  <c r="O82" i="23"/>
  <c r="O143" i="23"/>
  <c r="O144" i="23"/>
  <c r="O279" i="23"/>
  <c r="O280" i="23"/>
  <c r="O276" i="23"/>
  <c r="O114" i="23"/>
  <c r="O110" i="23"/>
  <c r="O160" i="23"/>
  <c r="O161" i="23"/>
  <c r="O157" i="23"/>
  <c r="O131" i="23"/>
  <c r="O132" i="23"/>
  <c r="O48" i="23"/>
  <c r="O188" i="23"/>
  <c r="O189" i="23"/>
  <c r="O175" i="23"/>
  <c r="O176" i="23"/>
  <c r="O307" i="23"/>
  <c r="O308" i="23"/>
  <c r="O295" i="23"/>
  <c r="O291" i="23"/>
  <c r="O43" i="23"/>
  <c r="O117" i="23"/>
  <c r="O104" i="23"/>
  <c r="O100" i="23"/>
  <c r="O59" i="23"/>
  <c r="O166" i="23"/>
  <c r="O300" i="23"/>
  <c r="O296" i="23"/>
  <c r="O302" i="23"/>
  <c r="O248" i="23"/>
  <c r="O179" i="23"/>
  <c r="O224" i="23"/>
  <c r="O171" i="23"/>
  <c r="O290" i="23"/>
  <c r="O142" i="23"/>
  <c r="O112" i="23"/>
  <c r="O53" i="23"/>
  <c r="O293" i="23"/>
  <c r="O44" i="23"/>
  <c r="O102" i="23"/>
  <c r="O298" i="23"/>
  <c r="O235" i="23"/>
  <c r="O236" i="23"/>
  <c r="O220" i="23"/>
  <c r="O240" i="23"/>
  <c r="O241" i="23"/>
  <c r="O180" i="23"/>
  <c r="O177" i="23"/>
  <c r="O225" i="23"/>
  <c r="O212" i="23"/>
  <c r="O213" i="23"/>
  <c r="O209" i="23"/>
  <c r="O168" i="23"/>
  <c r="O169" i="23"/>
  <c r="O153" i="23"/>
  <c r="O154" i="23"/>
  <c r="O269" i="23"/>
  <c r="O270" i="23"/>
  <c r="O266" i="23"/>
  <c r="O34" i="23"/>
  <c r="O274" i="23"/>
  <c r="O275" i="23"/>
  <c r="O271" i="23"/>
  <c r="O121" i="23"/>
  <c r="O122" i="23"/>
  <c r="O287" i="23"/>
  <c r="O183" i="23"/>
  <c r="O184" i="23"/>
  <c r="O29" i="23"/>
  <c r="O98" i="23"/>
  <c r="O99" i="23"/>
  <c r="O95" i="23"/>
  <c r="O81" i="23"/>
  <c r="O195" i="23"/>
  <c r="O196" i="23"/>
  <c r="O192" i="23"/>
  <c r="O126" i="23"/>
  <c r="O127" i="23"/>
  <c r="O113" i="23"/>
  <c r="O255" i="23"/>
  <c r="O256" i="23"/>
  <c r="O252" i="23"/>
  <c r="O253" i="23"/>
  <c r="O249" i="23"/>
  <c r="O91" i="23"/>
  <c r="O92" i="23"/>
  <c r="O54" i="23"/>
  <c r="O172" i="23"/>
  <c r="O294" i="23"/>
  <c r="O116" i="23"/>
  <c r="O103" i="23"/>
  <c r="O215" i="23"/>
  <c r="O216" i="23"/>
  <c r="O202" i="23"/>
  <c r="O203" i="23"/>
  <c r="O199" i="23"/>
  <c r="O165" i="23"/>
  <c r="O162" i="23"/>
  <c r="O299" i="23"/>
  <c r="O303" i="23"/>
  <c r="O284" i="23"/>
  <c r="O285" i="23"/>
  <c r="O281" i="23"/>
  <c r="O237" i="23"/>
  <c r="O238" i="23"/>
  <c r="O234" i="23"/>
  <c r="O222" i="23"/>
  <c r="O223" i="23"/>
  <c r="O219" i="23"/>
  <c r="O242" i="23"/>
  <c r="O243" i="23"/>
  <c r="O239" i="23"/>
  <c r="O178" i="23"/>
  <c r="O227" i="23"/>
  <c r="O228" i="23"/>
  <c r="O210" i="23"/>
  <c r="O211" i="23"/>
  <c r="O170" i="23"/>
  <c r="O167" i="23"/>
  <c r="O155" i="23"/>
  <c r="O156" i="23"/>
  <c r="O152" i="23"/>
  <c r="O38" i="23"/>
  <c r="O150" i="23"/>
  <c r="O151" i="23"/>
  <c r="O147" i="23"/>
  <c r="O318" i="23"/>
  <c r="O320" i="23"/>
  <c r="O316" i="23"/>
  <c r="O312" i="23"/>
  <c r="O313" i="23"/>
  <c r="O76" i="23"/>
  <c r="O77" i="23"/>
  <c r="O267" i="23"/>
  <c r="O268" i="23"/>
  <c r="O33" i="23"/>
  <c r="O88" i="23"/>
  <c r="O89" i="23"/>
  <c r="O85" i="23"/>
  <c r="O272" i="23"/>
  <c r="O273" i="23"/>
  <c r="O123" i="23"/>
  <c r="O124" i="23"/>
  <c r="O120" i="23"/>
  <c r="O289" i="23"/>
  <c r="O286" i="23"/>
  <c r="O185" i="23"/>
  <c r="O186" i="23"/>
  <c r="O182" i="23"/>
  <c r="O28" i="23"/>
  <c r="O96" i="23"/>
  <c r="O97" i="23"/>
  <c r="O83" i="23"/>
  <c r="O84" i="23"/>
  <c r="O80" i="23"/>
  <c r="O193" i="23"/>
  <c r="O194" i="23"/>
  <c r="O145" i="23"/>
  <c r="O146" i="23"/>
  <c r="O277" i="23"/>
  <c r="O278" i="23"/>
  <c r="O128" i="23"/>
  <c r="O129" i="23"/>
  <c r="O125" i="23"/>
  <c r="O111" i="23"/>
  <c r="O257" i="23"/>
  <c r="O258" i="23"/>
  <c r="O254" i="23"/>
  <c r="O250" i="23"/>
  <c r="O251" i="23"/>
  <c r="O93" i="23"/>
  <c r="O94" i="23"/>
  <c r="O90" i="23"/>
  <c r="O158" i="23"/>
  <c r="O159" i="23"/>
  <c r="O133" i="23"/>
  <c r="O134" i="23"/>
  <c r="O130" i="23"/>
  <c r="O49" i="23"/>
  <c r="O190" i="23"/>
  <c r="O191" i="23"/>
  <c r="O187" i="23"/>
  <c r="O173" i="23"/>
  <c r="O174" i="23"/>
  <c r="O309" i="23"/>
  <c r="O310" i="23"/>
  <c r="O306" i="23"/>
  <c r="O292" i="23"/>
  <c r="O118" i="23"/>
  <c r="O119" i="23"/>
  <c r="O115" i="23"/>
  <c r="O101" i="23"/>
  <c r="O58" i="23"/>
  <c r="O217" i="23"/>
  <c r="O218" i="23"/>
  <c r="O214" i="23"/>
  <c r="O200" i="23"/>
  <c r="O201" i="23"/>
  <c r="O163" i="23"/>
  <c r="O164" i="23"/>
  <c r="O297" i="23"/>
  <c r="O304" i="23"/>
  <c r="O305" i="23"/>
  <c r="O301" i="23"/>
  <c r="O282" i="23"/>
  <c r="O283" i="23"/>
  <c r="O245" i="23"/>
  <c r="O246" i="23"/>
  <c r="O247" i="23"/>
  <c r="O244" i="23"/>
  <c r="X459" i="12" l="1"/>
  <c r="V397" i="12"/>
  <c r="AF7" i="57"/>
  <c r="Z462" i="12"/>
  <c r="V462" i="12"/>
  <c r="AB405" i="12"/>
  <c r="X405" i="12"/>
  <c r="Z430" i="12"/>
  <c r="V430" i="12"/>
  <c r="O20" i="57"/>
  <c r="L248" i="12"/>
  <c r="O103" i="57"/>
  <c r="L316" i="12"/>
  <c r="O191" i="57"/>
  <c r="L389" i="12"/>
  <c r="O49" i="57"/>
  <c r="L267" i="12"/>
  <c r="O53" i="57"/>
  <c r="L271" i="12"/>
  <c r="O192" i="57"/>
  <c r="L390" i="12"/>
  <c r="O72" i="57"/>
  <c r="L290" i="12"/>
  <c r="O33" i="57"/>
  <c r="L256" i="12"/>
  <c r="O318" i="57"/>
  <c r="L516" i="12"/>
  <c r="O209" i="57"/>
  <c r="L407" i="12"/>
  <c r="O282" i="57"/>
  <c r="L480" i="12"/>
  <c r="O304" i="57"/>
  <c r="L502" i="12"/>
  <c r="O118" i="57"/>
  <c r="L326" i="12"/>
  <c r="O110" i="57"/>
  <c r="L318" i="12"/>
  <c r="O290" i="57"/>
  <c r="L488" i="12"/>
  <c r="O88" i="57"/>
  <c r="L216" i="12"/>
  <c r="O268" i="57"/>
  <c r="L466" i="12"/>
  <c r="O24" i="57"/>
  <c r="L204" i="12"/>
  <c r="O234" i="57"/>
  <c r="L432" i="12"/>
  <c r="O124" i="57"/>
  <c r="L332" i="12"/>
  <c r="O167" i="57"/>
  <c r="L218" i="12"/>
  <c r="Z429" i="12"/>
  <c r="V429" i="12"/>
  <c r="AA431" i="12"/>
  <c r="W431" i="12"/>
  <c r="O59" i="57"/>
  <c r="L277" i="12"/>
  <c r="O307" i="57"/>
  <c r="L505" i="12"/>
  <c r="O258" i="57"/>
  <c r="L456" i="12"/>
  <c r="O144" i="57"/>
  <c r="L352" i="12"/>
  <c r="O41" i="57"/>
  <c r="L264" i="12"/>
  <c r="O218" i="57"/>
  <c r="L416" i="12"/>
  <c r="O291" i="57"/>
  <c r="L489" i="12"/>
  <c r="O252" i="57"/>
  <c r="L450" i="12"/>
  <c r="O186" i="57"/>
  <c r="L384" i="12"/>
  <c r="O120" i="57"/>
  <c r="L328" i="12"/>
  <c r="O313" i="57"/>
  <c r="L511" i="12"/>
  <c r="O170" i="57"/>
  <c r="L221" i="12"/>
  <c r="O219" i="57"/>
  <c r="L417" i="12"/>
  <c r="AB402" i="12"/>
  <c r="X402" i="12"/>
  <c r="O299" i="57"/>
  <c r="L497" i="12"/>
  <c r="O309" i="57"/>
  <c r="L507" i="12"/>
  <c r="O256" i="57"/>
  <c r="L454" i="12"/>
  <c r="O129" i="57"/>
  <c r="L337" i="12"/>
  <c r="O83" i="57"/>
  <c r="L301" i="12"/>
  <c r="O42" i="57"/>
  <c r="L265" i="12"/>
  <c r="O217" i="57"/>
  <c r="L415" i="12"/>
  <c r="O293" i="57"/>
  <c r="L491" i="12"/>
  <c r="O253" i="57"/>
  <c r="L451" i="12"/>
  <c r="O278" i="57"/>
  <c r="L476" i="12"/>
  <c r="O122" i="57"/>
  <c r="L330" i="12"/>
  <c r="O315" i="57"/>
  <c r="L513" i="12"/>
  <c r="O168" i="57"/>
  <c r="L219" i="12"/>
  <c r="O220" i="57"/>
  <c r="L418" i="12"/>
  <c r="AC405" i="12"/>
  <c r="Y405" i="12"/>
  <c r="Z405" i="12"/>
  <c r="V405" i="12"/>
  <c r="O200" i="57"/>
  <c r="L398" i="12"/>
  <c r="O69" i="57"/>
  <c r="L287" i="12"/>
  <c r="O147" i="57"/>
  <c r="L223" i="12"/>
  <c r="O119" i="57"/>
  <c r="L327" i="12"/>
  <c r="O89" i="57"/>
  <c r="L217" i="12"/>
  <c r="O23" i="57"/>
  <c r="L203" i="12"/>
  <c r="O297" i="57"/>
  <c r="L495" i="12"/>
  <c r="O306" i="57"/>
  <c r="L504" i="12"/>
  <c r="O157" i="57"/>
  <c r="L360" i="12"/>
  <c r="O127" i="57"/>
  <c r="L335" i="12"/>
  <c r="O145" i="57"/>
  <c r="L353" i="12"/>
  <c r="O38" i="57"/>
  <c r="L261" i="12"/>
  <c r="O244" i="57"/>
  <c r="L442" i="12"/>
  <c r="O295" i="57"/>
  <c r="L493" i="12"/>
  <c r="O175" i="57"/>
  <c r="L373" i="12"/>
  <c r="O280" i="57"/>
  <c r="L478" i="12"/>
  <c r="O182" i="57"/>
  <c r="L380" i="12"/>
  <c r="O272" i="57"/>
  <c r="L470" i="12"/>
  <c r="O311" i="57"/>
  <c r="L509" i="12"/>
  <c r="O225" i="57"/>
  <c r="L423" i="12"/>
  <c r="O223" i="57"/>
  <c r="L421" i="12"/>
  <c r="O202" i="57"/>
  <c r="L400" i="12"/>
  <c r="O102" i="57"/>
  <c r="L315" i="12"/>
  <c r="O190" i="57"/>
  <c r="L388" i="12"/>
  <c r="O48" i="57"/>
  <c r="L266" i="12"/>
  <c r="O56" i="57"/>
  <c r="L274" i="12"/>
  <c r="O92" i="57"/>
  <c r="L305" i="12"/>
  <c r="O30" i="57"/>
  <c r="L253" i="12"/>
  <c r="O68" i="57"/>
  <c r="L286" i="12"/>
  <c r="O79" i="57"/>
  <c r="L297" i="12"/>
  <c r="O317" i="57"/>
  <c r="L515" i="12"/>
  <c r="O211" i="57"/>
  <c r="L409" i="12"/>
  <c r="O180" i="57"/>
  <c r="L378" i="12"/>
  <c r="O302" i="57"/>
  <c r="L500" i="12"/>
  <c r="O117" i="57"/>
  <c r="L325" i="12"/>
  <c r="O112" i="57"/>
  <c r="L320" i="12"/>
  <c r="O286" i="57"/>
  <c r="L484" i="12"/>
  <c r="O87" i="57"/>
  <c r="L215" i="12"/>
  <c r="O154" i="57"/>
  <c r="L357" i="12"/>
  <c r="O27" i="57"/>
  <c r="L207" i="12"/>
  <c r="O240" i="57"/>
  <c r="L438" i="12"/>
  <c r="O39" i="57"/>
  <c r="L262" i="12"/>
  <c r="O214" i="57"/>
  <c r="L412" i="12"/>
  <c r="O21" i="57"/>
  <c r="L249" i="12"/>
  <c r="O132" i="57"/>
  <c r="L340" i="12"/>
  <c r="O193" i="57"/>
  <c r="L391" i="12"/>
  <c r="O150" i="57"/>
  <c r="L226" i="12"/>
  <c r="O98" i="57"/>
  <c r="L311" i="12"/>
  <c r="O235" i="57"/>
  <c r="L433" i="12"/>
  <c r="O201" i="57"/>
  <c r="L399" i="12"/>
  <c r="O101" i="57"/>
  <c r="L314" i="12"/>
  <c r="O188" i="57"/>
  <c r="L386" i="12"/>
  <c r="O131" i="57"/>
  <c r="L339" i="12"/>
  <c r="O55" i="57"/>
  <c r="L273" i="12"/>
  <c r="O194" i="57"/>
  <c r="L392" i="12"/>
  <c r="O29" i="57"/>
  <c r="L252" i="12"/>
  <c r="O35" i="57"/>
  <c r="L258" i="12"/>
  <c r="O320" i="57"/>
  <c r="L518" i="12"/>
  <c r="O151" i="57"/>
  <c r="L227" i="12"/>
  <c r="O179" i="57"/>
  <c r="L377" i="12"/>
  <c r="O284" i="57"/>
  <c r="L482" i="12"/>
  <c r="O305" i="57"/>
  <c r="L503" i="12"/>
  <c r="O165" i="57"/>
  <c r="L368" i="12"/>
  <c r="O111" i="57"/>
  <c r="L319" i="12"/>
  <c r="O288" i="57"/>
  <c r="L486" i="12"/>
  <c r="O67" i="57"/>
  <c r="L285" i="12"/>
  <c r="O85" i="57"/>
  <c r="L213" i="12"/>
  <c r="O156" i="57"/>
  <c r="L359" i="12"/>
  <c r="O239" i="57"/>
  <c r="L437" i="12"/>
  <c r="O40" i="57"/>
  <c r="L263" i="12"/>
  <c r="O279" i="57"/>
  <c r="L477" i="12"/>
  <c r="O121" i="57"/>
  <c r="L329" i="12"/>
  <c r="O222" i="57"/>
  <c r="L420" i="12"/>
  <c r="O100" i="57"/>
  <c r="L313" i="12"/>
  <c r="O54" i="57"/>
  <c r="L272" i="12"/>
  <c r="O319" i="57"/>
  <c r="L517" i="12"/>
  <c r="O113" i="57"/>
  <c r="L321" i="12"/>
  <c r="O25" i="57"/>
  <c r="L205" i="12"/>
  <c r="AA405" i="12"/>
  <c r="W405" i="12"/>
  <c r="O296" i="57"/>
  <c r="L494" i="12"/>
  <c r="O308" i="57"/>
  <c r="L506" i="12"/>
  <c r="O161" i="57"/>
  <c r="L364" i="12"/>
  <c r="O128" i="57"/>
  <c r="L336" i="12"/>
  <c r="O143" i="57"/>
  <c r="L351" i="12"/>
  <c r="O273" i="57"/>
  <c r="L471" i="12"/>
  <c r="O45" i="57"/>
  <c r="L200" i="12"/>
  <c r="O78" i="57"/>
  <c r="L296" i="12"/>
  <c r="O301" i="57"/>
  <c r="L499" i="12"/>
  <c r="O66" i="57"/>
  <c r="L284" i="12"/>
  <c r="AA461" i="12"/>
  <c r="W461" i="12"/>
  <c r="O19" i="57"/>
  <c r="L247" i="12"/>
  <c r="O203" i="57"/>
  <c r="L401" i="12"/>
  <c r="O44" i="57"/>
  <c r="L199" i="12"/>
  <c r="O187" i="57"/>
  <c r="L385" i="12"/>
  <c r="O134" i="57"/>
  <c r="L342" i="12"/>
  <c r="O93" i="57"/>
  <c r="L306" i="12"/>
  <c r="O31" i="57"/>
  <c r="L254" i="12"/>
  <c r="O36" i="57"/>
  <c r="L259" i="12"/>
  <c r="O75" i="57"/>
  <c r="L293" i="12"/>
  <c r="O149" i="57"/>
  <c r="L225" i="12"/>
  <c r="O181" i="57"/>
  <c r="L379" i="12"/>
  <c r="O303" i="57"/>
  <c r="L501" i="12"/>
  <c r="O166" i="57"/>
  <c r="L369" i="12"/>
  <c r="O115" i="57"/>
  <c r="L323" i="12"/>
  <c r="O97" i="57"/>
  <c r="L310" i="12"/>
  <c r="O64" i="57"/>
  <c r="L282" i="12"/>
  <c r="O266" i="57"/>
  <c r="L464" i="12"/>
  <c r="O152" i="57"/>
  <c r="L355" i="12"/>
  <c r="O242" i="57"/>
  <c r="L440" i="12"/>
  <c r="O251" i="57"/>
  <c r="L449" i="12"/>
  <c r="O312" i="57"/>
  <c r="L510" i="12"/>
  <c r="AC459" i="12"/>
  <c r="Y459" i="12"/>
  <c r="AB461" i="12"/>
  <c r="X461" i="12"/>
  <c r="Z463" i="12"/>
  <c r="V463" i="12"/>
  <c r="AC431" i="12"/>
  <c r="Y431" i="12"/>
  <c r="O300" i="57"/>
  <c r="L498" i="12"/>
  <c r="O60" i="57"/>
  <c r="L278" i="12"/>
  <c r="O158" i="57"/>
  <c r="L361" i="12"/>
  <c r="O125" i="57"/>
  <c r="L333" i="12"/>
  <c r="O81" i="57"/>
  <c r="L299" i="12"/>
  <c r="O247" i="57"/>
  <c r="L445" i="12"/>
  <c r="O216" i="57"/>
  <c r="L414" i="12"/>
  <c r="O176" i="57"/>
  <c r="L374" i="12"/>
  <c r="O277" i="57"/>
  <c r="L475" i="12"/>
  <c r="O184" i="57"/>
  <c r="L382" i="12"/>
  <c r="O274" i="57"/>
  <c r="L472" i="12"/>
  <c r="O314" i="57"/>
  <c r="L512" i="12"/>
  <c r="O228" i="57"/>
  <c r="L426" i="12"/>
  <c r="Z406" i="12"/>
  <c r="V406" i="12"/>
  <c r="AB431" i="12"/>
  <c r="X431" i="12"/>
  <c r="Z461" i="12"/>
  <c r="V461" i="12"/>
  <c r="AA429" i="12"/>
  <c r="W429" i="12"/>
  <c r="O298" i="57"/>
  <c r="L496" i="12"/>
  <c r="O58" i="57"/>
  <c r="L276" i="12"/>
  <c r="O160" i="57"/>
  <c r="L363" i="12"/>
  <c r="O254" i="57"/>
  <c r="L452" i="12"/>
  <c r="O142" i="57"/>
  <c r="L350" i="12"/>
  <c r="O82" i="57"/>
  <c r="L300" i="12"/>
  <c r="O245" i="57"/>
  <c r="L443" i="12"/>
  <c r="O292" i="57"/>
  <c r="L490" i="12"/>
  <c r="O174" i="57"/>
  <c r="L372" i="12"/>
  <c r="O250" i="57"/>
  <c r="L448" i="12"/>
  <c r="O183" i="57"/>
  <c r="L381" i="12"/>
  <c r="O275" i="57"/>
  <c r="L473" i="12"/>
  <c r="O171" i="57"/>
  <c r="L222" i="12"/>
  <c r="O227" i="57"/>
  <c r="L425" i="12"/>
  <c r="O221" i="57"/>
  <c r="L419" i="12"/>
  <c r="O50" i="57"/>
  <c r="L268" i="12"/>
  <c r="O37" i="57"/>
  <c r="L260" i="12"/>
  <c r="O283" i="57"/>
  <c r="L481" i="12"/>
  <c r="O63" i="57"/>
  <c r="L281" i="12"/>
  <c r="O267" i="57"/>
  <c r="L465" i="12"/>
  <c r="AA459" i="12"/>
  <c r="W459" i="12"/>
  <c r="AA406" i="12"/>
  <c r="W406" i="12"/>
  <c r="O61" i="57"/>
  <c r="L279" i="12"/>
  <c r="O159" i="57"/>
  <c r="L362" i="12"/>
  <c r="O255" i="57"/>
  <c r="L453" i="12"/>
  <c r="O126" i="57"/>
  <c r="L334" i="12"/>
  <c r="O80" i="57"/>
  <c r="L298" i="12"/>
  <c r="O248" i="57"/>
  <c r="L446" i="12"/>
  <c r="O215" i="57"/>
  <c r="L413" i="12"/>
  <c r="O173" i="57"/>
  <c r="L371" i="12"/>
  <c r="O249" i="57"/>
  <c r="L447" i="12"/>
  <c r="O276" i="57"/>
  <c r="L474" i="12"/>
  <c r="O123" i="57"/>
  <c r="L331" i="12"/>
  <c r="O271" i="57"/>
  <c r="L469" i="12"/>
  <c r="O169" i="57"/>
  <c r="L220" i="12"/>
  <c r="O226" i="57"/>
  <c r="L424" i="12"/>
  <c r="O22" i="57"/>
  <c r="L250" i="12"/>
  <c r="O199" i="57"/>
  <c r="L397" i="12"/>
  <c r="O46" i="57"/>
  <c r="L201" i="12"/>
  <c r="O52" i="57"/>
  <c r="L270" i="12"/>
  <c r="O133" i="57"/>
  <c r="L341" i="12"/>
  <c r="O90" i="57"/>
  <c r="L303" i="12"/>
  <c r="O195" i="57"/>
  <c r="L393" i="12"/>
  <c r="O71" i="57"/>
  <c r="L289" i="12"/>
  <c r="O34" i="57"/>
  <c r="L257" i="12"/>
  <c r="O77" i="57"/>
  <c r="L295" i="12"/>
  <c r="O148" i="57"/>
  <c r="L224" i="12"/>
  <c r="O212" i="57"/>
  <c r="L410" i="12"/>
  <c r="O285" i="57"/>
  <c r="L483" i="12"/>
  <c r="O162" i="57"/>
  <c r="L365" i="12"/>
  <c r="O114" i="57"/>
  <c r="L322" i="12"/>
  <c r="O99" i="57"/>
  <c r="L312" i="12"/>
  <c r="O65" i="57"/>
  <c r="L283" i="12"/>
  <c r="O270" i="57"/>
  <c r="L468" i="12"/>
  <c r="O155" i="57"/>
  <c r="L358" i="12"/>
  <c r="O241" i="57"/>
  <c r="L439" i="12"/>
  <c r="O237" i="57"/>
  <c r="L435" i="12"/>
  <c r="O246" i="57"/>
  <c r="L444" i="12"/>
  <c r="O294" i="57"/>
  <c r="L492" i="12"/>
  <c r="O43" i="57"/>
  <c r="L198" i="12"/>
  <c r="O94" i="57"/>
  <c r="L307" i="12"/>
  <c r="O28" i="57"/>
  <c r="L251" i="12"/>
  <c r="O163" i="57"/>
  <c r="L366" i="12"/>
  <c r="O153" i="57"/>
  <c r="L356" i="12"/>
  <c r="AA462" i="12"/>
  <c r="W462" i="12"/>
  <c r="AB462" i="12"/>
  <c r="X462" i="12"/>
  <c r="AC427" i="12"/>
  <c r="Y427" i="12"/>
  <c r="O18" i="57"/>
  <c r="L246" i="12"/>
  <c r="O104" i="57"/>
  <c r="L317" i="12"/>
  <c r="O47" i="57"/>
  <c r="L202" i="12"/>
  <c r="O51" i="57"/>
  <c r="L269" i="12"/>
  <c r="O130" i="57"/>
  <c r="L338" i="12"/>
  <c r="O91" i="57"/>
  <c r="L304" i="12"/>
  <c r="O32" i="57"/>
  <c r="L255" i="12"/>
  <c r="O70" i="57"/>
  <c r="L288" i="12"/>
  <c r="O76" i="57"/>
  <c r="L294" i="12"/>
  <c r="O316" i="57"/>
  <c r="L514" i="12"/>
  <c r="O210" i="57"/>
  <c r="L408" i="12"/>
  <c r="O177" i="57"/>
  <c r="L375" i="12"/>
  <c r="O281" i="57"/>
  <c r="L479" i="12"/>
  <c r="O164" i="57"/>
  <c r="L367" i="12"/>
  <c r="O116" i="57"/>
  <c r="L324" i="12"/>
  <c r="O95" i="57"/>
  <c r="L308" i="12"/>
  <c r="O289" i="57"/>
  <c r="L487" i="12"/>
  <c r="O86" i="57"/>
  <c r="L214" i="12"/>
  <c r="O269" i="57"/>
  <c r="L467" i="12"/>
  <c r="O26" i="57"/>
  <c r="L206" i="12"/>
  <c r="O236" i="57"/>
  <c r="L434" i="12"/>
  <c r="O172" i="57"/>
  <c r="L370" i="12"/>
  <c r="O185" i="57"/>
  <c r="L383" i="12"/>
  <c r="O224" i="57"/>
  <c r="L422" i="12"/>
  <c r="O189" i="57"/>
  <c r="L387" i="12"/>
  <c r="O196" i="57"/>
  <c r="L394" i="12"/>
  <c r="O213" i="57"/>
  <c r="L411" i="12"/>
  <c r="O287" i="57"/>
  <c r="L485" i="12"/>
  <c r="O238" i="57"/>
  <c r="L436" i="12"/>
  <c r="AA430" i="12"/>
  <c r="W430" i="12"/>
  <c r="O62" i="57"/>
  <c r="L280" i="12"/>
  <c r="O310" i="57"/>
  <c r="L508" i="12"/>
  <c r="O257" i="57"/>
  <c r="L455" i="12"/>
  <c r="O146" i="57"/>
  <c r="L354" i="12"/>
  <c r="O84" i="57"/>
  <c r="L302" i="12"/>
  <c r="O57" i="57"/>
  <c r="L275" i="12"/>
  <c r="O178" i="57"/>
  <c r="L376" i="12"/>
  <c r="O96" i="57"/>
  <c r="L309" i="12"/>
  <c r="O243" i="57"/>
  <c r="L441" i="12"/>
  <c r="P244" i="23"/>
  <c r="P247" i="23"/>
  <c r="P245" i="23"/>
  <c r="P282" i="23"/>
  <c r="P305" i="23"/>
  <c r="P115" i="23"/>
  <c r="P174" i="23"/>
  <c r="P80" i="23"/>
  <c r="P289" i="23"/>
  <c r="P167" i="23"/>
  <c r="P303" i="23"/>
  <c r="P299" i="23"/>
  <c r="P103" i="23"/>
  <c r="P116" i="23"/>
  <c r="P294" i="23"/>
  <c r="P172" i="23"/>
  <c r="P177" i="23"/>
  <c r="P180" i="23"/>
  <c r="P241" i="23"/>
  <c r="P240" i="23"/>
  <c r="P236" i="23"/>
  <c r="P235" i="23"/>
  <c r="P298" i="23"/>
  <c r="P102" i="23"/>
  <c r="P44" i="23"/>
  <c r="P293" i="23"/>
  <c r="P53" i="23"/>
  <c r="P112" i="23"/>
  <c r="P142" i="23"/>
  <c r="P290" i="23"/>
  <c r="P171" i="23"/>
  <c r="P224" i="23"/>
  <c r="P179" i="23"/>
  <c r="P166" i="23"/>
  <c r="P117" i="23"/>
  <c r="P110" i="23"/>
  <c r="P114" i="23"/>
  <c r="P82" i="23"/>
  <c r="P288" i="23"/>
  <c r="P39" i="23"/>
  <c r="P226" i="23"/>
  <c r="P246" i="23"/>
  <c r="P283" i="23"/>
  <c r="P301" i="23"/>
  <c r="P304" i="23"/>
  <c r="P297" i="23"/>
  <c r="P164" i="23"/>
  <c r="P163" i="23"/>
  <c r="P201" i="23"/>
  <c r="P200" i="23"/>
  <c r="P214" i="23"/>
  <c r="P218" i="23"/>
  <c r="P217" i="23"/>
  <c r="P58" i="23"/>
  <c r="P101" i="23"/>
  <c r="P119" i="23"/>
  <c r="P118" i="23"/>
  <c r="P292" i="23"/>
  <c r="P306" i="23"/>
  <c r="P310" i="23"/>
  <c r="P309" i="23"/>
  <c r="P173" i="23"/>
  <c r="P187" i="23"/>
  <c r="P191" i="23"/>
  <c r="P190" i="23"/>
  <c r="P49" i="23"/>
  <c r="P130" i="23"/>
  <c r="P134" i="23"/>
  <c r="P133" i="23"/>
  <c r="P159" i="23"/>
  <c r="P158" i="23"/>
  <c r="P90" i="23"/>
  <c r="P94" i="23"/>
  <c r="P93" i="23"/>
  <c r="P251" i="23"/>
  <c r="P250" i="23"/>
  <c r="P254" i="23"/>
  <c r="P258" i="23"/>
  <c r="P257" i="23"/>
  <c r="P111" i="23"/>
  <c r="P125" i="23"/>
  <c r="P129" i="23"/>
  <c r="P128" i="23"/>
  <c r="P278" i="23"/>
  <c r="P277" i="23"/>
  <c r="P146" i="23"/>
  <c r="P145" i="23"/>
  <c r="P194" i="23"/>
  <c r="P193" i="23"/>
  <c r="P84" i="23"/>
  <c r="P83" i="23"/>
  <c r="P97" i="23"/>
  <c r="P96" i="23"/>
  <c r="P28" i="23"/>
  <c r="P182" i="23"/>
  <c r="P186" i="23"/>
  <c r="P185" i="23"/>
  <c r="P286" i="23"/>
  <c r="P120" i="23"/>
  <c r="P124" i="23"/>
  <c r="P123" i="23"/>
  <c r="P273" i="23"/>
  <c r="P272" i="23"/>
  <c r="P85" i="23"/>
  <c r="P89" i="23"/>
  <c r="P88" i="23"/>
  <c r="P33" i="23"/>
  <c r="P268" i="23"/>
  <c r="P267" i="23"/>
  <c r="P77" i="23"/>
  <c r="P76" i="23"/>
  <c r="P313" i="23"/>
  <c r="P312" i="23"/>
  <c r="P316" i="23"/>
  <c r="P320" i="23"/>
  <c r="P318" i="23"/>
  <c r="P147" i="23"/>
  <c r="P151" i="23"/>
  <c r="P150" i="23"/>
  <c r="P38" i="23"/>
  <c r="P152" i="23"/>
  <c r="P156" i="23"/>
  <c r="P155" i="23"/>
  <c r="P170" i="23"/>
  <c r="P211" i="23"/>
  <c r="P210" i="23"/>
  <c r="P228" i="23"/>
  <c r="P227" i="23"/>
  <c r="P178" i="23"/>
  <c r="P239" i="23"/>
  <c r="P243" i="23"/>
  <c r="P242" i="23"/>
  <c r="P219" i="23"/>
  <c r="P223" i="23"/>
  <c r="P222" i="23"/>
  <c r="P234" i="23"/>
  <c r="P238" i="23"/>
  <c r="P237" i="23"/>
  <c r="P281" i="23"/>
  <c r="P285" i="23"/>
  <c r="P284" i="23"/>
  <c r="P162" i="23"/>
  <c r="P165" i="23"/>
  <c r="P199" i="23"/>
  <c r="P203" i="23"/>
  <c r="P202" i="23"/>
  <c r="P216" i="23"/>
  <c r="P215" i="23"/>
  <c r="P54" i="23"/>
  <c r="P92" i="23"/>
  <c r="P91" i="23"/>
  <c r="P249" i="23"/>
  <c r="P253" i="23"/>
  <c r="P252" i="23"/>
  <c r="P256" i="23"/>
  <c r="P255" i="23"/>
  <c r="P113" i="23"/>
  <c r="P127" i="23"/>
  <c r="P126" i="23"/>
  <c r="P192" i="23"/>
  <c r="P196" i="23"/>
  <c r="P195" i="23"/>
  <c r="P81" i="23"/>
  <c r="P95" i="23"/>
  <c r="P99" i="23"/>
  <c r="P98" i="23"/>
  <c r="P29" i="23"/>
  <c r="P184" i="23"/>
  <c r="P183" i="23"/>
  <c r="P287" i="23"/>
  <c r="P122" i="23"/>
  <c r="P121" i="23"/>
  <c r="P271" i="23"/>
  <c r="P275" i="23"/>
  <c r="P274" i="23"/>
  <c r="P34" i="23"/>
  <c r="P266" i="23"/>
  <c r="P270" i="23"/>
  <c r="P269" i="23"/>
  <c r="P154" i="23"/>
  <c r="P153" i="23"/>
  <c r="P169" i="23"/>
  <c r="P168" i="23"/>
  <c r="P209" i="23"/>
  <c r="P213" i="23"/>
  <c r="P212" i="23"/>
  <c r="P225" i="23"/>
  <c r="P220" i="23"/>
  <c r="P248" i="23"/>
  <c r="P302" i="23"/>
  <c r="P296" i="23"/>
  <c r="P300" i="23"/>
  <c r="P59" i="23"/>
  <c r="P100" i="23"/>
  <c r="P104" i="23"/>
  <c r="P43" i="23"/>
  <c r="P291" i="23"/>
  <c r="P295" i="23"/>
  <c r="P308" i="23"/>
  <c r="P307" i="23"/>
  <c r="P176" i="23"/>
  <c r="P175" i="23"/>
  <c r="P189" i="23"/>
  <c r="P188" i="23"/>
  <c r="P48" i="23"/>
  <c r="P132" i="23"/>
  <c r="P131" i="23"/>
  <c r="P157" i="23"/>
  <c r="P161" i="23"/>
  <c r="P160" i="23"/>
  <c r="P276" i="23"/>
  <c r="P280" i="23"/>
  <c r="P279" i="23"/>
  <c r="P144" i="23"/>
  <c r="P143" i="23"/>
  <c r="P87" i="23"/>
  <c r="P86" i="23"/>
  <c r="P75" i="23"/>
  <c r="P79" i="23"/>
  <c r="P78" i="23"/>
  <c r="P311" i="23"/>
  <c r="P315" i="23"/>
  <c r="P314" i="23"/>
  <c r="P319" i="23"/>
  <c r="P317" i="23"/>
  <c r="P149" i="23"/>
  <c r="P148" i="23"/>
  <c r="P181" i="23"/>
  <c r="P221" i="23"/>
  <c r="P243" i="57" l="1"/>
  <c r="M441" i="12"/>
  <c r="P178" i="57"/>
  <c r="M376" i="12"/>
  <c r="P257" i="57"/>
  <c r="M455" i="12"/>
  <c r="P236" i="57"/>
  <c r="M434" i="12"/>
  <c r="P96" i="57"/>
  <c r="M309" i="12"/>
  <c r="P57" i="57"/>
  <c r="M275" i="12"/>
  <c r="P146" i="57"/>
  <c r="M354" i="12"/>
  <c r="P310" i="57"/>
  <c r="M508" i="12"/>
  <c r="P287" i="57"/>
  <c r="M485" i="12"/>
  <c r="P196" i="57"/>
  <c r="M394" i="12"/>
  <c r="P224" i="57"/>
  <c r="M422" i="12"/>
  <c r="P172" i="57"/>
  <c r="M370" i="12"/>
  <c r="P26" i="57"/>
  <c r="M206" i="12"/>
  <c r="P86" i="57"/>
  <c r="M214" i="12"/>
  <c r="P95" i="57"/>
  <c r="M308" i="12"/>
  <c r="P164" i="57"/>
  <c r="M367" i="12"/>
  <c r="P177" i="57"/>
  <c r="M375" i="12"/>
  <c r="P316" i="57"/>
  <c r="M514" i="12"/>
  <c r="P70" i="57"/>
  <c r="M288" i="12"/>
  <c r="P91" i="57"/>
  <c r="M304" i="12"/>
  <c r="P51" i="57"/>
  <c r="M269" i="12"/>
  <c r="P104" i="57"/>
  <c r="M317" i="12"/>
  <c r="P163" i="57"/>
  <c r="M366" i="12"/>
  <c r="P94" i="57"/>
  <c r="M307" i="12"/>
  <c r="P294" i="57"/>
  <c r="M492" i="12"/>
  <c r="P237" i="57"/>
  <c r="M435" i="12"/>
  <c r="P155" i="57"/>
  <c r="M358" i="12"/>
  <c r="P65" i="57"/>
  <c r="M283" i="12"/>
  <c r="P114" i="57"/>
  <c r="M322" i="12"/>
  <c r="P285" i="57"/>
  <c r="M483" i="12"/>
  <c r="P148" i="57"/>
  <c r="M224" i="12"/>
  <c r="P34" i="57"/>
  <c r="M257" i="12"/>
  <c r="P195" i="57"/>
  <c r="M393" i="12"/>
  <c r="P133" i="57"/>
  <c r="M341" i="12"/>
  <c r="P46" i="57"/>
  <c r="M201" i="12"/>
  <c r="P22" i="57"/>
  <c r="M250" i="12"/>
  <c r="P169" i="57"/>
  <c r="M220" i="12"/>
  <c r="P123" i="57"/>
  <c r="M331" i="12"/>
  <c r="P249" i="57"/>
  <c r="M447" i="12"/>
  <c r="P215" i="57"/>
  <c r="M413" i="12"/>
  <c r="P80" i="57"/>
  <c r="M298" i="12"/>
  <c r="P255" i="57"/>
  <c r="M453" i="12"/>
  <c r="P61" i="57"/>
  <c r="M279" i="12"/>
  <c r="P63" i="57"/>
  <c r="M281" i="12"/>
  <c r="P37" i="57"/>
  <c r="M260" i="12"/>
  <c r="P221" i="57"/>
  <c r="M419" i="12"/>
  <c r="P171" i="57"/>
  <c r="M222" i="12"/>
  <c r="P183" i="57"/>
  <c r="M381" i="12"/>
  <c r="P174" i="57"/>
  <c r="M372" i="12"/>
  <c r="P245" i="57"/>
  <c r="M443" i="12"/>
  <c r="P142" i="57"/>
  <c r="M350" i="12"/>
  <c r="P160" i="57"/>
  <c r="M363" i="12"/>
  <c r="P298" i="57"/>
  <c r="M496" i="12"/>
  <c r="P314" i="57"/>
  <c r="M512" i="12"/>
  <c r="P184" i="57"/>
  <c r="M382" i="12"/>
  <c r="P176" i="57"/>
  <c r="M374" i="12"/>
  <c r="P247" i="57"/>
  <c r="M445" i="12"/>
  <c r="P125" i="57"/>
  <c r="M333" i="12"/>
  <c r="P60" i="57"/>
  <c r="M278" i="12"/>
  <c r="P312" i="57"/>
  <c r="M510" i="12"/>
  <c r="P242" i="57"/>
  <c r="M440" i="12"/>
  <c r="P266" i="57"/>
  <c r="M464" i="12"/>
  <c r="P97" i="57"/>
  <c r="M310" i="12"/>
  <c r="P166" i="57"/>
  <c r="M369" i="12"/>
  <c r="P181" i="57"/>
  <c r="M379" i="12"/>
  <c r="P75" i="57"/>
  <c r="M293" i="12"/>
  <c r="P31" i="57"/>
  <c r="M254" i="12"/>
  <c r="P134" i="57"/>
  <c r="M342" i="12"/>
  <c r="P44" i="57"/>
  <c r="M199" i="12"/>
  <c r="P19" i="57"/>
  <c r="M247" i="12"/>
  <c r="P66" i="57"/>
  <c r="M284" i="12"/>
  <c r="P78" i="57"/>
  <c r="M296" i="12"/>
  <c r="P273" i="57"/>
  <c r="M471" i="12"/>
  <c r="P128" i="57"/>
  <c r="M336" i="12"/>
  <c r="P308" i="57"/>
  <c r="M506" i="12"/>
  <c r="P113" i="57"/>
  <c r="M321" i="12"/>
  <c r="P54" i="57"/>
  <c r="M272" i="12"/>
  <c r="P222" i="57"/>
  <c r="M420" i="12"/>
  <c r="P279" i="57"/>
  <c r="M477" i="12"/>
  <c r="P239" i="57"/>
  <c r="M437" i="12"/>
  <c r="P85" i="57"/>
  <c r="M213" i="12"/>
  <c r="P288" i="57"/>
  <c r="M486" i="12"/>
  <c r="P165" i="57"/>
  <c r="M368" i="12"/>
  <c r="P284" i="57"/>
  <c r="M482" i="12"/>
  <c r="P151" i="57"/>
  <c r="M227" i="12"/>
  <c r="P35" i="57"/>
  <c r="M258" i="12"/>
  <c r="P194" i="57"/>
  <c r="M392" i="12"/>
  <c r="P131" i="57"/>
  <c r="M339" i="12"/>
  <c r="P101" i="57"/>
  <c r="M314" i="12"/>
  <c r="P235" i="57"/>
  <c r="M433" i="12"/>
  <c r="P150" i="57"/>
  <c r="M226" i="12"/>
  <c r="P132" i="57"/>
  <c r="M340" i="12"/>
  <c r="P214" i="57"/>
  <c r="M412" i="12"/>
  <c r="P240" i="57"/>
  <c r="M438" i="12"/>
  <c r="P154" i="57"/>
  <c r="M357" i="12"/>
  <c r="P286" i="57"/>
  <c r="M484" i="12"/>
  <c r="P117" i="57"/>
  <c r="M325" i="12"/>
  <c r="P180" i="57"/>
  <c r="M378" i="12"/>
  <c r="P317" i="57"/>
  <c r="M515" i="12"/>
  <c r="P68" i="57"/>
  <c r="M286" i="12"/>
  <c r="P92" i="57"/>
  <c r="M305" i="12"/>
  <c r="P48" i="57"/>
  <c r="M266" i="12"/>
  <c r="P102" i="57"/>
  <c r="M315" i="12"/>
  <c r="P223" i="57"/>
  <c r="M421" i="12"/>
  <c r="P311" i="57"/>
  <c r="M509" i="12"/>
  <c r="P182" i="57"/>
  <c r="M380" i="12"/>
  <c r="P175" i="57"/>
  <c r="M373" i="12"/>
  <c r="P244" i="57"/>
  <c r="M442" i="12"/>
  <c r="P145" i="57"/>
  <c r="M353" i="12"/>
  <c r="P157" i="57"/>
  <c r="M360" i="12"/>
  <c r="P297" i="57"/>
  <c r="M495" i="12"/>
  <c r="P89" i="57"/>
  <c r="M217" i="12"/>
  <c r="P147" i="57"/>
  <c r="M223" i="12"/>
  <c r="P200" i="57"/>
  <c r="M398" i="12"/>
  <c r="P168" i="57"/>
  <c r="M219" i="12"/>
  <c r="P122" i="57"/>
  <c r="M330" i="12"/>
  <c r="P253" i="57"/>
  <c r="M451" i="12"/>
  <c r="P217" i="57"/>
  <c r="M415" i="12"/>
  <c r="P83" i="57"/>
  <c r="M301" i="12"/>
  <c r="P256" i="57"/>
  <c r="M454" i="12"/>
  <c r="P299" i="57"/>
  <c r="M497" i="12"/>
  <c r="P219" i="57"/>
  <c r="M417" i="12"/>
  <c r="P313" i="57"/>
  <c r="M511" i="12"/>
  <c r="P186" i="57"/>
  <c r="M384" i="12"/>
  <c r="P291" i="57"/>
  <c r="M489" i="12"/>
  <c r="P41" i="57"/>
  <c r="M264" i="12"/>
  <c r="P258" i="57"/>
  <c r="M456" i="12"/>
  <c r="P59" i="57"/>
  <c r="M277" i="12"/>
  <c r="P124" i="57"/>
  <c r="M332" i="12"/>
  <c r="P24" i="57"/>
  <c r="M204" i="12"/>
  <c r="P88" i="57"/>
  <c r="M216" i="12"/>
  <c r="P110" i="57"/>
  <c r="M318" i="12"/>
  <c r="P304" i="57"/>
  <c r="M502" i="12"/>
  <c r="P209" i="57"/>
  <c r="M407" i="12"/>
  <c r="P33" i="57"/>
  <c r="M256" i="12"/>
  <c r="P192" i="57"/>
  <c r="M390" i="12"/>
  <c r="P49" i="57"/>
  <c r="M267" i="12"/>
  <c r="P103" i="57"/>
  <c r="M316" i="12"/>
  <c r="P84" i="57"/>
  <c r="M302" i="12"/>
  <c r="P62" i="57"/>
  <c r="M280" i="12"/>
  <c r="P238" i="57"/>
  <c r="M436" i="12"/>
  <c r="P213" i="57"/>
  <c r="M411" i="12"/>
  <c r="P189" i="57"/>
  <c r="M387" i="12"/>
  <c r="P185" i="57"/>
  <c r="M383" i="12"/>
  <c r="P269" i="57"/>
  <c r="M467" i="12"/>
  <c r="P289" i="57"/>
  <c r="M487" i="12"/>
  <c r="P116" i="57"/>
  <c r="M324" i="12"/>
  <c r="P281" i="57"/>
  <c r="M479" i="12"/>
  <c r="P210" i="57"/>
  <c r="M408" i="12"/>
  <c r="P76" i="57"/>
  <c r="M294" i="12"/>
  <c r="P32" i="57"/>
  <c r="M255" i="12"/>
  <c r="P130" i="57"/>
  <c r="M338" i="12"/>
  <c r="P47" i="57"/>
  <c r="M202" i="12"/>
  <c r="P18" i="57"/>
  <c r="M246" i="12"/>
  <c r="P153" i="57"/>
  <c r="M356" i="12"/>
  <c r="P28" i="57"/>
  <c r="M251" i="12"/>
  <c r="P43" i="57"/>
  <c r="M198" i="12"/>
  <c r="P246" i="57"/>
  <c r="M444" i="12"/>
  <c r="P241" i="57"/>
  <c r="M439" i="12"/>
  <c r="P270" i="57"/>
  <c r="M468" i="12"/>
  <c r="P99" i="57"/>
  <c r="M312" i="12"/>
  <c r="P162" i="57"/>
  <c r="M365" i="12"/>
  <c r="P212" i="57"/>
  <c r="M410" i="12"/>
  <c r="P77" i="57"/>
  <c r="M295" i="12"/>
  <c r="P71" i="57"/>
  <c r="M289" i="12"/>
  <c r="P90" i="57"/>
  <c r="M303" i="12"/>
  <c r="P52" i="57"/>
  <c r="M270" i="12"/>
  <c r="P199" i="57"/>
  <c r="M397" i="12"/>
  <c r="P226" i="57"/>
  <c r="M424" i="12"/>
  <c r="P271" i="57"/>
  <c r="M469" i="12"/>
  <c r="P276" i="57"/>
  <c r="M474" i="12"/>
  <c r="P173" i="57"/>
  <c r="M371" i="12"/>
  <c r="P248" i="57"/>
  <c r="M446" i="12"/>
  <c r="P126" i="57"/>
  <c r="M334" i="12"/>
  <c r="P159" i="57"/>
  <c r="M362" i="12"/>
  <c r="P267" i="57"/>
  <c r="M465" i="12"/>
  <c r="P283" i="57"/>
  <c r="M481" i="12"/>
  <c r="P50" i="57"/>
  <c r="M268" i="12"/>
  <c r="P227" i="57"/>
  <c r="M425" i="12"/>
  <c r="P275" i="57"/>
  <c r="M473" i="12"/>
  <c r="P250" i="57"/>
  <c r="M448" i="12"/>
  <c r="P292" i="57"/>
  <c r="M490" i="12"/>
  <c r="P82" i="57"/>
  <c r="M300" i="12"/>
  <c r="P254" i="57"/>
  <c r="M452" i="12"/>
  <c r="P58" i="57"/>
  <c r="M276" i="12"/>
  <c r="P228" i="57"/>
  <c r="M426" i="12"/>
  <c r="P274" i="57"/>
  <c r="M472" i="12"/>
  <c r="P277" i="57"/>
  <c r="M475" i="12"/>
  <c r="P216" i="57"/>
  <c r="M414" i="12"/>
  <c r="P81" i="57"/>
  <c r="M299" i="12"/>
  <c r="P158" i="57"/>
  <c r="M361" i="12"/>
  <c r="P300" i="57"/>
  <c r="M498" i="12"/>
  <c r="P251" i="57"/>
  <c r="M449" i="12"/>
  <c r="P152" i="57"/>
  <c r="M355" i="12"/>
  <c r="P64" i="57"/>
  <c r="M282" i="12"/>
  <c r="P115" i="57"/>
  <c r="M323" i="12"/>
  <c r="P303" i="57"/>
  <c r="M501" i="12"/>
  <c r="P149" i="57"/>
  <c r="M225" i="12"/>
  <c r="P36" i="57"/>
  <c r="M259" i="12"/>
  <c r="P93" i="57"/>
  <c r="M306" i="12"/>
  <c r="P187" i="57"/>
  <c r="M385" i="12"/>
  <c r="P203" i="57"/>
  <c r="M401" i="12"/>
  <c r="P301" i="57"/>
  <c r="M499" i="12"/>
  <c r="P45" i="57"/>
  <c r="M200" i="12"/>
  <c r="P143" i="57"/>
  <c r="M351" i="12"/>
  <c r="P161" i="57"/>
  <c r="M364" i="12"/>
  <c r="P296" i="57"/>
  <c r="M494" i="12"/>
  <c r="P25" i="57"/>
  <c r="M205" i="12"/>
  <c r="P319" i="57"/>
  <c r="M517" i="12"/>
  <c r="P100" i="57"/>
  <c r="M313" i="12"/>
  <c r="P121" i="57"/>
  <c r="M329" i="12"/>
  <c r="P40" i="57"/>
  <c r="M263" i="12"/>
  <c r="P156" i="57"/>
  <c r="M359" i="12"/>
  <c r="P67" i="57"/>
  <c r="M285" i="12"/>
  <c r="P111" i="57"/>
  <c r="M319" i="12"/>
  <c r="P305" i="57"/>
  <c r="M503" i="12"/>
  <c r="P179" i="57"/>
  <c r="M377" i="12"/>
  <c r="P320" i="57"/>
  <c r="M518" i="12"/>
  <c r="P29" i="57"/>
  <c r="M252" i="12"/>
  <c r="P55" i="57"/>
  <c r="M273" i="12"/>
  <c r="P188" i="57"/>
  <c r="M386" i="12"/>
  <c r="P201" i="57"/>
  <c r="M399" i="12"/>
  <c r="P98" i="57"/>
  <c r="M311" i="12"/>
  <c r="P193" i="57"/>
  <c r="M391" i="12"/>
  <c r="P21" i="57"/>
  <c r="M249" i="12"/>
  <c r="P39" i="57"/>
  <c r="M262" i="12"/>
  <c r="P27" i="57"/>
  <c r="M207" i="12"/>
  <c r="P87" i="57"/>
  <c r="M215" i="12"/>
  <c r="P112" i="57"/>
  <c r="M320" i="12"/>
  <c r="P302" i="57"/>
  <c r="M500" i="12"/>
  <c r="P211" i="57"/>
  <c r="M409" i="12"/>
  <c r="P79" i="57"/>
  <c r="M297" i="12"/>
  <c r="P30" i="57"/>
  <c r="M253" i="12"/>
  <c r="P56" i="57"/>
  <c r="M274" i="12"/>
  <c r="P190" i="57"/>
  <c r="M388" i="12"/>
  <c r="P202" i="57"/>
  <c r="M400" i="12"/>
  <c r="P225" i="57"/>
  <c r="M423" i="12"/>
  <c r="P272" i="57"/>
  <c r="M470" i="12"/>
  <c r="P280" i="57"/>
  <c r="M478" i="12"/>
  <c r="P295" i="57"/>
  <c r="M493" i="12"/>
  <c r="P38" i="57"/>
  <c r="M261" i="12"/>
  <c r="P127" i="57"/>
  <c r="M335" i="12"/>
  <c r="P306" i="57"/>
  <c r="M504" i="12"/>
  <c r="P23" i="57"/>
  <c r="M203" i="12"/>
  <c r="P119" i="57"/>
  <c r="M327" i="12"/>
  <c r="P69" i="57"/>
  <c r="M287" i="12"/>
  <c r="P220" i="57"/>
  <c r="M418" i="12"/>
  <c r="P315" i="57"/>
  <c r="M513" i="12"/>
  <c r="P278" i="57"/>
  <c r="M476" i="12"/>
  <c r="P293" i="57"/>
  <c r="M491" i="12"/>
  <c r="P42" i="57"/>
  <c r="M265" i="12"/>
  <c r="P129" i="57"/>
  <c r="M337" i="12"/>
  <c r="P309" i="57"/>
  <c r="M507" i="12"/>
  <c r="P170" i="57"/>
  <c r="M221" i="12"/>
  <c r="P120" i="57"/>
  <c r="M328" i="12"/>
  <c r="P252" i="57"/>
  <c r="M450" i="12"/>
  <c r="P218" i="57"/>
  <c r="M416" i="12"/>
  <c r="P144" i="57"/>
  <c r="M352" i="12"/>
  <c r="P307" i="57"/>
  <c r="M505" i="12"/>
  <c r="P167" i="57"/>
  <c r="M218" i="12"/>
  <c r="P234" i="57"/>
  <c r="M432" i="12"/>
  <c r="P268" i="57"/>
  <c r="M466" i="12"/>
  <c r="P290" i="57"/>
  <c r="M488" i="12"/>
  <c r="P118" i="57"/>
  <c r="M326" i="12"/>
  <c r="P282" i="57"/>
  <c r="M480" i="12"/>
  <c r="P318" i="57"/>
  <c r="M516" i="12"/>
  <c r="P72" i="57"/>
  <c r="M290" i="12"/>
  <c r="P53" i="57"/>
  <c r="M271" i="12"/>
  <c r="P191" i="57"/>
  <c r="M389" i="12"/>
  <c r="P20" i="57"/>
  <c r="M248" i="12"/>
  <c r="Q181" i="23"/>
  <c r="Q149" i="23"/>
  <c r="Q319" i="23"/>
  <c r="Q315" i="23"/>
  <c r="Q78" i="23"/>
  <c r="Q75" i="23"/>
  <c r="Q87" i="23"/>
  <c r="Q144" i="23"/>
  <c r="Q280" i="23"/>
  <c r="Q160" i="23"/>
  <c r="Q157" i="23"/>
  <c r="Q131" i="23"/>
  <c r="Q48" i="23"/>
  <c r="Q189" i="23"/>
  <c r="Q175" i="23"/>
  <c r="Q307" i="23"/>
  <c r="Q295" i="23"/>
  <c r="Q291" i="23"/>
  <c r="Q104" i="23"/>
  <c r="Q59" i="23"/>
  <c r="Q302" i="23"/>
  <c r="Q220" i="23"/>
  <c r="Q209" i="23"/>
  <c r="Q53" i="23"/>
  <c r="Q44" i="23"/>
  <c r="Q221" i="23"/>
  <c r="Q148" i="23"/>
  <c r="Q317" i="23"/>
  <c r="Q314" i="23"/>
  <c r="Q311" i="23"/>
  <c r="Q79" i="23"/>
  <c r="Q86" i="23"/>
  <c r="Q143" i="23"/>
  <c r="Q279" i="23"/>
  <c r="Q276" i="23"/>
  <c r="Q161" i="23"/>
  <c r="Q132" i="23"/>
  <c r="Q188" i="23"/>
  <c r="Q176" i="23"/>
  <c r="Q308" i="23"/>
  <c r="Q43" i="23"/>
  <c r="Q100" i="23"/>
  <c r="Q300" i="23"/>
  <c r="Q296" i="23"/>
  <c r="Q248" i="23"/>
  <c r="Q225" i="23"/>
  <c r="Q212" i="23"/>
  <c r="Q213" i="23"/>
  <c r="Q168" i="23"/>
  <c r="Q169" i="23"/>
  <c r="Q153" i="23"/>
  <c r="Q154" i="23"/>
  <c r="Q269" i="23"/>
  <c r="Q270" i="23"/>
  <c r="Q266" i="23"/>
  <c r="Q34" i="23"/>
  <c r="Q274" i="23"/>
  <c r="Q275" i="23"/>
  <c r="Q271" i="23"/>
  <c r="Q121" i="23"/>
  <c r="Q122" i="23"/>
  <c r="Q287" i="23"/>
  <c r="Q183" i="23"/>
  <c r="Q184" i="23"/>
  <c r="Q29" i="23"/>
  <c r="Q98" i="23"/>
  <c r="Q99" i="23"/>
  <c r="Q95" i="23"/>
  <c r="Q81" i="23"/>
  <c r="Q195" i="23"/>
  <c r="Q196" i="23"/>
  <c r="Q192" i="23"/>
  <c r="Q126" i="23"/>
  <c r="Q127" i="23"/>
  <c r="Q113" i="23"/>
  <c r="Q255" i="23"/>
  <c r="Q256" i="23"/>
  <c r="Q252" i="23"/>
  <c r="Q253" i="23"/>
  <c r="Q249" i="23"/>
  <c r="Q91" i="23"/>
  <c r="Q92" i="23"/>
  <c r="Q54" i="23"/>
  <c r="Q215" i="23"/>
  <c r="Q216" i="23"/>
  <c r="Q202" i="23"/>
  <c r="Q203" i="23"/>
  <c r="Q199" i="23"/>
  <c r="Q165" i="23"/>
  <c r="Q162" i="23"/>
  <c r="Q284" i="23"/>
  <c r="Q285" i="23"/>
  <c r="Q281" i="23"/>
  <c r="Q237" i="23"/>
  <c r="Q238" i="23"/>
  <c r="Q234" i="23"/>
  <c r="Q222" i="23"/>
  <c r="Q223" i="23"/>
  <c r="Q219" i="23"/>
  <c r="Q242" i="23"/>
  <c r="Q243" i="23"/>
  <c r="Q239" i="23"/>
  <c r="Q178" i="23"/>
  <c r="Q227" i="23"/>
  <c r="Q228" i="23"/>
  <c r="Q210" i="23"/>
  <c r="Q211" i="23"/>
  <c r="Q170" i="23"/>
  <c r="Q155" i="23"/>
  <c r="Q156" i="23"/>
  <c r="Q152" i="23"/>
  <c r="Q38" i="23"/>
  <c r="Q150" i="23"/>
  <c r="Q151" i="23"/>
  <c r="Q147" i="23"/>
  <c r="Q318" i="23"/>
  <c r="Q320" i="23"/>
  <c r="Q316" i="23"/>
  <c r="Q312" i="23"/>
  <c r="Q313" i="23"/>
  <c r="Q76" i="23"/>
  <c r="Q77" i="23"/>
  <c r="Q267" i="23"/>
  <c r="Q268" i="23"/>
  <c r="Q33" i="23"/>
  <c r="Q88" i="23"/>
  <c r="Q89" i="23"/>
  <c r="Q85" i="23"/>
  <c r="Q272" i="23"/>
  <c r="Q273" i="23"/>
  <c r="Q123" i="23"/>
  <c r="Q124" i="23"/>
  <c r="Q120" i="23"/>
  <c r="Q286" i="23"/>
  <c r="Q185" i="23"/>
  <c r="Q186" i="23"/>
  <c r="Q182" i="23"/>
  <c r="Q28" i="23"/>
  <c r="Q96" i="23"/>
  <c r="Q97" i="23"/>
  <c r="Q83" i="23"/>
  <c r="Q84" i="23"/>
  <c r="Q193" i="23"/>
  <c r="Q194" i="23"/>
  <c r="Q145" i="23"/>
  <c r="Q146" i="23"/>
  <c r="Q277" i="23"/>
  <c r="Q278" i="23"/>
  <c r="Q128" i="23"/>
  <c r="Q129" i="23"/>
  <c r="Q125" i="23"/>
  <c r="Q111" i="23"/>
  <c r="Q257" i="23"/>
  <c r="Q258" i="23"/>
  <c r="Q254" i="23"/>
  <c r="Q250" i="23"/>
  <c r="Q251" i="23"/>
  <c r="Q93" i="23"/>
  <c r="Q94" i="23"/>
  <c r="Q90" i="23"/>
  <c r="Q158" i="23"/>
  <c r="Q159" i="23"/>
  <c r="Q133" i="23"/>
  <c r="Q134" i="23"/>
  <c r="Q130" i="23"/>
  <c r="Q49" i="23"/>
  <c r="Q190" i="23"/>
  <c r="Q191" i="23"/>
  <c r="Q187" i="23"/>
  <c r="Q173" i="23"/>
  <c r="Q309" i="23"/>
  <c r="Q310" i="23"/>
  <c r="Q306" i="23"/>
  <c r="Q292" i="23"/>
  <c r="Q118" i="23"/>
  <c r="Q119" i="23"/>
  <c r="Q101" i="23"/>
  <c r="Q58" i="23"/>
  <c r="Q217" i="23"/>
  <c r="Q218" i="23"/>
  <c r="Q214" i="23"/>
  <c r="Q200" i="23"/>
  <c r="Q201" i="23"/>
  <c r="Q163" i="23"/>
  <c r="Q164" i="23"/>
  <c r="Q297" i="23"/>
  <c r="Q304" i="23"/>
  <c r="Q301" i="23"/>
  <c r="Q283" i="23"/>
  <c r="Q246" i="23"/>
  <c r="Q226" i="23"/>
  <c r="Q39" i="23"/>
  <c r="Q288" i="23"/>
  <c r="Q82" i="23"/>
  <c r="Q114" i="23"/>
  <c r="Q110" i="23"/>
  <c r="Q117" i="23"/>
  <c r="Q166" i="23"/>
  <c r="Q179" i="23"/>
  <c r="Q224" i="23"/>
  <c r="Q171" i="23"/>
  <c r="Q290" i="23"/>
  <c r="Q142" i="23"/>
  <c r="Q112" i="23"/>
  <c r="Q293" i="23"/>
  <c r="Q102" i="23"/>
  <c r="Q298" i="23"/>
  <c r="Q235" i="23"/>
  <c r="Q236" i="23"/>
  <c r="Q240" i="23"/>
  <c r="Q241" i="23"/>
  <c r="Q180" i="23"/>
  <c r="Q177" i="23"/>
  <c r="Q172" i="23"/>
  <c r="Q294" i="23"/>
  <c r="Q116" i="23"/>
  <c r="Q103" i="23"/>
  <c r="Q299" i="23"/>
  <c r="Q303" i="23"/>
  <c r="Q167" i="23"/>
  <c r="Q289" i="23"/>
  <c r="Q80" i="23"/>
  <c r="Q174" i="23"/>
  <c r="Q115" i="23"/>
  <c r="Q305" i="23"/>
  <c r="Q282" i="23"/>
  <c r="Q245" i="23"/>
  <c r="Q247" i="23"/>
  <c r="Q244" i="23"/>
  <c r="A24" i="23"/>
  <c r="A25" i="23" s="1"/>
  <c r="X13" i="23" a="1"/>
  <c r="X13" i="23" s="1"/>
  <c r="X18" i="23" a="1"/>
  <c r="X18" i="23" s="1"/>
  <c r="Z13" i="23" a="1"/>
  <c r="Z13" i="23" s="1"/>
  <c r="Y13" i="23" a="1"/>
  <c r="Y13" i="23" s="1"/>
  <c r="Y18" i="23" a="1"/>
  <c r="Y18" i="23" s="1"/>
  <c r="Z18" i="23" a="1"/>
  <c r="Z18" i="23" s="1"/>
  <c r="AA13" i="23" a="1"/>
  <c r="AA13" i="23" s="1"/>
  <c r="AA18" i="23" a="1"/>
  <c r="AA18" i="23" s="1"/>
  <c r="A19" i="23"/>
  <c r="B19" i="23" s="1"/>
  <c r="C199" i="11"/>
  <c r="K18" i="23" a="1"/>
  <c r="K18" i="23" s="1"/>
  <c r="J18" i="23" a="1"/>
  <c r="J18" i="23" s="1"/>
  <c r="J13" i="23" a="1"/>
  <c r="J13" i="23" s="1"/>
  <c r="K13" i="23" a="1"/>
  <c r="K13" i="23" s="1"/>
  <c r="C194" i="11"/>
  <c r="C195" i="11"/>
  <c r="G24" i="23"/>
  <c r="D199" i="11"/>
  <c r="D194" i="11"/>
  <c r="D195" i="11"/>
  <c r="Q20" i="57" l="1"/>
  <c r="N248" i="12"/>
  <c r="Q53" i="57"/>
  <c r="N271" i="12"/>
  <c r="Q318" i="57"/>
  <c r="N516" i="12"/>
  <c r="Q118" i="57"/>
  <c r="N326" i="12"/>
  <c r="Q268" i="57"/>
  <c r="N466" i="12"/>
  <c r="Q167" i="57"/>
  <c r="N218" i="12"/>
  <c r="Q144" i="57"/>
  <c r="N352" i="12"/>
  <c r="Q252" i="57"/>
  <c r="N450" i="12"/>
  <c r="Q170" i="57"/>
  <c r="N221" i="12"/>
  <c r="Q129" i="57"/>
  <c r="N337" i="12"/>
  <c r="Q293" i="57"/>
  <c r="N491" i="12"/>
  <c r="Q315" i="57"/>
  <c r="N513" i="12"/>
  <c r="Q69" i="57"/>
  <c r="N287" i="12"/>
  <c r="Q23" i="57"/>
  <c r="N203" i="12"/>
  <c r="Q127" i="57"/>
  <c r="N335" i="12"/>
  <c r="Q295" i="57"/>
  <c r="N493" i="12"/>
  <c r="Q272" i="57"/>
  <c r="N470" i="12"/>
  <c r="Q202" i="57"/>
  <c r="N400" i="12"/>
  <c r="Q56" i="57"/>
  <c r="N274" i="12"/>
  <c r="Q79" i="57"/>
  <c r="N297" i="12"/>
  <c r="Q302" i="57"/>
  <c r="N500" i="12"/>
  <c r="Q87" i="57"/>
  <c r="N215" i="12"/>
  <c r="Q39" i="57"/>
  <c r="N262" i="12"/>
  <c r="Q193" i="57"/>
  <c r="N391" i="12"/>
  <c r="Q201" i="57"/>
  <c r="N399" i="12"/>
  <c r="Q55" i="57"/>
  <c r="N273" i="12"/>
  <c r="Q320" i="57"/>
  <c r="N518" i="12"/>
  <c r="Q305" i="57"/>
  <c r="N503" i="12"/>
  <c r="Q67" i="57"/>
  <c r="N285" i="12"/>
  <c r="Q40" i="57"/>
  <c r="N263" i="12"/>
  <c r="Q100" i="57"/>
  <c r="N313" i="12"/>
  <c r="Q25" i="57"/>
  <c r="N205" i="12"/>
  <c r="Q161" i="57"/>
  <c r="N364" i="12"/>
  <c r="Q45" i="57"/>
  <c r="N200" i="12"/>
  <c r="Q203" i="57"/>
  <c r="N401" i="12"/>
  <c r="Q93" i="57"/>
  <c r="N306" i="12"/>
  <c r="Q149" i="57"/>
  <c r="N225" i="12"/>
  <c r="Q115" i="57"/>
  <c r="N323" i="12"/>
  <c r="Q152" i="57"/>
  <c r="N355" i="12"/>
  <c r="Q300" i="57"/>
  <c r="N498" i="12"/>
  <c r="Q81" i="57"/>
  <c r="N299" i="12"/>
  <c r="Q277" i="57"/>
  <c r="N475" i="12"/>
  <c r="Q228" i="57"/>
  <c r="N426" i="12"/>
  <c r="Q254" i="57"/>
  <c r="N452" i="12"/>
  <c r="Q292" i="57"/>
  <c r="N490" i="12"/>
  <c r="Q275" i="57"/>
  <c r="N473" i="12"/>
  <c r="Q50" i="57"/>
  <c r="N268" i="12"/>
  <c r="Q267" i="57"/>
  <c r="N465" i="12"/>
  <c r="Q126" i="57"/>
  <c r="N334" i="12"/>
  <c r="Q173" i="57"/>
  <c r="N371" i="12"/>
  <c r="Q271" i="57"/>
  <c r="N469" i="12"/>
  <c r="Q199" i="57"/>
  <c r="N397" i="12"/>
  <c r="Q90" i="57"/>
  <c r="N303" i="12"/>
  <c r="Q77" i="57"/>
  <c r="N295" i="12"/>
  <c r="Q162" i="57"/>
  <c r="N365" i="12"/>
  <c r="Q270" i="57"/>
  <c r="N468" i="12"/>
  <c r="Q246" i="57"/>
  <c r="N444" i="12"/>
  <c r="Q28" i="57"/>
  <c r="N251" i="12"/>
  <c r="Q18" i="57"/>
  <c r="N246" i="12"/>
  <c r="Q130" i="57"/>
  <c r="N338" i="12"/>
  <c r="Q76" i="57"/>
  <c r="N294" i="12"/>
  <c r="Q281" i="57"/>
  <c r="N479" i="12"/>
  <c r="Q289" i="57"/>
  <c r="N487" i="12"/>
  <c r="Q185" i="57"/>
  <c r="N383" i="12"/>
  <c r="Q213" i="57"/>
  <c r="N411" i="12"/>
  <c r="Q62" i="57"/>
  <c r="N280" i="12"/>
  <c r="Q103" i="57"/>
  <c r="N316" i="12"/>
  <c r="Q192" i="57"/>
  <c r="N390" i="12"/>
  <c r="Q209" i="57"/>
  <c r="N407" i="12"/>
  <c r="Q110" i="57"/>
  <c r="N318" i="12"/>
  <c r="Q24" i="57"/>
  <c r="N204" i="12"/>
  <c r="Q59" i="57"/>
  <c r="N277" i="12"/>
  <c r="Q41" i="57"/>
  <c r="N264" i="12"/>
  <c r="Q186" i="57"/>
  <c r="N384" i="12"/>
  <c r="Q219" i="57"/>
  <c r="N417" i="12"/>
  <c r="Q256" i="57"/>
  <c r="N454" i="12"/>
  <c r="Q217" i="57"/>
  <c r="N415" i="12"/>
  <c r="Q122" i="57"/>
  <c r="N330" i="12"/>
  <c r="Q200" i="57"/>
  <c r="N398" i="12"/>
  <c r="Q89" i="57"/>
  <c r="N217" i="12"/>
  <c r="Q157" i="57"/>
  <c r="N360" i="12"/>
  <c r="Q244" i="57"/>
  <c r="N442" i="12"/>
  <c r="Q182" i="57"/>
  <c r="N380" i="12"/>
  <c r="Q223" i="57"/>
  <c r="N421" i="12"/>
  <c r="Q48" i="57"/>
  <c r="N266" i="12"/>
  <c r="Q68" i="57"/>
  <c r="N286" i="12"/>
  <c r="Q180" i="57"/>
  <c r="N378" i="12"/>
  <c r="Q286" i="57"/>
  <c r="N484" i="12"/>
  <c r="Q240" i="57"/>
  <c r="N438" i="12"/>
  <c r="Q132" i="57"/>
  <c r="N340" i="12"/>
  <c r="Q235" i="57"/>
  <c r="N433" i="12"/>
  <c r="Q131" i="57"/>
  <c r="N339" i="12"/>
  <c r="Q35" i="57"/>
  <c r="N258" i="12"/>
  <c r="Q284" i="57"/>
  <c r="N482" i="12"/>
  <c r="Q288" i="57"/>
  <c r="N486" i="12"/>
  <c r="Q239" i="57"/>
  <c r="N437" i="12"/>
  <c r="Q222" i="57"/>
  <c r="N420" i="12"/>
  <c r="Q113" i="57"/>
  <c r="N321" i="12"/>
  <c r="Q128" i="57"/>
  <c r="N336" i="12"/>
  <c r="Q78" i="57"/>
  <c r="N296" i="12"/>
  <c r="Q19" i="57"/>
  <c r="N247" i="12"/>
  <c r="Q134" i="57"/>
  <c r="N342" i="12"/>
  <c r="Q75" i="57"/>
  <c r="N293" i="12"/>
  <c r="Q166" i="57"/>
  <c r="N369" i="12"/>
  <c r="Q266" i="57"/>
  <c r="N464" i="12"/>
  <c r="Q312" i="57"/>
  <c r="N510" i="12"/>
  <c r="Q125" i="57"/>
  <c r="N333" i="12"/>
  <c r="Q176" i="57"/>
  <c r="N374" i="12"/>
  <c r="Q314" i="57"/>
  <c r="N512" i="12"/>
  <c r="Q160" i="57"/>
  <c r="N363" i="12"/>
  <c r="Q245" i="57"/>
  <c r="N443" i="12"/>
  <c r="Q183" i="57"/>
  <c r="N381" i="12"/>
  <c r="Q221" i="57"/>
  <c r="N419" i="12"/>
  <c r="Q63" i="57"/>
  <c r="N281" i="12"/>
  <c r="Q255" i="57"/>
  <c r="N453" i="12"/>
  <c r="Q215" i="57"/>
  <c r="N413" i="12"/>
  <c r="Q123" i="57"/>
  <c r="N331" i="12"/>
  <c r="Q22" i="57"/>
  <c r="N250" i="12"/>
  <c r="Q133" i="57"/>
  <c r="N341" i="12"/>
  <c r="Q34" i="57"/>
  <c r="N257" i="12"/>
  <c r="Q285" i="57"/>
  <c r="N483" i="12"/>
  <c r="Q65" i="57"/>
  <c r="N283" i="12"/>
  <c r="Q237" i="57"/>
  <c r="N435" i="12"/>
  <c r="Q94" i="57"/>
  <c r="N307" i="12"/>
  <c r="Q104" i="57"/>
  <c r="N317" i="12"/>
  <c r="Q91" i="57"/>
  <c r="N304" i="12"/>
  <c r="Q316" i="57"/>
  <c r="N514" i="12"/>
  <c r="Q164" i="57"/>
  <c r="N367" i="12"/>
  <c r="Q86" i="57"/>
  <c r="N214" i="12"/>
  <c r="Q172" i="57"/>
  <c r="N370" i="12"/>
  <c r="Q196" i="57"/>
  <c r="N394" i="12"/>
  <c r="Q310" i="57"/>
  <c r="N508" i="12"/>
  <c r="Q57" i="57"/>
  <c r="N275" i="12"/>
  <c r="Q236" i="57"/>
  <c r="N434" i="12"/>
  <c r="Q178" i="57"/>
  <c r="N376" i="12"/>
  <c r="F19" i="23"/>
  <c r="Q191" i="57"/>
  <c r="N389" i="12"/>
  <c r="Q72" i="57"/>
  <c r="N290" i="12"/>
  <c r="Q282" i="57"/>
  <c r="N480" i="12"/>
  <c r="Q290" i="57"/>
  <c r="N488" i="12"/>
  <c r="Q234" i="57"/>
  <c r="N432" i="12"/>
  <c r="Q307" i="57"/>
  <c r="N505" i="12"/>
  <c r="Q218" i="57"/>
  <c r="N416" i="12"/>
  <c r="Q120" i="57"/>
  <c r="N328" i="12"/>
  <c r="Q309" i="57"/>
  <c r="N507" i="12"/>
  <c r="Q42" i="57"/>
  <c r="N265" i="12"/>
  <c r="Q278" i="57"/>
  <c r="N476" i="12"/>
  <c r="Q220" i="57"/>
  <c r="N418" i="12"/>
  <c r="Q119" i="57"/>
  <c r="N327" i="12"/>
  <c r="Q306" i="57"/>
  <c r="N504" i="12"/>
  <c r="Q38" i="57"/>
  <c r="N261" i="12"/>
  <c r="Q280" i="57"/>
  <c r="N478" i="12"/>
  <c r="Q225" i="57"/>
  <c r="N423" i="12"/>
  <c r="Q190" i="57"/>
  <c r="N388" i="12"/>
  <c r="Q30" i="57"/>
  <c r="N253" i="12"/>
  <c r="Q211" i="57"/>
  <c r="N409" i="12"/>
  <c r="Q112" i="57"/>
  <c r="N320" i="12"/>
  <c r="Q27" i="57"/>
  <c r="N207" i="12"/>
  <c r="Q21" i="57"/>
  <c r="N249" i="12"/>
  <c r="Q98" i="57"/>
  <c r="N311" i="12"/>
  <c r="Q188" i="57"/>
  <c r="N386" i="12"/>
  <c r="Q29" i="57"/>
  <c r="N252" i="12"/>
  <c r="Q179" i="57"/>
  <c r="N377" i="12"/>
  <c r="Q111" i="57"/>
  <c r="N319" i="12"/>
  <c r="Q156" i="57"/>
  <c r="N359" i="12"/>
  <c r="Q121" i="57"/>
  <c r="N329" i="12"/>
  <c r="Q319" i="57"/>
  <c r="N517" i="12"/>
  <c r="Q296" i="57"/>
  <c r="N494" i="12"/>
  <c r="Q143" i="57"/>
  <c r="N351" i="12"/>
  <c r="Q301" i="57"/>
  <c r="N499" i="12"/>
  <c r="Q187" i="57"/>
  <c r="N385" i="12"/>
  <c r="Q36" i="57"/>
  <c r="N259" i="12"/>
  <c r="Q303" i="57"/>
  <c r="N501" i="12"/>
  <c r="Q64" i="57"/>
  <c r="N282" i="12"/>
  <c r="Q251" i="57"/>
  <c r="N449" i="12"/>
  <c r="Q158" i="57"/>
  <c r="N361" i="12"/>
  <c r="Q216" i="57"/>
  <c r="N414" i="12"/>
  <c r="Q274" i="57"/>
  <c r="N472" i="12"/>
  <c r="Q58" i="57"/>
  <c r="N276" i="12"/>
  <c r="Q82" i="57"/>
  <c r="N300" i="12"/>
  <c r="Q250" i="57"/>
  <c r="N448" i="12"/>
  <c r="Q227" i="57"/>
  <c r="N425" i="12"/>
  <c r="Q283" i="57"/>
  <c r="N481" i="12"/>
  <c r="Q159" i="57"/>
  <c r="N362" i="12"/>
  <c r="Q248" i="57"/>
  <c r="N446" i="12"/>
  <c r="Q276" i="57"/>
  <c r="N474" i="12"/>
  <c r="Q226" i="57"/>
  <c r="N424" i="12"/>
  <c r="Q52" i="57"/>
  <c r="N270" i="12"/>
  <c r="Q71" i="57"/>
  <c r="N289" i="12"/>
  <c r="Q212" i="57"/>
  <c r="N410" i="12"/>
  <c r="Q99" i="57"/>
  <c r="N312" i="12"/>
  <c r="Q241" i="57"/>
  <c r="N439" i="12"/>
  <c r="Q43" i="57"/>
  <c r="N198" i="12"/>
  <c r="Q153" i="57"/>
  <c r="N356" i="12"/>
  <c r="Q47" i="57"/>
  <c r="N202" i="12"/>
  <c r="Q32" i="57"/>
  <c r="N255" i="12"/>
  <c r="Q210" i="57"/>
  <c r="N408" i="12"/>
  <c r="Q116" i="57"/>
  <c r="N324" i="12"/>
  <c r="Q269" i="57"/>
  <c r="N467" i="12"/>
  <c r="Q189" i="57"/>
  <c r="N387" i="12"/>
  <c r="Q238" i="57"/>
  <c r="N436" i="12"/>
  <c r="Q84" i="57"/>
  <c r="N302" i="12"/>
  <c r="Q49" i="57"/>
  <c r="N267" i="12"/>
  <c r="Q33" i="57"/>
  <c r="N256" i="12"/>
  <c r="Q304" i="57"/>
  <c r="N502" i="12"/>
  <c r="Q88" i="57"/>
  <c r="N216" i="12"/>
  <c r="Q124" i="57"/>
  <c r="N332" i="12"/>
  <c r="Q258" i="57"/>
  <c r="N456" i="12"/>
  <c r="Q291" i="57"/>
  <c r="N489" i="12"/>
  <c r="Q313" i="57"/>
  <c r="N511" i="12"/>
  <c r="Q299" i="57"/>
  <c r="N497" i="12"/>
  <c r="Q83" i="57"/>
  <c r="N301" i="12"/>
  <c r="Q253" i="57"/>
  <c r="N451" i="12"/>
  <c r="Q168" i="57"/>
  <c r="N219" i="12"/>
  <c r="Q147" i="57"/>
  <c r="N223" i="12"/>
  <c r="Q297" i="57"/>
  <c r="N495" i="12"/>
  <c r="Q145" i="57"/>
  <c r="N353" i="12"/>
  <c r="Q175" i="57"/>
  <c r="N373" i="12"/>
  <c r="Q311" i="57"/>
  <c r="N509" i="12"/>
  <c r="Q102" i="57"/>
  <c r="N315" i="12"/>
  <c r="Q92" i="57"/>
  <c r="N305" i="12"/>
  <c r="Q317" i="57"/>
  <c r="N515" i="12"/>
  <c r="Q117" i="57"/>
  <c r="N325" i="12"/>
  <c r="Q154" i="57"/>
  <c r="N357" i="12"/>
  <c r="Q214" i="57"/>
  <c r="N412" i="12"/>
  <c r="Q150" i="57"/>
  <c r="N226" i="12"/>
  <c r="Q101" i="57"/>
  <c r="N314" i="12"/>
  <c r="Q194" i="57"/>
  <c r="N392" i="12"/>
  <c r="Q151" i="57"/>
  <c r="N227" i="12"/>
  <c r="Q165" i="57"/>
  <c r="N368" i="12"/>
  <c r="Q85" i="57"/>
  <c r="N213" i="12"/>
  <c r="Q279" i="57"/>
  <c r="N477" i="12"/>
  <c r="Q54" i="57"/>
  <c r="N272" i="12"/>
  <c r="Q308" i="57"/>
  <c r="N506" i="12"/>
  <c r="Q273" i="57"/>
  <c r="N471" i="12"/>
  <c r="Q66" i="57"/>
  <c r="N284" i="12"/>
  <c r="Q44" i="57"/>
  <c r="N199" i="12"/>
  <c r="Q31" i="57"/>
  <c r="N254" i="12"/>
  <c r="Q181" i="57"/>
  <c r="N379" i="12"/>
  <c r="Q97" i="57"/>
  <c r="N310" i="12"/>
  <c r="Q242" i="57"/>
  <c r="N440" i="12"/>
  <c r="Q60" i="57"/>
  <c r="N278" i="12"/>
  <c r="Q247" i="57"/>
  <c r="N445" i="12"/>
  <c r="Q184" i="57"/>
  <c r="N382" i="12"/>
  <c r="Q298" i="57"/>
  <c r="N496" i="12"/>
  <c r="Q142" i="57"/>
  <c r="N350" i="12"/>
  <c r="Q174" i="57"/>
  <c r="N372" i="12"/>
  <c r="Q171" i="57"/>
  <c r="N222" i="12"/>
  <c r="Q37" i="57"/>
  <c r="N260" i="12"/>
  <c r="Q61" i="57"/>
  <c r="N279" i="12"/>
  <c r="Q80" i="57"/>
  <c r="N298" i="12"/>
  <c r="Q249" i="57"/>
  <c r="N447" i="12"/>
  <c r="Q169" i="57"/>
  <c r="N220" i="12"/>
  <c r="Q46" i="57"/>
  <c r="N201" i="12"/>
  <c r="Q195" i="57"/>
  <c r="N393" i="12"/>
  <c r="Q148" i="57"/>
  <c r="N224" i="12"/>
  <c r="Q114" i="57"/>
  <c r="N322" i="12"/>
  <c r="Q155" i="57"/>
  <c r="N358" i="12"/>
  <c r="Q294" i="57"/>
  <c r="N492" i="12"/>
  <c r="Q163" i="57"/>
  <c r="N366" i="12"/>
  <c r="Q51" i="57"/>
  <c r="N269" i="12"/>
  <c r="Q70" i="57"/>
  <c r="N288" i="12"/>
  <c r="Q177" i="57"/>
  <c r="N375" i="12"/>
  <c r="Q95" i="57"/>
  <c r="N308" i="12"/>
  <c r="Q26" i="57"/>
  <c r="N206" i="12"/>
  <c r="Q224" i="57"/>
  <c r="N422" i="12"/>
  <c r="Q287" i="57"/>
  <c r="N485" i="12"/>
  <c r="Q146" i="57"/>
  <c r="N354" i="12"/>
  <c r="Q96" i="57"/>
  <c r="N309" i="12"/>
  <c r="Q257" i="57"/>
  <c r="N455" i="12"/>
  <c r="Q243" i="57"/>
  <c r="N441" i="12"/>
  <c r="R39" i="23"/>
  <c r="R34" i="23"/>
  <c r="R44" i="23"/>
  <c r="R53" i="23"/>
  <c r="R244" i="23"/>
  <c r="R247" i="23"/>
  <c r="R245" i="23"/>
  <c r="R282" i="23"/>
  <c r="R305" i="23"/>
  <c r="R115" i="23"/>
  <c r="R174" i="23"/>
  <c r="R80" i="23"/>
  <c r="R289" i="23"/>
  <c r="R167" i="23"/>
  <c r="R303" i="23"/>
  <c r="R299" i="23"/>
  <c r="R103" i="23"/>
  <c r="R116" i="23"/>
  <c r="R294" i="23"/>
  <c r="R172" i="23"/>
  <c r="R177" i="23"/>
  <c r="R180" i="23"/>
  <c r="R241" i="23"/>
  <c r="R240" i="23"/>
  <c r="R236" i="23"/>
  <c r="R235" i="23"/>
  <c r="R298" i="23"/>
  <c r="R102" i="23"/>
  <c r="R293" i="23"/>
  <c r="R112" i="23"/>
  <c r="R142" i="23"/>
  <c r="R290" i="23"/>
  <c r="R171" i="23"/>
  <c r="R224" i="23"/>
  <c r="R179" i="23"/>
  <c r="R166" i="23"/>
  <c r="R117" i="23"/>
  <c r="R110" i="23"/>
  <c r="R114" i="23"/>
  <c r="R82" i="23"/>
  <c r="R288" i="23"/>
  <c r="R226" i="23"/>
  <c r="R246" i="23"/>
  <c r="R283" i="23"/>
  <c r="R301" i="23"/>
  <c r="R304" i="23"/>
  <c r="R297" i="23"/>
  <c r="R164" i="23"/>
  <c r="R163" i="23"/>
  <c r="R201" i="23"/>
  <c r="R200" i="23"/>
  <c r="R214" i="23"/>
  <c r="R218" i="23"/>
  <c r="R217" i="23"/>
  <c r="R58" i="23"/>
  <c r="R101" i="23"/>
  <c r="R119" i="23"/>
  <c r="R118" i="23"/>
  <c r="R292" i="23"/>
  <c r="R306" i="23"/>
  <c r="R310" i="23"/>
  <c r="R309" i="23"/>
  <c r="R173" i="23"/>
  <c r="R187" i="23"/>
  <c r="R191" i="23"/>
  <c r="R190" i="23"/>
  <c r="R49" i="23"/>
  <c r="R130" i="23"/>
  <c r="R134" i="23"/>
  <c r="R133" i="23"/>
  <c r="R159" i="23"/>
  <c r="R158" i="23"/>
  <c r="R90" i="23"/>
  <c r="R94" i="23"/>
  <c r="R93" i="23"/>
  <c r="R251" i="23"/>
  <c r="R250" i="23"/>
  <c r="R254" i="23"/>
  <c r="R258" i="23"/>
  <c r="R257" i="23"/>
  <c r="R111" i="23"/>
  <c r="R125" i="23"/>
  <c r="R129" i="23"/>
  <c r="R128" i="23"/>
  <c r="R278" i="23"/>
  <c r="R277" i="23"/>
  <c r="R146" i="23"/>
  <c r="R145" i="23"/>
  <c r="R194" i="23"/>
  <c r="R193" i="23"/>
  <c r="R84" i="23"/>
  <c r="R83" i="23"/>
  <c r="R97" i="23"/>
  <c r="R96" i="23"/>
  <c r="R28" i="23"/>
  <c r="R182" i="23"/>
  <c r="R186" i="23"/>
  <c r="R185" i="23"/>
  <c r="R286" i="23"/>
  <c r="R120" i="23"/>
  <c r="R124" i="23"/>
  <c r="R123" i="23"/>
  <c r="R273" i="23"/>
  <c r="R272" i="23"/>
  <c r="R85" i="23"/>
  <c r="R89" i="23"/>
  <c r="R88" i="23"/>
  <c r="R33" i="23"/>
  <c r="R268" i="23"/>
  <c r="R267" i="23"/>
  <c r="R77" i="23"/>
  <c r="R76" i="23"/>
  <c r="R313" i="23"/>
  <c r="R312" i="23"/>
  <c r="R316" i="23"/>
  <c r="R320" i="23"/>
  <c r="R318" i="23"/>
  <c r="R147" i="23"/>
  <c r="R151" i="23"/>
  <c r="R150" i="23"/>
  <c r="R38" i="23"/>
  <c r="R152" i="23"/>
  <c r="R156" i="23"/>
  <c r="R155" i="23"/>
  <c r="R170" i="23"/>
  <c r="R211" i="23"/>
  <c r="R210" i="23"/>
  <c r="R228" i="23"/>
  <c r="R227" i="23"/>
  <c r="R178" i="23"/>
  <c r="R239" i="23"/>
  <c r="R243" i="23"/>
  <c r="R242" i="23"/>
  <c r="R219" i="23"/>
  <c r="R223" i="23"/>
  <c r="R222" i="23"/>
  <c r="R234" i="23"/>
  <c r="R238" i="23"/>
  <c r="R237" i="23"/>
  <c r="R281" i="23"/>
  <c r="R285" i="23"/>
  <c r="R284" i="23"/>
  <c r="R162" i="23"/>
  <c r="R165" i="23"/>
  <c r="R199" i="23"/>
  <c r="R203" i="23"/>
  <c r="R202" i="23"/>
  <c r="R216" i="23"/>
  <c r="R215" i="23"/>
  <c r="R54" i="23"/>
  <c r="R92" i="23"/>
  <c r="R91" i="23"/>
  <c r="R249" i="23"/>
  <c r="R253" i="23"/>
  <c r="R252" i="23"/>
  <c r="R256" i="23"/>
  <c r="R255" i="23"/>
  <c r="R113" i="23"/>
  <c r="R127" i="23"/>
  <c r="R126" i="23"/>
  <c r="R192" i="23"/>
  <c r="R196" i="23"/>
  <c r="R195" i="23"/>
  <c r="R81" i="23"/>
  <c r="R95" i="23"/>
  <c r="R99" i="23"/>
  <c r="R98" i="23"/>
  <c r="R29" i="23"/>
  <c r="R184" i="23"/>
  <c r="R183" i="23"/>
  <c r="R287" i="23"/>
  <c r="R122" i="23"/>
  <c r="R121" i="23"/>
  <c r="R271" i="23"/>
  <c r="R275" i="23"/>
  <c r="R274" i="23"/>
  <c r="R266" i="23"/>
  <c r="R270" i="23"/>
  <c r="R269" i="23"/>
  <c r="R154" i="23"/>
  <c r="R153" i="23"/>
  <c r="R169" i="23"/>
  <c r="R168" i="23"/>
  <c r="R213" i="23"/>
  <c r="R212" i="23"/>
  <c r="R225" i="23"/>
  <c r="R248" i="23"/>
  <c r="R296" i="23"/>
  <c r="R300" i="23"/>
  <c r="R100" i="23"/>
  <c r="R43" i="23"/>
  <c r="R308" i="23"/>
  <c r="R176" i="23"/>
  <c r="R188" i="23"/>
  <c r="R132" i="23"/>
  <c r="R161" i="23"/>
  <c r="R276" i="23"/>
  <c r="R279" i="23"/>
  <c r="R143" i="23"/>
  <c r="R86" i="23"/>
  <c r="R79" i="23"/>
  <c r="R311" i="23"/>
  <c r="R314" i="23"/>
  <c r="R317" i="23"/>
  <c r="R148" i="23"/>
  <c r="R221" i="23"/>
  <c r="R209" i="23"/>
  <c r="R220" i="23"/>
  <c r="R302" i="23"/>
  <c r="R59" i="23"/>
  <c r="R104" i="23"/>
  <c r="R291" i="23"/>
  <c r="R295" i="23"/>
  <c r="R307" i="23"/>
  <c r="R175" i="23"/>
  <c r="R189" i="23"/>
  <c r="R48" i="23"/>
  <c r="R131" i="23"/>
  <c r="R157" i="23"/>
  <c r="R160" i="23"/>
  <c r="R280" i="23"/>
  <c r="R144" i="23"/>
  <c r="R87" i="23"/>
  <c r="R75" i="23"/>
  <c r="R78" i="23"/>
  <c r="R315" i="23"/>
  <c r="R319" i="23"/>
  <c r="R149" i="23"/>
  <c r="R181" i="23"/>
  <c r="F24" i="23"/>
  <c r="G19" i="23"/>
  <c r="E19" i="23" s="1"/>
  <c r="K14" i="23"/>
  <c r="K16" i="23"/>
  <c r="K15" i="23"/>
  <c r="K17" i="23"/>
  <c r="K22" i="23"/>
  <c r="K21" i="23"/>
  <c r="K20" i="23"/>
  <c r="K19" i="23"/>
  <c r="H22" i="23"/>
  <c r="H21" i="23"/>
  <c r="H20" i="23"/>
  <c r="H19" i="23"/>
  <c r="AE18" i="23"/>
  <c r="AA22" i="23"/>
  <c r="AA21" i="23"/>
  <c r="AA20" i="23"/>
  <c r="AA19" i="23"/>
  <c r="AE19" i="23" s="1"/>
  <c r="AI19" i="23" s="1"/>
  <c r="AD18" i="23"/>
  <c r="Z22" i="23"/>
  <c r="Z21" i="23"/>
  <c r="Z20" i="23"/>
  <c r="Z19" i="23"/>
  <c r="AD19" i="23" s="1"/>
  <c r="AH19" i="23" s="1"/>
  <c r="AC13" i="23"/>
  <c r="Y14" i="23"/>
  <c r="AC14" i="23" s="1"/>
  <c r="AG14" i="23" s="1"/>
  <c r="Y16" i="23"/>
  <c r="Y15" i="23"/>
  <c r="Y17" i="23"/>
  <c r="AB13" i="23"/>
  <c r="X14" i="23"/>
  <c r="AB14" i="23" s="1"/>
  <c r="AF14" i="23" s="1"/>
  <c r="X17" i="23"/>
  <c r="X15" i="23"/>
  <c r="X16" i="23"/>
  <c r="I14" i="23"/>
  <c r="I16" i="23"/>
  <c r="I15" i="23"/>
  <c r="I17" i="23"/>
  <c r="J15" i="23"/>
  <c r="J17" i="23"/>
  <c r="J14" i="23"/>
  <c r="J16" i="23"/>
  <c r="J22" i="23"/>
  <c r="J21" i="23"/>
  <c r="J20" i="23"/>
  <c r="J19" i="23"/>
  <c r="H15" i="23"/>
  <c r="H17" i="23"/>
  <c r="H14" i="23"/>
  <c r="H16" i="23"/>
  <c r="AE13" i="23"/>
  <c r="AA14" i="23"/>
  <c r="AE14" i="23" s="1"/>
  <c r="AI14" i="23" s="1"/>
  <c r="AA16" i="23"/>
  <c r="AA15" i="23"/>
  <c r="AA17" i="23"/>
  <c r="AC18" i="23"/>
  <c r="Y22" i="23"/>
  <c r="Y21" i="23"/>
  <c r="Y20" i="23"/>
  <c r="Y19" i="23"/>
  <c r="AC19" i="23" s="1"/>
  <c r="AG19" i="23" s="1"/>
  <c r="AD13" i="23"/>
  <c r="Z14" i="23"/>
  <c r="AD14" i="23" s="1"/>
  <c r="AH14" i="23" s="1"/>
  <c r="Z15" i="23"/>
  <c r="Z17" i="23"/>
  <c r="Z16" i="23"/>
  <c r="AB18" i="23"/>
  <c r="X22" i="23"/>
  <c r="X21" i="23"/>
  <c r="X20" i="23"/>
  <c r="X19" i="23"/>
  <c r="AB19" i="23" s="1"/>
  <c r="AF19" i="23" s="1"/>
  <c r="I22" i="23"/>
  <c r="I21" i="23"/>
  <c r="I20" i="23"/>
  <c r="I19" i="23"/>
  <c r="L18" i="23"/>
  <c r="M18" i="23"/>
  <c r="E24" i="23"/>
  <c r="C205" i="11" s="1"/>
  <c r="L13" i="23"/>
  <c r="A26" i="23"/>
  <c r="B25" i="23"/>
  <c r="G25" i="23"/>
  <c r="F25" i="23"/>
  <c r="M13" i="23"/>
  <c r="N13" i="23" s="1"/>
  <c r="O13" i="23" s="1"/>
  <c r="P13" i="23" s="1"/>
  <c r="Q13" i="23" s="1"/>
  <c r="R13" i="23" s="1"/>
  <c r="S13" i="23" s="1"/>
  <c r="T13" i="23" s="1"/>
  <c r="U13" i="23" s="1"/>
  <c r="V13" i="23" s="1"/>
  <c r="D200" i="11"/>
  <c r="B24" i="23"/>
  <c r="M24" i="23" s="1"/>
  <c r="A20" i="23"/>
  <c r="D205" i="11"/>
  <c r="R243" i="57" l="1"/>
  <c r="O441" i="12"/>
  <c r="R96" i="57"/>
  <c r="O309" i="12"/>
  <c r="R287" i="57"/>
  <c r="O485" i="12"/>
  <c r="R26" i="57"/>
  <c r="O206" i="12"/>
  <c r="R177" i="57"/>
  <c r="O375" i="12"/>
  <c r="R51" i="57"/>
  <c r="O269" i="12"/>
  <c r="R294" i="57"/>
  <c r="O492" i="12"/>
  <c r="R114" i="57"/>
  <c r="O322" i="12"/>
  <c r="R195" i="57"/>
  <c r="O393" i="12"/>
  <c r="R169" i="57"/>
  <c r="O220" i="12"/>
  <c r="R80" i="57"/>
  <c r="O298" i="12"/>
  <c r="R37" i="57"/>
  <c r="O260" i="12"/>
  <c r="R174" i="57"/>
  <c r="O372" i="12"/>
  <c r="R298" i="57"/>
  <c r="O496" i="12"/>
  <c r="R247" i="57"/>
  <c r="O445" i="12"/>
  <c r="R242" i="57"/>
  <c r="O440" i="12"/>
  <c r="R181" i="57"/>
  <c r="O379" i="12"/>
  <c r="R44" i="57"/>
  <c r="O199" i="12"/>
  <c r="R273" i="57"/>
  <c r="O471" i="12"/>
  <c r="R54" i="57"/>
  <c r="O272" i="12"/>
  <c r="R85" i="57"/>
  <c r="O213" i="12"/>
  <c r="R151" i="57"/>
  <c r="O227" i="12"/>
  <c r="R101" i="57"/>
  <c r="O314" i="12"/>
  <c r="R214" i="57"/>
  <c r="O412" i="12"/>
  <c r="R117" i="57"/>
  <c r="O325" i="12"/>
  <c r="R92" i="57"/>
  <c r="O305" i="12"/>
  <c r="R311" i="57"/>
  <c r="O509" i="12"/>
  <c r="R145" i="57"/>
  <c r="O353" i="12"/>
  <c r="R147" i="57"/>
  <c r="O223" i="12"/>
  <c r="R253" i="57"/>
  <c r="O451" i="12"/>
  <c r="R299" i="57"/>
  <c r="O497" i="12"/>
  <c r="R291" i="57"/>
  <c r="O489" i="12"/>
  <c r="R124" i="57"/>
  <c r="O332" i="12"/>
  <c r="R304" i="57"/>
  <c r="O502" i="12"/>
  <c r="R49" i="57"/>
  <c r="O267" i="12"/>
  <c r="R238" i="57"/>
  <c r="O436" i="12"/>
  <c r="R269" i="57"/>
  <c r="O467" i="12"/>
  <c r="R210" i="57"/>
  <c r="O408" i="12"/>
  <c r="R47" i="57"/>
  <c r="O202" i="12"/>
  <c r="R43" i="57"/>
  <c r="O198" i="12"/>
  <c r="R99" i="57"/>
  <c r="O312" i="12"/>
  <c r="R71" i="57"/>
  <c r="O289" i="12"/>
  <c r="R226" i="57"/>
  <c r="O424" i="12"/>
  <c r="R248" i="57"/>
  <c r="O446" i="12"/>
  <c r="R283" i="57"/>
  <c r="O481" i="12"/>
  <c r="R250" i="57"/>
  <c r="O448" i="12"/>
  <c r="R58" i="57"/>
  <c r="O276" i="12"/>
  <c r="R216" i="57"/>
  <c r="O414" i="12"/>
  <c r="R251" i="57"/>
  <c r="O449" i="12"/>
  <c r="R303" i="57"/>
  <c r="O501" i="12"/>
  <c r="R187" i="57"/>
  <c r="O385" i="12"/>
  <c r="R143" i="57"/>
  <c r="O351" i="12"/>
  <c r="R319" i="57"/>
  <c r="O517" i="12"/>
  <c r="R156" i="57"/>
  <c r="O359" i="12"/>
  <c r="R179" i="57"/>
  <c r="O377" i="12"/>
  <c r="R188" i="57"/>
  <c r="O386" i="12"/>
  <c r="R21" i="57"/>
  <c r="O249" i="12"/>
  <c r="R112" i="57"/>
  <c r="O320" i="12"/>
  <c r="R30" i="57"/>
  <c r="O253" i="12"/>
  <c r="R225" i="57"/>
  <c r="O423" i="12"/>
  <c r="R38" i="57"/>
  <c r="O261" i="12"/>
  <c r="R119" i="57"/>
  <c r="O327" i="12"/>
  <c r="R278" i="57"/>
  <c r="O476" i="12"/>
  <c r="R309" i="57"/>
  <c r="O507" i="12"/>
  <c r="R218" i="57"/>
  <c r="O416" i="12"/>
  <c r="R234" i="57"/>
  <c r="O432" i="12"/>
  <c r="R282" i="57"/>
  <c r="O480" i="12"/>
  <c r="R191" i="57"/>
  <c r="O389" i="12"/>
  <c r="R236" i="57"/>
  <c r="O434" i="12"/>
  <c r="R310" i="57"/>
  <c r="O508" i="12"/>
  <c r="R172" i="57"/>
  <c r="O370" i="12"/>
  <c r="R164" i="57"/>
  <c r="O367" i="12"/>
  <c r="R91" i="57"/>
  <c r="O304" i="12"/>
  <c r="R94" i="57"/>
  <c r="O307" i="12"/>
  <c r="R65" i="57"/>
  <c r="O283" i="12"/>
  <c r="R34" i="57"/>
  <c r="O257" i="12"/>
  <c r="R22" i="57"/>
  <c r="O250" i="12"/>
  <c r="R215" i="57"/>
  <c r="O413" i="12"/>
  <c r="R63" i="57"/>
  <c r="O281" i="12"/>
  <c r="R183" i="57"/>
  <c r="O381" i="12"/>
  <c r="R160" i="57"/>
  <c r="O363" i="12"/>
  <c r="R176" i="57"/>
  <c r="O374" i="12"/>
  <c r="R312" i="57"/>
  <c r="O510" i="12"/>
  <c r="R166" i="57"/>
  <c r="O369" i="12"/>
  <c r="R134" i="57"/>
  <c r="O342" i="12"/>
  <c r="R78" i="57"/>
  <c r="O296" i="12"/>
  <c r="R113" i="57"/>
  <c r="O321" i="12"/>
  <c r="R239" i="57"/>
  <c r="O437" i="12"/>
  <c r="R284" i="57"/>
  <c r="O482" i="12"/>
  <c r="R131" i="57"/>
  <c r="O339" i="12"/>
  <c r="R132" i="57"/>
  <c r="O340" i="12"/>
  <c r="R286" i="57"/>
  <c r="O484" i="12"/>
  <c r="R68" i="57"/>
  <c r="O286" i="12"/>
  <c r="R223" i="57"/>
  <c r="O421" i="12"/>
  <c r="R244" i="57"/>
  <c r="O442" i="12"/>
  <c r="R89" i="57"/>
  <c r="O217" i="12"/>
  <c r="R122" i="57"/>
  <c r="O330" i="12"/>
  <c r="R256" i="57"/>
  <c r="O454" i="12"/>
  <c r="R186" i="57"/>
  <c r="O384" i="12"/>
  <c r="R59" i="57"/>
  <c r="O277" i="12"/>
  <c r="R110" i="57"/>
  <c r="O318" i="12"/>
  <c r="R192" i="57"/>
  <c r="O390" i="12"/>
  <c r="R62" i="57"/>
  <c r="O280" i="12"/>
  <c r="R185" i="57"/>
  <c r="O383" i="12"/>
  <c r="R281" i="57"/>
  <c r="O479" i="12"/>
  <c r="R130" i="57"/>
  <c r="O338" i="12"/>
  <c r="R28" i="57"/>
  <c r="O251" i="12"/>
  <c r="R270" i="57"/>
  <c r="O468" i="12"/>
  <c r="R77" i="57"/>
  <c r="O295" i="12"/>
  <c r="R199" i="57"/>
  <c r="O397" i="12"/>
  <c r="R173" i="57"/>
  <c r="O371" i="12"/>
  <c r="R267" i="57"/>
  <c r="O465" i="12"/>
  <c r="R275" i="57"/>
  <c r="O473" i="12"/>
  <c r="R254" i="57"/>
  <c r="O452" i="12"/>
  <c r="R277" i="57"/>
  <c r="O475" i="12"/>
  <c r="R300" i="57"/>
  <c r="O498" i="12"/>
  <c r="R115" i="57"/>
  <c r="O323" i="12"/>
  <c r="R93" i="57"/>
  <c r="O306" i="12"/>
  <c r="R45" i="57"/>
  <c r="O200" i="12"/>
  <c r="R25" i="57"/>
  <c r="O205" i="12"/>
  <c r="R40" i="57"/>
  <c r="O263" i="12"/>
  <c r="R305" i="57"/>
  <c r="O503" i="12"/>
  <c r="R55" i="57"/>
  <c r="O273" i="12"/>
  <c r="R193" i="57"/>
  <c r="O391" i="12"/>
  <c r="R87" i="57"/>
  <c r="O215" i="12"/>
  <c r="R79" i="57"/>
  <c r="O297" i="12"/>
  <c r="R202" i="57"/>
  <c r="O400" i="12"/>
  <c r="R295" i="57"/>
  <c r="O493" i="12"/>
  <c r="R23" i="57"/>
  <c r="O203" i="12"/>
  <c r="R315" i="57"/>
  <c r="O513" i="12"/>
  <c r="R129" i="57"/>
  <c r="O337" i="12"/>
  <c r="R252" i="57"/>
  <c r="O450" i="12"/>
  <c r="R167" i="57"/>
  <c r="O218" i="12"/>
  <c r="R118" i="57"/>
  <c r="O326" i="12"/>
  <c r="R53" i="57"/>
  <c r="O271" i="12"/>
  <c r="R257" i="57"/>
  <c r="O455" i="12"/>
  <c r="R146" i="57"/>
  <c r="O354" i="12"/>
  <c r="R224" i="57"/>
  <c r="O422" i="12"/>
  <c r="R95" i="57"/>
  <c r="O308" i="12"/>
  <c r="R70" i="57"/>
  <c r="O288" i="12"/>
  <c r="R163" i="57"/>
  <c r="O366" i="12"/>
  <c r="R155" i="57"/>
  <c r="O358" i="12"/>
  <c r="R148" i="57"/>
  <c r="O224" i="12"/>
  <c r="R46" i="57"/>
  <c r="O201" i="12"/>
  <c r="R249" i="57"/>
  <c r="O447" i="12"/>
  <c r="R61" i="57"/>
  <c r="O279" i="12"/>
  <c r="R171" i="57"/>
  <c r="O222" i="12"/>
  <c r="R142" i="57"/>
  <c r="O350" i="12"/>
  <c r="R184" i="57"/>
  <c r="O382" i="12"/>
  <c r="R60" i="57"/>
  <c r="O278" i="12"/>
  <c r="R97" i="57"/>
  <c r="O310" i="12"/>
  <c r="R31" i="57"/>
  <c r="O254" i="12"/>
  <c r="R66" i="57"/>
  <c r="O284" i="12"/>
  <c r="R308" i="57"/>
  <c r="O506" i="12"/>
  <c r="R279" i="57"/>
  <c r="O477" i="12"/>
  <c r="R165" i="57"/>
  <c r="O368" i="12"/>
  <c r="R194" i="57"/>
  <c r="O392" i="12"/>
  <c r="R150" i="57"/>
  <c r="O226" i="12"/>
  <c r="R154" i="57"/>
  <c r="O357" i="12"/>
  <c r="R317" i="57"/>
  <c r="O515" i="12"/>
  <c r="R102" i="57"/>
  <c r="O315" i="12"/>
  <c r="R175" i="57"/>
  <c r="O373" i="12"/>
  <c r="R297" i="57"/>
  <c r="O495" i="12"/>
  <c r="R168" i="57"/>
  <c r="O219" i="12"/>
  <c r="R83" i="57"/>
  <c r="O301" i="12"/>
  <c r="R313" i="57"/>
  <c r="O511" i="12"/>
  <c r="R258" i="57"/>
  <c r="O456" i="12"/>
  <c r="R88" i="57"/>
  <c r="O216" i="12"/>
  <c r="R33" i="57"/>
  <c r="O256" i="12"/>
  <c r="R84" i="57"/>
  <c r="O302" i="12"/>
  <c r="R189" i="57"/>
  <c r="O387" i="12"/>
  <c r="R116" i="57"/>
  <c r="O324" i="12"/>
  <c r="R32" i="57"/>
  <c r="O255" i="12"/>
  <c r="R153" i="57"/>
  <c r="O356" i="12"/>
  <c r="R241" i="57"/>
  <c r="O439" i="12"/>
  <c r="R212" i="57"/>
  <c r="O410" i="12"/>
  <c r="R52" i="57"/>
  <c r="O270" i="12"/>
  <c r="R276" i="57"/>
  <c r="O474" i="12"/>
  <c r="R159" i="57"/>
  <c r="O362" i="12"/>
  <c r="R227" i="57"/>
  <c r="O425" i="12"/>
  <c r="R82" i="57"/>
  <c r="O300" i="12"/>
  <c r="R274" i="57"/>
  <c r="O472" i="12"/>
  <c r="R158" i="57"/>
  <c r="O361" i="12"/>
  <c r="R64" i="57"/>
  <c r="O282" i="12"/>
  <c r="R36" i="57"/>
  <c r="O259" i="12"/>
  <c r="R301" i="57"/>
  <c r="O499" i="12"/>
  <c r="R296" i="57"/>
  <c r="O494" i="12"/>
  <c r="R121" i="57"/>
  <c r="O329" i="12"/>
  <c r="R111" i="57"/>
  <c r="O319" i="12"/>
  <c r="R29" i="57"/>
  <c r="O252" i="12"/>
  <c r="R98" i="57"/>
  <c r="O311" i="12"/>
  <c r="R27" i="57"/>
  <c r="O207" i="12"/>
  <c r="R211" i="57"/>
  <c r="O409" i="12"/>
  <c r="R190" i="57"/>
  <c r="O388" i="12"/>
  <c r="R280" i="57"/>
  <c r="O478" i="12"/>
  <c r="R306" i="57"/>
  <c r="O504" i="12"/>
  <c r="R220" i="57"/>
  <c r="O418" i="12"/>
  <c r="R42" i="57"/>
  <c r="O265" i="12"/>
  <c r="R120" i="57"/>
  <c r="O328" i="12"/>
  <c r="R307" i="57"/>
  <c r="O505" i="12"/>
  <c r="R290" i="57"/>
  <c r="O488" i="12"/>
  <c r="R72" i="57"/>
  <c r="O290" i="12"/>
  <c r="R178" i="57"/>
  <c r="O376" i="12"/>
  <c r="R57" i="57"/>
  <c r="O275" i="12"/>
  <c r="R196" i="57"/>
  <c r="O394" i="12"/>
  <c r="R86" i="57"/>
  <c r="O214" i="12"/>
  <c r="R316" i="57"/>
  <c r="O514" i="12"/>
  <c r="R104" i="57"/>
  <c r="O317" i="12"/>
  <c r="R237" i="57"/>
  <c r="O435" i="12"/>
  <c r="R285" i="57"/>
  <c r="O483" i="12"/>
  <c r="R133" i="57"/>
  <c r="O341" i="12"/>
  <c r="R123" i="57"/>
  <c r="O331" i="12"/>
  <c r="R255" i="57"/>
  <c r="O453" i="12"/>
  <c r="R221" i="57"/>
  <c r="O419" i="12"/>
  <c r="R245" i="57"/>
  <c r="O443" i="12"/>
  <c r="R314" i="57"/>
  <c r="O512" i="12"/>
  <c r="R125" i="57"/>
  <c r="O333" i="12"/>
  <c r="R266" i="57"/>
  <c r="O464" i="12"/>
  <c r="R75" i="57"/>
  <c r="O293" i="12"/>
  <c r="R19" i="57"/>
  <c r="O247" i="12"/>
  <c r="R128" i="57"/>
  <c r="O336" i="12"/>
  <c r="R222" i="57"/>
  <c r="O420" i="12"/>
  <c r="R288" i="57"/>
  <c r="O486" i="12"/>
  <c r="R35" i="57"/>
  <c r="O258" i="12"/>
  <c r="R235" i="57"/>
  <c r="O433" i="12"/>
  <c r="R240" i="57"/>
  <c r="O438" i="12"/>
  <c r="R180" i="57"/>
  <c r="O378" i="12"/>
  <c r="R48" i="57"/>
  <c r="O266" i="12"/>
  <c r="R182" i="57"/>
  <c r="O380" i="12"/>
  <c r="R157" i="57"/>
  <c r="O360" i="12"/>
  <c r="R200" i="57"/>
  <c r="O398" i="12"/>
  <c r="R217" i="57"/>
  <c r="O415" i="12"/>
  <c r="R219" i="57"/>
  <c r="O417" i="12"/>
  <c r="R41" i="57"/>
  <c r="O264" i="12"/>
  <c r="R24" i="57"/>
  <c r="O204" i="12"/>
  <c r="R209" i="57"/>
  <c r="O407" i="12"/>
  <c r="R103" i="57"/>
  <c r="O316" i="12"/>
  <c r="R213" i="57"/>
  <c r="O411" i="12"/>
  <c r="R289" i="57"/>
  <c r="O487" i="12"/>
  <c r="R76" i="57"/>
  <c r="O294" i="12"/>
  <c r="R18" i="57"/>
  <c r="O246" i="12"/>
  <c r="R246" i="57"/>
  <c r="O444" i="12"/>
  <c r="R162" i="57"/>
  <c r="O365" i="12"/>
  <c r="R90" i="57"/>
  <c r="O303" i="12"/>
  <c r="R271" i="57"/>
  <c r="O469" i="12"/>
  <c r="R126" i="57"/>
  <c r="O334" i="12"/>
  <c r="R50" i="57"/>
  <c r="O268" i="12"/>
  <c r="R292" i="57"/>
  <c r="O490" i="12"/>
  <c r="R228" i="57"/>
  <c r="O426" i="12"/>
  <c r="R81" i="57"/>
  <c r="O299" i="12"/>
  <c r="R152" i="57"/>
  <c r="O355" i="12"/>
  <c r="R149" i="57"/>
  <c r="O225" i="12"/>
  <c r="R203" i="57"/>
  <c r="O401" i="12"/>
  <c r="R161" i="57"/>
  <c r="O364" i="12"/>
  <c r="R100" i="57"/>
  <c r="O313" i="12"/>
  <c r="R67" i="57"/>
  <c r="O285" i="12"/>
  <c r="R320" i="57"/>
  <c r="O518" i="12"/>
  <c r="R201" i="57"/>
  <c r="O399" i="12"/>
  <c r="R39" i="57"/>
  <c r="O262" i="12"/>
  <c r="R302" i="57"/>
  <c r="O500" i="12"/>
  <c r="R56" i="57"/>
  <c r="O274" i="12"/>
  <c r="R272" i="57"/>
  <c r="O470" i="12"/>
  <c r="R127" i="57"/>
  <c r="O335" i="12"/>
  <c r="R69" i="57"/>
  <c r="O287" i="12"/>
  <c r="R293" i="57"/>
  <c r="O491" i="12"/>
  <c r="R170" i="57"/>
  <c r="O221" i="12"/>
  <c r="R144" i="57"/>
  <c r="O352" i="12"/>
  <c r="R268" i="57"/>
  <c r="O466" i="12"/>
  <c r="R318" i="57"/>
  <c r="O516" i="12"/>
  <c r="R20" i="57"/>
  <c r="O248" i="12"/>
  <c r="S59" i="23"/>
  <c r="S226" i="23"/>
  <c r="S288" i="23"/>
  <c r="S82" i="23"/>
  <c r="S114" i="23"/>
  <c r="S110" i="23"/>
  <c r="S166" i="23"/>
  <c r="S179" i="23"/>
  <c r="S224" i="23"/>
  <c r="S171" i="23"/>
  <c r="S290" i="23"/>
  <c r="S142" i="23"/>
  <c r="S112" i="23"/>
  <c r="S293" i="23"/>
  <c r="S102" i="23"/>
  <c r="S298" i="23"/>
  <c r="S235" i="23"/>
  <c r="S236" i="23"/>
  <c r="S240" i="23"/>
  <c r="S241" i="23"/>
  <c r="S180" i="23"/>
  <c r="S177" i="23"/>
  <c r="S172" i="23"/>
  <c r="S294" i="23"/>
  <c r="S116" i="23"/>
  <c r="S103" i="23"/>
  <c r="S299" i="23"/>
  <c r="S303" i="23"/>
  <c r="S53" i="23"/>
  <c r="S44" i="23"/>
  <c r="S34" i="23"/>
  <c r="S181" i="23"/>
  <c r="S149" i="23"/>
  <c r="S319" i="23"/>
  <c r="S315" i="23"/>
  <c r="S78" i="23"/>
  <c r="S75" i="23"/>
  <c r="S87" i="23"/>
  <c r="S144" i="23"/>
  <c r="S280" i="23"/>
  <c r="S160" i="23"/>
  <c r="S157" i="23"/>
  <c r="S131" i="23"/>
  <c r="S48" i="23"/>
  <c r="S189" i="23"/>
  <c r="S175" i="23"/>
  <c r="S307" i="23"/>
  <c r="S295" i="23"/>
  <c r="S291" i="23"/>
  <c r="S104" i="23"/>
  <c r="S302" i="23"/>
  <c r="S220" i="23"/>
  <c r="S209" i="23"/>
  <c r="S221" i="23"/>
  <c r="S148" i="23"/>
  <c r="S317" i="23"/>
  <c r="S314" i="23"/>
  <c r="S311" i="23"/>
  <c r="S79" i="23"/>
  <c r="S86" i="23"/>
  <c r="S143" i="23"/>
  <c r="S279" i="23"/>
  <c r="S276" i="23"/>
  <c r="S161" i="23"/>
  <c r="S132" i="23"/>
  <c r="S188" i="23"/>
  <c r="S176" i="23"/>
  <c r="S308" i="23"/>
  <c r="S43" i="23"/>
  <c r="S100" i="23"/>
  <c r="S300" i="23"/>
  <c r="S296" i="23"/>
  <c r="S248" i="23"/>
  <c r="S225" i="23"/>
  <c r="S212" i="23"/>
  <c r="S213" i="23"/>
  <c r="S168" i="23"/>
  <c r="S169" i="23"/>
  <c r="S153" i="23"/>
  <c r="S154" i="23"/>
  <c r="S269" i="23"/>
  <c r="S270" i="23"/>
  <c r="S266" i="23"/>
  <c r="S274" i="23"/>
  <c r="S275" i="23"/>
  <c r="S271" i="23"/>
  <c r="S121" i="23"/>
  <c r="S122" i="23"/>
  <c r="S287" i="23"/>
  <c r="S183" i="23"/>
  <c r="S184" i="23"/>
  <c r="S29" i="23"/>
  <c r="S98" i="23"/>
  <c r="S99" i="23"/>
  <c r="S95" i="23"/>
  <c r="S81" i="23"/>
  <c r="S195" i="23"/>
  <c r="S196" i="23"/>
  <c r="S192" i="23"/>
  <c r="S126" i="23"/>
  <c r="S127" i="23"/>
  <c r="S113" i="23"/>
  <c r="S255" i="23"/>
  <c r="S256" i="23"/>
  <c r="S252" i="23"/>
  <c r="S253" i="23"/>
  <c r="S249" i="23"/>
  <c r="S91" i="23"/>
  <c r="S92" i="23"/>
  <c r="S54" i="23"/>
  <c r="S215" i="23"/>
  <c r="S216" i="23"/>
  <c r="S202" i="23"/>
  <c r="S203" i="23"/>
  <c r="S199" i="23"/>
  <c r="S165" i="23"/>
  <c r="S162" i="23"/>
  <c r="S284" i="23"/>
  <c r="S285" i="23"/>
  <c r="S281" i="23"/>
  <c r="S237" i="23"/>
  <c r="S238" i="23"/>
  <c r="S234" i="23"/>
  <c r="S222" i="23"/>
  <c r="S223" i="23"/>
  <c r="S219" i="23"/>
  <c r="S242" i="23"/>
  <c r="S243" i="23"/>
  <c r="S239" i="23"/>
  <c r="S178" i="23"/>
  <c r="S227" i="23"/>
  <c r="S228" i="23"/>
  <c r="S210" i="23"/>
  <c r="S211" i="23"/>
  <c r="S170" i="23"/>
  <c r="S155" i="23"/>
  <c r="S156" i="23"/>
  <c r="S152" i="23"/>
  <c r="S38" i="23"/>
  <c r="S150" i="23"/>
  <c r="S151" i="23"/>
  <c r="S147" i="23"/>
  <c r="S318" i="23"/>
  <c r="S320" i="23"/>
  <c r="S316" i="23"/>
  <c r="S312" i="23"/>
  <c r="S313" i="23"/>
  <c r="S76" i="23"/>
  <c r="S77" i="23"/>
  <c r="S267" i="23"/>
  <c r="S268" i="23"/>
  <c r="S33" i="23"/>
  <c r="S88" i="23"/>
  <c r="S89" i="23"/>
  <c r="S85" i="23"/>
  <c r="S272" i="23"/>
  <c r="S273" i="23"/>
  <c r="S123" i="23"/>
  <c r="S124" i="23"/>
  <c r="S120" i="23"/>
  <c r="S286" i="23"/>
  <c r="S185" i="23"/>
  <c r="S186" i="23"/>
  <c r="S182" i="23"/>
  <c r="S28" i="23"/>
  <c r="S96" i="23"/>
  <c r="S97" i="23"/>
  <c r="S83" i="23"/>
  <c r="S84" i="23"/>
  <c r="S193" i="23"/>
  <c r="S194" i="23"/>
  <c r="S145" i="23"/>
  <c r="S146" i="23"/>
  <c r="S277" i="23"/>
  <c r="S278" i="23"/>
  <c r="S128" i="23"/>
  <c r="S129" i="23"/>
  <c r="S125" i="23"/>
  <c r="S111" i="23"/>
  <c r="S257" i="23"/>
  <c r="S258" i="23"/>
  <c r="S254" i="23"/>
  <c r="S250" i="23"/>
  <c r="S251" i="23"/>
  <c r="S93" i="23"/>
  <c r="S94" i="23"/>
  <c r="S90" i="23"/>
  <c r="S158" i="23"/>
  <c r="S159" i="23"/>
  <c r="S133" i="23"/>
  <c r="S134" i="23"/>
  <c r="S130" i="23"/>
  <c r="S49" i="23"/>
  <c r="S190" i="23"/>
  <c r="S191" i="23"/>
  <c r="S187" i="23"/>
  <c r="S173" i="23"/>
  <c r="S309" i="23"/>
  <c r="S310" i="23"/>
  <c r="S306" i="23"/>
  <c r="S292" i="23"/>
  <c r="S118" i="23"/>
  <c r="S119" i="23"/>
  <c r="S101" i="23"/>
  <c r="S58" i="23"/>
  <c r="S217" i="23"/>
  <c r="S218" i="23"/>
  <c r="S214" i="23"/>
  <c r="S200" i="23"/>
  <c r="S201" i="23"/>
  <c r="S163" i="23"/>
  <c r="S164" i="23"/>
  <c r="S297" i="23"/>
  <c r="S304" i="23"/>
  <c r="S301" i="23"/>
  <c r="S283" i="23"/>
  <c r="S246" i="23"/>
  <c r="S117" i="23"/>
  <c r="S167" i="23"/>
  <c r="S289" i="23"/>
  <c r="S80" i="23"/>
  <c r="S174" i="23"/>
  <c r="S115" i="23"/>
  <c r="S305" i="23"/>
  <c r="S282" i="23"/>
  <c r="S245" i="23"/>
  <c r="S247" i="23"/>
  <c r="S244" i="23"/>
  <c r="S39" i="23"/>
  <c r="C200" i="11"/>
  <c r="AB24" i="23"/>
  <c r="AF24" i="23" s="1"/>
  <c r="AC24" i="23"/>
  <c r="AG24" i="23" s="1"/>
  <c r="AD24" i="23"/>
  <c r="AH24" i="23" s="1"/>
  <c r="AE24" i="23"/>
  <c r="AI24" i="23" s="1"/>
  <c r="L25" i="23"/>
  <c r="AC25" i="23"/>
  <c r="AD25" i="23"/>
  <c r="AE25" i="23"/>
  <c r="AB25" i="23"/>
  <c r="L19" i="23"/>
  <c r="L24" i="23"/>
  <c r="M19" i="23"/>
  <c r="N19" i="23" s="1"/>
  <c r="N18" i="23"/>
  <c r="A21" i="23"/>
  <c r="B20" i="23"/>
  <c r="AD20" i="23" s="1"/>
  <c r="F20" i="23"/>
  <c r="G20" i="23"/>
  <c r="M14" i="23"/>
  <c r="N14" i="23" s="1"/>
  <c r="O14" i="23" s="1"/>
  <c r="P14" i="23" s="1"/>
  <c r="Q14" i="23" s="1"/>
  <c r="R14" i="23" s="1"/>
  <c r="S14" i="23" s="1"/>
  <c r="T14" i="23" s="1"/>
  <c r="U14" i="23" s="1"/>
  <c r="V14" i="23" s="1"/>
  <c r="D206" i="11"/>
  <c r="M25" i="23"/>
  <c r="N24" i="23"/>
  <c r="E25" i="23"/>
  <c r="A27" i="23"/>
  <c r="B26" i="23"/>
  <c r="L26" i="23" s="1"/>
  <c r="F26" i="23"/>
  <c r="G26" i="23"/>
  <c r="L14" i="23"/>
  <c r="S20" i="57" l="1"/>
  <c r="P248" i="12"/>
  <c r="S268" i="57"/>
  <c r="P466" i="12"/>
  <c r="S170" i="57"/>
  <c r="P221" i="12"/>
  <c r="S69" i="57"/>
  <c r="P287" i="12"/>
  <c r="S272" i="57"/>
  <c r="P470" i="12"/>
  <c r="S302" i="57"/>
  <c r="P500" i="12"/>
  <c r="S201" i="57"/>
  <c r="P399" i="12"/>
  <c r="S67" i="57"/>
  <c r="P285" i="12"/>
  <c r="S161" i="57"/>
  <c r="P364" i="12"/>
  <c r="S149" i="57"/>
  <c r="P225" i="12"/>
  <c r="S81" i="57"/>
  <c r="P299" i="12"/>
  <c r="S292" i="57"/>
  <c r="P490" i="12"/>
  <c r="S126" i="57"/>
  <c r="P334" i="12"/>
  <c r="S90" i="57"/>
  <c r="P303" i="12"/>
  <c r="S246" i="57"/>
  <c r="P444" i="12"/>
  <c r="S76" i="57"/>
  <c r="P294" i="12"/>
  <c r="S213" i="57"/>
  <c r="P411" i="12"/>
  <c r="S209" i="57"/>
  <c r="P407" i="12"/>
  <c r="S41" i="57"/>
  <c r="P264" i="12"/>
  <c r="S217" i="57"/>
  <c r="P415" i="12"/>
  <c r="S157" i="57"/>
  <c r="P360" i="12"/>
  <c r="S48" i="57"/>
  <c r="P266" i="12"/>
  <c r="S240" i="57"/>
  <c r="P438" i="12"/>
  <c r="S35" i="57"/>
  <c r="P258" i="12"/>
  <c r="S222" i="57"/>
  <c r="P420" i="12"/>
  <c r="S19" i="57"/>
  <c r="P247" i="12"/>
  <c r="S266" i="57"/>
  <c r="P464" i="12"/>
  <c r="S314" i="57"/>
  <c r="P512" i="12"/>
  <c r="S221" i="57"/>
  <c r="P419" i="12"/>
  <c r="S123" i="57"/>
  <c r="P331" i="12"/>
  <c r="S285" i="57"/>
  <c r="P483" i="12"/>
  <c r="S104" i="57"/>
  <c r="P317" i="12"/>
  <c r="S86" i="57"/>
  <c r="P214" i="12"/>
  <c r="S57" i="57"/>
  <c r="P275" i="12"/>
  <c r="S72" i="57"/>
  <c r="P290" i="12"/>
  <c r="S307" i="57"/>
  <c r="P505" i="12"/>
  <c r="S42" i="57"/>
  <c r="P265" i="12"/>
  <c r="S306" i="57"/>
  <c r="P504" i="12"/>
  <c r="S190" i="57"/>
  <c r="P388" i="12"/>
  <c r="S27" i="57"/>
  <c r="P207" i="12"/>
  <c r="S29" i="57"/>
  <c r="P252" i="12"/>
  <c r="S121" i="57"/>
  <c r="P329" i="12"/>
  <c r="S301" i="57"/>
  <c r="P499" i="12"/>
  <c r="S64" i="57"/>
  <c r="P282" i="12"/>
  <c r="S274" i="57"/>
  <c r="P472" i="12"/>
  <c r="S227" i="57"/>
  <c r="P425" i="12"/>
  <c r="S276" i="57"/>
  <c r="P474" i="12"/>
  <c r="S212" i="57"/>
  <c r="P410" i="12"/>
  <c r="S153" i="57"/>
  <c r="P356" i="12"/>
  <c r="S116" i="57"/>
  <c r="P324" i="12"/>
  <c r="S84" i="57"/>
  <c r="P302" i="12"/>
  <c r="S88" i="57"/>
  <c r="P216" i="12"/>
  <c r="S313" i="57"/>
  <c r="P511" i="12"/>
  <c r="S168" i="57"/>
  <c r="P219" i="12"/>
  <c r="S175" i="57"/>
  <c r="P373" i="12"/>
  <c r="S317" i="57"/>
  <c r="P515" i="12"/>
  <c r="S150" i="57"/>
  <c r="P226" i="12"/>
  <c r="S165" i="57"/>
  <c r="P368" i="12"/>
  <c r="S308" i="57"/>
  <c r="P506" i="12"/>
  <c r="S31" i="57"/>
  <c r="P254" i="12"/>
  <c r="S60" i="57"/>
  <c r="P278" i="12"/>
  <c r="S142" i="57"/>
  <c r="P350" i="12"/>
  <c r="S61" i="57"/>
  <c r="P279" i="12"/>
  <c r="S46" i="57"/>
  <c r="P201" i="12"/>
  <c r="S155" i="57"/>
  <c r="P358" i="12"/>
  <c r="S70" i="57"/>
  <c r="P288" i="12"/>
  <c r="S224" i="57"/>
  <c r="P422" i="12"/>
  <c r="S257" i="57"/>
  <c r="P455" i="12"/>
  <c r="S118" i="57"/>
  <c r="P326" i="12"/>
  <c r="S252" i="57"/>
  <c r="P450" i="12"/>
  <c r="S315" i="57"/>
  <c r="P513" i="12"/>
  <c r="S295" i="57"/>
  <c r="P493" i="12"/>
  <c r="S79" i="57"/>
  <c r="P297" i="12"/>
  <c r="S193" i="57"/>
  <c r="P391" i="12"/>
  <c r="S305" i="57"/>
  <c r="P503" i="12"/>
  <c r="S25" i="57"/>
  <c r="P205" i="12"/>
  <c r="S93" i="57"/>
  <c r="P306" i="12"/>
  <c r="S300" i="57"/>
  <c r="P498" i="12"/>
  <c r="S254" i="57"/>
  <c r="P452" i="12"/>
  <c r="S267" i="57"/>
  <c r="P465" i="12"/>
  <c r="S199" i="57"/>
  <c r="P397" i="12"/>
  <c r="S270" i="57"/>
  <c r="P468" i="12"/>
  <c r="S130" i="57"/>
  <c r="P338" i="12"/>
  <c r="S185" i="57"/>
  <c r="P383" i="12"/>
  <c r="S192" i="57"/>
  <c r="P390" i="12"/>
  <c r="S59" i="57"/>
  <c r="P277" i="12"/>
  <c r="S256" i="57"/>
  <c r="P454" i="12"/>
  <c r="S89" i="57"/>
  <c r="P217" i="12"/>
  <c r="S223" i="57"/>
  <c r="P421" i="12"/>
  <c r="S286" i="57"/>
  <c r="P484" i="12"/>
  <c r="S131" i="57"/>
  <c r="P339" i="12"/>
  <c r="S239" i="57"/>
  <c r="P437" i="12"/>
  <c r="S78" i="57"/>
  <c r="P296" i="12"/>
  <c r="S166" i="57"/>
  <c r="P369" i="12"/>
  <c r="S176" i="57"/>
  <c r="P374" i="12"/>
  <c r="S183" i="57"/>
  <c r="P381" i="12"/>
  <c r="S215" i="57"/>
  <c r="P413" i="12"/>
  <c r="S34" i="57"/>
  <c r="P257" i="12"/>
  <c r="S94" i="57"/>
  <c r="P307" i="12"/>
  <c r="S164" i="57"/>
  <c r="P367" i="12"/>
  <c r="S310" i="57"/>
  <c r="P508" i="12"/>
  <c r="S191" i="57"/>
  <c r="P389" i="12"/>
  <c r="S234" i="57"/>
  <c r="P432" i="12"/>
  <c r="S309" i="57"/>
  <c r="P507" i="12"/>
  <c r="S119" i="57"/>
  <c r="P327" i="12"/>
  <c r="S225" i="57"/>
  <c r="P423" i="12"/>
  <c r="S112" i="57"/>
  <c r="P320" i="12"/>
  <c r="S188" i="57"/>
  <c r="P386" i="12"/>
  <c r="S156" i="57"/>
  <c r="P359" i="12"/>
  <c r="S143" i="57"/>
  <c r="P351" i="12"/>
  <c r="S303" i="57"/>
  <c r="P501" i="12"/>
  <c r="S216" i="57"/>
  <c r="P414" i="12"/>
  <c r="S250" i="57"/>
  <c r="P448" i="12"/>
  <c r="S248" i="57"/>
  <c r="P446" i="12"/>
  <c r="S71" i="57"/>
  <c r="P289" i="12"/>
  <c r="S43" i="57"/>
  <c r="P198" i="12"/>
  <c r="S210" i="57"/>
  <c r="P408" i="12"/>
  <c r="S238" i="57"/>
  <c r="P436" i="12"/>
  <c r="S304" i="57"/>
  <c r="P502" i="12"/>
  <c r="S291" i="57"/>
  <c r="P489" i="12"/>
  <c r="S253" i="57"/>
  <c r="P451" i="12"/>
  <c r="S145" i="57"/>
  <c r="P353" i="12"/>
  <c r="S92" i="57"/>
  <c r="P305" i="12"/>
  <c r="S214" i="57"/>
  <c r="P412" i="12"/>
  <c r="S151" i="57"/>
  <c r="P227" i="12"/>
  <c r="S54" i="57"/>
  <c r="P272" i="12"/>
  <c r="S44" i="57"/>
  <c r="P199" i="12"/>
  <c r="S242" i="57"/>
  <c r="P440" i="12"/>
  <c r="S298" i="57"/>
  <c r="P496" i="12"/>
  <c r="S37" i="57"/>
  <c r="P260" i="12"/>
  <c r="S169" i="57"/>
  <c r="P220" i="12"/>
  <c r="S114" i="57"/>
  <c r="P322" i="12"/>
  <c r="S51" i="57"/>
  <c r="P269" i="12"/>
  <c r="S26" i="57"/>
  <c r="P206" i="12"/>
  <c r="S96" i="57"/>
  <c r="P309" i="12"/>
  <c r="S318" i="57"/>
  <c r="P516" i="12"/>
  <c r="S144" i="57"/>
  <c r="P352" i="12"/>
  <c r="S293" i="57"/>
  <c r="P491" i="12"/>
  <c r="S127" i="57"/>
  <c r="P335" i="12"/>
  <c r="S56" i="57"/>
  <c r="P274" i="12"/>
  <c r="S39" i="57"/>
  <c r="P262" i="12"/>
  <c r="S320" i="57"/>
  <c r="P518" i="12"/>
  <c r="S100" i="57"/>
  <c r="P313" i="12"/>
  <c r="S203" i="57"/>
  <c r="P401" i="12"/>
  <c r="S152" i="57"/>
  <c r="P355" i="12"/>
  <c r="S228" i="57"/>
  <c r="P426" i="12"/>
  <c r="S50" i="57"/>
  <c r="P268" i="12"/>
  <c r="S271" i="57"/>
  <c r="P469" i="12"/>
  <c r="S162" i="57"/>
  <c r="P365" i="12"/>
  <c r="S18" i="57"/>
  <c r="P246" i="12"/>
  <c r="S289" i="57"/>
  <c r="P487" i="12"/>
  <c r="S103" i="57"/>
  <c r="P316" i="12"/>
  <c r="S24" i="57"/>
  <c r="P204" i="12"/>
  <c r="S219" i="57"/>
  <c r="P417" i="12"/>
  <c r="S200" i="57"/>
  <c r="P398" i="12"/>
  <c r="S182" i="57"/>
  <c r="P380" i="12"/>
  <c r="S180" i="57"/>
  <c r="P378" i="12"/>
  <c r="S235" i="57"/>
  <c r="P433" i="12"/>
  <c r="S288" i="57"/>
  <c r="P486" i="12"/>
  <c r="S128" i="57"/>
  <c r="P336" i="12"/>
  <c r="S75" i="57"/>
  <c r="P293" i="12"/>
  <c r="S125" i="57"/>
  <c r="P333" i="12"/>
  <c r="S245" i="57"/>
  <c r="P443" i="12"/>
  <c r="S255" i="57"/>
  <c r="P453" i="12"/>
  <c r="S133" i="57"/>
  <c r="P341" i="12"/>
  <c r="S237" i="57"/>
  <c r="P435" i="12"/>
  <c r="S316" i="57"/>
  <c r="P514" i="12"/>
  <c r="S196" i="57"/>
  <c r="P394" i="12"/>
  <c r="S178" i="57"/>
  <c r="P376" i="12"/>
  <c r="S290" i="57"/>
  <c r="P488" i="12"/>
  <c r="S120" i="57"/>
  <c r="P328" i="12"/>
  <c r="S220" i="57"/>
  <c r="P418" i="12"/>
  <c r="S280" i="57"/>
  <c r="P478" i="12"/>
  <c r="S211" i="57"/>
  <c r="P409" i="12"/>
  <c r="S98" i="57"/>
  <c r="P311" i="12"/>
  <c r="S111" i="57"/>
  <c r="P319" i="12"/>
  <c r="S296" i="57"/>
  <c r="P494" i="12"/>
  <c r="S36" i="57"/>
  <c r="P259" i="12"/>
  <c r="S158" i="57"/>
  <c r="P361" i="12"/>
  <c r="S82" i="57"/>
  <c r="P300" i="12"/>
  <c r="S159" i="57"/>
  <c r="P362" i="12"/>
  <c r="S52" i="57"/>
  <c r="P270" i="12"/>
  <c r="S241" i="57"/>
  <c r="P439" i="12"/>
  <c r="S32" i="57"/>
  <c r="P255" i="12"/>
  <c r="S189" i="57"/>
  <c r="P387" i="12"/>
  <c r="S33" i="57"/>
  <c r="P256" i="12"/>
  <c r="S258" i="57"/>
  <c r="P456" i="12"/>
  <c r="S83" i="57"/>
  <c r="P301" i="12"/>
  <c r="S297" i="57"/>
  <c r="P495" i="12"/>
  <c r="S102" i="57"/>
  <c r="P315" i="12"/>
  <c r="S154" i="57"/>
  <c r="P357" i="12"/>
  <c r="S194" i="57"/>
  <c r="P392" i="12"/>
  <c r="S279" i="57"/>
  <c r="P477" i="12"/>
  <c r="S66" i="57"/>
  <c r="P284" i="12"/>
  <c r="S97" i="57"/>
  <c r="P310" i="12"/>
  <c r="S184" i="57"/>
  <c r="P382" i="12"/>
  <c r="S171" i="57"/>
  <c r="P222" i="12"/>
  <c r="S249" i="57"/>
  <c r="P447" i="12"/>
  <c r="S148" i="57"/>
  <c r="P224" i="12"/>
  <c r="S163" i="57"/>
  <c r="P366" i="12"/>
  <c r="S95" i="57"/>
  <c r="P308" i="12"/>
  <c r="S146" i="57"/>
  <c r="P354" i="12"/>
  <c r="S53" i="57"/>
  <c r="P271" i="12"/>
  <c r="S167" i="57"/>
  <c r="P218" i="12"/>
  <c r="S129" i="57"/>
  <c r="P337" i="12"/>
  <c r="S23" i="57"/>
  <c r="P203" i="12"/>
  <c r="S202" i="57"/>
  <c r="P400" i="12"/>
  <c r="S87" i="57"/>
  <c r="P215" i="12"/>
  <c r="S55" i="57"/>
  <c r="P273" i="12"/>
  <c r="S40" i="57"/>
  <c r="P263" i="12"/>
  <c r="S45" i="57"/>
  <c r="P200" i="12"/>
  <c r="S115" i="57"/>
  <c r="P323" i="12"/>
  <c r="S277" i="57"/>
  <c r="P475" i="12"/>
  <c r="S275" i="57"/>
  <c r="P473" i="12"/>
  <c r="S173" i="57"/>
  <c r="P371" i="12"/>
  <c r="S77" i="57"/>
  <c r="P295" i="12"/>
  <c r="S28" i="57"/>
  <c r="P251" i="12"/>
  <c r="S281" i="57"/>
  <c r="P479" i="12"/>
  <c r="S62" i="57"/>
  <c r="P280" i="12"/>
  <c r="S110" i="57"/>
  <c r="P318" i="12"/>
  <c r="S186" i="57"/>
  <c r="P384" i="12"/>
  <c r="S122" i="57"/>
  <c r="P330" i="12"/>
  <c r="S244" i="57"/>
  <c r="P442" i="12"/>
  <c r="S68" i="57"/>
  <c r="P286" i="12"/>
  <c r="S132" i="57"/>
  <c r="P340" i="12"/>
  <c r="S284" i="57"/>
  <c r="P482" i="12"/>
  <c r="S113" i="57"/>
  <c r="P321" i="12"/>
  <c r="S134" i="57"/>
  <c r="P342" i="12"/>
  <c r="S312" i="57"/>
  <c r="P510" i="12"/>
  <c r="S160" i="57"/>
  <c r="P363" i="12"/>
  <c r="S63" i="57"/>
  <c r="P281" i="12"/>
  <c r="S22" i="57"/>
  <c r="P250" i="12"/>
  <c r="S65" i="57"/>
  <c r="P283" i="12"/>
  <c r="S91" i="57"/>
  <c r="P304" i="12"/>
  <c r="S172" i="57"/>
  <c r="P370" i="12"/>
  <c r="S236" i="57"/>
  <c r="P434" i="12"/>
  <c r="S282" i="57"/>
  <c r="P480" i="12"/>
  <c r="S218" i="57"/>
  <c r="P416" i="12"/>
  <c r="S278" i="57"/>
  <c r="P476" i="12"/>
  <c r="S38" i="57"/>
  <c r="P261" i="12"/>
  <c r="S30" i="57"/>
  <c r="P253" i="12"/>
  <c r="S21" i="57"/>
  <c r="P249" i="12"/>
  <c r="S179" i="57"/>
  <c r="P377" i="12"/>
  <c r="S319" i="57"/>
  <c r="P517" i="12"/>
  <c r="S187" i="57"/>
  <c r="P385" i="12"/>
  <c r="S251" i="57"/>
  <c r="P449" i="12"/>
  <c r="S58" i="57"/>
  <c r="P276" i="12"/>
  <c r="S283" i="57"/>
  <c r="P481" i="12"/>
  <c r="S226" i="57"/>
  <c r="P424" i="12"/>
  <c r="S99" i="57"/>
  <c r="P312" i="12"/>
  <c r="S47" i="57"/>
  <c r="P202" i="12"/>
  <c r="S269" i="57"/>
  <c r="P467" i="12"/>
  <c r="S49" i="57"/>
  <c r="P267" i="12"/>
  <c r="S124" i="57"/>
  <c r="P332" i="12"/>
  <c r="S299" i="57"/>
  <c r="P497" i="12"/>
  <c r="S147" i="57"/>
  <c r="P223" i="12"/>
  <c r="S311" i="57"/>
  <c r="P509" i="12"/>
  <c r="S117" i="57"/>
  <c r="P325" i="12"/>
  <c r="S101" i="57"/>
  <c r="P314" i="12"/>
  <c r="S85" i="57"/>
  <c r="P213" i="12"/>
  <c r="S273" i="57"/>
  <c r="P471" i="12"/>
  <c r="S181" i="57"/>
  <c r="P379" i="12"/>
  <c r="S247" i="57"/>
  <c r="P445" i="12"/>
  <c r="S174" i="57"/>
  <c r="P372" i="12"/>
  <c r="S80" i="57"/>
  <c r="P298" i="12"/>
  <c r="S195" i="57"/>
  <c r="P393" i="12"/>
  <c r="S294" i="57"/>
  <c r="P492" i="12"/>
  <c r="S177" i="57"/>
  <c r="P375" i="12"/>
  <c r="S287" i="57"/>
  <c r="P485" i="12"/>
  <c r="S243" i="57"/>
  <c r="P441" i="12"/>
  <c r="T39" i="23"/>
  <c r="T44" i="23"/>
  <c r="T53" i="23"/>
  <c r="T244" i="23"/>
  <c r="T247" i="23"/>
  <c r="T245" i="23"/>
  <c r="T282" i="23"/>
  <c r="T305" i="23"/>
  <c r="T115" i="23"/>
  <c r="T174" i="23"/>
  <c r="T80" i="23"/>
  <c r="T289" i="23"/>
  <c r="T167" i="23"/>
  <c r="T117" i="23"/>
  <c r="T246" i="23"/>
  <c r="T283" i="23"/>
  <c r="T301" i="23"/>
  <c r="T304" i="23"/>
  <c r="T297" i="23"/>
  <c r="T164" i="23"/>
  <c r="T163" i="23"/>
  <c r="T201" i="23"/>
  <c r="T200" i="23"/>
  <c r="T214" i="23"/>
  <c r="T218" i="23"/>
  <c r="T217" i="23"/>
  <c r="T58" i="23"/>
  <c r="T101" i="23"/>
  <c r="T119" i="23"/>
  <c r="T118" i="23"/>
  <c r="T292" i="23"/>
  <c r="T306" i="23"/>
  <c r="T310" i="23"/>
  <c r="T309" i="23"/>
  <c r="T173" i="23"/>
  <c r="T187" i="23"/>
  <c r="T191" i="23"/>
  <c r="T190" i="23"/>
  <c r="T49" i="23"/>
  <c r="T130" i="23"/>
  <c r="T134" i="23"/>
  <c r="T133" i="23"/>
  <c r="T159" i="23"/>
  <c r="T158" i="23"/>
  <c r="T90" i="23"/>
  <c r="T94" i="23"/>
  <c r="T93" i="23"/>
  <c r="T251" i="23"/>
  <c r="T250" i="23"/>
  <c r="T254" i="23"/>
  <c r="T258" i="23"/>
  <c r="T257" i="23"/>
  <c r="T111" i="23"/>
  <c r="T125" i="23"/>
  <c r="T129" i="23"/>
  <c r="T128" i="23"/>
  <c r="T278" i="23"/>
  <c r="T277" i="23"/>
  <c r="T146" i="23"/>
  <c r="T145" i="23"/>
  <c r="T194" i="23"/>
  <c r="T193" i="23"/>
  <c r="T84" i="23"/>
  <c r="T83" i="23"/>
  <c r="T97" i="23"/>
  <c r="T96" i="23"/>
  <c r="T28" i="23"/>
  <c r="T182" i="23"/>
  <c r="T186" i="23"/>
  <c r="T185" i="23"/>
  <c r="T286" i="23"/>
  <c r="T120" i="23"/>
  <c r="T124" i="23"/>
  <c r="T123" i="23"/>
  <c r="T273" i="23"/>
  <c r="T272" i="23"/>
  <c r="T85" i="23"/>
  <c r="T89" i="23"/>
  <c r="T88" i="23"/>
  <c r="T33" i="23"/>
  <c r="T268" i="23"/>
  <c r="T267" i="23"/>
  <c r="T77" i="23"/>
  <c r="T76" i="23"/>
  <c r="T313" i="23"/>
  <c r="T312" i="23"/>
  <c r="T316" i="23"/>
  <c r="T320" i="23"/>
  <c r="T318" i="23"/>
  <c r="T147" i="23"/>
  <c r="T151" i="23"/>
  <c r="T150" i="23"/>
  <c r="T38" i="23"/>
  <c r="T152" i="23"/>
  <c r="T156" i="23"/>
  <c r="T155" i="23"/>
  <c r="T170" i="23"/>
  <c r="T211" i="23"/>
  <c r="T210" i="23"/>
  <c r="T228" i="23"/>
  <c r="T227" i="23"/>
  <c r="T178" i="23"/>
  <c r="T239" i="23"/>
  <c r="T243" i="23"/>
  <c r="T242" i="23"/>
  <c r="T219" i="23"/>
  <c r="T223" i="23"/>
  <c r="T222" i="23"/>
  <c r="T234" i="23"/>
  <c r="T238" i="23"/>
  <c r="T237" i="23"/>
  <c r="T281" i="23"/>
  <c r="T285" i="23"/>
  <c r="T284" i="23"/>
  <c r="T162" i="23"/>
  <c r="T165" i="23"/>
  <c r="T199" i="23"/>
  <c r="T203" i="23"/>
  <c r="T202" i="23"/>
  <c r="T216" i="23"/>
  <c r="T215" i="23"/>
  <c r="T54" i="23"/>
  <c r="T92" i="23"/>
  <c r="T91" i="23"/>
  <c r="T249" i="23"/>
  <c r="T253" i="23"/>
  <c r="T252" i="23"/>
  <c r="T256" i="23"/>
  <c r="T255" i="23"/>
  <c r="T113" i="23"/>
  <c r="T127" i="23"/>
  <c r="T126" i="23"/>
  <c r="T192" i="23"/>
  <c r="T196" i="23"/>
  <c r="T195" i="23"/>
  <c r="T81" i="23"/>
  <c r="T95" i="23"/>
  <c r="T99" i="23"/>
  <c r="T98" i="23"/>
  <c r="T29" i="23"/>
  <c r="T184" i="23"/>
  <c r="T183" i="23"/>
  <c r="T287" i="23"/>
  <c r="T122" i="23"/>
  <c r="T121" i="23"/>
  <c r="T271" i="23"/>
  <c r="T275" i="23"/>
  <c r="T274" i="23"/>
  <c r="T266" i="23"/>
  <c r="T270" i="23"/>
  <c r="T269" i="23"/>
  <c r="T154" i="23"/>
  <c r="T153" i="23"/>
  <c r="T169" i="23"/>
  <c r="T168" i="23"/>
  <c r="T213" i="23"/>
  <c r="T212" i="23"/>
  <c r="T225" i="23"/>
  <c r="T248" i="23"/>
  <c r="T296" i="23"/>
  <c r="T300" i="23"/>
  <c r="T100" i="23"/>
  <c r="T43" i="23"/>
  <c r="T308" i="23"/>
  <c r="T176" i="23"/>
  <c r="T188" i="23"/>
  <c r="T132" i="23"/>
  <c r="T161" i="23"/>
  <c r="T276" i="23"/>
  <c r="T279" i="23"/>
  <c r="T143" i="23"/>
  <c r="T86" i="23"/>
  <c r="T79" i="23"/>
  <c r="T311" i="23"/>
  <c r="T314" i="23"/>
  <c r="T317" i="23"/>
  <c r="T148" i="23"/>
  <c r="T221" i="23"/>
  <c r="T209" i="23"/>
  <c r="T220" i="23"/>
  <c r="T302" i="23"/>
  <c r="T104" i="23"/>
  <c r="T291" i="23"/>
  <c r="T295" i="23"/>
  <c r="T307" i="23"/>
  <c r="T175" i="23"/>
  <c r="T189" i="23"/>
  <c r="T48" i="23"/>
  <c r="T131" i="23"/>
  <c r="T157" i="23"/>
  <c r="T160" i="23"/>
  <c r="T280" i="23"/>
  <c r="T144" i="23"/>
  <c r="T87" i="23"/>
  <c r="T75" i="23"/>
  <c r="T78" i="23"/>
  <c r="T315" i="23"/>
  <c r="T319" i="23"/>
  <c r="T149" i="23"/>
  <c r="T181" i="23"/>
  <c r="T34" i="23"/>
  <c r="T303" i="23"/>
  <c r="T299" i="23"/>
  <c r="T103" i="23"/>
  <c r="T116" i="23"/>
  <c r="T294" i="23"/>
  <c r="T172" i="23"/>
  <c r="T177" i="23"/>
  <c r="T180" i="23"/>
  <c r="T241" i="23"/>
  <c r="T240" i="23"/>
  <c r="T236" i="23"/>
  <c r="T235" i="23"/>
  <c r="T298" i="23"/>
  <c r="T102" i="23"/>
  <c r="T293" i="23"/>
  <c r="T112" i="23"/>
  <c r="T142" i="23"/>
  <c r="T290" i="23"/>
  <c r="T171" i="23"/>
  <c r="T224" i="23"/>
  <c r="T179" i="23"/>
  <c r="T166" i="23"/>
  <c r="T110" i="23"/>
  <c r="T114" i="23"/>
  <c r="T82" i="23"/>
  <c r="T288" i="23"/>
  <c r="T226" i="23"/>
  <c r="T59" i="23"/>
  <c r="AH20" i="23"/>
  <c r="AH18" i="23"/>
  <c r="AI25" i="23"/>
  <c r="AI23" i="23"/>
  <c r="AG25" i="23"/>
  <c r="AG23" i="23"/>
  <c r="AE20" i="23"/>
  <c r="AC20" i="23"/>
  <c r="AB20" i="23"/>
  <c r="AD26" i="23"/>
  <c r="AH26" i="23" s="1"/>
  <c r="AE26" i="23"/>
  <c r="AI26" i="23" s="1"/>
  <c r="AB26" i="23"/>
  <c r="AF26" i="23" s="1"/>
  <c r="AC26" i="23"/>
  <c r="AG26" i="23" s="1"/>
  <c r="AF25" i="23"/>
  <c r="AF23" i="23"/>
  <c r="AH25" i="23"/>
  <c r="AH23" i="23"/>
  <c r="O18" i="23"/>
  <c r="D207" i="11"/>
  <c r="A40" i="23"/>
  <c r="B27" i="23"/>
  <c r="F27" i="23"/>
  <c r="G27" i="23"/>
  <c r="N25" i="23"/>
  <c r="O19" i="23"/>
  <c r="D201" i="11"/>
  <c r="G21" i="23"/>
  <c r="E21" i="23" s="1"/>
  <c r="A22" i="23"/>
  <c r="B21" i="23"/>
  <c r="F21" i="23"/>
  <c r="E26" i="23"/>
  <c r="C206" i="11"/>
  <c r="O24" i="23"/>
  <c r="E20" i="23"/>
  <c r="L20" i="23"/>
  <c r="M20" i="23"/>
  <c r="M26" i="23"/>
  <c r="T243" i="57" l="1"/>
  <c r="Q441" i="12"/>
  <c r="T177" i="57"/>
  <c r="Q375" i="12"/>
  <c r="T195" i="57"/>
  <c r="Q393" i="12"/>
  <c r="T174" i="57"/>
  <c r="Q372" i="12"/>
  <c r="T181" i="57"/>
  <c r="Q379" i="12"/>
  <c r="T85" i="57"/>
  <c r="Q213" i="12"/>
  <c r="T117" i="57"/>
  <c r="Q325" i="12"/>
  <c r="T147" i="57"/>
  <c r="Q223" i="12"/>
  <c r="T124" i="57"/>
  <c r="Q332" i="12"/>
  <c r="T269" i="57"/>
  <c r="Q467" i="12"/>
  <c r="T99" i="57"/>
  <c r="Q312" i="12"/>
  <c r="T283" i="57"/>
  <c r="Q481" i="12"/>
  <c r="T251" i="57"/>
  <c r="Q449" i="12"/>
  <c r="T319" i="57"/>
  <c r="Q517" i="12"/>
  <c r="T21" i="57"/>
  <c r="Q249" i="12"/>
  <c r="T38" i="57"/>
  <c r="Q261" i="12"/>
  <c r="T218" i="57"/>
  <c r="Q416" i="12"/>
  <c r="T236" i="57"/>
  <c r="Q434" i="12"/>
  <c r="T91" i="57"/>
  <c r="Q304" i="12"/>
  <c r="T22" i="57"/>
  <c r="Q250" i="12"/>
  <c r="T160" i="57"/>
  <c r="Q363" i="12"/>
  <c r="T134" i="57"/>
  <c r="Q342" i="12"/>
  <c r="T284" i="57"/>
  <c r="Q482" i="12"/>
  <c r="T68" i="57"/>
  <c r="Q286" i="12"/>
  <c r="T122" i="57"/>
  <c r="Q330" i="12"/>
  <c r="T110" i="57"/>
  <c r="Q318" i="12"/>
  <c r="T281" i="57"/>
  <c r="Q479" i="12"/>
  <c r="T77" i="57"/>
  <c r="Q295" i="12"/>
  <c r="T275" i="57"/>
  <c r="Q473" i="12"/>
  <c r="T115" i="57"/>
  <c r="Q323" i="12"/>
  <c r="T40" i="57"/>
  <c r="Q263" i="12"/>
  <c r="T87" i="57"/>
  <c r="Q215" i="12"/>
  <c r="T23" i="57"/>
  <c r="Q203" i="12"/>
  <c r="T167" i="57"/>
  <c r="Q218" i="12"/>
  <c r="T146" i="57"/>
  <c r="Q354" i="12"/>
  <c r="T163" i="57"/>
  <c r="Q366" i="12"/>
  <c r="T249" i="57"/>
  <c r="Q447" i="12"/>
  <c r="T184" i="57"/>
  <c r="Q382" i="12"/>
  <c r="T66" i="57"/>
  <c r="Q284" i="12"/>
  <c r="T194" i="57"/>
  <c r="Q392" i="12"/>
  <c r="T102" i="57"/>
  <c r="Q315" i="12"/>
  <c r="T83" i="57"/>
  <c r="Q301" i="12"/>
  <c r="T33" i="57"/>
  <c r="Q256" i="12"/>
  <c r="T32" i="57"/>
  <c r="Q255" i="12"/>
  <c r="T52" i="57"/>
  <c r="Q270" i="12"/>
  <c r="T82" i="57"/>
  <c r="Q300" i="12"/>
  <c r="T36" i="57"/>
  <c r="Q259" i="12"/>
  <c r="T111" i="57"/>
  <c r="Q319" i="12"/>
  <c r="T211" i="57"/>
  <c r="Q409" i="12"/>
  <c r="T220" i="57"/>
  <c r="Q418" i="12"/>
  <c r="T290" i="57"/>
  <c r="Q488" i="12"/>
  <c r="T196" i="57"/>
  <c r="Q394" i="12"/>
  <c r="T237" i="57"/>
  <c r="Q435" i="12"/>
  <c r="T255" i="57"/>
  <c r="Q453" i="12"/>
  <c r="T125" i="57"/>
  <c r="Q333" i="12"/>
  <c r="T128" i="57"/>
  <c r="Q336" i="12"/>
  <c r="T235" i="57"/>
  <c r="Q433" i="12"/>
  <c r="T182" i="57"/>
  <c r="Q380" i="12"/>
  <c r="T219" i="57"/>
  <c r="Q417" i="12"/>
  <c r="T103" i="57"/>
  <c r="Q316" i="12"/>
  <c r="T18" i="57"/>
  <c r="Q246" i="12"/>
  <c r="T271" i="57"/>
  <c r="Q469" i="12"/>
  <c r="T228" i="57"/>
  <c r="Q426" i="12"/>
  <c r="T203" i="57"/>
  <c r="Q401" i="12"/>
  <c r="T320" i="57"/>
  <c r="Q518" i="12"/>
  <c r="T56" i="57"/>
  <c r="Q274" i="12"/>
  <c r="T293" i="57"/>
  <c r="Q491" i="12"/>
  <c r="T318" i="57"/>
  <c r="Q516" i="12"/>
  <c r="T26" i="57"/>
  <c r="Q206" i="12"/>
  <c r="T114" i="57"/>
  <c r="Q322" i="12"/>
  <c r="T37" i="57"/>
  <c r="Q260" i="12"/>
  <c r="T242" i="57"/>
  <c r="Q440" i="12"/>
  <c r="T54" i="57"/>
  <c r="Q272" i="12"/>
  <c r="T214" i="57"/>
  <c r="Q412" i="12"/>
  <c r="T145" i="57"/>
  <c r="Q353" i="12"/>
  <c r="T291" i="57"/>
  <c r="Q489" i="12"/>
  <c r="T238" i="57"/>
  <c r="Q436" i="12"/>
  <c r="T43" i="57"/>
  <c r="Q198" i="12"/>
  <c r="T248" i="57"/>
  <c r="Q446" i="12"/>
  <c r="T216" i="57"/>
  <c r="Q414" i="12"/>
  <c r="T143" i="57"/>
  <c r="Q351" i="12"/>
  <c r="T188" i="57"/>
  <c r="Q386" i="12"/>
  <c r="T225" i="57"/>
  <c r="Q423" i="12"/>
  <c r="T309" i="57"/>
  <c r="Q507" i="12"/>
  <c r="T191" i="57"/>
  <c r="Q389" i="12"/>
  <c r="T164" i="57"/>
  <c r="Q367" i="12"/>
  <c r="T34" i="57"/>
  <c r="Q257" i="12"/>
  <c r="T183" i="57"/>
  <c r="Q381" i="12"/>
  <c r="T166" i="57"/>
  <c r="Q369" i="12"/>
  <c r="T239" i="57"/>
  <c r="Q437" i="12"/>
  <c r="T286" i="57"/>
  <c r="Q484" i="12"/>
  <c r="T89" i="57"/>
  <c r="Q217" i="12"/>
  <c r="T59" i="57"/>
  <c r="Q277" i="12"/>
  <c r="T185" i="57"/>
  <c r="Q383" i="12"/>
  <c r="T270" i="57"/>
  <c r="Q468" i="12"/>
  <c r="T267" i="57"/>
  <c r="Q465" i="12"/>
  <c r="T300" i="57"/>
  <c r="Q498" i="12"/>
  <c r="T25" i="57"/>
  <c r="Q205" i="12"/>
  <c r="T193" i="57"/>
  <c r="Q391" i="12"/>
  <c r="T295" i="57"/>
  <c r="Q493" i="12"/>
  <c r="T252" i="57"/>
  <c r="Q450" i="12"/>
  <c r="T257" i="57"/>
  <c r="Q455" i="12"/>
  <c r="T70" i="57"/>
  <c r="Q288" i="12"/>
  <c r="T46" i="57"/>
  <c r="Q201" i="12"/>
  <c r="T142" i="57"/>
  <c r="Q350" i="12"/>
  <c r="T31" i="57"/>
  <c r="Q254" i="12"/>
  <c r="T165" i="57"/>
  <c r="Q368" i="12"/>
  <c r="T317" i="57"/>
  <c r="Q515" i="12"/>
  <c r="T168" i="57"/>
  <c r="Q219" i="12"/>
  <c r="T88" i="57"/>
  <c r="Q216" i="12"/>
  <c r="T116" i="57"/>
  <c r="Q324" i="12"/>
  <c r="T212" i="57"/>
  <c r="Q410" i="12"/>
  <c r="T227" i="57"/>
  <c r="Q425" i="12"/>
  <c r="T64" i="57"/>
  <c r="Q282" i="12"/>
  <c r="T121" i="57"/>
  <c r="Q329" i="12"/>
  <c r="T27" i="57"/>
  <c r="Q207" i="12"/>
  <c r="T306" i="57"/>
  <c r="Q504" i="12"/>
  <c r="T307" i="57"/>
  <c r="Q505" i="12"/>
  <c r="T57" i="57"/>
  <c r="Q275" i="12"/>
  <c r="T104" i="57"/>
  <c r="Q317" i="12"/>
  <c r="T123" i="57"/>
  <c r="Q331" i="12"/>
  <c r="T314" i="57"/>
  <c r="Q512" i="12"/>
  <c r="T19" i="57"/>
  <c r="Q247" i="12"/>
  <c r="T35" i="57"/>
  <c r="Q258" i="12"/>
  <c r="T48" i="57"/>
  <c r="Q266" i="12"/>
  <c r="T217" i="57"/>
  <c r="Q415" i="12"/>
  <c r="T209" i="57"/>
  <c r="Q407" i="12"/>
  <c r="T76" i="57"/>
  <c r="Q294" i="12"/>
  <c r="T90" i="57"/>
  <c r="Q303" i="12"/>
  <c r="T292" i="57"/>
  <c r="Q490" i="12"/>
  <c r="T149" i="57"/>
  <c r="Q225" i="12"/>
  <c r="T67" i="57"/>
  <c r="Q285" i="12"/>
  <c r="T302" i="57"/>
  <c r="Q500" i="12"/>
  <c r="T69" i="57"/>
  <c r="Q287" i="12"/>
  <c r="T268" i="57"/>
  <c r="Q466" i="12"/>
  <c r="T287" i="57"/>
  <c r="Q485" i="12"/>
  <c r="T294" i="57"/>
  <c r="Q492" i="12"/>
  <c r="T80" i="57"/>
  <c r="Q298" i="12"/>
  <c r="T247" i="57"/>
  <c r="Q445" i="12"/>
  <c r="T273" i="57"/>
  <c r="Q471" i="12"/>
  <c r="T101" i="57"/>
  <c r="Q314" i="12"/>
  <c r="T311" i="57"/>
  <c r="Q509" i="12"/>
  <c r="T299" i="57"/>
  <c r="Q497" i="12"/>
  <c r="T49" i="57"/>
  <c r="Q267" i="12"/>
  <c r="T47" i="57"/>
  <c r="Q202" i="12"/>
  <c r="T226" i="57"/>
  <c r="Q424" i="12"/>
  <c r="T58" i="57"/>
  <c r="Q276" i="12"/>
  <c r="T187" i="57"/>
  <c r="Q385" i="12"/>
  <c r="T179" i="57"/>
  <c r="Q377" i="12"/>
  <c r="T30" i="57"/>
  <c r="Q253" i="12"/>
  <c r="T278" i="57"/>
  <c r="Q476" i="12"/>
  <c r="T282" i="57"/>
  <c r="Q480" i="12"/>
  <c r="T172" i="57"/>
  <c r="Q370" i="12"/>
  <c r="T65" i="57"/>
  <c r="Q283" i="12"/>
  <c r="T63" i="57"/>
  <c r="Q281" i="12"/>
  <c r="T312" i="57"/>
  <c r="Q510" i="12"/>
  <c r="T113" i="57"/>
  <c r="Q321" i="12"/>
  <c r="T132" i="57"/>
  <c r="Q340" i="12"/>
  <c r="T244" i="57"/>
  <c r="Q442" i="12"/>
  <c r="T186" i="57"/>
  <c r="Q384" i="12"/>
  <c r="T62" i="57"/>
  <c r="Q280" i="12"/>
  <c r="T28" i="57"/>
  <c r="Q251" i="12"/>
  <c r="T173" i="57"/>
  <c r="Q371" i="12"/>
  <c r="T277" i="57"/>
  <c r="Q475" i="12"/>
  <c r="T45" i="57"/>
  <c r="Q200" i="12"/>
  <c r="T55" i="57"/>
  <c r="Q273" i="12"/>
  <c r="T202" i="57"/>
  <c r="Q400" i="12"/>
  <c r="T129" i="57"/>
  <c r="Q337" i="12"/>
  <c r="T53" i="57"/>
  <c r="Q271" i="12"/>
  <c r="T95" i="57"/>
  <c r="Q308" i="12"/>
  <c r="T148" i="57"/>
  <c r="Q224" i="12"/>
  <c r="T171" i="57"/>
  <c r="Q222" i="12"/>
  <c r="T97" i="57"/>
  <c r="Q310" i="12"/>
  <c r="T279" i="57"/>
  <c r="Q477" i="12"/>
  <c r="T154" i="57"/>
  <c r="Q357" i="12"/>
  <c r="T297" i="57"/>
  <c r="Q495" i="12"/>
  <c r="T258" i="57"/>
  <c r="Q456" i="12"/>
  <c r="T189" i="57"/>
  <c r="Q387" i="12"/>
  <c r="T241" i="57"/>
  <c r="Q439" i="12"/>
  <c r="T159" i="57"/>
  <c r="Q362" i="12"/>
  <c r="T158" i="57"/>
  <c r="Q361" i="12"/>
  <c r="T296" i="57"/>
  <c r="Q494" i="12"/>
  <c r="T98" i="57"/>
  <c r="Q311" i="12"/>
  <c r="T280" i="57"/>
  <c r="Q478" i="12"/>
  <c r="T120" i="57"/>
  <c r="Q328" i="12"/>
  <c r="T178" i="57"/>
  <c r="Q376" i="12"/>
  <c r="T316" i="57"/>
  <c r="Q514" i="12"/>
  <c r="T133" i="57"/>
  <c r="Q341" i="12"/>
  <c r="T245" i="57"/>
  <c r="Q443" i="12"/>
  <c r="T75" i="57"/>
  <c r="Q293" i="12"/>
  <c r="T288" i="57"/>
  <c r="Q486" i="12"/>
  <c r="T180" i="57"/>
  <c r="Q378" i="12"/>
  <c r="T200" i="57"/>
  <c r="Q398" i="12"/>
  <c r="T24" i="57"/>
  <c r="Q204" i="12"/>
  <c r="T289" i="57"/>
  <c r="Q487" i="12"/>
  <c r="T162" i="57"/>
  <c r="Q365" i="12"/>
  <c r="T50" i="57"/>
  <c r="Q268" i="12"/>
  <c r="T152" i="57"/>
  <c r="Q355" i="12"/>
  <c r="T100" i="57"/>
  <c r="Q313" i="12"/>
  <c r="T39" i="57"/>
  <c r="Q262" i="12"/>
  <c r="T127" i="57"/>
  <c r="Q335" i="12"/>
  <c r="T144" i="57"/>
  <c r="Q352" i="12"/>
  <c r="T96" i="57"/>
  <c r="Q309" i="12"/>
  <c r="T51" i="57"/>
  <c r="Q269" i="12"/>
  <c r="T169" i="57"/>
  <c r="Q220" i="12"/>
  <c r="T298" i="57"/>
  <c r="Q496" i="12"/>
  <c r="T44" i="57"/>
  <c r="Q199" i="12"/>
  <c r="T151" i="57"/>
  <c r="Q227" i="12"/>
  <c r="T92" i="57"/>
  <c r="Q305" i="12"/>
  <c r="T253" i="57"/>
  <c r="Q451" i="12"/>
  <c r="T304" i="57"/>
  <c r="Q502" i="12"/>
  <c r="T210" i="57"/>
  <c r="Q408" i="12"/>
  <c r="T71" i="57"/>
  <c r="Q289" i="12"/>
  <c r="T250" i="57"/>
  <c r="Q448" i="12"/>
  <c r="T303" i="57"/>
  <c r="Q501" i="12"/>
  <c r="T156" i="57"/>
  <c r="Q359" i="12"/>
  <c r="T112" i="57"/>
  <c r="Q320" i="12"/>
  <c r="T119" i="57"/>
  <c r="Q327" i="12"/>
  <c r="T234" i="57"/>
  <c r="Q432" i="12"/>
  <c r="T310" i="57"/>
  <c r="Q508" i="12"/>
  <c r="T94" i="57"/>
  <c r="Q307" i="12"/>
  <c r="T215" i="57"/>
  <c r="Q413" i="12"/>
  <c r="T176" i="57"/>
  <c r="Q374" i="12"/>
  <c r="T78" i="57"/>
  <c r="Q296" i="12"/>
  <c r="T131" i="57"/>
  <c r="Q339" i="12"/>
  <c r="T223" i="57"/>
  <c r="Q421" i="12"/>
  <c r="T256" i="57"/>
  <c r="Q454" i="12"/>
  <c r="T192" i="57"/>
  <c r="Q390" i="12"/>
  <c r="T130" i="57"/>
  <c r="Q338" i="12"/>
  <c r="T199" i="57"/>
  <c r="Q397" i="12"/>
  <c r="T254" i="57"/>
  <c r="Q452" i="12"/>
  <c r="T93" i="57"/>
  <c r="Q306" i="12"/>
  <c r="T305" i="57"/>
  <c r="Q503" i="12"/>
  <c r="T79" i="57"/>
  <c r="Q297" i="12"/>
  <c r="T315" i="57"/>
  <c r="Q513" i="12"/>
  <c r="T118" i="57"/>
  <c r="Q326" i="12"/>
  <c r="T224" i="57"/>
  <c r="Q422" i="12"/>
  <c r="T155" i="57"/>
  <c r="Q358" i="12"/>
  <c r="T61" i="57"/>
  <c r="Q279" i="12"/>
  <c r="T60" i="57"/>
  <c r="Q278" i="12"/>
  <c r="T308" i="57"/>
  <c r="Q506" i="12"/>
  <c r="T150" i="57"/>
  <c r="Q226" i="12"/>
  <c r="T175" i="57"/>
  <c r="Q373" i="12"/>
  <c r="T313" i="57"/>
  <c r="Q511" i="12"/>
  <c r="T84" i="57"/>
  <c r="Q302" i="12"/>
  <c r="T153" i="57"/>
  <c r="Q356" i="12"/>
  <c r="T276" i="57"/>
  <c r="Q474" i="12"/>
  <c r="T274" i="57"/>
  <c r="Q472" i="12"/>
  <c r="T301" i="57"/>
  <c r="Q499" i="12"/>
  <c r="T29" i="57"/>
  <c r="Q252" i="12"/>
  <c r="T190" i="57"/>
  <c r="Q388" i="12"/>
  <c r="T42" i="57"/>
  <c r="Q265" i="12"/>
  <c r="T72" i="57"/>
  <c r="Q290" i="12"/>
  <c r="T86" i="57"/>
  <c r="Q214" i="12"/>
  <c r="T285" i="57"/>
  <c r="Q483" i="12"/>
  <c r="T221" i="57"/>
  <c r="Q419" i="12"/>
  <c r="T266" i="57"/>
  <c r="Q464" i="12"/>
  <c r="T222" i="57"/>
  <c r="Q420" i="12"/>
  <c r="T240" i="57"/>
  <c r="Q438" i="12"/>
  <c r="T157" i="57"/>
  <c r="Q360" i="12"/>
  <c r="T41" i="57"/>
  <c r="Q264" i="12"/>
  <c r="T213" i="57"/>
  <c r="Q411" i="12"/>
  <c r="T246" i="57"/>
  <c r="Q444" i="12"/>
  <c r="T126" i="57"/>
  <c r="Q334" i="12"/>
  <c r="T81" i="57"/>
  <c r="Q299" i="12"/>
  <c r="T161" i="57"/>
  <c r="Q364" i="12"/>
  <c r="T201" i="57"/>
  <c r="Q399" i="12"/>
  <c r="T272" i="57"/>
  <c r="Q470" i="12"/>
  <c r="T170" i="57"/>
  <c r="Q221" i="12"/>
  <c r="T20" i="57"/>
  <c r="Q248" i="12"/>
  <c r="U59" i="23"/>
  <c r="U226" i="23"/>
  <c r="U288" i="23"/>
  <c r="U82" i="23"/>
  <c r="U114" i="23"/>
  <c r="U110" i="23"/>
  <c r="U166" i="23"/>
  <c r="U179" i="23"/>
  <c r="U224" i="23"/>
  <c r="U171" i="23"/>
  <c r="U290" i="23"/>
  <c r="U142" i="23"/>
  <c r="U112" i="23"/>
  <c r="U293" i="23"/>
  <c r="U102" i="23"/>
  <c r="U298" i="23"/>
  <c r="U235" i="23"/>
  <c r="U236" i="23"/>
  <c r="U240" i="23"/>
  <c r="U241" i="23"/>
  <c r="U180" i="23"/>
  <c r="U177" i="23"/>
  <c r="U172" i="23"/>
  <c r="U294" i="23"/>
  <c r="U116" i="23"/>
  <c r="U103" i="23"/>
  <c r="U299" i="23"/>
  <c r="U303" i="23"/>
  <c r="U181" i="23"/>
  <c r="U149" i="23"/>
  <c r="U319" i="23"/>
  <c r="U315" i="23"/>
  <c r="U78" i="23"/>
  <c r="U75" i="23"/>
  <c r="U87" i="23"/>
  <c r="U144" i="23"/>
  <c r="U280" i="23"/>
  <c r="U160" i="23"/>
  <c r="U157" i="23"/>
  <c r="U131" i="23"/>
  <c r="U48" i="23"/>
  <c r="U189" i="23"/>
  <c r="U175" i="23"/>
  <c r="U307" i="23"/>
  <c r="U295" i="23"/>
  <c r="U291" i="23"/>
  <c r="U104" i="23"/>
  <c r="U302" i="23"/>
  <c r="U220" i="23"/>
  <c r="U209" i="23"/>
  <c r="U221" i="23"/>
  <c r="U148" i="23"/>
  <c r="U317" i="23"/>
  <c r="U314" i="23"/>
  <c r="U311" i="23"/>
  <c r="U79" i="23"/>
  <c r="U86" i="23"/>
  <c r="U143" i="23"/>
  <c r="U279" i="23"/>
  <c r="U276" i="23"/>
  <c r="U161" i="23"/>
  <c r="U132" i="23"/>
  <c r="U188" i="23"/>
  <c r="U176" i="23"/>
  <c r="U308" i="23"/>
  <c r="U43" i="23"/>
  <c r="U100" i="23"/>
  <c r="U300" i="23"/>
  <c r="U296" i="23"/>
  <c r="U248" i="23"/>
  <c r="U225" i="23"/>
  <c r="U212" i="23"/>
  <c r="U213" i="23"/>
  <c r="U168" i="23"/>
  <c r="U169" i="23"/>
  <c r="U153" i="23"/>
  <c r="U154" i="23"/>
  <c r="U269" i="23"/>
  <c r="U270" i="23"/>
  <c r="U266" i="23"/>
  <c r="U274" i="23"/>
  <c r="U275" i="23"/>
  <c r="U271" i="23"/>
  <c r="U121" i="23"/>
  <c r="U122" i="23"/>
  <c r="U287" i="23"/>
  <c r="U183" i="23"/>
  <c r="U184" i="23"/>
  <c r="U29" i="23"/>
  <c r="U98" i="23"/>
  <c r="U99" i="23"/>
  <c r="U95" i="23"/>
  <c r="U81" i="23"/>
  <c r="U195" i="23"/>
  <c r="U196" i="23"/>
  <c r="U192" i="23"/>
  <c r="U126" i="23"/>
  <c r="U127" i="23"/>
  <c r="U113" i="23"/>
  <c r="U255" i="23"/>
  <c r="U256" i="23"/>
  <c r="U252" i="23"/>
  <c r="U253" i="23"/>
  <c r="U249" i="23"/>
  <c r="U91" i="23"/>
  <c r="U92" i="23"/>
  <c r="U54" i="23"/>
  <c r="U215" i="23"/>
  <c r="U216" i="23"/>
  <c r="U202" i="23"/>
  <c r="U203" i="23"/>
  <c r="U199" i="23"/>
  <c r="U165" i="23"/>
  <c r="U162" i="23"/>
  <c r="U284" i="23"/>
  <c r="U285" i="23"/>
  <c r="U281" i="23"/>
  <c r="U237" i="23"/>
  <c r="U238" i="23"/>
  <c r="U234" i="23"/>
  <c r="U222" i="23"/>
  <c r="U223" i="23"/>
  <c r="U219" i="23"/>
  <c r="U242" i="23"/>
  <c r="U243" i="23"/>
  <c r="U239" i="23"/>
  <c r="U178" i="23"/>
  <c r="U227" i="23"/>
  <c r="U228" i="23"/>
  <c r="U210" i="23"/>
  <c r="U211" i="23"/>
  <c r="U170" i="23"/>
  <c r="U155" i="23"/>
  <c r="U156" i="23"/>
  <c r="U152" i="23"/>
  <c r="U38" i="23"/>
  <c r="U150" i="23"/>
  <c r="U151" i="23"/>
  <c r="U147" i="23"/>
  <c r="U318" i="23"/>
  <c r="U320" i="23"/>
  <c r="U316" i="23"/>
  <c r="U312" i="23"/>
  <c r="U313" i="23"/>
  <c r="U76" i="23"/>
  <c r="U77" i="23"/>
  <c r="U267" i="23"/>
  <c r="U268" i="23"/>
  <c r="U33" i="23"/>
  <c r="U88" i="23"/>
  <c r="U89" i="23"/>
  <c r="U85" i="23"/>
  <c r="U272" i="23"/>
  <c r="U273" i="23"/>
  <c r="U123" i="23"/>
  <c r="U124" i="23"/>
  <c r="U120" i="23"/>
  <c r="U286" i="23"/>
  <c r="U185" i="23"/>
  <c r="U186" i="23"/>
  <c r="U182" i="23"/>
  <c r="U28" i="23"/>
  <c r="U96" i="23"/>
  <c r="U97" i="23"/>
  <c r="U83" i="23"/>
  <c r="U84" i="23"/>
  <c r="U193" i="23"/>
  <c r="U194" i="23"/>
  <c r="U145" i="23"/>
  <c r="U146" i="23"/>
  <c r="U277" i="23"/>
  <c r="U278" i="23"/>
  <c r="U128" i="23"/>
  <c r="U129" i="23"/>
  <c r="U125" i="23"/>
  <c r="U111" i="23"/>
  <c r="U257" i="23"/>
  <c r="U258" i="23"/>
  <c r="U254" i="23"/>
  <c r="U250" i="23"/>
  <c r="U251" i="23"/>
  <c r="U93" i="23"/>
  <c r="U94" i="23"/>
  <c r="U90" i="23"/>
  <c r="U158" i="23"/>
  <c r="U159" i="23"/>
  <c r="U133" i="23"/>
  <c r="U134" i="23"/>
  <c r="U130" i="23"/>
  <c r="U49" i="23"/>
  <c r="U190" i="23"/>
  <c r="U191" i="23"/>
  <c r="U187" i="23"/>
  <c r="U173" i="23"/>
  <c r="U309" i="23"/>
  <c r="U310" i="23"/>
  <c r="U306" i="23"/>
  <c r="U292" i="23"/>
  <c r="U118" i="23"/>
  <c r="U119" i="23"/>
  <c r="U101" i="23"/>
  <c r="U58" i="23"/>
  <c r="U217" i="23"/>
  <c r="U218" i="23"/>
  <c r="U214" i="23"/>
  <c r="U200" i="23"/>
  <c r="U201" i="23"/>
  <c r="U163" i="23"/>
  <c r="U164" i="23"/>
  <c r="U297" i="23"/>
  <c r="U304" i="23"/>
  <c r="U301" i="23"/>
  <c r="U283" i="23"/>
  <c r="U246" i="23"/>
  <c r="U117" i="23"/>
  <c r="U167" i="23"/>
  <c r="U289" i="23"/>
  <c r="U80" i="23"/>
  <c r="U174" i="23"/>
  <c r="U115" i="23"/>
  <c r="U305" i="23"/>
  <c r="U282" i="23"/>
  <c r="U245" i="23"/>
  <c r="U247" i="23"/>
  <c r="U244" i="23"/>
  <c r="U39" i="23"/>
  <c r="U34" i="23"/>
  <c r="U53" i="23"/>
  <c r="U44" i="23"/>
  <c r="AE27" i="23"/>
  <c r="AI27" i="23" s="1"/>
  <c r="AB27" i="23"/>
  <c r="AF27" i="23" s="1"/>
  <c r="AC27" i="23"/>
  <c r="AG27" i="23" s="1"/>
  <c r="AD27" i="23"/>
  <c r="AH27" i="23" s="1"/>
  <c r="AF20" i="23"/>
  <c r="AF18" i="23"/>
  <c r="AI20" i="23"/>
  <c r="AI18" i="23"/>
  <c r="AE21" i="23"/>
  <c r="AI21" i="23" s="1"/>
  <c r="AB21" i="23"/>
  <c r="AF21" i="23" s="1"/>
  <c r="AC21" i="23"/>
  <c r="AG21" i="23" s="1"/>
  <c r="AD21" i="23"/>
  <c r="AH21" i="23" s="1"/>
  <c r="AG20" i="23"/>
  <c r="AG18" i="23"/>
  <c r="P18" i="23"/>
  <c r="M21" i="23"/>
  <c r="L21" i="23"/>
  <c r="D208" i="11"/>
  <c r="A41" i="23"/>
  <c r="B40" i="23"/>
  <c r="F40" i="23"/>
  <c r="G40" i="23"/>
  <c r="N20" i="23"/>
  <c r="C202" i="11"/>
  <c r="N26" i="23"/>
  <c r="C201" i="11"/>
  <c r="P24" i="23"/>
  <c r="C207" i="11"/>
  <c r="D202" i="11"/>
  <c r="B22" i="23"/>
  <c r="G22" i="23"/>
  <c r="E22" i="23" s="1"/>
  <c r="F22" i="23"/>
  <c r="P19" i="23"/>
  <c r="O25" i="23"/>
  <c r="E27" i="23"/>
  <c r="L27" i="23"/>
  <c r="M27" i="23"/>
  <c r="U20" i="57" l="1"/>
  <c r="R248" i="12"/>
  <c r="U272" i="57"/>
  <c r="R470" i="12"/>
  <c r="U161" i="57"/>
  <c r="R364" i="12"/>
  <c r="U126" i="57"/>
  <c r="R334" i="12"/>
  <c r="U213" i="57"/>
  <c r="R411" i="12"/>
  <c r="U157" i="57"/>
  <c r="R360" i="12"/>
  <c r="U222" i="57"/>
  <c r="R420" i="12"/>
  <c r="U221" i="57"/>
  <c r="R419" i="12"/>
  <c r="U86" i="57"/>
  <c r="R214" i="12"/>
  <c r="U42" i="57"/>
  <c r="R265" i="12"/>
  <c r="U29" i="57"/>
  <c r="R252" i="12"/>
  <c r="U274" i="57"/>
  <c r="R472" i="12"/>
  <c r="U153" i="57"/>
  <c r="R356" i="12"/>
  <c r="U313" i="57"/>
  <c r="R511" i="12"/>
  <c r="U150" i="57"/>
  <c r="R226" i="12"/>
  <c r="U60" i="57"/>
  <c r="R278" i="12"/>
  <c r="U155" i="57"/>
  <c r="R358" i="12"/>
  <c r="U118" i="57"/>
  <c r="R326" i="12"/>
  <c r="U79" i="57"/>
  <c r="R297" i="12"/>
  <c r="U93" i="57"/>
  <c r="R306" i="12"/>
  <c r="U199" i="57"/>
  <c r="R397" i="12"/>
  <c r="U192" i="57"/>
  <c r="R390" i="12"/>
  <c r="U223" i="57"/>
  <c r="R421" i="12"/>
  <c r="U78" i="57"/>
  <c r="R296" i="12"/>
  <c r="U215" i="57"/>
  <c r="R413" i="12"/>
  <c r="U310" i="57"/>
  <c r="R508" i="12"/>
  <c r="U119" i="57"/>
  <c r="R327" i="12"/>
  <c r="U156" i="57"/>
  <c r="R359" i="12"/>
  <c r="U250" i="57"/>
  <c r="R448" i="12"/>
  <c r="U210" i="57"/>
  <c r="R408" i="12"/>
  <c r="U253" i="57"/>
  <c r="R451" i="12"/>
  <c r="U151" i="57"/>
  <c r="R227" i="12"/>
  <c r="U298" i="57"/>
  <c r="R496" i="12"/>
  <c r="U51" i="57"/>
  <c r="R269" i="12"/>
  <c r="U144" i="57"/>
  <c r="R352" i="12"/>
  <c r="U39" i="57"/>
  <c r="R262" i="12"/>
  <c r="U152" i="57"/>
  <c r="R355" i="12"/>
  <c r="U162" i="57"/>
  <c r="R365" i="12"/>
  <c r="U24" i="57"/>
  <c r="R204" i="12"/>
  <c r="U180" i="57"/>
  <c r="R378" i="12"/>
  <c r="U75" i="57"/>
  <c r="R293" i="12"/>
  <c r="U133" i="57"/>
  <c r="R341" i="12"/>
  <c r="U178" i="57"/>
  <c r="R376" i="12"/>
  <c r="U280" i="57"/>
  <c r="R478" i="12"/>
  <c r="U296" i="57"/>
  <c r="R494" i="12"/>
  <c r="U159" i="57"/>
  <c r="R362" i="12"/>
  <c r="U189" i="57"/>
  <c r="R387" i="12"/>
  <c r="U297" i="57"/>
  <c r="R495" i="12"/>
  <c r="U279" i="57"/>
  <c r="R477" i="12"/>
  <c r="U171" i="57"/>
  <c r="R222" i="12"/>
  <c r="U95" i="57"/>
  <c r="R308" i="12"/>
  <c r="U129" i="57"/>
  <c r="R337" i="12"/>
  <c r="U55" i="57"/>
  <c r="R273" i="12"/>
  <c r="U277" i="57"/>
  <c r="R475" i="12"/>
  <c r="U28" i="57"/>
  <c r="R251" i="12"/>
  <c r="U186" i="57"/>
  <c r="R384" i="12"/>
  <c r="U132" i="57"/>
  <c r="R340" i="12"/>
  <c r="U312" i="57"/>
  <c r="R510" i="12"/>
  <c r="U65" i="57"/>
  <c r="R283" i="12"/>
  <c r="U282" i="57"/>
  <c r="R480" i="12"/>
  <c r="U30" i="57"/>
  <c r="R253" i="12"/>
  <c r="U187" i="57"/>
  <c r="R385" i="12"/>
  <c r="U226" i="57"/>
  <c r="R424" i="12"/>
  <c r="U49" i="57"/>
  <c r="R267" i="12"/>
  <c r="U311" i="57"/>
  <c r="R509" i="12"/>
  <c r="U273" i="57"/>
  <c r="R471" i="12"/>
  <c r="U80" i="57"/>
  <c r="R298" i="12"/>
  <c r="U287" i="57"/>
  <c r="R485" i="12"/>
  <c r="U69" i="57"/>
  <c r="R287" i="12"/>
  <c r="U67" i="57"/>
  <c r="R285" i="12"/>
  <c r="U292" i="57"/>
  <c r="R490" i="12"/>
  <c r="U76" i="57"/>
  <c r="R294" i="12"/>
  <c r="U217" i="57"/>
  <c r="R415" i="12"/>
  <c r="U35" i="57"/>
  <c r="R258" i="12"/>
  <c r="U314" i="57"/>
  <c r="R512" i="12"/>
  <c r="U104" i="57"/>
  <c r="R317" i="12"/>
  <c r="U307" i="57"/>
  <c r="R505" i="12"/>
  <c r="U27" i="57"/>
  <c r="R207" i="12"/>
  <c r="U64" i="57"/>
  <c r="R282" i="12"/>
  <c r="U212" i="57"/>
  <c r="R410" i="12"/>
  <c r="U88" i="57"/>
  <c r="R216" i="12"/>
  <c r="U317" i="57"/>
  <c r="R515" i="12"/>
  <c r="U31" i="57"/>
  <c r="R254" i="12"/>
  <c r="U46" i="57"/>
  <c r="R201" i="12"/>
  <c r="U257" i="57"/>
  <c r="R455" i="12"/>
  <c r="U295" i="57"/>
  <c r="R493" i="12"/>
  <c r="U25" i="57"/>
  <c r="R205" i="12"/>
  <c r="U267" i="57"/>
  <c r="R465" i="12"/>
  <c r="U185" i="57"/>
  <c r="R383" i="12"/>
  <c r="U89" i="57"/>
  <c r="R217" i="12"/>
  <c r="U239" i="57"/>
  <c r="R437" i="12"/>
  <c r="U183" i="57"/>
  <c r="R381" i="12"/>
  <c r="U164" i="57"/>
  <c r="R367" i="12"/>
  <c r="U309" i="57"/>
  <c r="R507" i="12"/>
  <c r="U188" i="57"/>
  <c r="R386" i="12"/>
  <c r="U216" i="57"/>
  <c r="R414" i="12"/>
  <c r="U43" i="57"/>
  <c r="R198" i="12"/>
  <c r="U291" i="57"/>
  <c r="R489" i="12"/>
  <c r="U214" i="57"/>
  <c r="R412" i="12"/>
  <c r="U242" i="57"/>
  <c r="R440" i="12"/>
  <c r="U114" i="57"/>
  <c r="R322" i="12"/>
  <c r="U318" i="57"/>
  <c r="R516" i="12"/>
  <c r="U56" i="57"/>
  <c r="R274" i="12"/>
  <c r="U203" i="57"/>
  <c r="R401" i="12"/>
  <c r="U271" i="57"/>
  <c r="R469" i="12"/>
  <c r="U103" i="57"/>
  <c r="R316" i="12"/>
  <c r="U182" i="57"/>
  <c r="R380" i="12"/>
  <c r="U128" i="57"/>
  <c r="R336" i="12"/>
  <c r="U255" i="57"/>
  <c r="R453" i="12"/>
  <c r="U196" i="57"/>
  <c r="R394" i="12"/>
  <c r="U220" i="57"/>
  <c r="R418" i="12"/>
  <c r="U111" i="57"/>
  <c r="R319" i="12"/>
  <c r="U82" i="57"/>
  <c r="R300" i="12"/>
  <c r="U32" i="57"/>
  <c r="R255" i="12"/>
  <c r="U83" i="57"/>
  <c r="R301" i="12"/>
  <c r="U194" i="57"/>
  <c r="R392" i="12"/>
  <c r="U184" i="57"/>
  <c r="R382" i="12"/>
  <c r="U163" i="57"/>
  <c r="R366" i="12"/>
  <c r="U167" i="57"/>
  <c r="R218" i="12"/>
  <c r="U87" i="57"/>
  <c r="R215" i="12"/>
  <c r="U115" i="57"/>
  <c r="R323" i="12"/>
  <c r="U77" i="57"/>
  <c r="R295" i="12"/>
  <c r="U110" i="57"/>
  <c r="R318" i="12"/>
  <c r="U68" i="57"/>
  <c r="R286" i="12"/>
  <c r="U134" i="57"/>
  <c r="R342" i="12"/>
  <c r="U22" i="57"/>
  <c r="R250" i="12"/>
  <c r="U236" i="57"/>
  <c r="R434" i="12"/>
  <c r="U38" i="57"/>
  <c r="R261" i="12"/>
  <c r="U319" i="57"/>
  <c r="R517" i="12"/>
  <c r="U283" i="57"/>
  <c r="R481" i="12"/>
  <c r="U269" i="57"/>
  <c r="R467" i="12"/>
  <c r="U147" i="57"/>
  <c r="R223" i="12"/>
  <c r="U85" i="57"/>
  <c r="R213" i="12"/>
  <c r="U174" i="57"/>
  <c r="R372" i="12"/>
  <c r="U177" i="57"/>
  <c r="R375" i="12"/>
  <c r="U170" i="57"/>
  <c r="R221" i="12"/>
  <c r="U201" i="57"/>
  <c r="R399" i="12"/>
  <c r="U81" i="57"/>
  <c r="R299" i="12"/>
  <c r="U246" i="57"/>
  <c r="R444" i="12"/>
  <c r="U41" i="57"/>
  <c r="R264" i="12"/>
  <c r="U240" i="57"/>
  <c r="R438" i="12"/>
  <c r="U266" i="57"/>
  <c r="R464" i="12"/>
  <c r="U285" i="57"/>
  <c r="R483" i="12"/>
  <c r="U72" i="57"/>
  <c r="R290" i="12"/>
  <c r="U190" i="57"/>
  <c r="R388" i="12"/>
  <c r="U301" i="57"/>
  <c r="R499" i="12"/>
  <c r="U276" i="57"/>
  <c r="R474" i="12"/>
  <c r="U84" i="57"/>
  <c r="R302" i="12"/>
  <c r="U175" i="57"/>
  <c r="R373" i="12"/>
  <c r="U308" i="57"/>
  <c r="R506" i="12"/>
  <c r="U61" i="57"/>
  <c r="R279" i="12"/>
  <c r="U224" i="57"/>
  <c r="R422" i="12"/>
  <c r="U315" i="57"/>
  <c r="R513" i="12"/>
  <c r="U305" i="57"/>
  <c r="R503" i="12"/>
  <c r="U254" i="57"/>
  <c r="R452" i="12"/>
  <c r="U130" i="57"/>
  <c r="R338" i="12"/>
  <c r="U256" i="57"/>
  <c r="R454" i="12"/>
  <c r="U131" i="57"/>
  <c r="R339" i="12"/>
  <c r="U176" i="57"/>
  <c r="R374" i="12"/>
  <c r="U94" i="57"/>
  <c r="R307" i="12"/>
  <c r="U234" i="57"/>
  <c r="R432" i="12"/>
  <c r="U112" i="57"/>
  <c r="R320" i="12"/>
  <c r="U303" i="57"/>
  <c r="R501" i="12"/>
  <c r="U71" i="57"/>
  <c r="R289" i="12"/>
  <c r="U304" i="57"/>
  <c r="R502" i="12"/>
  <c r="U92" i="57"/>
  <c r="R305" i="12"/>
  <c r="U44" i="57"/>
  <c r="R199" i="12"/>
  <c r="U169" i="57"/>
  <c r="R220" i="12"/>
  <c r="U96" i="57"/>
  <c r="R309" i="12"/>
  <c r="U127" i="57"/>
  <c r="R335" i="12"/>
  <c r="U100" i="57"/>
  <c r="R313" i="12"/>
  <c r="U50" i="57"/>
  <c r="R268" i="12"/>
  <c r="U289" i="57"/>
  <c r="R487" i="12"/>
  <c r="U200" i="57"/>
  <c r="R398" i="12"/>
  <c r="U288" i="57"/>
  <c r="R486" i="12"/>
  <c r="U245" i="57"/>
  <c r="R443" i="12"/>
  <c r="U316" i="57"/>
  <c r="R514" i="12"/>
  <c r="U120" i="57"/>
  <c r="R328" i="12"/>
  <c r="U98" i="57"/>
  <c r="R311" i="12"/>
  <c r="U158" i="57"/>
  <c r="R361" i="12"/>
  <c r="U241" i="57"/>
  <c r="R439" i="12"/>
  <c r="U258" i="57"/>
  <c r="R456" i="12"/>
  <c r="U154" i="57"/>
  <c r="R357" i="12"/>
  <c r="U97" i="57"/>
  <c r="R310" i="12"/>
  <c r="U148" i="57"/>
  <c r="R224" i="12"/>
  <c r="U53" i="57"/>
  <c r="R271" i="12"/>
  <c r="U202" i="57"/>
  <c r="R400" i="12"/>
  <c r="U45" i="57"/>
  <c r="R200" i="12"/>
  <c r="U173" i="57"/>
  <c r="R371" i="12"/>
  <c r="U62" i="57"/>
  <c r="R280" i="12"/>
  <c r="U244" i="57"/>
  <c r="R442" i="12"/>
  <c r="U113" i="57"/>
  <c r="R321" i="12"/>
  <c r="U63" i="57"/>
  <c r="R281" i="12"/>
  <c r="U172" i="57"/>
  <c r="R370" i="12"/>
  <c r="U278" i="57"/>
  <c r="R476" i="12"/>
  <c r="U179" i="57"/>
  <c r="R377" i="12"/>
  <c r="U58" i="57"/>
  <c r="R276" i="12"/>
  <c r="U47" i="57"/>
  <c r="R202" i="12"/>
  <c r="U299" i="57"/>
  <c r="R497" i="12"/>
  <c r="U101" i="57"/>
  <c r="R314" i="12"/>
  <c r="U247" i="57"/>
  <c r="R445" i="12"/>
  <c r="U294" i="57"/>
  <c r="R492" i="12"/>
  <c r="U268" i="57"/>
  <c r="R466" i="12"/>
  <c r="U302" i="57"/>
  <c r="R500" i="12"/>
  <c r="U149" i="57"/>
  <c r="R225" i="12"/>
  <c r="U90" i="57"/>
  <c r="R303" i="12"/>
  <c r="U209" i="57"/>
  <c r="R407" i="12"/>
  <c r="U48" i="57"/>
  <c r="R266" i="12"/>
  <c r="U19" i="57"/>
  <c r="R247" i="12"/>
  <c r="U123" i="57"/>
  <c r="R331" i="12"/>
  <c r="U57" i="57"/>
  <c r="R275" i="12"/>
  <c r="U306" i="57"/>
  <c r="R504" i="12"/>
  <c r="U121" i="57"/>
  <c r="R329" i="12"/>
  <c r="U227" i="57"/>
  <c r="R425" i="12"/>
  <c r="U116" i="57"/>
  <c r="R324" i="12"/>
  <c r="U168" i="57"/>
  <c r="R219" i="12"/>
  <c r="U165" i="57"/>
  <c r="R368" i="12"/>
  <c r="U142" i="57"/>
  <c r="R350" i="12"/>
  <c r="U70" i="57"/>
  <c r="R288" i="12"/>
  <c r="U252" i="57"/>
  <c r="R450" i="12"/>
  <c r="U193" i="57"/>
  <c r="R391" i="12"/>
  <c r="U300" i="57"/>
  <c r="R498" i="12"/>
  <c r="U270" i="57"/>
  <c r="R468" i="12"/>
  <c r="U59" i="57"/>
  <c r="R277" i="12"/>
  <c r="U286" i="57"/>
  <c r="R484" i="12"/>
  <c r="U166" i="57"/>
  <c r="R369" i="12"/>
  <c r="U34" i="57"/>
  <c r="R257" i="12"/>
  <c r="U191" i="57"/>
  <c r="R389" i="12"/>
  <c r="U225" i="57"/>
  <c r="R423" i="12"/>
  <c r="U143" i="57"/>
  <c r="R351" i="12"/>
  <c r="U248" i="57"/>
  <c r="R446" i="12"/>
  <c r="U238" i="57"/>
  <c r="R436" i="12"/>
  <c r="U145" i="57"/>
  <c r="R353" i="12"/>
  <c r="U54" i="57"/>
  <c r="R272" i="12"/>
  <c r="U37" i="57"/>
  <c r="R260" i="12"/>
  <c r="U26" i="57"/>
  <c r="R206" i="12"/>
  <c r="U293" i="57"/>
  <c r="R491" i="12"/>
  <c r="U320" i="57"/>
  <c r="R518" i="12"/>
  <c r="U228" i="57"/>
  <c r="R426" i="12"/>
  <c r="U18" i="57"/>
  <c r="R246" i="12"/>
  <c r="U219" i="57"/>
  <c r="R417" i="12"/>
  <c r="U235" i="57"/>
  <c r="R433" i="12"/>
  <c r="U125" i="57"/>
  <c r="R333" i="12"/>
  <c r="U237" i="57"/>
  <c r="R435" i="12"/>
  <c r="U290" i="57"/>
  <c r="R488" i="12"/>
  <c r="U211" i="57"/>
  <c r="R409" i="12"/>
  <c r="U36" i="57"/>
  <c r="R259" i="12"/>
  <c r="U52" i="57"/>
  <c r="R270" i="12"/>
  <c r="U33" i="57"/>
  <c r="R256" i="12"/>
  <c r="U102" i="57"/>
  <c r="R315" i="12"/>
  <c r="U66" i="57"/>
  <c r="R284" i="12"/>
  <c r="U249" i="57"/>
  <c r="R447" i="12"/>
  <c r="U146" i="57"/>
  <c r="R354" i="12"/>
  <c r="U23" i="57"/>
  <c r="R203" i="12"/>
  <c r="U40" i="57"/>
  <c r="R263" i="12"/>
  <c r="U275" i="57"/>
  <c r="R473" i="12"/>
  <c r="U281" i="57"/>
  <c r="R479" i="12"/>
  <c r="U122" i="57"/>
  <c r="R330" i="12"/>
  <c r="U284" i="57"/>
  <c r="R482" i="12"/>
  <c r="U160" i="57"/>
  <c r="R363" i="12"/>
  <c r="U91" i="57"/>
  <c r="R304" i="12"/>
  <c r="U218" i="57"/>
  <c r="R416" i="12"/>
  <c r="U21" i="57"/>
  <c r="R249" i="12"/>
  <c r="U251" i="57"/>
  <c r="R449" i="12"/>
  <c r="U99" i="57"/>
  <c r="R312" i="12"/>
  <c r="U124" i="57"/>
  <c r="R332" i="12"/>
  <c r="U117" i="57"/>
  <c r="R325" i="12"/>
  <c r="U181" i="57"/>
  <c r="R379" i="12"/>
  <c r="U195" i="57"/>
  <c r="R393" i="12"/>
  <c r="U243" i="57"/>
  <c r="R441" i="12"/>
  <c r="V44" i="23"/>
  <c r="V53" i="23"/>
  <c r="V39" i="23"/>
  <c r="V59" i="23"/>
  <c r="V34" i="23"/>
  <c r="V244" i="23"/>
  <c r="V247" i="23"/>
  <c r="V245" i="23"/>
  <c r="V282" i="23"/>
  <c r="V305" i="23"/>
  <c r="V115" i="23"/>
  <c r="V174" i="23"/>
  <c r="V80" i="23"/>
  <c r="V289" i="23"/>
  <c r="V167" i="23"/>
  <c r="V117" i="23"/>
  <c r="V246" i="23"/>
  <c r="V283" i="23"/>
  <c r="V301" i="23"/>
  <c r="V304" i="23"/>
  <c r="V297" i="23"/>
  <c r="V164" i="23"/>
  <c r="V163" i="23"/>
  <c r="V201" i="23"/>
  <c r="V200" i="23"/>
  <c r="V214" i="23"/>
  <c r="V218" i="23"/>
  <c r="V217" i="23"/>
  <c r="V58" i="23"/>
  <c r="V101" i="23"/>
  <c r="V119" i="23"/>
  <c r="V118" i="23"/>
  <c r="V292" i="23"/>
  <c r="V306" i="23"/>
  <c r="V310" i="23"/>
  <c r="V309" i="23"/>
  <c r="V173" i="23"/>
  <c r="V187" i="23"/>
  <c r="V191" i="23"/>
  <c r="V190" i="23"/>
  <c r="V49" i="23"/>
  <c r="V130" i="23"/>
  <c r="V134" i="23"/>
  <c r="V133" i="23"/>
  <c r="V159" i="23"/>
  <c r="V158" i="23"/>
  <c r="V90" i="23"/>
  <c r="V94" i="23"/>
  <c r="V93" i="23"/>
  <c r="V251" i="23"/>
  <c r="V250" i="23"/>
  <c r="V254" i="23"/>
  <c r="V258" i="23"/>
  <c r="V257" i="23"/>
  <c r="V111" i="23"/>
  <c r="V125" i="23"/>
  <c r="V129" i="23"/>
  <c r="V128" i="23"/>
  <c r="V278" i="23"/>
  <c r="V277" i="23"/>
  <c r="V146" i="23"/>
  <c r="V145" i="23"/>
  <c r="V194" i="23"/>
  <c r="V193" i="23"/>
  <c r="V84" i="23"/>
  <c r="V83" i="23"/>
  <c r="V97" i="23"/>
  <c r="V96" i="23"/>
  <c r="V28" i="23"/>
  <c r="V182" i="23"/>
  <c r="V186" i="23"/>
  <c r="V185" i="23"/>
  <c r="V286" i="23"/>
  <c r="V120" i="23"/>
  <c r="V124" i="23"/>
  <c r="V123" i="23"/>
  <c r="V273" i="23"/>
  <c r="V272" i="23"/>
  <c r="V85" i="23"/>
  <c r="V89" i="23"/>
  <c r="V88" i="23"/>
  <c r="V33" i="23"/>
  <c r="V268" i="23"/>
  <c r="V267" i="23"/>
  <c r="V77" i="23"/>
  <c r="V76" i="23"/>
  <c r="V313" i="23"/>
  <c r="V312" i="23"/>
  <c r="V316" i="23"/>
  <c r="V320" i="23"/>
  <c r="V318" i="23"/>
  <c r="V147" i="23"/>
  <c r="V151" i="23"/>
  <c r="V150" i="23"/>
  <c r="V38" i="23"/>
  <c r="V152" i="23"/>
  <c r="V156" i="23"/>
  <c r="V155" i="23"/>
  <c r="V170" i="23"/>
  <c r="V211" i="23"/>
  <c r="V210" i="23"/>
  <c r="V228" i="23"/>
  <c r="V227" i="23"/>
  <c r="V178" i="23"/>
  <c r="V239" i="23"/>
  <c r="V243" i="23"/>
  <c r="V242" i="23"/>
  <c r="V219" i="23"/>
  <c r="V223" i="23"/>
  <c r="V222" i="23"/>
  <c r="V234" i="23"/>
  <c r="V238" i="23"/>
  <c r="V237" i="23"/>
  <c r="V281" i="23"/>
  <c r="V285" i="23"/>
  <c r="V284" i="23"/>
  <c r="V162" i="23"/>
  <c r="V165" i="23"/>
  <c r="V199" i="23"/>
  <c r="V203" i="23"/>
  <c r="V202" i="23"/>
  <c r="V216" i="23"/>
  <c r="V215" i="23"/>
  <c r="V54" i="23"/>
  <c r="V92" i="23"/>
  <c r="V91" i="23"/>
  <c r="V249" i="23"/>
  <c r="V253" i="23"/>
  <c r="V252" i="23"/>
  <c r="V256" i="23"/>
  <c r="V255" i="23"/>
  <c r="V113" i="23"/>
  <c r="V127" i="23"/>
  <c r="V126" i="23"/>
  <c r="V192" i="23"/>
  <c r="V196" i="23"/>
  <c r="V195" i="23"/>
  <c r="V81" i="23"/>
  <c r="V95" i="23"/>
  <c r="V99" i="23"/>
  <c r="V98" i="23"/>
  <c r="V29" i="23"/>
  <c r="V184" i="23"/>
  <c r="V183" i="23"/>
  <c r="V287" i="23"/>
  <c r="V122" i="23"/>
  <c r="V121" i="23"/>
  <c r="V271" i="23"/>
  <c r="V275" i="23"/>
  <c r="V274" i="23"/>
  <c r="V266" i="23"/>
  <c r="V270" i="23"/>
  <c r="V269" i="23"/>
  <c r="V154" i="23"/>
  <c r="V153" i="23"/>
  <c r="V169" i="23"/>
  <c r="V168" i="23"/>
  <c r="V213" i="23"/>
  <c r="V212" i="23"/>
  <c r="V225" i="23"/>
  <c r="V248" i="23"/>
  <c r="V296" i="23"/>
  <c r="V300" i="23"/>
  <c r="V100" i="23"/>
  <c r="V43" i="23"/>
  <c r="V308" i="23"/>
  <c r="V176" i="23"/>
  <c r="V188" i="23"/>
  <c r="V132" i="23"/>
  <c r="V161" i="23"/>
  <c r="V276" i="23"/>
  <c r="V279" i="23"/>
  <c r="V143" i="23"/>
  <c r="V86" i="23"/>
  <c r="V79" i="23"/>
  <c r="V311" i="23"/>
  <c r="V314" i="23"/>
  <c r="V317" i="23"/>
  <c r="V148" i="23"/>
  <c r="V221" i="23"/>
  <c r="V209" i="23"/>
  <c r="V220" i="23"/>
  <c r="V302" i="23"/>
  <c r="V104" i="23"/>
  <c r="V291" i="23"/>
  <c r="V295" i="23"/>
  <c r="V307" i="23"/>
  <c r="V175" i="23"/>
  <c r="V189" i="23"/>
  <c r="V48" i="23"/>
  <c r="V131" i="23"/>
  <c r="V157" i="23"/>
  <c r="V160" i="23"/>
  <c r="V280" i="23"/>
  <c r="V144" i="23"/>
  <c r="V87" i="23"/>
  <c r="V75" i="23"/>
  <c r="V78" i="23"/>
  <c r="V315" i="23"/>
  <c r="V319" i="23"/>
  <c r="V149" i="23"/>
  <c r="V181" i="23"/>
  <c r="V303" i="23"/>
  <c r="V299" i="23"/>
  <c r="V103" i="23"/>
  <c r="V116" i="23"/>
  <c r="V294" i="23"/>
  <c r="V172" i="23"/>
  <c r="V177" i="23"/>
  <c r="V180" i="23"/>
  <c r="V241" i="23"/>
  <c r="V240" i="23"/>
  <c r="V236" i="23"/>
  <c r="V235" i="23"/>
  <c r="V298" i="23"/>
  <c r="V102" i="23"/>
  <c r="V293" i="23"/>
  <c r="V112" i="23"/>
  <c r="V142" i="23"/>
  <c r="V290" i="23"/>
  <c r="V171" i="23"/>
  <c r="V224" i="23"/>
  <c r="V179" i="23"/>
  <c r="V166" i="23"/>
  <c r="V110" i="23"/>
  <c r="V114" i="23"/>
  <c r="V82" i="23"/>
  <c r="V288" i="23"/>
  <c r="V226" i="23"/>
  <c r="AB22" i="23"/>
  <c r="AF22" i="23" s="1"/>
  <c r="AC22" i="23"/>
  <c r="AG22" i="23" s="1"/>
  <c r="AE22" i="23"/>
  <c r="AI22" i="23" s="1"/>
  <c r="AD22" i="23"/>
  <c r="AH22" i="23" s="1"/>
  <c r="AE40" i="23"/>
  <c r="AC40" i="23"/>
  <c r="AD40" i="23"/>
  <c r="AB40" i="23"/>
  <c r="Q18" i="23"/>
  <c r="C208" i="11"/>
  <c r="P25" i="23"/>
  <c r="Q19" i="23"/>
  <c r="D203" i="11"/>
  <c r="L22" i="23"/>
  <c r="M22" i="23"/>
  <c r="N22" i="23" s="1"/>
  <c r="O22" i="23" s="1"/>
  <c r="P22" i="23" s="1"/>
  <c r="Q22" i="23" s="1"/>
  <c r="R22" i="23" s="1"/>
  <c r="S22" i="23" s="1"/>
  <c r="T22" i="23" s="1"/>
  <c r="U22" i="23" s="1"/>
  <c r="V22" i="23" s="1"/>
  <c r="O26" i="23"/>
  <c r="D221" i="11"/>
  <c r="A42" i="23"/>
  <c r="B41" i="23"/>
  <c r="F41" i="23"/>
  <c r="G41" i="23"/>
  <c r="N21" i="23"/>
  <c r="N27" i="23"/>
  <c r="C203" i="11"/>
  <c r="Q24" i="23"/>
  <c r="O20" i="23"/>
  <c r="E40" i="23"/>
  <c r="L40" i="23"/>
  <c r="M40" i="23"/>
  <c r="V243" i="57" l="1"/>
  <c r="T441" i="12" s="1"/>
  <c r="S441" i="12"/>
  <c r="V181" i="57"/>
  <c r="T379" i="12" s="1"/>
  <c r="S379" i="12"/>
  <c r="V124" i="57"/>
  <c r="T332" i="12" s="1"/>
  <c r="S332" i="12"/>
  <c r="V251" i="57"/>
  <c r="T449" i="12" s="1"/>
  <c r="S449" i="12"/>
  <c r="V218" i="57"/>
  <c r="T416" i="12" s="1"/>
  <c r="S416" i="12"/>
  <c r="V160" i="57"/>
  <c r="T363" i="12" s="1"/>
  <c r="S363" i="12"/>
  <c r="V122" i="57"/>
  <c r="T330" i="12" s="1"/>
  <c r="S330" i="12"/>
  <c r="V275" i="57"/>
  <c r="T473" i="12" s="1"/>
  <c r="S473" i="12"/>
  <c r="V23" i="57"/>
  <c r="T203" i="12" s="1"/>
  <c r="S203" i="12"/>
  <c r="V249" i="57"/>
  <c r="T447" i="12" s="1"/>
  <c r="S447" i="12"/>
  <c r="V102" i="57"/>
  <c r="T315" i="12" s="1"/>
  <c r="S315" i="12"/>
  <c r="V52" i="57"/>
  <c r="T270" i="12" s="1"/>
  <c r="S270" i="12"/>
  <c r="V211" i="57"/>
  <c r="T409" i="12" s="1"/>
  <c r="S409" i="12"/>
  <c r="V237" i="57"/>
  <c r="T435" i="12" s="1"/>
  <c r="S435" i="12"/>
  <c r="V235" i="57"/>
  <c r="T433" i="12" s="1"/>
  <c r="S433" i="12"/>
  <c r="V18" i="57"/>
  <c r="T246" i="12" s="1"/>
  <c r="S246" i="12"/>
  <c r="V320" i="57"/>
  <c r="T518" i="12" s="1"/>
  <c r="S518" i="12"/>
  <c r="V26" i="57"/>
  <c r="T206" i="12" s="1"/>
  <c r="S206" i="12"/>
  <c r="V54" i="57"/>
  <c r="T272" i="12" s="1"/>
  <c r="S272" i="12"/>
  <c r="V238" i="57"/>
  <c r="T436" i="12" s="1"/>
  <c r="S436" i="12"/>
  <c r="V143" i="57"/>
  <c r="T351" i="12" s="1"/>
  <c r="S351" i="12"/>
  <c r="V191" i="57"/>
  <c r="T389" i="12" s="1"/>
  <c r="S389" i="12"/>
  <c r="V166" i="57"/>
  <c r="T369" i="12" s="1"/>
  <c r="S369" i="12"/>
  <c r="V59" i="57"/>
  <c r="T277" i="12" s="1"/>
  <c r="S277" i="12"/>
  <c r="V300" i="57"/>
  <c r="T498" i="12" s="1"/>
  <c r="S498" i="12"/>
  <c r="V252" i="57"/>
  <c r="T450" i="12" s="1"/>
  <c r="S450" i="12"/>
  <c r="V142" i="57"/>
  <c r="T350" i="12" s="1"/>
  <c r="S350" i="12"/>
  <c r="V168" i="57"/>
  <c r="T219" i="12" s="1"/>
  <c r="S219" i="12"/>
  <c r="V227" i="57"/>
  <c r="T425" i="12" s="1"/>
  <c r="S425" i="12"/>
  <c r="V306" i="57"/>
  <c r="T504" i="12" s="1"/>
  <c r="S504" i="12"/>
  <c r="V123" i="57"/>
  <c r="T331" i="12" s="1"/>
  <c r="S331" i="12"/>
  <c r="V48" i="57"/>
  <c r="T266" i="12" s="1"/>
  <c r="S266" i="12"/>
  <c r="V90" i="57"/>
  <c r="T303" i="12" s="1"/>
  <c r="S303" i="12"/>
  <c r="V302" i="57"/>
  <c r="T500" i="12" s="1"/>
  <c r="S500" i="12"/>
  <c r="V294" i="57"/>
  <c r="T492" i="12" s="1"/>
  <c r="S492" i="12"/>
  <c r="V101" i="57"/>
  <c r="T314" i="12" s="1"/>
  <c r="S314" i="12"/>
  <c r="V47" i="57"/>
  <c r="T202" i="12" s="1"/>
  <c r="S202" i="12"/>
  <c r="V179" i="57"/>
  <c r="T377" i="12" s="1"/>
  <c r="S377" i="12"/>
  <c r="V172" i="57"/>
  <c r="T370" i="12" s="1"/>
  <c r="S370" i="12"/>
  <c r="V113" i="57"/>
  <c r="T321" i="12" s="1"/>
  <c r="S321" i="12"/>
  <c r="V62" i="57"/>
  <c r="T280" i="12" s="1"/>
  <c r="S280" i="12"/>
  <c r="V45" i="57"/>
  <c r="T200" i="12" s="1"/>
  <c r="S200" i="12"/>
  <c r="V53" i="57"/>
  <c r="T271" i="12" s="1"/>
  <c r="S271" i="12"/>
  <c r="V97" i="57"/>
  <c r="T310" i="12" s="1"/>
  <c r="S310" i="12"/>
  <c r="V258" i="57"/>
  <c r="T456" i="12" s="1"/>
  <c r="S456" i="12"/>
  <c r="V158" i="57"/>
  <c r="T361" i="12" s="1"/>
  <c r="S361" i="12"/>
  <c r="V120" i="57"/>
  <c r="T328" i="12" s="1"/>
  <c r="S328" i="12"/>
  <c r="V245" i="57"/>
  <c r="T443" i="12" s="1"/>
  <c r="S443" i="12"/>
  <c r="V200" i="57"/>
  <c r="T398" i="12" s="1"/>
  <c r="S398" i="12"/>
  <c r="V50" i="57"/>
  <c r="T268" i="12" s="1"/>
  <c r="S268" i="12"/>
  <c r="V127" i="57"/>
  <c r="T335" i="12" s="1"/>
  <c r="S335" i="12"/>
  <c r="V169" i="57"/>
  <c r="T220" i="12" s="1"/>
  <c r="S220" i="12"/>
  <c r="V92" i="57"/>
  <c r="T305" i="12" s="1"/>
  <c r="S305" i="12"/>
  <c r="V71" i="57"/>
  <c r="T289" i="12" s="1"/>
  <c r="S289" i="12"/>
  <c r="V112" i="57"/>
  <c r="T320" i="12" s="1"/>
  <c r="S320" i="12"/>
  <c r="V94" i="57"/>
  <c r="T307" i="12" s="1"/>
  <c r="S307" i="12"/>
  <c r="V131" i="57"/>
  <c r="T339" i="12" s="1"/>
  <c r="S339" i="12"/>
  <c r="V130" i="57"/>
  <c r="T338" i="12" s="1"/>
  <c r="S338" i="12"/>
  <c r="V305" i="57"/>
  <c r="T503" i="12" s="1"/>
  <c r="S503" i="12"/>
  <c r="V224" i="57"/>
  <c r="T422" i="12" s="1"/>
  <c r="S422" i="12"/>
  <c r="V308" i="57"/>
  <c r="T506" i="12" s="1"/>
  <c r="S506" i="12"/>
  <c r="V84" i="57"/>
  <c r="T302" i="12" s="1"/>
  <c r="S302" i="12"/>
  <c r="V301" i="57"/>
  <c r="T499" i="12" s="1"/>
  <c r="S499" i="12"/>
  <c r="V72" i="57"/>
  <c r="T290" i="12" s="1"/>
  <c r="S290" i="12"/>
  <c r="V266" i="57"/>
  <c r="T464" i="12" s="1"/>
  <c r="S464" i="12"/>
  <c r="V41" i="57"/>
  <c r="T264" i="12" s="1"/>
  <c r="S264" i="12"/>
  <c r="V81" i="57"/>
  <c r="T299" i="12" s="1"/>
  <c r="S299" i="12"/>
  <c r="V170" i="57"/>
  <c r="T221" i="12" s="1"/>
  <c r="S221" i="12"/>
  <c r="V174" i="57"/>
  <c r="T372" i="12" s="1"/>
  <c r="S372" i="12"/>
  <c r="V147" i="57"/>
  <c r="T223" i="12" s="1"/>
  <c r="S223" i="12"/>
  <c r="V283" i="57"/>
  <c r="T481" i="12" s="1"/>
  <c r="S481" i="12"/>
  <c r="V38" i="57"/>
  <c r="T261" i="12" s="1"/>
  <c r="S261" i="12"/>
  <c r="V22" i="57"/>
  <c r="T250" i="12" s="1"/>
  <c r="S250" i="12"/>
  <c r="V68" i="57"/>
  <c r="T286" i="12" s="1"/>
  <c r="S286" i="12"/>
  <c r="V77" i="57"/>
  <c r="T295" i="12" s="1"/>
  <c r="S295" i="12"/>
  <c r="V87" i="57"/>
  <c r="T215" i="12" s="1"/>
  <c r="S215" i="12"/>
  <c r="V163" i="57"/>
  <c r="T366" i="12" s="1"/>
  <c r="S366" i="12"/>
  <c r="V194" i="57"/>
  <c r="T392" i="12" s="1"/>
  <c r="S392" i="12"/>
  <c r="V32" i="57"/>
  <c r="T255" i="12" s="1"/>
  <c r="S255" i="12"/>
  <c r="V111" i="57"/>
  <c r="T319" i="12" s="1"/>
  <c r="S319" i="12"/>
  <c r="V196" i="57"/>
  <c r="T394" i="12" s="1"/>
  <c r="S394" i="12"/>
  <c r="V128" i="57"/>
  <c r="T336" i="12" s="1"/>
  <c r="S336" i="12"/>
  <c r="V103" i="57"/>
  <c r="T316" i="12" s="1"/>
  <c r="S316" i="12"/>
  <c r="V203" i="57"/>
  <c r="T401" i="12" s="1"/>
  <c r="S401" i="12"/>
  <c r="V318" i="57"/>
  <c r="T516" i="12" s="1"/>
  <c r="S516" i="12"/>
  <c r="V242" i="57"/>
  <c r="T440" i="12" s="1"/>
  <c r="S440" i="12"/>
  <c r="V291" i="57"/>
  <c r="T489" i="12" s="1"/>
  <c r="S489" i="12"/>
  <c r="V216" i="57"/>
  <c r="T414" i="12" s="1"/>
  <c r="S414" i="12"/>
  <c r="V309" i="57"/>
  <c r="T507" i="12" s="1"/>
  <c r="S507" i="12"/>
  <c r="V183" i="57"/>
  <c r="T381" i="12" s="1"/>
  <c r="S381" i="12"/>
  <c r="V89" i="57"/>
  <c r="T217" i="12" s="1"/>
  <c r="S217" i="12"/>
  <c r="V267" i="57"/>
  <c r="T465" i="12" s="1"/>
  <c r="S465" i="12"/>
  <c r="V295" i="57"/>
  <c r="T493" i="12" s="1"/>
  <c r="S493" i="12"/>
  <c r="V46" i="57"/>
  <c r="T201" i="12" s="1"/>
  <c r="S201" i="12"/>
  <c r="V317" i="57"/>
  <c r="T515" i="12" s="1"/>
  <c r="S515" i="12"/>
  <c r="V212" i="57"/>
  <c r="T410" i="12" s="1"/>
  <c r="S410" i="12"/>
  <c r="V27" i="57"/>
  <c r="T207" i="12" s="1"/>
  <c r="S207" i="12"/>
  <c r="V104" i="57"/>
  <c r="T317" i="12" s="1"/>
  <c r="S317" i="12"/>
  <c r="V35" i="57"/>
  <c r="T258" i="12" s="1"/>
  <c r="S258" i="12"/>
  <c r="V76" i="57"/>
  <c r="T294" i="12" s="1"/>
  <c r="S294" i="12"/>
  <c r="V67" i="57"/>
  <c r="T285" i="12" s="1"/>
  <c r="S285" i="12"/>
  <c r="V287" i="57"/>
  <c r="T485" i="12" s="1"/>
  <c r="S485" i="12"/>
  <c r="V273" i="57"/>
  <c r="T471" i="12" s="1"/>
  <c r="S471" i="12"/>
  <c r="V49" i="57"/>
  <c r="T267" i="12" s="1"/>
  <c r="S267" i="12"/>
  <c r="V187" i="57"/>
  <c r="T385" i="12" s="1"/>
  <c r="S385" i="12"/>
  <c r="V282" i="57"/>
  <c r="T480" i="12" s="1"/>
  <c r="S480" i="12"/>
  <c r="V312" i="57"/>
  <c r="T510" i="12" s="1"/>
  <c r="S510" i="12"/>
  <c r="V186" i="57"/>
  <c r="T384" i="12" s="1"/>
  <c r="S384" i="12"/>
  <c r="V277" i="57"/>
  <c r="T475" i="12" s="1"/>
  <c r="S475" i="12"/>
  <c r="V129" i="57"/>
  <c r="T337" i="12" s="1"/>
  <c r="S337" i="12"/>
  <c r="V171" i="57"/>
  <c r="T222" i="12" s="1"/>
  <c r="S222" i="12"/>
  <c r="V297" i="57"/>
  <c r="T495" i="12" s="1"/>
  <c r="S495" i="12"/>
  <c r="V159" i="57"/>
  <c r="T362" i="12" s="1"/>
  <c r="S362" i="12"/>
  <c r="V280" i="57"/>
  <c r="T478" i="12" s="1"/>
  <c r="S478" i="12"/>
  <c r="V133" i="57"/>
  <c r="T341" i="12" s="1"/>
  <c r="S341" i="12"/>
  <c r="V180" i="57"/>
  <c r="T378" i="12" s="1"/>
  <c r="S378" i="12"/>
  <c r="V162" i="57"/>
  <c r="T365" i="12" s="1"/>
  <c r="S365" i="12"/>
  <c r="V39" i="57"/>
  <c r="T262" i="12" s="1"/>
  <c r="S262" i="12"/>
  <c r="V51" i="57"/>
  <c r="T269" i="12" s="1"/>
  <c r="S269" i="12"/>
  <c r="V151" i="57"/>
  <c r="T227" i="12" s="1"/>
  <c r="S227" i="12"/>
  <c r="V210" i="57"/>
  <c r="T408" i="12" s="1"/>
  <c r="S408" i="12"/>
  <c r="V156" i="57"/>
  <c r="T359" i="12" s="1"/>
  <c r="S359" i="12"/>
  <c r="V310" i="57"/>
  <c r="T508" i="12" s="1"/>
  <c r="S508" i="12"/>
  <c r="V78" i="57"/>
  <c r="T296" i="12" s="1"/>
  <c r="S296" i="12"/>
  <c r="V192" i="57"/>
  <c r="T390" i="12" s="1"/>
  <c r="S390" i="12"/>
  <c r="V93" i="57"/>
  <c r="T306" i="12" s="1"/>
  <c r="S306" i="12"/>
  <c r="V118" i="57"/>
  <c r="T326" i="12" s="1"/>
  <c r="S326" i="12"/>
  <c r="V60" i="57"/>
  <c r="T278" i="12" s="1"/>
  <c r="S278" i="12"/>
  <c r="V313" i="57"/>
  <c r="T511" i="12" s="1"/>
  <c r="S511" i="12"/>
  <c r="V274" i="57"/>
  <c r="T472" i="12" s="1"/>
  <c r="S472" i="12"/>
  <c r="V42" i="57"/>
  <c r="T265" i="12" s="1"/>
  <c r="S265" i="12"/>
  <c r="V221" i="57"/>
  <c r="T419" i="12" s="1"/>
  <c r="S419" i="12"/>
  <c r="V157" i="57"/>
  <c r="T360" i="12" s="1"/>
  <c r="S360" i="12"/>
  <c r="V126" i="57"/>
  <c r="T334" i="12" s="1"/>
  <c r="S334" i="12"/>
  <c r="V272" i="57"/>
  <c r="T470" i="12" s="1"/>
  <c r="S470" i="12"/>
  <c r="V195" i="57"/>
  <c r="T393" i="12" s="1"/>
  <c r="S393" i="12"/>
  <c r="V117" i="57"/>
  <c r="T325" i="12" s="1"/>
  <c r="S325" i="12"/>
  <c r="V99" i="57"/>
  <c r="T312" i="12" s="1"/>
  <c r="S312" i="12"/>
  <c r="V21" i="57"/>
  <c r="T249" i="12" s="1"/>
  <c r="S249" i="12"/>
  <c r="V91" i="57"/>
  <c r="T304" i="12" s="1"/>
  <c r="S304" i="12"/>
  <c r="V284" i="57"/>
  <c r="T482" i="12" s="1"/>
  <c r="S482" i="12"/>
  <c r="V281" i="57"/>
  <c r="T479" i="12" s="1"/>
  <c r="S479" i="12"/>
  <c r="V40" i="57"/>
  <c r="T263" i="12" s="1"/>
  <c r="S263" i="12"/>
  <c r="V146" i="57"/>
  <c r="T354" i="12" s="1"/>
  <c r="S354" i="12"/>
  <c r="V66" i="57"/>
  <c r="T284" i="12" s="1"/>
  <c r="S284" i="12"/>
  <c r="V33" i="57"/>
  <c r="T256" i="12" s="1"/>
  <c r="S256" i="12"/>
  <c r="V36" i="57"/>
  <c r="T259" i="12" s="1"/>
  <c r="S259" i="12"/>
  <c r="V290" i="57"/>
  <c r="T488" i="12" s="1"/>
  <c r="S488" i="12"/>
  <c r="V125" i="57"/>
  <c r="T333" i="12" s="1"/>
  <c r="S333" i="12"/>
  <c r="V219" i="57"/>
  <c r="T417" i="12" s="1"/>
  <c r="S417" i="12"/>
  <c r="V228" i="57"/>
  <c r="T426" i="12" s="1"/>
  <c r="S426" i="12"/>
  <c r="V293" i="57"/>
  <c r="T491" i="12" s="1"/>
  <c r="S491" i="12"/>
  <c r="V37" i="57"/>
  <c r="T260" i="12" s="1"/>
  <c r="S260" i="12"/>
  <c r="V145" i="57"/>
  <c r="T353" i="12" s="1"/>
  <c r="S353" i="12"/>
  <c r="V248" i="57"/>
  <c r="T446" i="12" s="1"/>
  <c r="S446" i="12"/>
  <c r="V225" i="57"/>
  <c r="T423" i="12" s="1"/>
  <c r="S423" i="12"/>
  <c r="V34" i="57"/>
  <c r="T257" i="12" s="1"/>
  <c r="S257" i="12"/>
  <c r="V286" i="57"/>
  <c r="T484" i="12" s="1"/>
  <c r="S484" i="12"/>
  <c r="V270" i="57"/>
  <c r="T468" i="12" s="1"/>
  <c r="S468" i="12"/>
  <c r="V193" i="57"/>
  <c r="T391" i="12" s="1"/>
  <c r="S391" i="12"/>
  <c r="V70" i="57"/>
  <c r="T288" i="12" s="1"/>
  <c r="S288" i="12"/>
  <c r="V165" i="57"/>
  <c r="T368" i="12" s="1"/>
  <c r="S368" i="12"/>
  <c r="V116" i="57"/>
  <c r="T324" i="12" s="1"/>
  <c r="S324" i="12"/>
  <c r="V121" i="57"/>
  <c r="T329" i="12" s="1"/>
  <c r="S329" i="12"/>
  <c r="V57" i="57"/>
  <c r="T275" i="12" s="1"/>
  <c r="S275" i="12"/>
  <c r="V19" i="57"/>
  <c r="T247" i="12" s="1"/>
  <c r="S247" i="12"/>
  <c r="V209" i="57"/>
  <c r="T407" i="12" s="1"/>
  <c r="S407" i="12"/>
  <c r="V149" i="57"/>
  <c r="T225" i="12" s="1"/>
  <c r="S225" i="12"/>
  <c r="V268" i="57"/>
  <c r="T466" i="12" s="1"/>
  <c r="S466" i="12"/>
  <c r="V247" i="57"/>
  <c r="T445" i="12" s="1"/>
  <c r="S445" i="12"/>
  <c r="V299" i="57"/>
  <c r="T497" i="12" s="1"/>
  <c r="S497" i="12"/>
  <c r="V58" i="57"/>
  <c r="T276" i="12" s="1"/>
  <c r="S276" i="12"/>
  <c r="V278" i="57"/>
  <c r="T476" i="12" s="1"/>
  <c r="S476" i="12"/>
  <c r="V63" i="57"/>
  <c r="T281" i="12" s="1"/>
  <c r="S281" i="12"/>
  <c r="V244" i="57"/>
  <c r="T442" i="12" s="1"/>
  <c r="S442" i="12"/>
  <c r="V173" i="57"/>
  <c r="T371" i="12" s="1"/>
  <c r="S371" i="12"/>
  <c r="V202" i="57"/>
  <c r="T400" i="12" s="1"/>
  <c r="S400" i="12"/>
  <c r="V148" i="57"/>
  <c r="T224" i="12" s="1"/>
  <c r="S224" i="12"/>
  <c r="V154" i="57"/>
  <c r="T357" i="12" s="1"/>
  <c r="S357" i="12"/>
  <c r="V241" i="57"/>
  <c r="T439" i="12" s="1"/>
  <c r="S439" i="12"/>
  <c r="V98" i="57"/>
  <c r="T311" i="12" s="1"/>
  <c r="S311" i="12"/>
  <c r="V316" i="57"/>
  <c r="T514" i="12" s="1"/>
  <c r="S514" i="12"/>
  <c r="V288" i="57"/>
  <c r="T486" i="12" s="1"/>
  <c r="S486" i="12"/>
  <c r="V289" i="57"/>
  <c r="T487" i="12" s="1"/>
  <c r="S487" i="12"/>
  <c r="V100" i="57"/>
  <c r="T313" i="12" s="1"/>
  <c r="S313" i="12"/>
  <c r="V96" i="57"/>
  <c r="T309" i="12" s="1"/>
  <c r="S309" i="12"/>
  <c r="V44" i="57"/>
  <c r="T199" i="12" s="1"/>
  <c r="S199" i="12"/>
  <c r="V304" i="57"/>
  <c r="T502" i="12" s="1"/>
  <c r="S502" i="12"/>
  <c r="V303" i="57"/>
  <c r="T501" i="12" s="1"/>
  <c r="S501" i="12"/>
  <c r="V234" i="57"/>
  <c r="T432" i="12" s="1"/>
  <c r="S432" i="12"/>
  <c r="V176" i="57"/>
  <c r="T374" i="12" s="1"/>
  <c r="S374" i="12"/>
  <c r="V256" i="57"/>
  <c r="T454" i="12" s="1"/>
  <c r="S454" i="12"/>
  <c r="V254" i="57"/>
  <c r="T452" i="12" s="1"/>
  <c r="S452" i="12"/>
  <c r="V315" i="57"/>
  <c r="T513" i="12" s="1"/>
  <c r="S513" i="12"/>
  <c r="V61" i="57"/>
  <c r="T279" i="12" s="1"/>
  <c r="S279" i="12"/>
  <c r="V175" i="57"/>
  <c r="T373" i="12" s="1"/>
  <c r="S373" i="12"/>
  <c r="V276" i="57"/>
  <c r="T474" i="12" s="1"/>
  <c r="S474" i="12"/>
  <c r="V190" i="57"/>
  <c r="T388" i="12" s="1"/>
  <c r="S388" i="12"/>
  <c r="V285" i="57"/>
  <c r="T483" i="12" s="1"/>
  <c r="S483" i="12"/>
  <c r="V240" i="57"/>
  <c r="T438" i="12" s="1"/>
  <c r="S438" i="12"/>
  <c r="V246" i="57"/>
  <c r="T444" i="12" s="1"/>
  <c r="S444" i="12"/>
  <c r="V201" i="57"/>
  <c r="T399" i="12" s="1"/>
  <c r="S399" i="12"/>
  <c r="V177" i="57"/>
  <c r="T375" i="12" s="1"/>
  <c r="S375" i="12"/>
  <c r="V85" i="57"/>
  <c r="T213" i="12" s="1"/>
  <c r="S213" i="12"/>
  <c r="V269" i="57"/>
  <c r="T467" i="12" s="1"/>
  <c r="S467" i="12"/>
  <c r="V319" i="57"/>
  <c r="T517" i="12" s="1"/>
  <c r="S517" i="12"/>
  <c r="V236" i="57"/>
  <c r="T434" i="12" s="1"/>
  <c r="S434" i="12"/>
  <c r="V134" i="57"/>
  <c r="T342" i="12" s="1"/>
  <c r="S342" i="12"/>
  <c r="V110" i="57"/>
  <c r="T318" i="12" s="1"/>
  <c r="S318" i="12"/>
  <c r="V115" i="57"/>
  <c r="T323" i="12" s="1"/>
  <c r="S323" i="12"/>
  <c r="V167" i="57"/>
  <c r="T218" i="12" s="1"/>
  <c r="S218" i="12"/>
  <c r="V184" i="57"/>
  <c r="T382" i="12" s="1"/>
  <c r="S382" i="12"/>
  <c r="V83" i="57"/>
  <c r="T301" i="12" s="1"/>
  <c r="S301" i="12"/>
  <c r="V82" i="57"/>
  <c r="T300" i="12" s="1"/>
  <c r="S300" i="12"/>
  <c r="V220" i="57"/>
  <c r="T418" i="12" s="1"/>
  <c r="S418" i="12"/>
  <c r="V255" i="57"/>
  <c r="T453" i="12" s="1"/>
  <c r="S453" i="12"/>
  <c r="V182" i="57"/>
  <c r="T380" i="12" s="1"/>
  <c r="S380" i="12"/>
  <c r="V271" i="57"/>
  <c r="T469" i="12" s="1"/>
  <c r="S469" i="12"/>
  <c r="V56" i="57"/>
  <c r="T274" i="12" s="1"/>
  <c r="S274" i="12"/>
  <c r="V114" i="57"/>
  <c r="T322" i="12" s="1"/>
  <c r="S322" i="12"/>
  <c r="V214" i="57"/>
  <c r="T412" i="12" s="1"/>
  <c r="S412" i="12"/>
  <c r="V43" i="57"/>
  <c r="T198" i="12" s="1"/>
  <c r="S198" i="12"/>
  <c r="V188" i="57"/>
  <c r="T386" i="12" s="1"/>
  <c r="S386" i="12"/>
  <c r="V164" i="57"/>
  <c r="T367" i="12" s="1"/>
  <c r="S367" i="12"/>
  <c r="V239" i="57"/>
  <c r="T437" i="12" s="1"/>
  <c r="S437" i="12"/>
  <c r="V185" i="57"/>
  <c r="T383" i="12" s="1"/>
  <c r="S383" i="12"/>
  <c r="V25" i="57"/>
  <c r="T205" i="12" s="1"/>
  <c r="S205" i="12"/>
  <c r="V257" i="57"/>
  <c r="T455" i="12" s="1"/>
  <c r="S455" i="12"/>
  <c r="V31" i="57"/>
  <c r="T254" i="12" s="1"/>
  <c r="S254" i="12"/>
  <c r="V88" i="57"/>
  <c r="T216" i="12" s="1"/>
  <c r="S216" i="12"/>
  <c r="V64" i="57"/>
  <c r="T282" i="12" s="1"/>
  <c r="S282" i="12"/>
  <c r="V307" i="57"/>
  <c r="T505" i="12" s="1"/>
  <c r="S505" i="12"/>
  <c r="V314" i="57"/>
  <c r="T512" i="12" s="1"/>
  <c r="S512" i="12"/>
  <c r="V217" i="57"/>
  <c r="T415" i="12" s="1"/>
  <c r="S415" i="12"/>
  <c r="V292" i="57"/>
  <c r="T490" i="12" s="1"/>
  <c r="S490" i="12"/>
  <c r="V69" i="57"/>
  <c r="T287" i="12" s="1"/>
  <c r="S287" i="12"/>
  <c r="V80" i="57"/>
  <c r="T298" i="12" s="1"/>
  <c r="S298" i="12"/>
  <c r="V311" i="57"/>
  <c r="T509" i="12" s="1"/>
  <c r="S509" i="12"/>
  <c r="V226" i="57"/>
  <c r="T424" i="12" s="1"/>
  <c r="S424" i="12"/>
  <c r="V30" i="57"/>
  <c r="T253" i="12" s="1"/>
  <c r="S253" i="12"/>
  <c r="V65" i="57"/>
  <c r="T283" i="12" s="1"/>
  <c r="S283" i="12"/>
  <c r="V132" i="57"/>
  <c r="T340" i="12" s="1"/>
  <c r="S340" i="12"/>
  <c r="V28" i="57"/>
  <c r="T251" i="12" s="1"/>
  <c r="S251" i="12"/>
  <c r="V55" i="57"/>
  <c r="T273" i="12" s="1"/>
  <c r="S273" i="12"/>
  <c r="V95" i="57"/>
  <c r="T308" i="12" s="1"/>
  <c r="S308" i="12"/>
  <c r="V279" i="57"/>
  <c r="T477" i="12" s="1"/>
  <c r="S477" i="12"/>
  <c r="V189" i="57"/>
  <c r="T387" i="12" s="1"/>
  <c r="S387" i="12"/>
  <c r="V296" i="57"/>
  <c r="T494" i="12" s="1"/>
  <c r="S494" i="12"/>
  <c r="V178" i="57"/>
  <c r="T376" i="12" s="1"/>
  <c r="S376" i="12"/>
  <c r="V75" i="57"/>
  <c r="T293" i="12" s="1"/>
  <c r="S293" i="12"/>
  <c r="V24" i="57"/>
  <c r="T204" i="12" s="1"/>
  <c r="S204" i="12"/>
  <c r="V152" i="57"/>
  <c r="T355" i="12" s="1"/>
  <c r="S355" i="12"/>
  <c r="V144" i="57"/>
  <c r="T352" i="12" s="1"/>
  <c r="S352" i="12"/>
  <c r="V298" i="57"/>
  <c r="T496" i="12" s="1"/>
  <c r="S496" i="12"/>
  <c r="V253" i="57"/>
  <c r="T451" i="12" s="1"/>
  <c r="S451" i="12"/>
  <c r="V250" i="57"/>
  <c r="T448" i="12" s="1"/>
  <c r="S448" i="12"/>
  <c r="V119" i="57"/>
  <c r="T327" i="12" s="1"/>
  <c r="S327" i="12"/>
  <c r="V215" i="57"/>
  <c r="T413" i="12" s="1"/>
  <c r="S413" i="12"/>
  <c r="V223" i="57"/>
  <c r="T421" i="12" s="1"/>
  <c r="S421" i="12"/>
  <c r="V199" i="57"/>
  <c r="T397" i="12" s="1"/>
  <c r="S397" i="12"/>
  <c r="V79" i="57"/>
  <c r="T297" i="12" s="1"/>
  <c r="S297" i="12"/>
  <c r="V155" i="57"/>
  <c r="T358" i="12" s="1"/>
  <c r="S358" i="12"/>
  <c r="V150" i="57"/>
  <c r="T226" i="12" s="1"/>
  <c r="S226" i="12"/>
  <c r="V153" i="57"/>
  <c r="T356" i="12" s="1"/>
  <c r="S356" i="12"/>
  <c r="V29" i="57"/>
  <c r="T252" i="12" s="1"/>
  <c r="S252" i="12"/>
  <c r="V86" i="57"/>
  <c r="T214" i="12" s="1"/>
  <c r="S214" i="12"/>
  <c r="V222" i="57"/>
  <c r="T420" i="12" s="1"/>
  <c r="S420" i="12"/>
  <c r="V213" i="57"/>
  <c r="T411" i="12" s="1"/>
  <c r="S411" i="12"/>
  <c r="V161" i="57"/>
  <c r="T364" i="12" s="1"/>
  <c r="S364" i="12"/>
  <c r="V20" i="57"/>
  <c r="T248" i="12" s="1"/>
  <c r="S248" i="12"/>
  <c r="AD41" i="23"/>
  <c r="AH41" i="23" s="1"/>
  <c r="AB41" i="23"/>
  <c r="AF41" i="23" s="1"/>
  <c r="AE41" i="23"/>
  <c r="AI41" i="23" s="1"/>
  <c r="AC41" i="23"/>
  <c r="AG41" i="23" s="1"/>
  <c r="AH40" i="23"/>
  <c r="AH38" i="23"/>
  <c r="AI40" i="23"/>
  <c r="AI38" i="23"/>
  <c r="AF40" i="23"/>
  <c r="AF38" i="23"/>
  <c r="AG40" i="23"/>
  <c r="AG38" i="23"/>
  <c r="R18" i="23"/>
  <c r="N40" i="23"/>
  <c r="C221" i="11"/>
  <c r="D222" i="11"/>
  <c r="A45" i="23"/>
  <c r="B42" i="23"/>
  <c r="F42" i="23"/>
  <c r="G42" i="23"/>
  <c r="P26" i="23"/>
  <c r="P20" i="23"/>
  <c r="R24" i="23"/>
  <c r="O27" i="23"/>
  <c r="O21" i="23"/>
  <c r="E41" i="23"/>
  <c r="L41" i="23"/>
  <c r="M41" i="23"/>
  <c r="R19" i="23"/>
  <c r="Q25" i="23"/>
  <c r="AE42" i="23" l="1"/>
  <c r="AI42" i="23" s="1"/>
  <c r="AC42" i="23"/>
  <c r="AG42" i="23" s="1"/>
  <c r="AD42" i="23"/>
  <c r="AH42" i="23" s="1"/>
  <c r="AB42" i="23"/>
  <c r="AF42" i="23" s="1"/>
  <c r="S18" i="23"/>
  <c r="S19" i="23"/>
  <c r="N41" i="23"/>
  <c r="P21" i="23"/>
  <c r="P27" i="23"/>
  <c r="S24" i="23"/>
  <c r="Q20" i="23"/>
  <c r="E42" i="23"/>
  <c r="L42" i="23"/>
  <c r="M42" i="23"/>
  <c r="R25" i="23"/>
  <c r="C222" i="11"/>
  <c r="Q26" i="23"/>
  <c r="D223" i="11"/>
  <c r="A46" i="23"/>
  <c r="B45" i="23"/>
  <c r="G45" i="23"/>
  <c r="F45" i="23"/>
  <c r="O40" i="23"/>
  <c r="AE45" i="23" l="1"/>
  <c r="AD45" i="23"/>
  <c r="AC45" i="23"/>
  <c r="AB45" i="23"/>
  <c r="T18" i="23"/>
  <c r="D226" i="11"/>
  <c r="M45" i="23"/>
  <c r="L45" i="23"/>
  <c r="S25" i="23"/>
  <c r="O41" i="23"/>
  <c r="P40" i="23"/>
  <c r="E45" i="23"/>
  <c r="F46" i="23"/>
  <c r="G46" i="23"/>
  <c r="A47" i="23"/>
  <c r="B46" i="23"/>
  <c r="R26" i="23"/>
  <c r="N42" i="23"/>
  <c r="C223" i="11"/>
  <c r="R20" i="23"/>
  <c r="T24" i="23"/>
  <c r="Q27" i="23"/>
  <c r="Q21" i="23"/>
  <c r="T19" i="23"/>
  <c r="AD46" i="23" l="1"/>
  <c r="AH46" i="23" s="1"/>
  <c r="AC46" i="23"/>
  <c r="AG46" i="23" s="1"/>
  <c r="AB46" i="23"/>
  <c r="AF46" i="23" s="1"/>
  <c r="AE46" i="23"/>
  <c r="AI46" i="23" s="1"/>
  <c r="AG45" i="23"/>
  <c r="AG43" i="23"/>
  <c r="AI45" i="23"/>
  <c r="AI43" i="23"/>
  <c r="AF45" i="23"/>
  <c r="AF43" i="23"/>
  <c r="AH45" i="23"/>
  <c r="AH43" i="23"/>
  <c r="U18" i="23"/>
  <c r="O42" i="23"/>
  <c r="M46" i="23"/>
  <c r="L46" i="23"/>
  <c r="E46" i="23"/>
  <c r="C226" i="11"/>
  <c r="U19" i="23"/>
  <c r="R21" i="23"/>
  <c r="R27" i="23"/>
  <c r="U24" i="23"/>
  <c r="S20" i="23"/>
  <c r="S26" i="23"/>
  <c r="A35" i="23"/>
  <c r="F47" i="23"/>
  <c r="G47" i="23"/>
  <c r="B47" i="23"/>
  <c r="D227" i="11"/>
  <c r="Q40" i="23"/>
  <c r="P41" i="23"/>
  <c r="T25" i="23"/>
  <c r="N45" i="23"/>
  <c r="AC47" i="23" l="1"/>
  <c r="AG47" i="23" s="1"/>
  <c r="AB47" i="23"/>
  <c r="AF47" i="23" s="1"/>
  <c r="AE47" i="23"/>
  <c r="AI47" i="23" s="1"/>
  <c r="AD47" i="23"/>
  <c r="AH47" i="23" s="1"/>
  <c r="V18" i="23"/>
  <c r="L47" i="23"/>
  <c r="M47" i="23"/>
  <c r="D228" i="11"/>
  <c r="T20" i="23"/>
  <c r="V24" i="23"/>
  <c r="S27" i="23"/>
  <c r="S21" i="23"/>
  <c r="V19" i="23"/>
  <c r="C227" i="11"/>
  <c r="N46" i="23"/>
  <c r="Q41" i="23"/>
  <c r="R40" i="23"/>
  <c r="O45" i="23"/>
  <c r="U25" i="23"/>
  <c r="E47" i="23"/>
  <c r="A36" i="23"/>
  <c r="B35" i="23"/>
  <c r="G35" i="23"/>
  <c r="F35" i="23"/>
  <c r="T26" i="23"/>
  <c r="P42" i="23"/>
  <c r="AD35" i="23" l="1"/>
  <c r="AB35" i="23"/>
  <c r="AE35" i="23"/>
  <c r="AC35" i="23"/>
  <c r="D216" i="11"/>
  <c r="L35" i="23"/>
  <c r="M35" i="23"/>
  <c r="C228" i="11"/>
  <c r="V25" i="23"/>
  <c r="P45" i="23"/>
  <c r="R41" i="23"/>
  <c r="O46" i="23"/>
  <c r="N47" i="23"/>
  <c r="Q42" i="23"/>
  <c r="U26" i="23"/>
  <c r="E35" i="23"/>
  <c r="F36" i="23"/>
  <c r="G36" i="23"/>
  <c r="A37" i="23"/>
  <c r="B36" i="23"/>
  <c r="S40" i="23"/>
  <c r="T21" i="23"/>
  <c r="T27" i="23"/>
  <c r="U20" i="23"/>
  <c r="AB36" i="23" l="1"/>
  <c r="AF36" i="23" s="1"/>
  <c r="AE36" i="23"/>
  <c r="AI36" i="23" s="1"/>
  <c r="AC36" i="23"/>
  <c r="AG36" i="23" s="1"/>
  <c r="AD36" i="23"/>
  <c r="AH36" i="23" s="1"/>
  <c r="AI35" i="23"/>
  <c r="AI33" i="23"/>
  <c r="AH35" i="23"/>
  <c r="AH33" i="23"/>
  <c r="AG35" i="23"/>
  <c r="AG33" i="23"/>
  <c r="AF35" i="23"/>
  <c r="AF33" i="23"/>
  <c r="M36" i="23"/>
  <c r="L36" i="23"/>
  <c r="E36" i="23"/>
  <c r="C216" i="11"/>
  <c r="R42" i="23"/>
  <c r="O47" i="23"/>
  <c r="P46" i="23"/>
  <c r="N35" i="23"/>
  <c r="T40" i="23"/>
  <c r="V20" i="23"/>
  <c r="U27" i="23"/>
  <c r="U21" i="23"/>
  <c r="A50" i="23"/>
  <c r="B37" i="23"/>
  <c r="F37" i="23"/>
  <c r="G37" i="23"/>
  <c r="D217" i="11"/>
  <c r="V26" i="23"/>
  <c r="S41" i="23"/>
  <c r="Q45" i="23"/>
  <c r="AB37" i="23" l="1"/>
  <c r="AF37" i="23" s="1"/>
  <c r="AE37" i="23"/>
  <c r="AI37" i="23" s="1"/>
  <c r="AC37" i="23"/>
  <c r="AG37" i="23" s="1"/>
  <c r="AD37" i="23"/>
  <c r="AH37" i="23" s="1"/>
  <c r="R45" i="23"/>
  <c r="T41" i="23"/>
  <c r="D218" i="11"/>
  <c r="A51" i="23"/>
  <c r="F50" i="23"/>
  <c r="B50" i="23"/>
  <c r="G50" i="23"/>
  <c r="U40" i="23"/>
  <c r="O35" i="23"/>
  <c r="P47" i="23"/>
  <c r="N36" i="23"/>
  <c r="E37" i="23"/>
  <c r="M37" i="23"/>
  <c r="L37" i="23"/>
  <c r="V21" i="23"/>
  <c r="V27" i="23"/>
  <c r="Q46" i="23"/>
  <c r="S42" i="23"/>
  <c r="C217" i="11"/>
  <c r="AE50" i="23" l="1"/>
  <c r="AB50" i="23"/>
  <c r="AD50" i="23"/>
  <c r="AC50" i="23"/>
  <c r="T42" i="23"/>
  <c r="R46" i="23"/>
  <c r="N37" i="23"/>
  <c r="P35" i="23"/>
  <c r="M50" i="23"/>
  <c r="L50" i="23"/>
  <c r="A52" i="23"/>
  <c r="B51" i="23"/>
  <c r="F51" i="23"/>
  <c r="G51" i="23"/>
  <c r="E51" i="23" s="1"/>
  <c r="C232" i="11" s="1"/>
  <c r="C218" i="11"/>
  <c r="O36" i="23"/>
  <c r="Q47" i="23"/>
  <c r="V40" i="23"/>
  <c r="E50" i="23"/>
  <c r="D231" i="11"/>
  <c r="U41" i="23"/>
  <c r="S45" i="23"/>
  <c r="AB51" i="23" l="1"/>
  <c r="AF51" i="23" s="1"/>
  <c r="AD51" i="23"/>
  <c r="AH51" i="23" s="1"/>
  <c r="AC51" i="23"/>
  <c r="AG51" i="23" s="1"/>
  <c r="AE51" i="23"/>
  <c r="AI51" i="23" s="1"/>
  <c r="AH50" i="23"/>
  <c r="AH48" i="23"/>
  <c r="AI50" i="23"/>
  <c r="AI48" i="23"/>
  <c r="AG50" i="23"/>
  <c r="AG48" i="23"/>
  <c r="AF50" i="23"/>
  <c r="AF48" i="23"/>
  <c r="R47" i="23"/>
  <c r="M51" i="23"/>
  <c r="L51" i="23"/>
  <c r="N50" i="23"/>
  <c r="Q35" i="23"/>
  <c r="S46" i="23"/>
  <c r="U42" i="23"/>
  <c r="T45" i="23"/>
  <c r="V41" i="23"/>
  <c r="C231" i="11"/>
  <c r="P36" i="23"/>
  <c r="A30" i="23"/>
  <c r="F52" i="23"/>
  <c r="G52" i="23"/>
  <c r="E52" i="23" s="1"/>
  <c r="B52" i="23"/>
  <c r="O37" i="23"/>
  <c r="AC52" i="23" l="1"/>
  <c r="AG52" i="23" s="1"/>
  <c r="AE52" i="23"/>
  <c r="AI52" i="23" s="1"/>
  <c r="AB52" i="23"/>
  <c r="AF52" i="23" s="1"/>
  <c r="AD52" i="23"/>
  <c r="AH52" i="23" s="1"/>
  <c r="L52" i="23"/>
  <c r="M52" i="23"/>
  <c r="Q36" i="23"/>
  <c r="U45" i="23"/>
  <c r="V42" i="23"/>
  <c r="P37" i="23"/>
  <c r="A31" i="23"/>
  <c r="F30" i="23"/>
  <c r="B30" i="23"/>
  <c r="G30" i="23"/>
  <c r="T46" i="23"/>
  <c r="R35" i="23"/>
  <c r="O50" i="23"/>
  <c r="N51" i="23"/>
  <c r="S47" i="23"/>
  <c r="AD30" i="23" l="1"/>
  <c r="AB30" i="23"/>
  <c r="AE30" i="23"/>
  <c r="AC30" i="23"/>
  <c r="O51" i="23"/>
  <c r="P50" i="23"/>
  <c r="S35" i="23"/>
  <c r="D211" i="11"/>
  <c r="N52" i="23"/>
  <c r="O52" i="23" s="1"/>
  <c r="E30" i="23"/>
  <c r="T47" i="23"/>
  <c r="U46" i="23"/>
  <c r="M30" i="23"/>
  <c r="L30" i="23"/>
  <c r="A32" i="23"/>
  <c r="B31" i="23"/>
  <c r="F31" i="23"/>
  <c r="G31" i="23"/>
  <c r="Q37" i="23"/>
  <c r="V45" i="23"/>
  <c r="R36" i="23"/>
  <c r="AI30" i="23" l="1"/>
  <c r="AI28" i="23"/>
  <c r="AH30" i="23"/>
  <c r="AH28" i="23"/>
  <c r="AB31" i="23"/>
  <c r="AF31" i="23" s="1"/>
  <c r="AE31" i="23"/>
  <c r="AI31" i="23" s="1"/>
  <c r="AC31" i="23"/>
  <c r="AG31" i="23" s="1"/>
  <c r="AD31" i="23"/>
  <c r="AH31" i="23" s="1"/>
  <c r="AG30" i="23"/>
  <c r="AG28" i="23"/>
  <c r="AF30" i="23"/>
  <c r="AF28" i="23"/>
  <c r="S36" i="23"/>
  <c r="R37" i="23"/>
  <c r="D212" i="11"/>
  <c r="A65" i="23"/>
  <c r="F32" i="23"/>
  <c r="G32" i="23"/>
  <c r="B32" i="23"/>
  <c r="N30" i="23"/>
  <c r="U47" i="23"/>
  <c r="P52" i="23"/>
  <c r="Q52" i="23" s="1"/>
  <c r="E31" i="23"/>
  <c r="L31" i="23"/>
  <c r="M31" i="23"/>
  <c r="V46" i="23"/>
  <c r="C211" i="11"/>
  <c r="T35" i="23"/>
  <c r="Q50" i="23"/>
  <c r="P51" i="23"/>
  <c r="Q51" i="23" s="1"/>
  <c r="AB32" i="23" l="1"/>
  <c r="AF32" i="23" s="1"/>
  <c r="AE32" i="23"/>
  <c r="AI32" i="23" s="1"/>
  <c r="AC32" i="23"/>
  <c r="AG32" i="23" s="1"/>
  <c r="AD32" i="23"/>
  <c r="AH32" i="23" s="1"/>
  <c r="R51" i="23"/>
  <c r="S51" i="23" s="1"/>
  <c r="R50" i="23"/>
  <c r="N31" i="23"/>
  <c r="E32" i="23"/>
  <c r="F65" i="23"/>
  <c r="G65" i="23"/>
  <c r="A66" i="23"/>
  <c r="B65" i="23"/>
  <c r="U35" i="23"/>
  <c r="C212" i="11"/>
  <c r="R52" i="23"/>
  <c r="S52" i="23" s="1"/>
  <c r="V47" i="23"/>
  <c r="O30" i="23"/>
  <c r="L32" i="23"/>
  <c r="M32" i="23"/>
  <c r="D213" i="11"/>
  <c r="S37" i="23"/>
  <c r="T36" i="23"/>
  <c r="AB65" i="23" l="1"/>
  <c r="AE65" i="23"/>
  <c r="AC65" i="23"/>
  <c r="AD65" i="23"/>
  <c r="T37" i="23"/>
  <c r="U36" i="23"/>
  <c r="N32" i="23"/>
  <c r="A67" i="23"/>
  <c r="B66" i="23"/>
  <c r="F66" i="23"/>
  <c r="G66" i="23"/>
  <c r="D246" i="11"/>
  <c r="O31" i="23"/>
  <c r="P30" i="23"/>
  <c r="T52" i="23"/>
  <c r="V35" i="23"/>
  <c r="L65" i="23"/>
  <c r="M65" i="23"/>
  <c r="E65" i="23"/>
  <c r="C213" i="11"/>
  <c r="S50" i="23"/>
  <c r="T51" i="23"/>
  <c r="AG65" i="23" l="1"/>
  <c r="AG63" i="23"/>
  <c r="AF65" i="23"/>
  <c r="AF63" i="23"/>
  <c r="AE66" i="23"/>
  <c r="AI66" i="23" s="1"/>
  <c r="AC66" i="23"/>
  <c r="AG66" i="23" s="1"/>
  <c r="AD66" i="23"/>
  <c r="AH66" i="23" s="1"/>
  <c r="AB66" i="23"/>
  <c r="AF66" i="23" s="1"/>
  <c r="AH65" i="23"/>
  <c r="AH63" i="23"/>
  <c r="AI65" i="23"/>
  <c r="AI63" i="23"/>
  <c r="U51" i="23"/>
  <c r="T50" i="23"/>
  <c r="C246" i="11"/>
  <c r="P31" i="23"/>
  <c r="D232" i="11"/>
  <c r="D247" i="11"/>
  <c r="A60" i="23"/>
  <c r="F67" i="23"/>
  <c r="G67" i="23"/>
  <c r="B67" i="23"/>
  <c r="O32" i="23"/>
  <c r="V36" i="23"/>
  <c r="N65" i="23"/>
  <c r="U52" i="23"/>
  <c r="Q30" i="23"/>
  <c r="E66" i="23"/>
  <c r="M66" i="23"/>
  <c r="L66" i="23"/>
  <c r="U37" i="23"/>
  <c r="AD67" i="23" l="1"/>
  <c r="AH67" i="23" s="1"/>
  <c r="AB67" i="23"/>
  <c r="AF67" i="23" s="1"/>
  <c r="AE67" i="23"/>
  <c r="AI67" i="23" s="1"/>
  <c r="AC67" i="23"/>
  <c r="AG67" i="23" s="1"/>
  <c r="V37" i="23"/>
  <c r="C247" i="11"/>
  <c r="R30" i="23"/>
  <c r="P32" i="23"/>
  <c r="L67" i="23"/>
  <c r="M67" i="23"/>
  <c r="D233" i="11"/>
  <c r="D248" i="11"/>
  <c r="N66" i="23"/>
  <c r="V52" i="23"/>
  <c r="O65" i="23"/>
  <c r="E67" i="23"/>
  <c r="A61" i="23"/>
  <c r="F60" i="23"/>
  <c r="B60" i="23"/>
  <c r="G60" i="23"/>
  <c r="Q31" i="23"/>
  <c r="U50" i="23"/>
  <c r="V51" i="23"/>
  <c r="AE60" i="23" l="1"/>
  <c r="AB60" i="23"/>
  <c r="AC60" i="23"/>
  <c r="AD60" i="23"/>
  <c r="V50" i="23"/>
  <c r="R31" i="23"/>
  <c r="D241" i="11"/>
  <c r="C233" i="11"/>
  <c r="C248" i="11"/>
  <c r="P65" i="23"/>
  <c r="O66" i="23"/>
  <c r="S30" i="23"/>
  <c r="E60" i="23"/>
  <c r="L60" i="23"/>
  <c r="M60" i="23"/>
  <c r="A62" i="23"/>
  <c r="B61" i="23"/>
  <c r="F61" i="23"/>
  <c r="G61" i="23"/>
  <c r="N67" i="23"/>
  <c r="Q32" i="23"/>
  <c r="AB61" i="23" l="1"/>
  <c r="AF61" i="23" s="1"/>
  <c r="AC61" i="23"/>
  <c r="AG61" i="23" s="1"/>
  <c r="AD61" i="23"/>
  <c r="AH61" i="23" s="1"/>
  <c r="AE61" i="23"/>
  <c r="AI61" i="23" s="1"/>
  <c r="AG60" i="23"/>
  <c r="AG58" i="23"/>
  <c r="AI60" i="23"/>
  <c r="AI58" i="23"/>
  <c r="AH60" i="23"/>
  <c r="AH58" i="23"/>
  <c r="AF60" i="23"/>
  <c r="AF58" i="23"/>
  <c r="E61" i="23"/>
  <c r="L61" i="23"/>
  <c r="M61" i="23"/>
  <c r="C241" i="11"/>
  <c r="T30" i="23"/>
  <c r="R32" i="23"/>
  <c r="O67" i="23"/>
  <c r="D242" i="11"/>
  <c r="A55" i="23"/>
  <c r="B62" i="23"/>
  <c r="F62" i="23"/>
  <c r="G62" i="23"/>
  <c r="N60" i="23"/>
  <c r="P66" i="23"/>
  <c r="Q65" i="23"/>
  <c r="S31" i="23"/>
  <c r="AC62" i="23" l="1"/>
  <c r="AG62" i="23" s="1"/>
  <c r="AD62" i="23"/>
  <c r="AH62" i="23" s="1"/>
  <c r="AE62" i="23"/>
  <c r="AI62" i="23" s="1"/>
  <c r="AB62" i="23"/>
  <c r="AF62" i="23" s="1"/>
  <c r="E62" i="23"/>
  <c r="M62" i="23"/>
  <c r="L62" i="23"/>
  <c r="P67" i="23"/>
  <c r="U30" i="23"/>
  <c r="C242" i="11"/>
  <c r="T31" i="23"/>
  <c r="R65" i="23"/>
  <c r="Q66" i="23"/>
  <c r="O60" i="23"/>
  <c r="D243" i="11"/>
  <c r="A56" i="23"/>
  <c r="F55" i="23"/>
  <c r="B55" i="23"/>
  <c r="G55" i="23"/>
  <c r="S32" i="23"/>
  <c r="N61" i="23"/>
  <c r="AD55" i="23" l="1"/>
  <c r="AB55" i="23"/>
  <c r="AE55" i="23"/>
  <c r="AC55" i="23"/>
  <c r="E55" i="23"/>
  <c r="T32" i="23"/>
  <c r="L55" i="23"/>
  <c r="M55" i="23"/>
  <c r="A57" i="23"/>
  <c r="B56" i="23"/>
  <c r="F56" i="23"/>
  <c r="G56" i="23"/>
  <c r="S65" i="23"/>
  <c r="V30" i="23"/>
  <c r="N62" i="23"/>
  <c r="C243" i="11"/>
  <c r="O61" i="23"/>
  <c r="D236" i="11"/>
  <c r="P60" i="23"/>
  <c r="R66" i="23"/>
  <c r="U31" i="23"/>
  <c r="Q67" i="23"/>
  <c r="AI55" i="23" l="1"/>
  <c r="AI53" i="23"/>
  <c r="AH55" i="23"/>
  <c r="AH53" i="23"/>
  <c r="AB56" i="23"/>
  <c r="AF56" i="23" s="1"/>
  <c r="AE56" i="23"/>
  <c r="AI56" i="23" s="1"/>
  <c r="AC56" i="23"/>
  <c r="AG56" i="23" s="1"/>
  <c r="AD56" i="23"/>
  <c r="AH56" i="23" s="1"/>
  <c r="AG55" i="23"/>
  <c r="AG53" i="23"/>
  <c r="AF55" i="23"/>
  <c r="AF53" i="23"/>
  <c r="R67" i="23"/>
  <c r="P61" i="23"/>
  <c r="T65" i="23"/>
  <c r="D237" i="11"/>
  <c r="A15" i="23"/>
  <c r="B57" i="23"/>
  <c r="F57" i="23"/>
  <c r="G57" i="23"/>
  <c r="U32" i="23"/>
  <c r="V31" i="23"/>
  <c r="S66" i="23"/>
  <c r="Q60" i="23"/>
  <c r="O62" i="23"/>
  <c r="E56" i="23"/>
  <c r="M56" i="23"/>
  <c r="L56" i="23"/>
  <c r="N55" i="23"/>
  <c r="C236" i="11"/>
  <c r="AE57" i="23" l="1"/>
  <c r="AI57" i="23" s="1"/>
  <c r="AC57" i="23"/>
  <c r="AG57" i="23" s="1"/>
  <c r="AD57" i="23"/>
  <c r="AH57" i="23" s="1"/>
  <c r="AB57" i="23"/>
  <c r="AF57" i="23" s="1"/>
  <c r="O55" i="23"/>
  <c r="N56" i="23"/>
  <c r="P62" i="23"/>
  <c r="V32" i="23"/>
  <c r="D238" i="11"/>
  <c r="A16" i="23"/>
  <c r="B15" i="23"/>
  <c r="G15" i="23"/>
  <c r="F15" i="23"/>
  <c r="U65" i="23"/>
  <c r="S67" i="23"/>
  <c r="C237" i="11"/>
  <c r="R60" i="23"/>
  <c r="T66" i="23"/>
  <c r="E57" i="23"/>
  <c r="M57" i="23"/>
  <c r="L57" i="23"/>
  <c r="Q61" i="23"/>
  <c r="AD15" i="23" l="1"/>
  <c r="AC15" i="23"/>
  <c r="AB15" i="23"/>
  <c r="AE15" i="23"/>
  <c r="N57" i="23"/>
  <c r="R61" i="23"/>
  <c r="V65" i="23"/>
  <c r="E15" i="23"/>
  <c r="F16" i="23"/>
  <c r="B16" i="23"/>
  <c r="A17" i="23"/>
  <c r="G16" i="23"/>
  <c r="O56" i="23"/>
  <c r="C238" i="11"/>
  <c r="U66" i="23"/>
  <c r="S60" i="23"/>
  <c r="T67" i="23"/>
  <c r="D196" i="11"/>
  <c r="L15" i="23"/>
  <c r="M15" i="23"/>
  <c r="N15" i="23" s="1"/>
  <c r="O15" i="23" s="1"/>
  <c r="P15" i="23" s="1"/>
  <c r="Q15" i="23" s="1"/>
  <c r="R15" i="23" s="1"/>
  <c r="S15" i="23" s="1"/>
  <c r="T15" i="23" s="1"/>
  <c r="U15" i="23" s="1"/>
  <c r="V15" i="23" s="1"/>
  <c r="Q62" i="23"/>
  <c r="P55" i="23"/>
  <c r="AF13" i="23" l="1"/>
  <c r="AF15" i="23"/>
  <c r="AH13" i="23"/>
  <c r="AH15" i="23"/>
  <c r="AE16" i="23"/>
  <c r="AI16" i="23" s="1"/>
  <c r="AB16" i="23"/>
  <c r="AF16" i="23" s="1"/>
  <c r="AD16" i="23"/>
  <c r="AH16" i="23" s="1"/>
  <c r="AC16" i="23"/>
  <c r="AG16" i="23" s="1"/>
  <c r="AI15" i="23"/>
  <c r="AI13" i="23"/>
  <c r="AG15" i="23"/>
  <c r="AG13" i="23"/>
  <c r="U67" i="23"/>
  <c r="T60" i="23"/>
  <c r="V66" i="23"/>
  <c r="P56" i="23"/>
  <c r="B17" i="23"/>
  <c r="G17" i="23"/>
  <c r="F17" i="23"/>
  <c r="D197" i="11"/>
  <c r="O57" i="23"/>
  <c r="Q55" i="23"/>
  <c r="R62" i="23"/>
  <c r="E16" i="23"/>
  <c r="M16" i="23"/>
  <c r="N16" i="23" s="1"/>
  <c r="O16" i="23" s="1"/>
  <c r="P16" i="23" s="1"/>
  <c r="Q16" i="23" s="1"/>
  <c r="R16" i="23" s="1"/>
  <c r="S16" i="23" s="1"/>
  <c r="T16" i="23" s="1"/>
  <c r="U16" i="23" s="1"/>
  <c r="V16" i="23" s="1"/>
  <c r="L16" i="23"/>
  <c r="C196" i="11"/>
  <c r="S61" i="23"/>
  <c r="AC17" i="23" l="1"/>
  <c r="AD17" i="23"/>
  <c r="AH17" i="23" s="1"/>
  <c r="AE17" i="23"/>
  <c r="AI17" i="23" s="1"/>
  <c r="AB17" i="23"/>
  <c r="AF17" i="23" s="1"/>
  <c r="S62" i="23"/>
  <c r="R55" i="23"/>
  <c r="D198" i="11"/>
  <c r="M17" i="23"/>
  <c r="L17" i="23"/>
  <c r="Q56" i="23"/>
  <c r="U60" i="23"/>
  <c r="V67" i="23"/>
  <c r="T61" i="23"/>
  <c r="C197" i="11"/>
  <c r="P57" i="23"/>
  <c r="E17" i="23"/>
  <c r="AG17" i="23" l="1"/>
  <c r="C198" i="11"/>
  <c r="Q57" i="23"/>
  <c r="V60" i="23"/>
  <c r="R56" i="23"/>
  <c r="U61" i="23"/>
  <c r="N17" i="23"/>
  <c r="S55" i="23"/>
  <c r="T62" i="23"/>
  <c r="T55" i="23" l="1"/>
  <c r="V61" i="23"/>
  <c r="O17" i="23"/>
  <c r="S56" i="23"/>
  <c r="R57" i="23"/>
  <c r="U62" i="23"/>
  <c r="V62" i="23" l="1"/>
  <c r="S57" i="23"/>
  <c r="T56" i="23"/>
  <c r="P17" i="23"/>
  <c r="U55" i="23"/>
  <c r="V55" i="23" l="1"/>
  <c r="Q17" i="23"/>
  <c r="U56" i="23"/>
  <c r="T57" i="23"/>
  <c r="U57" i="23" l="1"/>
  <c r="V56" i="23"/>
  <c r="R17" i="23"/>
  <c r="S17" i="23" l="1"/>
  <c r="V57" i="23"/>
  <c r="T17" i="23" l="1"/>
  <c r="U17" i="23" l="1"/>
  <c r="V17" i="23" l="1"/>
  <c r="A69" i="23"/>
  <c r="A70" i="23" s="1"/>
  <c r="F69" i="23" l="1"/>
  <c r="G69" i="23"/>
  <c r="E69" i="23" s="1"/>
  <c r="C250" i="11" s="1"/>
  <c r="B69" i="23"/>
  <c r="M69" i="23" s="1"/>
  <c r="G70" i="23"/>
  <c r="A71" i="23"/>
  <c r="B70" i="23"/>
  <c r="F70" i="23"/>
  <c r="D251" i="11" s="1"/>
  <c r="D250" i="11"/>
  <c r="L69" i="23" l="1"/>
  <c r="AC70" i="23"/>
  <c r="AD70" i="23"/>
  <c r="AE70" i="23"/>
  <c r="AB70" i="23"/>
  <c r="AB69" i="23"/>
  <c r="AC69" i="23"/>
  <c r="AD69" i="23"/>
  <c r="AE69" i="23"/>
  <c r="N69" i="23"/>
  <c r="L70" i="23"/>
  <c r="M70" i="23"/>
  <c r="E70" i="23"/>
  <c r="A72" i="23"/>
  <c r="B71" i="23"/>
  <c r="G71" i="23"/>
  <c r="F71" i="23"/>
  <c r="AI69" i="23" l="1"/>
  <c r="AG69" i="23"/>
  <c r="AF68" i="23"/>
  <c r="AH68" i="23"/>
  <c r="AD71" i="23"/>
  <c r="AH71" i="23" s="1"/>
  <c r="AE71" i="23"/>
  <c r="AI71" i="23" s="1"/>
  <c r="AB71" i="23"/>
  <c r="AF71" i="23" s="1"/>
  <c r="AC71" i="23"/>
  <c r="AG71" i="23" s="1"/>
  <c r="AH69" i="23"/>
  <c r="AF69" i="23"/>
  <c r="AI70" i="23"/>
  <c r="AI68" i="23"/>
  <c r="AG70" i="23"/>
  <c r="AG68" i="23"/>
  <c r="O69" i="23"/>
  <c r="E71" i="23"/>
  <c r="B72" i="23"/>
  <c r="G72" i="23"/>
  <c r="F72" i="23"/>
  <c r="C251" i="11"/>
  <c r="N70" i="23"/>
  <c r="D252" i="11"/>
  <c r="M71" i="23"/>
  <c r="L71" i="23"/>
  <c r="AE72" i="23" l="1"/>
  <c r="AI72" i="23" s="1"/>
  <c r="AB72" i="23"/>
  <c r="AC72" i="23"/>
  <c r="AG72" i="23" s="1"/>
  <c r="AD72" i="23"/>
  <c r="AH70" i="23"/>
  <c r="AF70" i="23"/>
  <c r="AE7" i="23"/>
  <c r="P69" i="23"/>
  <c r="D253" i="11"/>
  <c r="M72" i="23"/>
  <c r="L72" i="23"/>
  <c r="N71" i="23"/>
  <c r="O70" i="23"/>
  <c r="E72" i="23"/>
  <c r="C252" i="11"/>
  <c r="AC7" i="23" l="1"/>
  <c r="AH72" i="23"/>
  <c r="AD7" i="23"/>
  <c r="AF72" i="23"/>
  <c r="AB7" i="23"/>
  <c r="Q69" i="23"/>
  <c r="C253" i="11"/>
  <c r="O71" i="23"/>
  <c r="N72" i="23"/>
  <c r="P70" i="23"/>
  <c r="AF7" i="23" l="1"/>
  <c r="R69" i="23"/>
  <c r="Q70" i="23"/>
  <c r="O72" i="23"/>
  <c r="P71" i="23"/>
  <c r="S69" i="23" l="1"/>
  <c r="P72" i="23"/>
  <c r="R70" i="23"/>
  <c r="Q71" i="23"/>
  <c r="T69" i="23" l="1"/>
  <c r="R71" i="23"/>
  <c r="S70" i="23"/>
  <c r="Q72" i="23"/>
  <c r="U69" i="23" l="1"/>
  <c r="S71" i="23"/>
  <c r="R72" i="23"/>
  <c r="T70" i="23"/>
  <c r="V69" i="23" l="1"/>
  <c r="S72" i="23"/>
  <c r="U70" i="23"/>
  <c r="T71" i="23"/>
  <c r="U71" i="23" l="1"/>
  <c r="V70" i="23"/>
  <c r="T72" i="23"/>
  <c r="U72" i="23" l="1"/>
  <c r="V71" i="23"/>
  <c r="V72" i="23" l="1"/>
  <c r="B807" i="11" l="1"/>
  <c r="B787" i="11"/>
  <c r="D361" i="10"/>
  <c r="D787" i="11" s="1"/>
  <c r="D807" i="11" l="1"/>
  <c r="D36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H7" authorId="0" shapeId="0" xr:uid="{9C80DF09-33D1-4651-A5DF-4FD0864BB3F8}">
      <text>
        <r>
          <rPr>
            <sz val="8"/>
            <color indexed="81"/>
            <rFont val="Tahoma"/>
            <family val="2"/>
          </rPr>
          <t xml:space="preserve">Annual Growth Rate
</t>
        </r>
      </text>
    </comment>
    <comment ref="I7" authorId="0" shapeId="0" xr:uid="{B9580B3C-C9EA-49D9-BD15-B4642682CE14}">
      <text>
        <r>
          <rPr>
            <sz val="8"/>
            <color indexed="81"/>
            <rFont val="Tahoma"/>
            <family val="2"/>
          </rPr>
          <t xml:space="preserve">Annual Growth Rate
</t>
        </r>
      </text>
    </comment>
    <comment ref="S7" authorId="0" shapeId="0" xr:uid="{F06799F9-3674-4E60-A66D-76C896BA38C4}">
      <text>
        <r>
          <rPr>
            <sz val="8"/>
            <color indexed="81"/>
            <rFont val="Tahoma"/>
            <family val="2"/>
          </rPr>
          <t>the absolute value to enable the capacity buildup to start.</t>
        </r>
      </text>
    </comment>
    <comment ref="H131" authorId="0" shapeId="0" xr:uid="{E14D86E6-E1DB-4761-AB18-AFA9FE232B38}">
      <text>
        <r>
          <rPr>
            <sz val="8"/>
            <color indexed="81"/>
            <rFont val="Tahoma"/>
            <family val="2"/>
          </rPr>
          <t xml:space="preserve">Annual Growth Rate
</t>
        </r>
      </text>
    </comment>
    <comment ref="I131" authorId="0" shapeId="0" xr:uid="{6FF94CAF-9830-432D-A371-3CD74CC3C657}">
      <text>
        <r>
          <rPr>
            <sz val="8"/>
            <color indexed="81"/>
            <rFont val="Tahoma"/>
            <family val="2"/>
          </rPr>
          <t xml:space="preserve">Annual Growth Rate
</t>
        </r>
      </text>
    </comment>
    <comment ref="S131" authorId="0" shapeId="0" xr:uid="{E86C23C3-E267-4A79-AAC1-1F7EA02C850C}">
      <text>
        <r>
          <rPr>
            <sz val="8"/>
            <color indexed="81"/>
            <rFont val="Tahoma"/>
            <family val="2"/>
          </rPr>
          <t>the absolute value to enable the capacity buildup to start.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CLS</author>
  </authors>
  <commentList>
    <comment ref="B4" authorId="0" shapeId="0" xr:uid="{00000000-0006-0000-0E00-000001000000}">
      <text>
        <r>
          <rPr>
            <b/>
            <sz val="8"/>
            <color indexed="81"/>
            <rFont val="Tahoma"/>
            <family val="2"/>
          </rPr>
          <t>Data from AEO2008</t>
        </r>
        <r>
          <rPr>
            <sz val="8"/>
            <color indexed="81"/>
            <rFont val="Tahoma"/>
            <family val="2"/>
          </rPr>
          <t xml:space="preserve">
2006$</t>
        </r>
      </text>
    </comment>
    <comment ref="C4" authorId="0" shapeId="0" xr:uid="{00000000-0006-0000-0E00-000002000000}">
      <text>
        <r>
          <rPr>
            <b/>
            <sz val="8"/>
            <color indexed="81"/>
            <rFont val="Tahoma"/>
            <family val="2"/>
          </rPr>
          <t xml:space="preserve">Data from AEO2011
</t>
        </r>
        <r>
          <rPr>
            <sz val="8"/>
            <color indexed="81"/>
            <rFont val="Tahoma"/>
            <family val="2"/>
          </rPr>
          <t>2009$</t>
        </r>
      </text>
    </comment>
    <comment ref="B57" authorId="0" shapeId="0" xr:uid="{00000000-0006-0000-0E00-000003000000}">
      <text>
        <r>
          <rPr>
            <b/>
            <sz val="8"/>
            <color indexed="81"/>
            <rFont val="Tahoma"/>
            <family val="2"/>
          </rPr>
          <t>Data from AEO2008</t>
        </r>
        <r>
          <rPr>
            <sz val="8"/>
            <color indexed="81"/>
            <rFont val="Tahoma"/>
            <family val="2"/>
          </rPr>
          <t xml:space="preserve">
</t>
        </r>
      </text>
    </comment>
    <comment ref="C57" authorId="0" shapeId="0" xr:uid="{00000000-0006-0000-0E00-000004000000}">
      <text>
        <r>
          <rPr>
            <b/>
            <sz val="8"/>
            <color indexed="81"/>
            <rFont val="Tahoma"/>
            <family val="2"/>
          </rPr>
          <t>Data from AEO2011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CLS</author>
  </authors>
  <commentList>
    <comment ref="K4" authorId="0" shapeId="0" xr:uid="{00000000-0006-0000-1100-000001000000}">
      <text>
        <r>
          <rPr>
            <b/>
            <sz val="8"/>
            <color indexed="81"/>
            <rFont val="Tahoma"/>
            <family val="2"/>
          </rPr>
          <t>Value for imported Crude</t>
        </r>
        <r>
          <rPr>
            <sz val="8"/>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CLS</author>
  </authors>
  <commentList>
    <comment ref="K4" authorId="0" shapeId="0" xr:uid="{00000000-0006-0000-1400-000001000000}">
      <text>
        <r>
          <rPr>
            <b/>
            <sz val="8"/>
            <color indexed="81"/>
            <rFont val="Tahoma"/>
            <family val="2"/>
          </rPr>
          <t>Value for imported Crude</t>
        </r>
        <r>
          <rPr>
            <sz val="8"/>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CLS</author>
  </authors>
  <commentList>
    <comment ref="K5" authorId="0" shapeId="0" xr:uid="{00000000-0006-0000-1600-000001000000}">
      <text>
        <r>
          <rPr>
            <b/>
            <sz val="8"/>
            <color indexed="81"/>
            <rFont val="Tahoma"/>
            <family val="2"/>
          </rPr>
          <t>Value for imported Crude</t>
        </r>
        <r>
          <rPr>
            <sz val="8"/>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Michael Wang</author>
  </authors>
  <commentList>
    <comment ref="B41" authorId="0" shapeId="0" xr:uid="{00000000-0006-0000-1C00-000001000000}">
      <text>
        <r>
          <rPr>
            <sz val="8"/>
            <color indexed="81"/>
            <rFont val="Tahoma"/>
            <family val="2"/>
          </rPr>
          <t>A NG loss rate of 0.35% is assumed for NG recovery.</t>
        </r>
      </text>
    </comment>
    <comment ref="C41" authorId="0" shapeId="0" xr:uid="{00000000-0006-0000-1C00-000002000000}">
      <text>
        <r>
          <rPr>
            <sz val="8"/>
            <color indexed="81"/>
            <rFont val="Tahoma"/>
            <family val="2"/>
          </rPr>
          <t>A NG loss rate of 0.15% is assumed for NG processing.</t>
        </r>
      </text>
    </comment>
    <comment ref="E41" authorId="0" shapeId="0" xr:uid="{00000000-0006-0000-1C00-000003000000}">
      <text>
        <r>
          <rPr>
            <sz val="8"/>
            <color indexed="81"/>
            <rFont val="Tahoma"/>
            <family val="2"/>
          </rPr>
          <t>CH4 leakage is a function of pipeline transmission distance.</t>
        </r>
      </text>
    </comment>
  </commentList>
</comments>
</file>

<file path=xl/sharedStrings.xml><?xml version="1.0" encoding="utf-8"?>
<sst xmlns="http://schemas.openxmlformats.org/spreadsheetml/2006/main" count="13415" uniqueCount="1517">
  <si>
    <t>MINOILD1</t>
  </si>
  <si>
    <t>MINOILD2</t>
  </si>
  <si>
    <t>MINOILD3</t>
  </si>
  <si>
    <t>MINOILD4</t>
  </si>
  <si>
    <t>MINOILD5</t>
  </si>
  <si>
    <t>Oil</t>
  </si>
  <si>
    <t>Fuel Types</t>
  </si>
  <si>
    <t>Name</t>
  </si>
  <si>
    <t>Description</t>
  </si>
  <si>
    <t>Heat content (MMBtu per bbl)</t>
  </si>
  <si>
    <t>Heating No. 2</t>
  </si>
  <si>
    <t>LS Diesel (500 ppm)</t>
  </si>
  <si>
    <t>Sulfur</t>
  </si>
  <si>
    <t>API Gravity</t>
  </si>
  <si>
    <t>ULS Diesel (15 ppm)</t>
  </si>
  <si>
    <t>Low sulfur-light (FLL)</t>
  </si>
  <si>
    <t>&gt;24</t>
  </si>
  <si>
    <t>Conventional Mogas</t>
  </si>
  <si>
    <t>Medium sulfur-heavy (FMH)</t>
  </si>
  <si>
    <t>0.35-1.1%</t>
  </si>
  <si>
    <t>Reformulated Mogas</t>
  </si>
  <si>
    <t>High sulfur-light (FHL)</t>
  </si>
  <si>
    <t>&gt;1.1%</t>
  </si>
  <si>
    <t>&gt;32</t>
  </si>
  <si>
    <t>High sulfur-heavy (FHH)</t>
  </si>
  <si>
    <t>24-33</t>
  </si>
  <si>
    <t>Other Refined Prod.</t>
  </si>
  <si>
    <t>High sulfur-very heavy (FHV)</t>
  </si>
  <si>
    <t>&gt;0.7</t>
  </si>
  <si>
    <t>&lt; 23</t>
  </si>
  <si>
    <t>Petchem. Feedstocks</t>
  </si>
  <si>
    <t>High Sulfur Fuel Oil</t>
  </si>
  <si>
    <t>Low Sulfur Fuel Oil</t>
  </si>
  <si>
    <t>FLL</t>
  </si>
  <si>
    <t>OILLL</t>
  </si>
  <si>
    <t>Imported Oil-Low Sulfur, Low G</t>
  </si>
  <si>
    <t>FMH</t>
  </si>
  <si>
    <t>OILMH</t>
  </si>
  <si>
    <t>Imported Oil-Medium Sulfur, HG</t>
  </si>
  <si>
    <t>FHL</t>
  </si>
  <si>
    <t>OILHL</t>
  </si>
  <si>
    <t>Imported Oil-High Sulfur, Low G</t>
  </si>
  <si>
    <t>FHH</t>
  </si>
  <si>
    <t>OILHH</t>
  </si>
  <si>
    <t>Imported Oil-High Sulfur, Heavy G</t>
  </si>
  <si>
    <t>FHV</t>
  </si>
  <si>
    <t>OILHV</t>
  </si>
  <si>
    <t>Imported Oil-High Sulfur, Very HG</t>
  </si>
  <si>
    <t>Region Name</t>
  </si>
  <si>
    <t>R</t>
  </si>
  <si>
    <t>OGSM Regions</t>
  </si>
  <si>
    <t>PADD</t>
  </si>
  <si>
    <t>OSGM</t>
  </si>
  <si>
    <t>Imported Natural Gas</t>
  </si>
  <si>
    <t>East North Central</t>
  </si>
  <si>
    <t>Alaska</t>
  </si>
  <si>
    <t>A</t>
  </si>
  <si>
    <t>Canada</t>
  </si>
  <si>
    <t>East South Central</t>
  </si>
  <si>
    <t>Northeast-1</t>
  </si>
  <si>
    <t>2,5</t>
  </si>
  <si>
    <t>NE</t>
  </si>
  <si>
    <t>New England</t>
  </si>
  <si>
    <t>Mid Atlantic</t>
  </si>
  <si>
    <t>Northeast-2</t>
  </si>
  <si>
    <t>3,4</t>
  </si>
  <si>
    <t>GC</t>
  </si>
  <si>
    <t>Mountain</t>
  </si>
  <si>
    <t>Gulf Coast</t>
  </si>
  <si>
    <t>6,7</t>
  </si>
  <si>
    <t>MC</t>
  </si>
  <si>
    <t>West North Central</t>
  </si>
  <si>
    <t>Midcontinent</t>
  </si>
  <si>
    <t>SW</t>
  </si>
  <si>
    <t>Pacific</t>
  </si>
  <si>
    <t>Southwest</t>
  </si>
  <si>
    <t>RM</t>
  </si>
  <si>
    <t>South Atlantic</t>
  </si>
  <si>
    <t>Rocky Mountain</t>
  </si>
  <si>
    <t>WC</t>
  </si>
  <si>
    <t>West Coast</t>
  </si>
  <si>
    <t>G</t>
  </si>
  <si>
    <t>Mexico</t>
  </si>
  <si>
    <t>West South Central</t>
  </si>
  <si>
    <t>Gulf</t>
  </si>
  <si>
    <t>P</t>
  </si>
  <si>
    <t>AT</t>
  </si>
  <si>
    <t>Atlantic</t>
  </si>
  <si>
    <t>Liquefied Natural Gas</t>
  </si>
  <si>
    <t>Types</t>
  </si>
  <si>
    <t>E1</t>
  </si>
  <si>
    <t xml:space="preserve">   Everett, MA</t>
  </si>
  <si>
    <t>E2</t>
  </si>
  <si>
    <t xml:space="preserve">   Cove Point, MD</t>
  </si>
  <si>
    <t>East South Central (CD 6)</t>
  </si>
  <si>
    <t>E5</t>
  </si>
  <si>
    <t xml:space="preserve">   Elba Island, GA</t>
  </si>
  <si>
    <t>PAD District I</t>
  </si>
  <si>
    <t>P1</t>
  </si>
  <si>
    <t>E7</t>
  </si>
  <si>
    <t xml:space="preserve">   Lake Charles, LA</t>
  </si>
  <si>
    <t>PAD District II</t>
  </si>
  <si>
    <t>P2</t>
  </si>
  <si>
    <t>N1</t>
  </si>
  <si>
    <t xml:space="preserve">   New England</t>
  </si>
  <si>
    <t>PAD District III</t>
  </si>
  <si>
    <t>P3</t>
  </si>
  <si>
    <t>N2</t>
  </si>
  <si>
    <t xml:space="preserve">   Middle Atlantic</t>
  </si>
  <si>
    <t>PAD District IV</t>
  </si>
  <si>
    <t>P4</t>
  </si>
  <si>
    <t>N5</t>
  </si>
  <si>
    <t xml:space="preserve">   South Atlantic</t>
  </si>
  <si>
    <t>PAD District V</t>
  </si>
  <si>
    <t>P5</t>
  </si>
  <si>
    <t>N6</t>
  </si>
  <si>
    <t xml:space="preserve">   East South Central</t>
  </si>
  <si>
    <t>South Atlantic (CD 5)</t>
  </si>
  <si>
    <t>N7</t>
  </si>
  <si>
    <t xml:space="preserve">   West South Central</t>
  </si>
  <si>
    <t>N9</t>
  </si>
  <si>
    <t xml:space="preserve">   Washington/Oregon</t>
  </si>
  <si>
    <t xml:space="preserve">   California</t>
  </si>
  <si>
    <t>PADD I</t>
  </si>
  <si>
    <t>PADD II</t>
  </si>
  <si>
    <t>PADD III</t>
  </si>
  <si>
    <t>PADD IV</t>
  </si>
  <si>
    <t>PADD V</t>
  </si>
  <si>
    <t>Fuel</t>
  </si>
  <si>
    <t>P/Q Step#</t>
  </si>
  <si>
    <t>Tech name</t>
  </si>
  <si>
    <t>Price (M$/PJ)</t>
  </si>
  <si>
    <t>Quantity (PJ)</t>
  </si>
  <si>
    <t>PADD 1</t>
  </si>
  <si>
    <t xml:space="preserve">PADD V </t>
  </si>
  <si>
    <t>year</t>
  </si>
  <si>
    <t>step</t>
  </si>
  <si>
    <t>Step Quantity</t>
  </si>
  <si>
    <t>Step Price</t>
  </si>
  <si>
    <t>======</t>
  </si>
  <si>
    <t>=======</t>
  </si>
  <si>
    <t>========</t>
  </si>
  <si>
    <t>* YEAR: 1990</t>
  </si>
  <si>
    <t>MTBE</t>
  </si>
  <si>
    <t>RBOB</t>
  </si>
  <si>
    <t>ARB (UO Resid)</t>
  </si>
  <si>
    <t>NPP (UO Naptha)</t>
  </si>
  <si>
    <t>HGM (UO Hvy Gas Oil)</t>
  </si>
  <si>
    <t>Prices</t>
  </si>
  <si>
    <t>* YEAR: 1991</t>
  </si>
  <si>
    <t>* YEAR: 1992</t>
  </si>
  <si>
    <t>* YEAR: 1993</t>
  </si>
  <si>
    <t>* YEAR: 1994</t>
  </si>
  <si>
    <t>* YEAR: 1995</t>
  </si>
  <si>
    <t>* YEAR: 1996</t>
  </si>
  <si>
    <t>* YEAR: 1997</t>
  </si>
  <si>
    <t>* YEAR: 1998</t>
  </si>
  <si>
    <t>* YEAR: 1999</t>
  </si>
  <si>
    <t>* YEAR: 2000</t>
  </si>
  <si>
    <t>* YEAR: 2001</t>
  </si>
  <si>
    <t>* YEAR: 2002</t>
  </si>
  <si>
    <t>* YEAR: 2003</t>
  </si>
  <si>
    <t>* YEAR: 2004</t>
  </si>
  <si>
    <t>* YEAR: 2005</t>
  </si>
  <si>
    <t>* YEAR: 2006</t>
  </si>
  <si>
    <t>* YEAR: 2007</t>
  </si>
  <si>
    <t>* YEAR: 2008</t>
  </si>
  <si>
    <t>* YEAR: 2009</t>
  </si>
  <si>
    <t>* YEAR: 2010</t>
  </si>
  <si>
    <t>* YEAR: 2011</t>
  </si>
  <si>
    <t>* YEAR: 2012</t>
  </si>
  <si>
    <t>* YEAR: 2013</t>
  </si>
  <si>
    <t>* YEAR: 2014</t>
  </si>
  <si>
    <t>* YEAR: 2015</t>
  </si>
  <si>
    <t>* YEAR: 2016</t>
  </si>
  <si>
    <t>* YEAR: 2017</t>
  </si>
  <si>
    <t>* YEAR: 2018</t>
  </si>
  <si>
    <t>* YEAR: 2019</t>
  </si>
  <si>
    <t>* YEAR: 2020</t>
  </si>
  <si>
    <t>Price ($/bbl)</t>
  </si>
  <si>
    <t>Quantity (thousand bbl/day)</t>
  </si>
  <si>
    <t>YEAR</t>
  </si>
  <si>
    <t>STEP</t>
  </si>
  <si>
    <t>* YEAR:</t>
  </si>
  <si>
    <t>Comment</t>
  </si>
  <si>
    <t>CommName</t>
  </si>
  <si>
    <t>CommDesc</t>
  </si>
  <si>
    <t>TechName</t>
  </si>
  <si>
    <t>TechDesc</t>
  </si>
  <si>
    <t>Units</t>
  </si>
  <si>
    <t>CommIN</t>
  </si>
  <si>
    <t>CommOUT</t>
  </si>
  <si>
    <t>Commodities</t>
  </si>
  <si>
    <t>* Crude Oil Supply Commodities - Domestic and Imported</t>
  </si>
  <si>
    <t>OIL</t>
  </si>
  <si>
    <t>Crude Oil-All Sources</t>
  </si>
  <si>
    <t>PJ</t>
  </si>
  <si>
    <t>R0</t>
  </si>
  <si>
    <t>OILD0</t>
  </si>
  <si>
    <t>Domestic Crude Oil - 0</t>
  </si>
  <si>
    <t>OILIP1</t>
  </si>
  <si>
    <t>OILHH1</t>
  </si>
  <si>
    <t>Imported Imported Oil-High Sulfur, Heavy G, PADD 1</t>
  </si>
  <si>
    <t>OILHH2</t>
  </si>
  <si>
    <t>Imported Imported Oil-High Sulfur, Heavy G, PADD 2</t>
  </si>
  <si>
    <t>OILHH3</t>
  </si>
  <si>
    <t>Imported Imported Oil-High Sulfur, Heavy G, PADD 3</t>
  </si>
  <si>
    <t>OILHH4</t>
  </si>
  <si>
    <t>Imported Imported Oil-High Sulfur, Heavy G, PADD 4</t>
  </si>
  <si>
    <t>OILHH5</t>
  </si>
  <si>
    <t>Imported Imported Oil-High Sulfur, Heavy G, PADD 5</t>
  </si>
  <si>
    <t>OILHL1</t>
  </si>
  <si>
    <t>Imported Imported Oil-High Sulfur, Low G, PADD 1</t>
  </si>
  <si>
    <t>OILHL2</t>
  </si>
  <si>
    <t>Imported Imported Oil-High Sulfur, Low G, PADD 2</t>
  </si>
  <si>
    <t>OILHL3</t>
  </si>
  <si>
    <t>Imported Imported Oil-High Sulfur, Low G, PADD 3</t>
  </si>
  <si>
    <t>OILHL4</t>
  </si>
  <si>
    <t>Imported Imported Oil-High Sulfur, Low G, PADD 4</t>
  </si>
  <si>
    <t>OILHL5</t>
  </si>
  <si>
    <t>Imported Imported Oil-High Sulfur, Low G, PADD 5</t>
  </si>
  <si>
    <t>OILHV1</t>
  </si>
  <si>
    <t>Imported Imported Oil-High Sulfur, Very HG, PADD 1</t>
  </si>
  <si>
    <t>OILHV2</t>
  </si>
  <si>
    <t>Imported Imported Oil-High Sulfur, Very HG, PADD 2</t>
  </si>
  <si>
    <t>OILHV3</t>
  </si>
  <si>
    <t>Imported Imported Oil-High Sulfur, Very HG, PADD 3</t>
  </si>
  <si>
    <t>OILHV4</t>
  </si>
  <si>
    <t>Imported Imported Oil-High Sulfur, Very HG, PADD 4</t>
  </si>
  <si>
    <t>OILHV5</t>
  </si>
  <si>
    <t>Imported Imported Oil-High Sulfur, Very HG, PADD 5</t>
  </si>
  <si>
    <t>OILLL1</t>
  </si>
  <si>
    <t>Imported Imported Oil-Low Sulfur, Low G, PADD 1</t>
  </si>
  <si>
    <t>OILLL2</t>
  </si>
  <si>
    <t>Imported Imported Oil-Low Sulfur, Low G, PADD 2</t>
  </si>
  <si>
    <t>OILLL3</t>
  </si>
  <si>
    <t>Imported Imported Oil-Low Sulfur, Low G, PADD 3</t>
  </si>
  <si>
    <t>OILLL4</t>
  </si>
  <si>
    <t>Imported Imported Oil-Low Sulfur, Low G, PADD 4</t>
  </si>
  <si>
    <t>OILLL5</t>
  </si>
  <si>
    <t>Imported Imported Oil-Low Sulfur, Low G, PADD 5</t>
  </si>
  <si>
    <t>OILMH1</t>
  </si>
  <si>
    <t>Imported Imported Oil-Medium Sulfur, HG, PADD 1</t>
  </si>
  <si>
    <t>OILMH2</t>
  </si>
  <si>
    <t>Imported Imported Oil-Medium Sulfur, HG, PADD 2</t>
  </si>
  <si>
    <t>OILMH3</t>
  </si>
  <si>
    <t>Imported Imported Oil-Medium Sulfur, HG, PADD 3</t>
  </si>
  <si>
    <t>OILMH4</t>
  </si>
  <si>
    <t>Imported Imported Oil-Medium Sulfur, HG, PADD 4</t>
  </si>
  <si>
    <t>OILMH5</t>
  </si>
  <si>
    <t>Imported Imported Oil-Medium Sulfur, HG, PADD 5</t>
  </si>
  <si>
    <t>R1</t>
  </si>
  <si>
    <t>R3</t>
  </si>
  <si>
    <t>R2</t>
  </si>
  <si>
    <t>* Refined Oil Product Commodities</t>
  </si>
  <si>
    <t>GSC</t>
  </si>
  <si>
    <t>Conventional Gasoline</t>
  </si>
  <si>
    <t>GSR</t>
  </si>
  <si>
    <t>Reformulated Gasoline</t>
  </si>
  <si>
    <t>DSH</t>
  </si>
  <si>
    <t>Distillate-Heating Oil No. 2</t>
  </si>
  <si>
    <t>DSL</t>
  </si>
  <si>
    <t>Distillate-Low Sulfur Highway Diesel (500 ppm)</t>
  </si>
  <si>
    <t>DSU</t>
  </si>
  <si>
    <t>Distillate-Ultralow Sulfur Highway Diesel (15 ppm)</t>
  </si>
  <si>
    <t>JTF</t>
  </si>
  <si>
    <t>Jet Fuel</t>
  </si>
  <si>
    <t>KER</t>
  </si>
  <si>
    <t>Kerosene and Other Refined Products</t>
  </si>
  <si>
    <t>LPG</t>
  </si>
  <si>
    <t>MTH</t>
  </si>
  <si>
    <t>Methanol</t>
  </si>
  <si>
    <t>PFS</t>
  </si>
  <si>
    <t>Petrochemical Feedstocks</t>
  </si>
  <si>
    <t>RFH</t>
  </si>
  <si>
    <t>High Sulfur Residual Fuel Oil</t>
  </si>
  <si>
    <t>RFL</t>
  </si>
  <si>
    <t>Low Sulfur Residual Fuel Oil</t>
  </si>
  <si>
    <t>ASP</t>
  </si>
  <si>
    <t>Asphalt</t>
  </si>
  <si>
    <t>PTC</t>
  </si>
  <si>
    <t>Petroleum Coke</t>
  </si>
  <si>
    <t>ETH</t>
  </si>
  <si>
    <t>Ethanol</t>
  </si>
  <si>
    <t>ASPP1</t>
  </si>
  <si>
    <t>Ashpalt, PADD1</t>
  </si>
  <si>
    <t>ASPP2</t>
  </si>
  <si>
    <t>Ashpalt, PADD2</t>
  </si>
  <si>
    <t>ASPP3</t>
  </si>
  <si>
    <t>Ashpalt, PADD3</t>
  </si>
  <si>
    <t>ASPP4</t>
  </si>
  <si>
    <t>Ashpalt, PADD4</t>
  </si>
  <si>
    <t>ASPP5</t>
  </si>
  <si>
    <t>Ashpalt, PADD5</t>
  </si>
  <si>
    <t>* Refined Product Pipeline Trade Commodities</t>
  </si>
  <si>
    <t>* Refined Oil Product Traded by Barge/Vessel</t>
  </si>
  <si>
    <t>* Refined Oil Product End-Use Commodities</t>
  </si>
  <si>
    <t>Asphalt - End Use</t>
  </si>
  <si>
    <t>* Refined Products PADD Capacity and Expansion Material</t>
  </si>
  <si>
    <t>P1R1FLO</t>
  </si>
  <si>
    <t>MAT_ENT,MAT_ENC,MAT,MVO</t>
  </si>
  <si>
    <t>P1R2FLO</t>
  </si>
  <si>
    <t>P1R5FLO</t>
  </si>
  <si>
    <t>P2R4FLO</t>
  </si>
  <si>
    <t>P3R6FLO</t>
  </si>
  <si>
    <t>P4R8FLO</t>
  </si>
  <si>
    <t>P5R9FLO</t>
  </si>
  <si>
    <t>* Refined Products Trade Capacity and Expansion Material</t>
  </si>
  <si>
    <t>R3R6FLO</t>
  </si>
  <si>
    <t>R4R2FLO</t>
  </si>
  <si>
    <t>R4R6FLO</t>
  </si>
  <si>
    <t>R5R2FLO</t>
  </si>
  <si>
    <t>R6R3FLO</t>
  </si>
  <si>
    <t>R6R4FLO</t>
  </si>
  <si>
    <t>R8R4FLO</t>
  </si>
  <si>
    <t>R8R9FLO</t>
  </si>
  <si>
    <t>Technologies</t>
  </si>
  <si>
    <t>*Domestic oil supply and transport technologies</t>
  </si>
  <si>
    <t>PJ/a</t>
  </si>
  <si>
    <t>Domestic crude oil - step 1</t>
  </si>
  <si>
    <t>Domestic crude oil - step 2</t>
  </si>
  <si>
    <t>Domestic crude oil - step 3</t>
  </si>
  <si>
    <t>Domestic crude oil - step 4</t>
  </si>
  <si>
    <t>Domestic crude oil - step 5</t>
  </si>
  <si>
    <t>Domestic crude oil - step 6</t>
  </si>
  <si>
    <t>Domestic crude oil - step 7</t>
  </si>
  <si>
    <t>Domestic crude oil - step 8</t>
  </si>
  <si>
    <t>Domestic crude oil - step 9</t>
  </si>
  <si>
    <t>SCMINOILD</t>
  </si>
  <si>
    <t>Collector: MINOILD</t>
  </si>
  <si>
    <t>R5</t>
  </si>
  <si>
    <t>R4</t>
  </si>
  <si>
    <t>R6</t>
  </si>
  <si>
    <t>R7</t>
  </si>
  <si>
    <t>R8</t>
  </si>
  <si>
    <t>R9</t>
  </si>
  <si>
    <t>*Imported crude supply</t>
  </si>
  <si>
    <t>*Change names on Imported crude supply</t>
  </si>
  <si>
    <t>*Imported crude export from R0</t>
  </si>
  <si>
    <t>*Imported crude imports to demand region</t>
  </si>
  <si>
    <t>*Imported crude delivery to refineries</t>
  </si>
  <si>
    <t>Imported crude delivery charge from PADD 1</t>
  </si>
  <si>
    <t>Imported crude delivery charge from PADD 2</t>
  </si>
  <si>
    <t>Imported crude delivery charge from PADD 3</t>
  </si>
  <si>
    <t>Imported crude delivery charge from PADD 4</t>
  </si>
  <si>
    <t>Imported crude delivery charge from PADD 5</t>
  </si>
  <si>
    <t>*Imported refined products supply</t>
  </si>
  <si>
    <t>IMPASPP1A</t>
  </si>
  <si>
    <t>Imported Asphalt, PADD 1, Step A</t>
  </si>
  <si>
    <t>IMPASPP2A</t>
  </si>
  <si>
    <t>Imported Asphalt, PADD 2, Step A</t>
  </si>
  <si>
    <t>IMPASPP3A</t>
  </si>
  <si>
    <t>Imported Asphalt, PADD 3, Step A</t>
  </si>
  <si>
    <t>IMPASPP4A</t>
  </si>
  <si>
    <t>IMPASPP5A</t>
  </si>
  <si>
    <t>*R0 Export of Imported Refined Products</t>
  </si>
  <si>
    <t>EXPASPP11</t>
  </si>
  <si>
    <t>Export of Imported Asphalt, PADD 1 to R1</t>
  </si>
  <si>
    <t>EXPASPP12</t>
  </si>
  <si>
    <t>Export of Imported Asphalt, PADD 1 to R2</t>
  </si>
  <si>
    <t>EXPASPP15</t>
  </si>
  <si>
    <t>Export of Imported Asphalt, PADD 1 to R5</t>
  </si>
  <si>
    <t>EXPASPP23</t>
  </si>
  <si>
    <t>Export of Imported Asphalt, PADD 2 to R3</t>
  </si>
  <si>
    <t>EXPASPP24</t>
  </si>
  <si>
    <t>Export of Imported Asphalt, PADD 2 to R4</t>
  </si>
  <si>
    <t>EXPASPP36</t>
  </si>
  <si>
    <t>Export of Imported Asphalt, PADD 3 to R6</t>
  </si>
  <si>
    <t>EXPASPP48</t>
  </si>
  <si>
    <t>EXPASPP59</t>
  </si>
  <si>
    <t>*Import of Imported Refined Products</t>
  </si>
  <si>
    <t>IMPASPP11</t>
  </si>
  <si>
    <t>R1 Import of Imported Asphalt, from PADD 1</t>
  </si>
  <si>
    <t>IMPASPP12</t>
  </si>
  <si>
    <t>R2 Import of Imported Asphalt, from PADD 1</t>
  </si>
  <si>
    <t>IMPASPP15</t>
  </si>
  <si>
    <t>R5 Import of Imported Asphalt, from PADD 1</t>
  </si>
  <si>
    <t>IMPASPP24</t>
  </si>
  <si>
    <t>R4 Import of Imported Asphalt, from PADD 2</t>
  </si>
  <si>
    <t>IMPASPP36</t>
  </si>
  <si>
    <t>R6 Import of Imported Asphalt, from PADD 3</t>
  </si>
  <si>
    <t>IMPASPP48</t>
  </si>
  <si>
    <t>R8 Import of Imported Asphalt, from PADD 4</t>
  </si>
  <si>
    <t>IMPASPP59</t>
  </si>
  <si>
    <t>R9 Import of Imported Asphalt, from PADD 5</t>
  </si>
  <si>
    <t>* Imported Refined Products delivery costs to end-use demands</t>
  </si>
  <si>
    <t>Delivery of Imported Asphalt to Industrial Sector</t>
  </si>
  <si>
    <t>* Refinery Products delivery costs to end-use demands</t>
  </si>
  <si>
    <t>* Refined Products Trade Export Pipeline Technologies</t>
  </si>
  <si>
    <t>* Refined Products Trade Import Pipeline Technologies</t>
  </si>
  <si>
    <t>* Refined Product Trade Import Barge/Vessel Technologies</t>
  </si>
  <si>
    <t>* Traded Pipeline Products delivery costs to end-use demands</t>
  </si>
  <si>
    <t>* Traded Barge Products Transfer (dummy)</t>
  </si>
  <si>
    <t>* Traded Barge Products delivery costs to end-use demands (XB)</t>
  </si>
  <si>
    <t>* PADD Imported Products Capacity and Expansion Techs</t>
  </si>
  <si>
    <t>TCH,PRC,PRV</t>
  </si>
  <si>
    <t>*  Traded Refined Products Capacity and Expansion Techs</t>
  </si>
  <si>
    <t>TechData</t>
  </si>
  <si>
    <t>*</t>
  </si>
  <si>
    <t>* Imported Asphalt</t>
  </si>
  <si>
    <t>Imported Asphalt, PADD 4, Step A</t>
  </si>
  <si>
    <t>Imported Asphalt, PADD 5, Step A</t>
  </si>
  <si>
    <t>CUM</t>
  </si>
  <si>
    <t>2005</t>
  </si>
  <si>
    <t>2010</t>
  </si>
  <si>
    <t>*Domestic crude delivery to refineries in PADD</t>
  </si>
  <si>
    <t>*Imported crude delivery to refineries in PADD</t>
  </si>
  <si>
    <t>* Trade Pipeline Products delivery to End-Use demands</t>
  </si>
  <si>
    <t>Conversion Factors</t>
  </si>
  <si>
    <t>Annual Energy Review 2007</t>
  </si>
  <si>
    <t xml:space="preserve">Tablele A1. Approximate Heat Content of Petroleum Products </t>
  </si>
  <si>
    <t>1 barrel (bbl)</t>
  </si>
  <si>
    <t>U. S. gallons (gal)</t>
  </si>
  <si>
    <t>http://www.eia.doe.gov/emeu/aer/append_a.html</t>
  </si>
  <si>
    <t>MMBTU</t>
  </si>
  <si>
    <t>(Million Btu per Barrel)</t>
  </si>
  <si>
    <t>MMBtu per bbl</t>
  </si>
  <si>
    <t>MMBtu per gal</t>
  </si>
  <si>
    <t>Quad=</t>
  </si>
  <si>
    <t xml:space="preserve"> Asphalt </t>
  </si>
  <si>
    <t>kwh=</t>
  </si>
  <si>
    <t>BTU</t>
  </si>
  <si>
    <t xml:space="preserve"> Aviation Gasoline </t>
  </si>
  <si>
    <t xml:space="preserve"> Butane </t>
  </si>
  <si>
    <t xml:space="preserve"> Butane- Propane Mixture (60 percent-40  percent) </t>
  </si>
  <si>
    <t xml:space="preserve">NIPA Table 1.1.9. Implicit Price Deflators for Gross Domestic Product                                                                                                                                                                                          </t>
  </si>
  <si>
    <t xml:space="preserve"> Distillate Fuel Oil </t>
  </si>
  <si>
    <t xml:space="preserve"> Ethane </t>
  </si>
  <si>
    <t xml:space="preserve"> Ethane- Propane Mixture (70 percent-30  percent) </t>
  </si>
  <si>
    <t>Year</t>
  </si>
  <si>
    <t xml:space="preserve"> Isobutane </t>
  </si>
  <si>
    <t>Deflator</t>
  </si>
  <si>
    <t xml:space="preserve"> Jet Fuel, Kerosene- Type </t>
  </si>
  <si>
    <t xml:space="preserve"> Jet Fuel, Naphtha- Type </t>
  </si>
  <si>
    <t xml:space="preserve"> Kerosene </t>
  </si>
  <si>
    <t xml:space="preserve"> Lubricants </t>
  </si>
  <si>
    <t>Motor Gasoline</t>
  </si>
  <si>
    <t xml:space="preserve">    Conventional  </t>
  </si>
  <si>
    <t xml:space="preserve">    Oxygenated  </t>
  </si>
  <si>
    <t xml:space="preserve">    Reformulated  </t>
  </si>
  <si>
    <t xml:space="preserve">    Fuel Ethanol </t>
  </si>
  <si>
    <t xml:space="preserve"> Natural Gasoline </t>
  </si>
  <si>
    <t xml:space="preserve"> Pentanes Plus </t>
  </si>
  <si>
    <t xml:space="preserve">    Naphtha less than 401° F </t>
  </si>
  <si>
    <t xml:space="preserve">    Other Oils equal to or greater than 401° F </t>
  </si>
  <si>
    <t xml:space="preserve">    Still Gas </t>
  </si>
  <si>
    <t xml:space="preserve"> Petroleum Coke </t>
  </si>
  <si>
    <t xml:space="preserve"> Plant Condensate </t>
  </si>
  <si>
    <t xml:space="preserve"> Propane </t>
  </si>
  <si>
    <t xml:space="preserve"> Residual Fuel Oil </t>
  </si>
  <si>
    <t xml:space="preserve"> Road Oil </t>
  </si>
  <si>
    <t xml:space="preserve"> Special Naphthas </t>
  </si>
  <si>
    <t xml:space="preserve"> Still Gas </t>
  </si>
  <si>
    <t xml:space="preserve"> Unfinished Oils </t>
  </si>
  <si>
    <t xml:space="preserve"> Unfractionated Stream </t>
  </si>
  <si>
    <t xml:space="preserve"> Waxes </t>
  </si>
  <si>
    <t xml:space="preserve"> Miscellaneous </t>
  </si>
  <si>
    <t>Crude-domestic</t>
  </si>
  <si>
    <t>Crude-imported</t>
  </si>
  <si>
    <t>Crude-average</t>
  </si>
  <si>
    <t>MMBtu per cf</t>
  </si>
  <si>
    <t>cf/bblFOE</t>
  </si>
  <si>
    <t>MMBtu per bblFOE</t>
  </si>
  <si>
    <t>Natural gas</t>
  </si>
  <si>
    <t>Table 1B. GREET Production Emissions Factors with Nonroad Sources Excluded, ktonnes/Petajoule</t>
  </si>
  <si>
    <t>Resource</t>
  </si>
  <si>
    <t>Extraction Description</t>
  </si>
  <si>
    <t>VOC</t>
  </si>
  <si>
    <t>CO</t>
  </si>
  <si>
    <t>OC</t>
  </si>
  <si>
    <t>Crude for Use in U.S. Refineries (no oil sands)</t>
  </si>
  <si>
    <t>ktonnes/Petajoule</t>
  </si>
  <si>
    <t>Coal</t>
  </si>
  <si>
    <t>Mining and Cleaning</t>
  </si>
  <si>
    <t>Natural Gas</t>
  </si>
  <si>
    <t>Recovery</t>
  </si>
  <si>
    <t>na</t>
  </si>
  <si>
    <t>Processing: Combustion</t>
  </si>
  <si>
    <t>Processing: Non-Combustion</t>
  </si>
  <si>
    <t>Natural Gas Total</t>
  </si>
  <si>
    <t>Uranium</t>
  </si>
  <si>
    <t>Mining</t>
  </si>
  <si>
    <t>Ore Transportation</t>
  </si>
  <si>
    <t>Enrichment</t>
  </si>
  <si>
    <t>Conversion, Fabrication, &amp; Waste Storage</t>
  </si>
  <si>
    <t>Uranium Total</t>
  </si>
  <si>
    <t>Emissions from natural gas distribution</t>
  </si>
  <si>
    <t>From GREET 1.8</t>
  </si>
  <si>
    <t>Natural Gas as a Processing Fuel (produced in North America)</t>
  </si>
  <si>
    <t>NG Recovery</t>
  </si>
  <si>
    <t>NG Processing</t>
  </si>
  <si>
    <t>NG Processing: Non-Combustion Emissions</t>
  </si>
  <si>
    <t>NG Transmission and Distribution</t>
  </si>
  <si>
    <t>Energy efficiency</t>
  </si>
  <si>
    <t>Urban emission share</t>
  </si>
  <si>
    <t>Loss factor</t>
  </si>
  <si>
    <t>Total emissions: grams/mmBtu of fuel throughput</t>
  </si>
  <si>
    <t>kT/PJ</t>
  </si>
  <si>
    <t xml:space="preserve">     VOC</t>
  </si>
  <si>
    <t xml:space="preserve">     CO</t>
  </si>
  <si>
    <t xml:space="preserve">     NOx</t>
  </si>
  <si>
    <t xml:space="preserve">     PM10</t>
  </si>
  <si>
    <t xml:space="preserve">     PM2.5</t>
  </si>
  <si>
    <t xml:space="preserve">     SOx</t>
  </si>
  <si>
    <t xml:space="preserve">     CH4: combustion</t>
  </si>
  <si>
    <t xml:space="preserve">     N2O</t>
  </si>
  <si>
    <t xml:space="preserve">     CO2</t>
  </si>
  <si>
    <t xml:space="preserve">     CH4: leakage</t>
  </si>
  <si>
    <t xml:space="preserve">     VOC evaporation</t>
  </si>
  <si>
    <t xml:space="preserve">     Misc. Items</t>
  </si>
  <si>
    <t>Distribution emissions (from column F, transposed)</t>
  </si>
  <si>
    <t>CH4</t>
  </si>
  <si>
    <t>CO2</t>
  </si>
  <si>
    <t>(Data in</t>
  </si>
  <si>
    <t>thousand barrels per day. Step</t>
  </si>
  <si>
    <t>quantiti</t>
  </si>
  <si>
    <t>es = individual step widths.)</t>
  </si>
  <si>
    <t>* Refined Product Import Quantities (Step 1)</t>
  </si>
  <si>
    <t>* Refined Product Import Prices (Step 1)</t>
  </si>
  <si>
    <t>Quantities</t>
  </si>
  <si>
    <t>Price (05M$/PJ)</t>
  </si>
  <si>
    <t>Quantity</t>
  </si>
  <si>
    <t>* PADD I</t>
  </si>
  <si>
    <t>Imported Refined Curves</t>
  </si>
  <si>
    <t>Supply curve constants from 2010:</t>
  </si>
  <si>
    <t>Steps</t>
  </si>
  <si>
    <t>Price (87$/bbl)</t>
  </si>
  <si>
    <t>* PADD II</t>
  </si>
  <si>
    <t>* PADD III</t>
  </si>
  <si>
    <t>* PADD IV</t>
  </si>
  <si>
    <t>* PADD V</t>
  </si>
  <si>
    <t>US Department of Commerce: Bureau of Economic Analysis</t>
  </si>
  <si>
    <t>http://www.bea.gov/national/nipaweb/SelectTable.asp?Selected=Y</t>
  </si>
  <si>
    <t>Imported Asphalt, PADD5, Step A</t>
  </si>
  <si>
    <t>Imported Asphalt, PADD1, Step A</t>
  </si>
  <si>
    <t>Imported Asphalt, PADD2, Step A</t>
  </si>
  <si>
    <t>Imported Asphalt, PADD3, Step A</t>
  </si>
  <si>
    <t>Imported Asphalt, PADD4, Step A</t>
  </si>
  <si>
    <t>* Crude Oil Import Quantities (Step 1)</t>
  </si>
  <si>
    <t>* Crude Oil Import Prices (Step 1)</t>
  </si>
  <si>
    <t>Imported Crude Curves</t>
  </si>
  <si>
    <t>Region</t>
  </si>
  <si>
    <t> Lower 48 Average</t>
  </si>
  <si>
    <t> Lower 48 Onshore</t>
  </si>
  <si>
    <t>   Northeast</t>
  </si>
  <si>
    <t>   Gulf Coast</t>
  </si>
  <si>
    <t>   Midcontinent</t>
  </si>
  <si>
    <t>   Southwest</t>
  </si>
  <si>
    <t>   Rocky Mountain</t>
  </si>
  <si>
    <t>   West Coast</t>
  </si>
  <si>
    <t> Lower 48 Offshore</t>
  </si>
  <si>
    <t>   Gulf</t>
  </si>
  <si>
    <t>   Pacific</t>
  </si>
  <si>
    <t>   Atlantic</t>
  </si>
  <si>
    <t>   United States Total</t>
  </si>
  <si>
    <t>      Lower 48 Onshore</t>
  </si>
  <si>
    <t>         Tight Oil 3/</t>
  </si>
  <si>
    <t>         Carbon Dioxide Enhanced Oil Recovery</t>
  </si>
  <si>
    <t>         Other</t>
  </si>
  <si>
    <t>      Lower 48 Offshore</t>
  </si>
  <si>
    <t>      Alaska</t>
  </si>
  <si>
    <t> Lower 48 Total</t>
  </si>
  <si>
    <t>     Shallow</t>
  </si>
  <si>
    <t>     Deep</t>
  </si>
  <si>
    <t>   - - = Not applicable.</t>
  </si>
  <si>
    <t>   Note:  Oil and Gas Supply Model regions are defined in Appendix F of the Annual Energy Outlook.  Totals may not equal sum of</t>
  </si>
  <si>
    <t>Production 1/</t>
  </si>
  <si>
    <t>(million barrels per day)</t>
  </si>
  <si>
    <t>   1/ Includes lease condensate.</t>
  </si>
  <si>
    <t>components due to independent rounding.  Data for 2009 and 2010</t>
  </si>
  <si>
    <t>may differ slightly from official EIA data</t>
  </si>
  <si>
    <t>reports due to internal conversion factors within the AEO2012 National Energy Modeling System.</t>
  </si>
  <si>
    <t>   Sources:  2009 and 2010:  U.S. Energy Information Administration (EIA), Petroleum Supply</t>
  </si>
  <si>
    <t>Annual 2010, DOE/EIA-0340(2010)/1 (Washington, DC, July 2011); EIA, Petroleum Marketing Monthly, DOE/EIA-0380(2011/08) (Washington, DC, August 2011);</t>
  </si>
  <si>
    <t>and EIA, Office of Energy Analysis.  Projections:  EIA, AEO2012 National Energy Modeling System.</t>
  </si>
  <si>
    <t>Step Price Adjustment</t>
  </si>
  <si>
    <t>Production and Supply</t>
  </si>
  <si>
    <t>Crude Oil</t>
  </si>
  <si>
    <t>Lower 48 Average Wellhead Price 1/</t>
  </si>
  <si>
    <t>(2010 dollars per barrel)</t>
  </si>
  <si>
    <t>Production (million barrels per day) 2/</t>
  </si>
  <si>
    <t>Lower 48 End of Year Reserves 2/</t>
  </si>
  <si>
    <t>(billion barrels)</t>
  </si>
  <si>
    <t>Back to Contents</t>
  </si>
  <si>
    <t>Data 1: Crude Oil Production</t>
  </si>
  <si>
    <t>Sourcekey</t>
  </si>
  <si>
    <t>MCRFPUS1</t>
  </si>
  <si>
    <t>MCRFPP11</t>
  </si>
  <si>
    <t>MCRFPFL1</t>
  </si>
  <si>
    <t>MCRFPNY1</t>
  </si>
  <si>
    <t>MCRFPPA1</t>
  </si>
  <si>
    <t>MCRFPVA1</t>
  </si>
  <si>
    <t>MCRFPWV1</t>
  </si>
  <si>
    <t>MCRFPP21</t>
  </si>
  <si>
    <t>MCRFPIL1</t>
  </si>
  <si>
    <t>MCRFPIN1</t>
  </si>
  <si>
    <t>MCRFPKS1</t>
  </si>
  <si>
    <t>MCRFPKY1</t>
  </si>
  <si>
    <t>MCRFP_SMI_1</t>
  </si>
  <si>
    <t>MCRFPMO1</t>
  </si>
  <si>
    <t>MCRFPNE1</t>
  </si>
  <si>
    <t>MCRFPND1</t>
  </si>
  <si>
    <t>MCRFPOH1</t>
  </si>
  <si>
    <t>MCRFPOK1</t>
  </si>
  <si>
    <t>MCRFPSD1</t>
  </si>
  <si>
    <t>MCRFPTN1</t>
  </si>
  <si>
    <t>MCRFPP31</t>
  </si>
  <si>
    <t>MCRFPAL1</t>
  </si>
  <si>
    <t>MCRFPAR1</t>
  </si>
  <si>
    <t>MCRFPLA1</t>
  </si>
  <si>
    <t>MCRFPMS1</t>
  </si>
  <si>
    <t>MCRFPNM1</t>
  </si>
  <si>
    <t>MCRFPTX1</t>
  </si>
  <si>
    <t>MCRFP3FM1</t>
  </si>
  <si>
    <t>MCRFPP41</t>
  </si>
  <si>
    <t>MCRFPCO1</t>
  </si>
  <si>
    <t>MCRFPMT1</t>
  </si>
  <si>
    <t>MCRFPUT1</t>
  </si>
  <si>
    <t>MCRFPWY1</t>
  </si>
  <si>
    <t>MCRFPP51</t>
  </si>
  <si>
    <t>MCRFPAK1</t>
  </si>
  <si>
    <t>MCRFPAKS1</t>
  </si>
  <si>
    <t>MANFPAK1</t>
  </si>
  <si>
    <t>MCRFPAZ1</t>
  </si>
  <si>
    <t>MCRFPCA1</t>
  </si>
  <si>
    <t>MCRFPNV1</t>
  </si>
  <si>
    <t>MCRFP5F1</t>
  </si>
  <si>
    <t>Date</t>
  </si>
  <si>
    <t>U.S. Field Production of Crude Oil (Thousand Barrels)</t>
  </si>
  <si>
    <t>East Coast (PADD 1) Field Production of Crude Oil (Thousand Barrels)</t>
  </si>
  <si>
    <t>Florida Field Production of Crude Oil (Thousand Barrels)</t>
  </si>
  <si>
    <t>New York Field Production of Crude Oil (Thousand Barrels)</t>
  </si>
  <si>
    <t>Pennsylvania Field Production of Crude Oil (Thousand Barrels)</t>
  </si>
  <si>
    <t>Virginia Field Production of Crude Oil (Thousand Barrels)</t>
  </si>
  <si>
    <t>West Virginia Field Production of Crude Oil (Thousand Barrels)</t>
  </si>
  <si>
    <t>Midwest (PADD 2) Field Production of Crude Oil (Thousand Barrels)</t>
  </si>
  <si>
    <t>Illinois Field Production of Crude Oil (Thousand Barrels)</t>
  </si>
  <si>
    <t>Indiana Field Production of Crude Oil (Thousand Barrels)</t>
  </si>
  <si>
    <t>Kansas Field Production of Crude Oil (Thousand Barrels)</t>
  </si>
  <si>
    <t>Kentucky Field Production of Crude Oil (Thousand Barrels)</t>
  </si>
  <si>
    <t>Michigan Field Production of Crude Oil (Thousand Barrels)</t>
  </si>
  <si>
    <t>Missouri Field Production of Crude Oil (Thousand Barrels)</t>
  </si>
  <si>
    <t>Nebraska Field Production of Crude Oil (Thousand Barrels)</t>
  </si>
  <si>
    <t>North Dakota Field Production of Crude Oil (Thousand Barrels)</t>
  </si>
  <si>
    <t>Ohio Field Production of Crude Oil (Thousand Barrels)</t>
  </si>
  <si>
    <t>Oklahoma Field Production of Crude Oil (Thousand Barrels)</t>
  </si>
  <si>
    <t>South Dakota Field Production of Crude Oil (Thousand Barrels)</t>
  </si>
  <si>
    <t>Tennessee Field Production of Crude Oil (Thousand Barrels)</t>
  </si>
  <si>
    <t>Gulf Coast (PADD 3) Field Production of Crude Oil (Thousand Barrels)</t>
  </si>
  <si>
    <t>Alabama Field Production of Crude Oil (Thousand Barrels)</t>
  </si>
  <si>
    <t>Arkansas Field Production of Crude Oil (Thousand Barrels)</t>
  </si>
  <si>
    <t>Louisiana Field Production of Crude Oil (Thousand Barrels)</t>
  </si>
  <si>
    <t>Mississippi Field Production of Crude Oil (Thousand Barrels)</t>
  </si>
  <si>
    <t>New Mexico Field Production of Crude Oil (Thousand Barrels)</t>
  </si>
  <si>
    <t>Texas Field Production of Crude Oil (Thousand Barrels)</t>
  </si>
  <si>
    <t>Federal Offshore--Gulf of Mexico Field Production of Crude Oil (Thousand Barrels)</t>
  </si>
  <si>
    <t>Rocky Mountain (PADD 4) Field Production of Crude Oil (Thousand Barrels)</t>
  </si>
  <si>
    <t>Colorado Field Production of Crude Oil (Thousand Barrels)</t>
  </si>
  <si>
    <t>Montana Field Production of Crude Oil (Thousand Barrels)</t>
  </si>
  <si>
    <t>Utah Field Production of Crude Oil (Thousand Barrels)</t>
  </si>
  <si>
    <t>Wyoming Field Production of Crude Oil (Thousand Barrels)</t>
  </si>
  <si>
    <t>West Coast (PADD 5) Field Production of Crude Oil (Thousand Barrels)</t>
  </si>
  <si>
    <t>Alaska Field Production of Crude Oil (Thousand Barrels)</t>
  </si>
  <si>
    <t>Alaska South Field Production of Crude Oil (Thousand Barrels)</t>
  </si>
  <si>
    <t>Alaska North Slope Crude Oil Production (Thousand Barrels)</t>
  </si>
  <si>
    <t>Arizona Field Production of Crude Oil (Thousand Barrels)</t>
  </si>
  <si>
    <t>California Field Production of Crude Oil (Thousand Barrels)</t>
  </si>
  <si>
    <t>Nevada Field Production of Crude Oil (Thousand Barrels)</t>
  </si>
  <si>
    <t>Federal Offshore California Field Production of Crude Oil (Thousand Barrels)</t>
  </si>
  <si>
    <t>EXPOILD26</t>
  </si>
  <si>
    <t>EXPOILD35</t>
  </si>
  <si>
    <t>EXPOILD46</t>
  </si>
  <si>
    <t>EXPOILD53</t>
  </si>
  <si>
    <t>EXPOILD54</t>
  </si>
  <si>
    <t>OILD2</t>
  </si>
  <si>
    <t>OILD3</t>
  </si>
  <si>
    <t>OILD4</t>
  </si>
  <si>
    <t>OILD5</t>
  </si>
  <si>
    <t>OILD6</t>
  </si>
  <si>
    <t>Export of domestic crude from R2 to R3</t>
  </si>
  <si>
    <t>Export of domestic crude from R2 to R4</t>
  </si>
  <si>
    <t>Export of domestic crude from R2 to R6</t>
  </si>
  <si>
    <t>Export of domestic crude from R5 to R3</t>
  </si>
  <si>
    <t>Export of domestic crude from R5 to R4</t>
  </si>
  <si>
    <t>Export of domestic crude from R5 to R6</t>
  </si>
  <si>
    <t>Export of domestic crude from R3 to R2</t>
  </si>
  <si>
    <t>Export of domestic crude from R3 to R5</t>
  </si>
  <si>
    <t>Export of domestic crude from R3 to R6</t>
  </si>
  <si>
    <t>Export of domestic crude from R4 to R2</t>
  </si>
  <si>
    <t>Export of domestic crude from R4 to R5</t>
  </si>
  <si>
    <t>Export of domestic crude from R4 to R6</t>
  </si>
  <si>
    <t>Export of domestic crude from R6 to R2</t>
  </si>
  <si>
    <t>Export of domestic crude from R6 to R3</t>
  </si>
  <si>
    <t>Export of domestic crude from R6 to R4</t>
  </si>
  <si>
    <t>Export of domestic crude from R6 to R5</t>
  </si>
  <si>
    <t>IMPOILD26</t>
  </si>
  <si>
    <t>IMPOILD35</t>
  </si>
  <si>
    <t>IMPOILD46</t>
  </si>
  <si>
    <t>IMPOILD53</t>
  </si>
  <si>
    <t>IMPOILD54</t>
  </si>
  <si>
    <t>Import of domestic crude from R2 to R3</t>
  </si>
  <si>
    <t>Import of domestic crude from R2 to R4</t>
  </si>
  <si>
    <t>Import of domestic crude from R2 to R6</t>
  </si>
  <si>
    <t>Import of domestic crude from R5 to R3</t>
  </si>
  <si>
    <t>Import of domestic crude from R5 to R4</t>
  </si>
  <si>
    <t>Import of domestic crude from R5 to R6</t>
  </si>
  <si>
    <t>Import of domestic crude from R3 to R2</t>
  </si>
  <si>
    <t>Import of domestic crude from R3 to R5</t>
  </si>
  <si>
    <t>Import of domestic crude from R3 to R6</t>
  </si>
  <si>
    <t>Import of domestic crude from R4 to R2</t>
  </si>
  <si>
    <t>Import of domestic crude from R4 to R5</t>
  </si>
  <si>
    <t>Import of domestic crude from R4 to R6</t>
  </si>
  <si>
    <t>Import of domestic crude from R6 to R2</t>
  </si>
  <si>
    <t>Import of domestic crude from R6 to R3</t>
  </si>
  <si>
    <t>Import of domestic crude from R6 to R4</t>
  </si>
  <si>
    <t>Import of domestic crude from R6 to R5</t>
  </si>
  <si>
    <t>EXPOILD23</t>
  </si>
  <si>
    <t>EXPOILD24</t>
  </si>
  <si>
    <t>EXPOILD56</t>
  </si>
  <si>
    <t>EXPOILD36</t>
  </si>
  <si>
    <t>EXPOILD45</t>
  </si>
  <si>
    <t>EXPOILD62</t>
  </si>
  <si>
    <t>EXPOILD64</t>
  </si>
  <si>
    <t>EXPOILD65</t>
  </si>
  <si>
    <t>IMPOILD23</t>
  </si>
  <si>
    <t>IMPOILD24</t>
  </si>
  <si>
    <t>IMPOILD56</t>
  </si>
  <si>
    <t>IMPOILD36</t>
  </si>
  <si>
    <t>IMPOILD45</t>
  </si>
  <si>
    <t>IMPOILD62</t>
  </si>
  <si>
    <t>IMPOILD64</t>
  </si>
  <si>
    <t>IMPOILD65</t>
  </si>
  <si>
    <t>Domestic Crude Oil - R2</t>
  </si>
  <si>
    <t>Domestic Crude Oil - R3</t>
  </si>
  <si>
    <t>Domestic Crude Oil - R4</t>
  </si>
  <si>
    <t>Domestic Crude Oil - R5</t>
  </si>
  <si>
    <t>Domestic Crude Oil - R6</t>
  </si>
  <si>
    <t>XOILD3</t>
  </si>
  <si>
    <t>Domestic crude delivery charge from R3</t>
  </si>
  <si>
    <t>XOILD4</t>
  </si>
  <si>
    <t>Domestic crude delivery charge from R4</t>
  </si>
  <si>
    <t>XOILD5</t>
  </si>
  <si>
    <t>Domestic crude delivery charge from R5</t>
  </si>
  <si>
    <t>XOILD6</t>
  </si>
  <si>
    <t>Domestic crude delivery charge from R6</t>
  </si>
  <si>
    <t>XOILD23</t>
  </si>
  <si>
    <t>XOILD24</t>
  </si>
  <si>
    <t>XOILD26</t>
  </si>
  <si>
    <t>XOILD53</t>
  </si>
  <si>
    <t>XOILD54</t>
  </si>
  <si>
    <t>XOILD56</t>
  </si>
  <si>
    <t>XOILD57</t>
  </si>
  <si>
    <t>XOILD35</t>
  </si>
  <si>
    <t>XOILD36</t>
  </si>
  <si>
    <t>XOILD37</t>
  </si>
  <si>
    <t>XOILD38</t>
  </si>
  <si>
    <t>XOILD45</t>
  </si>
  <si>
    <t>XOILD46</t>
  </si>
  <si>
    <t>XOILD47</t>
  </si>
  <si>
    <t>XOILD48</t>
  </si>
  <si>
    <t>XOILD62</t>
  </si>
  <si>
    <t>XOILD64</t>
  </si>
  <si>
    <t>XOILD65</t>
  </si>
  <si>
    <t>XOILD72</t>
  </si>
  <si>
    <t>XOILD74</t>
  </si>
  <si>
    <t>XOILD75</t>
  </si>
  <si>
    <t>XOILD83</t>
  </si>
  <si>
    <t>XOILD86</t>
  </si>
  <si>
    <t>XOILD87</t>
  </si>
  <si>
    <t>XOILD92</t>
  </si>
  <si>
    <t>XOILD93</t>
  </si>
  <si>
    <t>XOILD94</t>
  </si>
  <si>
    <t>Delivery of domestic crude from R2 to R3</t>
  </si>
  <si>
    <t>Delivery of domestic crude from R2 to R4</t>
  </si>
  <si>
    <t>Delivery of domestic crude from R2 to R6</t>
  </si>
  <si>
    <t>Delivery of domestic crude from R5 to R3</t>
  </si>
  <si>
    <t>Delivery of domestic crude from R5 to R4</t>
  </si>
  <si>
    <t>Delivery of domestic crude from R5 to R6</t>
  </si>
  <si>
    <t>Delivery of domestic crude from R3 to R2</t>
  </si>
  <si>
    <t>Delivery of domestic crude from R3 to R5</t>
  </si>
  <si>
    <t>Delivery of domestic crude from R3 to R6</t>
  </si>
  <si>
    <t>Delivery of domestic crude from R4 to R2</t>
  </si>
  <si>
    <t>Delivery of domestic crude from R4 to R5</t>
  </si>
  <si>
    <t>Delivery of domestic crude from R4 to R6</t>
  </si>
  <si>
    <t>Delivery of domestic crude from R6 to R2</t>
  </si>
  <si>
    <t>Delivery of domestic crude from R6 to R3</t>
  </si>
  <si>
    <t>Delivery of domestic crude from R6 to R4</t>
  </si>
  <si>
    <t>Delivery of domestic crude from R6 to R5</t>
  </si>
  <si>
    <t>XOILD32</t>
  </si>
  <si>
    <t>XOILD42</t>
  </si>
  <si>
    <t>XOILD63</t>
  </si>
  <si>
    <t>XOILD73</t>
  </si>
  <si>
    <t>XOILD84</t>
  </si>
  <si>
    <t>State</t>
  </si>
  <si>
    <t>MARKAL Region</t>
  </si>
  <si>
    <t>Alabama</t>
  </si>
  <si>
    <t>Arkansas</t>
  </si>
  <si>
    <t>California</t>
  </si>
  <si>
    <t>Colorado</t>
  </si>
  <si>
    <t>Florida</t>
  </si>
  <si>
    <t>Kansas</t>
  </si>
  <si>
    <t>Kentucky</t>
  </si>
  <si>
    <t>Louisiana</t>
  </si>
  <si>
    <t>Michigan</t>
  </si>
  <si>
    <t>Mississippi</t>
  </si>
  <si>
    <t>Montana</t>
  </si>
  <si>
    <t>New Mexico</t>
  </si>
  <si>
    <t>North Dakota</t>
  </si>
  <si>
    <t>Ohio</t>
  </si>
  <si>
    <t>Oklahoma</t>
  </si>
  <si>
    <t>Pennsylvania</t>
  </si>
  <si>
    <t>Texas</t>
  </si>
  <si>
    <t>Utah</t>
  </si>
  <si>
    <t>West Virginia</t>
  </si>
  <si>
    <t>Wyoming</t>
  </si>
  <si>
    <t>Misc*</t>
  </si>
  <si>
    <t>Fed Offshore: California</t>
  </si>
  <si>
    <t>Fed Offshore: Louisianna</t>
  </si>
  <si>
    <t>Fed Offshore: Texas</t>
  </si>
  <si>
    <t>Reserves by Region</t>
  </si>
  <si>
    <t>Reserves PJ</t>
  </si>
  <si>
    <t>Millions Barrels</t>
  </si>
  <si>
    <t>Illinois</t>
  </si>
  <si>
    <t>Indiana</t>
  </si>
  <si>
    <t>Nebraska</t>
  </si>
  <si>
    <t>* Includes Arizona, Missouri, Nevada, New York, South Dakota, Tenessee, Virginia</t>
  </si>
  <si>
    <t>Data 1: Imports</t>
  </si>
  <si>
    <t>WTTIMUS2</t>
  </si>
  <si>
    <t>WCRIMUS2</t>
  </si>
  <si>
    <t>WCEIMUS2</t>
  </si>
  <si>
    <t>WCSIMUS2</t>
  </si>
  <si>
    <t>W_EPC0_IMU_NUS-Z00_MBBLD</t>
  </si>
  <si>
    <t>WRPIMUS2</t>
  </si>
  <si>
    <t>WGTIMUS2</t>
  </si>
  <si>
    <t>W_EPM0F_IM0_NUS-Z00_MBBLD</t>
  </si>
  <si>
    <t>WGRIMUS2</t>
  </si>
  <si>
    <t>WG1IM_NUS-Z00_2</t>
  </si>
  <si>
    <t>W_EPM0RO_IM0_NUS-Z00_MBBLD</t>
  </si>
  <si>
    <t>WG4IM_NUS-Z00_2</t>
  </si>
  <si>
    <t>WG5IM_NUS-Z00_2</t>
  </si>
  <si>
    <t>W_EPM0CAL55_IM0_NUS-Z00_MBBLD</t>
  </si>
  <si>
    <t>W_EPM0CAG55_IM0_NUS-Z00_MBBLD</t>
  </si>
  <si>
    <t>WG6IM_NUS-Z00_2</t>
  </si>
  <si>
    <t>WBCIMUS2</t>
  </si>
  <si>
    <t>W_EPOBGRR_IM0_NUS-Z00_MBBLD</t>
  </si>
  <si>
    <t>WO6IM_NUS-Z00_2</t>
  </si>
  <si>
    <t>WO7IM_NUS-Z00_2</t>
  </si>
  <si>
    <t>WO9IM_NUS-Z00_2</t>
  </si>
  <si>
    <t>W_EPOOXE_IM0_NUS-Z00_MBBLD</t>
  </si>
  <si>
    <t>WKJIMUS2</t>
  </si>
  <si>
    <t>WDIIMUS2</t>
  </si>
  <si>
    <t>WD0IM_NUS-Z00_2</t>
  </si>
  <si>
    <t>WD1IM_NUS-Z00_2</t>
  </si>
  <si>
    <t>WD2IM_NUS-Z00_2</t>
  </si>
  <si>
    <t>WD3IM_NUS-Z00_2</t>
  </si>
  <si>
    <t>WREIMUS2</t>
  </si>
  <si>
    <t>WPRIM_NUS-Z00_2</t>
  </si>
  <si>
    <t>W_EPPO6_IM0_NUS-Z00_MBBLD</t>
  </si>
  <si>
    <t>W_EPPK_IM0_NUS-Z00_MBBLD</t>
  </si>
  <si>
    <t>W_EPL0XP_IM0_NUS-Z00_MBBLD</t>
  </si>
  <si>
    <t>4-Week Avg U.S. Imports of Crude Oil and Petroleum Products  (Thousand Barrels per Day)</t>
  </si>
  <si>
    <t>4-Week Avg U.S. Imports of Crude Oil  (Thousand Barrels per Day)</t>
  </si>
  <si>
    <t>4-Week Avg U.S. Commercial Crude Oil Imports Excluding SPR  (Thousand Barrels per Day)</t>
  </si>
  <si>
    <t>4-Week Avg U.S. Crude Oil Imports by SPR  (Thousand Barrels per Day)</t>
  </si>
  <si>
    <t>4-Week Avg U.S. Crude Oil Imports for SPR by Others  (Thousand Barrels per Day)</t>
  </si>
  <si>
    <t>4-Week Avg U.S. Imports of Total Petroleum Products  (Thousand Barrels per Day)</t>
  </si>
  <si>
    <t>4-Week Avg U.S. Imports of Total Gasoline  (Thousand Barrels per Day)</t>
  </si>
  <si>
    <t>4-Week Avg U.S. Imports of Finished Motor Gasoline  (Thousand Barrels per Day)</t>
  </si>
  <si>
    <t>4-Week Avg U.S. Imports of Reformulated Motor Gasoline  (Thousand Barrels per Day)</t>
  </si>
  <si>
    <t>4-Week Avg U.S. Imports of Reformulated Motor Gasoline with Fuel ALcohol  (Thousand Barrels per Day)</t>
  </si>
  <si>
    <t>4-Week Avg U.S. Imports of Other Reformulated Motor Gasoline  (Thousand Barrels per Day)</t>
  </si>
  <si>
    <t>4-Week Avg U.S. Imports of Conventional Motor Gasoline  (Thousand Barrels per Day)</t>
  </si>
  <si>
    <t>4-Week Avg U.S. Imports of Conventional Motor Gasoline with Fuel Ethanol  (Thousand Barrels per Day)</t>
  </si>
  <si>
    <t>4-Week Avg U.S. Imports of Motor Gasoline, Finished, Conventional, Ed55 and Lower  (Thousand Barrels per Day)</t>
  </si>
  <si>
    <t>4-Week Avg U.S. Imports of Motor Gasoline, Finished, Conventional, Greater than Ed55  (Thousand Barrels per Day)</t>
  </si>
  <si>
    <t>4-Week Avg U.S. Imports of Other Conventional Motor Gasoline  (Thousand Barrels per Day)</t>
  </si>
  <si>
    <t>4-Week Avg U.S. Imports of Gasoline Blending Components  (Thousand Barrels per Day)</t>
  </si>
  <si>
    <t>4-Week Avg U.S. Imports from  All Countries of Motor Gasoline Blending Components, RBOB  (Thousand Barrels per Day)</t>
  </si>
  <si>
    <t>4-Week Avg U.S. Imports of Conventional CBOB Gasoline Blending Components  (Thousand Barrels per Day)</t>
  </si>
  <si>
    <t>4-Week Avg U.S. Imports of Conventional GTAB Gasoline Blending Components  (Thousand Barrels per Day)</t>
  </si>
  <si>
    <t>4-Week Avg U.S. Imports of Conventional Other Gasoline Blending Components  (Thousand Barrels per Day)</t>
  </si>
  <si>
    <t>4-Week Avg U.S. Imports of Fuel Ethanol  (Thousand Barrels per Day)</t>
  </si>
  <si>
    <t>4-Week Avg U.S. Imports of Kerosene-Type Jet Fuel  (Thousand Barrels per Day)</t>
  </si>
  <si>
    <t>4-Week Avg U.S. Imports of Distillate Fuel Oil  (Thousand Barrels per Day)</t>
  </si>
  <si>
    <t>4-Week Avg U.S. Imports of Distillate Fuel Oil, 0 to 15 ppm Sulfur  (Thousand Barrels per Day)</t>
  </si>
  <si>
    <t>4-Week Avg U.S. Imports of Distillate Fuel Oil, Greater than 15 to 500 ppm Sulfur  (Thousand Barrels per Day)</t>
  </si>
  <si>
    <t>4-Week Avg U.S. Imports of Distillate Fuel Oil, Greater than 500 to 2000 ppm Sulfur  (Thousand Barrels per Day)</t>
  </si>
  <si>
    <t>4-Week Avg U.S. Imports of Distillate Fuel Oil, Greater than 2000 ppm Sulfur  (Thousand Barrels per Day)</t>
  </si>
  <si>
    <t>4-Week Avg U.S. Imports of Residual Fuel Oil  (Thousand Barrels per Day)</t>
  </si>
  <si>
    <t>4-Week Avg U.S. Imports of Propane and Propylene  (Thousand Barrels per Day)</t>
  </si>
  <si>
    <t>4-Week Avg U.S. Imports of Other Oils (Excluding Fuel Ethanol)  (Thousand Barrels per Day)</t>
  </si>
  <si>
    <t>4-Week Avg U.S. Imports of Kerosene  (Thousand Barrels per Day)</t>
  </si>
  <si>
    <t>4-Week Avg U.S. Imports of Liquefied Petroleum Gasses Less Propane/Propylene  (Thousand Barrels per Day)</t>
  </si>
  <si>
    <t>MINOILD6</t>
  </si>
  <si>
    <t>MINOILD7</t>
  </si>
  <si>
    <t>MINOILD8</t>
  </si>
  <si>
    <t>MINOILD9</t>
  </si>
  <si>
    <t xml:space="preserve">[Index numbers, 2009=100]                                                                                                                                                                                                                                 </t>
  </si>
  <si>
    <t>Downloaded on 1/09/2014    Last Revised 12/23/2013</t>
  </si>
  <si>
    <t>To bring to $2005</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</si>
  <si>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</si>
  <si>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</si>
  <si>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</si>
  <si>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</si>
  <si>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</si>
  <si>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</si>
  <si>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</si>
  <si>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</si>
  <si>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</si>
  <si>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</si>
  <si>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</si>
  <si>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</si>
  <si>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</si>
  <si>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</si>
  <si>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</si>
  <si>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</si>
  <si>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</si>
  <si>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</si>
  <si>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</si>
  <si>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</si>
  <si>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</si>
  <si>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</si>
  <si>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2006</t>
  </si>
  <si>
    <t>2007</t>
  </si>
  <si>
    <t>2008</t>
  </si>
  <si>
    <t>2009</t>
  </si>
  <si>
    <t>2011</t>
  </si>
  <si>
    <t>2012</t>
  </si>
  <si>
    <t>- -</t>
  </si>
  <si>
    <t>Wellhead Prices (2012 dollars per barrel)</t>
  </si>
  <si>
    <t>AEO2014 Lower 48 Crude Oil Production and Wellhead Prices by Supply Region, Reference case</t>
  </si>
  <si>
    <t>AEO2014 Oil and Gas Supply, Reference case</t>
  </si>
  <si>
    <t>Growth 2045+</t>
  </si>
  <si>
    <t>Data from EIA U.S. Crude Oil, Natural Gas, and Natural Gas Liquids Proved Reserves, 2011</t>
  </si>
  <si>
    <t>Table 7: Crude oil proved reserves, reserves changes, and production, 2011</t>
  </si>
  <si>
    <t>http://www.eia.gov/naturalgas/crudeoilreserves/pdf/table_7.pdf</t>
  </si>
  <si>
    <t>Proved Reserves as of 12/31/11</t>
  </si>
  <si>
    <t>From AEO2014 Appendix 146</t>
  </si>
  <si>
    <t xml:space="preserve">Step 3 Price Starting Point: </t>
  </si>
  <si>
    <t>*5% above average price</t>
  </si>
  <si>
    <t>Burnham, A., et al. (2011). "Life-Cycle Greenhouse Gas Emissions of Shale Gas, Natural Gas, Coal, and Petroleum." Environmental Science &amp; Technology.</t>
  </si>
  <si>
    <t>We estimated the average flaring emissions to be 1,063 grams CO2 per million Btu of crude oil and the
vented emissions to be 60 grams CH4 per million Btu of crude oil. We also updated the methane
emissions from surface mined oil sands as emissions from tailing ponds were roughly 110 grams CH4
per million Btu of oil sands.30 Howarth et al. assume that indirect CO2 emissions are about 8% of direct
emissions from fossil fuel combustion for recovery, processing, and transporting oil, while methane
leakage is 130 grams CH4 per million Btu of oil citing NETL.15,31 Howarth et al. did not examine
emissions from oil sands.1</t>
  </si>
  <si>
    <t>NREL LCI Digital Commons</t>
  </si>
  <si>
    <t>kg</t>
  </si>
  <si>
    <t>Inputs</t>
  </si>
  <si>
    <t>Diesel</t>
  </si>
  <si>
    <t>Elc</t>
  </si>
  <si>
    <t>Gasoline</t>
  </si>
  <si>
    <t>NG</t>
  </si>
  <si>
    <t>L</t>
  </si>
  <si>
    <t>kWh</t>
  </si>
  <si>
    <t>m^3</t>
  </si>
  <si>
    <t>Crude oil</t>
  </si>
  <si>
    <t>MJ/kg</t>
  </si>
  <si>
    <t>MJ/L</t>
  </si>
  <si>
    <t>MJ/m3</t>
  </si>
  <si>
    <t>MJ</t>
  </si>
  <si>
    <t>kT/PJ of crude</t>
  </si>
  <si>
    <t>g/mmBTU of crude</t>
  </si>
  <si>
    <t>COMPARISON</t>
  </si>
  <si>
    <t>GREET</t>
  </si>
  <si>
    <t>Burnham</t>
  </si>
  <si>
    <t xml:space="preserve">NOTE: For CO2 and CH4 emissions for crude oil extraction, three sources (i.e., GREET, Burnham etal 2011, NREL LCI Database) was analyzed. All individual calculations are given below. As defaults, the NREL LCI numbers were set due to fact that it includes vented CH4 emissions, as well as emissions associated with fuel and electricity used during the extraction of the crude. We think that the GREET numbers would include that as well, however the version we used were an older version. </t>
  </si>
  <si>
    <t>Outputs</t>
  </si>
  <si>
    <t>CO2 Factor</t>
  </si>
  <si>
    <t>Total CO2</t>
  </si>
  <si>
    <t>kT</t>
  </si>
  <si>
    <t>CH4 Factor</t>
  </si>
  <si>
    <t>Total CH4</t>
  </si>
  <si>
    <t>NREL*</t>
  </si>
  <si>
    <t>*Selected as default</t>
  </si>
  <si>
    <t>*R8</t>
  </si>
  <si>
    <t>*R9</t>
  </si>
  <si>
    <t>Total</t>
  </si>
  <si>
    <t>R0,R1,R2,R3,R4,R5,R6</t>
  </si>
  <si>
    <t>*R1,R2,R3,R4,R5,R6</t>
  </si>
  <si>
    <t>Export of domestic crude from R1 to R2</t>
  </si>
  <si>
    <t>Export of domestic crude from R1 to R3</t>
  </si>
  <si>
    <t>Export of domestic crude from R1 to R4</t>
  </si>
  <si>
    <t>Export of domestic crude from R1 to R5</t>
  </si>
  <si>
    <t>EXPOILD12</t>
  </si>
  <si>
    <t>EXPOILD13</t>
  </si>
  <si>
    <t>EXPOILD14</t>
  </si>
  <si>
    <t>EXPOILD15</t>
  </si>
  <si>
    <t>EXPOILD16</t>
  </si>
  <si>
    <t>Export of domestic crude from R1 to R6</t>
  </si>
  <si>
    <t>Export of domestic crude from R2 to R5</t>
  </si>
  <si>
    <t>EXPOILD25</t>
  </si>
  <si>
    <t>Export of domestic crude from R3 to R4</t>
  </si>
  <si>
    <t>EXPOILD32</t>
  </si>
  <si>
    <t>EXPOILD34</t>
  </si>
  <si>
    <t>Export of domestic crude from R4 to R3</t>
  </si>
  <si>
    <t>EXPOILD42</t>
  </si>
  <si>
    <t>EXPOILD43</t>
  </si>
  <si>
    <t>Export of domestic crude from R5 to R2</t>
  </si>
  <si>
    <t>Import of domestic crude from R2 to R5</t>
  </si>
  <si>
    <t>IMPOILD25</t>
  </si>
  <si>
    <t>Import of domestic crude from R5 to R2</t>
  </si>
  <si>
    <t>IMPOILD52</t>
  </si>
  <si>
    <t>Import of domestic crude from R3 to R4</t>
  </si>
  <si>
    <t>IMPOILD32</t>
  </si>
  <si>
    <t>Import of domestic crude from R4 to R3</t>
  </si>
  <si>
    <t>IMPOILD42</t>
  </si>
  <si>
    <t>IMPOILD43</t>
  </si>
  <si>
    <t>*R0</t>
  </si>
  <si>
    <t>*R7</t>
  </si>
  <si>
    <t>EPAUS9R Crude Reserves</t>
  </si>
  <si>
    <t>NYC MARKAL Crude Reserves</t>
  </si>
  <si>
    <t>Blank</t>
  </si>
  <si>
    <t>* R1 in the NYC model is NE &amp; MA regions in EPAUS9R</t>
  </si>
  <si>
    <t>Delivery of domestic crude from R5 to *R7</t>
  </si>
  <si>
    <t>Delivery of domestic crude from R3 to *R7</t>
  </si>
  <si>
    <t>Delivery of domestic crude from R4 to *R7</t>
  </si>
  <si>
    <t>Delivery of domestic crude from *R7 to R2</t>
  </si>
  <si>
    <t>Delivery of domestic crude from *R7 to R3</t>
  </si>
  <si>
    <t>Delivery of domestic crude from *R7 to R4</t>
  </si>
  <si>
    <t>Delivery of domestic crude from *R7 to R5</t>
  </si>
  <si>
    <t>**R7</t>
  </si>
  <si>
    <t>Delivery of domestic crude from R3 to *R8</t>
  </si>
  <si>
    <t>Delivery of domestic crude from R4 to *R8</t>
  </si>
  <si>
    <t>Delivery of domestic crude from *R8 to R3</t>
  </si>
  <si>
    <t>Delivery of domestic crude from *R8 to R4</t>
  </si>
  <si>
    <t>Delivery of domestic crude from *R8 to R6</t>
  </si>
  <si>
    <t>Delivery of domestic crude from *R8 to *R7</t>
  </si>
  <si>
    <t>Export of Imported Asphalt, PADD 4 to *R8</t>
  </si>
  <si>
    <t>Delivery of domestic crude from *R9 to R2</t>
  </si>
  <si>
    <t>Delivery of domestic crude from *R9 to R3</t>
  </si>
  <si>
    <t>Delivery of domestic crude from *R9 to R4</t>
  </si>
  <si>
    <t>Export of Imported Asphalt, PADD 5 to *R9</t>
  </si>
  <si>
    <t>XOILD25</t>
  </si>
  <si>
    <t>Delivery of domestic crude from R2 to R5</t>
  </si>
  <si>
    <t>*R2</t>
  </si>
  <si>
    <t>*R3</t>
  </si>
  <si>
    <t>*R4</t>
  </si>
  <si>
    <t>*R5</t>
  </si>
  <si>
    <t>*R6</t>
  </si>
  <si>
    <t>* Refined Products Trade Export Tanker/Barge Technologies (NEED BARGE FROM R1 TO R2-R6)</t>
  </si>
  <si>
    <t>*R1</t>
  </si>
  <si>
    <t>*R3,R6</t>
  </si>
  <si>
    <t>*R2,R5,R6</t>
  </si>
  <si>
    <t>*R1,R2,R3,R4,R5</t>
  </si>
  <si>
    <t>* Imported Refined Oil Product Commodities (R0 to R1, NYC Regions 2-6 Import from R1)</t>
  </si>
  <si>
    <t>*R2,R3,R4,R5,R6</t>
  </si>
  <si>
    <t>OILD1</t>
  </si>
  <si>
    <t>Domestic Crude Oil - R1</t>
  </si>
  <si>
    <t>EXPOILD52</t>
  </si>
  <si>
    <t>EXPOILD63</t>
  </si>
  <si>
    <t>IMPOILD63</t>
  </si>
  <si>
    <t>RESRFL</t>
  </si>
  <si>
    <t>IMPOILD34</t>
  </si>
  <si>
    <t>R1R2FLO</t>
  </si>
  <si>
    <t>R1R3FLO</t>
  </si>
  <si>
    <t>R1R4FLO</t>
  </si>
  <si>
    <t>R1R5FLO</t>
  </si>
  <si>
    <t>R1R6FLO</t>
  </si>
  <si>
    <t>P2R1FLO</t>
  </si>
  <si>
    <t>P3R1FLO</t>
  </si>
  <si>
    <t>R2R4FLO</t>
  </si>
  <si>
    <t>R2R6FLO</t>
  </si>
  <si>
    <t>R2R5FLO</t>
  </si>
  <si>
    <t>R4R3FLO</t>
  </si>
  <si>
    <t>R4R5FLO</t>
  </si>
  <si>
    <t>R5R4FLO</t>
  </si>
  <si>
    <t>R6R2FLO</t>
  </si>
  <si>
    <t>R3R4FLO</t>
  </si>
  <si>
    <t>P1R3FLO</t>
  </si>
  <si>
    <t>P1R4FLO</t>
  </si>
  <si>
    <t>P1R6FLO</t>
  </si>
  <si>
    <t>EXPASPP13</t>
  </si>
  <si>
    <t>EXPASPP14</t>
  </si>
  <si>
    <t>EXPASPP16</t>
  </si>
  <si>
    <t>Export of Imported Asphalt, PADD 1 to R6</t>
  </si>
  <si>
    <t>Export of Imported Asphalt, PADD 1 to R4</t>
  </si>
  <si>
    <t>Export of Imported Asphalt, PADD 1 to R3</t>
  </si>
  <si>
    <t>IMPASPP13</t>
  </si>
  <si>
    <t>R3 Import of Imported Asphalt, from PADD 1</t>
  </si>
  <si>
    <t>R4 Import of Imported Asphalt, from PADD 1</t>
  </si>
  <si>
    <t>IMPASPP16</t>
  </si>
  <si>
    <t>R6 Import of Imported Asphalt, from PADD 1</t>
  </si>
  <si>
    <t>EPAUS9R Data</t>
  </si>
  <si>
    <t>NYC MARKAL Data</t>
  </si>
  <si>
    <t>Imported Refined Curves for NYC MARKAL</t>
  </si>
  <si>
    <t>Domestic crude delivery charge from R1</t>
  </si>
  <si>
    <t>XOILD1</t>
  </si>
  <si>
    <t>*R0,R1,R2,R3,R4,R5,R6</t>
  </si>
  <si>
    <t>EXPASPP31</t>
  </si>
  <si>
    <t>Export of Imported Asphalt, PADD 3 to R1</t>
  </si>
  <si>
    <t>IMPASPP21</t>
  </si>
  <si>
    <t>R1 Import of Imported Asphalt, from PADD 2</t>
  </si>
  <si>
    <t>IMPASPP31</t>
  </si>
  <si>
    <t>R1 Import of Imported Asphalt, from PADD 3</t>
  </si>
  <si>
    <t>*Imported crude supply from PADDs</t>
  </si>
  <si>
    <t>*Imported Refined Products from PADD 1 Direct to Regional End Users</t>
  </si>
  <si>
    <t>*Imported Refined Products from PADD 2 Direct to Regional End Users</t>
  </si>
  <si>
    <t>*Imported Refined Products from PADD 3 Direct to Regional End Users</t>
  </si>
  <si>
    <t>R0,R1</t>
  </si>
  <si>
    <t>R1,R2,R3,R4,R5,R6</t>
  </si>
  <si>
    <t>R2,R3,R4,R5,R6</t>
  </si>
  <si>
    <r>
      <t>1</t>
    </r>
    <r>
      <rPr>
        <sz val="10"/>
        <color theme="1"/>
        <rFont val="Arial"/>
        <family val="2"/>
      </rPr>
      <t>Using elemental carbon as a surrogate for black carbon.</t>
    </r>
  </si>
  <si>
    <r>
      <t>2</t>
    </r>
    <r>
      <rPr>
        <sz val="10"/>
        <color theme="1"/>
        <rFont val="Arial"/>
        <family val="2"/>
      </rPr>
      <t>Hg emissions from resource extraction are insignificant.</t>
    </r>
  </si>
  <si>
    <r>
      <t>3</t>
    </r>
    <r>
      <rPr>
        <sz val="10"/>
        <color theme="1"/>
        <rFont val="Arial"/>
        <family val="2"/>
      </rPr>
      <t>Not available.</t>
    </r>
  </si>
  <si>
    <r>
      <t>NO</t>
    </r>
    <r>
      <rPr>
        <b/>
        <vertAlign val="subscript"/>
        <sz val="10"/>
        <color theme="1"/>
        <rFont val="Arial"/>
        <family val="2"/>
      </rPr>
      <t>x</t>
    </r>
  </si>
  <si>
    <r>
      <t>PM</t>
    </r>
    <r>
      <rPr>
        <b/>
        <vertAlign val="subscript"/>
        <sz val="10"/>
        <color theme="1"/>
        <rFont val="Arial"/>
        <family val="2"/>
      </rPr>
      <t>10</t>
    </r>
  </si>
  <si>
    <r>
      <t>PM</t>
    </r>
    <r>
      <rPr>
        <b/>
        <vertAlign val="subscript"/>
        <sz val="10"/>
        <color theme="1"/>
        <rFont val="Arial"/>
        <family val="2"/>
      </rPr>
      <t>2.5</t>
    </r>
  </si>
  <si>
    <r>
      <t>SO</t>
    </r>
    <r>
      <rPr>
        <b/>
        <vertAlign val="subscript"/>
        <sz val="10"/>
        <color theme="1"/>
        <rFont val="Arial"/>
        <family val="2"/>
      </rPr>
      <t>x</t>
    </r>
  </si>
  <si>
    <r>
      <t>CH</t>
    </r>
    <r>
      <rPr>
        <b/>
        <vertAlign val="subscript"/>
        <sz val="10"/>
        <color theme="1"/>
        <rFont val="Arial"/>
        <family val="2"/>
      </rPr>
      <t>4</t>
    </r>
  </si>
  <si>
    <r>
      <t>N</t>
    </r>
    <r>
      <rPr>
        <b/>
        <vertAlign val="subscript"/>
        <sz val="10"/>
        <color theme="1"/>
        <rFont val="Arial"/>
        <family val="2"/>
      </rPr>
      <t>2</t>
    </r>
    <r>
      <rPr>
        <b/>
        <sz val="10"/>
        <color theme="1"/>
        <rFont val="Arial"/>
        <family val="2"/>
      </rPr>
      <t>O</t>
    </r>
  </si>
  <si>
    <r>
      <t>CO</t>
    </r>
    <r>
      <rPr>
        <b/>
        <vertAlign val="subscript"/>
        <sz val="10"/>
        <color theme="1"/>
        <rFont val="Arial"/>
        <family val="2"/>
      </rPr>
      <t>2</t>
    </r>
  </si>
  <si>
    <r>
      <t>BC</t>
    </r>
    <r>
      <rPr>
        <b/>
        <vertAlign val="superscript"/>
        <sz val="10"/>
        <color theme="1"/>
        <rFont val="Arial"/>
        <family val="2"/>
      </rPr>
      <t>1</t>
    </r>
  </si>
  <si>
    <r>
      <t>Hg</t>
    </r>
    <r>
      <rPr>
        <b/>
        <vertAlign val="superscript"/>
        <sz val="10"/>
        <color theme="1"/>
        <rFont val="Arial"/>
        <family val="2"/>
      </rPr>
      <t>2</t>
    </r>
  </si>
  <si>
    <r>
      <t>na</t>
    </r>
    <r>
      <rPr>
        <vertAlign val="superscript"/>
        <sz val="10"/>
        <color theme="1"/>
        <rFont val="Arial"/>
        <family val="2"/>
      </rPr>
      <t>3</t>
    </r>
  </si>
  <si>
    <t>Unit</t>
  </si>
  <si>
    <t>Csets</t>
  </si>
  <si>
    <t>LimType</t>
  </si>
  <si>
    <t>CTSLvl</t>
  </si>
  <si>
    <t>PeakTS</t>
  </si>
  <si>
    <t>Ctype</t>
  </si>
  <si>
    <t>NRG</t>
  </si>
  <si>
    <t>MAT</t>
  </si>
  <si>
    <t>Tact</t>
  </si>
  <si>
    <t>Tcap</t>
  </si>
  <si>
    <t>Sets</t>
  </si>
  <si>
    <t>PrimaryCG</t>
  </si>
  <si>
    <t>Vintage</t>
  </si>
  <si>
    <t>*GROWTHr</t>
  </si>
  <si>
    <t>*GROWTH_TIDr</t>
  </si>
  <si>
    <t>*DECAYr</t>
  </si>
  <si>
    <t>*GROWTHr~2010-2055</t>
  </si>
  <si>
    <t>*DECAYr~2010-2055</t>
  </si>
  <si>
    <t>COST~2010</t>
  </si>
  <si>
    <t>COST~2015</t>
  </si>
  <si>
    <t>COST~2020</t>
  </si>
  <si>
    <t>COST~2025</t>
  </si>
  <si>
    <t>COST~2030</t>
  </si>
  <si>
    <t>COST~2035</t>
  </si>
  <si>
    <t>COST~2040</t>
  </si>
  <si>
    <t>COST~2045</t>
  </si>
  <si>
    <t>COST~2050</t>
  </si>
  <si>
    <t>COST~2055</t>
  </si>
  <si>
    <t>AFA</t>
  </si>
  <si>
    <t>NCAP_TLIFE</t>
  </si>
  <si>
    <t>ENV_ACT~VOC</t>
  </si>
  <si>
    <t>ENV_ACT~CO</t>
  </si>
  <si>
    <t>ENV_ACT~NOX</t>
  </si>
  <si>
    <t>ENV_ACT~PM10</t>
  </si>
  <si>
    <t>ENV_ACT~PM25</t>
  </si>
  <si>
    <t>ENV_ACT~SO2</t>
  </si>
  <si>
    <t>ENV_ACT~CH4</t>
  </si>
  <si>
    <t>ENV_ACT~N2O</t>
  </si>
  <si>
    <t>ENV_ACT~CO2</t>
  </si>
  <si>
    <t>ENV_ACT~OC</t>
  </si>
  <si>
    <t>ENV_ACT~BC</t>
  </si>
  <si>
    <t>MIN</t>
  </si>
  <si>
    <t>PRE</t>
  </si>
  <si>
    <t>EXP</t>
  </si>
  <si>
    <t>IMP</t>
  </si>
  <si>
    <t>*Oil mining</t>
  </si>
  <si>
    <t>EFF</t>
  </si>
  <si>
    <t>* Oil extraction</t>
  </si>
  <si>
    <t>NCAP_FOM~2010</t>
  </si>
  <si>
    <t>NCAP_FOM~2015</t>
  </si>
  <si>
    <t>NCAP_FOM~2020</t>
  </si>
  <si>
    <t>NCAP_FOM~2025</t>
  </si>
  <si>
    <t>NCAP_FOM~2030</t>
  </si>
  <si>
    <t>NCAP_FOM~2035</t>
  </si>
  <si>
    <t>NCAP_FOM~2040</t>
  </si>
  <si>
    <t>NCAP_FOM~2045</t>
  </si>
  <si>
    <t>NCAP_FOM~2050</t>
  </si>
  <si>
    <t>NCAP_FOM~2055</t>
  </si>
  <si>
    <t>*Name change Refined product</t>
  </si>
  <si>
    <t>PJa</t>
  </si>
  <si>
    <t>XIINDASPP1</t>
  </si>
  <si>
    <t>XIINDASPP2</t>
  </si>
  <si>
    <t>XIINDASPP3</t>
  </si>
  <si>
    <t>ACT_BND~LO~2010</t>
  </si>
  <si>
    <t>ACT_BND~UP~2005</t>
  </si>
  <si>
    <t>ACT_BND~UP~2010</t>
  </si>
  <si>
    <t>ACT_BND~UP~2015</t>
  </si>
  <si>
    <t>ACT_BND~UP~2020</t>
  </si>
  <si>
    <t>ACT_BND~UP~2025</t>
  </si>
  <si>
    <t>ACT_BND~UP~2030</t>
  </si>
  <si>
    <t>ACT_BND~UP~2035</t>
  </si>
  <si>
    <t>ACT_BND~UP~2040</t>
  </si>
  <si>
    <t>ACT_BND~UP~2045</t>
  </si>
  <si>
    <t>ACT_BND~UP~2050</t>
  </si>
  <si>
    <t>ACT_BND~UP~2055</t>
  </si>
  <si>
    <t>~UC_Sets: R_E: AllRegions</t>
  </si>
  <si>
    <t>UC_N</t>
  </si>
  <si>
    <t>Pset_PN</t>
  </si>
  <si>
    <t>Pset_CI</t>
  </si>
  <si>
    <t>Cset_CN</t>
  </si>
  <si>
    <t>UC_Desc</t>
  </si>
  <si>
    <t>Maximum trade of oil product</t>
  </si>
  <si>
    <t>UC_TRADEOILR2</t>
  </si>
  <si>
    <t>X*</t>
  </si>
  <si>
    <t>GSCR1,GSRR1,DSHR1,DSLR1,DSUR1,RFLR1</t>
  </si>
  <si>
    <t>UC_FLO</t>
  </si>
  <si>
    <t>~UC_T: UC_RHSRTS~UP</t>
  </si>
  <si>
    <t>UC_RHSRTS~UP~0</t>
  </si>
  <si>
    <t>Maximum capacity technology growth:</t>
  </si>
  <si>
    <t>~UC_Sets: T_SUC:</t>
  </si>
  <si>
    <t>~UC_T</t>
  </si>
  <si>
    <t>Pset_CO</t>
  </si>
  <si>
    <t>UC_ATTR</t>
  </si>
  <si>
    <t>UC_CAP~2010</t>
  </si>
  <si>
    <t>UC_CAP~2015</t>
  </si>
  <si>
    <t>UC_CAP~2020</t>
  </si>
  <si>
    <t>UC_CAP~2025</t>
  </si>
  <si>
    <t>UC_CAP~2030</t>
  </si>
  <si>
    <t>UC_CAP~2035</t>
  </si>
  <si>
    <t>UC_CAP~2040</t>
  </si>
  <si>
    <t>UC_CAP~2045</t>
  </si>
  <si>
    <t>UC_CAP~2050</t>
  </si>
  <si>
    <t>UC_CAP~2055</t>
  </si>
  <si>
    <t>UC_CAP~RHS</t>
  </si>
  <si>
    <t>UC_RHSRTS</t>
  </si>
  <si>
    <t>UC_RHSRTS~0</t>
  </si>
  <si>
    <t>CAP, GROWTH</t>
  </si>
  <si>
    <t>UP</t>
  </si>
  <si>
    <t>Maximum capacity technology decrease:</t>
  </si>
  <si>
    <t>LO</t>
  </si>
  <si>
    <t>~UC_Sets: R_E: R1</t>
  </si>
  <si>
    <t>UC_GrowthOfOILUP1</t>
  </si>
  <si>
    <t>UC_DeayOfOILUP1</t>
  </si>
  <si>
    <t>UC_GrowthOfOILUP2</t>
  </si>
  <si>
    <t>UC_GrowthOfOILUP3</t>
  </si>
  <si>
    <t>UC_GrowthOfOILUP4</t>
  </si>
  <si>
    <t>UC_GrowthOfOILUP5</t>
  </si>
  <si>
    <t>UC_GrowthOfOILUP6</t>
  </si>
  <si>
    <t>UC_GrowthOfOILUP7</t>
  </si>
  <si>
    <t>UC_GrowthOfOILUP8</t>
  </si>
  <si>
    <t>UC_GrowthOfOILUP9</t>
  </si>
  <si>
    <t>UC_GrowthOfOILUP10</t>
  </si>
  <si>
    <t>UC_GrowthOfOILUP11</t>
  </si>
  <si>
    <t>UC_GrowthOfOILUP12</t>
  </si>
  <si>
    <t>UC_GrowthOfOILUP13</t>
  </si>
  <si>
    <t>UC_GrowthOfOILUP14</t>
  </si>
  <si>
    <t>UC_GrowthOfOILUP15</t>
  </si>
  <si>
    <t>UC_GrowthOfOILUP16</t>
  </si>
  <si>
    <t>UC_GrowthOfOILUP17</t>
  </si>
  <si>
    <t>UC_GrowthOfOILUP18</t>
  </si>
  <si>
    <t>UC_GrowthOfOILUP19</t>
  </si>
  <si>
    <t>UC_GrowthOfOILUP20</t>
  </si>
  <si>
    <t>UC_GrowthOfOILUP21</t>
  </si>
  <si>
    <t>UC_GrowthOfOILUP22</t>
  </si>
  <si>
    <t>UC_GrowthOfOILUP23</t>
  </si>
  <si>
    <t>UC_GrowthOfOILUP24</t>
  </si>
  <si>
    <t>UC_GrowthOfOILUP25</t>
  </si>
  <si>
    <t>UC_GrowthOfOILUP26</t>
  </si>
  <si>
    <t>UC_GrowthOfOILUP27</t>
  </si>
  <si>
    <t>UC_GrowthOfOILUP28</t>
  </si>
  <si>
    <t>UC_GrowthOfOILUP29</t>
  </si>
  <si>
    <t>UC_GrowthOfOILUP31</t>
  </si>
  <si>
    <t>UC_GrowthOfOILUP32</t>
  </si>
  <si>
    <t>UC_GrowthOfOILUP33</t>
  </si>
  <si>
    <t>UC_GrowthOfOILUP34</t>
  </si>
  <si>
    <t>UC_GrowthOfOILUP35</t>
  </si>
  <si>
    <t>UC_GrowthOfOILUP36</t>
  </si>
  <si>
    <t>UC_GrowthOfOILUP37</t>
  </si>
  <si>
    <t>UC_GrowthOfOILUP38</t>
  </si>
  <si>
    <t>UC_GrowthOfOILUP39</t>
  </si>
  <si>
    <t>UC_GrowthOfOILUP40</t>
  </si>
  <si>
    <t>UC_GrowthOfOILUP41</t>
  </si>
  <si>
    <t>UC_GrowthOfOILUP42</t>
  </si>
  <si>
    <t>UC_GrowthOfOILUP43</t>
  </si>
  <si>
    <t>UC_GrowthOfOILUP44</t>
  </si>
  <si>
    <t>UC_GrowthOfOILUP45</t>
  </si>
  <si>
    <t>UC_GrowthOfOILUP46</t>
  </si>
  <si>
    <t>UC_GrowthOfOILUP47</t>
  </si>
  <si>
    <t>UC_GrowthOfOILUP48</t>
  </si>
  <si>
    <t>UC_GrowthOfOILUP49</t>
  </si>
  <si>
    <t>UC_GrowthOfOILUP50</t>
  </si>
  <si>
    <t>UC_GrowthOfOILUP51</t>
  </si>
  <si>
    <t>UC_GrowthOfOILUP52</t>
  </si>
  <si>
    <t>UC_GrowthOfOILUP53</t>
  </si>
  <si>
    <t>UC_GrowthOfOILUP54</t>
  </si>
  <si>
    <t>UC_GrowthOfOILUP55</t>
  </si>
  <si>
    <t>UC_GrowthOfOILUP57</t>
  </si>
  <si>
    <t>UC_GrowthOfOILUP58</t>
  </si>
  <si>
    <t>UC_GrowthOfOILUP59</t>
  </si>
  <si>
    <t>UC_GrowthOfOILUP60</t>
  </si>
  <si>
    <t>UC_GrowthOfOILUP61</t>
  </si>
  <si>
    <t>UC_GrowthOfOILUP62</t>
  </si>
  <si>
    <t>UC_GrowthOfOILUP63</t>
  </si>
  <si>
    <t>UC_GrowthOfOILUP64</t>
  </si>
  <si>
    <t>UC_GrowthOfOILUP65</t>
  </si>
  <si>
    <t>UC_GrowthOfOILUP66</t>
  </si>
  <si>
    <t>UC_GrowthOfOILUP67</t>
  </si>
  <si>
    <t>UC_GrowthOfOILUP68</t>
  </si>
  <si>
    <t>UC_GrowthOfOILUP69</t>
  </si>
  <si>
    <t>UC_GrowthOfOILUP70</t>
  </si>
  <si>
    <t>UC_GrowthOfOILUP71</t>
  </si>
  <si>
    <t>UC_GrowthOfOILUP72</t>
  </si>
  <si>
    <t>UC_GrowthOfOILUP73</t>
  </si>
  <si>
    <t>UC_GrowthOfOILUP74</t>
  </si>
  <si>
    <t>UC_GrowthOfOILUP75</t>
  </si>
  <si>
    <t>UC_GrowthOfOILUP76</t>
  </si>
  <si>
    <t>UC_GrowthOfOILUP77</t>
  </si>
  <si>
    <t>UC_GrowthOfOILUP78</t>
  </si>
  <si>
    <t>UC_GrowthOfOILUP79</t>
  </si>
  <si>
    <t>UC_GrowthOfOILUP80</t>
  </si>
  <si>
    <t>UC_GrowthOfOILUP81</t>
  </si>
  <si>
    <t>UC_DeayOfOILUP2</t>
  </si>
  <si>
    <t>UC_DeayOfOILUP3</t>
  </si>
  <si>
    <t>UC_DeayOfOILUP4</t>
  </si>
  <si>
    <t>UC_DeayOfOILUP5</t>
  </si>
  <si>
    <t>UC_DeayOfOILUP6</t>
  </si>
  <si>
    <t>UC_DeayOfOILUP7</t>
  </si>
  <si>
    <t>UC_DeayOfOILUP8</t>
  </si>
  <si>
    <t>UC_DeayOfOILUP9</t>
  </si>
  <si>
    <t>UC_DeayOfOILUP10</t>
  </si>
  <si>
    <t>UC_DeayOfOILUP11</t>
  </si>
  <si>
    <t>UC_DeayOfOILUP12</t>
  </si>
  <si>
    <t>UC_DeayOfOILUP13</t>
  </si>
  <si>
    <t>UC_DeayOfOILUP14</t>
  </si>
  <si>
    <t>UC_DeayOfOILUP15</t>
  </si>
  <si>
    <t>UC_DeayOfOILUP16</t>
  </si>
  <si>
    <t>UC_DeayOfOILUP17</t>
  </si>
  <si>
    <t>UC_DeayOfOILUP18</t>
  </si>
  <si>
    <t>UC_DeayOfOILUP19</t>
  </si>
  <si>
    <t>UC_DeayOfOILUP20</t>
  </si>
  <si>
    <t>UC_DeayOfOILUP21</t>
  </si>
  <si>
    <t>UC_DeayOfOILUP22</t>
  </si>
  <si>
    <t>UC_DeayOfOILUP23</t>
  </si>
  <si>
    <t>UC_DeayOfOILUP24</t>
  </si>
  <si>
    <t>UC_DeayOfOILUP25</t>
  </si>
  <si>
    <t>UC_DeayOfOILUP26</t>
  </si>
  <si>
    <t>UC_DeayOfOILUP27</t>
  </si>
  <si>
    <t>UC_DeayOfOILUP28</t>
  </si>
  <si>
    <t>UC_DeayOfOILUP29</t>
  </si>
  <si>
    <t>UC_DeayOfOILUP30</t>
  </si>
  <si>
    <t>UC_DeayOfOILUP32</t>
  </si>
  <si>
    <t>UC_DeayOfOILUP33</t>
  </si>
  <si>
    <t>UC_DeayOfOILUP34</t>
  </si>
  <si>
    <t>UC_DeayOfOILUP35</t>
  </si>
  <si>
    <t>UC_DeayOfOILUP36</t>
  </si>
  <si>
    <t>UC_DeayOfOILUP37</t>
  </si>
  <si>
    <t>UC_DeayOfOILUP38</t>
  </si>
  <si>
    <t>UC_DeayOfOILUP39</t>
  </si>
  <si>
    <t>UC_DeayOfOILUP40</t>
  </si>
  <si>
    <t>UC_DeayOfOILUP41</t>
  </si>
  <si>
    <t>UC_DeayOfOILUP42</t>
  </si>
  <si>
    <t>UC_DeayOfOILUP43</t>
  </si>
  <si>
    <t>UC_DeayOfOILUP44</t>
  </si>
  <si>
    <t>UC_DeayOfOILUP45</t>
  </si>
  <si>
    <t>UC_DeayOfOILUP46</t>
  </si>
  <si>
    <t>UC_DeayOfOILUP47</t>
  </si>
  <si>
    <t>UC_DeayOfOILUP48</t>
  </si>
  <si>
    <t>UC_DeayOfOILUP49</t>
  </si>
  <si>
    <t>UC_DeayOfOILUP50</t>
  </si>
  <si>
    <t>UC_DeayOfOILUP51</t>
  </si>
  <si>
    <t>UC_DeayOfOILUP52</t>
  </si>
  <si>
    <t>UC_DeayOfOILUP53</t>
  </si>
  <si>
    <t>UC_DeayOfOILUP54</t>
  </si>
  <si>
    <t>UC_DeayOfOILUP55</t>
  </si>
  <si>
    <t>UC_DeayOfOILUP56</t>
  </si>
  <si>
    <t>UC_DeayOfOILUP58</t>
  </si>
  <si>
    <t>UC_DeayOfOILUP59</t>
  </si>
  <si>
    <t>UC_DeayOfOILUP60</t>
  </si>
  <si>
    <t>UC_DeayOfOILUP61</t>
  </si>
  <si>
    <t>UC_DeayOfOILUP62</t>
  </si>
  <si>
    <t>UC_DeayOfOILUP63</t>
  </si>
  <si>
    <t>UC_DeayOfOILUP64</t>
  </si>
  <si>
    <t>UC_DeayOfOILUP65</t>
  </si>
  <si>
    <t>UC_DeayOfOILUP66</t>
  </si>
  <si>
    <t>UC_DeayOfOILUP67</t>
  </si>
  <si>
    <t>UC_DeayOfOILUP68</t>
  </si>
  <si>
    <t>UC_DeayOfOILUP69</t>
  </si>
  <si>
    <t>UC_DeayOfOILUP70</t>
  </si>
  <si>
    <t>UC_DeayOfOILUP71</t>
  </si>
  <si>
    <t>UC_DeayOfOILUP72</t>
  </si>
  <si>
    <t>UC_DeayOfOILUP73</t>
  </si>
  <si>
    <t>UC_DeayOfOILUP74</t>
  </si>
  <si>
    <t>UC_DeayOfOILUP75</t>
  </si>
  <si>
    <t>UC_DeayOfOILUP76</t>
  </si>
  <si>
    <t>UC_DeayOfOILUP77</t>
  </si>
  <si>
    <t>UC_DeayOfOILUP78</t>
  </si>
  <si>
    <t>UC_DeayOfOILUP79</t>
  </si>
  <si>
    <t>UC_DeayOfOILUP80</t>
  </si>
  <si>
    <t>UC_DeayOfOILUP81</t>
  </si>
  <si>
    <t>UC_DeayOfOILUP82</t>
  </si>
  <si>
    <t>UC_GrowthOfOILUP82</t>
  </si>
  <si>
    <t>UC_GrowthOfOILUP83</t>
  </si>
  <si>
    <t>UC_GrowthOfOILUP84</t>
  </si>
  <si>
    <t>UC_GrowthOfOILUP85</t>
  </si>
  <si>
    <t>UC_GrowthOfOILUP86</t>
  </si>
  <si>
    <t>UC_GrowthOfOILUP87</t>
  </si>
  <si>
    <t>UC_GrowthOfOILUP88</t>
  </si>
  <si>
    <t>UC_GrowthOfOILUP89</t>
  </si>
  <si>
    <t>UC_GrowthOfOILUP90</t>
  </si>
  <si>
    <t>UC_GrowthOfOILUP91</t>
  </si>
  <si>
    <t>UC_GrowthOfOILUP92</t>
  </si>
  <si>
    <t>UC_GrowthOfOILUP93</t>
  </si>
  <si>
    <t>UC_GrowthOfOILUP94</t>
  </si>
  <si>
    <t>UC_GrowthOfOILUP95</t>
  </si>
  <si>
    <t>UC_GrowthOfOILUP96</t>
  </si>
  <si>
    <t>UC_GrowthOfOILUP97</t>
  </si>
  <si>
    <t>UC_GrowthOfOILUP98</t>
  </si>
  <si>
    <t>UC_GrowthOfOILUP99</t>
  </si>
  <si>
    <t>UC_GrowthOfOILUP100</t>
  </si>
  <si>
    <t>UC_GrowthOfOILUP30</t>
  </si>
  <si>
    <t>UC_GrowthOfOILUP56</t>
  </si>
  <si>
    <t>UC_GrowthOfOILUP101</t>
  </si>
  <si>
    <t>UC_GrowthOfOILUP102</t>
  </si>
  <si>
    <t>UC_GrowthOfOILUP103</t>
  </si>
  <si>
    <t>UC_GrowthOfOILUP104</t>
  </si>
  <si>
    <t>UC_GrowthOfOILUP105</t>
  </si>
  <si>
    <t>UC_GrowthOfOILUP106</t>
  </si>
  <si>
    <t>UC_GrowthOfOILUP107</t>
  </si>
  <si>
    <t>UC_GrowthOfOILUP108</t>
  </si>
  <si>
    <t>UC_GrowthOfOILUP109</t>
  </si>
  <si>
    <t>UC_GrowthOfOILUP110</t>
  </si>
  <si>
    <t>UC_DeayOfOILUP31</t>
  </si>
  <si>
    <t>UC_DeayOfOILUP57</t>
  </si>
  <si>
    <t>UC_DeayOfOILUP83</t>
  </si>
  <si>
    <t>UC_DeayOfOILUP84</t>
  </si>
  <si>
    <t>UC_DeayOfOILUP85</t>
  </si>
  <si>
    <t>UC_DeayOfOILUP86</t>
  </si>
  <si>
    <t>UC_DeayOfOILUP87</t>
  </si>
  <si>
    <t>UC_DeayOfOILUP88</t>
  </si>
  <si>
    <t>UC_DeayOfOILUP89</t>
  </si>
  <si>
    <t>UC_DeayOfOILUP90</t>
  </si>
  <si>
    <t>UC_DeayOfOILUP91</t>
  </si>
  <si>
    <t>UC_DeayOfOILUP92</t>
  </si>
  <si>
    <t>UC_DeayOfOILUP93</t>
  </si>
  <si>
    <t>UC_DeayOfOILUP94</t>
  </si>
  <si>
    <t>UC_DeayOfOILUP95</t>
  </si>
  <si>
    <t>UC_DeayOfOILUP96</t>
  </si>
  <si>
    <t>UC_DeayOfOILUP97</t>
  </si>
  <si>
    <t>UC_DeayOfOILUP98</t>
  </si>
  <si>
    <t>UC_DeayOfOILUP99</t>
  </si>
  <si>
    <t>UC_DeayOfOILUP100</t>
  </si>
  <si>
    <t>UC_DeayOfOILUP101</t>
  </si>
  <si>
    <t>UC_DeayOfOILUP102</t>
  </si>
  <si>
    <t>UC_DeayOfOILUP103</t>
  </si>
  <si>
    <t>UC_DeayOfOILUP104</t>
  </si>
  <si>
    <t>UC_DeayOfOILUP105</t>
  </si>
  <si>
    <t>UC_DeayOfOILUP106</t>
  </si>
  <si>
    <t>UC_DeayOfOILUP107</t>
  </si>
  <si>
    <t>UC_DeayOfOILUP108</t>
  </si>
  <si>
    <t>UC_DeayOfOILUP109</t>
  </si>
  <si>
    <t>UC_DeayOfOILUP110</t>
  </si>
  <si>
    <t>Maximum import PADD</t>
  </si>
  <si>
    <t>IMPJTFP13</t>
  </si>
  <si>
    <t>IMPJTFP11</t>
  </si>
  <si>
    <t>IMPJTFP12</t>
  </si>
  <si>
    <t>IMPJTFP14</t>
  </si>
  <si>
    <t>IMPJTFP15</t>
  </si>
  <si>
    <t>IMPDSHP13</t>
  </si>
  <si>
    <t>IMPDSHP11</t>
  </si>
  <si>
    <t>IMPDSHP12</t>
  </si>
  <si>
    <t>IMPDSHP14</t>
  </si>
  <si>
    <t>IMPDSHP15</t>
  </si>
  <si>
    <t>IMPJTFP23</t>
  </si>
  <si>
    <t>IMPJTFP21</t>
  </si>
  <si>
    <t>IMPJTFP22</t>
  </si>
  <si>
    <t>IMPJTFP24</t>
  </si>
  <si>
    <t>IMPJTFP25</t>
  </si>
  <si>
    <t>IMPDSHP23</t>
  </si>
  <si>
    <t>IMPDSHP21</t>
  </si>
  <si>
    <t>IMPDSHP22</t>
  </si>
  <si>
    <t>IMPDSHP24</t>
  </si>
  <si>
    <t>IMPDSHP25</t>
  </si>
  <si>
    <t>IMPJTFP33</t>
  </si>
  <si>
    <t>IMPJTFP31</t>
  </si>
  <si>
    <t>IMPJTFP32</t>
  </si>
  <si>
    <t>IMPJTFP34</t>
  </si>
  <si>
    <t>IMPJTFP35</t>
  </si>
  <si>
    <t>IMPDSHP33</t>
  </si>
  <si>
    <t>IMPDSHP31</t>
  </si>
  <si>
    <t>IMPDSHP32</t>
  </si>
  <si>
    <t>IMPDSHP34</t>
  </si>
  <si>
    <t>IMPDSHP35</t>
  </si>
  <si>
    <t>UC_IMPPADDUP1</t>
  </si>
  <si>
    <t>UC_IMPPADDUP2</t>
  </si>
  <si>
    <t>UC_IMPPADDUP3</t>
  </si>
  <si>
    <t>UC_IMPPADDUP4</t>
  </si>
  <si>
    <t>UC_IMPPADDUP5</t>
  </si>
  <si>
    <t>UC_IMPPADDUP6</t>
  </si>
  <si>
    <t>UC_IMPPADDUP7</t>
  </si>
  <si>
    <t>UC_IMPPADDUP8</t>
  </si>
  <si>
    <t>UC_IMPPADDUP9</t>
  </si>
  <si>
    <t>UC_IMPPADDUP10</t>
  </si>
  <si>
    <t>UC_IMPPADDUP11</t>
  </si>
  <si>
    <t>UC_IMPPADDUP12</t>
  </si>
  <si>
    <t>UC_IMPPADDUP13</t>
  </si>
  <si>
    <t>UC_IMPPADDUP14</t>
  </si>
  <si>
    <t>UC_IMPPADDUP15</t>
  </si>
  <si>
    <t>UC_IMPPADDUP16</t>
  </si>
  <si>
    <t>UC_IMPPADDUP17</t>
  </si>
  <si>
    <t>UC_IMPPADDUP18</t>
  </si>
  <si>
    <t>UC_IMPPADDUP19</t>
  </si>
  <si>
    <t>UC_IMPPADDUP20</t>
  </si>
  <si>
    <t>UC_IMPPADDUP21</t>
  </si>
  <si>
    <t>UC_IMPPADDUP22</t>
  </si>
  <si>
    <t>UC_IMPPADDUP23</t>
  </si>
  <si>
    <t>UC_IMPPADDUP24</t>
  </si>
  <si>
    <t>UC_IMPPADDUP25</t>
  </si>
  <si>
    <t>UC_IMPPADDUP26</t>
  </si>
  <si>
    <t>UC_IMPPADDUP27</t>
  </si>
  <si>
    <t>UC_IMPPADDUP28</t>
  </si>
  <si>
    <t>UC_IMPPADDUP29</t>
  </si>
  <si>
    <t>UC_IMPPADDUP30</t>
  </si>
  <si>
    <t>UC_RHST~UP~0</t>
  </si>
  <si>
    <t>UC_RHST~UP~2015</t>
  </si>
  <si>
    <t>UC_RHST~UP~2020</t>
  </si>
  <si>
    <t>UC_RHST~UP~2025</t>
  </si>
  <si>
    <t>UC_RHST~UP~2030</t>
  </si>
  <si>
    <t>UC_RHST~UP~2035</t>
  </si>
  <si>
    <t>UC_RHST~UP~2040</t>
  </si>
  <si>
    <t>UC_RHST~UP~2045</t>
  </si>
  <si>
    <t>UC_RHST~UP~2050</t>
  </si>
  <si>
    <t>UC_RHST~UP~2055</t>
  </si>
  <si>
    <t>UC_ACT</t>
  </si>
  <si>
    <t>~UC_Sets: R_S: AllRegions</t>
  </si>
  <si>
    <t>~UC_T:UC_RHST</t>
  </si>
  <si>
    <t>UC_RHST~UP~2010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</si>
</sst>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
    <numFmt numFmtId="167" formatCode="0.0"/>
    <numFmt numFmtId="168" formatCode="0.000"/>
    <numFmt numFmtId="170" formatCode="0.00000"/>
    <numFmt numFmtId="171" formatCode="0.0%"/>
    <numFmt numFmtId="174" formatCode="m\o\n\th\ d\,\ yyyy"/>
    <numFmt numFmtId="175" formatCode="#.00"/>
    <numFmt numFmtId="176" formatCode="#."/>
    <numFmt numFmtId="177" formatCode="yyyy"/>
    <numFmt numFmtId="178" formatCode="mmm\ dd\,\ yyyy"/>
    <numFmt numFmtId="180" formatCode="_(&quot;$&quot;* #,##0.0_);_(&quot;$&quot;* \(#,##0.0\);_(&quot;$&quot;* &quot;-&quot;??_);_(@_)"/>
    <numFmt numFmtId="181" formatCode="\Te\x\t"/>
    <numFmt numFmtId="182" formatCode="_-* #,##0.0000_-;\-* #,##0.0000_-;_-* &quot;-&quot;??_-;_-@_-"/>
  </numFmts>
  <fonts count="6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0"/>
      <name val="Arial"/>
      <family val="2"/>
    </font>
    <font>
      <sz val="10"/>
      <name val="Arial"/>
      <family val="2"/>
    </font>
    <font>
      <sz val="10"/>
      <color indexed="8"/>
      <name val="Arial"/>
      <family val="2"/>
    </font>
    <font>
      <b/>
      <sz val="10"/>
      <color indexed="8"/>
      <name val="Arial"/>
      <family val="2"/>
    </font>
    <font>
      <sz val="10"/>
      <color indexed="12"/>
      <name val="Arial"/>
      <family val="2"/>
    </font>
    <font>
      <sz val="8"/>
      <name val="Arial"/>
      <family val="2"/>
    </font>
    <font>
      <i/>
      <sz val="10"/>
      <name val="Arial"/>
      <family val="2"/>
    </font>
    <font>
      <b/>
      <sz val="8"/>
      <color indexed="81"/>
      <name val="Tahoma"/>
      <family val="2"/>
    </font>
    <font>
      <sz val="8"/>
      <color indexed="81"/>
      <name val="Tahoma"/>
      <family val="2"/>
    </font>
    <font>
      <sz val="1"/>
      <color indexed="8"/>
      <name val="Courier"/>
      <family val="3"/>
    </font>
    <font>
      <b/>
      <sz val="1"/>
      <color indexed="8"/>
      <name val="Courier"/>
      <family val="3"/>
    </font>
    <font>
      <sz val="10"/>
      <color indexed="8"/>
      <name val="Arial"/>
      <family val="2"/>
    </font>
    <font>
      <b/>
      <sz val="10"/>
      <name val="Arial"/>
      <family val="2"/>
    </font>
    <font>
      <sz val="8"/>
      <name val="Arial"/>
      <family val="2"/>
    </font>
    <font>
      <b/>
      <sz val="12"/>
      <name val="Arial"/>
      <family val="2"/>
    </font>
    <font>
      <sz val="10"/>
      <name val="Times New Roman"/>
      <family val="1"/>
    </font>
    <font>
      <b/>
      <sz val="8"/>
      <name val="Arial"/>
      <family val="2"/>
    </font>
    <font>
      <b/>
      <sz val="10"/>
      <name val="Times New Roman"/>
      <family val="1"/>
    </font>
    <font>
      <sz val="10"/>
      <color indexed="8"/>
      <name val="Courier New"/>
      <family val="3"/>
    </font>
    <font>
      <sz val="10"/>
      <name val="Helvetica"/>
    </font>
    <font>
      <sz val="10"/>
      <name val="Times"/>
    </font>
    <font>
      <sz val="10"/>
      <color indexed="8"/>
      <name val="Arial Unicode MS"/>
      <family val="2"/>
    </font>
    <font>
      <sz val="12"/>
      <name val="Arial"/>
      <family val="2"/>
    </font>
    <font>
      <b/>
      <sz val="11"/>
      <name val="Arial"/>
      <family val="2"/>
    </font>
    <font>
      <sz val="10"/>
      <color indexed="18"/>
      <name val="Arial"/>
      <family val="2"/>
    </font>
    <font>
      <b/>
      <sz val="10"/>
      <color indexed="18"/>
      <name val="Arial"/>
      <family val="2"/>
    </font>
    <font>
      <b/>
      <sz val="11"/>
      <color theme="1"/>
      <name val="Calibri"/>
      <family val="2"/>
      <scheme val="minor"/>
    </font>
    <font>
      <u/>
      <sz val="10"/>
      <color theme="10"/>
      <name val="Arial"/>
      <family val="2"/>
    </font>
    <font>
      <sz val="10"/>
      <color rgb="FFFF0000"/>
      <name val="Arial"/>
      <family val="2"/>
    </font>
    <font>
      <u/>
      <sz val="10"/>
      <color indexed="12"/>
      <name val="Arial"/>
      <family val="2"/>
    </font>
    <font>
      <b/>
      <sz val="12"/>
      <color indexed="18"/>
      <name val="Arial"/>
      <family val="2"/>
    </font>
    <font>
      <b/>
      <sz val="9"/>
      <name val="Arial"/>
      <family val="2"/>
    </font>
    <font>
      <sz val="9"/>
      <name val="Arial"/>
      <family val="2"/>
    </font>
    <font>
      <b/>
      <sz val="10"/>
      <name val="Arial"/>
      <family val="2"/>
    </font>
    <font>
      <sz val="9"/>
      <color theme="1"/>
      <name val="Calibri"/>
      <family val="2"/>
      <scheme val="minor"/>
    </font>
    <font>
      <sz val="10"/>
      <color theme="1"/>
      <name val="Calibri"/>
      <family val="2"/>
      <scheme val="minor"/>
    </font>
    <font>
      <b/>
      <sz val="10"/>
      <name val="Calibri"/>
      <family val="2"/>
      <scheme val="minor"/>
    </font>
    <font>
      <b/>
      <sz val="10"/>
      <color theme="1"/>
      <name val="Arial"/>
      <family val="2"/>
    </font>
    <font>
      <u/>
      <sz val="11"/>
      <color theme="10"/>
      <name val="Calibri"/>
      <family val="2"/>
    </font>
    <font>
      <sz val="10"/>
      <color theme="1"/>
      <name val="Arial"/>
      <family val="2"/>
    </font>
    <font>
      <b/>
      <sz val="14"/>
      <name val="Arial"/>
      <family val="2"/>
    </font>
    <font>
      <vertAlign val="superscript"/>
      <sz val="10"/>
      <color theme="1"/>
      <name val="Arial"/>
      <family val="2"/>
    </font>
    <font>
      <b/>
      <sz val="10"/>
      <color rgb="FF000000"/>
      <name val="Arial"/>
      <family val="2"/>
    </font>
    <font>
      <b/>
      <vertAlign val="subscript"/>
      <sz val="10"/>
      <color theme="1"/>
      <name val="Arial"/>
      <family val="2"/>
    </font>
    <font>
      <b/>
      <vertAlign val="superscript"/>
      <sz val="10"/>
      <color theme="1"/>
      <name val="Arial"/>
      <family val="2"/>
    </font>
    <font>
      <sz val="10"/>
      <color rgb="FF000000"/>
      <name val="Arial"/>
      <family val="2"/>
    </font>
    <font>
      <i/>
      <sz val="10"/>
      <color theme="1"/>
      <name val="Arial"/>
      <family val="2"/>
    </font>
    <font>
      <b/>
      <sz val="10"/>
      <color indexed="12"/>
      <name val="Arial"/>
      <family val="2"/>
    </font>
    <font>
      <sz val="11"/>
      <color rgb="FF9C5700"/>
      <name val="Calibri"/>
      <family val="2"/>
      <scheme val="minor"/>
    </font>
    <font>
      <sz val="11"/>
      <color rgb="FF3F3F76"/>
      <name val="Calibri"/>
      <family val="2"/>
      <scheme val="minor"/>
    </font>
    <font>
      <b/>
      <sz val="9"/>
      <color rgb="FF0000FF"/>
      <name val="Arial"/>
      <family val="2"/>
    </font>
    <font>
      <sz val="11"/>
      <color indexed="8"/>
      <name val="Calibri"/>
      <family val="2"/>
    </font>
    <font>
      <sz val="9"/>
      <color indexed="8"/>
      <name val="Calibri"/>
      <family val="2"/>
    </font>
    <font>
      <b/>
      <sz val="9"/>
      <color rgb="FF0000FF"/>
      <name val="Calibri"/>
      <family val="2"/>
    </font>
    <font>
      <sz val="9"/>
      <color indexed="62"/>
      <name val="Calibri"/>
      <family val="2"/>
    </font>
    <font>
      <sz val="10"/>
      <color indexed="8"/>
      <name val="Calibri"/>
      <family val="2"/>
    </font>
    <font>
      <sz val="10"/>
      <name val="Calibri"/>
      <family val="2"/>
    </font>
    <font>
      <sz val="9"/>
      <name val="Calibri"/>
      <family val="2"/>
    </font>
    <font>
      <sz val="9"/>
      <name val="Calibri"/>
      <family val="2"/>
      <scheme val="minor"/>
    </font>
    <font>
      <b/>
      <sz val="9"/>
      <color indexed="12"/>
      <name val="Arial"/>
      <family val="2"/>
    </font>
    <font>
      <sz val="8"/>
      <name val="Arial"/>
    </font>
  </fonts>
  <fills count="15">
    <fill>
      <patternFill patternType="none"/>
    </fill>
    <fill>
      <patternFill patternType="gray125"/>
    </fill>
    <fill>
      <patternFill patternType="solid">
        <fgColor theme="0"/>
        <bgColor indexed="64"/>
      </patternFill>
    </fill>
    <fill>
      <patternFill patternType="solid">
        <fgColor theme="0"/>
        <bgColor indexed="9"/>
      </patternFill>
    </fill>
    <fill>
      <patternFill patternType="solid">
        <fgColor rgb="FFFFFF99"/>
        <bgColor indexed="64"/>
      </patternFill>
    </fill>
    <fill>
      <patternFill patternType="solid">
        <fgColor rgb="FFFFFFCC"/>
        <bgColor indexed="64"/>
      </patternFill>
    </fill>
    <fill>
      <patternFill patternType="solid">
        <fgColor indexed="43"/>
        <bgColor indexed="64"/>
      </patternFill>
    </fill>
    <fill>
      <patternFill patternType="solid">
        <fgColor rgb="FFFF0000"/>
        <bgColor indexed="64"/>
      </patternFill>
    </fill>
    <fill>
      <patternFill patternType="solid">
        <fgColor rgb="FFFFEB9C"/>
      </patternFill>
    </fill>
    <fill>
      <patternFill patternType="solid">
        <fgColor rgb="FFFFCC99"/>
      </patternFill>
    </fill>
    <fill>
      <patternFill patternType="solid">
        <fgColor theme="6" tint="0.59999389629810485"/>
        <bgColor indexed="64"/>
      </patternFill>
    </fill>
    <fill>
      <patternFill patternType="solid">
        <fgColor theme="0" tint="-0.249977111117893"/>
        <bgColor indexed="64"/>
      </patternFill>
    </fill>
    <fill>
      <patternFill patternType="solid">
        <fgColor rgb="FF92D050"/>
        <bgColor indexed="64"/>
      </patternFill>
    </fill>
    <fill>
      <patternFill patternType="solid">
        <fgColor theme="8" tint="0.39997558519241921"/>
        <bgColor indexed="64"/>
      </patternFill>
    </fill>
    <fill>
      <patternFill patternType="solid">
        <fgColor theme="5" tint="0.59999389629810485"/>
        <bgColor indexed="64"/>
      </patternFill>
    </fill>
  </fills>
  <borders count="10">
    <border>
      <left/>
      <right/>
      <top/>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dashed">
        <color theme="0" tint="-0.24994659260841701"/>
      </bottom>
      <diagonal/>
    </border>
    <border>
      <left/>
      <right/>
      <top style="thin">
        <color indexed="64"/>
      </top>
      <bottom style="medium">
        <color indexed="64"/>
      </bottom>
      <diagonal/>
    </border>
    <border>
      <left/>
      <right/>
      <top/>
      <bottom style="thick">
        <color theme="4"/>
      </bottom>
      <diagonal/>
    </border>
    <border>
      <left/>
      <right/>
      <top/>
      <bottom style="thin">
        <color theme="0" tint="-0.24994659260841701"/>
      </bottom>
      <diagonal/>
    </border>
    <border>
      <left style="thin">
        <color rgb="FF7F7F7F"/>
      </left>
      <right style="thin">
        <color rgb="FF7F7F7F"/>
      </right>
      <top style="thin">
        <color rgb="FF7F7F7F"/>
      </top>
      <bottom style="thin">
        <color rgb="FF7F7F7F"/>
      </bottom>
      <diagonal/>
    </border>
  </borders>
  <cellStyleXfs count="54">
    <xf numFmtId="0" fontId="0" fillId="0" borderId="0"/>
    <xf numFmtId="174" fontId="17" fillId="0" borderId="0">
      <protection locked="0"/>
    </xf>
    <xf numFmtId="175" fontId="17" fillId="0" borderId="0">
      <protection locked="0"/>
    </xf>
    <xf numFmtId="176" fontId="18" fillId="0" borderId="0">
      <protection locked="0"/>
    </xf>
    <xf numFmtId="176" fontId="18" fillId="0" borderId="0">
      <protection locked="0"/>
    </xf>
    <xf numFmtId="0" fontId="7" fillId="0" borderId="0" applyNumberFormat="0" applyFill="0" applyBorder="0" applyAlignment="0" applyProtection="0">
      <alignment vertical="top"/>
      <protection locked="0"/>
    </xf>
    <xf numFmtId="0" fontId="9" fillId="0" borderId="0"/>
    <xf numFmtId="0" fontId="19" fillId="0" borderId="0"/>
    <xf numFmtId="0" fontId="6" fillId="0" borderId="0"/>
    <xf numFmtId="0" fontId="6" fillId="0" borderId="0"/>
    <xf numFmtId="0" fontId="19" fillId="0" borderId="0"/>
    <xf numFmtId="0" fontId="9" fillId="0" borderId="0"/>
    <xf numFmtId="177" fontId="6" fillId="0" borderId="0" applyFill="0" applyBorder="0" applyAlignment="0" applyProtection="0">
      <alignment wrapText="1"/>
    </xf>
    <xf numFmtId="0" fontId="20" fillId="0" borderId="0" applyNumberFormat="0" applyFill="0" applyBorder="0">
      <alignment horizontal="center" wrapText="1"/>
    </xf>
    <xf numFmtId="0" fontId="20" fillId="0" borderId="0" applyNumberFormat="0" applyFill="0" applyBorder="0">
      <alignment horizontal="center" wrapText="1"/>
    </xf>
    <xf numFmtId="176" fontId="17" fillId="0" borderId="1">
      <protection locked="0"/>
    </xf>
    <xf numFmtId="0" fontId="9" fillId="0" borderId="0"/>
    <xf numFmtId="9" fontId="9" fillId="0" borderId="0" applyFont="0" applyFill="0" applyBorder="0" applyAlignment="0" applyProtection="0"/>
    <xf numFmtId="43" fontId="9" fillId="0" borderId="0" applyFont="0" applyFill="0" applyBorder="0" applyAlignment="0" applyProtection="0"/>
    <xf numFmtId="9" fontId="6" fillId="0" borderId="0" applyFont="0" applyFill="0" applyBorder="0" applyAlignment="0" applyProtection="0"/>
    <xf numFmtId="0" fontId="42" fillId="0" borderId="5" applyNumberFormat="0" applyFont="0" applyProtection="0">
      <alignment wrapText="1"/>
    </xf>
    <xf numFmtId="0" fontId="5" fillId="0" borderId="0"/>
    <xf numFmtId="0" fontId="6" fillId="0" borderId="0"/>
    <xf numFmtId="0" fontId="46" fillId="0" borderId="0" applyNumberFormat="0" applyFill="0" applyBorder="0" applyAlignment="0" applyProtection="0">
      <alignment vertical="top"/>
      <protection locked="0"/>
    </xf>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4" fontId="6" fillId="0" borderId="0" applyFont="0" applyFill="0" applyBorder="0" applyAlignment="0" applyProtection="0"/>
    <xf numFmtId="164" fontId="6" fillId="0" borderId="0" applyFont="0" applyFill="0" applyBorder="0" applyAlignment="0" applyProtection="0"/>
    <xf numFmtId="0" fontId="4"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7" fontId="6" fillId="0" borderId="0" applyFill="0" applyBorder="0" applyAlignment="0" applyProtection="0">
      <alignment wrapText="1"/>
    </xf>
    <xf numFmtId="177" fontId="6" fillId="0" borderId="0" applyFill="0" applyBorder="0" applyAlignment="0" applyProtection="0">
      <alignment wrapText="1"/>
    </xf>
    <xf numFmtId="177" fontId="6" fillId="0" borderId="0" applyFill="0" applyBorder="0" applyAlignment="0" applyProtection="0">
      <alignment wrapText="1"/>
    </xf>
    <xf numFmtId="0" fontId="8" fillId="0" borderId="0" applyNumberFormat="0" applyFill="0" applyBorder="0">
      <alignment horizontal="center" wrapText="1"/>
    </xf>
    <xf numFmtId="0" fontId="8" fillId="0" borderId="0" applyNumberFormat="0" applyFill="0" applyBorder="0">
      <alignment horizontal="center" wrapText="1"/>
    </xf>
    <xf numFmtId="0" fontId="8" fillId="0" borderId="0" applyNumberFormat="0" applyFill="0" applyBorder="0">
      <alignment horizontal="center" wrapText="1"/>
    </xf>
    <xf numFmtId="0" fontId="8" fillId="0" borderId="0" applyNumberFormat="0" applyFill="0" applyBorder="0">
      <alignment horizontal="center" wrapText="1"/>
    </xf>
    <xf numFmtId="9"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4" fillId="0" borderId="7" applyNumberFormat="0" applyProtection="0">
      <alignment wrapText="1"/>
    </xf>
    <xf numFmtId="0" fontId="4" fillId="0" borderId="5" applyNumberFormat="0" applyProtection="0">
      <alignment vertical="top"/>
    </xf>
    <xf numFmtId="0" fontId="34" fillId="0" borderId="8" applyNumberFormat="0" applyFill="0" applyProtection="0">
      <alignment wrapText="1"/>
    </xf>
    <xf numFmtId="0" fontId="6" fillId="0" borderId="0"/>
    <xf numFmtId="9" fontId="6" fillId="0" borderId="0" applyFont="0" applyFill="0" applyBorder="0" applyAlignment="0" applyProtection="0"/>
    <xf numFmtId="0" fontId="6" fillId="0" borderId="0"/>
    <xf numFmtId="0" fontId="6" fillId="0" borderId="0"/>
    <xf numFmtId="0" fontId="56" fillId="8" borderId="0" applyNumberFormat="0" applyBorder="0" applyAlignment="0" applyProtection="0"/>
    <xf numFmtId="0" fontId="57" fillId="9" borderId="9" applyNumberFormat="0" applyAlignment="0" applyProtection="0"/>
    <xf numFmtId="0" fontId="59" fillId="0" borderId="0"/>
  </cellStyleXfs>
  <cellXfs count="259">
    <xf numFmtId="0" fontId="0" fillId="0" borderId="0" xfId="0"/>
    <xf numFmtId="0" fontId="0" fillId="2" borderId="0" xfId="0" applyFill="1"/>
    <xf numFmtId="0" fontId="6" fillId="2" borderId="0" xfId="0" applyFont="1" applyFill="1" applyAlignment="1">
      <alignment horizontal="center" vertical="center"/>
    </xf>
    <xf numFmtId="0" fontId="8" fillId="2" borderId="0" xfId="0" applyFont="1" applyFill="1" applyAlignment="1">
      <alignment horizontal="center" vertical="center"/>
    </xf>
    <xf numFmtId="0" fontId="0" fillId="2" borderId="0" xfId="0" applyFill="1" applyAlignment="1">
      <alignment vertical="center"/>
    </xf>
    <xf numFmtId="0" fontId="9" fillId="2" borderId="0" xfId="0" applyFont="1" applyFill="1" applyAlignment="1">
      <alignment vertical="center"/>
    </xf>
    <xf numFmtId="0" fontId="8" fillId="2" borderId="0" xfId="0" applyFont="1" applyFill="1" applyAlignment="1">
      <alignment horizontal="center" vertical="center" wrapText="1"/>
    </xf>
    <xf numFmtId="2" fontId="6" fillId="2" borderId="0" xfId="0" applyNumberFormat="1" applyFont="1" applyFill="1" applyAlignment="1">
      <alignment horizontal="center" vertical="center"/>
    </xf>
    <xf numFmtId="0" fontId="45" fillId="2" borderId="0" xfId="0" applyFont="1" applyFill="1" applyAlignment="1">
      <alignment horizontal="center" vertical="center"/>
    </xf>
    <xf numFmtId="0" fontId="6" fillId="2" borderId="0" xfId="0" applyFont="1" applyFill="1"/>
    <xf numFmtId="0" fontId="8" fillId="2" borderId="0" xfId="0" applyFont="1" applyFill="1"/>
    <xf numFmtId="0" fontId="10" fillId="2" borderId="0" xfId="0" applyFont="1" applyFill="1"/>
    <xf numFmtId="0" fontId="9" fillId="2" borderId="0" xfId="0" applyFont="1" applyFill="1"/>
    <xf numFmtId="0" fontId="0" fillId="2" borderId="0" xfId="0" applyFill="1" applyAlignment="1">
      <alignment horizontal="center"/>
    </xf>
    <xf numFmtId="0" fontId="37" fillId="2" borderId="0" xfId="5" quotePrefix="1" applyFont="1" applyFill="1" applyAlignment="1" applyProtection="1">
      <alignment horizontal="left"/>
    </xf>
    <xf numFmtId="0" fontId="38" fillId="2" borderId="0" xfId="0" applyFont="1" applyFill="1"/>
    <xf numFmtId="0" fontId="39" fillId="2" borderId="0" xfId="0" applyFont="1" applyFill="1" applyAlignment="1">
      <alignment horizontal="center" wrapText="1"/>
    </xf>
    <xf numFmtId="0" fontId="40" fillId="2" borderId="0" xfId="0" applyFont="1" applyFill="1" applyAlignment="1">
      <alignment wrapText="1"/>
    </xf>
    <xf numFmtId="0" fontId="41" fillId="2" borderId="0" xfId="0" applyFont="1" applyFill="1" applyAlignment="1">
      <alignment horizontal="center" wrapText="1"/>
    </xf>
    <xf numFmtId="0" fontId="41" fillId="2" borderId="0" xfId="0" applyFont="1" applyFill="1" applyAlignment="1">
      <alignment wrapText="1"/>
    </xf>
    <xf numFmtId="177" fontId="0" fillId="2" borderId="0" xfId="0" applyNumberFormat="1" applyFill="1"/>
    <xf numFmtId="171" fontId="0" fillId="2" borderId="0" xfId="19" applyNumberFormat="1" applyFont="1" applyFill="1"/>
    <xf numFmtId="0" fontId="8" fillId="2" borderId="0" xfId="0" applyFont="1" applyFill="1" applyAlignment="1">
      <alignment horizontal="center"/>
    </xf>
    <xf numFmtId="171" fontId="0" fillId="2" borderId="0" xfId="19" applyNumberFormat="1" applyFont="1" applyFill="1" applyBorder="1"/>
    <xf numFmtId="0" fontId="31" fillId="2" borderId="0" xfId="0" applyFont="1" applyFill="1"/>
    <xf numFmtId="0" fontId="7" fillId="2" borderId="0" xfId="5" applyFill="1" applyBorder="1" applyAlignment="1" applyProtection="1"/>
    <xf numFmtId="0" fontId="6" fillId="2" borderId="0" xfId="0" applyFont="1" applyFill="1"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horizontal="left" vertical="center" wrapText="1"/>
    </xf>
    <xf numFmtId="166" fontId="0" fillId="2" borderId="0" xfId="0" applyNumberFormat="1" applyFill="1"/>
    <xf numFmtId="171" fontId="0" fillId="2" borderId="0" xfId="0" applyNumberFormat="1" applyFill="1"/>
    <xf numFmtId="0" fontId="14" fillId="2" borderId="0" xfId="0" applyFont="1" applyFill="1"/>
    <xf numFmtId="2" fontId="0" fillId="2" borderId="0" xfId="0" applyNumberFormat="1" applyFill="1"/>
    <xf numFmtId="2" fontId="8" fillId="2" borderId="0" xfId="0" applyNumberFormat="1" applyFont="1" applyFill="1"/>
    <xf numFmtId="168" fontId="0" fillId="2" borderId="0" xfId="0" applyNumberFormat="1" applyFill="1"/>
    <xf numFmtId="0" fontId="36" fillId="2" borderId="0" xfId="0" applyFont="1" applyFill="1" applyAlignment="1">
      <alignment wrapText="1"/>
    </xf>
    <xf numFmtId="2" fontId="36" fillId="2" borderId="0" xfId="0" applyNumberFormat="1" applyFont="1" applyFill="1" applyAlignment="1">
      <alignment wrapText="1"/>
    </xf>
    <xf numFmtId="0" fontId="6" fillId="2" borderId="0" xfId="0" applyFont="1" applyFill="1" applyAlignment="1">
      <alignment horizontal="center"/>
    </xf>
    <xf numFmtId="0" fontId="6" fillId="2" borderId="0" xfId="0" applyFont="1" applyFill="1" applyAlignment="1">
      <alignment wrapText="1"/>
    </xf>
    <xf numFmtId="2" fontId="6" fillId="2" borderId="0" xfId="0" applyNumberFormat="1" applyFont="1" applyFill="1"/>
    <xf numFmtId="168" fontId="6" fillId="2" borderId="0" xfId="0" applyNumberFormat="1" applyFont="1" applyFill="1" applyAlignment="1">
      <alignment horizontal="center"/>
    </xf>
    <xf numFmtId="2" fontId="6" fillId="2" borderId="0" xfId="0" applyNumberFormat="1" applyFont="1" applyFill="1" applyAlignment="1">
      <alignment wrapText="1"/>
    </xf>
    <xf numFmtId="168" fontId="6" fillId="2" borderId="0" xfId="0" applyNumberFormat="1" applyFont="1" applyFill="1"/>
    <xf numFmtId="0" fontId="45" fillId="2" borderId="0" xfId="0" applyFont="1" applyFill="1" applyAlignment="1">
      <alignment vertical="center" wrapText="1"/>
    </xf>
    <xf numFmtId="0" fontId="45" fillId="2" borderId="0" xfId="0" applyFont="1" applyFill="1" applyAlignment="1">
      <alignment horizontal="left" vertical="center" wrapText="1"/>
    </xf>
    <xf numFmtId="0" fontId="45" fillId="2" borderId="0" xfId="0" applyFont="1" applyFill="1" applyAlignment="1">
      <alignment wrapText="1"/>
    </xf>
    <xf numFmtId="0" fontId="45" fillId="2" borderId="0" xfId="0" applyFont="1" applyFill="1" applyAlignment="1">
      <alignment horizontal="center" wrapText="1"/>
    </xf>
    <xf numFmtId="2" fontId="45" fillId="2" borderId="0" xfId="0" applyNumberFormat="1" applyFont="1" applyFill="1" applyAlignment="1">
      <alignment wrapText="1"/>
    </xf>
    <xf numFmtId="0" fontId="8" fillId="2" borderId="0" xfId="0" applyFont="1" applyFill="1" applyAlignment="1">
      <alignment horizontal="center" wrapText="1"/>
    </xf>
    <xf numFmtId="0" fontId="8" fillId="2" borderId="0" xfId="0" applyFont="1" applyFill="1" applyAlignment="1">
      <alignment wrapText="1"/>
    </xf>
    <xf numFmtId="0" fontId="8" fillId="2" borderId="0" xfId="0" applyFont="1" applyFill="1" applyAlignment="1">
      <alignment horizontal="left"/>
    </xf>
    <xf numFmtId="0" fontId="12" fillId="2" borderId="0" xfId="0" applyFont="1" applyFill="1"/>
    <xf numFmtId="0" fontId="7" fillId="2" borderId="0" xfId="5" quotePrefix="1" applyFill="1" applyBorder="1" applyAlignment="1" applyProtection="1">
      <alignment horizontal="left"/>
    </xf>
    <xf numFmtId="0" fontId="33" fillId="2" borderId="0" xfId="0" applyFont="1" applyFill="1"/>
    <xf numFmtId="177" fontId="6" fillId="2" borderId="0" xfId="0" applyNumberFormat="1" applyFont="1" applyFill="1"/>
    <xf numFmtId="177" fontId="6" fillId="2" borderId="0" xfId="0" applyNumberFormat="1" applyFont="1" applyFill="1" applyAlignment="1">
      <alignment horizontal="center" vertical="center"/>
    </xf>
    <xf numFmtId="3" fontId="6" fillId="2" borderId="0" xfId="0" applyNumberFormat="1" applyFont="1" applyFill="1" applyAlignment="1">
      <alignment horizontal="center" vertical="center"/>
    </xf>
    <xf numFmtId="171" fontId="6" fillId="2" borderId="0" xfId="19" applyNumberFormat="1" applyFont="1" applyFill="1" applyBorder="1" applyAlignment="1">
      <alignment horizontal="center" vertical="center"/>
    </xf>
    <xf numFmtId="178" fontId="0" fillId="2" borderId="0" xfId="0" applyNumberFormat="1" applyFill="1"/>
    <xf numFmtId="0" fontId="22" fillId="2" borderId="0" xfId="0" applyFont="1" applyFill="1"/>
    <xf numFmtId="0" fontId="9" fillId="2" borderId="0" xfId="0" applyFont="1" applyFill="1" applyAlignment="1">
      <alignment horizontal="right"/>
    </xf>
    <xf numFmtId="44" fontId="0" fillId="2" borderId="0" xfId="0" applyNumberFormat="1" applyFill="1"/>
    <xf numFmtId="180" fontId="0" fillId="2" borderId="0" xfId="0" applyNumberFormat="1" applyFill="1"/>
    <xf numFmtId="44" fontId="8" fillId="2" borderId="0" xfId="0" applyNumberFormat="1" applyFont="1" applyFill="1"/>
    <xf numFmtId="180" fontId="8" fillId="2" borderId="0" xfId="0" applyNumberFormat="1" applyFont="1" applyFill="1"/>
    <xf numFmtId="0" fontId="6" fillId="2" borderId="0" xfId="0" applyFont="1" applyFill="1" applyAlignment="1">
      <alignment horizontal="right"/>
    </xf>
    <xf numFmtId="44" fontId="6" fillId="2" borderId="0" xfId="0" applyNumberFormat="1" applyFont="1" applyFill="1"/>
    <xf numFmtId="180" fontId="6" fillId="2" borderId="0" xfId="0" applyNumberFormat="1" applyFont="1" applyFill="1"/>
    <xf numFmtId="0" fontId="0" fillId="2" borderId="0" xfId="0" quotePrefix="1" applyFill="1"/>
    <xf numFmtId="0" fontId="0" fillId="2" borderId="0" xfId="0" applyFill="1" applyAlignment="1">
      <alignment vertical="center" wrapText="1"/>
    </xf>
    <xf numFmtId="0" fontId="6" fillId="2" borderId="0" xfId="0" quotePrefix="1" applyFont="1" applyFill="1"/>
    <xf numFmtId="0" fontId="6" fillId="2" borderId="0" xfId="0" applyFont="1" applyFill="1" applyAlignment="1">
      <alignment vertical="center" wrapText="1"/>
    </xf>
    <xf numFmtId="3" fontId="6" fillId="2" borderId="0" xfId="0" applyNumberFormat="1" applyFont="1" applyFill="1" applyAlignment="1">
      <alignment horizontal="center"/>
    </xf>
    <xf numFmtId="44" fontId="8" fillId="2" borderId="0" xfId="0" applyNumberFormat="1" applyFont="1" applyFill="1" applyAlignment="1">
      <alignment horizontal="center" wrapText="1"/>
    </xf>
    <xf numFmtId="180" fontId="8" fillId="2" borderId="0" xfId="0" applyNumberFormat="1" applyFont="1" applyFill="1" applyAlignment="1">
      <alignment horizontal="center" wrapText="1"/>
    </xf>
    <xf numFmtId="4" fontId="8" fillId="2" borderId="0" xfId="0" applyNumberFormat="1" applyFont="1" applyFill="1" applyAlignment="1">
      <alignment horizontal="center" wrapText="1"/>
    </xf>
    <xf numFmtId="4" fontId="8" fillId="2" borderId="0" xfId="0" applyNumberFormat="1" applyFont="1" applyFill="1"/>
    <xf numFmtId="0" fontId="33" fillId="2" borderId="0" xfId="0" applyFont="1" applyFill="1" applyAlignment="1">
      <alignment vertical="center" wrapText="1"/>
    </xf>
    <xf numFmtId="0" fontId="33" fillId="2" borderId="0" xfId="0" applyFont="1" applyFill="1" applyAlignment="1">
      <alignment horizontal="center" vertical="center" wrapText="1"/>
    </xf>
    <xf numFmtId="0" fontId="32" fillId="2" borderId="0" xfId="0" applyFont="1" applyFill="1" applyAlignment="1">
      <alignment horizontal="left" wrapText="1"/>
    </xf>
    <xf numFmtId="0" fontId="32" fillId="2" borderId="0" xfId="0" applyFont="1" applyFill="1" applyAlignment="1">
      <alignment horizontal="center" wrapText="1"/>
    </xf>
    <xf numFmtId="168" fontId="6" fillId="2" borderId="0" xfId="0" applyNumberFormat="1" applyFont="1" applyFill="1" applyAlignment="1">
      <alignment horizontal="left"/>
    </xf>
    <xf numFmtId="4" fontId="6" fillId="2" borderId="0" xfId="0" applyNumberFormat="1" applyFont="1" applyFill="1"/>
    <xf numFmtId="167" fontId="6" fillId="2" borderId="0" xfId="0" applyNumberFormat="1" applyFont="1" applyFill="1"/>
    <xf numFmtId="0" fontId="8" fillId="2" borderId="0" xfId="0" applyFont="1" applyFill="1" applyAlignment="1">
      <alignment horizontal="left" wrapText="1"/>
    </xf>
    <xf numFmtId="0" fontId="0" fillId="2" borderId="0" xfId="0" applyFill="1" applyAlignment="1">
      <alignment horizontal="left"/>
    </xf>
    <xf numFmtId="0" fontId="49" fillId="2" borderId="0" xfId="0" applyFont="1" applyFill="1"/>
    <xf numFmtId="0" fontId="47" fillId="2" borderId="0" xfId="0" applyFont="1" applyFill="1"/>
    <xf numFmtId="0" fontId="45" fillId="2" borderId="0" xfId="0" applyFont="1" applyFill="1"/>
    <xf numFmtId="0" fontId="50" fillId="2" borderId="0" xfId="0" applyFont="1" applyFill="1" applyAlignment="1">
      <alignment horizontal="center" vertical="center"/>
    </xf>
    <xf numFmtId="0" fontId="45" fillId="2" borderId="0" xfId="0" applyFont="1" applyFill="1" applyAlignment="1">
      <alignment horizontal="center" vertical="center" wrapText="1"/>
    </xf>
    <xf numFmtId="0" fontId="53" fillId="2" borderId="0" xfId="0" applyFont="1" applyFill="1" applyAlignment="1">
      <alignment horizontal="center" vertical="center" wrapText="1"/>
    </xf>
    <xf numFmtId="0" fontId="53" fillId="2" borderId="0" xfId="0" applyFont="1" applyFill="1" applyAlignment="1">
      <alignment vertical="center" wrapText="1"/>
    </xf>
    <xf numFmtId="0" fontId="53" fillId="2" borderId="0" xfId="0" applyFont="1" applyFill="1" applyAlignment="1">
      <alignment vertical="center"/>
    </xf>
    <xf numFmtId="170" fontId="47" fillId="2" borderId="0" xfId="0" applyNumberFormat="1" applyFont="1" applyFill="1" applyAlignment="1">
      <alignment horizontal="right" vertical="center"/>
    </xf>
    <xf numFmtId="4" fontId="47" fillId="2" borderId="0" xfId="0" applyNumberFormat="1" applyFont="1" applyFill="1" applyAlignment="1">
      <alignment horizontal="right" vertical="center"/>
    </xf>
    <xf numFmtId="2" fontId="47" fillId="2" borderId="0" xfId="0" applyNumberFormat="1" applyFont="1" applyFill="1" applyAlignment="1">
      <alignment horizontal="right" vertical="center"/>
    </xf>
    <xf numFmtId="0" fontId="47" fillId="2" borderId="0" xfId="0" applyFont="1" applyFill="1" applyAlignment="1">
      <alignment horizontal="right" vertical="center" wrapText="1"/>
    </xf>
    <xf numFmtId="0" fontId="53" fillId="2" borderId="0" xfId="0" applyFont="1" applyFill="1" applyAlignment="1">
      <alignment horizontal="right" vertical="center" wrapText="1"/>
    </xf>
    <xf numFmtId="2" fontId="53" fillId="2" borderId="0" xfId="0" applyNumberFormat="1" applyFont="1" applyFill="1" applyAlignment="1">
      <alignment horizontal="right" vertical="center" wrapText="1"/>
    </xf>
    <xf numFmtId="0" fontId="6" fillId="2" borderId="0" xfId="16" applyFont="1" applyFill="1"/>
    <xf numFmtId="0" fontId="8" fillId="2" borderId="0" xfId="0" applyFont="1" applyFill="1" applyAlignment="1">
      <alignment horizontal="right" textRotation="90"/>
    </xf>
    <xf numFmtId="0" fontId="8" fillId="2" borderId="0" xfId="0" applyFont="1" applyFill="1" applyAlignment="1">
      <alignment horizontal="right" textRotation="90" wrapText="1"/>
    </xf>
    <xf numFmtId="171" fontId="6" fillId="2" borderId="0" xfId="17" applyNumberFormat="1" applyFont="1" applyFill="1" applyBorder="1"/>
    <xf numFmtId="168" fontId="6" fillId="3" borderId="0" xfId="0" applyNumberFormat="1" applyFont="1" applyFill="1"/>
    <xf numFmtId="3" fontId="6" fillId="2" borderId="0" xfId="18" applyNumberFormat="1" applyFont="1" applyFill="1" applyBorder="1"/>
    <xf numFmtId="3" fontId="6" fillId="2" borderId="0" xfId="0" applyNumberFormat="1" applyFont="1" applyFill="1"/>
    <xf numFmtId="0" fontId="54" fillId="2" borderId="0" xfId="0" applyFont="1" applyFill="1"/>
    <xf numFmtId="0" fontId="47" fillId="2" borderId="0" xfId="0" applyFont="1" applyFill="1" applyAlignment="1">
      <alignment horizontal="center"/>
    </xf>
    <xf numFmtId="11" fontId="47" fillId="2" borderId="0" xfId="0" applyNumberFormat="1" applyFont="1" applyFill="1"/>
    <xf numFmtId="4" fontId="47" fillId="2" borderId="0" xfId="0" applyNumberFormat="1" applyFont="1" applyFill="1"/>
    <xf numFmtId="168" fontId="47" fillId="2" borderId="0" xfId="0" applyNumberFormat="1" applyFont="1" applyFill="1"/>
    <xf numFmtId="0" fontId="6" fillId="2" borderId="0" xfId="0" applyFont="1" applyFill="1" applyAlignment="1">
      <alignment vertical="top" wrapText="1"/>
    </xf>
    <xf numFmtId="10" fontId="6" fillId="2" borderId="0" xfId="0" applyNumberFormat="1" applyFont="1" applyFill="1" applyAlignment="1">
      <alignment horizontal="center"/>
    </xf>
    <xf numFmtId="0" fontId="9" fillId="2" borderId="0" xfId="0" applyFont="1" applyFill="1" applyAlignment="1">
      <alignment horizontal="center"/>
    </xf>
    <xf numFmtId="0" fontId="9" fillId="2" borderId="0" xfId="0" applyFont="1" applyFill="1" applyAlignment="1">
      <alignment horizontal="left" indent="1"/>
    </xf>
    <xf numFmtId="0" fontId="9" fillId="2" borderId="0" xfId="0" applyFont="1" applyFill="1" applyAlignment="1">
      <alignment horizontal="left" vertical="center" indent="1"/>
    </xf>
    <xf numFmtId="0" fontId="0" fillId="2" borderId="0" xfId="0" applyFill="1" applyAlignment="1">
      <alignment horizontal="left" vertical="center" indent="1"/>
    </xf>
    <xf numFmtId="0" fontId="20" fillId="2" borderId="0" xfId="0" applyFont="1" applyFill="1"/>
    <xf numFmtId="0" fontId="20" fillId="2" borderId="0" xfId="0" applyFont="1" applyFill="1" applyAlignment="1">
      <alignment wrapText="1"/>
    </xf>
    <xf numFmtId="0" fontId="6" fillId="2" borderId="0" xfId="0" applyFont="1" applyFill="1" applyAlignment="1">
      <alignment horizontal="justify"/>
    </xf>
    <xf numFmtId="0" fontId="23" fillId="2" borderId="0" xfId="0" applyFont="1" applyFill="1" applyAlignment="1">
      <alignment vertical="top" wrapText="1"/>
    </xf>
    <xf numFmtId="0" fontId="23" fillId="2" borderId="0" xfId="8" applyFont="1" applyFill="1" applyAlignment="1">
      <alignment vertical="top" wrapText="1"/>
    </xf>
    <xf numFmtId="168" fontId="23" fillId="2" borderId="0" xfId="0" applyNumberFormat="1" applyFont="1" applyFill="1" applyAlignment="1">
      <alignment vertical="top" wrapText="1"/>
    </xf>
    <xf numFmtId="0" fontId="13" fillId="2" borderId="0" xfId="9" applyFont="1" applyFill="1"/>
    <xf numFmtId="0" fontId="9" fillId="2" borderId="0" xfId="8" applyFont="1" applyFill="1"/>
    <xf numFmtId="0" fontId="19" fillId="2" borderId="0" xfId="10" applyFill="1" applyAlignment="1">
      <alignment horizontal="center"/>
    </xf>
    <xf numFmtId="0" fontId="19" fillId="2" borderId="0" xfId="10" applyFill="1" applyAlignment="1">
      <alignment horizontal="right" wrapText="1"/>
    </xf>
    <xf numFmtId="168" fontId="13" fillId="2" borderId="0" xfId="9" applyNumberFormat="1" applyFont="1" applyFill="1"/>
    <xf numFmtId="0" fontId="10" fillId="2" borderId="0" xfId="7" applyFont="1" applyFill="1" applyAlignment="1">
      <alignment horizontal="right" wrapText="1"/>
    </xf>
    <xf numFmtId="0" fontId="25" fillId="2" borderId="0" xfId="0" applyFont="1" applyFill="1" applyAlignment="1">
      <alignment vertical="top" wrapText="1"/>
    </xf>
    <xf numFmtId="0" fontId="26" fillId="2" borderId="0" xfId="0" applyFont="1" applyFill="1"/>
    <xf numFmtId="0" fontId="26" fillId="2" borderId="0" xfId="0" applyFont="1" applyFill="1" applyAlignment="1">
      <alignment vertical="top"/>
    </xf>
    <xf numFmtId="3" fontId="23" fillId="2" borderId="0" xfId="0" applyNumberFormat="1" applyFont="1" applyFill="1" applyAlignment="1">
      <alignment vertical="top" wrapText="1"/>
    </xf>
    <xf numFmtId="0" fontId="29" fillId="2" borderId="0" xfId="0" applyFont="1" applyFill="1"/>
    <xf numFmtId="14" fontId="0" fillId="2" borderId="0" xfId="0" applyNumberFormat="1" applyFill="1"/>
    <xf numFmtId="0" fontId="30" fillId="2" borderId="0" xfId="0" applyFont="1" applyFill="1"/>
    <xf numFmtId="0" fontId="23" fillId="2" borderId="0" xfId="0" applyFont="1" applyFill="1"/>
    <xf numFmtId="0" fontId="24" fillId="2" borderId="0" xfId="9" applyFont="1" applyFill="1"/>
    <xf numFmtId="0" fontId="35" fillId="2" borderId="0" xfId="5" applyFont="1" applyFill="1" applyBorder="1" applyAlignment="1" applyProtection="1"/>
    <xf numFmtId="0" fontId="23" fillId="2" borderId="0" xfId="0" applyFont="1" applyFill="1" applyAlignment="1">
      <alignment horizontal="center" wrapText="1"/>
    </xf>
    <xf numFmtId="168" fontId="43" fillId="2" borderId="0" xfId="20" applyNumberFormat="1" applyFont="1" applyFill="1" applyBorder="1" applyAlignment="1">
      <alignment horizontal="right" wrapText="1"/>
    </xf>
    <xf numFmtId="0" fontId="27" fillId="2" borderId="0" xfId="0" applyFont="1" applyFill="1"/>
    <xf numFmtId="0" fontId="27" fillId="2" borderId="0" xfId="0" applyFont="1" applyFill="1" applyAlignment="1">
      <alignment horizontal="center"/>
    </xf>
    <xf numFmtId="3" fontId="27" fillId="2" borderId="0" xfId="0" applyNumberFormat="1" applyFont="1" applyFill="1" applyAlignment="1">
      <alignment horizontal="center"/>
    </xf>
    <xf numFmtId="0" fontId="28" fillId="2" borderId="0" xfId="0" applyFont="1" applyFill="1"/>
    <xf numFmtId="0" fontId="8" fillId="0" borderId="0" xfId="0" applyFont="1" applyAlignment="1">
      <alignment vertical="center"/>
    </xf>
    <xf numFmtId="0" fontId="6" fillId="0" borderId="0" xfId="0" applyFont="1" applyAlignment="1">
      <alignment vertical="center"/>
    </xf>
    <xf numFmtId="0" fontId="0" fillId="0" borderId="0" xfId="0" applyAlignment="1">
      <alignment vertical="center"/>
    </xf>
    <xf numFmtId="0" fontId="45" fillId="0" borderId="0" xfId="0" applyFont="1" applyAlignment="1">
      <alignment vertical="center"/>
    </xf>
    <xf numFmtId="0" fontId="10" fillId="0" borderId="0" xfId="0" applyFont="1" applyAlignment="1">
      <alignment vertical="center"/>
    </xf>
    <xf numFmtId="0" fontId="9" fillId="0" borderId="0" xfId="0" applyFont="1" applyAlignment="1">
      <alignment vertical="center"/>
    </xf>
    <xf numFmtId="181" fontId="55" fillId="0" borderId="0" xfId="0" applyNumberFormat="1" applyFont="1"/>
    <xf numFmtId="181" fontId="8" fillId="4" borderId="2" xfId="0" applyNumberFormat="1" applyFont="1" applyFill="1" applyBorder="1" applyAlignment="1">
      <alignment horizontal="left"/>
    </xf>
    <xf numFmtId="0" fontId="8" fillId="4" borderId="0" xfId="0" applyFont="1" applyFill="1" applyAlignment="1">
      <alignment vertical="center"/>
    </xf>
    <xf numFmtId="0" fontId="11" fillId="4" borderId="0" xfId="0" applyFont="1" applyFill="1" applyAlignment="1">
      <alignment vertical="center"/>
    </xf>
    <xf numFmtId="0" fontId="45" fillId="4" borderId="0" xfId="0" applyFont="1" applyFill="1" applyAlignment="1">
      <alignment vertical="center"/>
    </xf>
    <xf numFmtId="0" fontId="0" fillId="4" borderId="0" xfId="0" applyFill="1" applyAlignment="1">
      <alignment vertical="center"/>
    </xf>
    <xf numFmtId="0" fontId="6" fillId="5" borderId="0" xfId="0" applyFont="1" applyFill="1" applyAlignment="1">
      <alignment vertical="center"/>
    </xf>
    <xf numFmtId="0" fontId="9" fillId="5" borderId="0" xfId="0" applyFont="1" applyFill="1" applyAlignment="1">
      <alignment vertical="center"/>
    </xf>
    <xf numFmtId="0" fontId="6" fillId="4" borderId="0" xfId="0" applyFont="1" applyFill="1" applyAlignment="1">
      <alignment vertical="center"/>
    </xf>
    <xf numFmtId="0" fontId="0" fillId="5" borderId="0" xfId="0" applyFill="1" applyAlignment="1">
      <alignment vertical="center"/>
    </xf>
    <xf numFmtId="0" fontId="47" fillId="4" borderId="0" xfId="0" applyFont="1" applyFill="1" applyAlignment="1">
      <alignment horizontal="left" vertical="center"/>
    </xf>
    <xf numFmtId="0" fontId="6" fillId="0" borderId="0" xfId="0" applyFont="1" applyAlignment="1">
      <alignment horizontal="center" vertical="center"/>
    </xf>
    <xf numFmtId="0" fontId="8" fillId="0" borderId="0" xfId="0" applyFont="1" applyAlignment="1">
      <alignment horizontal="center" vertical="center"/>
    </xf>
    <xf numFmtId="0" fontId="6" fillId="0" borderId="0" xfId="6" applyFont="1" applyAlignment="1">
      <alignment vertical="center"/>
    </xf>
    <xf numFmtId="0" fontId="6" fillId="0" borderId="0" xfId="6" applyFont="1" applyAlignment="1">
      <alignment horizontal="center" vertical="center"/>
    </xf>
    <xf numFmtId="0" fontId="8" fillId="0" borderId="0" xfId="6" applyFont="1" applyAlignment="1">
      <alignment horizontal="center" vertical="center"/>
    </xf>
    <xf numFmtId="181" fontId="8" fillId="6" borderId="4" xfId="0" applyNumberFormat="1" applyFont="1" applyFill="1" applyBorder="1"/>
    <xf numFmtId="0" fontId="44" fillId="0" borderId="0" xfId="0" applyFont="1" applyAlignment="1">
      <alignment horizontal="center" vertical="center"/>
    </xf>
    <xf numFmtId="0" fontId="44" fillId="0" borderId="0" xfId="0" applyFont="1" applyAlignment="1">
      <alignment horizontal="center" vertical="center" wrapText="1"/>
    </xf>
    <xf numFmtId="2" fontId="6" fillId="0" borderId="0" xfId="11" applyNumberFormat="1" applyFont="1" applyAlignment="1">
      <alignment horizontal="center" vertical="center"/>
    </xf>
    <xf numFmtId="166" fontId="6" fillId="0" borderId="0" xfId="0" applyNumberFormat="1" applyFont="1" applyAlignment="1">
      <alignment horizontal="center" vertical="center"/>
    </xf>
    <xf numFmtId="4" fontId="6" fillId="0" borderId="0" xfId="0" applyNumberFormat="1" applyFont="1" applyAlignment="1">
      <alignment horizontal="center" vertical="center"/>
    </xf>
    <xf numFmtId="168" fontId="6" fillId="4" borderId="0" xfId="0" applyNumberFormat="1" applyFont="1" applyFill="1" applyAlignment="1">
      <alignment horizontal="center" vertical="top"/>
    </xf>
    <xf numFmtId="0" fontId="0" fillId="5" borderId="0" xfId="0" applyFill="1"/>
    <xf numFmtId="181" fontId="8" fillId="0" borderId="0" xfId="0" applyNumberFormat="1" applyFont="1" applyAlignment="1">
      <alignment horizontal="left"/>
    </xf>
    <xf numFmtId="168" fontId="6" fillId="0" borderId="0" xfId="0" applyNumberFormat="1" applyFont="1" applyAlignment="1">
      <alignment horizontal="center" vertical="top"/>
    </xf>
    <xf numFmtId="0" fontId="6" fillId="0" borderId="0" xfId="0" applyFont="1" applyAlignment="1">
      <alignment horizontal="center" vertical="top"/>
    </xf>
    <xf numFmtId="0" fontId="8" fillId="0" borderId="0" xfId="0" applyFont="1" applyAlignment="1">
      <alignment vertical="top"/>
    </xf>
    <xf numFmtId="0" fontId="8" fillId="5" borderId="0" xfId="0" applyFont="1" applyFill="1" applyAlignment="1">
      <alignment horizontal="center" vertical="center"/>
    </xf>
    <xf numFmtId="0" fontId="8" fillId="5" borderId="0" xfId="0" applyFont="1" applyFill="1" applyAlignment="1">
      <alignment vertical="center"/>
    </xf>
    <xf numFmtId="0" fontId="6" fillId="7" borderId="0" xfId="0" applyFont="1" applyFill="1" applyAlignment="1">
      <alignment horizontal="center" vertical="center"/>
    </xf>
    <xf numFmtId="166" fontId="6" fillId="4" borderId="0" xfId="0" applyNumberFormat="1" applyFont="1" applyFill="1" applyAlignment="1">
      <alignment horizontal="center" vertical="center"/>
    </xf>
    <xf numFmtId="181" fontId="8" fillId="4" borderId="0" xfId="0" applyNumberFormat="1" applyFont="1" applyFill="1" applyAlignment="1">
      <alignment horizontal="left"/>
    </xf>
    <xf numFmtId="168" fontId="6" fillId="5" borderId="0" xfId="0" applyNumberFormat="1" applyFont="1" applyFill="1" applyAlignment="1">
      <alignment horizontal="center" vertical="center"/>
    </xf>
    <xf numFmtId="4" fontId="6" fillId="5" borderId="0" xfId="0" applyNumberFormat="1" applyFont="1" applyFill="1" applyAlignment="1">
      <alignment horizontal="center" vertical="center"/>
    </xf>
    <xf numFmtId="166" fontId="6" fillId="5" borderId="0" xfId="0" applyNumberFormat="1" applyFont="1" applyFill="1" applyAlignment="1">
      <alignment horizontal="center" vertical="center"/>
    </xf>
    <xf numFmtId="2" fontId="6" fillId="5" borderId="0" xfId="11" applyNumberFormat="1" applyFont="1" applyFill="1" applyAlignment="1">
      <alignment horizontal="center" vertical="center"/>
    </xf>
    <xf numFmtId="49" fontId="14" fillId="0" borderId="0" xfId="0" applyNumberFormat="1" applyFont="1" applyAlignment="1">
      <alignment horizontal="center" vertical="top"/>
    </xf>
    <xf numFmtId="0" fontId="8" fillId="4" borderId="0" xfId="0" applyFont="1" applyFill="1" applyAlignment="1">
      <alignment horizontal="center" vertical="top"/>
    </xf>
    <xf numFmtId="0" fontId="6" fillId="0" borderId="0" xfId="0" applyFont="1" applyAlignment="1">
      <alignment vertical="top"/>
    </xf>
    <xf numFmtId="0" fontId="55" fillId="0" borderId="0" xfId="0" applyFont="1" applyAlignment="1">
      <alignment horizontal="left"/>
    </xf>
    <xf numFmtId="181" fontId="8" fillId="7" borderId="2" xfId="0" applyNumberFormat="1" applyFont="1" applyFill="1" applyBorder="1" applyAlignment="1">
      <alignment horizontal="left"/>
    </xf>
    <xf numFmtId="0" fontId="8" fillId="4" borderId="0" xfId="0" applyFont="1" applyFill="1" applyAlignment="1">
      <alignment horizontal="center" vertical="center"/>
    </xf>
    <xf numFmtId="2" fontId="6" fillId="5" borderId="0" xfId="0" applyNumberFormat="1" applyFont="1" applyFill="1" applyAlignment="1">
      <alignment horizontal="center" vertical="center"/>
    </xf>
    <xf numFmtId="0" fontId="6" fillId="4" borderId="0" xfId="0" applyFont="1" applyFill="1" applyAlignment="1">
      <alignment horizontal="center" vertical="center"/>
    </xf>
    <xf numFmtId="0" fontId="6" fillId="5" borderId="0" xfId="0" applyFont="1" applyFill="1" applyAlignment="1">
      <alignment horizontal="center" vertical="center"/>
    </xf>
    <xf numFmtId="167" fontId="6" fillId="5" borderId="0" xfId="0" applyNumberFormat="1" applyFont="1" applyFill="1" applyAlignment="1">
      <alignment horizontal="center" vertical="center"/>
    </xf>
    <xf numFmtId="2" fontId="6" fillId="4" borderId="0" xfId="0" applyNumberFormat="1" applyFont="1" applyFill="1" applyAlignment="1">
      <alignment horizontal="center" vertical="center"/>
    </xf>
    <xf numFmtId="0" fontId="6" fillId="4" borderId="0" xfId="0" applyFont="1" applyFill="1" applyAlignment="1">
      <alignment horizontal="center" vertical="top"/>
    </xf>
    <xf numFmtId="0" fontId="6" fillId="4" borderId="0" xfId="0" applyFont="1" applyFill="1" applyAlignment="1">
      <alignment vertical="top"/>
    </xf>
    <xf numFmtId="0" fontId="8" fillId="4" borderId="0" xfId="0" applyFont="1" applyFill="1" applyAlignment="1">
      <alignment vertical="top"/>
    </xf>
    <xf numFmtId="168" fontId="6" fillId="5" borderId="0" xfId="0" applyNumberFormat="1" applyFont="1" applyFill="1" applyAlignment="1">
      <alignment horizontal="center" vertical="top"/>
    </xf>
    <xf numFmtId="0" fontId="6" fillId="5" borderId="0" xfId="0" applyFont="1" applyFill="1" applyAlignment="1">
      <alignment horizontal="center" vertical="top"/>
    </xf>
    <xf numFmtId="0" fontId="6" fillId="5" borderId="0" xfId="0" applyFont="1" applyFill="1" applyAlignment="1">
      <alignment vertical="top"/>
    </xf>
    <xf numFmtId="168" fontId="8" fillId="4" borderId="0" xfId="0" applyNumberFormat="1" applyFont="1" applyFill="1" applyAlignment="1">
      <alignment horizontal="center" vertical="top"/>
    </xf>
    <xf numFmtId="0" fontId="8" fillId="10" borderId="0" xfId="0" applyFont="1" applyFill="1"/>
    <xf numFmtId="0" fontId="6" fillId="10" borderId="0" xfId="0" applyFont="1" applyFill="1"/>
    <xf numFmtId="0" fontId="58" fillId="0" borderId="0" xfId="0" applyFont="1"/>
    <xf numFmtId="0" fontId="59" fillId="0" borderId="0" xfId="53"/>
    <xf numFmtId="2" fontId="57" fillId="0" borderId="0" xfId="52" applyNumberFormat="1" applyFill="1" applyBorder="1"/>
    <xf numFmtId="0" fontId="40" fillId="0" borderId="0" xfId="0" applyFont="1"/>
    <xf numFmtId="0" fontId="60" fillId="0" borderId="0" xfId="53" applyFont="1"/>
    <xf numFmtId="0" fontId="61" fillId="0" borderId="0" xfId="53" applyFont="1"/>
    <xf numFmtId="2" fontId="62" fillId="0" borderId="0" xfId="52" applyNumberFormat="1" applyFont="1" applyFill="1" applyBorder="1"/>
    <xf numFmtId="0" fontId="63" fillId="4" borderId="6" xfId="53" applyFont="1" applyFill="1" applyBorder="1"/>
    <xf numFmtId="0" fontId="63" fillId="4" borderId="6" xfId="0" applyFont="1" applyFill="1" applyBorder="1"/>
    <xf numFmtId="0" fontId="64" fillId="4" borderId="6" xfId="51" applyFont="1" applyFill="1" applyBorder="1"/>
    <xf numFmtId="0" fontId="65" fillId="4" borderId="6" xfId="51" applyFont="1" applyFill="1" applyBorder="1" applyAlignment="1">
      <alignment wrapText="1"/>
    </xf>
    <xf numFmtId="0" fontId="40" fillId="4" borderId="6" xfId="51" applyFont="1" applyFill="1" applyBorder="1" applyAlignment="1">
      <alignment horizontal="center"/>
    </xf>
    <xf numFmtId="0" fontId="40" fillId="4" borderId="6" xfId="0" applyFont="1" applyFill="1" applyBorder="1"/>
    <xf numFmtId="0" fontId="40" fillId="5" borderId="0" xfId="0" applyFont="1" applyFill="1"/>
    <xf numFmtId="0" fontId="63" fillId="5" borderId="0" xfId="53" applyFont="1" applyFill="1"/>
    <xf numFmtId="0" fontId="6" fillId="5" borderId="0" xfId="0" applyFont="1" applyFill="1"/>
    <xf numFmtId="182" fontId="66" fillId="11" borderId="0" xfId="0" applyNumberFormat="1" applyFont="1" applyFill="1"/>
    <xf numFmtId="0" fontId="60" fillId="5" borderId="0" xfId="53" applyFont="1" applyFill="1"/>
    <xf numFmtId="0" fontId="63" fillId="0" borderId="0" xfId="53" applyFont="1"/>
    <xf numFmtId="0" fontId="3" fillId="0" borderId="0" xfId="49" applyFont="1"/>
    <xf numFmtId="0" fontId="6" fillId="0" borderId="0" xfId="0" applyFont="1"/>
    <xf numFmtId="182" fontId="66" fillId="0" borderId="0" xfId="0" applyNumberFormat="1" applyFont="1"/>
    <xf numFmtId="0" fontId="2" fillId="5" borderId="0" xfId="49" applyFont="1" applyFill="1"/>
    <xf numFmtId="0" fontId="8" fillId="12" borderId="0" xfId="0" applyFont="1" applyFill="1"/>
    <xf numFmtId="0" fontId="6" fillId="12" borderId="0" xfId="0" applyFont="1" applyFill="1"/>
    <xf numFmtId="0" fontId="67" fillId="0" borderId="0" xfId="0" applyFont="1"/>
    <xf numFmtId="0" fontId="39" fillId="4" borderId="6" xfId="0" applyFont="1" applyFill="1" applyBorder="1"/>
    <xf numFmtId="0" fontId="39" fillId="13" borderId="6" xfId="0" applyFont="1" applyFill="1" applyBorder="1"/>
    <xf numFmtId="0" fontId="39" fillId="14" borderId="6" xfId="0" applyFont="1" applyFill="1" applyBorder="1"/>
    <xf numFmtId="0" fontId="6" fillId="4" borderId="0" xfId="0" applyFont="1" applyFill="1"/>
    <xf numFmtId="0" fontId="0" fillId="13" borderId="0" xfId="0" applyFill="1"/>
    <xf numFmtId="0" fontId="0" fillId="4" borderId="0" xfId="0" applyFill="1"/>
    <xf numFmtId="0" fontId="0" fillId="11" borderId="0" xfId="0" applyFill="1"/>
    <xf numFmtId="0" fontId="0" fillId="14" borderId="0" xfId="0" applyFill="1"/>
    <xf numFmtId="0" fontId="40" fillId="4" borderId="0" xfId="22" applyFont="1" applyFill="1"/>
    <xf numFmtId="2" fontId="6" fillId="0" borderId="0" xfId="0" applyNumberFormat="1" applyFont="1" applyAlignment="1">
      <alignment horizontal="center" vertical="center"/>
    </xf>
    <xf numFmtId="0" fontId="1" fillId="5" borderId="0" xfId="49" applyFont="1" applyFill="1"/>
    <xf numFmtId="0" fontId="40" fillId="5" borderId="3" xfId="0" applyFont="1" applyFill="1" applyBorder="1"/>
    <xf numFmtId="0" fontId="63" fillId="5" borderId="3" xfId="53" applyFont="1" applyFill="1" applyBorder="1"/>
    <xf numFmtId="0" fontId="1" fillId="5" borderId="3" xfId="49" applyFont="1" applyFill="1" applyBorder="1"/>
    <xf numFmtId="0" fontId="6" fillId="5" borderId="3" xfId="0" applyFont="1" applyFill="1" applyBorder="1"/>
    <xf numFmtId="182" fontId="66" fillId="11" borderId="3" xfId="0" applyNumberFormat="1" applyFont="1" applyFill="1" applyBorder="1"/>
    <xf numFmtId="0" fontId="45" fillId="2" borderId="0" xfId="0" applyFont="1" applyFill="1" applyAlignment="1">
      <alignment horizontal="left" vertical="center" wrapText="1"/>
    </xf>
    <xf numFmtId="0" fontId="8" fillId="2" borderId="0" xfId="0" applyFont="1" applyFill="1" applyAlignment="1">
      <alignment horizontal="center"/>
    </xf>
    <xf numFmtId="0" fontId="48" fillId="2" borderId="0" xfId="0" applyFont="1" applyFill="1" applyAlignment="1">
      <alignment horizontal="center" vertical="center" wrapText="1"/>
    </xf>
    <xf numFmtId="0" fontId="8" fillId="2" borderId="0" xfId="0" applyFont="1" applyFill="1" applyAlignment="1">
      <alignment horizontal="center" vertical="center" wrapText="1"/>
    </xf>
    <xf numFmtId="0" fontId="8" fillId="2" borderId="0" xfId="0" applyFont="1" applyFill="1" applyAlignment="1">
      <alignment horizontal="center" wrapText="1"/>
    </xf>
    <xf numFmtId="0" fontId="53" fillId="2" borderId="0" xfId="0" applyFont="1" applyFill="1" applyAlignment="1">
      <alignment horizontal="center" vertical="center" wrapText="1"/>
    </xf>
    <xf numFmtId="0" fontId="47" fillId="2" borderId="0" xfId="0" applyFont="1" applyFill="1" applyAlignment="1">
      <alignment horizontal="left" wrapText="1"/>
    </xf>
    <xf numFmtId="0" fontId="36" fillId="2" borderId="0" xfId="0" applyFont="1" applyFill="1" applyAlignment="1">
      <alignment wrapText="1"/>
    </xf>
  </cellXfs>
  <cellStyles count="54">
    <cellStyle name="Body: normal cell" xfId="20" xr:uid="{00000000-0005-0000-0000-000000000000}"/>
    <cellStyle name="Comma 2" xfId="24" xr:uid="{BE9868BD-138F-41CE-8CF3-712B183ABAEB}"/>
    <cellStyle name="Comma 2 4" xfId="18" xr:uid="{00000000-0005-0000-0000-000001000000}"/>
    <cellStyle name="Comma 2 4 2" xfId="42" xr:uid="{528DD0AF-62DC-4548-9A53-4EE91D1689E9}"/>
    <cellStyle name="Comma 3" xfId="25" xr:uid="{73C4BC1E-FE03-4DF8-BB0F-2B57D7C48349}"/>
    <cellStyle name="Comma 4" xfId="26" xr:uid="{F5AAF8FF-5727-4846-B903-2D1D753F9271}"/>
    <cellStyle name="Comma 4 2" xfId="27" xr:uid="{AFE65B75-BF3A-4B21-95A9-6A6922EA96D8}"/>
    <cellStyle name="Comma 5" xfId="43" xr:uid="{253D64FD-4A4F-4FD1-A74E-B773F723D3DB}"/>
    <cellStyle name="Currency 2" xfId="28" xr:uid="{C1711B22-3F05-4219-B479-EE2206B362D7}"/>
    <cellStyle name="Currency 3" xfId="29" xr:uid="{6B6BF7BE-0831-46D6-86F9-5E1D15C1EFCB}"/>
    <cellStyle name="Date" xfId="1" xr:uid="{00000000-0005-0000-0000-000004000000}"/>
    <cellStyle name="Fixed" xfId="2" xr:uid="{00000000-0005-0000-0000-000005000000}"/>
    <cellStyle name="header-top" xfId="46" xr:uid="{E195CE63-97E2-4FFE-BB53-FCB534897D59}"/>
    <cellStyle name="Heading1" xfId="3" xr:uid="{00000000-0005-0000-0000-000006000000}"/>
    <cellStyle name="Heading2" xfId="4" xr:uid="{00000000-0005-0000-0000-000007000000}"/>
    <cellStyle name="Hyperlink" xfId="5" builtinId="8"/>
    <cellStyle name="Hyperlink 2" xfId="23" xr:uid="{00000000-0005-0000-0000-000009000000}"/>
    <cellStyle name="Input" xfId="52" builtinId="20"/>
    <cellStyle name="Last Header Row" xfId="44" xr:uid="{1CCE3780-3516-4A55-B008-A05F9453D0DF}"/>
    <cellStyle name="Neutral" xfId="51" builtinId="28"/>
    <cellStyle name="Normal" xfId="0" builtinId="0"/>
    <cellStyle name="Normal 10" xfId="49" xr:uid="{B2F6872A-F75F-4C55-AB20-B40FFCB3097A}"/>
    <cellStyle name="Normal 10 2" xfId="50" xr:uid="{51AFC965-70A1-4E55-B83C-1A6B67A4FC0D}"/>
    <cellStyle name="Normal 2" xfId="21" xr:uid="{00000000-0005-0000-0000-00000B000000}"/>
    <cellStyle name="Normal 2 2" xfId="22" xr:uid="{00000000-0005-0000-0000-00000C000000}"/>
    <cellStyle name="Normal 3" xfId="30" xr:uid="{D3F57640-F8B5-4973-9767-B9148DFD2028}"/>
    <cellStyle name="Normal 4" xfId="47" xr:uid="{82481551-9EFF-43E9-B200-C284A7AB8691}"/>
    <cellStyle name="normal cell" xfId="45" xr:uid="{4203D41F-56AD-4F95-A132-4CD3D86E0FAE}"/>
    <cellStyle name="Normal_Commodities" xfId="6" xr:uid="{00000000-0005-0000-0000-00000D000000}"/>
    <cellStyle name="Normal_Conv" xfId="7" xr:uid="{00000000-0005-0000-0000-00000E000000}"/>
    <cellStyle name="Normal_conversion factors" xfId="8" xr:uid="{00000000-0005-0000-0000-00000F000000}"/>
    <cellStyle name="Normal_EPAUS9r_08_SRC_Coal_v0.1a" xfId="9" xr:uid="{00000000-0005-0000-0000-000010000000}"/>
    <cellStyle name="Normal_Fuel trans V1" xfId="16" xr:uid="{00000000-0005-0000-0000-000011000000}"/>
    <cellStyle name="Normal_Sheet1" xfId="10" xr:uid="{00000000-0005-0000-0000-000012000000}"/>
    <cellStyle name="Normal_Tech_RC" xfId="11" xr:uid="{00000000-0005-0000-0000-000013000000}"/>
    <cellStyle name="Normale_Scen_UC_IND-StrucConst" xfId="53" xr:uid="{D6E2821D-3C9D-44FC-9AAD-94BE3281466B}"/>
    <cellStyle name="Percent" xfId="19" builtinId="5"/>
    <cellStyle name="Percent 2" xfId="31" xr:uid="{550B748C-8DF5-49FD-947E-F481FFB8E368}"/>
    <cellStyle name="Percent 2 2" xfId="48" xr:uid="{59845B95-C55A-4809-B5B2-A00AE3E04B17}"/>
    <cellStyle name="Percent 3" xfId="32" xr:uid="{695982F1-8768-4490-BECE-607F86E31849}"/>
    <cellStyle name="Percent 3 2" xfId="33" xr:uid="{71F01C74-ADC0-413E-914A-F2E710BDF5DF}"/>
    <cellStyle name="Percent 4 2" xfId="17" xr:uid="{00000000-0005-0000-0000-000015000000}"/>
    <cellStyle name="Percent 4 2 2" xfId="41" xr:uid="{A1F5961F-E0A4-4881-A329-4AC062E61975}"/>
    <cellStyle name="Style 29" xfId="12" xr:uid="{00000000-0005-0000-0000-000016000000}"/>
    <cellStyle name="Style 29 2" xfId="34" xr:uid="{6C3AA713-C741-4369-9ABA-3D5C77CFFB62}"/>
    <cellStyle name="Style 29 3" xfId="35" xr:uid="{B60CCDB7-D717-423D-A510-7F1FED0DA019}"/>
    <cellStyle name="Style 29 3 2" xfId="36" xr:uid="{22DB6712-C87B-44E4-BEFF-B728B2692548}"/>
    <cellStyle name="Style 35" xfId="13" xr:uid="{00000000-0005-0000-0000-000017000000}"/>
    <cellStyle name="Style 35 2" xfId="38" xr:uid="{892D691D-6F90-424F-A97A-1FFB5B193DBF}"/>
    <cellStyle name="Style 35 3" xfId="37" xr:uid="{B51707BF-8C1A-42A2-AA55-1190931A8F14}"/>
    <cellStyle name="Style 36" xfId="14" xr:uid="{00000000-0005-0000-0000-000018000000}"/>
    <cellStyle name="Style 36 2" xfId="40" xr:uid="{0A3F80E6-1599-4705-BD5F-71080AC03102}"/>
    <cellStyle name="Style 36 3" xfId="39" xr:uid="{06B40ED7-5A45-4547-99AB-F1603C789C06}"/>
    <cellStyle name="Total" xfId="15"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U.S.</a:t>
            </a:r>
          </a:p>
        </c:rich>
      </c:tx>
      <c:overlay val="1"/>
    </c:title>
    <c:autoTitleDeleted val="0"/>
    <c:plotArea>
      <c:layout/>
      <c:lineChart>
        <c:grouping val="standard"/>
        <c:varyColors val="0"/>
        <c:ser>
          <c:idx val="0"/>
          <c:order val="0"/>
          <c:marker>
            <c:symbol val="none"/>
          </c:marker>
          <c:val>
            <c:numRef>
              <c:f>'Domestic Crude Prod Trends'!$C$5:$C$34</c:f>
              <c:numCache>
                <c:formatCode>0.0%</c:formatCode>
                <c:ptCount val="30"/>
                <c:pt idx="0">
                  <c:v>8.9787075724024369E-3</c:v>
                </c:pt>
                <c:pt idx="1">
                  <c:v>4.524957115228964E-3</c:v>
                </c:pt>
                <c:pt idx="2">
                  <c:v>2.4817730942204651E-2</c:v>
                </c:pt>
                <c:pt idx="3">
                  <c:v>7.6490231701673017E-3</c:v>
                </c:pt>
                <c:pt idx="4">
                  <c:v>-3.2462751404542849E-2</c:v>
                </c:pt>
                <c:pt idx="5">
                  <c:v>-3.8151636927870637E-2</c:v>
                </c:pt>
                <c:pt idx="6">
                  <c:v>-2.2397943412336769E-2</c:v>
                </c:pt>
                <c:pt idx="7">
                  <c:v>-6.7251335376216428E-2</c:v>
                </c:pt>
                <c:pt idx="8">
                  <c:v>-3.3858829058724838E-2</c:v>
                </c:pt>
                <c:pt idx="9">
                  <c:v>8.3257377861925795E-3</c:v>
                </c:pt>
                <c:pt idx="10">
                  <c:v>-3.0441748345701704E-2</c:v>
                </c:pt>
                <c:pt idx="11">
                  <c:v>-4.7853946762822369E-2</c:v>
                </c:pt>
                <c:pt idx="12">
                  <c:v>-2.7033256463600122E-2</c:v>
                </c:pt>
                <c:pt idx="13">
                  <c:v>-1.5302639219963513E-2</c:v>
                </c:pt>
                <c:pt idx="14">
                  <c:v>-1.1799430974310311E-2</c:v>
                </c:pt>
                <c:pt idx="15">
                  <c:v>-4.7277766812326366E-3</c:v>
                </c:pt>
                <c:pt idx="16">
                  <c:v>-3.0962731508120966E-2</c:v>
                </c:pt>
                <c:pt idx="17">
                  <c:v>-5.9242681269580558E-2</c:v>
                </c:pt>
                <c:pt idx="18">
                  <c:v>-7.4648349211732063E-3</c:v>
                </c:pt>
                <c:pt idx="19">
                  <c:v>-6.1932494707155885E-3</c:v>
                </c:pt>
                <c:pt idx="20">
                  <c:v>-9.6278130314317138E-3</c:v>
                </c:pt>
                <c:pt idx="21">
                  <c:v>-1.1287363074381867E-2</c:v>
                </c:pt>
                <c:pt idx="22">
                  <c:v>-4.3478680249805515E-2</c:v>
                </c:pt>
                <c:pt idx="23">
                  <c:v>-4.6990322200048201E-2</c:v>
                </c:pt>
                <c:pt idx="24">
                  <c:v>-1.473303613659763E-2</c:v>
                </c:pt>
                <c:pt idx="25">
                  <c:v>-7.4151876833458722E-3</c:v>
                </c:pt>
                <c:pt idx="26">
                  <c:v>-1.9818226081311369E-2</c:v>
                </c:pt>
                <c:pt idx="27">
                  <c:v>7.9908180572320492E-2</c:v>
                </c:pt>
                <c:pt idx="28">
                  <c:v>2.2736425915211928E-2</c:v>
                </c:pt>
                <c:pt idx="29">
                  <c:v>3.8677575431691452E-2</c:v>
                </c:pt>
              </c:numCache>
            </c:numRef>
          </c:val>
          <c:smooth val="0"/>
          <c:extLst>
            <c:ext xmlns:c16="http://schemas.microsoft.com/office/drawing/2014/chart" uri="{C3380CC4-5D6E-409C-BE32-E72D297353CC}">
              <c16:uniqueId val="{00000000-0A19-45A8-8722-0BF3B26176F0}"/>
            </c:ext>
          </c:extLst>
        </c:ser>
        <c:dLbls>
          <c:showLegendKey val="0"/>
          <c:showVal val="0"/>
          <c:showCatName val="0"/>
          <c:showSerName val="0"/>
          <c:showPercent val="0"/>
          <c:showBubbleSize val="0"/>
        </c:dLbls>
        <c:smooth val="0"/>
        <c:axId val="455862592"/>
        <c:axId val="455862984"/>
      </c:lineChart>
      <c:catAx>
        <c:axId val="455862592"/>
        <c:scaling>
          <c:orientation val="minMax"/>
        </c:scaling>
        <c:delete val="0"/>
        <c:axPos val="b"/>
        <c:majorTickMark val="out"/>
        <c:minorTickMark val="none"/>
        <c:tickLblPos val="nextTo"/>
        <c:crossAx val="455862984"/>
        <c:crosses val="autoZero"/>
        <c:auto val="1"/>
        <c:lblAlgn val="ctr"/>
        <c:lblOffset val="100"/>
        <c:noMultiLvlLbl val="0"/>
      </c:catAx>
      <c:valAx>
        <c:axId val="455862984"/>
        <c:scaling>
          <c:orientation val="minMax"/>
        </c:scaling>
        <c:delete val="0"/>
        <c:axPos val="l"/>
        <c:majorGridlines/>
        <c:numFmt formatCode="0.0%" sourceLinked="1"/>
        <c:majorTickMark val="out"/>
        <c:minorTickMark val="none"/>
        <c:tickLblPos val="nextTo"/>
        <c:crossAx val="455862592"/>
        <c:crosses val="autoZero"/>
        <c:crossBetween val="between"/>
      </c:valAx>
    </c:plotArea>
    <c:legend>
      <c:legendPos val="r"/>
      <c:overlay val="0"/>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PADDI</a:t>
            </a:r>
          </a:p>
        </c:rich>
      </c:tx>
      <c:overlay val="1"/>
    </c:title>
    <c:autoTitleDeleted val="0"/>
    <c:plotArea>
      <c:layout/>
      <c:lineChart>
        <c:grouping val="standard"/>
        <c:varyColors val="0"/>
        <c:ser>
          <c:idx val="0"/>
          <c:order val="0"/>
          <c:marker>
            <c:symbol val="none"/>
          </c:marker>
          <c:val>
            <c:numRef>
              <c:f>'Domestic Crude Prod Trends'!$E$5:$E$34</c:f>
              <c:numCache>
                <c:formatCode>0.0%</c:formatCode>
                <c:ptCount val="30"/>
                <c:pt idx="0">
                  <c:v>-0.20572509281094586</c:v>
                </c:pt>
                <c:pt idx="1">
                  <c:v>-0.16861661473337644</c:v>
                </c:pt>
                <c:pt idx="2">
                  <c:v>-0.18174103670178912</c:v>
                </c:pt>
                <c:pt idx="3">
                  <c:v>-9.4244231267824732E-2</c:v>
                </c:pt>
                <c:pt idx="4">
                  <c:v>-0.18028720003816612</c:v>
                </c:pt>
                <c:pt idx="5">
                  <c:v>-0.11919450587824468</c:v>
                </c:pt>
                <c:pt idx="6">
                  <c:v>-8.8938813268137962E-2</c:v>
                </c:pt>
                <c:pt idx="7">
                  <c:v>-7.5210327821293874E-2</c:v>
                </c:pt>
                <c:pt idx="8">
                  <c:v>-0.1456356364206729</c:v>
                </c:pt>
                <c:pt idx="9">
                  <c:v>-0.11318156783550579</c:v>
                </c:pt>
                <c:pt idx="10">
                  <c:v>3.9540420246351307E-2</c:v>
                </c:pt>
                <c:pt idx="11">
                  <c:v>-1.0952902519167579E-3</c:v>
                </c:pt>
                <c:pt idx="12">
                  <c:v>8.0243221690590116E-2</c:v>
                </c:pt>
                <c:pt idx="13">
                  <c:v>-8.6924425579034792E-2</c:v>
                </c:pt>
                <c:pt idx="14">
                  <c:v>8.9944416371905006E-3</c:v>
                </c:pt>
                <c:pt idx="15">
                  <c:v>-4.907852564102564E-2</c:v>
                </c:pt>
                <c:pt idx="16">
                  <c:v>1.5588792921845377E-2</c:v>
                </c:pt>
                <c:pt idx="17">
                  <c:v>-0.16531839867247458</c:v>
                </c:pt>
                <c:pt idx="18">
                  <c:v>-3.7773359840954271E-2</c:v>
                </c:pt>
                <c:pt idx="19">
                  <c:v>-3.8094008264462811E-2</c:v>
                </c:pt>
                <c:pt idx="20">
                  <c:v>1.2082158679017317E-3</c:v>
                </c:pt>
                <c:pt idx="21">
                  <c:v>-3.8616251005631534E-2</c:v>
                </c:pt>
                <c:pt idx="22">
                  <c:v>-3.1938633193863322E-2</c:v>
                </c:pt>
                <c:pt idx="23">
                  <c:v>0.19564904192479471</c:v>
                </c:pt>
                <c:pt idx="24">
                  <c:v>-2.8557657549102302E-2</c:v>
                </c:pt>
                <c:pt idx="25">
                  <c:v>-4.4529893326717938E-2</c:v>
                </c:pt>
                <c:pt idx="26">
                  <c:v>-1.9472932623653121E-2</c:v>
                </c:pt>
                <c:pt idx="27">
                  <c:v>-0.14550509731232622</c:v>
                </c:pt>
                <c:pt idx="28">
                  <c:v>0.10241710567090177</c:v>
                </c:pt>
                <c:pt idx="29">
                  <c:v>0.12466619817287421</c:v>
                </c:pt>
              </c:numCache>
            </c:numRef>
          </c:val>
          <c:smooth val="0"/>
          <c:extLst>
            <c:ext xmlns:c16="http://schemas.microsoft.com/office/drawing/2014/chart" uri="{C3380CC4-5D6E-409C-BE32-E72D297353CC}">
              <c16:uniqueId val="{00000000-F812-4EF6-9819-079F07667A3B}"/>
            </c:ext>
          </c:extLst>
        </c:ser>
        <c:dLbls>
          <c:showLegendKey val="0"/>
          <c:showVal val="0"/>
          <c:showCatName val="0"/>
          <c:showSerName val="0"/>
          <c:showPercent val="0"/>
          <c:showBubbleSize val="0"/>
        </c:dLbls>
        <c:smooth val="0"/>
        <c:axId val="455863768"/>
        <c:axId val="714570592"/>
      </c:lineChart>
      <c:catAx>
        <c:axId val="455863768"/>
        <c:scaling>
          <c:orientation val="minMax"/>
        </c:scaling>
        <c:delete val="0"/>
        <c:axPos val="b"/>
        <c:majorTickMark val="out"/>
        <c:minorTickMark val="none"/>
        <c:tickLblPos val="nextTo"/>
        <c:crossAx val="714570592"/>
        <c:crosses val="autoZero"/>
        <c:auto val="1"/>
        <c:lblAlgn val="ctr"/>
        <c:lblOffset val="100"/>
        <c:noMultiLvlLbl val="0"/>
      </c:catAx>
      <c:valAx>
        <c:axId val="714570592"/>
        <c:scaling>
          <c:orientation val="minMax"/>
        </c:scaling>
        <c:delete val="0"/>
        <c:axPos val="l"/>
        <c:majorGridlines/>
        <c:numFmt formatCode="0.0%" sourceLinked="1"/>
        <c:majorTickMark val="out"/>
        <c:minorTickMark val="none"/>
        <c:tickLblPos val="nextTo"/>
        <c:crossAx val="455863768"/>
        <c:crosses val="autoZero"/>
        <c:crossBetween val="between"/>
      </c:valAx>
    </c:plotArea>
    <c:legend>
      <c:legendPos val="r"/>
      <c:overlay val="0"/>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PADD II</a:t>
            </a:r>
          </a:p>
        </c:rich>
      </c:tx>
      <c:overlay val="1"/>
    </c:title>
    <c:autoTitleDeleted val="0"/>
    <c:plotArea>
      <c:layout/>
      <c:lineChart>
        <c:grouping val="standard"/>
        <c:varyColors val="0"/>
        <c:ser>
          <c:idx val="0"/>
          <c:order val="0"/>
          <c:marker>
            <c:symbol val="none"/>
          </c:marker>
          <c:val>
            <c:numRef>
              <c:f>'Domestic Crude Prod Trends'!$L$5:$L$34</c:f>
              <c:numCache>
                <c:formatCode>0.0%</c:formatCode>
                <c:ptCount val="30"/>
                <c:pt idx="0">
                  <c:v>4.7189254694885184E-2</c:v>
                </c:pt>
                <c:pt idx="1">
                  <c:v>1.7299616578418841E-2</c:v>
                </c:pt>
                <c:pt idx="2">
                  <c:v>3.9273752306145236E-2</c:v>
                </c:pt>
                <c:pt idx="3">
                  <c:v>-2.4575946200594782E-2</c:v>
                </c:pt>
                <c:pt idx="4">
                  <c:v>-9.1824141719736935E-2</c:v>
                </c:pt>
                <c:pt idx="5">
                  <c:v>-9.5044923655587213E-2</c:v>
                </c:pt>
                <c:pt idx="6">
                  <c:v>-4.3296447771501705E-2</c:v>
                </c:pt>
                <c:pt idx="7">
                  <c:v>-7.5753160658821039E-2</c:v>
                </c:pt>
                <c:pt idx="8">
                  <c:v>-3.0309870054493277E-2</c:v>
                </c:pt>
                <c:pt idx="9">
                  <c:v>-2.7233731253948724E-2</c:v>
                </c:pt>
                <c:pt idx="10">
                  <c:v>-5.5912581755201571E-2</c:v>
                </c:pt>
                <c:pt idx="11">
                  <c:v>-7.0959306418844167E-2</c:v>
                </c:pt>
                <c:pt idx="12">
                  <c:v>-6.4163133804189199E-2</c:v>
                </c:pt>
                <c:pt idx="13">
                  <c:v>-3.5986303271482119E-2</c:v>
                </c:pt>
                <c:pt idx="14">
                  <c:v>-1.3022420835873337E-2</c:v>
                </c:pt>
                <c:pt idx="15">
                  <c:v>-6.113218558505982E-3</c:v>
                </c:pt>
                <c:pt idx="16">
                  <c:v>-8.086101691597794E-2</c:v>
                </c:pt>
                <c:pt idx="17">
                  <c:v>-0.10936551709451761</c:v>
                </c:pt>
                <c:pt idx="18">
                  <c:v>3.9929465913506081E-2</c:v>
                </c:pt>
                <c:pt idx="19">
                  <c:v>-3.8436556976577094E-2</c:v>
                </c:pt>
                <c:pt idx="20">
                  <c:v>-1.5858878102434127E-2</c:v>
                </c:pt>
                <c:pt idx="21">
                  <c:v>-1.9892489446351018E-2</c:v>
                </c:pt>
                <c:pt idx="22">
                  <c:v>-1.2710708973723351E-2</c:v>
                </c:pt>
                <c:pt idx="23">
                  <c:v>1.4299254907130169E-2</c:v>
                </c:pt>
                <c:pt idx="24">
                  <c:v>3.5343189736798133E-2</c:v>
                </c:pt>
                <c:pt idx="25">
                  <c:v>2.5242381857523699E-2</c:v>
                </c:pt>
                <c:pt idx="26">
                  <c:v>0.14749214381912418</c:v>
                </c:pt>
                <c:pt idx="27">
                  <c:v>9.604763767725677E-2</c:v>
                </c:pt>
                <c:pt idx="28">
                  <c:v>0.16147559601896877</c:v>
                </c:pt>
                <c:pt idx="29">
                  <c:v>0.19040378037731934</c:v>
                </c:pt>
              </c:numCache>
            </c:numRef>
          </c:val>
          <c:smooth val="0"/>
          <c:extLst>
            <c:ext xmlns:c16="http://schemas.microsoft.com/office/drawing/2014/chart" uri="{C3380CC4-5D6E-409C-BE32-E72D297353CC}">
              <c16:uniqueId val="{00000000-CD74-4B20-A825-DF20820425D0}"/>
            </c:ext>
          </c:extLst>
        </c:ser>
        <c:dLbls>
          <c:showLegendKey val="0"/>
          <c:showVal val="0"/>
          <c:showCatName val="0"/>
          <c:showSerName val="0"/>
          <c:showPercent val="0"/>
          <c:showBubbleSize val="0"/>
        </c:dLbls>
        <c:smooth val="0"/>
        <c:axId val="714571376"/>
        <c:axId val="714571768"/>
      </c:lineChart>
      <c:catAx>
        <c:axId val="714571376"/>
        <c:scaling>
          <c:orientation val="minMax"/>
        </c:scaling>
        <c:delete val="0"/>
        <c:axPos val="b"/>
        <c:majorTickMark val="out"/>
        <c:minorTickMark val="none"/>
        <c:tickLblPos val="nextTo"/>
        <c:crossAx val="714571768"/>
        <c:crosses val="autoZero"/>
        <c:auto val="1"/>
        <c:lblAlgn val="ctr"/>
        <c:lblOffset val="100"/>
        <c:noMultiLvlLbl val="0"/>
      </c:catAx>
      <c:valAx>
        <c:axId val="714571768"/>
        <c:scaling>
          <c:orientation val="minMax"/>
        </c:scaling>
        <c:delete val="0"/>
        <c:axPos val="l"/>
        <c:majorGridlines/>
        <c:numFmt formatCode="0.0%" sourceLinked="1"/>
        <c:majorTickMark val="out"/>
        <c:minorTickMark val="none"/>
        <c:tickLblPos val="nextTo"/>
        <c:crossAx val="714571376"/>
        <c:crosses val="autoZero"/>
        <c:crossBetween val="between"/>
      </c:valAx>
    </c:plotArea>
    <c:legend>
      <c:legendPos val="r"/>
      <c:overlay val="0"/>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PADD III</a:t>
            </a:r>
          </a:p>
        </c:rich>
      </c:tx>
      <c:overlay val="1"/>
    </c:title>
    <c:autoTitleDeleted val="0"/>
    <c:plotArea>
      <c:layout/>
      <c:lineChart>
        <c:grouping val="standard"/>
        <c:varyColors val="0"/>
        <c:ser>
          <c:idx val="0"/>
          <c:order val="0"/>
          <c:marker>
            <c:symbol val="none"/>
          </c:marker>
          <c:val>
            <c:numRef>
              <c:f>'Domestic Crude Prod Trends'!$Z$5:$Z$34</c:f>
              <c:numCache>
                <c:formatCode>0.0%</c:formatCode>
                <c:ptCount val="30"/>
                <c:pt idx="0">
                  <c:v>-8.2026907892215114E-3</c:v>
                </c:pt>
                <c:pt idx="1">
                  <c:v>-1.0546139359698682E-4</c:v>
                </c:pt>
                <c:pt idx="2">
                  <c:v>2.8971531591966793E-2</c:v>
                </c:pt>
                <c:pt idx="3">
                  <c:v>-1.5166602151413903E-2</c:v>
                </c:pt>
                <c:pt idx="4">
                  <c:v>-3.3967389547640198E-2</c:v>
                </c:pt>
                <c:pt idx="5">
                  <c:v>-6.5279728679810189E-2</c:v>
                </c:pt>
                <c:pt idx="6">
                  <c:v>-4.5549960122396323E-2</c:v>
                </c:pt>
                <c:pt idx="7">
                  <c:v>-6.4187777678597555E-2</c:v>
                </c:pt>
                <c:pt idx="8">
                  <c:v>-2.2850657152773492E-2</c:v>
                </c:pt>
                <c:pt idx="9">
                  <c:v>2.360568006293317E-2</c:v>
                </c:pt>
                <c:pt idx="10">
                  <c:v>-2.3081336829485641E-2</c:v>
                </c:pt>
                <c:pt idx="11">
                  <c:v>-3.3206294102109353E-2</c:v>
                </c:pt>
                <c:pt idx="12">
                  <c:v>-2.8544010263319999E-2</c:v>
                </c:pt>
                <c:pt idx="13">
                  <c:v>-5.2553660720134508E-3</c:v>
                </c:pt>
                <c:pt idx="14">
                  <c:v>1.7467609324019147E-2</c:v>
                </c:pt>
                <c:pt idx="15">
                  <c:v>3.2978886815866734E-2</c:v>
                </c:pt>
                <c:pt idx="16">
                  <c:v>4.1803882648381229E-3</c:v>
                </c:pt>
                <c:pt idx="17">
                  <c:v>-3.1706574422098767E-2</c:v>
                </c:pt>
                <c:pt idx="18">
                  <c:v>1.1008583137871486E-2</c:v>
                </c:pt>
                <c:pt idx="19">
                  <c:v>1.4549728355781267E-2</c:v>
                </c:pt>
                <c:pt idx="20">
                  <c:v>-1.6366459939489583E-2</c:v>
                </c:pt>
                <c:pt idx="21">
                  <c:v>-9.7385261920880858E-3</c:v>
                </c:pt>
                <c:pt idx="22">
                  <c:v>-5.0844936102002893E-2</c:v>
                </c:pt>
                <c:pt idx="23">
                  <c:v>-7.270170682849178E-2</c:v>
                </c:pt>
                <c:pt idx="24">
                  <c:v>1.2120187709025607E-2</c:v>
                </c:pt>
                <c:pt idx="25">
                  <c:v>-3.6837390337328556E-3</c:v>
                </c:pt>
                <c:pt idx="26">
                  <c:v>-4.2860686298067607E-2</c:v>
                </c:pt>
                <c:pt idx="27">
                  <c:v>0.15315654571737466</c:v>
                </c:pt>
                <c:pt idx="28">
                  <c:v>2.2254351497786064E-2</c:v>
                </c:pt>
                <c:pt idx="29">
                  <c:v>3.3002175184349662E-2</c:v>
                </c:pt>
              </c:numCache>
            </c:numRef>
          </c:val>
          <c:smooth val="0"/>
          <c:extLst>
            <c:ext xmlns:c16="http://schemas.microsoft.com/office/drawing/2014/chart" uri="{C3380CC4-5D6E-409C-BE32-E72D297353CC}">
              <c16:uniqueId val="{00000000-687D-414B-BA29-4749DF4E5512}"/>
            </c:ext>
          </c:extLst>
        </c:ser>
        <c:dLbls>
          <c:showLegendKey val="0"/>
          <c:showVal val="0"/>
          <c:showCatName val="0"/>
          <c:showSerName val="0"/>
          <c:showPercent val="0"/>
          <c:showBubbleSize val="0"/>
        </c:dLbls>
        <c:smooth val="0"/>
        <c:axId val="505233160"/>
        <c:axId val="505233552"/>
      </c:lineChart>
      <c:catAx>
        <c:axId val="505233160"/>
        <c:scaling>
          <c:orientation val="minMax"/>
        </c:scaling>
        <c:delete val="0"/>
        <c:axPos val="b"/>
        <c:majorTickMark val="out"/>
        <c:minorTickMark val="none"/>
        <c:tickLblPos val="nextTo"/>
        <c:crossAx val="505233552"/>
        <c:crosses val="autoZero"/>
        <c:auto val="1"/>
        <c:lblAlgn val="ctr"/>
        <c:lblOffset val="100"/>
        <c:noMultiLvlLbl val="0"/>
      </c:catAx>
      <c:valAx>
        <c:axId val="505233552"/>
        <c:scaling>
          <c:orientation val="minMax"/>
        </c:scaling>
        <c:delete val="0"/>
        <c:axPos val="l"/>
        <c:majorGridlines/>
        <c:numFmt formatCode="0.0%" sourceLinked="1"/>
        <c:majorTickMark val="out"/>
        <c:minorTickMark val="none"/>
        <c:tickLblPos val="nextTo"/>
        <c:crossAx val="505233160"/>
        <c:crosses val="autoZero"/>
        <c:crossBetween val="between"/>
      </c:valAx>
    </c:plotArea>
    <c:legend>
      <c:legendPos val="r"/>
      <c:overlay val="0"/>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PADD IV</a:t>
            </a:r>
          </a:p>
        </c:rich>
      </c:tx>
      <c:overlay val="1"/>
    </c:title>
    <c:autoTitleDeleted val="0"/>
    <c:plotArea>
      <c:layout/>
      <c:lineChart>
        <c:grouping val="standard"/>
        <c:varyColors val="0"/>
        <c:ser>
          <c:idx val="0"/>
          <c:order val="0"/>
          <c:marker>
            <c:symbol val="none"/>
          </c:marker>
          <c:val>
            <c:numRef>
              <c:f>'Domestic Crude Prod Trends'!$AI$5:$AI$34</c:f>
              <c:numCache>
                <c:formatCode>0.0%</c:formatCode>
                <c:ptCount val="30"/>
                <c:pt idx="0">
                  <c:v>-7.0483913229351977E-2</c:v>
                </c:pt>
                <c:pt idx="1">
                  <c:v>1.9316934215601912E-2</c:v>
                </c:pt>
                <c:pt idx="2">
                  <c:v>5.556202453035243E-2</c:v>
                </c:pt>
                <c:pt idx="3">
                  <c:v>5.403467485429575E-2</c:v>
                </c:pt>
                <c:pt idx="4">
                  <c:v>-5.4212454212454214E-2</c:v>
                </c:pt>
                <c:pt idx="5">
                  <c:v>-5.5203607391833574E-2</c:v>
                </c:pt>
                <c:pt idx="6">
                  <c:v>-1.0838640411878096E-2</c:v>
                </c:pt>
                <c:pt idx="7">
                  <c:v>-7.3781167671465364E-2</c:v>
                </c:pt>
                <c:pt idx="8">
                  <c:v>-3.204448729352985E-2</c:v>
                </c:pt>
                <c:pt idx="9">
                  <c:v>-3.5036841786675321E-2</c:v>
                </c:pt>
                <c:pt idx="10">
                  <c:v>-4.3095189215082458E-2</c:v>
                </c:pt>
                <c:pt idx="11">
                  <c:v>-6.8337713573978387E-2</c:v>
                </c:pt>
                <c:pt idx="12">
                  <c:v>-7.037586674513216E-2</c:v>
                </c:pt>
                <c:pt idx="13">
                  <c:v>-1.3431500722493635E-2</c:v>
                </c:pt>
                <c:pt idx="14">
                  <c:v>-6.7939293336495135E-2</c:v>
                </c:pt>
                <c:pt idx="15">
                  <c:v>-2.2456355650007108E-2</c:v>
                </c:pt>
                <c:pt idx="16">
                  <c:v>-5.9769129489574087E-2</c:v>
                </c:pt>
                <c:pt idx="17">
                  <c:v>-9.8039534959455499E-2</c:v>
                </c:pt>
                <c:pt idx="18">
                  <c:v>-4.6937338652898383E-3</c:v>
                </c:pt>
                <c:pt idx="19">
                  <c:v>-4.6678033119910034E-2</c:v>
                </c:pt>
                <c:pt idx="20">
                  <c:v>-2.0329341032544069E-2</c:v>
                </c:pt>
                <c:pt idx="21">
                  <c:v>2.8636072323318638E-2</c:v>
                </c:pt>
                <c:pt idx="22">
                  <c:v>6.7383485476395014E-2</c:v>
                </c:pt>
                <c:pt idx="23">
                  <c:v>9.6286338430515886E-2</c:v>
                </c:pt>
                <c:pt idx="24">
                  <c:v>5.2518635644906254E-2</c:v>
                </c:pt>
                <c:pt idx="25">
                  <c:v>9.5810402710284678E-3</c:v>
                </c:pt>
                <c:pt idx="26">
                  <c:v>-8.9283002824258259E-3</c:v>
                </c:pt>
                <c:pt idx="27">
                  <c:v>-2.0223686226444001E-3</c:v>
                </c:pt>
                <c:pt idx="28">
                  <c:v>4.2578832632257667E-2</c:v>
                </c:pt>
                <c:pt idx="29">
                  <c:v>6.0814442325673852E-2</c:v>
                </c:pt>
              </c:numCache>
            </c:numRef>
          </c:val>
          <c:smooth val="0"/>
          <c:extLst>
            <c:ext xmlns:c16="http://schemas.microsoft.com/office/drawing/2014/chart" uri="{C3380CC4-5D6E-409C-BE32-E72D297353CC}">
              <c16:uniqueId val="{00000000-321C-4176-AEF9-78AB78EFA708}"/>
            </c:ext>
          </c:extLst>
        </c:ser>
        <c:dLbls>
          <c:showLegendKey val="0"/>
          <c:showVal val="0"/>
          <c:showCatName val="0"/>
          <c:showSerName val="0"/>
          <c:showPercent val="0"/>
          <c:showBubbleSize val="0"/>
        </c:dLbls>
        <c:smooth val="0"/>
        <c:axId val="505234336"/>
        <c:axId val="505234728"/>
      </c:lineChart>
      <c:catAx>
        <c:axId val="505234336"/>
        <c:scaling>
          <c:orientation val="minMax"/>
        </c:scaling>
        <c:delete val="0"/>
        <c:axPos val="b"/>
        <c:majorTickMark val="out"/>
        <c:minorTickMark val="none"/>
        <c:tickLblPos val="nextTo"/>
        <c:crossAx val="505234728"/>
        <c:crosses val="autoZero"/>
        <c:auto val="1"/>
        <c:lblAlgn val="ctr"/>
        <c:lblOffset val="100"/>
        <c:noMultiLvlLbl val="0"/>
      </c:catAx>
      <c:valAx>
        <c:axId val="505234728"/>
        <c:scaling>
          <c:orientation val="minMax"/>
        </c:scaling>
        <c:delete val="0"/>
        <c:axPos val="l"/>
        <c:majorGridlines/>
        <c:numFmt formatCode="0.0%" sourceLinked="1"/>
        <c:majorTickMark val="out"/>
        <c:minorTickMark val="none"/>
        <c:tickLblPos val="nextTo"/>
        <c:crossAx val="505234336"/>
        <c:crosses val="autoZero"/>
        <c:crossBetween val="between"/>
      </c:valAx>
    </c:plotArea>
    <c:legend>
      <c:legendPos val="r"/>
      <c:overlay val="0"/>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PADD V</a:t>
            </a:r>
          </a:p>
        </c:rich>
      </c:tx>
      <c:overlay val="1"/>
    </c:title>
    <c:autoTitleDeleted val="0"/>
    <c:plotArea>
      <c:layout/>
      <c:lineChart>
        <c:grouping val="standard"/>
        <c:varyColors val="0"/>
        <c:ser>
          <c:idx val="0"/>
          <c:order val="0"/>
          <c:marker>
            <c:symbol val="none"/>
          </c:marker>
          <c:val>
            <c:numRef>
              <c:f>'Domestic Crude Prod Trends'!$AO$5:$AO$34</c:f>
              <c:numCache>
                <c:formatCode>0.0%</c:formatCode>
                <c:ptCount val="30"/>
                <c:pt idx="0">
                  <c:v>4.9394258192308638E-2</c:v>
                </c:pt>
                <c:pt idx="1">
                  <c:v>9.6257208031876873E-3</c:v>
                </c:pt>
                <c:pt idx="2">
                  <c:v>1.2878395596851236E-2</c:v>
                </c:pt>
                <c:pt idx="3">
                  <c:v>4.6700805998412705E-2</c:v>
                </c:pt>
                <c:pt idx="4">
                  <c:v>-2.0862982976683946E-3</c:v>
                </c:pt>
                <c:pt idx="5">
                  <c:v>2.1858900153339512E-2</c:v>
                </c:pt>
                <c:pt idx="6">
                  <c:v>1.1308718692034744E-2</c:v>
                </c:pt>
                <c:pt idx="7">
                  <c:v>-6.7330376940133038E-2</c:v>
                </c:pt>
                <c:pt idx="8">
                  <c:v>-4.6825506259598609E-2</c:v>
                </c:pt>
                <c:pt idx="9">
                  <c:v>8.5220243748653154E-3</c:v>
                </c:pt>
                <c:pt idx="10">
                  <c:v>-3.1365554572919202E-2</c:v>
                </c:pt>
                <c:pt idx="11">
                  <c:v>-5.7195875320038524E-2</c:v>
                </c:pt>
                <c:pt idx="12">
                  <c:v>-9.6384863525185941E-3</c:v>
                </c:pt>
                <c:pt idx="13">
                  <c:v>-2.2447269752241119E-2</c:v>
                </c:pt>
                <c:pt idx="14">
                  <c:v>-4.0036788687702309E-2</c:v>
                </c:pt>
                <c:pt idx="15">
                  <c:v>-5.204377775446694E-2</c:v>
                </c:pt>
                <c:pt idx="16">
                  <c:v>-6.6063950385949893E-2</c:v>
                </c:pt>
                <c:pt idx="17">
                  <c:v>-8.2801575066450583E-2</c:v>
                </c:pt>
                <c:pt idx="18">
                  <c:v>-4.9798189156757933E-2</c:v>
                </c:pt>
                <c:pt idx="19">
                  <c:v>-2.7475913824513067E-2</c:v>
                </c:pt>
                <c:pt idx="20">
                  <c:v>6.1136144415502112E-3</c:v>
                </c:pt>
                <c:pt idx="21">
                  <c:v>-1.7942245791167821E-2</c:v>
                </c:pt>
                <c:pt idx="22">
                  <c:v>-5.6410474074982356E-2</c:v>
                </c:pt>
                <c:pt idx="23">
                  <c:v>-4.5771767579247599E-2</c:v>
                </c:pt>
                <c:pt idx="24">
                  <c:v>-9.1199706685988147E-2</c:v>
                </c:pt>
                <c:pt idx="25">
                  <c:v>-2.9020477245263954E-2</c:v>
                </c:pt>
                <c:pt idx="26">
                  <c:v>-3.2388712029329886E-2</c:v>
                </c:pt>
                <c:pt idx="27">
                  <c:v>-4.919303224803856E-2</c:v>
                </c:pt>
                <c:pt idx="28">
                  <c:v>-4.7110183980472911E-2</c:v>
                </c:pt>
                <c:pt idx="29">
                  <c:v>-4.0375635594654798E-2</c:v>
                </c:pt>
              </c:numCache>
            </c:numRef>
          </c:val>
          <c:smooth val="0"/>
          <c:extLst>
            <c:ext xmlns:c16="http://schemas.microsoft.com/office/drawing/2014/chart" uri="{C3380CC4-5D6E-409C-BE32-E72D297353CC}">
              <c16:uniqueId val="{00000000-9DBB-4E1F-87AE-C7F1D68CD36E}"/>
            </c:ext>
          </c:extLst>
        </c:ser>
        <c:dLbls>
          <c:showLegendKey val="0"/>
          <c:showVal val="0"/>
          <c:showCatName val="0"/>
          <c:showSerName val="0"/>
          <c:showPercent val="0"/>
          <c:showBubbleSize val="0"/>
        </c:dLbls>
        <c:smooth val="0"/>
        <c:axId val="704439880"/>
        <c:axId val="704440272"/>
      </c:lineChart>
      <c:catAx>
        <c:axId val="704439880"/>
        <c:scaling>
          <c:orientation val="minMax"/>
        </c:scaling>
        <c:delete val="0"/>
        <c:axPos val="b"/>
        <c:majorTickMark val="out"/>
        <c:minorTickMark val="none"/>
        <c:tickLblPos val="nextTo"/>
        <c:crossAx val="704440272"/>
        <c:crosses val="autoZero"/>
        <c:auto val="1"/>
        <c:lblAlgn val="ctr"/>
        <c:lblOffset val="100"/>
        <c:noMultiLvlLbl val="0"/>
      </c:catAx>
      <c:valAx>
        <c:axId val="704440272"/>
        <c:scaling>
          <c:orientation val="minMax"/>
        </c:scaling>
        <c:delete val="0"/>
        <c:axPos val="l"/>
        <c:majorGridlines/>
        <c:numFmt formatCode="0.0%" sourceLinked="1"/>
        <c:majorTickMark val="out"/>
        <c:minorTickMark val="none"/>
        <c:tickLblPos val="nextTo"/>
        <c:crossAx val="704439880"/>
        <c:crosses val="autoZero"/>
        <c:crossBetween val="between"/>
      </c:valAx>
    </c:plotArea>
    <c:legend>
      <c:legendPos val="r"/>
      <c:overlay val="0"/>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'Imported Prod Trend'!$D$25:$D$1200</c:f>
              <c:numCache>
                <c:formatCode>0.0%</c:formatCode>
                <c:ptCount val="1176"/>
                <c:pt idx="0">
                  <c:v>-4.2595725049976933E-2</c:v>
                </c:pt>
                <c:pt idx="1">
                  <c:v>-3.9511725024092517E-2</c:v>
                </c:pt>
                <c:pt idx="2">
                  <c:v>-7.3578595317725752E-3</c:v>
                </c:pt>
                <c:pt idx="3">
                  <c:v>-2.7628032345013476E-2</c:v>
                </c:pt>
                <c:pt idx="4">
                  <c:v>3.3437283437283437E-2</c:v>
                </c:pt>
                <c:pt idx="5">
                  <c:v>2.7158424140821459E-2</c:v>
                </c:pt>
                <c:pt idx="6">
                  <c:v>1.4199445079157826E-2</c:v>
                </c:pt>
                <c:pt idx="7">
                  <c:v>-3.3794657225619568E-3</c:v>
                </c:pt>
                <c:pt idx="8">
                  <c:v>2.5835620862263847E-3</c:v>
                </c:pt>
                <c:pt idx="9">
                  <c:v>-2.8990175551618616E-3</c:v>
                </c:pt>
                <c:pt idx="10">
                  <c:v>-2.4228719108383139E-2</c:v>
                </c:pt>
                <c:pt idx="11">
                  <c:v>2.9299784803840424E-2</c:v>
                </c:pt>
                <c:pt idx="12">
                  <c:v>-3.3772917336764231E-3</c:v>
                </c:pt>
                <c:pt idx="13">
                  <c:v>8.3911570114571562E-3</c:v>
                </c:pt>
                <c:pt idx="14">
                  <c:v>1.344215074411906E-2</c:v>
                </c:pt>
                <c:pt idx="15">
                  <c:v>4.5791883783357018E-3</c:v>
                </c:pt>
                <c:pt idx="16">
                  <c:v>4.7154982709839673E-3</c:v>
                </c:pt>
                <c:pt idx="17">
                  <c:v>-3.2853566958698371E-3</c:v>
                </c:pt>
                <c:pt idx="18">
                  <c:v>5.6349081776801133E-2</c:v>
                </c:pt>
                <c:pt idx="19">
                  <c:v>2.7786032689450221E-2</c:v>
                </c:pt>
                <c:pt idx="20">
                  <c:v>-1.9806274396414629E-2</c:v>
                </c:pt>
                <c:pt idx="21">
                  <c:v>4.71976401179941E-3</c:v>
                </c:pt>
                <c:pt idx="22">
                  <c:v>-1.5267175572519083E-2</c:v>
                </c:pt>
                <c:pt idx="23">
                  <c:v>-9.3917710196779972E-3</c:v>
                </c:pt>
                <c:pt idx="24">
                  <c:v>5.4477050413844999E-2</c:v>
                </c:pt>
                <c:pt idx="25">
                  <c:v>1.4128728414442701E-2</c:v>
                </c:pt>
                <c:pt idx="26">
                  <c:v>-4.3484379397692091E-2</c:v>
                </c:pt>
                <c:pt idx="27">
                  <c:v>-4.5608356627924087E-3</c:v>
                </c:pt>
                <c:pt idx="28">
                  <c:v>-1.9804906887378067E-2</c:v>
                </c:pt>
                <c:pt idx="29">
                  <c:v>1.2213510253317249E-2</c:v>
                </c:pt>
                <c:pt idx="30">
                  <c:v>3.7688067927901088E-2</c:v>
                </c:pt>
                <c:pt idx="31">
                  <c:v>-5.0531151306345105E-2</c:v>
                </c:pt>
                <c:pt idx="32">
                  <c:v>-2.1318415482310251E-2</c:v>
                </c:pt>
                <c:pt idx="33">
                  <c:v>-6.8592615479684843E-2</c:v>
                </c:pt>
                <c:pt idx="34">
                  <c:v>-6.9497429092718527E-2</c:v>
                </c:pt>
                <c:pt idx="35">
                  <c:v>-2.8520499108734401E-2</c:v>
                </c:pt>
                <c:pt idx="36">
                  <c:v>-6.2385321100917435E-2</c:v>
                </c:pt>
                <c:pt idx="37">
                  <c:v>-6.0665362035225052E-3</c:v>
                </c:pt>
                <c:pt idx="38">
                  <c:v>-1.2010238235873204E-2</c:v>
                </c:pt>
                <c:pt idx="39">
                  <c:v>-3.7465125548027105E-2</c:v>
                </c:pt>
                <c:pt idx="40">
                  <c:v>4.0579710144927533E-2</c:v>
                </c:pt>
                <c:pt idx="41">
                  <c:v>2.3875845602865101E-2</c:v>
                </c:pt>
                <c:pt idx="42">
                  <c:v>-1.8655266226195105E-2</c:v>
                </c:pt>
                <c:pt idx="43">
                  <c:v>2.910891089108911E-2</c:v>
                </c:pt>
                <c:pt idx="44">
                  <c:v>-1.9434289012892052E-2</c:v>
                </c:pt>
                <c:pt idx="45">
                  <c:v>-8.0455259026687605E-3</c:v>
                </c:pt>
                <c:pt idx="46">
                  <c:v>-3.165182987141444E-3</c:v>
                </c:pt>
                <c:pt idx="47">
                  <c:v>2.6195673744790635E-2</c:v>
                </c:pt>
                <c:pt idx="48">
                  <c:v>-1.7791529684780507E-2</c:v>
                </c:pt>
                <c:pt idx="49">
                  <c:v>-1.929513683796023E-2</c:v>
                </c:pt>
                <c:pt idx="50">
                  <c:v>3.272435253965067E-2</c:v>
                </c:pt>
                <c:pt idx="51">
                  <c:v>3.2853810264385691E-2</c:v>
                </c:pt>
                <c:pt idx="52">
                  <c:v>3.180877093920572E-2</c:v>
                </c:pt>
                <c:pt idx="53">
                  <c:v>2.1707406056183876E-2</c:v>
                </c:pt>
                <c:pt idx="54">
                  <c:v>-8.3913586859489381E-3</c:v>
                </c:pt>
                <c:pt idx="55">
                  <c:v>-5.5275477133597407E-2</c:v>
                </c:pt>
                <c:pt idx="56">
                  <c:v>-5.3363826948732611E-3</c:v>
                </c:pt>
                <c:pt idx="57">
                  <c:v>-2.9507568499712589E-2</c:v>
                </c:pt>
                <c:pt idx="58">
                  <c:v>2.2309970384995065E-2</c:v>
                </c:pt>
                <c:pt idx="59">
                  <c:v>1.4291232135959829E-2</c:v>
                </c:pt>
                <c:pt idx="60">
                  <c:v>1.1424219345011425E-3</c:v>
                </c:pt>
                <c:pt idx="61">
                  <c:v>6.5614302015975651E-2</c:v>
                </c:pt>
                <c:pt idx="62">
                  <c:v>-3.2304122791361772E-2</c:v>
                </c:pt>
                <c:pt idx="63">
                  <c:v>6.270748801180376E-3</c:v>
                </c:pt>
                <c:pt idx="64">
                  <c:v>-7.331378299120235E-3</c:v>
                </c:pt>
                <c:pt idx="65">
                  <c:v>8.4933530280649934E-3</c:v>
                </c:pt>
                <c:pt idx="66">
                  <c:v>5.6389600878798976E-2</c:v>
                </c:pt>
                <c:pt idx="67">
                  <c:v>3.2755632582322357E-2</c:v>
                </c:pt>
                <c:pt idx="68">
                  <c:v>5.6217486155395201E-2</c:v>
                </c:pt>
                <c:pt idx="69">
                  <c:v>1.9383539879250081E-2</c:v>
                </c:pt>
                <c:pt idx="70">
                  <c:v>7.6371571072319198E-3</c:v>
                </c:pt>
                <c:pt idx="71">
                  <c:v>-9.2807424593967514E-3</c:v>
                </c:pt>
                <c:pt idx="72">
                  <c:v>1.9359875097580016E-2</c:v>
                </c:pt>
                <c:pt idx="73">
                  <c:v>-7.8572522591514773E-2</c:v>
                </c:pt>
                <c:pt idx="74">
                  <c:v>-4.6542553191489359E-3</c:v>
                </c:pt>
                <c:pt idx="75">
                  <c:v>2.7221108884435536E-2</c:v>
                </c:pt>
                <c:pt idx="76">
                  <c:v>-5.4950414566737119E-2</c:v>
                </c:pt>
                <c:pt idx="77">
                  <c:v>3.7674178565284704E-2</c:v>
                </c:pt>
                <c:pt idx="78">
                  <c:v>2.9177718832891247E-2</c:v>
                </c:pt>
                <c:pt idx="79">
                  <c:v>2.7384020618556701E-2</c:v>
                </c:pt>
                <c:pt idx="80">
                  <c:v>2.5870178739416744E-2</c:v>
                </c:pt>
                <c:pt idx="81">
                  <c:v>1.3907993275255999E-2</c:v>
                </c:pt>
                <c:pt idx="82">
                  <c:v>-6.7832378655411519E-3</c:v>
                </c:pt>
                <c:pt idx="83">
                  <c:v>-5.5091819699499167E-2</c:v>
                </c:pt>
                <c:pt idx="84">
                  <c:v>9.958239640218438E-3</c:v>
                </c:pt>
                <c:pt idx="85">
                  <c:v>1.494910941475827E-2</c:v>
                </c:pt>
                <c:pt idx="86">
                  <c:v>-6.6593544343465996E-2</c:v>
                </c:pt>
                <c:pt idx="87">
                  <c:v>-9.5685747859660907E-3</c:v>
                </c:pt>
                <c:pt idx="88">
                  <c:v>-3.5084745762711866E-2</c:v>
                </c:pt>
                <c:pt idx="89">
                  <c:v>-3.2320393465659583E-2</c:v>
                </c:pt>
                <c:pt idx="90">
                  <c:v>9.6206208023234714E-3</c:v>
                </c:pt>
                <c:pt idx="91">
                  <c:v>1.2944983818770227E-2</c:v>
                </c:pt>
                <c:pt idx="92">
                  <c:v>6.0347887823926161E-3</c:v>
                </c:pt>
                <c:pt idx="93">
                  <c:v>6.1750176429075515E-3</c:v>
                </c:pt>
                <c:pt idx="94">
                  <c:v>-2.7178677888830442E-2</c:v>
                </c:pt>
                <c:pt idx="95">
                  <c:v>3.8752703677000719E-2</c:v>
                </c:pt>
                <c:pt idx="96">
                  <c:v>4.8585806003817456E-3</c:v>
                </c:pt>
                <c:pt idx="97">
                  <c:v>-2.2621308927646348E-2</c:v>
                </c:pt>
                <c:pt idx="98">
                  <c:v>5.3356890459363961E-2</c:v>
                </c:pt>
                <c:pt idx="99">
                  <c:v>-9.6444146259644412E-2</c:v>
                </c:pt>
                <c:pt idx="100">
                  <c:v>3.1743085205123443E-2</c:v>
                </c:pt>
                <c:pt idx="101">
                  <c:v>2.5188916876574308E-2</c:v>
                </c:pt>
                <c:pt idx="102">
                  <c:v>-1.5970515970515971E-2</c:v>
                </c:pt>
                <c:pt idx="103">
                  <c:v>6.1708578562511149E-2</c:v>
                </c:pt>
                <c:pt idx="104">
                  <c:v>-0.10381320342684361</c:v>
                </c:pt>
                <c:pt idx="105">
                  <c:v>1.5370196813495782E-2</c:v>
                </c:pt>
                <c:pt idx="106">
                  <c:v>-4.5043381945726414E-2</c:v>
                </c:pt>
                <c:pt idx="107">
                  <c:v>2.0297699594046009E-2</c:v>
                </c:pt>
                <c:pt idx="108">
                  <c:v>3.997726411519515E-2</c:v>
                </c:pt>
                <c:pt idx="109">
                  <c:v>-3.916924758608125E-2</c:v>
                </c:pt>
                <c:pt idx="110">
                  <c:v>6.3898369359120216E-2</c:v>
                </c:pt>
                <c:pt idx="111">
                  <c:v>-4.8297986098734626E-2</c:v>
                </c:pt>
                <c:pt idx="112">
                  <c:v>1.6853932584269662E-2</c:v>
                </c:pt>
                <c:pt idx="113">
                  <c:v>6.2430939226519336E-2</c:v>
                </c:pt>
                <c:pt idx="114">
                  <c:v>1.6120644825793031E-2</c:v>
                </c:pt>
                <c:pt idx="115">
                  <c:v>1.8935516888433982E-2</c:v>
                </c:pt>
                <c:pt idx="116">
                  <c:v>1.3393604553825547E-3</c:v>
                </c:pt>
                <c:pt idx="117">
                  <c:v>-2.7921752215348605E-2</c:v>
                </c:pt>
                <c:pt idx="118">
                  <c:v>-1.565187478500172E-2</c:v>
                </c:pt>
                <c:pt idx="119">
                  <c:v>6.1506203040363444E-2</c:v>
                </c:pt>
                <c:pt idx="120">
                  <c:v>5.5967078189300412E-3</c:v>
                </c:pt>
                <c:pt idx="121">
                  <c:v>-7.2024881322638725E-3</c:v>
                </c:pt>
                <c:pt idx="122">
                  <c:v>2.4896949711459192E-2</c:v>
                </c:pt>
                <c:pt idx="123">
                  <c:v>-3.2979407979407981E-2</c:v>
                </c:pt>
                <c:pt idx="124">
                  <c:v>-1.2643486940608883E-2</c:v>
                </c:pt>
                <c:pt idx="125">
                  <c:v>-1.5838247683235045E-2</c:v>
                </c:pt>
                <c:pt idx="126">
                  <c:v>5.4100325286765963E-2</c:v>
                </c:pt>
                <c:pt idx="127">
                  <c:v>1.5267175572519083E-2</c:v>
                </c:pt>
                <c:pt idx="128">
                  <c:v>5.3111502159654454E-2</c:v>
                </c:pt>
                <c:pt idx="129">
                  <c:v>3.5849916451465895E-2</c:v>
                </c:pt>
                <c:pt idx="130">
                  <c:v>-5.499340079190497E-2</c:v>
                </c:pt>
                <c:pt idx="131">
                  <c:v>4.2054624456859091E-2</c:v>
                </c:pt>
                <c:pt idx="132">
                  <c:v>-1.6530156366344004E-2</c:v>
                </c:pt>
                <c:pt idx="133">
                  <c:v>-1.3628104179285281E-2</c:v>
                </c:pt>
                <c:pt idx="134">
                  <c:v>-1.1513662879950875E-2</c:v>
                </c:pt>
                <c:pt idx="135">
                  <c:v>-5.0784283273800281E-2</c:v>
                </c:pt>
                <c:pt idx="136">
                  <c:v>1.5379581151832461E-2</c:v>
                </c:pt>
                <c:pt idx="137">
                  <c:v>-7.0899129874315179E-3</c:v>
                </c:pt>
                <c:pt idx="138">
                  <c:v>1.3145082765335931E-2</c:v>
                </c:pt>
                <c:pt idx="139">
                  <c:v>4.324843825084094E-3</c:v>
                </c:pt>
                <c:pt idx="140">
                  <c:v>6.0606060606060608E-2</c:v>
                </c:pt>
                <c:pt idx="141">
                  <c:v>-1.5037593984962407E-3</c:v>
                </c:pt>
                <c:pt idx="142">
                  <c:v>3.0421686746987951E-2</c:v>
                </c:pt>
                <c:pt idx="143">
                  <c:v>-4.2385267465653315E-3</c:v>
                </c:pt>
                <c:pt idx="144">
                  <c:v>-9.2763833847057095E-2</c:v>
                </c:pt>
                <c:pt idx="145">
                  <c:v>2.6856495712667853E-2</c:v>
                </c:pt>
                <c:pt idx="146">
                  <c:v>-2.7256971797699699E-2</c:v>
                </c:pt>
                <c:pt idx="147">
                  <c:v>-3.5633300939423387E-3</c:v>
                </c:pt>
                <c:pt idx="148">
                  <c:v>4.2587776332899868E-2</c:v>
                </c:pt>
                <c:pt idx="149">
                  <c:v>-7.0159027128157154E-3</c:v>
                </c:pt>
                <c:pt idx="150">
                  <c:v>-3.3914272256241169E-2</c:v>
                </c:pt>
                <c:pt idx="151">
                  <c:v>-2.4053307329757842E-2</c:v>
                </c:pt>
                <c:pt idx="152">
                  <c:v>1.5820149875104082E-2</c:v>
                </c:pt>
                <c:pt idx="153">
                  <c:v>-9.8360655737704927E-3</c:v>
                </c:pt>
                <c:pt idx="154">
                  <c:v>3.8741721854304634E-2</c:v>
                </c:pt>
                <c:pt idx="155">
                  <c:v>4.5106789926681545E-2</c:v>
                </c:pt>
                <c:pt idx="156">
                  <c:v>-2.4401403080677141E-2</c:v>
                </c:pt>
                <c:pt idx="157">
                  <c:v>4.8460215726121624E-3</c:v>
                </c:pt>
                <c:pt idx="158">
                  <c:v>-2.7380211574362167E-2</c:v>
                </c:pt>
                <c:pt idx="159">
                  <c:v>6.3979526551503517E-4</c:v>
                </c:pt>
                <c:pt idx="160">
                  <c:v>-3.117007672634271E-2</c:v>
                </c:pt>
                <c:pt idx="161">
                  <c:v>4.4877082989605674E-2</c:v>
                </c:pt>
                <c:pt idx="162">
                  <c:v>1.4211274277593558E-3</c:v>
                </c:pt>
                <c:pt idx="163">
                  <c:v>1.0406811731315043E-2</c:v>
                </c:pt>
                <c:pt idx="164">
                  <c:v>-4.8377028714107363E-3</c:v>
                </c:pt>
                <c:pt idx="165">
                  <c:v>-4.7044064607182058E-4</c:v>
                </c:pt>
                <c:pt idx="166">
                  <c:v>3.35738939441481E-2</c:v>
                </c:pt>
                <c:pt idx="167">
                  <c:v>-9.8664238008500296E-3</c:v>
                </c:pt>
                <c:pt idx="168">
                  <c:v>8.5083550513567377E-2</c:v>
                </c:pt>
                <c:pt idx="169">
                  <c:v>-3.0940943769426393E-2</c:v>
                </c:pt>
                <c:pt idx="170">
                  <c:v>2.0702726344948245E-2</c:v>
                </c:pt>
                <c:pt idx="171">
                  <c:v>-6.5704899300099984E-3</c:v>
                </c:pt>
                <c:pt idx="172">
                  <c:v>-3.8820992092020126E-2</c:v>
                </c:pt>
                <c:pt idx="173">
                  <c:v>-2.5729244577412116E-2</c:v>
                </c:pt>
                <c:pt idx="174">
                  <c:v>1.3972055888223553E-2</c:v>
                </c:pt>
                <c:pt idx="175">
                  <c:v>4.3458509993943066E-2</c:v>
                </c:pt>
                <c:pt idx="176">
                  <c:v>2.9023363807865332E-4</c:v>
                </c:pt>
                <c:pt idx="177">
                  <c:v>1.1315827651240389E-2</c:v>
                </c:pt>
                <c:pt idx="178">
                  <c:v>-2.5534356620284034E-2</c:v>
                </c:pt>
                <c:pt idx="179">
                  <c:v>1.7076402178713382E-2</c:v>
                </c:pt>
                <c:pt idx="180">
                  <c:v>-4.1540020263424522E-2</c:v>
                </c:pt>
                <c:pt idx="181">
                  <c:v>9.3627302929628516E-3</c:v>
                </c:pt>
                <c:pt idx="182">
                  <c:v>5.6852184320766008E-3</c:v>
                </c:pt>
                <c:pt idx="183">
                  <c:v>-7.2448675989288905E-2</c:v>
                </c:pt>
                <c:pt idx="184">
                  <c:v>1.8604651162790697E-2</c:v>
                </c:pt>
                <c:pt idx="185">
                  <c:v>5.2275232246890256E-2</c:v>
                </c:pt>
                <c:pt idx="186">
                  <c:v>-1.3167739039353584E-2</c:v>
                </c:pt>
                <c:pt idx="187">
                  <c:v>-3.4874905231235785E-3</c:v>
                </c:pt>
                <c:pt idx="188">
                  <c:v>1.8867924528301886E-2</c:v>
                </c:pt>
                <c:pt idx="189">
                  <c:v>-4.7491039426523295E-2</c:v>
                </c:pt>
                <c:pt idx="190">
                  <c:v>-6.4283474443399182E-3</c:v>
                </c:pt>
                <c:pt idx="191">
                  <c:v>2.2723686286886539E-2</c:v>
                </c:pt>
                <c:pt idx="192">
                  <c:v>4.0271563030396543E-2</c:v>
                </c:pt>
                <c:pt idx="193">
                  <c:v>7.8611687926431334E-3</c:v>
                </c:pt>
                <c:pt idx="194">
                  <c:v>3.3701250919793965E-2</c:v>
                </c:pt>
                <c:pt idx="195">
                  <c:v>-3.972095671981777E-2</c:v>
                </c:pt>
                <c:pt idx="196">
                  <c:v>1.586360266864344E-2</c:v>
                </c:pt>
                <c:pt idx="197">
                  <c:v>-4.3782837127845885E-4</c:v>
                </c:pt>
                <c:pt idx="198">
                  <c:v>-5.6942619360490582E-2</c:v>
                </c:pt>
                <c:pt idx="199">
                  <c:v>8.1281932187645151E-2</c:v>
                </c:pt>
                <c:pt idx="200">
                  <c:v>-2.4914089347079039E-2</c:v>
                </c:pt>
                <c:pt idx="201">
                  <c:v>4.405286343612335E-4</c:v>
                </c:pt>
                <c:pt idx="202">
                  <c:v>3.9630118890356669E-3</c:v>
                </c:pt>
                <c:pt idx="203">
                  <c:v>-3.6257309941520467E-2</c:v>
                </c:pt>
                <c:pt idx="204">
                  <c:v>-2.4575242718446601E-2</c:v>
                </c:pt>
                <c:pt idx="205">
                  <c:v>-2.3328149300155521E-2</c:v>
                </c:pt>
                <c:pt idx="206">
                  <c:v>-4.2993630573248407E-3</c:v>
                </c:pt>
                <c:pt idx="207">
                  <c:v>-3.5183112106189032E-2</c:v>
                </c:pt>
                <c:pt idx="208">
                  <c:v>1.9393336648433616E-2</c:v>
                </c:pt>
                <c:pt idx="209">
                  <c:v>-2.4390243902439024E-3</c:v>
                </c:pt>
                <c:pt idx="210">
                  <c:v>3.3088834555827222E-2</c:v>
                </c:pt>
                <c:pt idx="211">
                  <c:v>2.9977911012937833E-3</c:v>
                </c:pt>
                <c:pt idx="212">
                  <c:v>-3.8225578102878716E-2</c:v>
                </c:pt>
                <c:pt idx="213">
                  <c:v>-1.144913313706248E-2</c:v>
                </c:pt>
                <c:pt idx="214">
                  <c:v>4.8312375909993384E-2</c:v>
                </c:pt>
                <c:pt idx="215">
                  <c:v>-1.2152777777777778E-2</c:v>
                </c:pt>
                <c:pt idx="216">
                  <c:v>2.5403419076529796E-2</c:v>
                </c:pt>
                <c:pt idx="217">
                  <c:v>4.6120286693674045E-2</c:v>
                </c:pt>
                <c:pt idx="218">
                  <c:v>-4.1108132260947276E-2</c:v>
                </c:pt>
                <c:pt idx="219">
                  <c:v>8.2323703013358188E-2</c:v>
                </c:pt>
                <c:pt idx="220">
                  <c:v>2.0522388059701493E-2</c:v>
                </c:pt>
                <c:pt idx="221">
                  <c:v>2.7281676276191817E-2</c:v>
                </c:pt>
                <c:pt idx="222">
                  <c:v>2.9158110882956879E-2</c:v>
                </c:pt>
                <c:pt idx="223">
                  <c:v>-3.7776004256451182E-2</c:v>
                </c:pt>
                <c:pt idx="224">
                  <c:v>-2.1841304948852641E-2</c:v>
                </c:pt>
                <c:pt idx="225">
                  <c:v>-9.6099491237987555E-3</c:v>
                </c:pt>
                <c:pt idx="226">
                  <c:v>-7.7054794520547941E-3</c:v>
                </c:pt>
                <c:pt idx="227">
                  <c:v>8.1392004601668108E-2</c:v>
                </c:pt>
                <c:pt idx="228">
                  <c:v>4.49468085106383E-2</c:v>
                </c:pt>
                <c:pt idx="229">
                  <c:v>-8.1445660473402903E-3</c:v>
                </c:pt>
                <c:pt idx="230">
                  <c:v>2.3864511162432642E-2</c:v>
                </c:pt>
                <c:pt idx="231">
                  <c:v>-1.0651629072681704E-2</c:v>
                </c:pt>
                <c:pt idx="232">
                  <c:v>-2.6725775807473085E-2</c:v>
                </c:pt>
                <c:pt idx="233">
                  <c:v>3.357626236335242E-2</c:v>
                </c:pt>
                <c:pt idx="234">
                  <c:v>-4.5706371191135735E-2</c:v>
                </c:pt>
                <c:pt idx="235">
                  <c:v>-9.7638210845758019E-3</c:v>
                </c:pt>
                <c:pt idx="236">
                  <c:v>1.2258494337108594E-2</c:v>
                </c:pt>
                <c:pt idx="237">
                  <c:v>-3.8436224825589047E-2</c:v>
                </c:pt>
                <c:pt idx="238">
                  <c:v>7.2416153319644086E-2</c:v>
                </c:pt>
                <c:pt idx="239">
                  <c:v>-3.612458514169007E-2</c:v>
                </c:pt>
                <c:pt idx="240">
                  <c:v>2.8605482717520857E-2</c:v>
                </c:pt>
                <c:pt idx="241">
                  <c:v>-7.7249903437620702E-3</c:v>
                </c:pt>
                <c:pt idx="242">
                  <c:v>-1.5700012975217333E-2</c:v>
                </c:pt>
                <c:pt idx="243">
                  <c:v>2.7682573161086211E-3</c:v>
                </c:pt>
                <c:pt idx="244">
                  <c:v>-4.7850663862232155E-2</c:v>
                </c:pt>
                <c:pt idx="245">
                  <c:v>9.5264393207234576E-3</c:v>
                </c:pt>
                <c:pt idx="246">
                  <c:v>-3.9934354485776806E-2</c:v>
                </c:pt>
                <c:pt idx="247">
                  <c:v>-2.2934472934472934E-2</c:v>
                </c:pt>
                <c:pt idx="248">
                  <c:v>2.3327015599941683E-2</c:v>
                </c:pt>
                <c:pt idx="249">
                  <c:v>1.3534691551503063E-2</c:v>
                </c:pt>
                <c:pt idx="250">
                  <c:v>9.4180489176272138E-3</c:v>
                </c:pt>
                <c:pt idx="251">
                  <c:v>-1.1836791533212645E-2</c:v>
                </c:pt>
                <c:pt idx="252">
                  <c:v>-2.0152198421645999E-2</c:v>
                </c:pt>
                <c:pt idx="253">
                  <c:v>-6.328203653099382E-3</c:v>
                </c:pt>
                <c:pt idx="254">
                  <c:v>-2.1421334491243307E-2</c:v>
                </c:pt>
                <c:pt idx="255">
                  <c:v>4.0970270670019231E-2</c:v>
                </c:pt>
                <c:pt idx="256">
                  <c:v>3.8363171355498722E-3</c:v>
                </c:pt>
                <c:pt idx="257">
                  <c:v>-2.7600849256900213E-2</c:v>
                </c:pt>
                <c:pt idx="258">
                  <c:v>-1.7467248908296944E-3</c:v>
                </c:pt>
                <c:pt idx="259">
                  <c:v>-3.1641878098571011E-2</c:v>
                </c:pt>
                <c:pt idx="260">
                  <c:v>-5.0444210209305826E-2</c:v>
                </c:pt>
                <c:pt idx="261">
                  <c:v>5.7881382810022204E-2</c:v>
                </c:pt>
                <c:pt idx="262">
                  <c:v>-1.1992205066706642E-3</c:v>
                </c:pt>
                <c:pt idx="263">
                  <c:v>-2.5664115263394866E-2</c:v>
                </c:pt>
                <c:pt idx="264">
                  <c:v>1.18607516943931E-2</c:v>
                </c:pt>
                <c:pt idx="265">
                  <c:v>4.87136550464302E-3</c:v>
                </c:pt>
                <c:pt idx="266">
                  <c:v>7.8775943038933496E-3</c:v>
                </c:pt>
                <c:pt idx="267">
                  <c:v>1.1423418006914174E-2</c:v>
                </c:pt>
                <c:pt idx="268">
                  <c:v>7.5494129885569916E-2</c:v>
                </c:pt>
                <c:pt idx="269">
                  <c:v>-4.5046289899129476E-2</c:v>
                </c:pt>
                <c:pt idx="270">
                  <c:v>-1.837650122992331E-2</c:v>
                </c:pt>
                <c:pt idx="271">
                  <c:v>7.783018867924528E-2</c:v>
                </c:pt>
                <c:pt idx="272">
                  <c:v>1.3676148796498905E-4</c:v>
                </c:pt>
                <c:pt idx="273">
                  <c:v>-3.1587583754956926E-2</c:v>
                </c:pt>
                <c:pt idx="274">
                  <c:v>5.3657158994634281E-2</c:v>
                </c:pt>
                <c:pt idx="275">
                  <c:v>-2.0235861699276332E-2</c:v>
                </c:pt>
                <c:pt idx="276">
                  <c:v>-4.3359321570236628E-2</c:v>
                </c:pt>
                <c:pt idx="277">
                  <c:v>5.7906777237632254E-2</c:v>
                </c:pt>
                <c:pt idx="278">
                  <c:v>-2.2705771050141911E-2</c:v>
                </c:pt>
                <c:pt idx="279">
                  <c:v>6.0157654542940121E-2</c:v>
                </c:pt>
                <c:pt idx="280">
                  <c:v>-1.2001043569006E-2</c:v>
                </c:pt>
                <c:pt idx="281">
                  <c:v>1.7428043306047004E-2</c:v>
                </c:pt>
                <c:pt idx="282">
                  <c:v>-1.8816506618219569E-2</c:v>
                </c:pt>
                <c:pt idx="283">
                  <c:v>-4.8009522549927255E-2</c:v>
                </c:pt>
                <c:pt idx="284">
                  <c:v>7.9188663517643781E-3</c:v>
                </c:pt>
                <c:pt idx="285">
                  <c:v>-1.9159200551343902E-2</c:v>
                </c:pt>
                <c:pt idx="286">
                  <c:v>3.4569983136593589E-2</c:v>
                </c:pt>
                <c:pt idx="287">
                  <c:v>2.0239065471339308E-2</c:v>
                </c:pt>
                <c:pt idx="288">
                  <c:v>3.4882172813207296E-2</c:v>
                </c:pt>
                <c:pt idx="289">
                  <c:v>3.8595137012736397E-4</c:v>
                </c:pt>
                <c:pt idx="290">
                  <c:v>-2.9449588477366256E-2</c:v>
                </c:pt>
                <c:pt idx="291">
                  <c:v>2.6500596263415925E-3</c:v>
                </c:pt>
                <c:pt idx="292">
                  <c:v>1.4801110083256245E-2</c:v>
                </c:pt>
                <c:pt idx="293">
                  <c:v>-6.7717150670660239E-3</c:v>
                </c:pt>
                <c:pt idx="294">
                  <c:v>3.3564966566146583E-2</c:v>
                </c:pt>
                <c:pt idx="295">
                  <c:v>-7.7254852213624256E-2</c:v>
                </c:pt>
                <c:pt idx="296">
                  <c:v>-2.7770140225460545E-2</c:v>
                </c:pt>
                <c:pt idx="297">
                  <c:v>1.3150452488687783E-2</c:v>
                </c:pt>
                <c:pt idx="298">
                  <c:v>-1.9539427773900907E-2</c:v>
                </c:pt>
                <c:pt idx="299">
                  <c:v>1.4234875444839857E-2</c:v>
                </c:pt>
                <c:pt idx="300">
                  <c:v>9.8245614035087723E-3</c:v>
                </c:pt>
                <c:pt idx="301">
                  <c:v>1.7095205003474636E-2</c:v>
                </c:pt>
                <c:pt idx="302">
                  <c:v>1.9540858157966658E-2</c:v>
                </c:pt>
                <c:pt idx="303">
                  <c:v>2.1846937407854174E-2</c:v>
                </c:pt>
                <c:pt idx="304">
                  <c:v>1.2198321091290661E-2</c:v>
                </c:pt>
                <c:pt idx="305">
                  <c:v>-3.4598937410910975E-2</c:v>
                </c:pt>
                <c:pt idx="306">
                  <c:v>-4.5906040268456377E-2</c:v>
                </c:pt>
                <c:pt idx="307">
                  <c:v>-7.7377602701181767E-3</c:v>
                </c:pt>
                <c:pt idx="308">
                  <c:v>-4.0408336877924285E-2</c:v>
                </c:pt>
                <c:pt idx="309">
                  <c:v>1.8912529550827423E-2</c:v>
                </c:pt>
                <c:pt idx="310">
                  <c:v>3.7993039443155449E-2</c:v>
                </c:pt>
                <c:pt idx="311">
                  <c:v>-8.3822296730930428E-4</c:v>
                </c:pt>
                <c:pt idx="312">
                  <c:v>2.6565995525727071E-3</c:v>
                </c:pt>
                <c:pt idx="313">
                  <c:v>-3.7512201924417794E-2</c:v>
                </c:pt>
                <c:pt idx="314">
                  <c:v>9.5624456679223417E-3</c:v>
                </c:pt>
                <c:pt idx="315">
                  <c:v>-5.0086107921928816E-2</c:v>
                </c:pt>
                <c:pt idx="316">
                  <c:v>-2.9007402930956338E-2</c:v>
                </c:pt>
                <c:pt idx="317">
                  <c:v>2.1783102536175509E-2</c:v>
                </c:pt>
                <c:pt idx="318">
                  <c:v>-2.2080097456981879E-2</c:v>
                </c:pt>
                <c:pt idx="319">
                  <c:v>4.1108688881968232E-2</c:v>
                </c:pt>
                <c:pt idx="320">
                  <c:v>4.3374214777146279E-2</c:v>
                </c:pt>
                <c:pt idx="321">
                  <c:v>1.3331422018348624E-2</c:v>
                </c:pt>
                <c:pt idx="322">
                  <c:v>2.1643796859527515E-2</c:v>
                </c:pt>
                <c:pt idx="323">
                  <c:v>2.2016062032677929E-2</c:v>
                </c:pt>
                <c:pt idx="324">
                  <c:v>1.5445061644763582E-2</c:v>
                </c:pt>
                <c:pt idx="325">
                  <c:v>-4.6697798532354907E-3</c:v>
                </c:pt>
                <c:pt idx="326">
                  <c:v>3.4986595174262732E-2</c:v>
                </c:pt>
                <c:pt idx="327">
                  <c:v>1.0749902862323532E-2</c:v>
                </c:pt>
                <c:pt idx="328">
                  <c:v>-3.1522296258329065E-2</c:v>
                </c:pt>
                <c:pt idx="329">
                  <c:v>2.9505160095263296E-2</c:v>
                </c:pt>
                <c:pt idx="330">
                  <c:v>-3.3928800925330932E-2</c:v>
                </c:pt>
                <c:pt idx="331">
                  <c:v>3.6982838898496739E-2</c:v>
                </c:pt>
                <c:pt idx="332">
                  <c:v>2.3220012828736369E-2</c:v>
                </c:pt>
                <c:pt idx="333">
                  <c:v>7.7733199598796392E-3</c:v>
                </c:pt>
                <c:pt idx="334">
                  <c:v>1.0450360786265241E-2</c:v>
                </c:pt>
                <c:pt idx="335">
                  <c:v>-3.2996798818025114E-2</c:v>
                </c:pt>
                <c:pt idx="336">
                  <c:v>8.9126559714795012E-3</c:v>
                </c:pt>
                <c:pt idx="337">
                  <c:v>-2.1453811206461382E-2</c:v>
                </c:pt>
                <c:pt idx="338">
                  <c:v>9.0275986587567709E-3</c:v>
                </c:pt>
                <c:pt idx="339">
                  <c:v>1.4187116564417178E-2</c:v>
                </c:pt>
                <c:pt idx="340">
                  <c:v>3.7555135475740388E-2</c:v>
                </c:pt>
                <c:pt idx="341">
                  <c:v>8.6238309243289197E-3</c:v>
                </c:pt>
                <c:pt idx="342">
                  <c:v>-2.5289017341040464E-2</c:v>
                </c:pt>
                <c:pt idx="343">
                  <c:v>-1.4825796886582653E-2</c:v>
                </c:pt>
                <c:pt idx="344">
                  <c:v>-3.9503386004514675E-2</c:v>
                </c:pt>
                <c:pt idx="345">
                  <c:v>-1.579840710275493E-2</c:v>
                </c:pt>
                <c:pt idx="346">
                  <c:v>-3.3961262934465372E-2</c:v>
                </c:pt>
                <c:pt idx="347">
                  <c:v>2.1010711343037627E-2</c:v>
                </c:pt>
                <c:pt idx="348">
                  <c:v>-4.84196368527236E-3</c:v>
                </c:pt>
                <c:pt idx="349">
                  <c:v>4.230301392080011E-2</c:v>
                </c:pt>
                <c:pt idx="350">
                  <c:v>7.0928423236514521E-2</c:v>
                </c:pt>
                <c:pt idx="351">
                  <c:v>-3.9229930984380677E-2</c:v>
                </c:pt>
                <c:pt idx="352">
                  <c:v>2.6086956521739129E-2</c:v>
                </c:pt>
                <c:pt idx="353">
                  <c:v>-5.4777695897813804E-2</c:v>
                </c:pt>
                <c:pt idx="354">
                  <c:v>-4.2879417879417882E-2</c:v>
                </c:pt>
                <c:pt idx="355">
                  <c:v>-2.4979636166168884E-2</c:v>
                </c:pt>
                <c:pt idx="356">
                  <c:v>2.7847396268448898E-4</c:v>
                </c:pt>
                <c:pt idx="357">
                  <c:v>3.1180400890868598E-2</c:v>
                </c:pt>
                <c:pt idx="358">
                  <c:v>0</c:v>
                </c:pt>
                <c:pt idx="359">
                  <c:v>5.3590712742980565E-2</c:v>
                </c:pt>
                <c:pt idx="360">
                  <c:v>-7.9180012812299805E-2</c:v>
                </c:pt>
                <c:pt idx="361">
                  <c:v>-1.5722832892722971E-2</c:v>
                </c:pt>
                <c:pt idx="362">
                  <c:v>9.4713033644331351E-3</c:v>
                </c:pt>
                <c:pt idx="363">
                  <c:v>1.4563786584511972E-2</c:v>
                </c:pt>
                <c:pt idx="364">
                  <c:v>3.7681159420289857E-2</c:v>
                </c:pt>
                <c:pt idx="365">
                  <c:v>3.0593242883745677E-2</c:v>
                </c:pt>
                <c:pt idx="366">
                  <c:v>-1.6520392359318535E-2</c:v>
                </c:pt>
                <c:pt idx="367">
                  <c:v>-2.4409448818897637E-2</c:v>
                </c:pt>
                <c:pt idx="368">
                  <c:v>7.3984396018294324E-3</c:v>
                </c:pt>
                <c:pt idx="369">
                  <c:v>-1.9228201361997595E-2</c:v>
                </c:pt>
                <c:pt idx="370">
                  <c:v>2.8863172226004083E-2</c:v>
                </c:pt>
                <c:pt idx="371">
                  <c:v>-8.8659520973931455E-3</c:v>
                </c:pt>
                <c:pt idx="372">
                  <c:v>1.8024032042723633E-2</c:v>
                </c:pt>
                <c:pt idx="373">
                  <c:v>8.6557377049180321E-3</c:v>
                </c:pt>
                <c:pt idx="374">
                  <c:v>9.1015472630347162E-4</c:v>
                </c:pt>
                <c:pt idx="375">
                  <c:v>4.1699142634450508E-2</c:v>
                </c:pt>
                <c:pt idx="376">
                  <c:v>-4.9881531363012849E-4</c:v>
                </c:pt>
                <c:pt idx="377">
                  <c:v>6.1135371179039302E-3</c:v>
                </c:pt>
                <c:pt idx="378">
                  <c:v>4.96031746031746E-4</c:v>
                </c:pt>
                <c:pt idx="379">
                  <c:v>-2.8383738225086764E-2</c:v>
                </c:pt>
                <c:pt idx="380">
                  <c:v>1.0715652506697282E-2</c:v>
                </c:pt>
                <c:pt idx="381">
                  <c:v>2.0194370819134168E-3</c:v>
                </c:pt>
                <c:pt idx="382">
                  <c:v>3.4765083763698197E-2</c:v>
                </c:pt>
                <c:pt idx="383">
                  <c:v>6.2690200852099823E-2</c:v>
                </c:pt>
                <c:pt idx="384">
                  <c:v>-2.7835051546391754E-2</c:v>
                </c:pt>
                <c:pt idx="385">
                  <c:v>-5.0665724048544834E-3</c:v>
                </c:pt>
                <c:pt idx="386">
                  <c:v>-9.4741828517290391E-3</c:v>
                </c:pt>
                <c:pt idx="387">
                  <c:v>-5.6312769010043041E-2</c:v>
                </c:pt>
                <c:pt idx="388">
                  <c:v>3.6741416444951221E-2</c:v>
                </c:pt>
                <c:pt idx="389">
                  <c:v>5.2547965293901992E-3</c:v>
                </c:pt>
                <c:pt idx="390">
                  <c:v>-2.9054218332117677E-2</c:v>
                </c:pt>
                <c:pt idx="391">
                  <c:v>3.7561036684612498E-2</c:v>
                </c:pt>
                <c:pt idx="392">
                  <c:v>1.3635815132134669E-2</c:v>
                </c:pt>
                <c:pt idx="393">
                  <c:v>2.8571428571428571E-3</c:v>
                </c:pt>
                <c:pt idx="394">
                  <c:v>1.436372269705603E-2</c:v>
                </c:pt>
                <c:pt idx="395">
                  <c:v>-3.452311293153891E-2</c:v>
                </c:pt>
                <c:pt idx="396">
                  <c:v>1.4666666666666666E-2</c:v>
                </c:pt>
                <c:pt idx="397">
                  <c:v>5.8535419902042765E-3</c:v>
                </c:pt>
                <c:pt idx="398">
                  <c:v>1.7458432304038006E-2</c:v>
                </c:pt>
                <c:pt idx="399">
                  <c:v>5.6028948289949809E-2</c:v>
                </c:pt>
                <c:pt idx="400">
                  <c:v>-3.0175748867027744E-2</c:v>
                </c:pt>
                <c:pt idx="401">
                  <c:v>-1.5500341919307043E-2</c:v>
                </c:pt>
                <c:pt idx="402">
                  <c:v>-3.0562630238481131E-2</c:v>
                </c:pt>
                <c:pt idx="403">
                  <c:v>-4.8722235490804872E-2</c:v>
                </c:pt>
                <c:pt idx="404">
                  <c:v>-2.1717298518704495E-2</c:v>
                </c:pt>
                <c:pt idx="405">
                  <c:v>4.6836904914667007E-2</c:v>
                </c:pt>
                <c:pt idx="406">
                  <c:v>-7.3547438097572933E-4</c:v>
                </c:pt>
                <c:pt idx="407">
                  <c:v>1.2144259077526988E-2</c:v>
                </c:pt>
                <c:pt idx="408">
                  <c:v>1.4422494243122046E-2</c:v>
                </c:pt>
                <c:pt idx="409">
                  <c:v>-6.9653524492234165E-2</c:v>
                </c:pt>
                <c:pt idx="410">
                  <c:v>1.8107101579555671E-2</c:v>
                </c:pt>
                <c:pt idx="411">
                  <c:v>-4.4273461150353181E-2</c:v>
                </c:pt>
                <c:pt idx="412">
                  <c:v>-2.5207865909990763E-2</c:v>
                </c:pt>
                <c:pt idx="413">
                  <c:v>5.388572975900352E-2</c:v>
                </c:pt>
                <c:pt idx="414">
                  <c:v>2.5179856115107913E-2</c:v>
                </c:pt>
                <c:pt idx="415">
                  <c:v>3.5338345864661655E-2</c:v>
                </c:pt>
                <c:pt idx="416">
                  <c:v>6.2938755749213267E-3</c:v>
                </c:pt>
                <c:pt idx="417">
                  <c:v>-1.2388741881164301E-2</c:v>
                </c:pt>
                <c:pt idx="418">
                  <c:v>-2.1800024357569114E-2</c:v>
                </c:pt>
                <c:pt idx="419">
                  <c:v>-4.7808764940239043E-2</c:v>
                </c:pt>
                <c:pt idx="420">
                  <c:v>-9.021966527196652E-3</c:v>
                </c:pt>
                <c:pt idx="421">
                  <c:v>-1.9659585697321548E-2</c:v>
                </c:pt>
                <c:pt idx="422">
                  <c:v>-1.8842530282637954E-2</c:v>
                </c:pt>
                <c:pt idx="423">
                  <c:v>5.4732510288065847E-2</c:v>
                </c:pt>
                <c:pt idx="424">
                  <c:v>6.6458577188190926E-2</c:v>
                </c:pt>
                <c:pt idx="425">
                  <c:v>1.1951219512195122E-2</c:v>
                </c:pt>
                <c:pt idx="426">
                  <c:v>2.0004820438659917E-2</c:v>
                </c:pt>
                <c:pt idx="427">
                  <c:v>5.8719281663516067E-2</c:v>
                </c:pt>
                <c:pt idx="428">
                  <c:v>-3.4371163932596809E-2</c:v>
                </c:pt>
                <c:pt idx="429">
                  <c:v>5.5472090604414652E-3</c:v>
                </c:pt>
                <c:pt idx="430">
                  <c:v>7.7002643374324787E-3</c:v>
                </c:pt>
                <c:pt idx="431">
                  <c:v>-4.7445255474452552E-2</c:v>
                </c:pt>
                <c:pt idx="432">
                  <c:v>-5.9865900383141758E-4</c:v>
                </c:pt>
                <c:pt idx="433">
                  <c:v>1.2699173355696657E-2</c:v>
                </c:pt>
                <c:pt idx="434">
                  <c:v>3.5372057257778304E-2</c:v>
                </c:pt>
                <c:pt idx="435">
                  <c:v>1.0626142595978062E-2</c:v>
                </c:pt>
                <c:pt idx="436">
                  <c:v>6.5573770491803279E-3</c:v>
                </c:pt>
                <c:pt idx="437">
                  <c:v>3.5942940581826351E-2</c:v>
                </c:pt>
                <c:pt idx="438">
                  <c:v>-5.6922910116014309E-2</c:v>
                </c:pt>
                <c:pt idx="439">
                  <c:v>1.0692113129455047E-2</c:v>
                </c:pt>
                <c:pt idx="440">
                  <c:v>2.8893186213172564E-2</c:v>
                </c:pt>
                <c:pt idx="441">
                  <c:v>-2.0784964068546158E-2</c:v>
                </c:pt>
                <c:pt idx="442">
                  <c:v>4.6968499491927287E-2</c:v>
                </c:pt>
                <c:pt idx="443">
                  <c:v>2.5881591717890652E-3</c:v>
                </c:pt>
                <c:pt idx="444">
                  <c:v>2.0114015273744217E-2</c:v>
                </c:pt>
                <c:pt idx="445">
                  <c:v>-7.169970476592155E-3</c:v>
                </c:pt>
                <c:pt idx="446">
                  <c:v>3.1860662701784198E-4</c:v>
                </c:pt>
                <c:pt idx="447">
                  <c:v>-2.2826202356938104E-2</c:v>
                </c:pt>
                <c:pt idx="448">
                  <c:v>-3.5962624945675793E-2</c:v>
                </c:pt>
                <c:pt idx="449">
                  <c:v>-4.2826552462526764E-2</c:v>
                </c:pt>
                <c:pt idx="450">
                  <c:v>-7.7711056163899681E-3</c:v>
                </c:pt>
                <c:pt idx="451">
                  <c:v>-7.8319686721253119E-3</c:v>
                </c:pt>
                <c:pt idx="452">
                  <c:v>9.5682334648965433E-4</c:v>
                </c:pt>
                <c:pt idx="453">
                  <c:v>2.0313060102760187E-2</c:v>
                </c:pt>
                <c:pt idx="454">
                  <c:v>-2.7403677245579107E-2</c:v>
                </c:pt>
                <c:pt idx="455">
                  <c:v>-6.020469596628537E-4</c:v>
                </c:pt>
                <c:pt idx="456">
                  <c:v>7.7108433734939755E-3</c:v>
                </c:pt>
                <c:pt idx="457">
                  <c:v>-1.1597321855571496E-2</c:v>
                </c:pt>
                <c:pt idx="458">
                  <c:v>4.0038708116608202E-2</c:v>
                </c:pt>
                <c:pt idx="459">
                  <c:v>-6.5131425913003025E-3</c:v>
                </c:pt>
                <c:pt idx="460">
                  <c:v>9.1313509716693976E-3</c:v>
                </c:pt>
                <c:pt idx="461">
                  <c:v>4.0139211136890951E-2</c:v>
                </c:pt>
                <c:pt idx="462">
                  <c:v>-1.9741244702208342E-2</c:v>
                </c:pt>
                <c:pt idx="463">
                  <c:v>2.8558425304357721E-2</c:v>
                </c:pt>
                <c:pt idx="464">
                  <c:v>-4.6017699115044247E-2</c:v>
                </c:pt>
                <c:pt idx="465">
                  <c:v>-1.9248608534322819E-2</c:v>
                </c:pt>
                <c:pt idx="466">
                  <c:v>4.4927878931189406E-3</c:v>
                </c:pt>
                <c:pt idx="467">
                  <c:v>-1.5419020715630885E-2</c:v>
                </c:pt>
                <c:pt idx="468">
                  <c:v>2.9527794381350867E-2</c:v>
                </c:pt>
                <c:pt idx="469">
                  <c:v>-2.3223409196470044E-3</c:v>
                </c:pt>
                <c:pt idx="470">
                  <c:v>-2.0135009310986964E-2</c:v>
                </c:pt>
                <c:pt idx="471">
                  <c:v>9.6210951419408476E-3</c:v>
                </c:pt>
                <c:pt idx="472">
                  <c:v>1.1411764705882352E-2</c:v>
                </c:pt>
                <c:pt idx="473">
                  <c:v>7.2118180760730489E-3</c:v>
                </c:pt>
                <c:pt idx="474">
                  <c:v>2.2866381799283981E-2</c:v>
                </c:pt>
                <c:pt idx="475">
                  <c:v>-2.5629445636219939E-2</c:v>
                </c:pt>
                <c:pt idx="476">
                  <c:v>3.9397450753186555E-3</c:v>
                </c:pt>
                <c:pt idx="477">
                  <c:v>-8.3102493074792248E-3</c:v>
                </c:pt>
                <c:pt idx="478">
                  <c:v>-1.2104283054003724E-2</c:v>
                </c:pt>
                <c:pt idx="479">
                  <c:v>3.2752120640904804E-2</c:v>
                </c:pt>
                <c:pt idx="480">
                  <c:v>-2.3157654574492356E-2</c:v>
                </c:pt>
                <c:pt idx="481">
                  <c:v>-4.6712600724045312E-3</c:v>
                </c:pt>
                <c:pt idx="482">
                  <c:v>-5.6318197817669833E-3</c:v>
                </c:pt>
                <c:pt idx="483">
                  <c:v>1.0619469026548673E-3</c:v>
                </c:pt>
                <c:pt idx="484">
                  <c:v>1.0726072607260726E-2</c:v>
                </c:pt>
                <c:pt idx="485">
                  <c:v>2.5539358600583092E-2</c:v>
                </c:pt>
                <c:pt idx="486">
                  <c:v>-9.0971116670457127E-4</c:v>
                </c:pt>
                <c:pt idx="487">
                  <c:v>-7.3981333940359665E-3</c:v>
                </c:pt>
                <c:pt idx="488">
                  <c:v>1.5135878912968696E-2</c:v>
                </c:pt>
                <c:pt idx="489">
                  <c:v>-3.1740652886027336E-2</c:v>
                </c:pt>
                <c:pt idx="490">
                  <c:v>2.4498366775548296E-2</c:v>
                </c:pt>
                <c:pt idx="491">
                  <c:v>-2.5051241175130948E-3</c:v>
                </c:pt>
                <c:pt idx="492">
                  <c:v>-4.6803652968036525E-3</c:v>
                </c:pt>
                <c:pt idx="493">
                  <c:v>4.369767175134763E-2</c:v>
                </c:pt>
                <c:pt idx="494">
                  <c:v>-5.4945054945054945E-4</c:v>
                </c:pt>
                <c:pt idx="495">
                  <c:v>-2.5288620120945573E-3</c:v>
                </c:pt>
                <c:pt idx="496">
                  <c:v>-1.0030864197530864E-2</c:v>
                </c:pt>
                <c:pt idx="497">
                  <c:v>-1.2025386927959025E-2</c:v>
                </c:pt>
                <c:pt idx="498">
                  <c:v>-2.4794319846726024E-3</c:v>
                </c:pt>
                <c:pt idx="499">
                  <c:v>-7.7957292961247319E-3</c:v>
                </c:pt>
                <c:pt idx="500">
                  <c:v>-1.1045319972671374E-2</c:v>
                </c:pt>
                <c:pt idx="501">
                  <c:v>-7.0236039147956245E-3</c:v>
                </c:pt>
                <c:pt idx="502">
                  <c:v>-1.9248608534322819E-2</c:v>
                </c:pt>
                <c:pt idx="503">
                  <c:v>1.1113738472452117E-2</c:v>
                </c:pt>
                <c:pt idx="504">
                  <c:v>-1.5201122544434051E-2</c:v>
                </c:pt>
                <c:pt idx="505">
                  <c:v>7.124198527665638E-4</c:v>
                </c:pt>
                <c:pt idx="506">
                  <c:v>-1.0678690080683437E-2</c:v>
                </c:pt>
                <c:pt idx="507">
                  <c:v>2.5185895898296954E-3</c:v>
                </c:pt>
                <c:pt idx="508">
                  <c:v>1.9619571719105156E-2</c:v>
                </c:pt>
                <c:pt idx="509">
                  <c:v>-1.3844890296843835E-2</c:v>
                </c:pt>
                <c:pt idx="510">
                  <c:v>3.3313503866745984E-3</c:v>
                </c:pt>
                <c:pt idx="511">
                  <c:v>-3.8894817976995136E-2</c:v>
                </c:pt>
                <c:pt idx="512">
                  <c:v>1.3818630475015423E-2</c:v>
                </c:pt>
                <c:pt idx="513">
                  <c:v>-2.4826579043446512E-2</c:v>
                </c:pt>
                <c:pt idx="514">
                  <c:v>-2.4959440908523651E-3</c:v>
                </c:pt>
                <c:pt idx="515">
                  <c:v>2.6898536219191794E-2</c:v>
                </c:pt>
                <c:pt idx="516">
                  <c:v>-2.3513645224171539E-2</c:v>
                </c:pt>
                <c:pt idx="517">
                  <c:v>2.9943855271366188E-2</c:v>
                </c:pt>
                <c:pt idx="518">
                  <c:v>-2.2774076317383405E-2</c:v>
                </c:pt>
                <c:pt idx="519">
                  <c:v>4.3386636915829927E-3</c:v>
                </c:pt>
                <c:pt idx="520">
                  <c:v>-4.0360404838311527E-2</c:v>
                </c:pt>
                <c:pt idx="521">
                  <c:v>-2.9581993569131834E-3</c:v>
                </c:pt>
                <c:pt idx="522">
                  <c:v>2.5799793601651185E-2</c:v>
                </c:pt>
                <c:pt idx="523">
                  <c:v>-5.7847082494969816E-3</c:v>
                </c:pt>
                <c:pt idx="524">
                  <c:v>2.9724260055653935E-2</c:v>
                </c:pt>
                <c:pt idx="525">
                  <c:v>1.2283503255128362E-2</c:v>
                </c:pt>
                <c:pt idx="526">
                  <c:v>-7.4020143186506494E-3</c:v>
                </c:pt>
                <c:pt idx="527">
                  <c:v>1.1124694376528117E-2</c:v>
                </c:pt>
                <c:pt idx="528">
                  <c:v>1.088139281828074E-2</c:v>
                </c:pt>
                <c:pt idx="529">
                  <c:v>1.3873938524099988E-2</c:v>
                </c:pt>
                <c:pt idx="530">
                  <c:v>3.6923439896189687E-2</c:v>
                </c:pt>
                <c:pt idx="531">
                  <c:v>1.4106939704209329E-2</c:v>
                </c:pt>
                <c:pt idx="532">
                  <c:v>4.6668162441103882E-2</c:v>
                </c:pt>
                <c:pt idx="533">
                  <c:v>-1.5541264737406217E-2</c:v>
                </c:pt>
                <c:pt idx="534">
                  <c:v>4.0283070223189983E-3</c:v>
                </c:pt>
                <c:pt idx="535">
                  <c:v>-5.8555627846454128E-3</c:v>
                </c:pt>
                <c:pt idx="536">
                  <c:v>-1.0034904013961605E-2</c:v>
                </c:pt>
                <c:pt idx="537">
                  <c:v>-7.7126487439400622E-4</c:v>
                </c:pt>
                <c:pt idx="538">
                  <c:v>-1.9186238835593779E-2</c:v>
                </c:pt>
                <c:pt idx="539">
                  <c:v>-1.6863406408094434E-3</c:v>
                </c:pt>
                <c:pt idx="540">
                  <c:v>3.8288288288288288E-3</c:v>
                </c:pt>
                <c:pt idx="541">
                  <c:v>1.9632039488445142E-2</c:v>
                </c:pt>
                <c:pt idx="542">
                  <c:v>7.7016173396413246E-3</c:v>
                </c:pt>
                <c:pt idx="543">
                  <c:v>2.6749645157768315E-2</c:v>
                </c:pt>
                <c:pt idx="544">
                  <c:v>-3.6154827732879625E-3</c:v>
                </c:pt>
                <c:pt idx="545">
                  <c:v>1.6221985058697971E-2</c:v>
                </c:pt>
                <c:pt idx="546">
                  <c:v>-4.0957781978575927E-3</c:v>
                </c:pt>
                <c:pt idx="547">
                  <c:v>-1.0439734261309713E-2</c:v>
                </c:pt>
                <c:pt idx="548">
                  <c:v>9.4842284739982945E-3</c:v>
                </c:pt>
                <c:pt idx="549">
                  <c:v>-1.7523487807452762E-2</c:v>
                </c:pt>
                <c:pt idx="550">
                  <c:v>1.3753089072740948E-2</c:v>
                </c:pt>
                <c:pt idx="551">
                  <c:v>6.3593004769475362E-3</c:v>
                </c:pt>
                <c:pt idx="552">
                  <c:v>-5.1606108478146392E-3</c:v>
                </c:pt>
                <c:pt idx="553">
                  <c:v>-7.5164090620368409E-3</c:v>
                </c:pt>
                <c:pt idx="554">
                  <c:v>4.4799999999999996E-3</c:v>
                </c:pt>
                <c:pt idx="555">
                  <c:v>-1.8158649251353933E-2</c:v>
                </c:pt>
                <c:pt idx="556">
                  <c:v>-9.6257841228639413E-3</c:v>
                </c:pt>
                <c:pt idx="557">
                  <c:v>-1.4196789341487386E-3</c:v>
                </c:pt>
                <c:pt idx="558">
                  <c:v>4.5931758530183726E-3</c:v>
                </c:pt>
                <c:pt idx="559">
                  <c:v>8.9266274765948186E-3</c:v>
                </c:pt>
                <c:pt idx="560">
                  <c:v>5.1791109192921882E-3</c:v>
                </c:pt>
                <c:pt idx="561">
                  <c:v>-1.1378273937312151E-2</c:v>
                </c:pt>
                <c:pt idx="562">
                  <c:v>-2.1064060803474484E-2</c:v>
                </c:pt>
                <c:pt idx="563">
                  <c:v>-3.8930789707187226E-2</c:v>
                </c:pt>
                <c:pt idx="564">
                  <c:v>-1.7772648586266589E-2</c:v>
                </c:pt>
                <c:pt idx="565">
                  <c:v>7.284690400657972E-3</c:v>
                </c:pt>
                <c:pt idx="566">
                  <c:v>1.7263501691356584E-2</c:v>
                </c:pt>
                <c:pt idx="567">
                  <c:v>2.063983488132095E-2</c:v>
                </c:pt>
                <c:pt idx="568">
                  <c:v>4.606224019773059E-3</c:v>
                </c:pt>
                <c:pt idx="569">
                  <c:v>1.5432789085215835E-2</c:v>
                </c:pt>
                <c:pt idx="570">
                  <c:v>-2.5770925110132157E-2</c:v>
                </c:pt>
                <c:pt idx="571">
                  <c:v>-2.3513452407867962E-2</c:v>
                </c:pt>
                <c:pt idx="572">
                  <c:v>-3.5887937022458902E-3</c:v>
                </c:pt>
                <c:pt idx="573">
                  <c:v>-4.1826420355524571E-3</c:v>
                </c:pt>
                <c:pt idx="574">
                  <c:v>1.5984132539960332E-2</c:v>
                </c:pt>
                <c:pt idx="575">
                  <c:v>-3.445107946715664E-3</c:v>
                </c:pt>
                <c:pt idx="576">
                  <c:v>8.4120765153261126E-3</c:v>
                </c:pt>
                <c:pt idx="577">
                  <c:v>-1.6112444292080905E-2</c:v>
                </c:pt>
                <c:pt idx="578">
                  <c:v>3.5423925667828107E-2</c:v>
                </c:pt>
                <c:pt idx="579">
                  <c:v>4.6102075154234437E-2</c:v>
                </c:pt>
                <c:pt idx="580">
                  <c:v>2.2517692472657089E-2</c:v>
                </c:pt>
                <c:pt idx="581">
                  <c:v>1.5100671140939598E-2</c:v>
                </c:pt>
                <c:pt idx="582">
                  <c:v>-2.0661157024793389E-2</c:v>
                </c:pt>
                <c:pt idx="583">
                  <c:v>1.4135021097046414E-2</c:v>
                </c:pt>
                <c:pt idx="584">
                  <c:v>-1.2169752444351986E-2</c:v>
                </c:pt>
                <c:pt idx="585">
                  <c:v>2.8851216173528482E-2</c:v>
                </c:pt>
                <c:pt idx="586">
                  <c:v>5.8335891925084433E-3</c:v>
                </c:pt>
                <c:pt idx="587">
                  <c:v>-1.3532763532763533E-2</c:v>
                </c:pt>
                <c:pt idx="588">
                  <c:v>2.1248066013408975E-2</c:v>
                </c:pt>
                <c:pt idx="589">
                  <c:v>-3.4642965357034643E-2</c:v>
                </c:pt>
                <c:pt idx="590">
                  <c:v>3.5572295459301109E-3</c:v>
                </c:pt>
                <c:pt idx="591">
                  <c:v>-1.6576313594662218E-2</c:v>
                </c:pt>
                <c:pt idx="592">
                  <c:v>-4.0602141418424678E-2</c:v>
                </c:pt>
                <c:pt idx="593">
                  <c:v>3.4254143646408838E-3</c:v>
                </c:pt>
                <c:pt idx="594">
                  <c:v>-7.4881620966853867E-3</c:v>
                </c:pt>
                <c:pt idx="595">
                  <c:v>1.5755020525907024E-2</c:v>
                </c:pt>
                <c:pt idx="596">
                  <c:v>3.4844347351174219E-2</c:v>
                </c:pt>
                <c:pt idx="597">
                  <c:v>1.5199493350221659E-2</c:v>
                </c:pt>
                <c:pt idx="598">
                  <c:v>-1.7675192347681432E-2</c:v>
                </c:pt>
                <c:pt idx="599">
                  <c:v>-1.5347163420829806E-2</c:v>
                </c:pt>
                <c:pt idx="600">
                  <c:v>-3.944963990110717E-2</c:v>
                </c:pt>
                <c:pt idx="601">
                  <c:v>-3.0214861235452105E-2</c:v>
                </c:pt>
                <c:pt idx="602">
                  <c:v>1.4654973459496885E-2</c:v>
                </c:pt>
                <c:pt idx="603">
                  <c:v>-1.205504378482884E-2</c:v>
                </c:pt>
                <c:pt idx="604">
                  <c:v>1.6921837228041903E-2</c:v>
                </c:pt>
                <c:pt idx="605">
                  <c:v>3.0563731039166854E-3</c:v>
                </c:pt>
                <c:pt idx="606">
                  <c:v>-1.7605236429296921E-2</c:v>
                </c:pt>
                <c:pt idx="607">
                  <c:v>2.1022400919012061E-2</c:v>
                </c:pt>
                <c:pt idx="608">
                  <c:v>1.2601260126012601E-2</c:v>
                </c:pt>
                <c:pt idx="609">
                  <c:v>-1.1111111111111111E-3</c:v>
                </c:pt>
                <c:pt idx="610">
                  <c:v>1.6129032258064516E-2</c:v>
                </c:pt>
                <c:pt idx="611">
                  <c:v>1.2479474548440065E-2</c:v>
                </c:pt>
                <c:pt idx="612">
                  <c:v>-5.5141096334738893E-3</c:v>
                </c:pt>
                <c:pt idx="613">
                  <c:v>2.8049575994781473E-2</c:v>
                </c:pt>
                <c:pt idx="614">
                  <c:v>-1.1950084602368866E-2</c:v>
                </c:pt>
                <c:pt idx="615">
                  <c:v>-3.2858824788611796E-2</c:v>
                </c:pt>
                <c:pt idx="616">
                  <c:v>1.5050907481186366E-2</c:v>
                </c:pt>
                <c:pt idx="617">
                  <c:v>-1.8207588312254688E-2</c:v>
                </c:pt>
                <c:pt idx="618">
                  <c:v>-2.8872848417545809E-3</c:v>
                </c:pt>
                <c:pt idx="619">
                  <c:v>1.3253146230092439E-2</c:v>
                </c:pt>
                <c:pt idx="620">
                  <c:v>-4.7373049021763022E-2</c:v>
                </c:pt>
                <c:pt idx="621">
                  <c:v>-9.8073151032652597E-3</c:v>
                </c:pt>
                <c:pt idx="622">
                  <c:v>-8.3896527615940335E-3</c:v>
                </c:pt>
                <c:pt idx="623">
                  <c:v>1.445358401880141E-2</c:v>
                </c:pt>
                <c:pt idx="624">
                  <c:v>1.2278466350052126E-2</c:v>
                </c:pt>
                <c:pt idx="625">
                  <c:v>-1.9453026662089483E-3</c:v>
                </c:pt>
                <c:pt idx="626">
                  <c:v>2.2242604907131393E-2</c:v>
                </c:pt>
                <c:pt idx="627">
                  <c:v>-3.2301480484522208E-2</c:v>
                </c:pt>
                <c:pt idx="628">
                  <c:v>-1.4371812702828002E-2</c:v>
                </c:pt>
                <c:pt idx="629">
                  <c:v>-1.1523988711194732E-2</c:v>
                </c:pt>
                <c:pt idx="630">
                  <c:v>-3.3666428741375209E-2</c:v>
                </c:pt>
                <c:pt idx="631">
                  <c:v>1.2680044318601503E-2</c:v>
                </c:pt>
                <c:pt idx="632">
                  <c:v>-7.1723802577194264E-3</c:v>
                </c:pt>
                <c:pt idx="633">
                  <c:v>2.8284559813885148E-2</c:v>
                </c:pt>
                <c:pt idx="634">
                  <c:v>2.0600142891164564E-2</c:v>
                </c:pt>
                <c:pt idx="635">
                  <c:v>-5.3669350134173373E-3</c:v>
                </c:pt>
                <c:pt idx="636">
                  <c:v>3.741935483870968E-2</c:v>
                </c:pt>
                <c:pt idx="637">
                  <c:v>7.9149706015377661E-3</c:v>
                </c:pt>
                <c:pt idx="638">
                  <c:v>8.7502804577069774E-3</c:v>
                </c:pt>
                <c:pt idx="639">
                  <c:v>1.3901245551601424E-2</c:v>
                </c:pt>
                <c:pt idx="640">
                  <c:v>-8.7748162772841943E-4</c:v>
                </c:pt>
                <c:pt idx="641">
                  <c:v>-1.5479196399165659E-2</c:v>
                </c:pt>
                <c:pt idx="642">
                  <c:v>1.1150758251561107E-4</c:v>
                </c:pt>
                <c:pt idx="643">
                  <c:v>-1.0034563496487902E-3</c:v>
                </c:pt>
                <c:pt idx="644">
                  <c:v>3.2366071428571431E-3</c:v>
                </c:pt>
                <c:pt idx="645">
                  <c:v>5.2286127489153409E-3</c:v>
                </c:pt>
                <c:pt idx="646">
                  <c:v>1.1730854360336431E-2</c:v>
                </c:pt>
                <c:pt idx="647">
                  <c:v>-8.5320498796762189E-3</c:v>
                </c:pt>
                <c:pt idx="648">
                  <c:v>-1.5445719329214476E-3</c:v>
                </c:pt>
                <c:pt idx="649">
                  <c:v>5.4143646408839775E-3</c:v>
                </c:pt>
                <c:pt idx="650">
                  <c:v>-1.1539729640619849E-2</c:v>
                </c:pt>
                <c:pt idx="651">
                  <c:v>7.4494107182566157E-3</c:v>
                </c:pt>
                <c:pt idx="652">
                  <c:v>7.7254166206820437E-4</c:v>
                </c:pt>
                <c:pt idx="653">
                  <c:v>4.7419497132774593E-3</c:v>
                </c:pt>
                <c:pt idx="654">
                  <c:v>8.7805948853034795E-4</c:v>
                </c:pt>
                <c:pt idx="655">
                  <c:v>1.5023577146616954E-2</c:v>
                </c:pt>
                <c:pt idx="656">
                  <c:v>-2.301210025929127E-2</c:v>
                </c:pt>
                <c:pt idx="657">
                  <c:v>-2.0347229901581335E-2</c:v>
                </c:pt>
                <c:pt idx="658">
                  <c:v>-6.8856530082402074E-3</c:v>
                </c:pt>
                <c:pt idx="659">
                  <c:v>-2.0572857467606273E-2</c:v>
                </c:pt>
                <c:pt idx="660">
                  <c:v>-4.293837762562377E-3</c:v>
                </c:pt>
                <c:pt idx="661">
                  <c:v>2.4358974358974359E-2</c:v>
                </c:pt>
                <c:pt idx="662">
                  <c:v>2.9582432586187278E-2</c:v>
                </c:pt>
                <c:pt idx="663">
                  <c:v>1.3924190518289314E-2</c:v>
                </c:pt>
                <c:pt idx="664">
                  <c:v>2.4741144414168938E-2</c:v>
                </c:pt>
                <c:pt idx="665">
                  <c:v>-8.6151882578174854E-3</c:v>
                </c:pt>
                <c:pt idx="666">
                  <c:v>4.5059542967492757E-3</c:v>
                </c:pt>
                <c:pt idx="667">
                  <c:v>-1.6020506247997437E-3</c:v>
                </c:pt>
                <c:pt idx="668">
                  <c:v>1.0804450149764656E-2</c:v>
                </c:pt>
                <c:pt idx="669">
                  <c:v>1.8626309662398137E-2</c:v>
                </c:pt>
                <c:pt idx="670">
                  <c:v>-1.9324675324675324E-2</c:v>
                </c:pt>
                <c:pt idx="671">
                  <c:v>4.9793410318889715E-3</c:v>
                </c:pt>
                <c:pt idx="672">
                  <c:v>-4.9335863377609111E-2</c:v>
                </c:pt>
                <c:pt idx="673">
                  <c:v>-4.4133954313595035E-2</c:v>
                </c:pt>
                <c:pt idx="674">
                  <c:v>-2.6798143851508121E-2</c:v>
                </c:pt>
                <c:pt idx="675">
                  <c:v>-1.1920371915603767E-2</c:v>
                </c:pt>
                <c:pt idx="676">
                  <c:v>3.1487513572204126E-2</c:v>
                </c:pt>
                <c:pt idx="677">
                  <c:v>2.6900584795321639E-3</c:v>
                </c:pt>
                <c:pt idx="678">
                  <c:v>-3.7676425988568761E-2</c:v>
                </c:pt>
                <c:pt idx="679">
                  <c:v>4.8484848484848484E-4</c:v>
                </c:pt>
                <c:pt idx="680">
                  <c:v>-1.0661497455779016E-2</c:v>
                </c:pt>
                <c:pt idx="681">
                  <c:v>9.184423218221896E-3</c:v>
                </c:pt>
                <c:pt idx="682">
                  <c:v>1.2862516684868342E-2</c:v>
                </c:pt>
                <c:pt idx="683">
                  <c:v>-2.0366598778004071E-3</c:v>
                </c:pt>
                <c:pt idx="684">
                  <c:v>3.9855942376950781E-2</c:v>
                </c:pt>
                <c:pt idx="685">
                  <c:v>4.8603093973678131E-2</c:v>
                </c:pt>
                <c:pt idx="686">
                  <c:v>3.5671033799405484E-2</c:v>
                </c:pt>
                <c:pt idx="687">
                  <c:v>1.8922079302646964E-2</c:v>
                </c:pt>
                <c:pt idx="688">
                  <c:v>2.4934793948878455E-2</c:v>
                </c:pt>
                <c:pt idx="689">
                  <c:v>-1.7609934853420196E-2</c:v>
                </c:pt>
                <c:pt idx="690">
                  <c:v>2.4349808310019688E-2</c:v>
                </c:pt>
                <c:pt idx="691">
                  <c:v>-1.820756625531054E-3</c:v>
                </c:pt>
                <c:pt idx="692">
                  <c:v>-1.3680583704904742E-2</c:v>
                </c:pt>
                <c:pt idx="693">
                  <c:v>9.5551217507448879E-3</c:v>
                </c:pt>
                <c:pt idx="694">
                  <c:v>1.6893954813759413E-2</c:v>
                </c:pt>
                <c:pt idx="695">
                  <c:v>1.3811048839071256E-2</c:v>
                </c:pt>
                <c:pt idx="696">
                  <c:v>5.6268509378084898E-3</c:v>
                </c:pt>
                <c:pt idx="697">
                  <c:v>-1.73750858937862E-2</c:v>
                </c:pt>
                <c:pt idx="698">
                  <c:v>-2.6373626373626374E-2</c:v>
                </c:pt>
                <c:pt idx="699">
                  <c:v>-7.2850400164169915E-3</c:v>
                </c:pt>
                <c:pt idx="700">
                  <c:v>-1.4780361757105943E-2</c:v>
                </c:pt>
                <c:pt idx="701">
                  <c:v>2.9374737725556023E-3</c:v>
                </c:pt>
                <c:pt idx="702">
                  <c:v>1.610878661087866E-2</c:v>
                </c:pt>
                <c:pt idx="703">
                  <c:v>1.7912291537986413E-2</c:v>
                </c:pt>
                <c:pt idx="704">
                  <c:v>5.9668284789644015E-3</c:v>
                </c:pt>
                <c:pt idx="705">
                  <c:v>1.07570121644717E-2</c:v>
                </c:pt>
                <c:pt idx="706">
                  <c:v>4.077978913865128E-3</c:v>
                </c:pt>
                <c:pt idx="707">
                  <c:v>-4.1604754829123328E-3</c:v>
                </c:pt>
                <c:pt idx="708">
                  <c:v>-8.057296329453895E-3</c:v>
                </c:pt>
                <c:pt idx="709">
                  <c:v>2.2362615322904133E-2</c:v>
                </c:pt>
                <c:pt idx="710">
                  <c:v>1.2751348700343306E-3</c:v>
                </c:pt>
                <c:pt idx="711">
                  <c:v>-1.4988244514106583E-2</c:v>
                </c:pt>
                <c:pt idx="712">
                  <c:v>5.0721034311287921E-3</c:v>
                </c:pt>
                <c:pt idx="713">
                  <c:v>-1.8305956857312487E-2</c:v>
                </c:pt>
                <c:pt idx="714">
                  <c:v>-1.9856869267210968E-2</c:v>
                </c:pt>
                <c:pt idx="715">
                  <c:v>1.6659810777457835E-2</c:v>
                </c:pt>
                <c:pt idx="716">
                  <c:v>8.1934048148897438E-3</c:v>
                </c:pt>
                <c:pt idx="717">
                  <c:v>-1.8059596669007724E-3</c:v>
                </c:pt>
                <c:pt idx="718">
                  <c:v>2.1107649009950748E-2</c:v>
                </c:pt>
                <c:pt idx="719">
                  <c:v>-2.4805591101486366E-2</c:v>
                </c:pt>
                <c:pt idx="720">
                  <c:v>-2.6445947309982839E-2</c:v>
                </c:pt>
                <c:pt idx="721">
                  <c:v>-1.0782789009849664E-2</c:v>
                </c:pt>
                <c:pt idx="722">
                  <c:v>-3.1757677392306886E-2</c:v>
                </c:pt>
                <c:pt idx="723">
                  <c:v>9.8506170166702753E-3</c:v>
                </c:pt>
                <c:pt idx="724">
                  <c:v>8.2538321363490198E-3</c:v>
                </c:pt>
                <c:pt idx="725">
                  <c:v>6.0599617265575164E-3</c:v>
                </c:pt>
                <c:pt idx="726">
                  <c:v>2.0078199302546759E-3</c:v>
                </c:pt>
                <c:pt idx="727">
                  <c:v>7.5933347395064328E-3</c:v>
                </c:pt>
                <c:pt idx="728">
                  <c:v>-2.1038308561858909E-2</c:v>
                </c:pt>
                <c:pt idx="729">
                  <c:v>1.9458997113225702E-2</c:v>
                </c:pt>
                <c:pt idx="730">
                  <c:v>-2.0136339800734138E-2</c:v>
                </c:pt>
                <c:pt idx="731">
                  <c:v>9.525848228620357E-3</c:v>
                </c:pt>
                <c:pt idx="732">
                  <c:v>9.9660729431721804E-3</c:v>
                </c:pt>
                <c:pt idx="733">
                  <c:v>-1.7111064455175309E-2</c:v>
                </c:pt>
                <c:pt idx="734">
                  <c:v>3.5779130620527608E-2</c:v>
                </c:pt>
                <c:pt idx="735">
                  <c:v>-1.7013817281913798E-2</c:v>
                </c:pt>
                <c:pt idx="736">
                  <c:v>2.8847162488198887E-2</c:v>
                </c:pt>
                <c:pt idx="737">
                  <c:v>6.1174551386623168E-3</c:v>
                </c:pt>
                <c:pt idx="738">
                  <c:v>-8.107012565869477E-4</c:v>
                </c:pt>
                <c:pt idx="739">
                  <c:v>-9.1277890466531439E-4</c:v>
                </c:pt>
                <c:pt idx="740">
                  <c:v>-1.0963353974215816E-2</c:v>
                </c:pt>
                <c:pt idx="741">
                  <c:v>1.0058503541003797E-2</c:v>
                </c:pt>
                <c:pt idx="742">
                  <c:v>8.12925515699624E-4</c:v>
                </c:pt>
                <c:pt idx="743">
                  <c:v>1.1879378617118489E-2</c:v>
                </c:pt>
                <c:pt idx="744">
                  <c:v>6.5221753963475822E-3</c:v>
                </c:pt>
                <c:pt idx="745">
                  <c:v>5.9814574818064007E-4</c:v>
                </c:pt>
                <c:pt idx="746">
                  <c:v>2.2715950981368936E-2</c:v>
                </c:pt>
                <c:pt idx="747">
                  <c:v>1.3638577691183634E-2</c:v>
                </c:pt>
                <c:pt idx="748">
                  <c:v>7.9769341662662176E-3</c:v>
                </c:pt>
                <c:pt idx="749">
                  <c:v>-7.3417238749046527E-3</c:v>
                </c:pt>
                <c:pt idx="750">
                  <c:v>-2.6894630679089424E-3</c:v>
                </c:pt>
                <c:pt idx="751">
                  <c:v>-8.2827699123567376E-3</c:v>
                </c:pt>
                <c:pt idx="752">
                  <c:v>-5.2442458968631643E-3</c:v>
                </c:pt>
                <c:pt idx="753">
                  <c:v>-7.0291906667968368E-3</c:v>
                </c:pt>
                <c:pt idx="754">
                  <c:v>1.7992331137547932E-2</c:v>
                </c:pt>
                <c:pt idx="755">
                  <c:v>5.2153757002124787E-3</c:v>
                </c:pt>
                <c:pt idx="756">
                  <c:v>-1.2778631821675634E-2</c:v>
                </c:pt>
                <c:pt idx="757">
                  <c:v>1.2360097323600973E-2</c:v>
                </c:pt>
                <c:pt idx="758">
                  <c:v>-1.8650259565468178E-2</c:v>
                </c:pt>
                <c:pt idx="759">
                  <c:v>-1.7633228840125393E-3</c:v>
                </c:pt>
                <c:pt idx="760">
                  <c:v>2.9146221786064769E-2</c:v>
                </c:pt>
                <c:pt idx="761">
                  <c:v>-1.172880709449795E-2</c:v>
                </c:pt>
                <c:pt idx="762">
                  <c:v>-5.1235044384407562E-2</c:v>
                </c:pt>
                <c:pt idx="763">
                  <c:v>-1.0068137902979762E-2</c:v>
                </c:pt>
                <c:pt idx="764">
                  <c:v>-1.3560715019519212E-2</c:v>
                </c:pt>
                <c:pt idx="765">
                  <c:v>3.6450739429285564E-3</c:v>
                </c:pt>
                <c:pt idx="766">
                  <c:v>4.327072740479402E-2</c:v>
                </c:pt>
                <c:pt idx="767">
                  <c:v>1.0741993236522777E-2</c:v>
                </c:pt>
                <c:pt idx="768">
                  <c:v>1.2202322377484746E-2</c:v>
                </c:pt>
                <c:pt idx="769">
                  <c:v>1.0694147384794867E-2</c:v>
                </c:pt>
                <c:pt idx="770">
                  <c:v>3.1742978068487878E-3</c:v>
                </c:pt>
                <c:pt idx="771">
                  <c:v>-3.0683670534087642E-3</c:v>
                </c:pt>
                <c:pt idx="772">
                  <c:v>-1.4908146580744446E-2</c:v>
                </c:pt>
                <c:pt idx="773">
                  <c:v>9.0802577621558293E-3</c:v>
                </c:pt>
                <c:pt idx="774">
                  <c:v>3.2897919690372522E-3</c:v>
                </c:pt>
                <c:pt idx="775">
                  <c:v>8.5832770758993149E-3</c:v>
                </c:pt>
                <c:pt idx="776">
                  <c:v>-4.5897877223178424E-3</c:v>
                </c:pt>
                <c:pt idx="777">
                  <c:v>-2.6224783861671468E-2</c:v>
                </c:pt>
                <c:pt idx="778">
                  <c:v>-9.6675545033047261E-3</c:v>
                </c:pt>
                <c:pt idx="779">
                  <c:v>-1.0558820599661321E-2</c:v>
                </c:pt>
                <c:pt idx="780">
                  <c:v>1.5000503372596397E-2</c:v>
                </c:pt>
                <c:pt idx="781">
                  <c:v>2.6780400714144018E-3</c:v>
                </c:pt>
                <c:pt idx="782">
                  <c:v>-1.3849045405084578E-3</c:v>
                </c:pt>
                <c:pt idx="783">
                  <c:v>7.7265973254086184E-3</c:v>
                </c:pt>
                <c:pt idx="784">
                  <c:v>-2.0053081686818047E-2</c:v>
                </c:pt>
                <c:pt idx="785">
                  <c:v>4.5139933794763765E-3</c:v>
                </c:pt>
                <c:pt idx="786">
                  <c:v>4.5935690033952464E-3</c:v>
                </c:pt>
                <c:pt idx="787">
                  <c:v>-9.7415506958250502E-3</c:v>
                </c:pt>
                <c:pt idx="788">
                  <c:v>1.5759887572776552E-2</c:v>
                </c:pt>
                <c:pt idx="789">
                  <c:v>1.2451823302697895E-2</c:v>
                </c:pt>
                <c:pt idx="790">
                  <c:v>-5.1732552464616886E-3</c:v>
                </c:pt>
                <c:pt idx="791">
                  <c:v>-4.3171114599686025E-3</c:v>
                </c:pt>
                <c:pt idx="792">
                  <c:v>-1.3598738667717778E-2</c:v>
                </c:pt>
                <c:pt idx="793">
                  <c:v>7.3926073926073926E-3</c:v>
                </c:pt>
                <c:pt idx="794">
                  <c:v>9.1233637445458145E-3</c:v>
                </c:pt>
                <c:pt idx="795">
                  <c:v>3.1446540880503146E-3</c:v>
                </c:pt>
                <c:pt idx="796">
                  <c:v>2.7919278996865204E-2</c:v>
                </c:pt>
                <c:pt idx="797">
                  <c:v>-1.3151624892785667E-2</c:v>
                </c:pt>
                <c:pt idx="798">
                  <c:v>1.0622887493964268E-2</c:v>
                </c:pt>
                <c:pt idx="799">
                  <c:v>5.4467271858576203E-3</c:v>
                </c:pt>
                <c:pt idx="800">
                  <c:v>-5.7023379585630111E-3</c:v>
                </c:pt>
                <c:pt idx="801">
                  <c:v>-3.249856623972472E-3</c:v>
                </c:pt>
                <c:pt idx="802">
                  <c:v>6.5209052550824704E-3</c:v>
                </c:pt>
                <c:pt idx="803">
                  <c:v>0</c:v>
                </c:pt>
                <c:pt idx="804">
                  <c:v>-1.5815548780487805E-2</c:v>
                </c:pt>
                <c:pt idx="805">
                  <c:v>1.5682478218780251E-2</c:v>
                </c:pt>
                <c:pt idx="806">
                  <c:v>-2.4494853221502098E-2</c:v>
                </c:pt>
                <c:pt idx="807">
                  <c:v>1.7977528089887642E-2</c:v>
                </c:pt>
                <c:pt idx="808">
                  <c:v>2.6490066225165563E-2</c:v>
                </c:pt>
                <c:pt idx="809">
                  <c:v>-1.2155212716222535E-2</c:v>
                </c:pt>
                <c:pt idx="810">
                  <c:v>1.5049692380501656E-2</c:v>
                </c:pt>
                <c:pt idx="811">
                  <c:v>-1.1469600895188363E-2</c:v>
                </c:pt>
                <c:pt idx="812">
                  <c:v>-3.6034336383360059E-2</c:v>
                </c:pt>
                <c:pt idx="813">
                  <c:v>-2.8769938350132106E-2</c:v>
                </c:pt>
                <c:pt idx="814">
                  <c:v>-1.8740554156171284E-2</c:v>
                </c:pt>
                <c:pt idx="815">
                  <c:v>-1.9817229695040559E-2</c:v>
                </c:pt>
                <c:pt idx="816">
                  <c:v>-3.6978839304420696E-2</c:v>
                </c:pt>
                <c:pt idx="817">
                  <c:v>-1.3814859131948222E-2</c:v>
                </c:pt>
                <c:pt idx="818">
                  <c:v>-1.7207147584381206E-2</c:v>
                </c:pt>
                <c:pt idx="819">
                  <c:v>7.4074074074074077E-3</c:v>
                </c:pt>
                <c:pt idx="820">
                  <c:v>5.4032976827094473E-2</c:v>
                </c:pt>
                <c:pt idx="821">
                  <c:v>5.1897262445830247E-2</c:v>
                </c:pt>
                <c:pt idx="822">
                  <c:v>1.2359324758842443E-2</c:v>
                </c:pt>
                <c:pt idx="823">
                  <c:v>6.5508684863523573E-3</c:v>
                </c:pt>
                <c:pt idx="824">
                  <c:v>-9.0720836209446792E-3</c:v>
                </c:pt>
                <c:pt idx="825">
                  <c:v>-9.9512389292466907E-5</c:v>
                </c:pt>
                <c:pt idx="826">
                  <c:v>1.8113057324840764E-2</c:v>
                </c:pt>
                <c:pt idx="827">
                  <c:v>-8.7976539589442824E-3</c:v>
                </c:pt>
                <c:pt idx="828">
                  <c:v>1.2228796844181459E-2</c:v>
                </c:pt>
                <c:pt idx="829">
                  <c:v>-1.2665627435697584E-2</c:v>
                </c:pt>
                <c:pt idx="830">
                  <c:v>-1.3814880599960529E-2</c:v>
                </c:pt>
                <c:pt idx="831">
                  <c:v>-3.0018010806483891E-4</c:v>
                </c:pt>
                <c:pt idx="832">
                  <c:v>-2.3320988890001001E-2</c:v>
                </c:pt>
                <c:pt idx="833">
                  <c:v>-1.1887681902029105E-2</c:v>
                </c:pt>
                <c:pt idx="834">
                  <c:v>-2.0742584526031943E-4</c:v>
                </c:pt>
                <c:pt idx="835">
                  <c:v>1.0788381742738589E-2</c:v>
                </c:pt>
                <c:pt idx="836">
                  <c:v>1.8062397372742199E-2</c:v>
                </c:pt>
                <c:pt idx="837">
                  <c:v>7.0564516129032256E-3</c:v>
                </c:pt>
                <c:pt idx="838">
                  <c:v>7.2072072072072073E-3</c:v>
                </c:pt>
                <c:pt idx="839">
                  <c:v>-8.0500894454382833E-3</c:v>
                </c:pt>
                <c:pt idx="840">
                  <c:v>-1.5729886784891293E-2</c:v>
                </c:pt>
                <c:pt idx="841">
                  <c:v>5.5985342019543973E-3</c:v>
                </c:pt>
                <c:pt idx="842">
                  <c:v>-4.8587913756453086E-3</c:v>
                </c:pt>
                <c:pt idx="843">
                  <c:v>-1.0171905197843556E-2</c:v>
                </c:pt>
                <c:pt idx="844">
                  <c:v>8.5294419895180357E-3</c:v>
                </c:pt>
                <c:pt idx="845">
                  <c:v>-6.0118198491950275E-3</c:v>
                </c:pt>
                <c:pt idx="846">
                  <c:v>-3.5879036391594054E-3</c:v>
                </c:pt>
                <c:pt idx="847">
                  <c:v>1.2037037037037037E-2</c:v>
                </c:pt>
                <c:pt idx="848">
                  <c:v>1.8196604655891024E-2</c:v>
                </c:pt>
                <c:pt idx="849">
                  <c:v>-7.5878594249201275E-3</c:v>
                </c:pt>
                <c:pt idx="850">
                  <c:v>2.585513078470825E-2</c:v>
                </c:pt>
                <c:pt idx="851">
                  <c:v>2.1476904972050605E-2</c:v>
                </c:pt>
                <c:pt idx="852">
                  <c:v>3.9362519201228876E-3</c:v>
                </c:pt>
                <c:pt idx="853">
                  <c:v>3.4331070096586022E-2</c:v>
                </c:pt>
                <c:pt idx="854">
                  <c:v>-6.8417159763313612E-3</c:v>
                </c:pt>
                <c:pt idx="855">
                  <c:v>-7.9128653881958659E-3</c:v>
                </c:pt>
                <c:pt idx="856">
                  <c:v>-2.1769728816740171E-2</c:v>
                </c:pt>
                <c:pt idx="857">
                  <c:v>-7.0983213429256595E-3</c:v>
                </c:pt>
                <c:pt idx="858">
                  <c:v>-8.6948120954497151E-4</c:v>
                </c:pt>
                <c:pt idx="859">
                  <c:v>-2.6107135950493134E-3</c:v>
                </c:pt>
                <c:pt idx="860">
                  <c:v>1.3184682501211827E-2</c:v>
                </c:pt>
                <c:pt idx="861">
                  <c:v>-1.6266385991771121E-2</c:v>
                </c:pt>
                <c:pt idx="862">
                  <c:v>-7.4895438186946793E-3</c:v>
                </c:pt>
                <c:pt idx="863">
                  <c:v>1.764014112112897E-2</c:v>
                </c:pt>
                <c:pt idx="864">
                  <c:v>4.8151001540832046E-3</c:v>
                </c:pt>
                <c:pt idx="865">
                  <c:v>1.3801035077630822E-2</c:v>
                </c:pt>
                <c:pt idx="866">
                  <c:v>9.3590470788428807E-3</c:v>
                </c:pt>
                <c:pt idx="867">
                  <c:v>-1.6858668165214948E-3</c:v>
                </c:pt>
                <c:pt idx="868">
                  <c:v>3.4712449573130687E-3</c:v>
                </c:pt>
                <c:pt idx="869">
                  <c:v>-5.4225878833208674E-3</c:v>
                </c:pt>
                <c:pt idx="870">
                  <c:v>-3.7601052829479226E-3</c:v>
                </c:pt>
                <c:pt idx="871">
                  <c:v>-3.7554255519909416E-2</c:v>
                </c:pt>
                <c:pt idx="872">
                  <c:v>-1.0294117647058823E-2</c:v>
                </c:pt>
                <c:pt idx="873">
                  <c:v>-1.4264487369985141E-2</c:v>
                </c:pt>
                <c:pt idx="874">
                  <c:v>-2.4620641141593808E-2</c:v>
                </c:pt>
                <c:pt idx="875">
                  <c:v>2.5654234494127345E-2</c:v>
                </c:pt>
                <c:pt idx="876">
                  <c:v>-8.4379708689100962E-3</c:v>
                </c:pt>
                <c:pt idx="877">
                  <c:v>1.2967277884712795E-2</c:v>
                </c:pt>
                <c:pt idx="878">
                  <c:v>3.7003700370037006E-3</c:v>
                </c:pt>
                <c:pt idx="879">
                  <c:v>-3.9557592666400958E-2</c:v>
                </c:pt>
                <c:pt idx="880">
                  <c:v>-1.6287996680153544E-2</c:v>
                </c:pt>
                <c:pt idx="881">
                  <c:v>-4.5349082472052309E-3</c:v>
                </c:pt>
                <c:pt idx="882">
                  <c:v>-2.4366988028392839E-3</c:v>
                </c:pt>
                <c:pt idx="883">
                  <c:v>5.7136788445199663E-2</c:v>
                </c:pt>
                <c:pt idx="884">
                  <c:v>1.7078561382358852E-2</c:v>
                </c:pt>
                <c:pt idx="885">
                  <c:v>-3.9510075069142635E-3</c:v>
                </c:pt>
                <c:pt idx="886">
                  <c:v>1.0908369694565649E-3</c:v>
                </c:pt>
                <c:pt idx="887">
                  <c:v>-3.6453689945517585E-2</c:v>
                </c:pt>
                <c:pt idx="888">
                  <c:v>-1.7477125526883931E-3</c:v>
                </c:pt>
                <c:pt idx="889">
                  <c:v>-1.1431513903192586E-2</c:v>
                </c:pt>
                <c:pt idx="890">
                  <c:v>-1.7606000625065111E-2</c:v>
                </c:pt>
                <c:pt idx="891">
                  <c:v>5.8324496288441148E-3</c:v>
                </c:pt>
                <c:pt idx="892">
                  <c:v>1.7817606747496047E-2</c:v>
                </c:pt>
                <c:pt idx="893">
                  <c:v>2.7967681789931634E-3</c:v>
                </c:pt>
                <c:pt idx="894">
                  <c:v>3.5430224150397684E-2</c:v>
                </c:pt>
                <c:pt idx="895">
                  <c:v>9.9760574620909822E-5</c:v>
                </c:pt>
                <c:pt idx="896">
                  <c:v>-1.2468827930174564E-2</c:v>
                </c:pt>
                <c:pt idx="897">
                  <c:v>1.0202020202020202E-2</c:v>
                </c:pt>
                <c:pt idx="898">
                  <c:v>4.9995000499950004E-4</c:v>
                </c:pt>
                <c:pt idx="899">
                  <c:v>2.9582250649610235E-2</c:v>
                </c:pt>
                <c:pt idx="900">
                  <c:v>1.0095127159774802E-2</c:v>
                </c:pt>
                <c:pt idx="901">
                  <c:v>2.0565058620026909E-2</c:v>
                </c:pt>
                <c:pt idx="902">
                  <c:v>-5.8380414312617706E-3</c:v>
                </c:pt>
                <c:pt idx="903">
                  <c:v>-1.7711687819662814E-2</c:v>
                </c:pt>
                <c:pt idx="904">
                  <c:v>-4.6282904252241824E-3</c:v>
                </c:pt>
                <c:pt idx="905">
                  <c:v>-2.4217766153250024E-3</c:v>
                </c:pt>
                <c:pt idx="906">
                  <c:v>1.1652748106428433E-2</c:v>
                </c:pt>
                <c:pt idx="907">
                  <c:v>1.2958341332309465E-2</c:v>
                </c:pt>
                <c:pt idx="908">
                  <c:v>-2.7480337344830854E-3</c:v>
                </c:pt>
                <c:pt idx="909">
                  <c:v>-9.8821740782972251E-3</c:v>
                </c:pt>
                <c:pt idx="910">
                  <c:v>-2.9750479846449135E-3</c:v>
                </c:pt>
                <c:pt idx="911">
                  <c:v>-1.4727115218019058E-2</c:v>
                </c:pt>
                <c:pt idx="912">
                  <c:v>-6.8386088315748334E-4</c:v>
                </c:pt>
                <c:pt idx="913">
                  <c:v>-1.2220158373252517E-2</c:v>
                </c:pt>
                <c:pt idx="914">
                  <c:v>1.0787806809184482E-2</c:v>
                </c:pt>
                <c:pt idx="915">
                  <c:v>-8.4206403603250754E-3</c:v>
                </c:pt>
                <c:pt idx="916">
                  <c:v>5.924755603831342E-3</c:v>
                </c:pt>
                <c:pt idx="917">
                  <c:v>-7.6568175125159513E-3</c:v>
                </c:pt>
                <c:pt idx="918">
                  <c:v>-2.4928281729152242E-2</c:v>
                </c:pt>
                <c:pt idx="919">
                  <c:v>1.5724865577761996E-2</c:v>
                </c:pt>
                <c:pt idx="920">
                  <c:v>3.9952057530962844E-4</c:v>
                </c:pt>
                <c:pt idx="921">
                  <c:v>7.5878594249201275E-3</c:v>
                </c:pt>
                <c:pt idx="922">
                  <c:v>1.4962346413000396E-2</c:v>
                </c:pt>
                <c:pt idx="923">
                  <c:v>-3.270526213023528E-2</c:v>
                </c:pt>
                <c:pt idx="924">
                  <c:v>-2.2002422285022204E-2</c:v>
                </c:pt>
                <c:pt idx="925">
                  <c:v>-5.4695562435500512E-3</c:v>
                </c:pt>
                <c:pt idx="926">
                  <c:v>2.0753346477119434E-3</c:v>
                </c:pt>
                <c:pt idx="927">
                  <c:v>1.8535777156466812E-2</c:v>
                </c:pt>
                <c:pt idx="928">
                  <c:v>2.4705164701098008E-2</c:v>
                </c:pt>
                <c:pt idx="929">
                  <c:v>-6.9451334457783509E-3</c:v>
                </c:pt>
                <c:pt idx="930">
                  <c:v>-1.0590468578279548E-2</c:v>
                </c:pt>
                <c:pt idx="931">
                  <c:v>-1.7873371705543775E-2</c:v>
                </c:pt>
                <c:pt idx="932">
                  <c:v>-1.4188772362739049E-2</c:v>
                </c:pt>
                <c:pt idx="933">
                  <c:v>1.6583229036295371E-2</c:v>
                </c:pt>
                <c:pt idx="934">
                  <c:v>-6.5661229096132144E-3</c:v>
                </c:pt>
                <c:pt idx="935">
                  <c:v>3.2944335433233503E-2</c:v>
                </c:pt>
                <c:pt idx="936">
                  <c:v>8.7982403519296145E-3</c:v>
                </c:pt>
                <c:pt idx="937">
                  <c:v>1.1892963330029733E-3</c:v>
                </c:pt>
                <c:pt idx="938">
                  <c:v>1.7521282914274402E-2</c:v>
                </c:pt>
                <c:pt idx="939">
                  <c:v>-1.58575736939391E-2</c:v>
                </c:pt>
                <c:pt idx="940">
                  <c:v>-1.383946223803875E-3</c:v>
                </c:pt>
                <c:pt idx="941">
                  <c:v>-2.375767174816868E-3</c:v>
                </c:pt>
                <c:pt idx="942">
                  <c:v>-2.6691803929351061E-2</c:v>
                </c:pt>
                <c:pt idx="943">
                  <c:v>2.0593332653685389E-2</c:v>
                </c:pt>
                <c:pt idx="944">
                  <c:v>-1.5782639096993307E-2</c:v>
                </c:pt>
                <c:pt idx="945">
                  <c:v>-2.6895361818735409E-2</c:v>
                </c:pt>
                <c:pt idx="946">
                  <c:v>2.2006675010429702E-2</c:v>
                </c:pt>
                <c:pt idx="947">
                  <c:v>-4.1738952954383103E-2</c:v>
                </c:pt>
                <c:pt idx="948">
                  <c:v>-1.5654952076677317E-2</c:v>
                </c:pt>
                <c:pt idx="949">
                  <c:v>3.0942334739803096E-2</c:v>
                </c:pt>
                <c:pt idx="950">
                  <c:v>-1.784027704900829E-3</c:v>
                </c:pt>
                <c:pt idx="951">
                  <c:v>4.5100925147182509E-2</c:v>
                </c:pt>
                <c:pt idx="952">
                  <c:v>2.6456090936525501E-2</c:v>
                </c:pt>
                <c:pt idx="953">
                  <c:v>-1.9698157585260681E-2</c:v>
                </c:pt>
                <c:pt idx="954">
                  <c:v>-3.1390582825152454E-2</c:v>
                </c:pt>
                <c:pt idx="955">
                  <c:v>-2.1674063370832903E-2</c:v>
                </c:pt>
                <c:pt idx="956">
                  <c:v>-6.4352779829095893E-3</c:v>
                </c:pt>
                <c:pt idx="957">
                  <c:v>2.7075812274368231E-2</c:v>
                </c:pt>
                <c:pt idx="958">
                  <c:v>3.3391915641476276E-2</c:v>
                </c:pt>
                <c:pt idx="959">
                  <c:v>9.6038415366146452E-3</c:v>
                </c:pt>
                <c:pt idx="960">
                  <c:v>-3.5671819262782403E-3</c:v>
                </c:pt>
                <c:pt idx="961">
                  <c:v>1.3225934765314241E-2</c:v>
                </c:pt>
                <c:pt idx="962">
                  <c:v>-1.0894101481990381E-2</c:v>
                </c:pt>
                <c:pt idx="963">
                  <c:v>-4.0682675133955149E-3</c:v>
                </c:pt>
                <c:pt idx="964">
                  <c:v>1.6140280960446347E-2</c:v>
                </c:pt>
                <c:pt idx="965">
                  <c:v>-2.7845867241886459E-2</c:v>
                </c:pt>
                <c:pt idx="966">
                  <c:v>2.9853756933938477E-2</c:v>
                </c:pt>
                <c:pt idx="967">
                  <c:v>-5.8760160611105673E-4</c:v>
                </c:pt>
                <c:pt idx="968">
                  <c:v>-8.9171974522292991E-3</c:v>
                </c:pt>
                <c:pt idx="969">
                  <c:v>-2.6596796519675697E-2</c:v>
                </c:pt>
                <c:pt idx="970">
                  <c:v>-6.2976130015236165E-2</c:v>
                </c:pt>
                <c:pt idx="971">
                  <c:v>-7.6856368563685634E-2</c:v>
                </c:pt>
                <c:pt idx="972">
                  <c:v>-2.4659464537341476E-2</c:v>
                </c:pt>
                <c:pt idx="973">
                  <c:v>5.309414880809054E-2</c:v>
                </c:pt>
                <c:pt idx="974">
                  <c:v>4.7216188407453986E-2</c:v>
                </c:pt>
                <c:pt idx="975">
                  <c:v>8.8864628820960703E-2</c:v>
                </c:pt>
                <c:pt idx="976">
                  <c:v>3.3787848405855227E-2</c:v>
                </c:pt>
                <c:pt idx="977">
                  <c:v>-9.0194937445446603E-3</c:v>
                </c:pt>
                <c:pt idx="978">
                  <c:v>-1.614797416324134E-2</c:v>
                </c:pt>
                <c:pt idx="979">
                  <c:v>-1.3130408833184124E-2</c:v>
                </c:pt>
                <c:pt idx="980">
                  <c:v>1.5623425057957867E-2</c:v>
                </c:pt>
                <c:pt idx="981">
                  <c:v>-1.1611750694720127E-2</c:v>
                </c:pt>
                <c:pt idx="982">
                  <c:v>1.144693242293403E-2</c:v>
                </c:pt>
                <c:pt idx="983">
                  <c:v>-4.864489228630994E-3</c:v>
                </c:pt>
                <c:pt idx="984">
                  <c:v>-4.5889864325618514E-2</c:v>
                </c:pt>
                <c:pt idx="985">
                  <c:v>-6.6917607695524883E-3</c:v>
                </c:pt>
                <c:pt idx="986">
                  <c:v>1.3789473684210527E-2</c:v>
                </c:pt>
                <c:pt idx="987">
                  <c:v>1.4536392897933756E-3</c:v>
                </c:pt>
                <c:pt idx="988">
                  <c:v>1.9388284085018144E-2</c:v>
                </c:pt>
                <c:pt idx="989">
                  <c:v>1.1696501220504476E-2</c:v>
                </c:pt>
                <c:pt idx="990">
                  <c:v>-1.1259676284306826E-2</c:v>
                </c:pt>
                <c:pt idx="991">
                  <c:v>-1.9318759532282665E-3</c:v>
                </c:pt>
                <c:pt idx="992">
                  <c:v>-2.730236348818256E-2</c:v>
                </c:pt>
                <c:pt idx="993">
                  <c:v>-2.4612484289903643E-2</c:v>
                </c:pt>
                <c:pt idx="994">
                  <c:v>-2.7058949855041339E-2</c:v>
                </c:pt>
                <c:pt idx="995">
                  <c:v>-1.4678291579295883E-2</c:v>
                </c:pt>
                <c:pt idx="996">
                  <c:v>1.0864695340501792E-2</c:v>
                </c:pt>
                <c:pt idx="997">
                  <c:v>1.6952908587257617E-2</c:v>
                </c:pt>
                <c:pt idx="998">
                  <c:v>1.4382218348224014E-2</c:v>
                </c:pt>
                <c:pt idx="999">
                  <c:v>5.6928034371643392E-3</c:v>
                </c:pt>
                <c:pt idx="1000">
                  <c:v>5.5537754993057777E-3</c:v>
                </c:pt>
                <c:pt idx="1001">
                  <c:v>1.2533191715347849E-2</c:v>
                </c:pt>
                <c:pt idx="1002">
                  <c:v>7.1331165425364525E-3</c:v>
                </c:pt>
                <c:pt idx="1003">
                  <c:v>1.5310905114050619E-2</c:v>
                </c:pt>
                <c:pt idx="1004">
                  <c:v>-1.7542059909725072E-2</c:v>
                </c:pt>
                <c:pt idx="1005">
                  <c:v>-2.7774877310222407E-2</c:v>
                </c:pt>
                <c:pt idx="1006">
                  <c:v>-2.8138760605735152E-2</c:v>
                </c:pt>
                <c:pt idx="1007">
                  <c:v>-7.5146425019339156E-3</c:v>
                </c:pt>
                <c:pt idx="1008">
                  <c:v>7.2375013918271908E-3</c:v>
                </c:pt>
                <c:pt idx="1009">
                  <c:v>6.8538580588105242E-3</c:v>
                </c:pt>
                <c:pt idx="1010">
                  <c:v>1.383399209486166E-2</c:v>
                </c:pt>
                <c:pt idx="1011">
                  <c:v>-7.5806800952999782E-3</c:v>
                </c:pt>
                <c:pt idx="1012">
                  <c:v>6.8747271933653426E-3</c:v>
                </c:pt>
                <c:pt idx="1013">
                  <c:v>1.3872331201907446E-2</c:v>
                </c:pt>
                <c:pt idx="1014">
                  <c:v>-2.137894174238375E-3</c:v>
                </c:pt>
                <c:pt idx="1015">
                  <c:v>1.7675415104445636E-2</c:v>
                </c:pt>
                <c:pt idx="1016">
                  <c:v>1.6842105263157896E-3</c:v>
                </c:pt>
                <c:pt idx="1017">
                  <c:v>-5.2543085329970576E-4</c:v>
                </c:pt>
                <c:pt idx="1018">
                  <c:v>-2.859846493533803E-2</c:v>
                </c:pt>
                <c:pt idx="1019">
                  <c:v>-2.1647364433380237E-2</c:v>
                </c:pt>
                <c:pt idx="1020">
                  <c:v>7.9654829074012612E-3</c:v>
                </c:pt>
                <c:pt idx="1021">
                  <c:v>-1.196356053122599E-2</c:v>
                </c:pt>
                <c:pt idx="1022">
                  <c:v>2.1995112197289491E-2</c:v>
                </c:pt>
                <c:pt idx="1023">
                  <c:v>1.5434782608695652E-2</c:v>
                </c:pt>
                <c:pt idx="1024">
                  <c:v>-1.1774780560907729E-3</c:v>
                </c:pt>
                <c:pt idx="1025">
                  <c:v>1.0716964955524595E-4</c:v>
                </c:pt>
                <c:pt idx="1026">
                  <c:v>-4.6078011144449205E-3</c:v>
                </c:pt>
                <c:pt idx="1027">
                  <c:v>-2.9497254817526106E-2</c:v>
                </c:pt>
                <c:pt idx="1028">
                  <c:v>-1.7748197448696618E-2</c:v>
                </c:pt>
                <c:pt idx="1029">
                  <c:v>-2.7442123094297007E-2</c:v>
                </c:pt>
                <c:pt idx="1030">
                  <c:v>-2.2062238736646539E-3</c:v>
                </c:pt>
                <c:pt idx="1031">
                  <c:v>-3.4912137786570463E-3</c:v>
                </c:pt>
                <c:pt idx="1032">
                  <c:v>1.7517225271516991E-3</c:v>
                </c:pt>
                <c:pt idx="1033">
                  <c:v>8.0438330613196544E-3</c:v>
                </c:pt>
                <c:pt idx="1034">
                  <c:v>-1.5034115878339308E-2</c:v>
                </c:pt>
                <c:pt idx="1035">
                  <c:v>-2.3717271339673593E-2</c:v>
                </c:pt>
                <c:pt idx="1036">
                  <c:v>-3.7402285027059529E-2</c:v>
                </c:pt>
                <c:pt idx="1037">
                  <c:v>-1.1619190404797601E-2</c:v>
                </c:pt>
                <c:pt idx="1038">
                  <c:v>6.8259385665529011E-3</c:v>
                </c:pt>
                <c:pt idx="1039">
                  <c:v>3.5279347143753921E-2</c:v>
                </c:pt>
                <c:pt idx="1040">
                  <c:v>2.5224351200582102E-2</c:v>
                </c:pt>
                <c:pt idx="1041">
                  <c:v>-4.7314880529926665E-3</c:v>
                </c:pt>
                <c:pt idx="1042">
                  <c:v>2.1392916567625386E-3</c:v>
                </c:pt>
                <c:pt idx="1043">
                  <c:v>-1.6366223908918405E-2</c:v>
                </c:pt>
                <c:pt idx="1044">
                  <c:v>2.4113817217265494E-4</c:v>
                </c:pt>
                <c:pt idx="1045">
                  <c:v>3.6644165863066541E-2</c:v>
                </c:pt>
                <c:pt idx="1046">
                  <c:v>2.3604651162790698E-2</c:v>
                </c:pt>
                <c:pt idx="1047">
                  <c:v>4.2031125752584348E-3</c:v>
                </c:pt>
                <c:pt idx="1048">
                  <c:v>-3.3936651583710408E-3</c:v>
                </c:pt>
                <c:pt idx="1049">
                  <c:v>8.8535754824063569E-3</c:v>
                </c:pt>
                <c:pt idx="1050">
                  <c:v>-4.9504950495049506E-3</c:v>
                </c:pt>
                <c:pt idx="1051">
                  <c:v>3.0303030303030304E-2</c:v>
                </c:pt>
                <c:pt idx="1052">
                  <c:v>1.2401229148375768E-2</c:v>
                </c:pt>
                <c:pt idx="1053">
                  <c:v>5.8536585365853658E-3</c:v>
                </c:pt>
                <c:pt idx="1054">
                  <c:v>1.6704386248518159E-2</c:v>
                </c:pt>
                <c:pt idx="1055">
                  <c:v>1.0281958872164512E-2</c:v>
                </c:pt>
                <c:pt idx="1056">
                  <c:v>2.1193998531109013E-2</c:v>
                </c:pt>
                <c:pt idx="1057">
                  <c:v>5.5481352101099356E-3</c:v>
                </c:pt>
                <c:pt idx="1058">
                  <c:v>6.3349340962501281E-3</c:v>
                </c:pt>
                <c:pt idx="1059">
                  <c:v>-1.2590110671134126E-2</c:v>
                </c:pt>
                <c:pt idx="1060">
                  <c:v>-3.9074550128534707E-3</c:v>
                </c:pt>
                <c:pt idx="1061">
                  <c:v>-3.4066274388355527E-3</c:v>
                </c:pt>
                <c:pt idx="1062">
                  <c:v>4.7648643049513157E-3</c:v>
                </c:pt>
                <c:pt idx="1063">
                  <c:v>7.2164948453608247E-4</c:v>
                </c:pt>
                <c:pt idx="1064">
                  <c:v>-3.1935716493252291E-3</c:v>
                </c:pt>
                <c:pt idx="1065">
                  <c:v>-1.0748243075651096E-2</c:v>
                </c:pt>
                <c:pt idx="1066">
                  <c:v>-3.5520267446719597E-3</c:v>
                </c:pt>
                <c:pt idx="1067">
                  <c:v>4.3824701195219126E-2</c:v>
                </c:pt>
                <c:pt idx="1068">
                  <c:v>5.4238650060265169E-3</c:v>
                </c:pt>
                <c:pt idx="1069">
                  <c:v>3.996003996003996E-3</c:v>
                </c:pt>
                <c:pt idx="1070">
                  <c:v>-1.0348258706467661E-2</c:v>
                </c:pt>
                <c:pt idx="1071">
                  <c:v>-3.1972652322541727E-2</c:v>
                </c:pt>
                <c:pt idx="1072">
                  <c:v>1.3502285002077274E-3</c:v>
                </c:pt>
                <c:pt idx="1073">
                  <c:v>-1.4417591536147703E-2</c:v>
                </c:pt>
                <c:pt idx="1074">
                  <c:v>-1.4102294253841297E-2</c:v>
                </c:pt>
                <c:pt idx="1075">
                  <c:v>-1.4944491887275833E-2</c:v>
                </c:pt>
                <c:pt idx="1076">
                  <c:v>-1.8205461638491547E-2</c:v>
                </c:pt>
                <c:pt idx="1077">
                  <c:v>1.1037527593818985E-3</c:v>
                </c:pt>
                <c:pt idx="1078">
                  <c:v>-2.4807056229327454E-2</c:v>
                </c:pt>
                <c:pt idx="1079">
                  <c:v>-2.0350480497456191E-2</c:v>
                </c:pt>
                <c:pt idx="1080">
                  <c:v>1.3156376226197346E-2</c:v>
                </c:pt>
                <c:pt idx="1081">
                  <c:v>-9.9100125299009002E-3</c:v>
                </c:pt>
                <c:pt idx="1082">
                  <c:v>-1.0354348826507134E-3</c:v>
                </c:pt>
                <c:pt idx="1083">
                  <c:v>-2.1190832661522514E-2</c:v>
                </c:pt>
                <c:pt idx="1084">
                  <c:v>-1.2942699141075421E-2</c:v>
                </c:pt>
                <c:pt idx="1085">
                  <c:v>-3.9337227321492429E-3</c:v>
                </c:pt>
                <c:pt idx="1086">
                  <c:v>2.8841550981330781E-2</c:v>
                </c:pt>
                <c:pt idx="1087">
                  <c:v>-5.1180644410840992E-3</c:v>
                </c:pt>
                <c:pt idx="1088">
                  <c:v>-8.1842628317549404E-3</c:v>
                </c:pt>
                <c:pt idx="1089">
                  <c:v>1.0727337026995167E-2</c:v>
                </c:pt>
                <c:pt idx="1090">
                  <c:v>-1.7611383251691159E-2</c:v>
                </c:pt>
                <c:pt idx="1091">
                  <c:v>3.5735486168823459E-2</c:v>
                </c:pt>
                <c:pt idx="1092">
                  <c:v>7.336084364970197E-3</c:v>
                </c:pt>
                <c:pt idx="1093">
                  <c:v>1.6272189349112426E-2</c:v>
                </c:pt>
                <c:pt idx="1094">
                  <c:v>1.5899675288321577E-2</c:v>
                </c:pt>
                <c:pt idx="1095">
                  <c:v>4.4086851096660423E-4</c:v>
                </c:pt>
                <c:pt idx="1096">
                  <c:v>-2.0160846094524624E-2</c:v>
                </c:pt>
                <c:pt idx="1097">
                  <c:v>-3.5979311895659997E-2</c:v>
                </c:pt>
                <c:pt idx="1098">
                  <c:v>-2.927455096804292E-2</c:v>
                </c:pt>
                <c:pt idx="1099">
                  <c:v>-1.8262645680643997E-2</c:v>
                </c:pt>
                <c:pt idx="1100">
                  <c:v>1.2605556235466895E-2</c:v>
                </c:pt>
                <c:pt idx="1101">
                  <c:v>2.6710176456369351E-2</c:v>
                </c:pt>
                <c:pt idx="1102">
                  <c:v>3.2842848734549734E-2</c:v>
                </c:pt>
                <c:pt idx="1103">
                  <c:v>1.8577615682698882E-2</c:v>
                </c:pt>
                <c:pt idx="1104">
                  <c:v>-3.1330424079668794E-3</c:v>
                </c:pt>
                <c:pt idx="1105">
                  <c:v>-2.6153328095184645E-2</c:v>
                </c:pt>
                <c:pt idx="1106">
                  <c:v>3.9188566159520516E-3</c:v>
                </c:pt>
                <c:pt idx="1107">
                  <c:v>-2.0665901262916187E-3</c:v>
                </c:pt>
                <c:pt idx="1108">
                  <c:v>1.1274735388863323E-2</c:v>
                </c:pt>
                <c:pt idx="1109">
                  <c:v>1.4675767918088738E-2</c:v>
                </c:pt>
                <c:pt idx="1110">
                  <c:v>-8.9696154277385358E-4</c:v>
                </c:pt>
                <c:pt idx="1111">
                  <c:v>1.7955336101447648E-2</c:v>
                </c:pt>
                <c:pt idx="1112">
                  <c:v>-1.0031970014331386E-2</c:v>
                </c:pt>
                <c:pt idx="1113">
                  <c:v>1.8930957683741649E-3</c:v>
                </c:pt>
                <c:pt idx="1114">
                  <c:v>-2.3341113704568191E-3</c:v>
                </c:pt>
                <c:pt idx="1115">
                  <c:v>-1.7825311942959002E-2</c:v>
                </c:pt>
                <c:pt idx="1116">
                  <c:v>3.5617059891107077E-2</c:v>
                </c:pt>
                <c:pt idx="1117">
                  <c:v>9.8576122672508221E-3</c:v>
                </c:pt>
                <c:pt idx="1118">
                  <c:v>5.3145336225596529E-3</c:v>
                </c:pt>
                <c:pt idx="1119">
                  <c:v>2.5892760815621967E-2</c:v>
                </c:pt>
                <c:pt idx="1120">
                  <c:v>-1.8929435271847723E-2</c:v>
                </c:pt>
                <c:pt idx="1121">
                  <c:v>2.6798156286847465E-3</c:v>
                </c:pt>
                <c:pt idx="1122">
                  <c:v>-1.4966859097712208E-3</c:v>
                </c:pt>
                <c:pt idx="1123">
                  <c:v>-2.7623126338329765E-2</c:v>
                </c:pt>
                <c:pt idx="1124">
                  <c:v>1.2992732878220656E-2</c:v>
                </c:pt>
                <c:pt idx="1125">
                  <c:v>-1.4565217391304348E-2</c:v>
                </c:pt>
                <c:pt idx="1126">
                  <c:v>-2.0405912199426429E-2</c:v>
                </c:pt>
                <c:pt idx="1127">
                  <c:v>-1.2948992230604662E-2</c:v>
                </c:pt>
                <c:pt idx="1128">
                  <c:v>2.7378507871321013E-3</c:v>
                </c:pt>
                <c:pt idx="1129">
                  <c:v>3.8680318543799774E-3</c:v>
                </c:pt>
                <c:pt idx="1130">
                  <c:v>1.5412511332728921E-2</c:v>
                </c:pt>
                <c:pt idx="1131">
                  <c:v>-1.2053571428571429E-2</c:v>
                </c:pt>
                <c:pt idx="1132">
                  <c:v>-9.2634432896520555E-3</c:v>
                </c:pt>
                <c:pt idx="1133">
                  <c:v>7.2976054732041048E-3</c:v>
                </c:pt>
                <c:pt idx="1134">
                  <c:v>-1.3244283450305637E-2</c:v>
                </c:pt>
                <c:pt idx="1135">
                  <c:v>1.8469656992084433E-2</c:v>
                </c:pt>
                <c:pt idx="1136">
                  <c:v>-2.9736427123225953E-2</c:v>
                </c:pt>
                <c:pt idx="1137">
                  <c:v>3.1344323194799164E-3</c:v>
                </c:pt>
                <c:pt idx="1138">
                  <c:v>2.3608378659877329E-2</c:v>
                </c:pt>
                <c:pt idx="1139">
                  <c:v>-6.7834934991520632E-3</c:v>
                </c:pt>
                <c:pt idx="1140">
                  <c:v>-2.105862265224815E-2</c:v>
                </c:pt>
                <c:pt idx="1141">
                  <c:v>-2.0930232558139536E-3</c:v>
                </c:pt>
                <c:pt idx="1142">
                  <c:v>-1.2001864367280355E-2</c:v>
                </c:pt>
                <c:pt idx="1143">
                  <c:v>4.6821559146125721E-2</c:v>
                </c:pt>
                <c:pt idx="1144">
                  <c:v>1.9265434880576835E-2</c:v>
                </c:pt>
                <c:pt idx="1145">
                  <c:v>-3.8686857521830439E-3</c:v>
                </c:pt>
                <c:pt idx="1146">
                  <c:v>-3.9946737683089215E-3</c:v>
                </c:pt>
                <c:pt idx="1147">
                  <c:v>-4.1555258467023175E-2</c:v>
                </c:pt>
                <c:pt idx="1148">
                  <c:v>1.4297338137858887E-2</c:v>
                </c:pt>
                <c:pt idx="1149">
                  <c:v>6.7614027045610819E-3</c:v>
                </c:pt>
                <c:pt idx="1150">
                  <c:v>8.7649402390438252E-3</c:v>
                </c:pt>
                <c:pt idx="1151">
                  <c:v>8.4631008801624909E-3</c:v>
                </c:pt>
                <c:pt idx="1152">
                  <c:v>-1.1189437171310282E-3</c:v>
                </c:pt>
                <c:pt idx="1153">
                  <c:v>-2.4308278256973227E-2</c:v>
                </c:pt>
                <c:pt idx="1154">
                  <c:v>2.2962112514351321E-3</c:v>
                </c:pt>
                <c:pt idx="1155">
                  <c:v>3.0469644902634593E-2</c:v>
                </c:pt>
                <c:pt idx="1156">
                  <c:v>-5.4468652734548685E-3</c:v>
                </c:pt>
                <c:pt idx="1157">
                  <c:v>1.3859394210349837E-2</c:v>
                </c:pt>
                <c:pt idx="1158">
                  <c:v>-1.3890420019843457E-2</c:v>
                </c:pt>
                <c:pt idx="1159">
                  <c:v>-2.6607043040804919E-2</c:v>
                </c:pt>
                <c:pt idx="1160">
                  <c:v>1.2748363385781555E-2</c:v>
                </c:pt>
                <c:pt idx="1161">
                  <c:v>4.649580403719664E-3</c:v>
                </c:pt>
                <c:pt idx="1162">
                  <c:v>-5.1924596455581893E-3</c:v>
                </c:pt>
                <c:pt idx="1163">
                  <c:v>6.6946556223760351E-3</c:v>
                </c:pt>
                <c:pt idx="1164">
                  <c:v>-3.3814247069431923E-4</c:v>
                </c:pt>
                <c:pt idx="1165">
                  <c:v>6.6523847107903935E-3</c:v>
                </c:pt>
                <c:pt idx="1166">
                  <c:v>2.4193548387096774E-2</c:v>
                </c:pt>
                <c:pt idx="1167">
                  <c:v>1.6404199475065617E-3</c:v>
                </c:pt>
                <c:pt idx="1168">
                  <c:v>-4.9132001310186703E-3</c:v>
                </c:pt>
                <c:pt idx="1169">
                  <c:v>-1.3495720868992759E-2</c:v>
                </c:pt>
                <c:pt idx="1170">
                  <c:v>-1.412523634745857E-2</c:v>
                </c:pt>
                <c:pt idx="1171">
                  <c:v>1.4553249097472925E-2</c:v>
                </c:pt>
                <c:pt idx="1172">
                  <c:v>-1.0230179028132993E-2</c:v>
                </c:pt>
                <c:pt idx="1173">
                  <c:v>0</c:v>
                </c:pt>
                <c:pt idx="1174">
                  <c:v>-6.1790810021345914E-3</c:v>
                </c:pt>
                <c:pt idx="1175">
                  <c:v>-4.0357223603888763E-2</c:v>
                </c:pt>
              </c:numCache>
            </c:numRef>
          </c:val>
          <c:smooth val="0"/>
          <c:extLst>
            <c:ext xmlns:c16="http://schemas.microsoft.com/office/drawing/2014/chart" uri="{C3380CC4-5D6E-409C-BE32-E72D297353CC}">
              <c16:uniqueId val="{00000000-B8CF-4A46-9B30-A5EA3E65C454}"/>
            </c:ext>
          </c:extLst>
        </c:ser>
        <c:dLbls>
          <c:showLegendKey val="0"/>
          <c:showVal val="0"/>
          <c:showCatName val="0"/>
          <c:showSerName val="0"/>
          <c:showPercent val="0"/>
          <c:showBubbleSize val="0"/>
        </c:dLbls>
        <c:smooth val="0"/>
        <c:axId val="668120984"/>
        <c:axId val="668121376"/>
      </c:lineChart>
      <c:catAx>
        <c:axId val="668120984"/>
        <c:scaling>
          <c:orientation val="minMax"/>
        </c:scaling>
        <c:delete val="0"/>
        <c:axPos val="b"/>
        <c:majorTickMark val="out"/>
        <c:minorTickMark val="none"/>
        <c:tickLblPos val="nextTo"/>
        <c:crossAx val="668121376"/>
        <c:crosses val="autoZero"/>
        <c:auto val="1"/>
        <c:lblAlgn val="ctr"/>
        <c:lblOffset val="100"/>
        <c:noMultiLvlLbl val="0"/>
      </c:catAx>
      <c:valAx>
        <c:axId val="668121376"/>
        <c:scaling>
          <c:orientation val="minMax"/>
        </c:scaling>
        <c:delete val="0"/>
        <c:axPos val="l"/>
        <c:majorGridlines/>
        <c:numFmt formatCode="0.0%" sourceLinked="1"/>
        <c:majorTickMark val="out"/>
        <c:minorTickMark val="none"/>
        <c:tickLblPos val="nextTo"/>
        <c:crossAx val="668120984"/>
        <c:crosses val="autoZero"/>
        <c:crossBetween val="between"/>
        <c:majorUnit val="2.0000000000000011E-2"/>
      </c:valAx>
    </c:plotArea>
    <c:legend>
      <c:legendPos val="r"/>
      <c:overlay val="0"/>
    </c:legend>
    <c:plotVisOnly val="1"/>
    <c:dispBlanksAs val="gap"/>
    <c:showDLblsOverMax val="0"/>
  </c:chart>
  <c:printSettings>
    <c:headerFooter/>
    <c:pageMargins b="0.75000000000000111" l="0.70000000000000062" r="0.70000000000000062" t="0.750000000000001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'Imported Prod Trend'!$I$25:$I$1200</c:f>
              <c:numCache>
                <c:formatCode>0.0%</c:formatCode>
                <c:ptCount val="1176"/>
                <c:pt idx="0">
                  <c:v>3.108211818879509E-2</c:v>
                </c:pt>
                <c:pt idx="1">
                  <c:v>-8.2620022329735768E-2</c:v>
                </c:pt>
                <c:pt idx="2">
                  <c:v>4.7870182555780932E-2</c:v>
                </c:pt>
                <c:pt idx="3">
                  <c:v>-0.18854045683313975</c:v>
                </c:pt>
                <c:pt idx="4">
                  <c:v>-0.11259541984732824</c:v>
                </c:pt>
                <c:pt idx="5">
                  <c:v>3.2258064516129031E-2</c:v>
                </c:pt>
                <c:pt idx="6">
                  <c:v>-0.11666666666666667</c:v>
                </c:pt>
                <c:pt idx="7">
                  <c:v>9.8466981132075471E-2</c:v>
                </c:pt>
                <c:pt idx="8">
                  <c:v>-7.5147611379495442E-3</c:v>
                </c:pt>
                <c:pt idx="9">
                  <c:v>-8.5992428339643046E-2</c:v>
                </c:pt>
                <c:pt idx="10">
                  <c:v>8.7573964497041426E-2</c:v>
                </c:pt>
                <c:pt idx="11">
                  <c:v>-3.1011969532100107E-2</c:v>
                </c:pt>
                <c:pt idx="12">
                  <c:v>3.4250421111734979E-2</c:v>
                </c:pt>
                <c:pt idx="13">
                  <c:v>0.1259500542888165</c:v>
                </c:pt>
                <c:pt idx="14">
                  <c:v>-7.4252651880424306E-2</c:v>
                </c:pt>
                <c:pt idx="15">
                  <c:v>0.12812499999999999</c:v>
                </c:pt>
                <c:pt idx="16">
                  <c:v>3.139427516158818E-2</c:v>
                </c:pt>
                <c:pt idx="17">
                  <c:v>2.6857654431512983E-3</c:v>
                </c:pt>
                <c:pt idx="18">
                  <c:v>9.8214285714285712E-2</c:v>
                </c:pt>
                <c:pt idx="19">
                  <c:v>-4.5528455284552849E-2</c:v>
                </c:pt>
                <c:pt idx="20">
                  <c:v>-4.2589437819420784E-4</c:v>
                </c:pt>
                <c:pt idx="21">
                  <c:v>-3.6216446527481891E-2</c:v>
                </c:pt>
                <c:pt idx="22">
                  <c:v>-4.5092838196286469E-2</c:v>
                </c:pt>
                <c:pt idx="23">
                  <c:v>-2.1296296296296296E-2</c:v>
                </c:pt>
                <c:pt idx="24">
                  <c:v>1.4191106906338695E-2</c:v>
                </c:pt>
                <c:pt idx="25">
                  <c:v>2.3320895522388058E-3</c:v>
                </c:pt>
                <c:pt idx="26">
                  <c:v>1.3959981386691485E-3</c:v>
                </c:pt>
                <c:pt idx="27">
                  <c:v>8.7360594795539037E-2</c:v>
                </c:pt>
                <c:pt idx="28">
                  <c:v>-2.9059829059829061E-2</c:v>
                </c:pt>
                <c:pt idx="29">
                  <c:v>-3.3010563380281688E-2</c:v>
                </c:pt>
                <c:pt idx="30">
                  <c:v>-3.0951297223486572E-2</c:v>
                </c:pt>
                <c:pt idx="31">
                  <c:v>-7.0925317050258341E-2</c:v>
                </c:pt>
                <c:pt idx="32">
                  <c:v>-5.9656218402426693E-2</c:v>
                </c:pt>
                <c:pt idx="33">
                  <c:v>1.6129032258064516E-2</c:v>
                </c:pt>
                <c:pt idx="34">
                  <c:v>-6.4550264550264552E-2</c:v>
                </c:pt>
                <c:pt idx="35">
                  <c:v>-8.8235294117647065E-2</c:v>
                </c:pt>
                <c:pt idx="36">
                  <c:v>-9.3052109181141433E-3</c:v>
                </c:pt>
                <c:pt idx="37">
                  <c:v>-2.7551659361302442E-2</c:v>
                </c:pt>
                <c:pt idx="38">
                  <c:v>6.1815840309079204E-2</c:v>
                </c:pt>
                <c:pt idx="39">
                  <c:v>2.6076409945421469E-2</c:v>
                </c:pt>
                <c:pt idx="40">
                  <c:v>3.1323877068557916E-2</c:v>
                </c:pt>
                <c:pt idx="41">
                  <c:v>1.8338108882521489E-2</c:v>
                </c:pt>
                <c:pt idx="42">
                  <c:v>5.6837366347777155E-2</c:v>
                </c:pt>
                <c:pt idx="43">
                  <c:v>2.1299254526091589E-3</c:v>
                </c:pt>
                <c:pt idx="44">
                  <c:v>6.69500531349628E-2</c:v>
                </c:pt>
                <c:pt idx="45">
                  <c:v>-3.5358565737051796E-2</c:v>
                </c:pt>
                <c:pt idx="46">
                  <c:v>-2.4780588538977799E-2</c:v>
                </c:pt>
                <c:pt idx="47">
                  <c:v>-5.5055584965590258E-2</c:v>
                </c:pt>
                <c:pt idx="48">
                  <c:v>-1.9047619047619049E-2</c:v>
                </c:pt>
                <c:pt idx="49">
                  <c:v>-2.1701884637350087E-2</c:v>
                </c:pt>
                <c:pt idx="50">
                  <c:v>-3.5026269702276708E-2</c:v>
                </c:pt>
                <c:pt idx="51">
                  <c:v>3.5087719298245612E-2</c:v>
                </c:pt>
                <c:pt idx="52">
                  <c:v>-0.10695499707773232</c:v>
                </c:pt>
                <c:pt idx="53">
                  <c:v>-6.2827225130890049E-2</c:v>
                </c:pt>
                <c:pt idx="54">
                  <c:v>-7.8910614525139658E-2</c:v>
                </c:pt>
                <c:pt idx="55">
                  <c:v>-7.657316148597422E-2</c:v>
                </c:pt>
                <c:pt idx="56">
                  <c:v>7.4712643678160925E-2</c:v>
                </c:pt>
                <c:pt idx="57">
                  <c:v>1.6042780748663103E-2</c:v>
                </c:pt>
                <c:pt idx="58">
                  <c:v>1.2030075187969926E-2</c:v>
                </c:pt>
                <c:pt idx="59">
                  <c:v>4.6062407132243688E-2</c:v>
                </c:pt>
                <c:pt idx="60">
                  <c:v>2.4147727272727272E-2</c:v>
                </c:pt>
                <c:pt idx="61">
                  <c:v>2.2191400832177532E-2</c:v>
                </c:pt>
                <c:pt idx="62">
                  <c:v>8.2767978290366348E-2</c:v>
                </c:pt>
                <c:pt idx="63">
                  <c:v>7.2681704260651625E-2</c:v>
                </c:pt>
                <c:pt idx="64">
                  <c:v>-5.2570093457943922E-3</c:v>
                </c:pt>
                <c:pt idx="65">
                  <c:v>0.10510863182618908</c:v>
                </c:pt>
                <c:pt idx="66">
                  <c:v>-3.5600425079702444E-2</c:v>
                </c:pt>
                <c:pt idx="67">
                  <c:v>-1.7630853994490357E-2</c:v>
                </c:pt>
                <c:pt idx="68">
                  <c:v>5.3280987100392599E-2</c:v>
                </c:pt>
                <c:pt idx="69">
                  <c:v>-6.6560170394036208E-2</c:v>
                </c:pt>
                <c:pt idx="70">
                  <c:v>4.5636052481460354E-2</c:v>
                </c:pt>
                <c:pt idx="71">
                  <c:v>-1.5275504637206765E-2</c:v>
                </c:pt>
                <c:pt idx="72">
                  <c:v>-2.8808864265927978E-2</c:v>
                </c:pt>
                <c:pt idx="73">
                  <c:v>2.4529378208784942E-2</c:v>
                </c:pt>
                <c:pt idx="74">
                  <c:v>-8.4075723830734972E-2</c:v>
                </c:pt>
                <c:pt idx="75">
                  <c:v>3.2218844984802431E-2</c:v>
                </c:pt>
                <c:pt idx="76">
                  <c:v>-8.5983510011778563E-2</c:v>
                </c:pt>
                <c:pt idx="77">
                  <c:v>1.7396907216494846E-2</c:v>
                </c:pt>
                <c:pt idx="78">
                  <c:v>1.4566181127295756E-2</c:v>
                </c:pt>
                <c:pt idx="79">
                  <c:v>-6.2421972534332086E-4</c:v>
                </c:pt>
                <c:pt idx="80">
                  <c:v>9.3691442848219869E-2</c:v>
                </c:pt>
                <c:pt idx="81">
                  <c:v>1.1422044545973729E-3</c:v>
                </c:pt>
                <c:pt idx="82">
                  <c:v>7.13063320022818E-2</c:v>
                </c:pt>
                <c:pt idx="83">
                  <c:v>-4.2598509052183174E-2</c:v>
                </c:pt>
                <c:pt idx="84">
                  <c:v>5.9510567296996664E-2</c:v>
                </c:pt>
                <c:pt idx="85">
                  <c:v>-7.0866141732283464E-2</c:v>
                </c:pt>
                <c:pt idx="86">
                  <c:v>3.5028248587570622E-2</c:v>
                </c:pt>
                <c:pt idx="87">
                  <c:v>2.4017467248908297E-2</c:v>
                </c:pt>
                <c:pt idx="88">
                  <c:v>-9.5948827292110878E-2</c:v>
                </c:pt>
                <c:pt idx="89">
                  <c:v>1.5919811320754717E-2</c:v>
                </c:pt>
                <c:pt idx="90">
                  <c:v>-6.32617527568195E-2</c:v>
                </c:pt>
                <c:pt idx="91">
                  <c:v>2.1685254027261461E-2</c:v>
                </c:pt>
                <c:pt idx="92">
                  <c:v>8.3080654942389323E-2</c:v>
                </c:pt>
                <c:pt idx="93">
                  <c:v>5.2631578947368418E-2</c:v>
                </c:pt>
                <c:pt idx="94">
                  <c:v>3.8297872340425532E-2</c:v>
                </c:pt>
                <c:pt idx="95">
                  <c:v>-1.9979508196721313E-2</c:v>
                </c:pt>
                <c:pt idx="96">
                  <c:v>-4.9660219550444328E-2</c:v>
                </c:pt>
                <c:pt idx="97">
                  <c:v>2.8602860286028604E-2</c:v>
                </c:pt>
                <c:pt idx="98">
                  <c:v>1.6042780748663103E-2</c:v>
                </c:pt>
                <c:pt idx="99">
                  <c:v>-5.263157894736842E-4</c:v>
                </c:pt>
                <c:pt idx="100">
                  <c:v>-7.582938388625593E-2</c:v>
                </c:pt>
                <c:pt idx="101">
                  <c:v>-5.6980056980056981E-2</c:v>
                </c:pt>
                <c:pt idx="102">
                  <c:v>-8.3383685800604235E-2</c:v>
                </c:pt>
                <c:pt idx="103">
                  <c:v>2.9004614370468029E-2</c:v>
                </c:pt>
                <c:pt idx="104">
                  <c:v>2.9468289557975657E-2</c:v>
                </c:pt>
                <c:pt idx="105">
                  <c:v>1.9290603609209707E-2</c:v>
                </c:pt>
                <c:pt idx="106">
                  <c:v>1.4041514041514042E-2</c:v>
                </c:pt>
                <c:pt idx="107">
                  <c:v>1.9265502709211318E-2</c:v>
                </c:pt>
                <c:pt idx="108">
                  <c:v>-4.134672179562906E-3</c:v>
                </c:pt>
                <c:pt idx="109">
                  <c:v>2.491103202846975E-2</c:v>
                </c:pt>
                <c:pt idx="110">
                  <c:v>-6.655092592592593E-2</c:v>
                </c:pt>
                <c:pt idx="111">
                  <c:v>-1.5499070055796652E-2</c:v>
                </c:pt>
                <c:pt idx="112">
                  <c:v>6.9269521410579345E-3</c:v>
                </c:pt>
                <c:pt idx="113">
                  <c:v>-3.0018761726078799E-2</c:v>
                </c:pt>
                <c:pt idx="114">
                  <c:v>9.9290780141843976E-2</c:v>
                </c:pt>
                <c:pt idx="115">
                  <c:v>-2.873900293255132E-2</c:v>
                </c:pt>
                <c:pt idx="116">
                  <c:v>0.1213768115942029</c:v>
                </c:pt>
                <c:pt idx="117">
                  <c:v>-6.462035541195477E-3</c:v>
                </c:pt>
                <c:pt idx="118">
                  <c:v>1.3008130081300813E-2</c:v>
                </c:pt>
                <c:pt idx="119">
                  <c:v>-4.1733547351524881E-2</c:v>
                </c:pt>
                <c:pt idx="120">
                  <c:v>-8.5427135678391955E-2</c:v>
                </c:pt>
                <c:pt idx="121">
                  <c:v>9.5848595848595855E-2</c:v>
                </c:pt>
                <c:pt idx="122">
                  <c:v>-6.9080779944289697E-2</c:v>
                </c:pt>
                <c:pt idx="123">
                  <c:v>3.5308198683423102E-2</c:v>
                </c:pt>
                <c:pt idx="124">
                  <c:v>-3.9884393063583816E-2</c:v>
                </c:pt>
                <c:pt idx="125">
                  <c:v>-2.6490066225165563E-2</c:v>
                </c:pt>
                <c:pt idx="126">
                  <c:v>9.894867037724181E-2</c:v>
                </c:pt>
                <c:pt idx="127">
                  <c:v>9.0039392234102424E-3</c:v>
                </c:pt>
                <c:pt idx="128">
                  <c:v>-3.7925264919129953E-2</c:v>
                </c:pt>
                <c:pt idx="129">
                  <c:v>-1.3333333333333334E-2</c:v>
                </c:pt>
                <c:pt idx="130">
                  <c:v>-8.0493537015276145E-2</c:v>
                </c:pt>
                <c:pt idx="131">
                  <c:v>1.7891373801916934E-2</c:v>
                </c:pt>
                <c:pt idx="132">
                  <c:v>0.1098556183301946</c:v>
                </c:pt>
                <c:pt idx="133">
                  <c:v>-1.414027149321267E-2</c:v>
                </c:pt>
                <c:pt idx="134">
                  <c:v>3.3849684452094089E-2</c:v>
                </c:pt>
                <c:pt idx="135">
                  <c:v>4.2730299667036627E-2</c:v>
                </c:pt>
                <c:pt idx="136">
                  <c:v>-3.1931878658861094E-3</c:v>
                </c:pt>
                <c:pt idx="137">
                  <c:v>-8.0085424452749597E-3</c:v>
                </c:pt>
                <c:pt idx="138">
                  <c:v>4.5748116254036596E-2</c:v>
                </c:pt>
                <c:pt idx="139">
                  <c:v>-3.1394750386001029E-2</c:v>
                </c:pt>
                <c:pt idx="140">
                  <c:v>3.2943676939426139E-2</c:v>
                </c:pt>
                <c:pt idx="141">
                  <c:v>-1.1831275720164609E-2</c:v>
                </c:pt>
                <c:pt idx="142">
                  <c:v>-4.372722540343571E-2</c:v>
                </c:pt>
                <c:pt idx="143">
                  <c:v>3.6472509526401742E-2</c:v>
                </c:pt>
                <c:pt idx="144">
                  <c:v>-8.8760504201680676E-2</c:v>
                </c:pt>
                <c:pt idx="145">
                  <c:v>1.4409221902017291E-2</c:v>
                </c:pt>
                <c:pt idx="146">
                  <c:v>1.8181818181818181E-2</c:v>
                </c:pt>
                <c:pt idx="147">
                  <c:v>-2.9575892857142856E-2</c:v>
                </c:pt>
                <c:pt idx="148">
                  <c:v>4.3703277745830937E-2</c:v>
                </c:pt>
                <c:pt idx="149">
                  <c:v>9.9173553719008271E-3</c:v>
                </c:pt>
                <c:pt idx="150">
                  <c:v>-3.8188761593016913E-3</c:v>
                </c:pt>
                <c:pt idx="151">
                  <c:v>4.9288061336254109E-2</c:v>
                </c:pt>
                <c:pt idx="152">
                  <c:v>1.2004175365344467E-2</c:v>
                </c:pt>
                <c:pt idx="153">
                  <c:v>-2.2692109334708613E-2</c:v>
                </c:pt>
                <c:pt idx="154">
                  <c:v>4.9076517150395779E-2</c:v>
                </c:pt>
                <c:pt idx="155">
                  <c:v>-0.12072434607645875</c:v>
                </c:pt>
                <c:pt idx="156">
                  <c:v>1.3729977116704805E-2</c:v>
                </c:pt>
                <c:pt idx="157">
                  <c:v>3.9503386004514675E-2</c:v>
                </c:pt>
                <c:pt idx="158">
                  <c:v>-1.9543973941368076E-2</c:v>
                </c:pt>
                <c:pt idx="159">
                  <c:v>2.5470653377630121E-2</c:v>
                </c:pt>
                <c:pt idx="160">
                  <c:v>-4.4816414686825054E-2</c:v>
                </c:pt>
                <c:pt idx="161">
                  <c:v>-8.818541548897682E-2</c:v>
                </c:pt>
                <c:pt idx="162">
                  <c:v>-2.9138251704897707E-2</c:v>
                </c:pt>
                <c:pt idx="163">
                  <c:v>0.10025542784163474</c:v>
                </c:pt>
                <c:pt idx="164">
                  <c:v>6.6744051073708649E-2</c:v>
                </c:pt>
                <c:pt idx="165">
                  <c:v>3.5908596300326445E-2</c:v>
                </c:pt>
                <c:pt idx="166">
                  <c:v>-4.0441176470588237E-2</c:v>
                </c:pt>
                <c:pt idx="167">
                  <c:v>-3.4482758620689655E-2</c:v>
                </c:pt>
                <c:pt idx="168">
                  <c:v>-4.2517006802721087E-2</c:v>
                </c:pt>
                <c:pt idx="169">
                  <c:v>-5.3285968028419185E-3</c:v>
                </c:pt>
                <c:pt idx="170">
                  <c:v>7.7380952380952384E-2</c:v>
                </c:pt>
                <c:pt idx="171">
                  <c:v>-8.6740331491712702E-2</c:v>
                </c:pt>
                <c:pt idx="172">
                  <c:v>5.2631578947368418E-2</c:v>
                </c:pt>
                <c:pt idx="173">
                  <c:v>4.3678160919540229E-2</c:v>
                </c:pt>
                <c:pt idx="174">
                  <c:v>-0.10572687224669604</c:v>
                </c:pt>
                <c:pt idx="175">
                  <c:v>5.972906403940887E-2</c:v>
                </c:pt>
                <c:pt idx="176">
                  <c:v>-5.05520046484602E-2</c:v>
                </c:pt>
                <c:pt idx="177">
                  <c:v>-1.1015911872705019E-2</c:v>
                </c:pt>
                <c:pt idx="178">
                  <c:v>4.9504950495049507E-2</c:v>
                </c:pt>
                <c:pt idx="179">
                  <c:v>-5.011792452830189E-2</c:v>
                </c:pt>
                <c:pt idx="180">
                  <c:v>6.207324643078833E-4</c:v>
                </c:pt>
                <c:pt idx="181">
                  <c:v>-1.9851116625310174E-2</c:v>
                </c:pt>
                <c:pt idx="182">
                  <c:v>0.10253164556962026</c:v>
                </c:pt>
                <c:pt idx="183">
                  <c:v>7.0608495981630312E-2</c:v>
                </c:pt>
                <c:pt idx="184">
                  <c:v>-2.4664879356568366E-2</c:v>
                </c:pt>
                <c:pt idx="185">
                  <c:v>3.9032435404068172E-2</c:v>
                </c:pt>
                <c:pt idx="186">
                  <c:v>-0.11322751322751323</c:v>
                </c:pt>
                <c:pt idx="187">
                  <c:v>3.5799522673031028E-3</c:v>
                </c:pt>
                <c:pt idx="188">
                  <c:v>-1.6052318668252082E-2</c:v>
                </c:pt>
                <c:pt idx="189">
                  <c:v>-3.5045317220543805E-2</c:v>
                </c:pt>
                <c:pt idx="190">
                  <c:v>6.887914840325611E-2</c:v>
                </c:pt>
                <c:pt idx="191">
                  <c:v>-6.9712946690099586E-2</c:v>
                </c:pt>
                <c:pt idx="192">
                  <c:v>6.8010075566750636E-2</c:v>
                </c:pt>
                <c:pt idx="193">
                  <c:v>2.7122641509433963E-2</c:v>
                </c:pt>
                <c:pt idx="194">
                  <c:v>4.1331802525832378E-2</c:v>
                </c:pt>
                <c:pt idx="195">
                  <c:v>9.5920617420066148E-2</c:v>
                </c:pt>
                <c:pt idx="196">
                  <c:v>-5.2313883299798795E-2</c:v>
                </c:pt>
                <c:pt idx="197">
                  <c:v>5.3078556263269636E-3</c:v>
                </c:pt>
                <c:pt idx="198">
                  <c:v>-0.10876451953537487</c:v>
                </c:pt>
                <c:pt idx="199">
                  <c:v>-1.5402843601895734E-2</c:v>
                </c:pt>
                <c:pt idx="200">
                  <c:v>8.0625752105896509E-2</c:v>
                </c:pt>
                <c:pt idx="201">
                  <c:v>-3.2293986636971049E-2</c:v>
                </c:pt>
                <c:pt idx="202">
                  <c:v>9.2059838895281933E-3</c:v>
                </c:pt>
                <c:pt idx="203">
                  <c:v>-0.10433295324971494</c:v>
                </c:pt>
                <c:pt idx="204">
                  <c:v>-7.8930617441120302E-2</c:v>
                </c:pt>
                <c:pt idx="205">
                  <c:v>3.3172080165860401E-2</c:v>
                </c:pt>
                <c:pt idx="206">
                  <c:v>-1.8729096989966554E-2</c:v>
                </c:pt>
                <c:pt idx="207">
                  <c:v>0.1138377641445126</c:v>
                </c:pt>
                <c:pt idx="208">
                  <c:v>5.8139534883720929E-2</c:v>
                </c:pt>
                <c:pt idx="209">
                  <c:v>1.8507807981492191E-2</c:v>
                </c:pt>
                <c:pt idx="210">
                  <c:v>0.14366837024417944</c:v>
                </c:pt>
                <c:pt idx="211">
                  <c:v>1.0427010923535254E-2</c:v>
                </c:pt>
                <c:pt idx="212">
                  <c:v>-1.0810810810810811E-2</c:v>
                </c:pt>
                <c:pt idx="213">
                  <c:v>4.967709885742673E-2</c:v>
                </c:pt>
                <c:pt idx="214">
                  <c:v>-2.5082820634169428E-2</c:v>
                </c:pt>
                <c:pt idx="215">
                  <c:v>-2.0388349514563107E-2</c:v>
                </c:pt>
                <c:pt idx="216">
                  <c:v>1.8830525272547076E-2</c:v>
                </c:pt>
                <c:pt idx="217">
                  <c:v>-6.4202334630350189E-2</c:v>
                </c:pt>
                <c:pt idx="218">
                  <c:v>-3.6382536382536385E-2</c:v>
                </c:pt>
                <c:pt idx="219">
                  <c:v>1.9417475728155338E-2</c:v>
                </c:pt>
                <c:pt idx="220">
                  <c:v>-9.5767195767195765E-2</c:v>
                </c:pt>
                <c:pt idx="221">
                  <c:v>1.7554125219426564E-2</c:v>
                </c:pt>
                <c:pt idx="222">
                  <c:v>-1.6101207590569294E-2</c:v>
                </c:pt>
                <c:pt idx="223">
                  <c:v>-1.4611338398597311E-2</c:v>
                </c:pt>
                <c:pt idx="224">
                  <c:v>0.13345195729537365</c:v>
                </c:pt>
                <c:pt idx="225">
                  <c:v>-8.6865515436944013E-2</c:v>
                </c:pt>
                <c:pt idx="226">
                  <c:v>5.5587392550143264E-2</c:v>
                </c:pt>
                <c:pt idx="227">
                  <c:v>-6.1889250814332247E-2</c:v>
                </c:pt>
                <c:pt idx="228">
                  <c:v>-6.1342592592592594E-2</c:v>
                </c:pt>
                <c:pt idx="229">
                  <c:v>1.4180024660912454E-2</c:v>
                </c:pt>
                <c:pt idx="230">
                  <c:v>-3.0395136778115502E-2</c:v>
                </c:pt>
                <c:pt idx="231">
                  <c:v>-2.5078369905956114E-3</c:v>
                </c:pt>
                <c:pt idx="232">
                  <c:v>0.11942174732872407</c:v>
                </c:pt>
                <c:pt idx="233">
                  <c:v>2.5828186412128019E-2</c:v>
                </c:pt>
                <c:pt idx="234">
                  <c:v>1.3136288998357963E-2</c:v>
                </c:pt>
                <c:pt idx="235">
                  <c:v>3.6196650459211235E-2</c:v>
                </c:pt>
                <c:pt idx="236">
                  <c:v>7.2992700729927005E-3</c:v>
                </c:pt>
                <c:pt idx="237">
                  <c:v>8.2815734989648039E-3</c:v>
                </c:pt>
                <c:pt idx="238">
                  <c:v>7.1868583162217657E-3</c:v>
                </c:pt>
                <c:pt idx="239">
                  <c:v>1.0193679918450561E-2</c:v>
                </c:pt>
                <c:pt idx="240">
                  <c:v>-0.13269424823410697</c:v>
                </c:pt>
                <c:pt idx="241">
                  <c:v>-2.0942408376963352E-2</c:v>
                </c:pt>
                <c:pt idx="242">
                  <c:v>-4.6345811051693407E-2</c:v>
                </c:pt>
                <c:pt idx="243">
                  <c:v>-3.1152647975077882E-2</c:v>
                </c:pt>
                <c:pt idx="244">
                  <c:v>4.5659163987138263E-2</c:v>
                </c:pt>
                <c:pt idx="245">
                  <c:v>-4.3665436654366542E-2</c:v>
                </c:pt>
                <c:pt idx="246">
                  <c:v>-5.5948553054662377E-2</c:v>
                </c:pt>
                <c:pt idx="247">
                  <c:v>1.9073569482288829E-2</c:v>
                </c:pt>
                <c:pt idx="248">
                  <c:v>2.4732620320855617E-2</c:v>
                </c:pt>
                <c:pt idx="249">
                  <c:v>0.10697977821265492</c:v>
                </c:pt>
                <c:pt idx="250">
                  <c:v>2.6517383618149676E-2</c:v>
                </c:pt>
                <c:pt idx="251">
                  <c:v>-2.8702640642939151E-2</c:v>
                </c:pt>
                <c:pt idx="252">
                  <c:v>1.8912529550827423E-2</c:v>
                </c:pt>
                <c:pt idx="253">
                  <c:v>-0.11832946635730858</c:v>
                </c:pt>
                <c:pt idx="254">
                  <c:v>1.5789473684210527E-2</c:v>
                </c:pt>
                <c:pt idx="255">
                  <c:v>-1.0362694300518135E-2</c:v>
                </c:pt>
                <c:pt idx="256">
                  <c:v>-9.1623036649214659E-2</c:v>
                </c:pt>
                <c:pt idx="257">
                  <c:v>0.10014409221902017</c:v>
                </c:pt>
                <c:pt idx="258">
                  <c:v>-5.1080550098231828E-2</c:v>
                </c:pt>
                <c:pt idx="259">
                  <c:v>-2.139406487232574E-2</c:v>
                </c:pt>
                <c:pt idx="260">
                  <c:v>-6.6290550070521856E-2</c:v>
                </c:pt>
                <c:pt idx="261">
                  <c:v>4.5317220543806651E-3</c:v>
                </c:pt>
                <c:pt idx="262">
                  <c:v>4.2857142857142858E-2</c:v>
                </c:pt>
                <c:pt idx="263">
                  <c:v>0.11968276856524873</c:v>
                </c:pt>
                <c:pt idx="264">
                  <c:v>4.7005795235028978E-2</c:v>
                </c:pt>
                <c:pt idx="265">
                  <c:v>1.2300123001230013E-3</c:v>
                </c:pt>
                <c:pt idx="266">
                  <c:v>-1.5356265356265357E-2</c:v>
                </c:pt>
                <c:pt idx="267">
                  <c:v>-7.797878976918278E-2</c:v>
                </c:pt>
                <c:pt idx="268">
                  <c:v>-2.571041948579161E-2</c:v>
                </c:pt>
                <c:pt idx="269">
                  <c:v>-3.1944444444444442E-2</c:v>
                </c:pt>
                <c:pt idx="270">
                  <c:v>-9.1822094691535155E-2</c:v>
                </c:pt>
                <c:pt idx="271">
                  <c:v>3.3175355450236969E-2</c:v>
                </c:pt>
                <c:pt idx="272">
                  <c:v>1.5290519877675841E-3</c:v>
                </c:pt>
                <c:pt idx="273">
                  <c:v>-9.6183206106870228E-2</c:v>
                </c:pt>
                <c:pt idx="274">
                  <c:v>0.10388513513513513</c:v>
                </c:pt>
                <c:pt idx="275">
                  <c:v>1.1476664116296864E-2</c:v>
                </c:pt>
                <c:pt idx="276">
                  <c:v>9.2284417549167927E-2</c:v>
                </c:pt>
                <c:pt idx="277">
                  <c:v>8.9335180055401656E-2</c:v>
                </c:pt>
                <c:pt idx="278">
                  <c:v>-3.6236490781945324E-2</c:v>
                </c:pt>
                <c:pt idx="279">
                  <c:v>-2.6385224274406332E-3</c:v>
                </c:pt>
                <c:pt idx="280">
                  <c:v>-9.2592592592592587E-3</c:v>
                </c:pt>
                <c:pt idx="281">
                  <c:v>2.6702269692923898E-3</c:v>
                </c:pt>
                <c:pt idx="282">
                  <c:v>1.1318242343541944E-2</c:v>
                </c:pt>
                <c:pt idx="283">
                  <c:v>3.4233048057932848E-2</c:v>
                </c:pt>
                <c:pt idx="284">
                  <c:v>-9.5480585614258432E-3</c:v>
                </c:pt>
                <c:pt idx="285">
                  <c:v>6.9408740359897178E-2</c:v>
                </c:pt>
                <c:pt idx="286">
                  <c:v>5.2283653846153848E-2</c:v>
                </c:pt>
                <c:pt idx="287">
                  <c:v>-9.6516276413478014E-2</c:v>
                </c:pt>
                <c:pt idx="288">
                  <c:v>1.643489254108723E-2</c:v>
                </c:pt>
                <c:pt idx="289">
                  <c:v>-8.5820895522388058E-2</c:v>
                </c:pt>
                <c:pt idx="290">
                  <c:v>6.8707482993197275E-2</c:v>
                </c:pt>
                <c:pt idx="291">
                  <c:v>6.3653723742838952E-2</c:v>
                </c:pt>
                <c:pt idx="292">
                  <c:v>-6.7025733093955708E-2</c:v>
                </c:pt>
                <c:pt idx="293">
                  <c:v>-2.5657472738935213E-3</c:v>
                </c:pt>
                <c:pt idx="294">
                  <c:v>-5.7877813504823149E-2</c:v>
                </c:pt>
                <c:pt idx="295">
                  <c:v>-4.5733788395904439E-2</c:v>
                </c:pt>
                <c:pt idx="296">
                  <c:v>0.10944206008583691</c:v>
                </c:pt>
                <c:pt idx="297">
                  <c:v>1.9342359767891684E-2</c:v>
                </c:pt>
                <c:pt idx="298">
                  <c:v>-6.5148640101201777E-2</c:v>
                </c:pt>
                <c:pt idx="299">
                  <c:v>-1.0825439783491205E-2</c:v>
                </c:pt>
                <c:pt idx="300">
                  <c:v>-2.188782489740082E-2</c:v>
                </c:pt>
                <c:pt idx="301">
                  <c:v>8.7412587412587409E-2</c:v>
                </c:pt>
                <c:pt idx="302">
                  <c:v>4.8874598070739551E-2</c:v>
                </c:pt>
                <c:pt idx="303">
                  <c:v>-2.452483139178418E-3</c:v>
                </c:pt>
                <c:pt idx="304">
                  <c:v>2.581438229870928E-2</c:v>
                </c:pt>
                <c:pt idx="305">
                  <c:v>-6.9502696225284599E-2</c:v>
                </c:pt>
                <c:pt idx="306">
                  <c:v>1.3522215067611075E-2</c:v>
                </c:pt>
                <c:pt idx="307">
                  <c:v>3.9390088945362133E-2</c:v>
                </c:pt>
                <c:pt idx="308">
                  <c:v>-8.6797066014669924E-2</c:v>
                </c:pt>
                <c:pt idx="309">
                  <c:v>6.7603748326639887E-2</c:v>
                </c:pt>
                <c:pt idx="310">
                  <c:v>5.0783699059561128E-2</c:v>
                </c:pt>
                <c:pt idx="311">
                  <c:v>6.8019093078758947E-2</c:v>
                </c:pt>
                <c:pt idx="312">
                  <c:v>8.1005586592178769E-2</c:v>
                </c:pt>
                <c:pt idx="313">
                  <c:v>-3.6175710594315244E-3</c:v>
                </c:pt>
                <c:pt idx="314">
                  <c:v>-5.3423236514522819E-2</c:v>
                </c:pt>
                <c:pt idx="315">
                  <c:v>-5.5342465753424656E-2</c:v>
                </c:pt>
                <c:pt idx="316">
                  <c:v>1.2761020881670533E-2</c:v>
                </c:pt>
                <c:pt idx="317">
                  <c:v>-6.9301260022909511E-2</c:v>
                </c:pt>
                <c:pt idx="318">
                  <c:v>3.323076923076923E-2</c:v>
                </c:pt>
                <c:pt idx="319">
                  <c:v>7.3257891602144132E-2</c:v>
                </c:pt>
                <c:pt idx="320">
                  <c:v>1.0543840177580466E-2</c:v>
                </c:pt>
                <c:pt idx="321">
                  <c:v>4.7226798462383306E-2</c:v>
                </c:pt>
                <c:pt idx="322">
                  <c:v>4.8767697954902989E-2</c:v>
                </c:pt>
                <c:pt idx="323">
                  <c:v>-4.7E-2</c:v>
                </c:pt>
                <c:pt idx="324">
                  <c:v>-4.354669464847849E-2</c:v>
                </c:pt>
                <c:pt idx="325">
                  <c:v>-3.1267142073505214E-2</c:v>
                </c:pt>
                <c:pt idx="326">
                  <c:v>1.245753114382786E-2</c:v>
                </c:pt>
                <c:pt idx="327">
                  <c:v>-3.9149888143176735E-3</c:v>
                </c:pt>
                <c:pt idx="328">
                  <c:v>2.7512633352049412E-2</c:v>
                </c:pt>
                <c:pt idx="329">
                  <c:v>1.8579234972677595E-2</c:v>
                </c:pt>
                <c:pt idx="330">
                  <c:v>-5.7403433476394851E-2</c:v>
                </c:pt>
                <c:pt idx="331">
                  <c:v>-1.1383039271485486E-2</c:v>
                </c:pt>
                <c:pt idx="332">
                  <c:v>2.1301093839953943E-2</c:v>
                </c:pt>
                <c:pt idx="333">
                  <c:v>-1.2401352874859075E-2</c:v>
                </c:pt>
                <c:pt idx="334">
                  <c:v>-5.194063926940639E-2</c:v>
                </c:pt>
                <c:pt idx="335">
                  <c:v>3.7928958458759786E-2</c:v>
                </c:pt>
                <c:pt idx="336">
                  <c:v>-7.5406032482598612E-2</c:v>
                </c:pt>
                <c:pt idx="337">
                  <c:v>6.2735257214554575E-4</c:v>
                </c:pt>
                <c:pt idx="338">
                  <c:v>0.11097178683385579</c:v>
                </c:pt>
                <c:pt idx="339">
                  <c:v>-6.6591422121896157E-2</c:v>
                </c:pt>
                <c:pt idx="340">
                  <c:v>-2.8415961305925032E-2</c:v>
                </c:pt>
                <c:pt idx="341">
                  <c:v>5.6004978220286245E-2</c:v>
                </c:pt>
                <c:pt idx="342">
                  <c:v>-2.8285209192692989E-2</c:v>
                </c:pt>
                <c:pt idx="343">
                  <c:v>5.9429957550030318E-2</c:v>
                </c:pt>
                <c:pt idx="344">
                  <c:v>-2.8048082427017746E-2</c:v>
                </c:pt>
                <c:pt idx="345">
                  <c:v>-2.4146054181389872E-2</c:v>
                </c:pt>
                <c:pt idx="346">
                  <c:v>-9.0525045262522634E-3</c:v>
                </c:pt>
                <c:pt idx="347">
                  <c:v>1.2789281364190013E-2</c:v>
                </c:pt>
                <c:pt idx="348">
                  <c:v>7.0354780517137699E-2</c:v>
                </c:pt>
                <c:pt idx="349">
                  <c:v>4.4943820224719105E-3</c:v>
                </c:pt>
                <c:pt idx="350">
                  <c:v>-1.2304250559284116E-2</c:v>
                </c:pt>
                <c:pt idx="351">
                  <c:v>6.3420158550396372E-2</c:v>
                </c:pt>
                <c:pt idx="352">
                  <c:v>1.4909478168264111E-2</c:v>
                </c:pt>
                <c:pt idx="353">
                  <c:v>-1.888772298006296E-2</c:v>
                </c:pt>
                <c:pt idx="354">
                  <c:v>-4.3315508021390371E-2</c:v>
                </c:pt>
                <c:pt idx="355">
                  <c:v>-8.0491894913359424E-2</c:v>
                </c:pt>
                <c:pt idx="356">
                  <c:v>1.82370820668693E-2</c:v>
                </c:pt>
                <c:pt idx="357">
                  <c:v>2.6268656716417909E-2</c:v>
                </c:pt>
                <c:pt idx="358">
                  <c:v>-1.6870273414776031E-2</c:v>
                </c:pt>
                <c:pt idx="359">
                  <c:v>5.6213017751479293E-2</c:v>
                </c:pt>
                <c:pt idx="360">
                  <c:v>8.9635854341736688E-3</c:v>
                </c:pt>
                <c:pt idx="361">
                  <c:v>4.2754025541365905E-2</c:v>
                </c:pt>
                <c:pt idx="362">
                  <c:v>6.8157614483493084E-2</c:v>
                </c:pt>
                <c:pt idx="363">
                  <c:v>4.1874376869391827E-2</c:v>
                </c:pt>
                <c:pt idx="364">
                  <c:v>-4.449760765550239E-2</c:v>
                </c:pt>
                <c:pt idx="365">
                  <c:v>-2.6039058587881823E-2</c:v>
                </c:pt>
                <c:pt idx="366">
                  <c:v>4.0616966580976861E-2</c:v>
                </c:pt>
                <c:pt idx="367">
                  <c:v>-0.10573122529644269</c:v>
                </c:pt>
                <c:pt idx="368">
                  <c:v>9.668508287292818E-2</c:v>
                </c:pt>
                <c:pt idx="369">
                  <c:v>1.4105793450881612E-2</c:v>
                </c:pt>
                <c:pt idx="370">
                  <c:v>-3.129657228017884E-2</c:v>
                </c:pt>
                <c:pt idx="371">
                  <c:v>6.3076923076923072E-2</c:v>
                </c:pt>
                <c:pt idx="372">
                  <c:v>-7.9112397491558129E-2</c:v>
                </c:pt>
                <c:pt idx="373">
                  <c:v>1.9381875327396544E-2</c:v>
                </c:pt>
                <c:pt idx="374">
                  <c:v>3.9568345323741004E-2</c:v>
                </c:pt>
                <c:pt idx="375">
                  <c:v>4.9431537320810681E-3</c:v>
                </c:pt>
                <c:pt idx="376">
                  <c:v>4.9680275454992623E-2</c:v>
                </c:pt>
                <c:pt idx="377">
                  <c:v>-5.8106841611996252E-2</c:v>
                </c:pt>
                <c:pt idx="378">
                  <c:v>-4.4278606965174126E-2</c:v>
                </c:pt>
                <c:pt idx="379">
                  <c:v>1.9260801665799063E-2</c:v>
                </c:pt>
                <c:pt idx="380">
                  <c:v>3.268641470888662E-2</c:v>
                </c:pt>
                <c:pt idx="381">
                  <c:v>3.3135509396636995E-2</c:v>
                </c:pt>
                <c:pt idx="382">
                  <c:v>-4.7869794159885112E-4</c:v>
                </c:pt>
                <c:pt idx="383">
                  <c:v>-3.6877394636015325E-2</c:v>
                </c:pt>
                <c:pt idx="384">
                  <c:v>-4.1770263550472399E-2</c:v>
                </c:pt>
                <c:pt idx="385">
                  <c:v>-3.4250129735339904E-2</c:v>
                </c:pt>
                <c:pt idx="386">
                  <c:v>6.1794734013970981E-2</c:v>
                </c:pt>
                <c:pt idx="387">
                  <c:v>-6.983805668016195E-2</c:v>
                </c:pt>
                <c:pt idx="388">
                  <c:v>2.6659412404787811E-2</c:v>
                </c:pt>
                <c:pt idx="389">
                  <c:v>1.589825119236884E-3</c:v>
                </c:pt>
                <c:pt idx="390">
                  <c:v>-4.2857142857142858E-2</c:v>
                </c:pt>
                <c:pt idx="391">
                  <c:v>-1.1055831951354339E-2</c:v>
                </c:pt>
                <c:pt idx="392">
                  <c:v>-3.6333147009502513E-2</c:v>
                </c:pt>
                <c:pt idx="393">
                  <c:v>1.5081206496519721E-2</c:v>
                </c:pt>
                <c:pt idx="394">
                  <c:v>-5.8285714285714288E-2</c:v>
                </c:pt>
                <c:pt idx="395">
                  <c:v>3.5194174757281552E-2</c:v>
                </c:pt>
                <c:pt idx="396">
                  <c:v>-1.9343493552168817E-2</c:v>
                </c:pt>
                <c:pt idx="397">
                  <c:v>-1.1954572624028692E-2</c:v>
                </c:pt>
                <c:pt idx="398">
                  <c:v>6.7755595886267395E-2</c:v>
                </c:pt>
                <c:pt idx="399">
                  <c:v>4.3626062322946177E-2</c:v>
                </c:pt>
                <c:pt idx="400">
                  <c:v>5.9717698154180239E-3</c:v>
                </c:pt>
                <c:pt idx="401">
                  <c:v>-9.7139773340528864E-3</c:v>
                </c:pt>
                <c:pt idx="402">
                  <c:v>-6.103542234332425E-2</c:v>
                </c:pt>
                <c:pt idx="403">
                  <c:v>2.2054556006964595E-2</c:v>
                </c:pt>
                <c:pt idx="404">
                  <c:v>-3.5207268597387847E-2</c:v>
                </c:pt>
                <c:pt idx="405">
                  <c:v>-3.4726309593878756E-2</c:v>
                </c:pt>
                <c:pt idx="406">
                  <c:v>-1.2195121951219513E-2</c:v>
                </c:pt>
                <c:pt idx="407">
                  <c:v>-8.0246913580246909E-2</c:v>
                </c:pt>
                <c:pt idx="408">
                  <c:v>8.3221476510067116E-2</c:v>
                </c:pt>
                <c:pt idx="409">
                  <c:v>-2.5402726146220571E-2</c:v>
                </c:pt>
                <c:pt idx="410">
                  <c:v>2.8607755880483154E-2</c:v>
                </c:pt>
                <c:pt idx="411">
                  <c:v>4.573547589616811E-2</c:v>
                </c:pt>
                <c:pt idx="412">
                  <c:v>-7.5650118203309691E-2</c:v>
                </c:pt>
                <c:pt idx="413">
                  <c:v>3.0051150895140665E-2</c:v>
                </c:pt>
                <c:pt idx="414">
                  <c:v>-5.5865921787709499E-3</c:v>
                </c:pt>
                <c:pt idx="415">
                  <c:v>4.3695380774032462E-3</c:v>
                </c:pt>
                <c:pt idx="416">
                  <c:v>7.0229956494717222E-2</c:v>
                </c:pt>
                <c:pt idx="417">
                  <c:v>2.3809523809523808E-2</c:v>
                </c:pt>
                <c:pt idx="418">
                  <c:v>-9.0754395916052191E-3</c:v>
                </c:pt>
                <c:pt idx="419">
                  <c:v>3.4344590726960507E-2</c:v>
                </c:pt>
                <c:pt idx="420">
                  <c:v>-8.5777531820697292E-2</c:v>
                </c:pt>
                <c:pt idx="421">
                  <c:v>5.0847457627118647E-2</c:v>
                </c:pt>
                <c:pt idx="422">
                  <c:v>4.9539170506912443E-2</c:v>
                </c:pt>
                <c:pt idx="423">
                  <c:v>-5.4335894621295282E-2</c:v>
                </c:pt>
                <c:pt idx="424">
                  <c:v>4.9912942542077773E-2</c:v>
                </c:pt>
                <c:pt idx="425">
                  <c:v>1.9900497512437811E-2</c:v>
                </c:pt>
                <c:pt idx="426">
                  <c:v>-3.3062330623306234E-2</c:v>
                </c:pt>
                <c:pt idx="427">
                  <c:v>6.4461883408071755E-2</c:v>
                </c:pt>
                <c:pt idx="428">
                  <c:v>-2.1063717746182199E-3</c:v>
                </c:pt>
                <c:pt idx="429">
                  <c:v>-5.1187335092348282E-2</c:v>
                </c:pt>
                <c:pt idx="430">
                  <c:v>3.9488320355951054E-2</c:v>
                </c:pt>
                <c:pt idx="431">
                  <c:v>-2.1401819154628142E-3</c:v>
                </c:pt>
                <c:pt idx="432">
                  <c:v>3.2171581769436996E-3</c:v>
                </c:pt>
                <c:pt idx="433">
                  <c:v>2.6189203634420097E-2</c:v>
                </c:pt>
                <c:pt idx="434">
                  <c:v>3.0208333333333334E-2</c:v>
                </c:pt>
                <c:pt idx="435">
                  <c:v>-2.0728008088978768E-2</c:v>
                </c:pt>
                <c:pt idx="436">
                  <c:v>1.7552916881775942E-2</c:v>
                </c:pt>
                <c:pt idx="437">
                  <c:v>1.4205986808726534E-2</c:v>
                </c:pt>
                <c:pt idx="438">
                  <c:v>-5.7028514257128564E-2</c:v>
                </c:pt>
                <c:pt idx="439">
                  <c:v>-4.5092838196286469E-2</c:v>
                </c:pt>
                <c:pt idx="440">
                  <c:v>1.1666666666666667E-2</c:v>
                </c:pt>
                <c:pt idx="441">
                  <c:v>-6.4250411861614495E-2</c:v>
                </c:pt>
                <c:pt idx="442">
                  <c:v>-1.1150234741784037E-2</c:v>
                </c:pt>
                <c:pt idx="443">
                  <c:v>-2.7893175074183978E-2</c:v>
                </c:pt>
                <c:pt idx="444">
                  <c:v>5.0671550671550672E-2</c:v>
                </c:pt>
                <c:pt idx="445">
                  <c:v>1.3364323067983731E-2</c:v>
                </c:pt>
                <c:pt idx="446">
                  <c:v>1.834862385321101E-2</c:v>
                </c:pt>
                <c:pt idx="447">
                  <c:v>3.1531531531531529E-2</c:v>
                </c:pt>
                <c:pt idx="448">
                  <c:v>-5.6222707423580785E-2</c:v>
                </c:pt>
                <c:pt idx="449">
                  <c:v>3.7593984962406013E-2</c:v>
                </c:pt>
                <c:pt idx="450">
                  <c:v>-9.47603121516165E-3</c:v>
                </c:pt>
                <c:pt idx="451">
                  <c:v>5.346088913899831E-2</c:v>
                </c:pt>
                <c:pt idx="452">
                  <c:v>2.8846153846153848E-2</c:v>
                </c:pt>
                <c:pt idx="453">
                  <c:v>-1.8691588785046728E-2</c:v>
                </c:pt>
                <c:pt idx="454">
                  <c:v>2.6455026455026454E-3</c:v>
                </c:pt>
                <c:pt idx="455">
                  <c:v>2.849604221635884E-2</c:v>
                </c:pt>
                <c:pt idx="456">
                  <c:v>-6.5161621344279122E-2</c:v>
                </c:pt>
                <c:pt idx="457">
                  <c:v>3.6223929747530186E-2</c:v>
                </c:pt>
                <c:pt idx="458">
                  <c:v>-3.6016949152542374E-2</c:v>
                </c:pt>
                <c:pt idx="459">
                  <c:v>-6.4835164835164841E-2</c:v>
                </c:pt>
                <c:pt idx="460">
                  <c:v>1.7626321974148061E-2</c:v>
                </c:pt>
                <c:pt idx="461">
                  <c:v>-2.1362586605080832E-2</c:v>
                </c:pt>
                <c:pt idx="462">
                  <c:v>9.0265486725663716E-2</c:v>
                </c:pt>
                <c:pt idx="463">
                  <c:v>3.246753246753247E-3</c:v>
                </c:pt>
                <c:pt idx="464">
                  <c:v>2.8586839266450916E-2</c:v>
                </c:pt>
                <c:pt idx="465">
                  <c:v>-7.3938122705820661E-2</c:v>
                </c:pt>
                <c:pt idx="466">
                  <c:v>-4.5866364665911666E-2</c:v>
                </c:pt>
                <c:pt idx="467">
                  <c:v>1.661721068249258E-2</c:v>
                </c:pt>
                <c:pt idx="468">
                  <c:v>-3.4442498540572096E-2</c:v>
                </c:pt>
                <c:pt idx="469">
                  <c:v>9.7339782345828296E-2</c:v>
                </c:pt>
                <c:pt idx="470">
                  <c:v>5.6198347107438019E-2</c:v>
                </c:pt>
                <c:pt idx="471">
                  <c:v>-2.0865936358894107E-2</c:v>
                </c:pt>
                <c:pt idx="472">
                  <c:v>4.2621204049014386E-2</c:v>
                </c:pt>
                <c:pt idx="473">
                  <c:v>2.043944813490036E-3</c:v>
                </c:pt>
                <c:pt idx="474">
                  <c:v>-7.4961754207037226E-2</c:v>
                </c:pt>
                <c:pt idx="475">
                  <c:v>-2.4255788313120176E-2</c:v>
                </c:pt>
                <c:pt idx="476">
                  <c:v>-1.92090395480226E-2</c:v>
                </c:pt>
                <c:pt idx="477">
                  <c:v>1.2672811059907835E-2</c:v>
                </c:pt>
                <c:pt idx="478">
                  <c:v>4.1524459613196812E-2</c:v>
                </c:pt>
                <c:pt idx="479">
                  <c:v>4.2599672310212999E-2</c:v>
                </c:pt>
                <c:pt idx="480">
                  <c:v>6.6003143006809845E-2</c:v>
                </c:pt>
                <c:pt idx="481">
                  <c:v>-1.9656019656019656E-2</c:v>
                </c:pt>
                <c:pt idx="482">
                  <c:v>4.7117794486215538E-2</c:v>
                </c:pt>
                <c:pt idx="483">
                  <c:v>1.1967448539971278E-2</c:v>
                </c:pt>
                <c:pt idx="484">
                  <c:v>-4.3519394512771994E-2</c:v>
                </c:pt>
                <c:pt idx="485">
                  <c:v>5.0445103857566766E-2</c:v>
                </c:pt>
                <c:pt idx="486">
                  <c:v>-9.2278719397363471E-2</c:v>
                </c:pt>
                <c:pt idx="487">
                  <c:v>-3.2676348547717844E-2</c:v>
                </c:pt>
                <c:pt idx="488">
                  <c:v>2.1983914209115281E-2</c:v>
                </c:pt>
                <c:pt idx="489">
                  <c:v>6.2959076600209865E-3</c:v>
                </c:pt>
                <c:pt idx="490">
                  <c:v>5.8915537017726796E-2</c:v>
                </c:pt>
                <c:pt idx="491">
                  <c:v>-3.0526834071885771E-2</c:v>
                </c:pt>
                <c:pt idx="492">
                  <c:v>-2.488572879634332E-2</c:v>
                </c:pt>
                <c:pt idx="493">
                  <c:v>-4.1666666666666664E-2</c:v>
                </c:pt>
                <c:pt idx="494">
                  <c:v>2.2282608695652174E-2</c:v>
                </c:pt>
                <c:pt idx="495">
                  <c:v>5.4758107389686339E-2</c:v>
                </c:pt>
                <c:pt idx="496">
                  <c:v>-1.5120967741935484E-2</c:v>
                </c:pt>
                <c:pt idx="497">
                  <c:v>-3.5312180143295804E-2</c:v>
                </c:pt>
                <c:pt idx="498">
                  <c:v>-7.4270557029177718E-3</c:v>
                </c:pt>
                <c:pt idx="499">
                  <c:v>5.3447354355959384E-3</c:v>
                </c:pt>
                <c:pt idx="500">
                  <c:v>-5.8479532163742687E-3</c:v>
                </c:pt>
                <c:pt idx="501">
                  <c:v>2.9946524064171122E-2</c:v>
                </c:pt>
                <c:pt idx="502">
                  <c:v>-5.1921079958463139E-3</c:v>
                </c:pt>
                <c:pt idx="503">
                  <c:v>4.2275574112734866E-2</c:v>
                </c:pt>
                <c:pt idx="504">
                  <c:v>5.5583375062593893E-2</c:v>
                </c:pt>
                <c:pt idx="505">
                  <c:v>2.7988614800759013E-2</c:v>
                </c:pt>
                <c:pt idx="506">
                  <c:v>-1.6612828795569912E-2</c:v>
                </c:pt>
                <c:pt idx="507">
                  <c:v>-2.3932426091037073E-2</c:v>
                </c:pt>
                <c:pt idx="508">
                  <c:v>-8.0288461538461545E-2</c:v>
                </c:pt>
                <c:pt idx="509">
                  <c:v>-4.0773653946680609E-2</c:v>
                </c:pt>
                <c:pt idx="510">
                  <c:v>-4.6866485013623976E-2</c:v>
                </c:pt>
                <c:pt idx="511">
                  <c:v>-2.2870211549456832E-3</c:v>
                </c:pt>
                <c:pt idx="512">
                  <c:v>-8.0229226361031511E-3</c:v>
                </c:pt>
                <c:pt idx="513">
                  <c:v>-4.1594454072790298E-2</c:v>
                </c:pt>
                <c:pt idx="514">
                  <c:v>0</c:v>
                </c:pt>
                <c:pt idx="515">
                  <c:v>-2.8933092224231464E-2</c:v>
                </c:pt>
                <c:pt idx="516">
                  <c:v>7.7591558038485414E-2</c:v>
                </c:pt>
                <c:pt idx="517">
                  <c:v>2.1889400921658985E-2</c:v>
                </c:pt>
                <c:pt idx="518">
                  <c:v>4.0022547914317926E-2</c:v>
                </c:pt>
                <c:pt idx="519">
                  <c:v>4.5528455284552849E-2</c:v>
                </c:pt>
                <c:pt idx="520">
                  <c:v>9.5386210471747016E-2</c:v>
                </c:pt>
                <c:pt idx="521">
                  <c:v>7.5721722669190722E-3</c:v>
                </c:pt>
                <c:pt idx="522">
                  <c:v>2.489431658055425E-2</c:v>
                </c:pt>
                <c:pt idx="523">
                  <c:v>3.84967919340055E-2</c:v>
                </c:pt>
                <c:pt idx="524">
                  <c:v>-1.9417475728155338E-2</c:v>
                </c:pt>
                <c:pt idx="525">
                  <c:v>-1.8001800180018001E-3</c:v>
                </c:pt>
                <c:pt idx="526">
                  <c:v>1.8485121731289449E-2</c:v>
                </c:pt>
                <c:pt idx="527">
                  <c:v>-3.5413899955732624E-2</c:v>
                </c:pt>
                <c:pt idx="528">
                  <c:v>-4.9105094079853147E-2</c:v>
                </c:pt>
                <c:pt idx="529">
                  <c:v>-1.9305019305019305E-3</c:v>
                </c:pt>
                <c:pt idx="530">
                  <c:v>-7.3984526112185686E-2</c:v>
                </c:pt>
                <c:pt idx="531">
                  <c:v>-3.1853785900783291E-2</c:v>
                </c:pt>
                <c:pt idx="532">
                  <c:v>-4.0453074433656956E-2</c:v>
                </c:pt>
                <c:pt idx="533">
                  <c:v>8.2068577852726254E-2</c:v>
                </c:pt>
                <c:pt idx="534">
                  <c:v>4.987012987012987E-2</c:v>
                </c:pt>
                <c:pt idx="535">
                  <c:v>-3.414151410192974E-2</c:v>
                </c:pt>
                <c:pt idx="536">
                  <c:v>0.10092213114754098</c:v>
                </c:pt>
                <c:pt idx="537">
                  <c:v>-4.3275942298743604E-2</c:v>
                </c:pt>
                <c:pt idx="538">
                  <c:v>5.0097276264591442E-2</c:v>
                </c:pt>
                <c:pt idx="539">
                  <c:v>5.048633626679018E-2</c:v>
                </c:pt>
                <c:pt idx="540">
                  <c:v>-8.6860670194003523E-2</c:v>
                </c:pt>
                <c:pt idx="541">
                  <c:v>4.3457267020762913E-2</c:v>
                </c:pt>
                <c:pt idx="542">
                  <c:v>-5.2290606200832951E-2</c:v>
                </c:pt>
                <c:pt idx="543">
                  <c:v>-3.3203125E-2</c:v>
                </c:pt>
                <c:pt idx="544">
                  <c:v>-9.5959595959595953E-3</c:v>
                </c:pt>
                <c:pt idx="545">
                  <c:v>-7.9041305456399799E-2</c:v>
                </c:pt>
                <c:pt idx="546">
                  <c:v>2.2148394241417499E-2</c:v>
                </c:pt>
                <c:pt idx="547">
                  <c:v>6.4463705308775737E-2</c:v>
                </c:pt>
                <c:pt idx="548">
                  <c:v>2.0356234096692113E-2</c:v>
                </c:pt>
                <c:pt idx="549">
                  <c:v>1.6957605985037406E-2</c:v>
                </c:pt>
                <c:pt idx="550">
                  <c:v>-4.3158410985777343E-2</c:v>
                </c:pt>
                <c:pt idx="551">
                  <c:v>-4.3054843669912864E-2</c:v>
                </c:pt>
                <c:pt idx="552">
                  <c:v>1.9817889662560258E-2</c:v>
                </c:pt>
                <c:pt idx="553">
                  <c:v>-1.7331932773109245E-2</c:v>
                </c:pt>
                <c:pt idx="554">
                  <c:v>7.8033137359700688E-2</c:v>
                </c:pt>
                <c:pt idx="555">
                  <c:v>3.2721864154685178E-2</c:v>
                </c:pt>
                <c:pt idx="556">
                  <c:v>2.400384061449832E-3</c:v>
                </c:pt>
                <c:pt idx="557">
                  <c:v>2.2509578544061302E-2</c:v>
                </c:pt>
                <c:pt idx="558">
                  <c:v>1.5925058548009369E-2</c:v>
                </c:pt>
                <c:pt idx="559">
                  <c:v>-3.2272936837252193E-2</c:v>
                </c:pt>
                <c:pt idx="560">
                  <c:v>6.2410671748451642E-2</c:v>
                </c:pt>
                <c:pt idx="561">
                  <c:v>4.9327354260089683E-2</c:v>
                </c:pt>
                <c:pt idx="562">
                  <c:v>-7.7777777777777779E-2</c:v>
                </c:pt>
                <c:pt idx="563">
                  <c:v>2.1316033364226137E-2</c:v>
                </c:pt>
                <c:pt idx="564">
                  <c:v>-3.5390199637023591E-2</c:v>
                </c:pt>
                <c:pt idx="565">
                  <c:v>-3.6688617121354655E-2</c:v>
                </c:pt>
                <c:pt idx="566">
                  <c:v>0.14892578125</c:v>
                </c:pt>
                <c:pt idx="567">
                  <c:v>-4.6748831279218021E-2</c:v>
                </c:pt>
                <c:pt idx="568">
                  <c:v>3.3437360677663841E-2</c:v>
                </c:pt>
                <c:pt idx="569">
                  <c:v>0.16134598792062121</c:v>
                </c:pt>
                <c:pt idx="570">
                  <c:v>-1.1515601783060922E-2</c:v>
                </c:pt>
                <c:pt idx="571">
                  <c:v>8.6057872980082675E-2</c:v>
                </c:pt>
                <c:pt idx="572">
                  <c:v>4.7058823529411764E-2</c:v>
                </c:pt>
                <c:pt idx="573">
                  <c:v>-4.4613350958360873E-2</c:v>
                </c:pt>
                <c:pt idx="574">
                  <c:v>-2.9055690072639227E-2</c:v>
                </c:pt>
                <c:pt idx="575">
                  <c:v>-3.918774492340577E-3</c:v>
                </c:pt>
                <c:pt idx="576">
                  <c:v>-3.0400572246065807E-2</c:v>
                </c:pt>
                <c:pt idx="577">
                  <c:v>3.6886757654002213E-3</c:v>
                </c:pt>
                <c:pt idx="578">
                  <c:v>6.9827269386255053E-3</c:v>
                </c:pt>
                <c:pt idx="579">
                  <c:v>-5.4014598540145987E-2</c:v>
                </c:pt>
                <c:pt idx="580">
                  <c:v>-4.8611111111111112E-2</c:v>
                </c:pt>
                <c:pt idx="581">
                  <c:v>-9.7323600973236016E-2</c:v>
                </c:pt>
                <c:pt idx="582">
                  <c:v>-6.4690026954177901E-2</c:v>
                </c:pt>
                <c:pt idx="583">
                  <c:v>1.4409221902017291E-2</c:v>
                </c:pt>
                <c:pt idx="584">
                  <c:v>-1.1837121212121212E-2</c:v>
                </c:pt>
                <c:pt idx="585">
                  <c:v>5.3186391950167708E-2</c:v>
                </c:pt>
                <c:pt idx="586">
                  <c:v>6.9153776160145591E-2</c:v>
                </c:pt>
                <c:pt idx="587">
                  <c:v>-1.7872340425531916E-2</c:v>
                </c:pt>
                <c:pt idx="588">
                  <c:v>2.9029462738301561E-2</c:v>
                </c:pt>
                <c:pt idx="589">
                  <c:v>-2.1894736842105262E-2</c:v>
                </c:pt>
                <c:pt idx="590">
                  <c:v>-6.7154541541110627E-2</c:v>
                </c:pt>
                <c:pt idx="591">
                  <c:v>2.2611905860636824E-2</c:v>
                </c:pt>
                <c:pt idx="592">
                  <c:v>-1.6245487364620937E-2</c:v>
                </c:pt>
                <c:pt idx="593">
                  <c:v>-3.669724770642202E-3</c:v>
                </c:pt>
                <c:pt idx="594">
                  <c:v>3.0847145488029467E-2</c:v>
                </c:pt>
                <c:pt idx="595">
                  <c:v>-5.3148727110317102E-2</c:v>
                </c:pt>
                <c:pt idx="596">
                  <c:v>-2.1226415094339621E-2</c:v>
                </c:pt>
                <c:pt idx="597">
                  <c:v>-4.8192771084337347E-4</c:v>
                </c:pt>
                <c:pt idx="598">
                  <c:v>1.6875602700096432E-2</c:v>
                </c:pt>
                <c:pt idx="599">
                  <c:v>0.10146989094357516</c:v>
                </c:pt>
                <c:pt idx="600">
                  <c:v>-3.7021093413689192E-2</c:v>
                </c:pt>
                <c:pt idx="601">
                  <c:v>6.2583817612874388E-3</c:v>
                </c:pt>
                <c:pt idx="602">
                  <c:v>-3.5984007107952021E-2</c:v>
                </c:pt>
                <c:pt idx="603">
                  <c:v>-2.3502304147465437E-2</c:v>
                </c:pt>
                <c:pt idx="604">
                  <c:v>4.6248230297310053E-2</c:v>
                </c:pt>
                <c:pt idx="605">
                  <c:v>-5.6382498872350022E-2</c:v>
                </c:pt>
                <c:pt idx="606">
                  <c:v>2.4856596558317401E-2</c:v>
                </c:pt>
                <c:pt idx="607">
                  <c:v>7.3227611940298504E-2</c:v>
                </c:pt>
                <c:pt idx="608">
                  <c:v>3.9113428943937422E-3</c:v>
                </c:pt>
                <c:pt idx="609">
                  <c:v>6.2770562770562768E-2</c:v>
                </c:pt>
                <c:pt idx="610">
                  <c:v>-1.4663951120162933E-2</c:v>
                </c:pt>
                <c:pt idx="611">
                  <c:v>-8.9293096320793713E-2</c:v>
                </c:pt>
                <c:pt idx="612">
                  <c:v>1.8610985020426692E-2</c:v>
                </c:pt>
                <c:pt idx="613">
                  <c:v>-4.4563279857397504E-2</c:v>
                </c:pt>
                <c:pt idx="614">
                  <c:v>2.0522388059701493E-2</c:v>
                </c:pt>
                <c:pt idx="615">
                  <c:v>3.7477148080438755E-2</c:v>
                </c:pt>
                <c:pt idx="616">
                  <c:v>-1.5418502202643172E-2</c:v>
                </c:pt>
                <c:pt idx="617">
                  <c:v>-2.9530201342281879E-2</c:v>
                </c:pt>
                <c:pt idx="618">
                  <c:v>0</c:v>
                </c:pt>
                <c:pt idx="619">
                  <c:v>-3.1350852927616413E-2</c:v>
                </c:pt>
                <c:pt idx="620">
                  <c:v>-1.0947168015230843E-2</c:v>
                </c:pt>
                <c:pt idx="621">
                  <c:v>6.2560153994225223E-2</c:v>
                </c:pt>
                <c:pt idx="622">
                  <c:v>-3.2155797101449272E-2</c:v>
                </c:pt>
                <c:pt idx="623">
                  <c:v>-2.5737014506317268E-2</c:v>
                </c:pt>
                <c:pt idx="624">
                  <c:v>1.3928914505283382E-2</c:v>
                </c:pt>
                <c:pt idx="625">
                  <c:v>-1.5158692562766462E-2</c:v>
                </c:pt>
                <c:pt idx="626">
                  <c:v>-1.3949013949013949E-2</c:v>
                </c:pt>
                <c:pt idx="627">
                  <c:v>0.08</c:v>
                </c:pt>
                <c:pt idx="628">
                  <c:v>-3.297199638663053E-2</c:v>
                </c:pt>
                <c:pt idx="629">
                  <c:v>3.269500233535731E-3</c:v>
                </c:pt>
                <c:pt idx="630">
                  <c:v>1.2104283054003724E-2</c:v>
                </c:pt>
                <c:pt idx="631">
                  <c:v>-6.3017479300827961E-2</c:v>
                </c:pt>
                <c:pt idx="632">
                  <c:v>3.1418753068237604E-2</c:v>
                </c:pt>
                <c:pt idx="633">
                  <c:v>1.9990480723465015E-2</c:v>
                </c:pt>
                <c:pt idx="634">
                  <c:v>7.326178254783014E-2</c:v>
                </c:pt>
                <c:pt idx="635">
                  <c:v>3.0869565217391304E-2</c:v>
                </c:pt>
                <c:pt idx="636">
                  <c:v>1.0965837199493884E-2</c:v>
                </c:pt>
                <c:pt idx="637">
                  <c:v>-7.5093867334167707E-3</c:v>
                </c:pt>
                <c:pt idx="638">
                  <c:v>6.7255149222362337E-3</c:v>
                </c:pt>
                <c:pt idx="639">
                  <c:v>8.3507306889352823E-4</c:v>
                </c:pt>
                <c:pt idx="640">
                  <c:v>7.6762619941593654E-2</c:v>
                </c:pt>
                <c:pt idx="641">
                  <c:v>2.5571483920960869E-2</c:v>
                </c:pt>
                <c:pt idx="642">
                  <c:v>-7.7446165470343789E-2</c:v>
                </c:pt>
                <c:pt idx="643">
                  <c:v>-1.0647010647010647E-2</c:v>
                </c:pt>
                <c:pt idx="644">
                  <c:v>-0.10968543046357616</c:v>
                </c:pt>
                <c:pt idx="645">
                  <c:v>2.0455602045560205E-2</c:v>
                </c:pt>
                <c:pt idx="646">
                  <c:v>6.1503416856492028E-2</c:v>
                </c:pt>
                <c:pt idx="647">
                  <c:v>-4.2489270386266091E-2</c:v>
                </c:pt>
                <c:pt idx="648">
                  <c:v>1.8825638727028238E-2</c:v>
                </c:pt>
                <c:pt idx="649">
                  <c:v>-7.4791025076990758E-2</c:v>
                </c:pt>
                <c:pt idx="650">
                  <c:v>-3.0908226343319068E-2</c:v>
                </c:pt>
                <c:pt idx="651">
                  <c:v>8.1943081452404323E-2</c:v>
                </c:pt>
                <c:pt idx="652">
                  <c:v>-2.5850340136054421E-2</c:v>
                </c:pt>
                <c:pt idx="653">
                  <c:v>2.7932960893854749E-3</c:v>
                </c:pt>
                <c:pt idx="654">
                  <c:v>3.9925719591457756E-2</c:v>
                </c:pt>
                <c:pt idx="655">
                  <c:v>-3.2589285714285716E-2</c:v>
                </c:pt>
                <c:pt idx="656">
                  <c:v>7.4757729580064602E-2</c:v>
                </c:pt>
                <c:pt idx="657">
                  <c:v>-1.24516960068699E-2</c:v>
                </c:pt>
                <c:pt idx="658">
                  <c:v>-5.434782608695652E-2</c:v>
                </c:pt>
                <c:pt idx="659">
                  <c:v>1.1494252873563218E-2</c:v>
                </c:pt>
                <c:pt idx="660">
                  <c:v>1.1818181818181818E-2</c:v>
                </c:pt>
                <c:pt idx="661">
                  <c:v>-2.0664869721473494E-2</c:v>
                </c:pt>
                <c:pt idx="662">
                  <c:v>-1.1009174311926606E-2</c:v>
                </c:pt>
                <c:pt idx="663">
                  <c:v>2.4582560296846009E-2</c:v>
                </c:pt>
                <c:pt idx="664">
                  <c:v>7.2430964237211407E-3</c:v>
                </c:pt>
                <c:pt idx="665">
                  <c:v>5.303370786516854E-2</c:v>
                </c:pt>
                <c:pt idx="666">
                  <c:v>-9.3896713615023476E-3</c:v>
                </c:pt>
                <c:pt idx="667">
                  <c:v>4.8255062473071951E-2</c:v>
                </c:pt>
                <c:pt idx="668">
                  <c:v>-6.9872585285655573E-3</c:v>
                </c:pt>
                <c:pt idx="669">
                  <c:v>1.2417218543046357E-2</c:v>
                </c:pt>
                <c:pt idx="670">
                  <c:v>5.9280457890433361E-2</c:v>
                </c:pt>
                <c:pt idx="671">
                  <c:v>-4.5156310304901581E-2</c:v>
                </c:pt>
                <c:pt idx="672">
                  <c:v>-4.6079223928860144E-2</c:v>
                </c:pt>
                <c:pt idx="673">
                  <c:v>-1.3135593220338982E-2</c:v>
                </c:pt>
                <c:pt idx="674">
                  <c:v>2.1039072563331901E-2</c:v>
                </c:pt>
                <c:pt idx="675">
                  <c:v>-3.2800672834314551E-2</c:v>
                </c:pt>
                <c:pt idx="676">
                  <c:v>3.4347826086956523E-2</c:v>
                </c:pt>
                <c:pt idx="677">
                  <c:v>-2.185792349726776E-2</c:v>
                </c:pt>
                <c:pt idx="678">
                  <c:v>-3.0081650193382035E-3</c:v>
                </c:pt>
                <c:pt idx="679">
                  <c:v>1.9396551724137932E-2</c:v>
                </c:pt>
                <c:pt idx="680">
                  <c:v>-2.7061310782241013E-2</c:v>
                </c:pt>
                <c:pt idx="681">
                  <c:v>8.6918730986527595E-2</c:v>
                </c:pt>
                <c:pt idx="682">
                  <c:v>-3.5985605757696923E-2</c:v>
                </c:pt>
                <c:pt idx="683">
                  <c:v>6.6777270841974282E-2</c:v>
                </c:pt>
                <c:pt idx="684">
                  <c:v>0.11003110419906688</c:v>
                </c:pt>
                <c:pt idx="685">
                  <c:v>-4.4833625218914187E-2</c:v>
                </c:pt>
                <c:pt idx="686">
                  <c:v>2.9336266960029337E-2</c:v>
                </c:pt>
                <c:pt idx="687">
                  <c:v>-4.5244032775204848E-2</c:v>
                </c:pt>
                <c:pt idx="688">
                  <c:v>-0.10261194029850747</c:v>
                </c:pt>
                <c:pt idx="689">
                  <c:v>1.1226611226611227E-2</c:v>
                </c:pt>
                <c:pt idx="690">
                  <c:v>1.8914473684210526E-2</c:v>
                </c:pt>
                <c:pt idx="691">
                  <c:v>-3.0669895076674739E-2</c:v>
                </c:pt>
                <c:pt idx="692">
                  <c:v>5.5786844296419648E-2</c:v>
                </c:pt>
                <c:pt idx="693">
                  <c:v>1.6561514195583597E-2</c:v>
                </c:pt>
                <c:pt idx="694">
                  <c:v>-1.5903801396431341E-2</c:v>
                </c:pt>
                <c:pt idx="695">
                  <c:v>6.5037445802128502E-2</c:v>
                </c:pt>
                <c:pt idx="696">
                  <c:v>4.0710584752035525E-3</c:v>
                </c:pt>
                <c:pt idx="697">
                  <c:v>1.9166973829708809E-2</c:v>
                </c:pt>
                <c:pt idx="698">
                  <c:v>2.0976491862567812E-2</c:v>
                </c:pt>
                <c:pt idx="699">
                  <c:v>-1.0626992561105207E-2</c:v>
                </c:pt>
                <c:pt idx="700">
                  <c:v>-1.6469745793054064E-2</c:v>
                </c:pt>
                <c:pt idx="701">
                  <c:v>-2.8758645795413179E-2</c:v>
                </c:pt>
                <c:pt idx="702">
                  <c:v>3.7481259370314842E-3</c:v>
                </c:pt>
                <c:pt idx="703">
                  <c:v>7.0948469006721438E-3</c:v>
                </c:pt>
                <c:pt idx="704">
                  <c:v>-3.9673711531331111E-2</c:v>
                </c:pt>
                <c:pt idx="705">
                  <c:v>3.7065637065637064E-2</c:v>
                </c:pt>
                <c:pt idx="706">
                  <c:v>-3.8346984363365602E-2</c:v>
                </c:pt>
                <c:pt idx="707">
                  <c:v>3.6004645760743324E-2</c:v>
                </c:pt>
                <c:pt idx="708">
                  <c:v>1.0837070254110613E-2</c:v>
                </c:pt>
                <c:pt idx="709">
                  <c:v>-3.1053604436229204E-2</c:v>
                </c:pt>
                <c:pt idx="710">
                  <c:v>2.5562762304463946E-2</c:v>
                </c:pt>
                <c:pt idx="711">
                  <c:v>-4.538690476190476E-2</c:v>
                </c:pt>
                <c:pt idx="712">
                  <c:v>2.260327357755261E-2</c:v>
                </c:pt>
                <c:pt idx="713">
                  <c:v>-2.1341463414634148E-2</c:v>
                </c:pt>
                <c:pt idx="714">
                  <c:v>-6.269470404984423E-2</c:v>
                </c:pt>
                <c:pt idx="715">
                  <c:v>-4.8192771084337352E-2</c:v>
                </c:pt>
                <c:pt idx="716">
                  <c:v>-1.789611523352248E-2</c:v>
                </c:pt>
                <c:pt idx="717">
                  <c:v>1.3333333333333333E-3</c:v>
                </c:pt>
                <c:pt idx="718">
                  <c:v>-8.8770528184642697E-4</c:v>
                </c:pt>
                <c:pt idx="719">
                  <c:v>2.8876055086628164E-2</c:v>
                </c:pt>
                <c:pt idx="720">
                  <c:v>4.8359240069084632E-2</c:v>
                </c:pt>
                <c:pt idx="721">
                  <c:v>-4.3657331136738059E-2</c:v>
                </c:pt>
                <c:pt idx="722">
                  <c:v>2.1533161068044791E-3</c:v>
                </c:pt>
                <c:pt idx="723">
                  <c:v>-1.7189514396218308E-2</c:v>
                </c:pt>
                <c:pt idx="724">
                  <c:v>-4.8535198950590296E-2</c:v>
                </c:pt>
                <c:pt idx="725">
                  <c:v>4.3198529411764705E-2</c:v>
                </c:pt>
                <c:pt idx="726">
                  <c:v>3.9647577092511016E-2</c:v>
                </c:pt>
                <c:pt idx="727">
                  <c:v>5.9322033898305086E-2</c:v>
                </c:pt>
                <c:pt idx="728">
                  <c:v>1.4E-2</c:v>
                </c:pt>
                <c:pt idx="729">
                  <c:v>3.7475345167652857E-2</c:v>
                </c:pt>
                <c:pt idx="730">
                  <c:v>-2.1292775665399239E-2</c:v>
                </c:pt>
                <c:pt idx="731">
                  <c:v>1.554001554001554E-2</c:v>
                </c:pt>
                <c:pt idx="732">
                  <c:v>9.7169089517980103E-2</c:v>
                </c:pt>
                <c:pt idx="733">
                  <c:v>3.1380753138075313E-3</c:v>
                </c:pt>
                <c:pt idx="734">
                  <c:v>9.4890510948905105E-2</c:v>
                </c:pt>
                <c:pt idx="735">
                  <c:v>2.2222222222222222E-3</c:v>
                </c:pt>
                <c:pt idx="736">
                  <c:v>-7.5388026607538808E-2</c:v>
                </c:pt>
                <c:pt idx="737">
                  <c:v>1.0620075368276806E-2</c:v>
                </c:pt>
                <c:pt idx="738">
                  <c:v>-1.9661016949152541E-2</c:v>
                </c:pt>
                <c:pt idx="739">
                  <c:v>-2.9045643153526972E-2</c:v>
                </c:pt>
                <c:pt idx="740">
                  <c:v>5.3418803418803416E-2</c:v>
                </c:pt>
                <c:pt idx="741">
                  <c:v>-1.45368492224476E-2</c:v>
                </c:pt>
                <c:pt idx="742">
                  <c:v>-6.0720411663807893E-2</c:v>
                </c:pt>
                <c:pt idx="743">
                  <c:v>9.4959824689554422E-3</c:v>
                </c:pt>
                <c:pt idx="744">
                  <c:v>-1.9898697539797394E-2</c:v>
                </c:pt>
                <c:pt idx="745">
                  <c:v>-1.6611295681063124E-2</c:v>
                </c:pt>
                <c:pt idx="746">
                  <c:v>6.268768768768769E-2</c:v>
                </c:pt>
                <c:pt idx="747">
                  <c:v>-8.1243376898622391E-3</c:v>
                </c:pt>
                <c:pt idx="748">
                  <c:v>-6.0185185185185182E-2</c:v>
                </c:pt>
                <c:pt idx="749">
                  <c:v>4.1682455475558922E-3</c:v>
                </c:pt>
                <c:pt idx="750">
                  <c:v>-6.4150943396226413E-3</c:v>
                </c:pt>
                <c:pt idx="751">
                  <c:v>3.0383592859855677E-3</c:v>
                </c:pt>
                <c:pt idx="752">
                  <c:v>1.6281711472926921E-2</c:v>
                </c:pt>
                <c:pt idx="753">
                  <c:v>-1.564828614008942E-2</c:v>
                </c:pt>
                <c:pt idx="754">
                  <c:v>9.0840272520817562E-3</c:v>
                </c:pt>
                <c:pt idx="755">
                  <c:v>1.72543135783946E-2</c:v>
                </c:pt>
                <c:pt idx="756">
                  <c:v>4.1666666666666664E-2</c:v>
                </c:pt>
                <c:pt idx="757">
                  <c:v>2.2300884955752213E-2</c:v>
                </c:pt>
                <c:pt idx="758">
                  <c:v>-9.6952908587257611E-3</c:v>
                </c:pt>
                <c:pt idx="759">
                  <c:v>-1.3986013986013986E-3</c:v>
                </c:pt>
                <c:pt idx="760">
                  <c:v>-1.9257703081232494E-2</c:v>
                </c:pt>
                <c:pt idx="761">
                  <c:v>-9.2823991431631569E-3</c:v>
                </c:pt>
                <c:pt idx="762">
                  <c:v>-1.6216216216216217E-2</c:v>
                </c:pt>
                <c:pt idx="763">
                  <c:v>4.4322344322344324E-2</c:v>
                </c:pt>
                <c:pt idx="764">
                  <c:v>2.8411083830235006E-2</c:v>
                </c:pt>
                <c:pt idx="765">
                  <c:v>4.5702592087312414E-2</c:v>
                </c:pt>
                <c:pt idx="766">
                  <c:v>2.446183953033268E-2</c:v>
                </c:pt>
                <c:pt idx="767">
                  <c:v>-3.8522763451130211E-2</c:v>
                </c:pt>
                <c:pt idx="768">
                  <c:v>-3.0463576158940398E-2</c:v>
                </c:pt>
                <c:pt idx="769">
                  <c:v>-1.4344262295081968E-2</c:v>
                </c:pt>
                <c:pt idx="770">
                  <c:v>2.0790020790020791E-3</c:v>
                </c:pt>
                <c:pt idx="771">
                  <c:v>-9.3360995850622405E-3</c:v>
                </c:pt>
                <c:pt idx="772">
                  <c:v>1.6404886561954626E-2</c:v>
                </c:pt>
                <c:pt idx="773">
                  <c:v>2.1634615384615384E-2</c:v>
                </c:pt>
                <c:pt idx="774">
                  <c:v>-4.4705882352941179E-2</c:v>
                </c:pt>
                <c:pt idx="775">
                  <c:v>-1.864883884588318E-2</c:v>
                </c:pt>
                <c:pt idx="776">
                  <c:v>-2.8684116170670491E-2</c:v>
                </c:pt>
                <c:pt idx="777">
                  <c:v>-2.6208933185677373E-2</c:v>
                </c:pt>
                <c:pt idx="778">
                  <c:v>-3.4874905231235785E-2</c:v>
                </c:pt>
                <c:pt idx="779">
                  <c:v>8.6410054988216804E-3</c:v>
                </c:pt>
                <c:pt idx="780">
                  <c:v>3.4267912772585667E-2</c:v>
                </c:pt>
                <c:pt idx="781">
                  <c:v>1.6566265060240965E-2</c:v>
                </c:pt>
                <c:pt idx="782">
                  <c:v>9.0370370370370365E-2</c:v>
                </c:pt>
                <c:pt idx="783">
                  <c:v>1.8682065217391304E-2</c:v>
                </c:pt>
                <c:pt idx="784">
                  <c:v>2.4674891630543514E-2</c:v>
                </c:pt>
                <c:pt idx="785">
                  <c:v>2.0501138952164009E-2</c:v>
                </c:pt>
                <c:pt idx="786">
                  <c:v>-1.6262755102040817E-2</c:v>
                </c:pt>
                <c:pt idx="787">
                  <c:v>-6.482982171799027E-4</c:v>
                </c:pt>
                <c:pt idx="788">
                  <c:v>-8.108984755108661E-3</c:v>
                </c:pt>
                <c:pt idx="789">
                  <c:v>-2.9431000654022238E-2</c:v>
                </c:pt>
                <c:pt idx="790">
                  <c:v>-3.8746630727762806E-2</c:v>
                </c:pt>
                <c:pt idx="791">
                  <c:v>6.6596565019277952E-3</c:v>
                </c:pt>
                <c:pt idx="792">
                  <c:v>-1.9498607242339833E-2</c:v>
                </c:pt>
                <c:pt idx="793">
                  <c:v>3.5511363636363637E-4</c:v>
                </c:pt>
                <c:pt idx="794">
                  <c:v>5.2893148739794109E-2</c:v>
                </c:pt>
                <c:pt idx="795">
                  <c:v>3.5738368172623061E-2</c:v>
                </c:pt>
                <c:pt idx="796">
                  <c:v>9.4401041666666661E-3</c:v>
                </c:pt>
                <c:pt idx="797">
                  <c:v>2.9990325701386648E-2</c:v>
                </c:pt>
                <c:pt idx="798">
                  <c:v>-6.5748278021289918E-3</c:v>
                </c:pt>
                <c:pt idx="799">
                  <c:v>-4.7273873306019537E-2</c:v>
                </c:pt>
                <c:pt idx="800">
                  <c:v>4.9619583195501154E-3</c:v>
                </c:pt>
                <c:pt idx="801">
                  <c:v>-2.9953917050691243E-2</c:v>
                </c:pt>
                <c:pt idx="802">
                  <c:v>-1.0858500169664066E-2</c:v>
                </c:pt>
                <c:pt idx="803">
                  <c:v>7.2727272727272724E-2</c:v>
                </c:pt>
                <c:pt idx="804">
                  <c:v>-4.1573393028461782E-3</c:v>
                </c:pt>
                <c:pt idx="805">
                  <c:v>1.1560693641618497E-2</c:v>
                </c:pt>
                <c:pt idx="806">
                  <c:v>9.2063492063492059E-3</c:v>
                </c:pt>
                <c:pt idx="807">
                  <c:v>-2.8939918213274615E-2</c:v>
                </c:pt>
                <c:pt idx="808">
                  <c:v>3.1422092646582439E-2</c:v>
                </c:pt>
                <c:pt idx="809">
                  <c:v>-5.9673366834170852E-3</c:v>
                </c:pt>
                <c:pt idx="810">
                  <c:v>3.8546603475513426E-2</c:v>
                </c:pt>
                <c:pt idx="811">
                  <c:v>3.2856708244599936E-2</c:v>
                </c:pt>
                <c:pt idx="812">
                  <c:v>-3.8586156111929309E-2</c:v>
                </c:pt>
                <c:pt idx="813">
                  <c:v>3.4007352941176468E-2</c:v>
                </c:pt>
                <c:pt idx="814">
                  <c:v>3.0518518518518518E-2</c:v>
                </c:pt>
                <c:pt idx="815">
                  <c:v>-4.3128234617596318E-3</c:v>
                </c:pt>
                <c:pt idx="816">
                  <c:v>0.11839445567427086</c:v>
                </c:pt>
                <c:pt idx="817">
                  <c:v>6.0676478182287635E-2</c:v>
                </c:pt>
                <c:pt idx="818">
                  <c:v>6.6699123661148982E-2</c:v>
                </c:pt>
                <c:pt idx="819">
                  <c:v>4.0392514833409401E-2</c:v>
                </c:pt>
                <c:pt idx="820">
                  <c:v>-2.8515025224830008E-2</c:v>
                </c:pt>
                <c:pt idx="821">
                  <c:v>1.241815308195981E-2</c:v>
                </c:pt>
                <c:pt idx="822">
                  <c:v>-5.017841213202498E-2</c:v>
                </c:pt>
                <c:pt idx="823">
                  <c:v>-4.2733035923925806E-2</c:v>
                </c:pt>
                <c:pt idx="824">
                  <c:v>-1.5697817022320332E-2</c:v>
                </c:pt>
                <c:pt idx="825">
                  <c:v>-8.2731123847495633E-2</c:v>
                </c:pt>
                <c:pt idx="826">
                  <c:v>1.0323281716924749E-2</c:v>
                </c:pt>
                <c:pt idx="827">
                  <c:v>6.9911266469481047E-3</c:v>
                </c:pt>
                <c:pt idx="828">
                  <c:v>-1.9759679572763686E-2</c:v>
                </c:pt>
                <c:pt idx="829">
                  <c:v>-1.3347861618087714E-2</c:v>
                </c:pt>
                <c:pt idx="830">
                  <c:v>-2.3191606847045829E-2</c:v>
                </c:pt>
                <c:pt idx="831">
                  <c:v>3.8722442057659692E-2</c:v>
                </c:pt>
                <c:pt idx="832">
                  <c:v>2.2312925170068026E-2</c:v>
                </c:pt>
                <c:pt idx="833">
                  <c:v>1.4107000266169817E-2</c:v>
                </c:pt>
                <c:pt idx="834">
                  <c:v>-2.4934383202099737E-2</c:v>
                </c:pt>
                <c:pt idx="835">
                  <c:v>-1.0497981157469718E-2</c:v>
                </c:pt>
                <c:pt idx="836">
                  <c:v>2.4483133841131663E-3</c:v>
                </c:pt>
                <c:pt idx="837">
                  <c:v>4.8846675712347354E-3</c:v>
                </c:pt>
                <c:pt idx="838">
                  <c:v>-3.5646772886848505E-2</c:v>
                </c:pt>
                <c:pt idx="839">
                  <c:v>-5.2926351162139458E-2</c:v>
                </c:pt>
                <c:pt idx="840">
                  <c:v>-3.9917208752217624E-2</c:v>
                </c:pt>
                <c:pt idx="841">
                  <c:v>-2.7717893440098552E-2</c:v>
                </c:pt>
                <c:pt idx="842">
                  <c:v>-1.5204307887234716E-2</c:v>
                </c:pt>
                <c:pt idx="843">
                  <c:v>-1.0935992280476037E-2</c:v>
                </c:pt>
                <c:pt idx="844">
                  <c:v>-3.7723577235772361E-2</c:v>
                </c:pt>
                <c:pt idx="845">
                  <c:v>7.7053058465697877E-2</c:v>
                </c:pt>
                <c:pt idx="846">
                  <c:v>1.1295889551302165E-2</c:v>
                </c:pt>
                <c:pt idx="847">
                  <c:v>8.1600992863791494E-2</c:v>
                </c:pt>
                <c:pt idx="848">
                  <c:v>4.6471600688468159E-2</c:v>
                </c:pt>
                <c:pt idx="849">
                  <c:v>1.7269736842105265E-2</c:v>
                </c:pt>
                <c:pt idx="850">
                  <c:v>9.0811102128806248E-2</c:v>
                </c:pt>
                <c:pt idx="851">
                  <c:v>-4.00197628458498E-2</c:v>
                </c:pt>
                <c:pt idx="852">
                  <c:v>1.8528049408131755E-2</c:v>
                </c:pt>
                <c:pt idx="853">
                  <c:v>-2.9055078322385044E-2</c:v>
                </c:pt>
                <c:pt idx="854">
                  <c:v>-7.650273224043716E-2</c:v>
                </c:pt>
                <c:pt idx="855">
                  <c:v>-2.1132713440405747E-2</c:v>
                </c:pt>
                <c:pt idx="856">
                  <c:v>-9.2112838226827871E-3</c:v>
                </c:pt>
                <c:pt idx="857">
                  <c:v>-2.1208599651365484E-2</c:v>
                </c:pt>
                <c:pt idx="858">
                  <c:v>2.4042742653606411E-2</c:v>
                </c:pt>
                <c:pt idx="859">
                  <c:v>9.36231884057971E-2</c:v>
                </c:pt>
                <c:pt idx="860">
                  <c:v>-1.4312218393851047E-2</c:v>
                </c:pt>
                <c:pt idx="861">
                  <c:v>2.6351169669265932E-2</c:v>
                </c:pt>
                <c:pt idx="862">
                  <c:v>6.235263295782028E-2</c:v>
                </c:pt>
                <c:pt idx="863">
                  <c:v>-5.5733662145499387E-2</c:v>
                </c:pt>
                <c:pt idx="864">
                  <c:v>-6.5291198746408987E-3</c:v>
                </c:pt>
                <c:pt idx="865">
                  <c:v>-2.2344900105152471E-2</c:v>
                </c:pt>
                <c:pt idx="866">
                  <c:v>-7.0180155955902129E-2</c:v>
                </c:pt>
                <c:pt idx="867">
                  <c:v>1.4459224985540775E-3</c:v>
                </c:pt>
                <c:pt idx="868">
                  <c:v>-4.5625180479353163E-2</c:v>
                </c:pt>
                <c:pt idx="869">
                  <c:v>-3.540090771558245E-2</c:v>
                </c:pt>
                <c:pt idx="870">
                  <c:v>-3.7954830614805521E-2</c:v>
                </c:pt>
                <c:pt idx="871">
                  <c:v>-3.8474078904466906E-2</c:v>
                </c:pt>
                <c:pt idx="872">
                  <c:v>4.1369955917260087E-2</c:v>
                </c:pt>
                <c:pt idx="873">
                  <c:v>-9.1175512862259854E-3</c:v>
                </c:pt>
                <c:pt idx="874">
                  <c:v>9.2014459415050934E-3</c:v>
                </c:pt>
                <c:pt idx="875">
                  <c:v>-2.9306414848583521E-3</c:v>
                </c:pt>
                <c:pt idx="876">
                  <c:v>-1.5676028739386023E-2</c:v>
                </c:pt>
                <c:pt idx="877">
                  <c:v>6.6357000663570006E-4</c:v>
                </c:pt>
                <c:pt idx="878">
                  <c:v>2.9840848806366047E-2</c:v>
                </c:pt>
                <c:pt idx="879">
                  <c:v>-2.6722472633612365E-2</c:v>
                </c:pt>
                <c:pt idx="880">
                  <c:v>-1.6539861065167053E-3</c:v>
                </c:pt>
                <c:pt idx="881">
                  <c:v>6.958250497017893E-3</c:v>
                </c:pt>
                <c:pt idx="882">
                  <c:v>1.809805857189865E-2</c:v>
                </c:pt>
                <c:pt idx="883">
                  <c:v>3.2643826761473822E-2</c:v>
                </c:pt>
                <c:pt idx="884">
                  <c:v>3.5054773082942095E-2</c:v>
                </c:pt>
                <c:pt idx="885">
                  <c:v>4.566071968551557E-2</c:v>
                </c:pt>
                <c:pt idx="886">
                  <c:v>-2.1688837478311164E-2</c:v>
                </c:pt>
                <c:pt idx="887">
                  <c:v>-1.1823825007389892E-3</c:v>
                </c:pt>
                <c:pt idx="888">
                  <c:v>-6.2148564664101808E-3</c:v>
                </c:pt>
                <c:pt idx="889">
                  <c:v>-1.3103037522334724E-2</c:v>
                </c:pt>
                <c:pt idx="890">
                  <c:v>-3.7417018708509352E-2</c:v>
                </c:pt>
                <c:pt idx="891">
                  <c:v>3.3542319749216301E-2</c:v>
                </c:pt>
                <c:pt idx="892">
                  <c:v>2.1231422505307855E-3</c:v>
                </c:pt>
                <c:pt idx="893">
                  <c:v>2.8753026634382568E-2</c:v>
                </c:pt>
                <c:pt idx="894">
                  <c:v>5.2662547808178875E-2</c:v>
                </c:pt>
                <c:pt idx="895">
                  <c:v>-1.7887087758524316E-2</c:v>
                </c:pt>
                <c:pt idx="896">
                  <c:v>1.1383039271485486E-2</c:v>
                </c:pt>
                <c:pt idx="897">
                  <c:v>-9.0039392234102424E-3</c:v>
                </c:pt>
                <c:pt idx="898">
                  <c:v>4.2589437819420782E-3</c:v>
                </c:pt>
                <c:pt idx="899">
                  <c:v>1.2157195363302233E-2</c:v>
                </c:pt>
                <c:pt idx="900">
                  <c:v>5.0558659217877097E-2</c:v>
                </c:pt>
                <c:pt idx="901">
                  <c:v>-6.3812815740494546E-3</c:v>
                </c:pt>
                <c:pt idx="902">
                  <c:v>3.2914102221032915E-2</c:v>
                </c:pt>
                <c:pt idx="903">
                  <c:v>2.5388601036269429E-2</c:v>
                </c:pt>
                <c:pt idx="904">
                  <c:v>-3.7645275391611922E-2</c:v>
                </c:pt>
                <c:pt idx="905">
                  <c:v>1.6539774218955108E-2</c:v>
                </c:pt>
                <c:pt idx="906">
                  <c:v>-3.9256198347107439E-2</c:v>
                </c:pt>
                <c:pt idx="907">
                  <c:v>-1.4784946236559141E-2</c:v>
                </c:pt>
                <c:pt idx="908">
                  <c:v>2.2373806275579809E-2</c:v>
                </c:pt>
                <c:pt idx="909">
                  <c:v>-2.1884174005871365E-2</c:v>
                </c:pt>
                <c:pt idx="910">
                  <c:v>3.519781718963165E-2</c:v>
                </c:pt>
                <c:pt idx="911">
                  <c:v>-2.5303110173958882E-2</c:v>
                </c:pt>
                <c:pt idx="912">
                  <c:v>-2.3526230394808004E-2</c:v>
                </c:pt>
                <c:pt idx="913">
                  <c:v>-1.772362226530047E-2</c:v>
                </c:pt>
                <c:pt idx="914">
                  <c:v>-5.1592895404567241E-2</c:v>
                </c:pt>
                <c:pt idx="915">
                  <c:v>3.12128418549346E-2</c:v>
                </c:pt>
                <c:pt idx="916">
                  <c:v>-4.1798789276448547E-2</c:v>
                </c:pt>
                <c:pt idx="917">
                  <c:v>-4.2117930204572801E-3</c:v>
                </c:pt>
                <c:pt idx="918">
                  <c:v>-3.0211480362537764E-3</c:v>
                </c:pt>
                <c:pt idx="919">
                  <c:v>-3.6060606060606064E-2</c:v>
                </c:pt>
                <c:pt idx="920">
                  <c:v>1.5403961018547626E-2</c:v>
                </c:pt>
                <c:pt idx="921">
                  <c:v>3.9009287925696592E-2</c:v>
                </c:pt>
                <c:pt idx="922">
                  <c:v>5.1549463647199048E-2</c:v>
                </c:pt>
                <c:pt idx="923">
                  <c:v>-8.7843581751204311E-3</c:v>
                </c:pt>
                <c:pt idx="924">
                  <c:v>3.2875929102344194E-2</c:v>
                </c:pt>
                <c:pt idx="925">
                  <c:v>-1.9374481040686411E-3</c:v>
                </c:pt>
                <c:pt idx="926">
                  <c:v>-4.6866333887964504E-2</c:v>
                </c:pt>
                <c:pt idx="927">
                  <c:v>2.4148967122490542E-2</c:v>
                </c:pt>
                <c:pt idx="928">
                  <c:v>-4.6875E-2</c:v>
                </c:pt>
                <c:pt idx="929">
                  <c:v>9.8360655737704927E-3</c:v>
                </c:pt>
                <c:pt idx="930">
                  <c:v>2.036599763872491E-2</c:v>
                </c:pt>
                <c:pt idx="931">
                  <c:v>-1.1570726063060456E-3</c:v>
                </c:pt>
                <c:pt idx="932">
                  <c:v>2.6064291920069507E-3</c:v>
                </c:pt>
                <c:pt idx="933">
                  <c:v>-3.6683997689196994E-2</c:v>
                </c:pt>
                <c:pt idx="934">
                  <c:v>-2.5487256371814093E-2</c:v>
                </c:pt>
                <c:pt idx="935">
                  <c:v>-2.7692307692307693E-2</c:v>
                </c:pt>
                <c:pt idx="936">
                  <c:v>3.9240506329113925E-2</c:v>
                </c:pt>
                <c:pt idx="937">
                  <c:v>3.3495736906211937E-3</c:v>
                </c:pt>
                <c:pt idx="938">
                  <c:v>8.4673748103186647E-2</c:v>
                </c:pt>
                <c:pt idx="939">
                  <c:v>1.510912143256855E-2</c:v>
                </c:pt>
                <c:pt idx="940">
                  <c:v>-1.9294377067254685E-3</c:v>
                </c:pt>
                <c:pt idx="941">
                  <c:v>1.436067384700359E-2</c:v>
                </c:pt>
                <c:pt idx="942">
                  <c:v>-7.2964878845630271E-2</c:v>
                </c:pt>
                <c:pt idx="943">
                  <c:v>-3.524229074889868E-3</c:v>
                </c:pt>
                <c:pt idx="944">
                  <c:v>-3.3598585322723251E-2</c:v>
                </c:pt>
                <c:pt idx="945">
                  <c:v>-2.3482769136931991E-2</c:v>
                </c:pt>
                <c:pt idx="946">
                  <c:v>3.7476577139287947E-3</c:v>
                </c:pt>
                <c:pt idx="947">
                  <c:v>-6.222775357809583E-3</c:v>
                </c:pt>
                <c:pt idx="948">
                  <c:v>2.8177833437695679E-3</c:v>
                </c:pt>
                <c:pt idx="949">
                  <c:v>2.9971901342491416E-2</c:v>
                </c:pt>
                <c:pt idx="950">
                  <c:v>4.4255835101545925E-2</c:v>
                </c:pt>
                <c:pt idx="951">
                  <c:v>1.1611030478955007E-2</c:v>
                </c:pt>
                <c:pt idx="952">
                  <c:v>2.2381635581061692E-2</c:v>
                </c:pt>
                <c:pt idx="953">
                  <c:v>-8.1392085321358408E-3</c:v>
                </c:pt>
                <c:pt idx="954">
                  <c:v>-6.0554612337294852E-2</c:v>
                </c:pt>
                <c:pt idx="955">
                  <c:v>-9.0361445783132526E-3</c:v>
                </c:pt>
                <c:pt idx="956">
                  <c:v>-3.64741641337386E-3</c:v>
                </c:pt>
                <c:pt idx="957">
                  <c:v>-3.2946918852959119E-2</c:v>
                </c:pt>
                <c:pt idx="958">
                  <c:v>2.996845425867508E-2</c:v>
                </c:pt>
                <c:pt idx="959">
                  <c:v>2.3277182235834609E-2</c:v>
                </c:pt>
                <c:pt idx="960">
                  <c:v>-3.1727027835977251E-2</c:v>
                </c:pt>
                <c:pt idx="961">
                  <c:v>6.1823802163833074E-3</c:v>
                </c:pt>
                <c:pt idx="962">
                  <c:v>-1.597542242703533E-2</c:v>
                </c:pt>
                <c:pt idx="963">
                  <c:v>-2.8723072119887606E-2</c:v>
                </c:pt>
                <c:pt idx="964">
                  <c:v>1.1893281902925105E-2</c:v>
                </c:pt>
                <c:pt idx="965">
                  <c:v>-4.351969504447268E-2</c:v>
                </c:pt>
                <c:pt idx="966">
                  <c:v>-1.3616738625041515E-2</c:v>
                </c:pt>
                <c:pt idx="967">
                  <c:v>-6.0606060606060606E-3</c:v>
                </c:pt>
                <c:pt idx="968">
                  <c:v>-2.8455284552845527E-2</c:v>
                </c:pt>
                <c:pt idx="969">
                  <c:v>1.7782426778242679E-2</c:v>
                </c:pt>
                <c:pt idx="970">
                  <c:v>-5.4813292223364167E-3</c:v>
                </c:pt>
                <c:pt idx="971">
                  <c:v>1.9290389252497417E-2</c:v>
                </c:pt>
                <c:pt idx="972">
                  <c:v>7.3673538357553234E-2</c:v>
                </c:pt>
                <c:pt idx="973">
                  <c:v>8.1838212149826881E-2</c:v>
                </c:pt>
                <c:pt idx="974">
                  <c:v>4.7134128600523711E-2</c:v>
                </c:pt>
                <c:pt idx="975">
                  <c:v>1.6671297582661851E-3</c:v>
                </c:pt>
                <c:pt idx="976">
                  <c:v>-4.7988904299583912E-2</c:v>
                </c:pt>
                <c:pt idx="977">
                  <c:v>-4.516317016317016E-2</c:v>
                </c:pt>
                <c:pt idx="978">
                  <c:v>-7.0796460176991149E-2</c:v>
                </c:pt>
                <c:pt idx="979">
                  <c:v>-5.9770114942528735E-2</c:v>
                </c:pt>
                <c:pt idx="980">
                  <c:v>5.588543485853999E-3</c:v>
                </c:pt>
                <c:pt idx="981">
                  <c:v>-9.7255991663772138E-3</c:v>
                </c:pt>
                <c:pt idx="982">
                  <c:v>2.0343739038933707E-2</c:v>
                </c:pt>
                <c:pt idx="983">
                  <c:v>2.3719491234101067E-2</c:v>
                </c:pt>
                <c:pt idx="984">
                  <c:v>5.1712558764271326E-2</c:v>
                </c:pt>
                <c:pt idx="985">
                  <c:v>1.9157088122605363E-3</c:v>
                </c:pt>
                <c:pt idx="986">
                  <c:v>3.1867431485022309E-2</c:v>
                </c:pt>
                <c:pt idx="987">
                  <c:v>4.9413218035824586E-3</c:v>
                </c:pt>
                <c:pt idx="988">
                  <c:v>4.3023970497848806E-3</c:v>
                </c:pt>
                <c:pt idx="989">
                  <c:v>3.4271725826193387E-2</c:v>
                </c:pt>
                <c:pt idx="990">
                  <c:v>-9.4674556213017753E-3</c:v>
                </c:pt>
                <c:pt idx="991">
                  <c:v>1.3739545997610514E-2</c:v>
                </c:pt>
                <c:pt idx="992">
                  <c:v>-7.4543311726576314E-2</c:v>
                </c:pt>
                <c:pt idx="993">
                  <c:v>-6.2082139446036293E-2</c:v>
                </c:pt>
                <c:pt idx="994">
                  <c:v>3.4962661235573657E-2</c:v>
                </c:pt>
                <c:pt idx="995">
                  <c:v>6.5595277140045915E-3</c:v>
                </c:pt>
                <c:pt idx="996">
                  <c:v>2.2808732486151843E-2</c:v>
                </c:pt>
                <c:pt idx="997">
                  <c:v>3.1857279388340237E-2</c:v>
                </c:pt>
                <c:pt idx="998">
                  <c:v>-2.5625192960790369E-2</c:v>
                </c:pt>
                <c:pt idx="999">
                  <c:v>-2.1863117870722433E-2</c:v>
                </c:pt>
                <c:pt idx="1000">
                  <c:v>-9.0702947845804991E-3</c:v>
                </c:pt>
                <c:pt idx="1001">
                  <c:v>-2.2229486760379207E-2</c:v>
                </c:pt>
                <c:pt idx="1002">
                  <c:v>-4.546974256101638E-2</c:v>
                </c:pt>
                <c:pt idx="1003">
                  <c:v>-4.0630472854640984E-2</c:v>
                </c:pt>
                <c:pt idx="1004">
                  <c:v>-3.7604965315808689E-2</c:v>
                </c:pt>
                <c:pt idx="1005">
                  <c:v>-1.7450682852807285E-2</c:v>
                </c:pt>
                <c:pt idx="1006">
                  <c:v>5.2895752895752893E-2</c:v>
                </c:pt>
                <c:pt idx="1007">
                  <c:v>3.7037037037037035E-2</c:v>
                </c:pt>
                <c:pt idx="1008">
                  <c:v>8.4865629420084864E-3</c:v>
                </c:pt>
                <c:pt idx="1009">
                  <c:v>6.6619915848527347E-3</c:v>
                </c:pt>
                <c:pt idx="1010">
                  <c:v>-6.8268895855102749E-2</c:v>
                </c:pt>
                <c:pt idx="1011">
                  <c:v>-3.8504672897196258E-2</c:v>
                </c:pt>
                <c:pt idx="1012">
                  <c:v>3.0715396578538102E-2</c:v>
                </c:pt>
                <c:pt idx="1013">
                  <c:v>-2.6782346284420975E-2</c:v>
                </c:pt>
                <c:pt idx="1014">
                  <c:v>4.7674418604651166E-2</c:v>
                </c:pt>
                <c:pt idx="1015">
                  <c:v>-1.1838697743248243E-2</c:v>
                </c:pt>
                <c:pt idx="1016">
                  <c:v>-4.9045301385248971E-2</c:v>
                </c:pt>
                <c:pt idx="1017">
                  <c:v>-2.7559055118110236E-2</c:v>
                </c:pt>
                <c:pt idx="1018">
                  <c:v>-6.6396761133603238E-2</c:v>
                </c:pt>
                <c:pt idx="1019">
                  <c:v>2.1682567215958369E-2</c:v>
                </c:pt>
                <c:pt idx="1020">
                  <c:v>-1.3157894736842105E-2</c:v>
                </c:pt>
                <c:pt idx="1021">
                  <c:v>3.0967741935483871E-2</c:v>
                </c:pt>
                <c:pt idx="1022">
                  <c:v>1.3767209011264081E-2</c:v>
                </c:pt>
                <c:pt idx="1023">
                  <c:v>-4.1152263374485596E-4</c:v>
                </c:pt>
                <c:pt idx="1024">
                  <c:v>4.8991354466858789E-2</c:v>
                </c:pt>
                <c:pt idx="1025">
                  <c:v>3.3751962323390894E-2</c:v>
                </c:pt>
                <c:pt idx="1026">
                  <c:v>1.7843583902809414E-2</c:v>
                </c:pt>
                <c:pt idx="1027">
                  <c:v>-1.8649757553151809E-2</c:v>
                </c:pt>
                <c:pt idx="1028">
                  <c:v>-1.4443177499049791E-2</c:v>
                </c:pt>
                <c:pt idx="1029">
                  <c:v>-2.8924026224450443E-2</c:v>
                </c:pt>
                <c:pt idx="1030">
                  <c:v>-1.9857029388403494E-3</c:v>
                </c:pt>
                <c:pt idx="1031">
                  <c:v>5.5710306406685237E-3</c:v>
                </c:pt>
                <c:pt idx="1032">
                  <c:v>2.2160664819944598E-2</c:v>
                </c:pt>
                <c:pt idx="1033">
                  <c:v>5.3813395276809908E-2</c:v>
                </c:pt>
                <c:pt idx="1034">
                  <c:v>-3.673769287288758E-4</c:v>
                </c:pt>
                <c:pt idx="1035">
                  <c:v>1.6905549430356485E-2</c:v>
                </c:pt>
                <c:pt idx="1036">
                  <c:v>-3.1441994940368631E-2</c:v>
                </c:pt>
                <c:pt idx="1037">
                  <c:v>-7.1641791044776124E-2</c:v>
                </c:pt>
                <c:pt idx="1038">
                  <c:v>8.8424437299035371E-3</c:v>
                </c:pt>
                <c:pt idx="1039">
                  <c:v>9.1633466135458159E-3</c:v>
                </c:pt>
                <c:pt idx="1040">
                  <c:v>1.8949861823924202E-2</c:v>
                </c:pt>
                <c:pt idx="1041">
                  <c:v>4.7268500581170089E-2</c:v>
                </c:pt>
                <c:pt idx="1042">
                  <c:v>3.2186459489456157E-2</c:v>
                </c:pt>
                <c:pt idx="1043">
                  <c:v>5.9856630824372759E-2</c:v>
                </c:pt>
                <c:pt idx="1044">
                  <c:v>-2.2319918836658775E-2</c:v>
                </c:pt>
                <c:pt idx="1045">
                  <c:v>-1.0722933241093047E-2</c:v>
                </c:pt>
                <c:pt idx="1046">
                  <c:v>-2.0279720279720279E-2</c:v>
                </c:pt>
                <c:pt idx="1047">
                  <c:v>-7.3518915060670945E-2</c:v>
                </c:pt>
                <c:pt idx="1048">
                  <c:v>-1.810477657935285E-2</c:v>
                </c:pt>
                <c:pt idx="1049">
                  <c:v>-6.6692820714005493E-2</c:v>
                </c:pt>
                <c:pt idx="1050">
                  <c:v>-1.5132408575031526E-2</c:v>
                </c:pt>
                <c:pt idx="1051">
                  <c:v>2.0059752454118653E-2</c:v>
                </c:pt>
                <c:pt idx="1052">
                  <c:v>1.6736401673640166E-3</c:v>
                </c:pt>
                <c:pt idx="1053">
                  <c:v>8.4795321637426896E-2</c:v>
                </c:pt>
                <c:pt idx="1054">
                  <c:v>2.4258760107816711E-2</c:v>
                </c:pt>
                <c:pt idx="1055">
                  <c:v>3.2330827067669175E-2</c:v>
                </c:pt>
                <c:pt idx="1056">
                  <c:v>-1.820830298616169E-3</c:v>
                </c:pt>
                <c:pt idx="1057">
                  <c:v>-5.6183874498358266E-2</c:v>
                </c:pt>
                <c:pt idx="1058">
                  <c:v>0</c:v>
                </c:pt>
                <c:pt idx="1059">
                  <c:v>-5.1024352531890221E-2</c:v>
                </c:pt>
                <c:pt idx="1060">
                  <c:v>-1.4663951120162933E-2</c:v>
                </c:pt>
                <c:pt idx="1061">
                  <c:v>-1.6122364613476645E-2</c:v>
                </c:pt>
                <c:pt idx="1062">
                  <c:v>-5.2521008403361345E-2</c:v>
                </c:pt>
                <c:pt idx="1063">
                  <c:v>4.434589800443459E-3</c:v>
                </c:pt>
                <c:pt idx="1064">
                  <c:v>0.11169977924944813</c:v>
                </c:pt>
                <c:pt idx="1065">
                  <c:v>2.3828435266084195E-2</c:v>
                </c:pt>
                <c:pt idx="1066">
                  <c:v>1.0861132660977503E-2</c:v>
                </c:pt>
                <c:pt idx="1067">
                  <c:v>-1.7267843438219493E-2</c:v>
                </c:pt>
                <c:pt idx="1068">
                  <c:v>-1.5228426395939087E-2</c:v>
                </c:pt>
                <c:pt idx="1069">
                  <c:v>4.2426645519429027E-2</c:v>
                </c:pt>
                <c:pt idx="1070">
                  <c:v>4.5264359071890456E-2</c:v>
                </c:pt>
                <c:pt idx="1071">
                  <c:v>5.0946142649199416E-2</c:v>
                </c:pt>
                <c:pt idx="1072">
                  <c:v>-1.1080332409972299E-2</c:v>
                </c:pt>
                <c:pt idx="1073">
                  <c:v>2.4509803921568627E-3</c:v>
                </c:pt>
                <c:pt idx="1074">
                  <c:v>-5.8679706601466992E-2</c:v>
                </c:pt>
                <c:pt idx="1075">
                  <c:v>-4.6382189239332093E-2</c:v>
                </c:pt>
                <c:pt idx="1076">
                  <c:v>-1.5175097276264591E-2</c:v>
                </c:pt>
                <c:pt idx="1077">
                  <c:v>-4.5831687080205449E-2</c:v>
                </c:pt>
                <c:pt idx="1078">
                  <c:v>8.2815734989648039E-3</c:v>
                </c:pt>
                <c:pt idx="1079">
                  <c:v>-4.517453798767967E-3</c:v>
                </c:pt>
                <c:pt idx="1080">
                  <c:v>1.2376237623762377E-2</c:v>
                </c:pt>
                <c:pt idx="1081">
                  <c:v>2.8524857375713123E-3</c:v>
                </c:pt>
                <c:pt idx="1082">
                  <c:v>5.2824055262088582E-3</c:v>
                </c:pt>
                <c:pt idx="1083">
                  <c:v>-1.333872271624899E-2</c:v>
                </c:pt>
                <c:pt idx="1084">
                  <c:v>-2.2941417451863989E-2</c:v>
                </c:pt>
                <c:pt idx="1085">
                  <c:v>-2.3480083857442349E-2</c:v>
                </c:pt>
                <c:pt idx="1086">
                  <c:v>2.8767711464147704E-2</c:v>
                </c:pt>
                <c:pt idx="1087">
                  <c:v>3.3388981636060101E-3</c:v>
                </c:pt>
                <c:pt idx="1088">
                  <c:v>4.9084858569051579E-2</c:v>
                </c:pt>
                <c:pt idx="1089">
                  <c:v>5.1942902458366379E-2</c:v>
                </c:pt>
                <c:pt idx="1090">
                  <c:v>-8.4432717678100261E-2</c:v>
                </c:pt>
                <c:pt idx="1091">
                  <c:v>3.2111980238781389E-2</c:v>
                </c:pt>
                <c:pt idx="1092">
                  <c:v>-2.2736338252891904E-2</c:v>
                </c:pt>
                <c:pt idx="1093">
                  <c:v>-1.1428571428571429E-2</c:v>
                </c:pt>
                <c:pt idx="1094">
                  <c:v>0.12014863748967795</c:v>
                </c:pt>
                <c:pt idx="1095">
                  <c:v>2.5801695539992626E-2</c:v>
                </c:pt>
                <c:pt idx="1096">
                  <c:v>-1.760689902982393E-2</c:v>
                </c:pt>
                <c:pt idx="1097">
                  <c:v>-2.9261155815654718E-2</c:v>
                </c:pt>
                <c:pt idx="1098">
                  <c:v>-6.4807837226827425E-2</c:v>
                </c:pt>
                <c:pt idx="1099">
                  <c:v>-5.2780016116035458E-2</c:v>
                </c:pt>
                <c:pt idx="1100">
                  <c:v>-5.316886431305827E-2</c:v>
                </c:pt>
                <c:pt idx="1101">
                  <c:v>3.8634321653189578E-2</c:v>
                </c:pt>
                <c:pt idx="1102">
                  <c:v>1.8598615916955018E-2</c:v>
                </c:pt>
                <c:pt idx="1103">
                  <c:v>2.2080679405520168E-2</c:v>
                </c:pt>
                <c:pt idx="1104">
                  <c:v>4.1960947237224759E-2</c:v>
                </c:pt>
                <c:pt idx="1105">
                  <c:v>2.7910685805422647E-3</c:v>
                </c:pt>
                <c:pt idx="1106">
                  <c:v>6.9184890656063619E-2</c:v>
                </c:pt>
                <c:pt idx="1107">
                  <c:v>2.6031982149497954E-2</c:v>
                </c:pt>
                <c:pt idx="1108">
                  <c:v>1.6672707502718376E-2</c:v>
                </c:pt>
                <c:pt idx="1109">
                  <c:v>-3.0659536541889482E-2</c:v>
                </c:pt>
                <c:pt idx="1110">
                  <c:v>-6.9878631849944837E-3</c:v>
                </c:pt>
                <c:pt idx="1111">
                  <c:v>4.8148148148148152E-3</c:v>
                </c:pt>
                <c:pt idx="1112">
                  <c:v>1.363803907113896E-2</c:v>
                </c:pt>
                <c:pt idx="1113">
                  <c:v>1.3090909090909091E-2</c:v>
                </c:pt>
                <c:pt idx="1114">
                  <c:v>-4.9533381191672651E-2</c:v>
                </c:pt>
                <c:pt idx="1115">
                  <c:v>-6.8353474320241692E-2</c:v>
                </c:pt>
                <c:pt idx="1116">
                  <c:v>-6.5261451155249284E-2</c:v>
                </c:pt>
                <c:pt idx="1117">
                  <c:v>0</c:v>
                </c:pt>
                <c:pt idx="1118">
                  <c:v>-3.1222896790980052E-2</c:v>
                </c:pt>
                <c:pt idx="1119">
                  <c:v>2.6857654431512983E-3</c:v>
                </c:pt>
                <c:pt idx="1120">
                  <c:v>1.4732142857142857E-2</c:v>
                </c:pt>
                <c:pt idx="1121">
                  <c:v>-4.09150901891773E-2</c:v>
                </c:pt>
                <c:pt idx="1122">
                  <c:v>-2.5229357798165139E-2</c:v>
                </c:pt>
                <c:pt idx="1123">
                  <c:v>1.2235294117647059E-2</c:v>
                </c:pt>
                <c:pt idx="1124">
                  <c:v>-3.9516503951650392E-2</c:v>
                </c:pt>
                <c:pt idx="1125">
                  <c:v>-2.2749273959341725E-2</c:v>
                </c:pt>
                <c:pt idx="1126">
                  <c:v>-3.9623576027736501E-3</c:v>
                </c:pt>
                <c:pt idx="1127">
                  <c:v>-3.1824962705121827E-2</c:v>
                </c:pt>
                <c:pt idx="1128">
                  <c:v>1.0272213662044171E-3</c:v>
                </c:pt>
                <c:pt idx="1129">
                  <c:v>3.5402770651616212E-2</c:v>
                </c:pt>
                <c:pt idx="1130">
                  <c:v>2.973240832507433E-3</c:v>
                </c:pt>
                <c:pt idx="1131">
                  <c:v>-8.5474308300395263E-2</c:v>
                </c:pt>
                <c:pt idx="1132">
                  <c:v>1.1345218800648298E-2</c:v>
                </c:pt>
                <c:pt idx="1133">
                  <c:v>2.3504273504273504E-2</c:v>
                </c:pt>
                <c:pt idx="1134">
                  <c:v>8.350730688935281E-3</c:v>
                </c:pt>
                <c:pt idx="1135">
                  <c:v>5.538302277432712E-2</c:v>
                </c:pt>
                <c:pt idx="1136">
                  <c:v>6.1794997547817559E-2</c:v>
                </c:pt>
                <c:pt idx="1137">
                  <c:v>1.8475750577367205E-3</c:v>
                </c:pt>
                <c:pt idx="1138">
                  <c:v>7.3305670816044263E-2</c:v>
                </c:pt>
                <c:pt idx="1139">
                  <c:v>0.1013745704467354</c:v>
                </c:pt>
                <c:pt idx="1140">
                  <c:v>-3.9781591263650544E-2</c:v>
                </c:pt>
                <c:pt idx="1141">
                  <c:v>-6.092607636068237E-3</c:v>
                </c:pt>
                <c:pt idx="1142">
                  <c:v>-7.9689415610952191E-2</c:v>
                </c:pt>
                <c:pt idx="1143">
                  <c:v>-0.10879218472468917</c:v>
                </c:pt>
                <c:pt idx="1144">
                  <c:v>-2.8400597907324365E-2</c:v>
                </c:pt>
                <c:pt idx="1145">
                  <c:v>-6.6666666666666671E-3</c:v>
                </c:pt>
                <c:pt idx="1146">
                  <c:v>7.1760454310789881E-2</c:v>
                </c:pt>
                <c:pt idx="1147">
                  <c:v>3.420038535645472E-2</c:v>
                </c:pt>
                <c:pt idx="1148">
                  <c:v>-1.8630647414997672E-3</c:v>
                </c:pt>
                <c:pt idx="1149">
                  <c:v>-1.2132524498366775E-2</c:v>
                </c:pt>
                <c:pt idx="1150">
                  <c:v>-8.6915446386395839E-2</c:v>
                </c:pt>
                <c:pt idx="1151">
                  <c:v>-3.828246249353337E-2</c:v>
                </c:pt>
                <c:pt idx="1152">
                  <c:v>-1.1296395911780527E-2</c:v>
                </c:pt>
                <c:pt idx="1153">
                  <c:v>-3.6452665941240477E-2</c:v>
                </c:pt>
                <c:pt idx="1154">
                  <c:v>1.129305477131564E-2</c:v>
                </c:pt>
                <c:pt idx="1155">
                  <c:v>3.4059184812953655E-2</c:v>
                </c:pt>
                <c:pt idx="1156">
                  <c:v>7.5593952483801298E-3</c:v>
                </c:pt>
                <c:pt idx="1157">
                  <c:v>-2.0364415862808145E-2</c:v>
                </c:pt>
                <c:pt idx="1158">
                  <c:v>1.2035010940919038E-2</c:v>
                </c:pt>
                <c:pt idx="1159">
                  <c:v>-3.0810810810810812E-2</c:v>
                </c:pt>
                <c:pt idx="1160">
                  <c:v>-2.6213050752928055E-2</c:v>
                </c:pt>
                <c:pt idx="1161">
                  <c:v>8.9347079037800689E-2</c:v>
                </c:pt>
                <c:pt idx="1162">
                  <c:v>9.4637223974763408E-3</c:v>
                </c:pt>
                <c:pt idx="1163">
                  <c:v>3.1250000000000002E-3</c:v>
                </c:pt>
                <c:pt idx="1164">
                  <c:v>4.1017653167185877E-2</c:v>
                </c:pt>
                <c:pt idx="1165">
                  <c:v>-1.0473815461346634E-2</c:v>
                </c:pt>
                <c:pt idx="1166">
                  <c:v>6.1995967741935484E-2</c:v>
                </c:pt>
                <c:pt idx="1167">
                  <c:v>2.895111532985287E-2</c:v>
                </c:pt>
                <c:pt idx="1168">
                  <c:v>3.8284132841328415E-2</c:v>
                </c:pt>
                <c:pt idx="1169">
                  <c:v>-5.7752110173256328E-3</c:v>
                </c:pt>
                <c:pt idx="1170">
                  <c:v>-7.7747989276139406E-2</c:v>
                </c:pt>
                <c:pt idx="1171">
                  <c:v>6.0562015503875966E-2</c:v>
                </c:pt>
                <c:pt idx="1172">
                  <c:v>-6.5326633165829151E-2</c:v>
                </c:pt>
                <c:pt idx="1173">
                  <c:v>-2.7370478983382209E-2</c:v>
                </c:pt>
                <c:pt idx="1174">
                  <c:v>8.6934673366834164E-2</c:v>
                </c:pt>
                <c:pt idx="1175">
                  <c:v>-7.9519186315302817E-2</c:v>
                </c:pt>
              </c:numCache>
            </c:numRef>
          </c:val>
          <c:smooth val="0"/>
          <c:extLst>
            <c:ext xmlns:c16="http://schemas.microsoft.com/office/drawing/2014/chart" uri="{C3380CC4-5D6E-409C-BE32-E72D297353CC}">
              <c16:uniqueId val="{00000000-726E-499D-B290-458CEF6E8BAD}"/>
            </c:ext>
          </c:extLst>
        </c:ser>
        <c:dLbls>
          <c:showLegendKey val="0"/>
          <c:showVal val="0"/>
          <c:showCatName val="0"/>
          <c:showSerName val="0"/>
          <c:showPercent val="0"/>
          <c:showBubbleSize val="0"/>
        </c:dLbls>
        <c:smooth val="0"/>
        <c:axId val="668122160"/>
        <c:axId val="668122552"/>
      </c:lineChart>
      <c:catAx>
        <c:axId val="668122160"/>
        <c:scaling>
          <c:orientation val="minMax"/>
        </c:scaling>
        <c:delete val="0"/>
        <c:axPos val="b"/>
        <c:majorTickMark val="out"/>
        <c:minorTickMark val="none"/>
        <c:tickLblPos val="nextTo"/>
        <c:crossAx val="668122552"/>
        <c:crosses val="autoZero"/>
        <c:auto val="1"/>
        <c:lblAlgn val="ctr"/>
        <c:lblOffset val="100"/>
        <c:noMultiLvlLbl val="0"/>
      </c:catAx>
      <c:valAx>
        <c:axId val="668122552"/>
        <c:scaling>
          <c:orientation val="minMax"/>
        </c:scaling>
        <c:delete val="0"/>
        <c:axPos val="l"/>
        <c:majorGridlines/>
        <c:numFmt formatCode="0.0%" sourceLinked="1"/>
        <c:majorTickMark val="out"/>
        <c:minorTickMark val="none"/>
        <c:tickLblPos val="nextTo"/>
        <c:crossAx val="668122160"/>
        <c:crosses val="autoZero"/>
        <c:crossBetween val="between"/>
        <c:majorUnit val="2.0000000000000011E-2"/>
      </c:valAx>
    </c:plotArea>
    <c:legend>
      <c:legendPos val="r"/>
      <c:overlay val="0"/>
    </c:legend>
    <c:plotVisOnly val="1"/>
    <c:dispBlanksAs val="gap"/>
    <c:showDLblsOverMax val="0"/>
  </c:chart>
  <c:printSettings>
    <c:headerFooter/>
    <c:pageMargins b="0.75000000000000111" l="0.70000000000000062" r="0.70000000000000062" t="0.75000000000000111"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838200</xdr:colOff>
      <xdr:row>36</xdr:row>
      <xdr:rowOff>38100</xdr:rowOff>
    </xdr:from>
    <xdr:to>
      <xdr:col>4</xdr:col>
      <xdr:colOff>600075</xdr:colOff>
      <xdr:row>53</xdr:row>
      <xdr:rowOff>28575</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904875</xdr:colOff>
      <xdr:row>36</xdr:row>
      <xdr:rowOff>0</xdr:rowOff>
    </xdr:from>
    <xdr:to>
      <xdr:col>25</xdr:col>
      <xdr:colOff>409575</xdr:colOff>
      <xdr:row>52</xdr:row>
      <xdr:rowOff>152400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581025</xdr:colOff>
      <xdr:row>35</xdr:row>
      <xdr:rowOff>152400</xdr:rowOff>
    </xdr:from>
    <xdr:to>
      <xdr:col>40</xdr:col>
      <xdr:colOff>85725</xdr:colOff>
      <xdr:row>52</xdr:row>
      <xdr:rowOff>142875</xdr:rowOff>
    </xdr:to>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838200</xdr:colOff>
      <xdr:row>53</xdr:row>
      <xdr:rowOff>133350</xdr:rowOff>
    </xdr:from>
    <xdr:to>
      <xdr:col>4</xdr:col>
      <xdr:colOff>600075</xdr:colOff>
      <xdr:row>70</xdr:row>
      <xdr:rowOff>123825</xdr:rowOff>
    </xdr:to>
    <xdr:graphicFrame macro="">
      <xdr:nvGraphicFramePr>
        <xdr:cNvPr id="5" name="Chart 4">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904875</xdr:colOff>
      <xdr:row>53</xdr:row>
      <xdr:rowOff>133350</xdr:rowOff>
    </xdr:from>
    <xdr:to>
      <xdr:col>25</xdr:col>
      <xdr:colOff>409575</xdr:colOff>
      <xdr:row>70</xdr:row>
      <xdr:rowOff>123825</xdr:rowOff>
    </xdr:to>
    <xdr:graphicFrame macro="">
      <xdr:nvGraphicFramePr>
        <xdr:cNvPr id="6" name="Chart 5">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581025</xdr:colOff>
      <xdr:row>54</xdr:row>
      <xdr:rowOff>0</xdr:rowOff>
    </xdr:from>
    <xdr:to>
      <xdr:col>40</xdr:col>
      <xdr:colOff>85725</xdr:colOff>
      <xdr:row>70</xdr:row>
      <xdr:rowOff>152400</xdr:rowOff>
    </xdr:to>
    <xdr:graphicFrame macro="">
      <xdr:nvGraphicFramePr>
        <xdr:cNvPr id="7" name="Chart 6">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723900</xdr:colOff>
      <xdr:row>0</xdr:row>
      <xdr:rowOff>85725</xdr:rowOff>
    </xdr:from>
    <xdr:to>
      <xdr:col>6</xdr:col>
      <xdr:colOff>695325</xdr:colOff>
      <xdr:row>22</xdr:row>
      <xdr:rowOff>247650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1133475</xdr:colOff>
      <xdr:row>0</xdr:row>
      <xdr:rowOff>85725</xdr:rowOff>
    </xdr:from>
    <xdr:to>
      <xdr:col>11</xdr:col>
      <xdr:colOff>400050</xdr:colOff>
      <xdr:row>22</xdr:row>
      <xdr:rowOff>247650</xdr:rowOff>
    </xdr:to>
    <xdr:graphicFrame macro="">
      <xdr:nvGraphicFramePr>
        <xdr:cNvPr id="5" name="Chart 4">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a.ad.epa.gov\ord\RTP\USERS\A-D\bkalduns\Net%20MyDocuments\BKalduns%20Documents\MARKAL\Workbooks%20in%20Development\NYC_INDV2.0_TEST_bk121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2626umcec001\nrml_appcd\Documents%20and%20Settings\Owner\My%20Documents\MARKAL\EPA%20national%20model\Supply%20&amp;%20Ups\coal\CMM_SUPPLY_da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2626umcec001\nrml_appcd\EMODEL\China\Anhui\Scen4\MODE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2626umcec001\nrml_appcd\Documents%20and%20Settings\Evelyn\My%20Documents\MARKAL\EPA%20national%20model\from%20EPA\EPA%20CD\EPA%20CD\all%20files\MARKAL-coal2002BU.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ctions05"/>
      <sheetName val="ANSv6.1-Home"/>
      <sheetName val="ReadMe"/>
      <sheetName val="Info"/>
      <sheetName val="Commodities"/>
      <sheetName val="CommData_DMD"/>
      <sheetName val="EPAUAS9R_IND_DMD"/>
      <sheetName val="Constraints"/>
      <sheetName val="ConstrData"/>
      <sheetName val="Technologies"/>
      <sheetName val="TechData_R0"/>
      <sheetName val="zzzTechData_H2OIND"/>
      <sheetName val="TechData_H2OLITE"/>
      <sheetName val="TechData_H2OAPP"/>
      <sheetName val="TechData_DMDH2O"/>
      <sheetName val="TechData_TRDH2O"/>
      <sheetName val="TechData_X&amp;ZZH2O"/>
      <sheetName val="xxxTechData_X&amp;ZZ"/>
      <sheetName val="TechData_EmisLITE"/>
      <sheetName val="zzzTechData_Emis"/>
      <sheetName val="H2O_Demand"/>
      <sheetName val="NYC WWTP Info"/>
      <sheetName val="xxxTechData_Boilers"/>
      <sheetName val="xxxTechData_CHP"/>
      <sheetName val="TechData_OTR"/>
      <sheetName val="xxxTechData_IPBIO"/>
      <sheetName val="NAICS"/>
      <sheetName val="BoilerName"/>
      <sheetName val="4b-MARKAL Data"/>
      <sheetName val="4b-References"/>
      <sheetName val="TechInfo"/>
      <sheetName val="CHPData"/>
      <sheetName val="BiomassCHPforIPSupdated"/>
      <sheetName val="AEOEnergy"/>
      <sheetName val="RegionalDiv"/>
      <sheetName val="MECS2006"/>
      <sheetName val="CHP2008"/>
      <sheetName val="Energy2005"/>
      <sheetName val="EndUse2005"/>
      <sheetName val="MECS2010"/>
      <sheetName val="Energy2010"/>
      <sheetName val="Boiler2011"/>
      <sheetName val="CHP2012"/>
      <sheetName val="EndUse2010"/>
      <sheetName val="ChemFeed"/>
      <sheetName val="ChemFuel"/>
      <sheetName val="Demand"/>
      <sheetName val="EmissionsSummary"/>
      <sheetName val="EmissionsUpdate"/>
      <sheetName val="RTI-OC"/>
      <sheetName val="BoilerMACT"/>
      <sheetName val="Filt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0">
          <cell r="B10" t="str">
            <v>IFDEBOLELC</v>
          </cell>
        </row>
      </sheetData>
      <sheetData sheetId="23">
        <row r="10">
          <cell r="B10" t="str">
            <v>IFDEBSTRFL</v>
          </cell>
        </row>
      </sheetData>
      <sheetData sheetId="24">
        <row r="10">
          <cell r="B10" t="str">
            <v>IFDEFEDNGA</v>
          </cell>
        </row>
      </sheetData>
      <sheetData sheetId="25">
        <row r="12">
          <cell r="B12" t="str">
            <v>IPLEBASTOM</v>
          </cell>
        </row>
      </sheetData>
      <sheetData sheetId="26"/>
      <sheetData sheetId="27"/>
      <sheetData sheetId="28"/>
      <sheetData sheetId="29"/>
      <sheetData sheetId="30">
        <row r="27">
          <cell r="J27">
            <v>0.82958333333333345</v>
          </cell>
        </row>
        <row r="28">
          <cell r="J28">
            <v>0.78299999999999981</v>
          </cell>
        </row>
        <row r="29">
          <cell r="J29">
            <v>0.82212499999999988</v>
          </cell>
        </row>
        <row r="31">
          <cell r="J31">
            <v>0.75419999999999987</v>
          </cell>
        </row>
        <row r="32">
          <cell r="J32">
            <v>0.73866666666666658</v>
          </cell>
        </row>
        <row r="33">
          <cell r="J33">
            <v>0.70829999999999993</v>
          </cell>
        </row>
        <row r="34">
          <cell r="J34">
            <v>0.5635</v>
          </cell>
        </row>
        <row r="35">
          <cell r="J35">
            <v>0.57833333333333337</v>
          </cell>
        </row>
        <row r="36">
          <cell r="J36">
            <v>0.80949999999999989</v>
          </cell>
        </row>
        <row r="37">
          <cell r="J37">
            <v>0.60899999999999999</v>
          </cell>
        </row>
      </sheetData>
      <sheetData sheetId="31">
        <row r="40">
          <cell r="B40">
            <v>0.99</v>
          </cell>
        </row>
        <row r="66">
          <cell r="C66">
            <v>41.505459998403332</v>
          </cell>
          <cell r="D66">
            <v>50.173501777256696</v>
          </cell>
        </row>
        <row r="81">
          <cell r="B81">
            <v>0.95</v>
          </cell>
        </row>
        <row r="91">
          <cell r="C91">
            <v>497.18802277206038</v>
          </cell>
          <cell r="D91">
            <v>513.95061874134979</v>
          </cell>
          <cell r="E91">
            <v>509.17059156911409</v>
          </cell>
          <cell r="F91">
            <v>478.42700413196377</v>
          </cell>
        </row>
        <row r="107">
          <cell r="B107">
            <v>0.94499999999999995</v>
          </cell>
          <cell r="C107">
            <v>0.94499999999999995</v>
          </cell>
          <cell r="D107">
            <v>0.94499999999999995</v>
          </cell>
          <cell r="E107">
            <v>0.91200000000000003</v>
          </cell>
          <cell r="F107">
            <v>0.91200000000000003</v>
          </cell>
        </row>
        <row r="117">
          <cell r="B117">
            <v>752.50896057347666</v>
          </cell>
          <cell r="D117">
            <v>605.04854368932035</v>
          </cell>
          <cell r="F117">
            <v>567.209130296946</v>
          </cell>
        </row>
        <row r="141">
          <cell r="C141">
            <v>833.3739837398374</v>
          </cell>
          <cell r="D141">
            <v>963.26462765957444</v>
          </cell>
        </row>
        <row r="154">
          <cell r="B154">
            <v>0.89</v>
          </cell>
        </row>
        <row r="163">
          <cell r="C163">
            <v>3609.3962778029959</v>
          </cell>
          <cell r="D163">
            <v>3406.9562247395684</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m2025curve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MARKAL data"/>
      <sheetName val="energy carriers"/>
      <sheetName val="Summary"/>
      <sheetName val="CUM"/>
      <sheetName val="Res-Sulfur"/>
      <sheetName val="Reserves"/>
      <sheetName val="Steps"/>
      <sheetName val="Period Averages"/>
      <sheetName val="Coal Supply Curves"/>
      <sheetName val="Supply Curve Mapping"/>
      <sheetName val="Key to Supply Curve Repor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row r="5">
          <cell r="Y5">
            <v>1000000</v>
          </cell>
        </row>
        <row r="6">
          <cell r="Y6">
            <v>1.0550559999999999E-6</v>
          </cell>
        </row>
      </sheetData>
      <sheetData sheetId="10" refreshError="1"/>
      <sheetData sheetId="11" refreshError="1"/>
      <sheetData sheetId="12"/>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eia.gov/naturalgas/crudeoilreserves/pdf/table_7.pdf"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bea.gov/national/nipaweb/SelectTable.asp?Selected=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E18B3-03DC-4B41-8D3C-C928886C7577}">
  <sheetPr>
    <tabColor theme="8"/>
  </sheetPr>
  <dimension ref="A3:O24"/>
  <sheetViews>
    <sheetView topLeftCell="D1" workbookViewId="0">
      <selection activeCell="L7" sqref="L7"/>
    </sheetView>
  </sheetViews>
  <sheetFormatPr defaultRowHeight="12.75"/>
  <cols>
    <col min="1" max="1" width="28.42578125" bestFit="1" customWidth="1"/>
    <col min="2" max="2" width="7.28515625" bestFit="1" customWidth="1"/>
    <col min="3" max="4" width="37.7109375" bestFit="1" customWidth="1"/>
    <col min="5" max="5" width="18.140625" bestFit="1" customWidth="1"/>
    <col min="6" max="6" width="6.85546875" bestFit="1" customWidth="1"/>
    <col min="7" max="7" width="8.7109375" bestFit="1" customWidth="1"/>
    <col min="8" max="9" width="3.28515625" bestFit="1" customWidth="1"/>
    <col min="10" max="14" width="12.85546875" bestFit="1" customWidth="1"/>
    <col min="15" max="15" width="8.7109375" bestFit="1" customWidth="1"/>
  </cols>
  <sheetData>
    <row r="3" spans="1:15">
      <c r="A3" s="207" t="s">
        <v>1192</v>
      </c>
      <c r="B3" s="207"/>
      <c r="C3" s="208"/>
      <c r="D3" s="208"/>
      <c r="E3" s="208"/>
      <c r="F3" s="208"/>
      <c r="G3" s="208"/>
      <c r="H3" s="208"/>
      <c r="I3" s="208"/>
      <c r="J3" s="208"/>
      <c r="K3" s="208"/>
      <c r="L3" s="208"/>
      <c r="M3" s="208"/>
      <c r="N3" s="208"/>
      <c r="O3" s="208"/>
    </row>
    <row r="4" spans="1:15" ht="15">
      <c r="A4" s="209" t="s">
        <v>1186</v>
      </c>
      <c r="B4" s="209"/>
      <c r="C4" s="210"/>
      <c r="D4" s="210"/>
      <c r="E4" s="210"/>
      <c r="F4" s="210"/>
      <c r="G4" s="211"/>
      <c r="H4" s="210"/>
      <c r="I4" s="210"/>
      <c r="J4" s="210"/>
      <c r="K4" s="210"/>
      <c r="L4" s="210"/>
      <c r="M4" s="210"/>
      <c r="N4" s="210"/>
      <c r="O4" s="210"/>
    </row>
    <row r="5" spans="1:15">
      <c r="A5" s="212"/>
      <c r="B5" s="212"/>
      <c r="C5" s="213"/>
      <c r="D5" s="212"/>
      <c r="E5" s="214" t="s">
        <v>1197</v>
      </c>
      <c r="F5" s="212"/>
      <c r="G5" s="212"/>
      <c r="H5" s="215"/>
      <c r="I5" s="213"/>
      <c r="J5" s="213"/>
      <c r="K5" s="213"/>
      <c r="L5" s="213"/>
      <c r="M5" s="213"/>
      <c r="N5" s="213"/>
      <c r="O5" s="212"/>
    </row>
    <row r="6" spans="1:15" ht="24.75" thickBot="1">
      <c r="A6" s="216" t="s">
        <v>1187</v>
      </c>
      <c r="B6" s="216" t="s">
        <v>1188</v>
      </c>
      <c r="C6" s="216" t="s">
        <v>1189</v>
      </c>
      <c r="D6" s="216" t="s">
        <v>1190</v>
      </c>
      <c r="E6" s="217" t="s">
        <v>429</v>
      </c>
      <c r="F6" s="218" t="s">
        <v>1196</v>
      </c>
      <c r="G6" s="219" t="s">
        <v>1198</v>
      </c>
      <c r="H6" s="220" t="s">
        <v>197</v>
      </c>
      <c r="I6" s="220" t="s">
        <v>251</v>
      </c>
      <c r="J6" s="220" t="s">
        <v>253</v>
      </c>
      <c r="K6" s="220" t="s">
        <v>252</v>
      </c>
      <c r="L6" s="220" t="s">
        <v>331</v>
      </c>
      <c r="M6" s="220" t="s">
        <v>330</v>
      </c>
      <c r="N6" s="220" t="s">
        <v>332</v>
      </c>
      <c r="O6" s="221" t="s">
        <v>1191</v>
      </c>
    </row>
    <row r="7" spans="1:15" ht="15">
      <c r="A7" s="222" t="s">
        <v>1193</v>
      </c>
      <c r="B7" s="223" t="s">
        <v>1194</v>
      </c>
      <c r="C7" s="231" t="s">
        <v>1195</v>
      </c>
      <c r="D7" s="231" t="s">
        <v>1195</v>
      </c>
      <c r="E7" s="224">
        <v>2010</v>
      </c>
      <c r="F7" s="224">
        <v>1</v>
      </c>
      <c r="G7" s="222">
        <v>15</v>
      </c>
      <c r="H7" s="225"/>
      <c r="I7" s="225"/>
      <c r="J7" s="225" t="e">
        <f>#REF!*Conv!$C$46*Conv!$I$5*365*10^3</f>
        <v>#REF!</v>
      </c>
      <c r="K7" s="225" t="e">
        <f>#REF!*Conv!$C$46*Conv!$I$5*365*10^3</f>
        <v>#REF!</v>
      </c>
      <c r="L7" s="225" t="e">
        <f>#REF!*Conv!$C$46*Conv!$I$5*365*10^3</f>
        <v>#REF!</v>
      </c>
      <c r="M7" s="225" t="e">
        <f>#REF!*Conv!$C$46*Conv!$I$5*365*10^3</f>
        <v>#REF!</v>
      </c>
      <c r="N7" s="225" t="e">
        <f>#REF!*Conv!$C$46*Conv!$I$5*365*10^3</f>
        <v>#REF!</v>
      </c>
      <c r="O7" s="222"/>
    </row>
    <row r="8" spans="1:15" ht="15">
      <c r="A8" s="223"/>
      <c r="B8" s="223" t="s">
        <v>1194</v>
      </c>
      <c r="C8" s="231" t="s">
        <v>1195</v>
      </c>
      <c r="D8" s="231" t="s">
        <v>1195</v>
      </c>
      <c r="E8" s="224">
        <v>2015</v>
      </c>
      <c r="F8" s="224">
        <v>1</v>
      </c>
      <c r="G8" s="226"/>
      <c r="H8" s="225"/>
      <c r="I8" s="225"/>
      <c r="J8" s="225" t="e">
        <f>J7</f>
        <v>#REF!</v>
      </c>
      <c r="K8" s="225" t="e">
        <f>K7</f>
        <v>#REF!</v>
      </c>
      <c r="L8" s="225" t="e">
        <f>L7</f>
        <v>#REF!</v>
      </c>
      <c r="M8" s="225" t="e">
        <f>M7</f>
        <v>#REF!</v>
      </c>
      <c r="N8" s="225" t="e">
        <f>N7</f>
        <v>#REF!</v>
      </c>
      <c r="O8" s="222"/>
    </row>
    <row r="9" spans="1:15" ht="15">
      <c r="A9" s="223"/>
      <c r="B9" s="223" t="s">
        <v>1194</v>
      </c>
      <c r="C9" s="231" t="s">
        <v>1195</v>
      </c>
      <c r="D9" s="231" t="s">
        <v>1195</v>
      </c>
      <c r="E9" s="224">
        <v>2020</v>
      </c>
      <c r="F9" s="224">
        <v>1</v>
      </c>
      <c r="G9" s="226"/>
      <c r="H9" s="225"/>
      <c r="I9" s="225"/>
      <c r="J9" s="225" t="e">
        <f t="shared" ref="J9:J16" si="0">J8</f>
        <v>#REF!</v>
      </c>
      <c r="K9" s="225" t="e">
        <f t="shared" ref="K9:K16" si="1">K8</f>
        <v>#REF!</v>
      </c>
      <c r="L9" s="225" t="e">
        <f t="shared" ref="L9:L16" si="2">L8</f>
        <v>#REF!</v>
      </c>
      <c r="M9" s="225" t="e">
        <f t="shared" ref="M9:M16" si="3">M8</f>
        <v>#REF!</v>
      </c>
      <c r="N9" s="225" t="e">
        <f t="shared" ref="N9:N16" si="4">N8</f>
        <v>#REF!</v>
      </c>
      <c r="O9" s="222"/>
    </row>
    <row r="10" spans="1:15" ht="15">
      <c r="A10" s="223"/>
      <c r="B10" s="223" t="s">
        <v>1194</v>
      </c>
      <c r="C10" s="231" t="s">
        <v>1195</v>
      </c>
      <c r="D10" s="231" t="s">
        <v>1195</v>
      </c>
      <c r="E10" s="224">
        <v>2025</v>
      </c>
      <c r="F10" s="224">
        <v>1</v>
      </c>
      <c r="G10" s="226"/>
      <c r="H10" s="225"/>
      <c r="I10" s="225"/>
      <c r="J10" s="225" t="e">
        <f t="shared" si="0"/>
        <v>#REF!</v>
      </c>
      <c r="K10" s="225" t="e">
        <f t="shared" si="1"/>
        <v>#REF!</v>
      </c>
      <c r="L10" s="225" t="e">
        <f t="shared" si="2"/>
        <v>#REF!</v>
      </c>
      <c r="M10" s="225" t="e">
        <f t="shared" si="3"/>
        <v>#REF!</v>
      </c>
      <c r="N10" s="225" t="e">
        <f t="shared" si="4"/>
        <v>#REF!</v>
      </c>
      <c r="O10" s="222"/>
    </row>
    <row r="11" spans="1:15" ht="15">
      <c r="A11" s="223"/>
      <c r="B11" s="223" t="s">
        <v>1194</v>
      </c>
      <c r="C11" s="231" t="s">
        <v>1195</v>
      </c>
      <c r="D11" s="231" t="s">
        <v>1195</v>
      </c>
      <c r="E11" s="224">
        <v>2030</v>
      </c>
      <c r="F11" s="224">
        <v>1</v>
      </c>
      <c r="G11" s="226"/>
      <c r="H11" s="225"/>
      <c r="I11" s="225"/>
      <c r="J11" s="225" t="e">
        <f t="shared" si="0"/>
        <v>#REF!</v>
      </c>
      <c r="K11" s="225" t="e">
        <f t="shared" si="1"/>
        <v>#REF!</v>
      </c>
      <c r="L11" s="225" t="e">
        <f t="shared" si="2"/>
        <v>#REF!</v>
      </c>
      <c r="M11" s="225" t="e">
        <f t="shared" si="3"/>
        <v>#REF!</v>
      </c>
      <c r="N11" s="225" t="e">
        <f t="shared" si="4"/>
        <v>#REF!</v>
      </c>
      <c r="O11" s="222"/>
    </row>
    <row r="12" spans="1:15" ht="15">
      <c r="A12" s="223"/>
      <c r="B12" s="223" t="s">
        <v>1194</v>
      </c>
      <c r="C12" s="231" t="s">
        <v>1195</v>
      </c>
      <c r="D12" s="231" t="s">
        <v>1195</v>
      </c>
      <c r="E12" s="224">
        <v>2035</v>
      </c>
      <c r="F12" s="224">
        <v>1</v>
      </c>
      <c r="G12" s="226"/>
      <c r="H12" s="225"/>
      <c r="I12" s="225"/>
      <c r="J12" s="225" t="e">
        <f t="shared" si="0"/>
        <v>#REF!</v>
      </c>
      <c r="K12" s="225" t="e">
        <f t="shared" si="1"/>
        <v>#REF!</v>
      </c>
      <c r="L12" s="225" t="e">
        <f t="shared" si="2"/>
        <v>#REF!</v>
      </c>
      <c r="M12" s="225" t="e">
        <f t="shared" si="3"/>
        <v>#REF!</v>
      </c>
      <c r="N12" s="225" t="e">
        <f t="shared" si="4"/>
        <v>#REF!</v>
      </c>
      <c r="O12" s="222"/>
    </row>
    <row r="13" spans="1:15" ht="15">
      <c r="A13" s="223"/>
      <c r="B13" s="223" t="s">
        <v>1194</v>
      </c>
      <c r="C13" s="231" t="s">
        <v>1195</v>
      </c>
      <c r="D13" s="231" t="s">
        <v>1195</v>
      </c>
      <c r="E13" s="224">
        <v>2040</v>
      </c>
      <c r="F13" s="224">
        <v>1</v>
      </c>
      <c r="G13" s="226"/>
      <c r="H13" s="225"/>
      <c r="I13" s="225"/>
      <c r="J13" s="225" t="e">
        <f t="shared" si="0"/>
        <v>#REF!</v>
      </c>
      <c r="K13" s="225" t="e">
        <f t="shared" si="1"/>
        <v>#REF!</v>
      </c>
      <c r="L13" s="225" t="e">
        <f t="shared" si="2"/>
        <v>#REF!</v>
      </c>
      <c r="M13" s="225" t="e">
        <f t="shared" si="3"/>
        <v>#REF!</v>
      </c>
      <c r="N13" s="225" t="e">
        <f t="shared" si="4"/>
        <v>#REF!</v>
      </c>
      <c r="O13" s="222"/>
    </row>
    <row r="14" spans="1:15" ht="15">
      <c r="A14" s="223"/>
      <c r="B14" s="223" t="s">
        <v>1194</v>
      </c>
      <c r="C14" s="231" t="s">
        <v>1195</v>
      </c>
      <c r="D14" s="231" t="s">
        <v>1195</v>
      </c>
      <c r="E14" s="224">
        <v>2045</v>
      </c>
      <c r="F14" s="224">
        <v>1</v>
      </c>
      <c r="G14" s="226"/>
      <c r="H14" s="225"/>
      <c r="I14" s="225"/>
      <c r="J14" s="225" t="e">
        <f t="shared" si="0"/>
        <v>#REF!</v>
      </c>
      <c r="K14" s="225" t="e">
        <f t="shared" si="1"/>
        <v>#REF!</v>
      </c>
      <c r="L14" s="225" t="e">
        <f t="shared" si="2"/>
        <v>#REF!</v>
      </c>
      <c r="M14" s="225" t="e">
        <f t="shared" si="3"/>
        <v>#REF!</v>
      </c>
      <c r="N14" s="225" t="e">
        <f t="shared" si="4"/>
        <v>#REF!</v>
      </c>
      <c r="O14" s="222"/>
    </row>
    <row r="15" spans="1:15" ht="15">
      <c r="A15" s="223"/>
      <c r="B15" s="223" t="s">
        <v>1194</v>
      </c>
      <c r="C15" s="231" t="s">
        <v>1195</v>
      </c>
      <c r="D15" s="231" t="s">
        <v>1195</v>
      </c>
      <c r="E15" s="224">
        <v>2050</v>
      </c>
      <c r="F15" s="224">
        <v>1</v>
      </c>
      <c r="G15" s="226"/>
      <c r="H15" s="225"/>
      <c r="I15" s="225"/>
      <c r="J15" s="225" t="e">
        <f t="shared" si="0"/>
        <v>#REF!</v>
      </c>
      <c r="K15" s="225" t="e">
        <f t="shared" si="1"/>
        <v>#REF!</v>
      </c>
      <c r="L15" s="225" t="e">
        <f t="shared" si="2"/>
        <v>#REF!</v>
      </c>
      <c r="M15" s="225" t="e">
        <f t="shared" si="3"/>
        <v>#REF!</v>
      </c>
      <c r="N15" s="225" t="e">
        <f t="shared" si="4"/>
        <v>#REF!</v>
      </c>
      <c r="O15" s="222"/>
    </row>
    <row r="16" spans="1:15" ht="15">
      <c r="A16" s="223"/>
      <c r="B16" s="223" t="s">
        <v>1194</v>
      </c>
      <c r="C16" s="231" t="s">
        <v>1195</v>
      </c>
      <c r="D16" s="231" t="s">
        <v>1195</v>
      </c>
      <c r="E16" s="224">
        <v>2055</v>
      </c>
      <c r="F16" s="224">
        <v>1</v>
      </c>
      <c r="G16" s="226"/>
      <c r="H16" s="225"/>
      <c r="I16" s="225"/>
      <c r="J16" s="225" t="e">
        <f t="shared" si="0"/>
        <v>#REF!</v>
      </c>
      <c r="K16" s="225" t="e">
        <f t="shared" si="1"/>
        <v>#REF!</v>
      </c>
      <c r="L16" s="225" t="e">
        <f t="shared" si="2"/>
        <v>#REF!</v>
      </c>
      <c r="M16" s="225" t="e">
        <f t="shared" si="3"/>
        <v>#REF!</v>
      </c>
      <c r="N16" s="225" t="e">
        <f t="shared" si="4"/>
        <v>#REF!</v>
      </c>
      <c r="O16" s="222"/>
    </row>
    <row r="17" spans="1:15" ht="15">
      <c r="A17" s="227"/>
      <c r="B17" s="227"/>
      <c r="C17" s="228"/>
      <c r="D17" s="212"/>
      <c r="E17" s="229"/>
      <c r="F17" s="229"/>
      <c r="G17" s="213"/>
      <c r="H17" s="230"/>
      <c r="I17" s="230"/>
      <c r="J17" s="230"/>
      <c r="K17" s="230"/>
      <c r="L17" s="230"/>
      <c r="M17" s="230"/>
      <c r="N17" s="230"/>
      <c r="O17" s="212"/>
    </row>
    <row r="18" spans="1:15" ht="15">
      <c r="A18" s="227"/>
      <c r="B18" s="227"/>
      <c r="C18" s="228"/>
      <c r="D18" s="212"/>
      <c r="E18" s="229"/>
      <c r="F18" s="229"/>
      <c r="G18" s="213"/>
      <c r="H18" s="230"/>
      <c r="I18" s="230"/>
      <c r="J18" s="230"/>
      <c r="K18" s="230"/>
      <c r="L18" s="230"/>
      <c r="M18" s="230"/>
      <c r="N18" s="230"/>
      <c r="O18" s="212"/>
    </row>
    <row r="19" spans="1:15" ht="15">
      <c r="A19" s="227"/>
      <c r="B19" s="227"/>
      <c r="C19" s="228"/>
      <c r="D19" s="212"/>
      <c r="E19" s="229"/>
      <c r="F19" s="229"/>
      <c r="G19" s="213"/>
      <c r="H19" s="230"/>
      <c r="I19" s="230"/>
      <c r="J19" s="230"/>
      <c r="K19" s="230"/>
      <c r="L19" s="230"/>
      <c r="M19" s="230"/>
      <c r="N19" s="230"/>
      <c r="O19" s="212"/>
    </row>
    <row r="20" spans="1:15" ht="15">
      <c r="A20" s="227"/>
      <c r="B20" s="227"/>
      <c r="C20" s="228"/>
      <c r="D20" s="212"/>
      <c r="E20" s="229"/>
      <c r="F20" s="229"/>
      <c r="G20" s="213"/>
      <c r="H20" s="230"/>
      <c r="I20" s="230"/>
      <c r="J20" s="230"/>
      <c r="K20" s="230"/>
      <c r="L20" s="230"/>
      <c r="M20" s="230"/>
      <c r="N20" s="230"/>
      <c r="O20" s="212"/>
    </row>
    <row r="21" spans="1:15" ht="15">
      <c r="A21" s="227"/>
      <c r="B21" s="227"/>
      <c r="C21" s="228"/>
      <c r="D21" s="212"/>
      <c r="E21" s="229"/>
      <c r="F21" s="229"/>
      <c r="G21" s="213"/>
      <c r="H21" s="230"/>
      <c r="I21" s="230"/>
      <c r="J21" s="230"/>
      <c r="K21" s="230"/>
      <c r="L21" s="230"/>
      <c r="M21" s="230"/>
      <c r="N21" s="230"/>
      <c r="O21" s="212"/>
    </row>
    <row r="22" spans="1:15" ht="15">
      <c r="A22" s="227"/>
      <c r="B22" s="227"/>
      <c r="C22" s="228"/>
      <c r="D22" s="212"/>
      <c r="E22" s="229"/>
      <c r="F22" s="229"/>
      <c r="G22" s="213"/>
      <c r="H22" s="230"/>
      <c r="I22" s="230"/>
      <c r="J22" s="230"/>
      <c r="K22" s="230"/>
      <c r="L22" s="230"/>
      <c r="M22" s="230"/>
      <c r="N22" s="230"/>
      <c r="O22" s="212"/>
    </row>
    <row r="23" spans="1:15" ht="15">
      <c r="A23" s="227"/>
      <c r="B23" s="227"/>
      <c r="C23" s="228"/>
      <c r="D23" s="212"/>
      <c r="E23" s="229"/>
      <c r="F23" s="229"/>
      <c r="G23" s="213"/>
      <c r="H23" s="230"/>
      <c r="I23" s="230"/>
      <c r="J23" s="230"/>
      <c r="K23" s="230"/>
      <c r="L23" s="230"/>
      <c r="M23" s="230"/>
      <c r="N23" s="230"/>
      <c r="O23" s="212"/>
    </row>
    <row r="24" spans="1:15" ht="15">
      <c r="A24" s="227"/>
      <c r="B24" s="227"/>
      <c r="C24" s="228"/>
      <c r="D24" s="212"/>
      <c r="E24" s="229"/>
      <c r="F24" s="229"/>
      <c r="G24" s="213"/>
      <c r="H24" s="230"/>
      <c r="I24" s="230"/>
      <c r="J24" s="230"/>
      <c r="K24" s="230"/>
      <c r="L24" s="230"/>
      <c r="M24" s="230"/>
      <c r="N24" s="230"/>
      <c r="O24" s="2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EC5EB-1602-4436-84EF-0FC31E0BA6AD}">
  <sheetPr>
    <tabColor theme="8"/>
  </sheetPr>
  <dimension ref="A2:U243"/>
  <sheetViews>
    <sheetView showFormulas="1" workbookViewId="0">
      <selection activeCell="R27" sqref="R27"/>
    </sheetView>
  </sheetViews>
  <sheetFormatPr defaultRowHeight="12.75"/>
  <cols>
    <col min="1" max="1" width="39.140625" bestFit="1" customWidth="1"/>
    <col min="2" max="2" width="13.42578125" bestFit="1" customWidth="1"/>
    <col min="3" max="3" width="7.28515625" bestFit="1" customWidth="1"/>
    <col min="4" max="4" width="8.140625" bestFit="1" customWidth="1"/>
    <col min="5" max="5" width="14.42578125" bestFit="1" customWidth="1"/>
    <col min="6" max="6" width="4.7109375" bestFit="1" customWidth="1"/>
    <col min="7" max="7" width="7.85546875" bestFit="1" customWidth="1"/>
    <col min="8" max="17" width="12.7109375" bestFit="1" customWidth="1"/>
    <col min="18" max="18" width="12.140625" bestFit="1" customWidth="1"/>
    <col min="19" max="19" width="11" bestFit="1" customWidth="1"/>
    <col min="20" max="20" width="13.140625" bestFit="1" customWidth="1"/>
    <col min="21" max="21" width="8.42578125" bestFit="1" customWidth="1"/>
  </cols>
  <sheetData>
    <row r="2" spans="1:21" s="233" customFormat="1">
      <c r="A2" s="232" t="s">
        <v>1199</v>
      </c>
    </row>
    <row r="3" spans="1:21">
      <c r="A3" s="234" t="s">
        <v>1221</v>
      </c>
    </row>
    <row r="4" spans="1:21">
      <c r="A4" s="234" t="s">
        <v>1200</v>
      </c>
    </row>
    <row r="5" spans="1:21">
      <c r="G5" s="234" t="s">
        <v>1201</v>
      </c>
    </row>
    <row r="6" spans="1:21" ht="13.5" thickBot="1">
      <c r="A6" s="235" t="s">
        <v>1187</v>
      </c>
      <c r="B6" s="236" t="s">
        <v>1188</v>
      </c>
      <c r="C6" s="236" t="s">
        <v>1189</v>
      </c>
      <c r="D6" s="236" t="s">
        <v>1202</v>
      </c>
      <c r="E6" s="235" t="s">
        <v>1203</v>
      </c>
      <c r="F6" s="235" t="s">
        <v>429</v>
      </c>
      <c r="G6" s="235" t="s">
        <v>1113</v>
      </c>
      <c r="H6" s="235" t="s">
        <v>1204</v>
      </c>
      <c r="I6" s="235" t="s">
        <v>1205</v>
      </c>
      <c r="J6" s="235" t="s">
        <v>1206</v>
      </c>
      <c r="K6" s="235" t="s">
        <v>1207</v>
      </c>
      <c r="L6" s="235" t="s">
        <v>1208</v>
      </c>
      <c r="M6" s="235" t="s">
        <v>1209</v>
      </c>
      <c r="N6" s="235" t="s">
        <v>1210</v>
      </c>
      <c r="O6" s="235" t="s">
        <v>1211</v>
      </c>
      <c r="P6" s="235" t="s">
        <v>1212</v>
      </c>
      <c r="Q6" s="235" t="s">
        <v>1213</v>
      </c>
      <c r="R6" s="235" t="s">
        <v>1214</v>
      </c>
      <c r="S6" s="235" t="s">
        <v>1215</v>
      </c>
      <c r="T6" s="237" t="s">
        <v>1216</v>
      </c>
      <c r="U6" s="235" t="s">
        <v>1191</v>
      </c>
    </row>
    <row r="7" spans="1:21">
      <c r="A7" s="238" t="s">
        <v>1222</v>
      </c>
      <c r="B7" s="239" t="str">
        <f>TechData_R0!C9</f>
        <v>MINOILD1</v>
      </c>
      <c r="C7" s="239"/>
      <c r="D7" s="239"/>
      <c r="E7" s="240" t="s">
        <v>1217</v>
      </c>
      <c r="F7" s="240"/>
      <c r="G7" s="240" t="s">
        <v>1218</v>
      </c>
      <c r="H7" s="241">
        <f>TechData_R0!J9</f>
        <v>1.0049999999999999</v>
      </c>
      <c r="I7" s="241">
        <f>H7</f>
        <v>1.0049999999999999</v>
      </c>
      <c r="J7" s="241">
        <f t="shared" ref="J7:Q7" si="0">I7</f>
        <v>1.0049999999999999</v>
      </c>
      <c r="K7" s="241">
        <f t="shared" si="0"/>
        <v>1.0049999999999999</v>
      </c>
      <c r="L7" s="241">
        <f t="shared" si="0"/>
        <v>1.0049999999999999</v>
      </c>
      <c r="M7" s="241">
        <f t="shared" si="0"/>
        <v>1.0049999999999999</v>
      </c>
      <c r="N7" s="241">
        <f t="shared" si="0"/>
        <v>1.0049999999999999</v>
      </c>
      <c r="O7" s="241">
        <f t="shared" si="0"/>
        <v>1.0049999999999999</v>
      </c>
      <c r="P7" s="241">
        <f t="shared" si="0"/>
        <v>1.0049999999999999</v>
      </c>
      <c r="Q7" s="241">
        <f t="shared" si="0"/>
        <v>1.0049999999999999</v>
      </c>
      <c r="R7" s="240">
        <f>IF(TechData_R0!H9="",1,TechData_R0!H9)</f>
        <v>1</v>
      </c>
      <c r="S7" s="240"/>
      <c r="T7" s="242">
        <v>5</v>
      </c>
      <c r="U7" s="243"/>
    </row>
    <row r="8" spans="1:21">
      <c r="A8" s="238" t="s">
        <v>1224</v>
      </c>
      <c r="B8" s="239" t="str">
        <f>TechData_R0!C10</f>
        <v>MINOILD2</v>
      </c>
      <c r="C8" s="239"/>
      <c r="D8" s="239"/>
      <c r="E8" s="240" t="s">
        <v>1217</v>
      </c>
      <c r="F8" s="240"/>
      <c r="G8" s="240" t="s">
        <v>1218</v>
      </c>
      <c r="H8" s="241">
        <f>TechData_R0!J10</f>
        <v>1.0049999999999999</v>
      </c>
      <c r="I8" s="241">
        <f t="shared" ref="I8:I69" si="1">H8</f>
        <v>1.0049999999999999</v>
      </c>
      <c r="J8" s="241">
        <f t="shared" ref="J8:J11" si="2">I8</f>
        <v>1.0049999999999999</v>
      </c>
      <c r="K8" s="241">
        <f t="shared" ref="K8:K11" si="3">J8</f>
        <v>1.0049999999999999</v>
      </c>
      <c r="L8" s="241">
        <f t="shared" ref="L8:L11" si="4">K8</f>
        <v>1.0049999999999999</v>
      </c>
      <c r="M8" s="241">
        <f t="shared" ref="M8:M11" si="5">L8</f>
        <v>1.0049999999999999</v>
      </c>
      <c r="N8" s="241">
        <f t="shared" ref="N8:N11" si="6">M8</f>
        <v>1.0049999999999999</v>
      </c>
      <c r="O8" s="241">
        <f t="shared" ref="O8:O11" si="7">N8</f>
        <v>1.0049999999999999</v>
      </c>
      <c r="P8" s="241">
        <f t="shared" ref="P8:P11" si="8">O8</f>
        <v>1.0049999999999999</v>
      </c>
      <c r="Q8" s="241">
        <f t="shared" ref="Q8:Q11" si="9">P8</f>
        <v>1.0049999999999999</v>
      </c>
      <c r="R8" s="240">
        <f>IF(TechData_R0!H10="",1,TechData_R0!H10)</f>
        <v>1</v>
      </c>
      <c r="S8" s="240"/>
      <c r="T8" s="242">
        <v>5</v>
      </c>
      <c r="U8" s="243"/>
    </row>
    <row r="9" spans="1:21">
      <c r="A9" s="238" t="s">
        <v>1225</v>
      </c>
      <c r="B9" s="239" t="str">
        <f>TechData_R0!C11</f>
        <v>MINOILD3</v>
      </c>
      <c r="C9" s="239"/>
      <c r="D9" s="239"/>
      <c r="E9" s="240" t="s">
        <v>1217</v>
      </c>
      <c r="F9" s="240"/>
      <c r="G9" s="240" t="s">
        <v>1218</v>
      </c>
      <c r="H9" s="241">
        <f>TechData_R0!J11</f>
        <v>1.0049999999999999</v>
      </c>
      <c r="I9" s="241">
        <f t="shared" si="1"/>
        <v>1.0049999999999999</v>
      </c>
      <c r="J9" s="241">
        <f t="shared" si="2"/>
        <v>1.0049999999999999</v>
      </c>
      <c r="K9" s="241">
        <f t="shared" si="3"/>
        <v>1.0049999999999999</v>
      </c>
      <c r="L9" s="241">
        <f t="shared" si="4"/>
        <v>1.0049999999999999</v>
      </c>
      <c r="M9" s="241">
        <f t="shared" si="5"/>
        <v>1.0049999999999999</v>
      </c>
      <c r="N9" s="241">
        <f t="shared" si="6"/>
        <v>1.0049999999999999</v>
      </c>
      <c r="O9" s="241">
        <f t="shared" si="7"/>
        <v>1.0049999999999999</v>
      </c>
      <c r="P9" s="241">
        <f t="shared" si="8"/>
        <v>1.0049999999999999</v>
      </c>
      <c r="Q9" s="241">
        <f t="shared" si="9"/>
        <v>1.0049999999999999</v>
      </c>
      <c r="R9" s="240">
        <f>IF(TechData_R0!H11="",1,TechData_R0!H11)</f>
        <v>1</v>
      </c>
      <c r="S9" s="240"/>
      <c r="T9" s="242">
        <v>5</v>
      </c>
      <c r="U9" s="243"/>
    </row>
    <row r="10" spans="1:21">
      <c r="A10" s="238" t="s">
        <v>1226</v>
      </c>
      <c r="B10" s="239" t="str">
        <f>TechData_R0!C12</f>
        <v>MINOILD4</v>
      </c>
      <c r="C10" s="239"/>
      <c r="D10" s="239"/>
      <c r="E10" s="240" t="s">
        <v>1217</v>
      </c>
      <c r="F10" s="240"/>
      <c r="G10" s="240" t="s">
        <v>1218</v>
      </c>
      <c r="H10" s="241">
        <f>TechData_R0!J12</f>
        <v>1.0049999999999999</v>
      </c>
      <c r="I10" s="241">
        <f t="shared" si="1"/>
        <v>1.0049999999999999</v>
      </c>
      <c r="J10" s="241">
        <f t="shared" si="2"/>
        <v>1.0049999999999999</v>
      </c>
      <c r="K10" s="241">
        <f t="shared" si="3"/>
        <v>1.0049999999999999</v>
      </c>
      <c r="L10" s="241">
        <f t="shared" si="4"/>
        <v>1.0049999999999999</v>
      </c>
      <c r="M10" s="241">
        <f t="shared" si="5"/>
        <v>1.0049999999999999</v>
      </c>
      <c r="N10" s="241">
        <f t="shared" si="6"/>
        <v>1.0049999999999999</v>
      </c>
      <c r="O10" s="241">
        <f t="shared" si="7"/>
        <v>1.0049999999999999</v>
      </c>
      <c r="P10" s="241">
        <f t="shared" si="8"/>
        <v>1.0049999999999999</v>
      </c>
      <c r="Q10" s="241">
        <f t="shared" si="9"/>
        <v>1.0049999999999999</v>
      </c>
      <c r="R10" s="240">
        <f>IF(TechData_R0!H12="",1,TechData_R0!H12)</f>
        <v>0.50462411744655078</v>
      </c>
      <c r="S10" s="240"/>
      <c r="T10" s="242">
        <v>5</v>
      </c>
      <c r="U10" s="243"/>
    </row>
    <row r="11" spans="1:21">
      <c r="A11" s="238" t="s">
        <v>1227</v>
      </c>
      <c r="B11" s="239" t="str">
        <f>TechData_R0!C13</f>
        <v>MINOILD5</v>
      </c>
      <c r="C11" s="239"/>
      <c r="D11" s="239"/>
      <c r="E11" s="240" t="s">
        <v>1217</v>
      </c>
      <c r="F11" s="240"/>
      <c r="G11" s="240" t="s">
        <v>1218</v>
      </c>
      <c r="H11" s="241">
        <f>TechData_R0!J13</f>
        <v>1.0049999999999999</v>
      </c>
      <c r="I11" s="241">
        <f t="shared" si="1"/>
        <v>1.0049999999999999</v>
      </c>
      <c r="J11" s="241">
        <f t="shared" si="2"/>
        <v>1.0049999999999999</v>
      </c>
      <c r="K11" s="241">
        <f t="shared" si="3"/>
        <v>1.0049999999999999</v>
      </c>
      <c r="L11" s="241">
        <f t="shared" si="4"/>
        <v>1.0049999999999999</v>
      </c>
      <c r="M11" s="241">
        <f t="shared" si="5"/>
        <v>1.0049999999999999</v>
      </c>
      <c r="N11" s="241">
        <f t="shared" si="6"/>
        <v>1.0049999999999999</v>
      </c>
      <c r="O11" s="241">
        <f t="shared" si="7"/>
        <v>1.0049999999999999</v>
      </c>
      <c r="P11" s="241">
        <f t="shared" si="8"/>
        <v>1.0049999999999999</v>
      </c>
      <c r="Q11" s="241">
        <f t="shared" si="9"/>
        <v>1.0049999999999999</v>
      </c>
      <c r="R11" s="240">
        <f>IF(TechData_R0!H13="",1,TechData_R0!H13)</f>
        <v>0.75693617616982645</v>
      </c>
      <c r="S11" s="240"/>
      <c r="T11" s="242">
        <v>5</v>
      </c>
      <c r="U11" s="243"/>
    </row>
    <row r="12" spans="1:21">
      <c r="A12" s="238" t="s">
        <v>1228</v>
      </c>
      <c r="B12" s="239" t="str">
        <f>TechData_R0!C32</f>
        <v>IMPOILHH13</v>
      </c>
      <c r="C12" s="239"/>
      <c r="D12" s="239"/>
      <c r="E12" s="240" t="s">
        <v>1217</v>
      </c>
      <c r="F12" s="240"/>
      <c r="G12" s="240" t="s">
        <v>1218</v>
      </c>
      <c r="H12" s="241">
        <f>TechData_R0!J32</f>
        <v>1.0049999999999999</v>
      </c>
      <c r="I12" s="241">
        <f t="shared" si="1"/>
        <v>1.0049999999999999</v>
      </c>
      <c r="J12" s="241">
        <f t="shared" ref="J12" si="10">I12</f>
        <v>1.0049999999999999</v>
      </c>
      <c r="K12" s="241">
        <f t="shared" ref="K12" si="11">J12</f>
        <v>1.0049999999999999</v>
      </c>
      <c r="L12" s="241">
        <f t="shared" ref="L12" si="12">K12</f>
        <v>1.0049999999999999</v>
      </c>
      <c r="M12" s="241">
        <f t="shared" ref="M12" si="13">L12</f>
        <v>1.0049999999999999</v>
      </c>
      <c r="N12" s="241">
        <f t="shared" ref="N12" si="14">M12</f>
        <v>1.0049999999999999</v>
      </c>
      <c r="O12" s="241">
        <f t="shared" ref="O12" si="15">N12</f>
        <v>1.0049999999999999</v>
      </c>
      <c r="P12" s="241">
        <f t="shared" ref="P12" si="16">O12</f>
        <v>1.0049999999999999</v>
      </c>
      <c r="Q12" s="241">
        <f t="shared" ref="Q12" si="17">P12</f>
        <v>1.0049999999999999</v>
      </c>
      <c r="R12" s="240">
        <f>IF(TechData_R0!H32="",1,TechData_R0!H32)</f>
        <v>1</v>
      </c>
      <c r="S12" s="240"/>
      <c r="T12" s="242">
        <v>5</v>
      </c>
      <c r="U12" s="243"/>
    </row>
    <row r="13" spans="1:21">
      <c r="A13" s="238" t="s">
        <v>1229</v>
      </c>
      <c r="B13" s="239" t="str">
        <f>TechData_R0!C33</f>
        <v>IMPOILHH11</v>
      </c>
      <c r="C13" s="239"/>
      <c r="D13" s="239"/>
      <c r="E13" s="240" t="s">
        <v>1217</v>
      </c>
      <c r="F13" s="240"/>
      <c r="G13" s="240" t="s">
        <v>1218</v>
      </c>
      <c r="H13" s="241">
        <f>TechData_R0!J33</f>
        <v>1.0049999999999999</v>
      </c>
      <c r="I13" s="241">
        <f t="shared" si="1"/>
        <v>1.0049999999999999</v>
      </c>
      <c r="J13" s="241">
        <f t="shared" ref="J13:J30" si="18">I13</f>
        <v>1.0049999999999999</v>
      </c>
      <c r="K13" s="241">
        <f t="shared" ref="K13:K30" si="19">J13</f>
        <v>1.0049999999999999</v>
      </c>
      <c r="L13" s="241">
        <f t="shared" ref="L13:L30" si="20">K13</f>
        <v>1.0049999999999999</v>
      </c>
      <c r="M13" s="241">
        <f t="shared" ref="M13:M30" si="21">L13</f>
        <v>1.0049999999999999</v>
      </c>
      <c r="N13" s="241">
        <f t="shared" ref="N13:N30" si="22">M13</f>
        <v>1.0049999999999999</v>
      </c>
      <c r="O13" s="241">
        <f t="shared" ref="O13:O30" si="23">N13</f>
        <v>1.0049999999999999</v>
      </c>
      <c r="P13" s="241">
        <f t="shared" ref="P13:P30" si="24">O13</f>
        <v>1.0049999999999999</v>
      </c>
      <c r="Q13" s="241">
        <f t="shared" ref="Q13:Q30" si="25">P13</f>
        <v>1.0049999999999999</v>
      </c>
      <c r="R13" s="240">
        <f>IF(TechData_R0!H33="",1,TechData_R0!H33)</f>
        <v>1</v>
      </c>
      <c r="S13" s="240"/>
      <c r="T13" s="242">
        <v>5</v>
      </c>
      <c r="U13" s="243"/>
    </row>
    <row r="14" spans="1:21">
      <c r="A14" s="238" t="s">
        <v>1230</v>
      </c>
      <c r="B14" s="239" t="str">
        <f>TechData_R0!C34</f>
        <v>IMPOILHH12</v>
      </c>
      <c r="C14" s="239"/>
      <c r="D14" s="239"/>
      <c r="E14" s="240" t="s">
        <v>1217</v>
      </c>
      <c r="F14" s="240"/>
      <c r="G14" s="240" t="s">
        <v>1218</v>
      </c>
      <c r="H14" s="241">
        <f>TechData_R0!J34</f>
        <v>1.0049999999999999</v>
      </c>
      <c r="I14" s="241">
        <f t="shared" si="1"/>
        <v>1.0049999999999999</v>
      </c>
      <c r="J14" s="241">
        <f t="shared" si="18"/>
        <v>1.0049999999999999</v>
      </c>
      <c r="K14" s="241">
        <f t="shared" si="19"/>
        <v>1.0049999999999999</v>
      </c>
      <c r="L14" s="241">
        <f t="shared" si="20"/>
        <v>1.0049999999999999</v>
      </c>
      <c r="M14" s="241">
        <f t="shared" si="21"/>
        <v>1.0049999999999999</v>
      </c>
      <c r="N14" s="241">
        <f t="shared" si="22"/>
        <v>1.0049999999999999</v>
      </c>
      <c r="O14" s="241">
        <f t="shared" si="23"/>
        <v>1.0049999999999999</v>
      </c>
      <c r="P14" s="241">
        <f t="shared" si="24"/>
        <v>1.0049999999999999</v>
      </c>
      <c r="Q14" s="241">
        <f t="shared" si="25"/>
        <v>1.0049999999999999</v>
      </c>
      <c r="R14" s="240">
        <f>IF(TechData_R0!H34="",1,TechData_R0!H34)</f>
        <v>1</v>
      </c>
      <c r="S14" s="240"/>
      <c r="T14" s="242">
        <v>5</v>
      </c>
      <c r="U14" s="243"/>
    </row>
    <row r="15" spans="1:21">
      <c r="A15" s="238" t="s">
        <v>1231</v>
      </c>
      <c r="B15" s="239" t="str">
        <f>TechData_R0!C35</f>
        <v>IMPOILHH14</v>
      </c>
      <c r="C15" s="239"/>
      <c r="D15" s="239"/>
      <c r="E15" s="240" t="s">
        <v>1217</v>
      </c>
      <c r="F15" s="240"/>
      <c r="G15" s="240" t="s">
        <v>1218</v>
      </c>
      <c r="H15" s="241">
        <f>TechData_R0!J35</f>
        <v>1.0049999999999999</v>
      </c>
      <c r="I15" s="241">
        <f t="shared" si="1"/>
        <v>1.0049999999999999</v>
      </c>
      <c r="J15" s="241">
        <f t="shared" si="18"/>
        <v>1.0049999999999999</v>
      </c>
      <c r="K15" s="241">
        <f t="shared" si="19"/>
        <v>1.0049999999999999</v>
      </c>
      <c r="L15" s="241">
        <f t="shared" si="20"/>
        <v>1.0049999999999999</v>
      </c>
      <c r="M15" s="241">
        <f t="shared" si="21"/>
        <v>1.0049999999999999</v>
      </c>
      <c r="N15" s="241">
        <f t="shared" si="22"/>
        <v>1.0049999999999999</v>
      </c>
      <c r="O15" s="241">
        <f t="shared" si="23"/>
        <v>1.0049999999999999</v>
      </c>
      <c r="P15" s="241">
        <f t="shared" si="24"/>
        <v>1.0049999999999999</v>
      </c>
      <c r="Q15" s="241">
        <f t="shared" si="25"/>
        <v>1.0049999999999999</v>
      </c>
      <c r="R15" s="240">
        <f>IF(TechData_R0!H35="",1,TechData_R0!H35)</f>
        <v>1</v>
      </c>
      <c r="S15" s="240"/>
      <c r="T15" s="242">
        <v>5</v>
      </c>
      <c r="U15" s="243"/>
    </row>
    <row r="16" spans="1:21">
      <c r="A16" s="238" t="s">
        <v>1232</v>
      </c>
      <c r="B16" s="239" t="str">
        <f>TechData_R0!C36</f>
        <v>IMPOILHH15</v>
      </c>
      <c r="C16" s="239"/>
      <c r="D16" s="239"/>
      <c r="E16" s="240" t="s">
        <v>1217</v>
      </c>
      <c r="F16" s="240"/>
      <c r="G16" s="240" t="s">
        <v>1218</v>
      </c>
      <c r="H16" s="241">
        <f>TechData_R0!J36</f>
        <v>1.0049999999999999</v>
      </c>
      <c r="I16" s="241">
        <f t="shared" si="1"/>
        <v>1.0049999999999999</v>
      </c>
      <c r="J16" s="241">
        <f t="shared" si="18"/>
        <v>1.0049999999999999</v>
      </c>
      <c r="K16" s="241">
        <f t="shared" si="19"/>
        <v>1.0049999999999999</v>
      </c>
      <c r="L16" s="241">
        <f t="shared" si="20"/>
        <v>1.0049999999999999</v>
      </c>
      <c r="M16" s="241">
        <f t="shared" si="21"/>
        <v>1.0049999999999999</v>
      </c>
      <c r="N16" s="241">
        <f t="shared" si="22"/>
        <v>1.0049999999999999</v>
      </c>
      <c r="O16" s="241">
        <f t="shared" si="23"/>
        <v>1.0049999999999999</v>
      </c>
      <c r="P16" s="241">
        <f t="shared" si="24"/>
        <v>1.0049999999999999</v>
      </c>
      <c r="Q16" s="241">
        <f t="shared" si="25"/>
        <v>1.0049999999999999</v>
      </c>
      <c r="R16" s="240">
        <f>IF(TechData_R0!H36="",1,TechData_R0!H36)</f>
        <v>1</v>
      </c>
      <c r="S16" s="240"/>
      <c r="T16" s="242">
        <v>5</v>
      </c>
      <c r="U16" s="243"/>
    </row>
    <row r="17" spans="1:21">
      <c r="A17" s="238" t="s">
        <v>1233</v>
      </c>
      <c r="B17" s="239" t="str">
        <f>TechData_R0!C37</f>
        <v>IMPOILHL13</v>
      </c>
      <c r="C17" s="239"/>
      <c r="D17" s="239"/>
      <c r="E17" s="240" t="s">
        <v>1217</v>
      </c>
      <c r="F17" s="240"/>
      <c r="G17" s="240" t="s">
        <v>1218</v>
      </c>
      <c r="H17" s="241">
        <f>TechData_R0!J37</f>
        <v>1.0049999999999999</v>
      </c>
      <c r="I17" s="241">
        <f t="shared" si="1"/>
        <v>1.0049999999999999</v>
      </c>
      <c r="J17" s="241">
        <f t="shared" si="18"/>
        <v>1.0049999999999999</v>
      </c>
      <c r="K17" s="241">
        <f t="shared" si="19"/>
        <v>1.0049999999999999</v>
      </c>
      <c r="L17" s="241">
        <f t="shared" si="20"/>
        <v>1.0049999999999999</v>
      </c>
      <c r="M17" s="241">
        <f t="shared" si="21"/>
        <v>1.0049999999999999</v>
      </c>
      <c r="N17" s="241">
        <f t="shared" si="22"/>
        <v>1.0049999999999999</v>
      </c>
      <c r="O17" s="241">
        <f t="shared" si="23"/>
        <v>1.0049999999999999</v>
      </c>
      <c r="P17" s="241">
        <f t="shared" si="24"/>
        <v>1.0049999999999999</v>
      </c>
      <c r="Q17" s="241">
        <f t="shared" si="25"/>
        <v>1.0049999999999999</v>
      </c>
      <c r="R17" s="240">
        <f>IF(TechData_R0!H37="",1,TechData_R0!H37)</f>
        <v>1</v>
      </c>
      <c r="S17" s="240"/>
      <c r="T17" s="242">
        <v>5</v>
      </c>
      <c r="U17" s="243"/>
    </row>
    <row r="18" spans="1:21">
      <c r="A18" s="238" t="s">
        <v>1234</v>
      </c>
      <c r="B18" s="239" t="str">
        <f>TechData_R0!C38</f>
        <v>IMPOILHL11</v>
      </c>
      <c r="C18" s="239"/>
      <c r="D18" s="239"/>
      <c r="E18" s="240" t="s">
        <v>1217</v>
      </c>
      <c r="F18" s="240"/>
      <c r="G18" s="240" t="s">
        <v>1218</v>
      </c>
      <c r="H18" s="241">
        <f>TechData_R0!J38</f>
        <v>1.0049999999999999</v>
      </c>
      <c r="I18" s="241">
        <f t="shared" si="1"/>
        <v>1.0049999999999999</v>
      </c>
      <c r="J18" s="241">
        <f t="shared" si="18"/>
        <v>1.0049999999999999</v>
      </c>
      <c r="K18" s="241">
        <f t="shared" si="19"/>
        <v>1.0049999999999999</v>
      </c>
      <c r="L18" s="241">
        <f t="shared" si="20"/>
        <v>1.0049999999999999</v>
      </c>
      <c r="M18" s="241">
        <f t="shared" si="21"/>
        <v>1.0049999999999999</v>
      </c>
      <c r="N18" s="241">
        <f t="shared" si="22"/>
        <v>1.0049999999999999</v>
      </c>
      <c r="O18" s="241">
        <f t="shared" si="23"/>
        <v>1.0049999999999999</v>
      </c>
      <c r="P18" s="241">
        <f t="shared" si="24"/>
        <v>1.0049999999999999</v>
      </c>
      <c r="Q18" s="241">
        <f t="shared" si="25"/>
        <v>1.0049999999999999</v>
      </c>
      <c r="R18" s="240">
        <f>IF(TechData_R0!H38="",1,TechData_R0!H38)</f>
        <v>1</v>
      </c>
      <c r="S18" s="240"/>
      <c r="T18" s="242">
        <v>5</v>
      </c>
      <c r="U18" s="243"/>
    </row>
    <row r="19" spans="1:21">
      <c r="A19" s="238" t="s">
        <v>1235</v>
      </c>
      <c r="B19" s="239" t="str">
        <f>TechData_R0!C39</f>
        <v>IMPOILHL12</v>
      </c>
      <c r="C19" s="239"/>
      <c r="D19" s="239"/>
      <c r="E19" s="240" t="s">
        <v>1217</v>
      </c>
      <c r="F19" s="240"/>
      <c r="G19" s="240" t="s">
        <v>1218</v>
      </c>
      <c r="H19" s="241">
        <f>TechData_R0!J39</f>
        <v>1.0049999999999999</v>
      </c>
      <c r="I19" s="241">
        <f t="shared" si="1"/>
        <v>1.0049999999999999</v>
      </c>
      <c r="J19" s="241">
        <f t="shared" si="18"/>
        <v>1.0049999999999999</v>
      </c>
      <c r="K19" s="241">
        <f t="shared" si="19"/>
        <v>1.0049999999999999</v>
      </c>
      <c r="L19" s="241">
        <f t="shared" si="20"/>
        <v>1.0049999999999999</v>
      </c>
      <c r="M19" s="241">
        <f t="shared" si="21"/>
        <v>1.0049999999999999</v>
      </c>
      <c r="N19" s="241">
        <f t="shared" si="22"/>
        <v>1.0049999999999999</v>
      </c>
      <c r="O19" s="241">
        <f t="shared" si="23"/>
        <v>1.0049999999999999</v>
      </c>
      <c r="P19" s="241">
        <f t="shared" si="24"/>
        <v>1.0049999999999999</v>
      </c>
      <c r="Q19" s="241">
        <f t="shared" si="25"/>
        <v>1.0049999999999999</v>
      </c>
      <c r="R19" s="240">
        <f>IF(TechData_R0!H39="",1,TechData_R0!H39)</f>
        <v>1</v>
      </c>
      <c r="S19" s="240"/>
      <c r="T19" s="242">
        <v>5</v>
      </c>
      <c r="U19" s="243"/>
    </row>
    <row r="20" spans="1:21">
      <c r="A20" s="238" t="s">
        <v>1236</v>
      </c>
      <c r="B20" s="239" t="str">
        <f>TechData_R0!C40</f>
        <v>IMPOILHL14</v>
      </c>
      <c r="C20" s="239"/>
      <c r="D20" s="239"/>
      <c r="E20" s="240" t="s">
        <v>1217</v>
      </c>
      <c r="F20" s="240"/>
      <c r="G20" s="240" t="s">
        <v>1218</v>
      </c>
      <c r="H20" s="241">
        <f>TechData_R0!J40</f>
        <v>1.0049999999999999</v>
      </c>
      <c r="I20" s="241">
        <f t="shared" si="1"/>
        <v>1.0049999999999999</v>
      </c>
      <c r="J20" s="241">
        <f t="shared" si="18"/>
        <v>1.0049999999999999</v>
      </c>
      <c r="K20" s="241">
        <f t="shared" si="19"/>
        <v>1.0049999999999999</v>
      </c>
      <c r="L20" s="241">
        <f t="shared" si="20"/>
        <v>1.0049999999999999</v>
      </c>
      <c r="M20" s="241">
        <f t="shared" si="21"/>
        <v>1.0049999999999999</v>
      </c>
      <c r="N20" s="241">
        <f t="shared" si="22"/>
        <v>1.0049999999999999</v>
      </c>
      <c r="O20" s="241">
        <f t="shared" si="23"/>
        <v>1.0049999999999999</v>
      </c>
      <c r="P20" s="241">
        <f t="shared" si="24"/>
        <v>1.0049999999999999</v>
      </c>
      <c r="Q20" s="241">
        <f t="shared" si="25"/>
        <v>1.0049999999999999</v>
      </c>
      <c r="R20" s="240">
        <f>IF(TechData_R0!H40="",1,TechData_R0!H40)</f>
        <v>1</v>
      </c>
      <c r="S20" s="240"/>
      <c r="T20" s="242">
        <v>5</v>
      </c>
      <c r="U20" s="243"/>
    </row>
    <row r="21" spans="1:21">
      <c r="A21" s="238" t="s">
        <v>1237</v>
      </c>
      <c r="B21" s="239" t="str">
        <f>TechData_R0!C41</f>
        <v>IMPOILHL15</v>
      </c>
      <c r="C21" s="239"/>
      <c r="D21" s="239"/>
      <c r="E21" s="240" t="s">
        <v>1217</v>
      </c>
      <c r="F21" s="240"/>
      <c r="G21" s="240" t="s">
        <v>1218</v>
      </c>
      <c r="H21" s="241">
        <f>TechData_R0!J41</f>
        <v>1.0049999999999999</v>
      </c>
      <c r="I21" s="241">
        <f t="shared" si="1"/>
        <v>1.0049999999999999</v>
      </c>
      <c r="J21" s="241">
        <f t="shared" si="18"/>
        <v>1.0049999999999999</v>
      </c>
      <c r="K21" s="241">
        <f t="shared" si="19"/>
        <v>1.0049999999999999</v>
      </c>
      <c r="L21" s="241">
        <f t="shared" si="20"/>
        <v>1.0049999999999999</v>
      </c>
      <c r="M21" s="241">
        <f t="shared" si="21"/>
        <v>1.0049999999999999</v>
      </c>
      <c r="N21" s="241">
        <f t="shared" si="22"/>
        <v>1.0049999999999999</v>
      </c>
      <c r="O21" s="241">
        <f t="shared" si="23"/>
        <v>1.0049999999999999</v>
      </c>
      <c r="P21" s="241">
        <f t="shared" si="24"/>
        <v>1.0049999999999999</v>
      </c>
      <c r="Q21" s="241">
        <f t="shared" si="25"/>
        <v>1.0049999999999999</v>
      </c>
      <c r="R21" s="240">
        <f>IF(TechData_R0!H41="",1,TechData_R0!H41)</f>
        <v>1</v>
      </c>
      <c r="S21" s="240"/>
      <c r="T21" s="242">
        <v>5</v>
      </c>
      <c r="U21" s="243"/>
    </row>
    <row r="22" spans="1:21">
      <c r="A22" s="238" t="s">
        <v>1238</v>
      </c>
      <c r="B22" s="239" t="str">
        <f>TechData_R0!C42</f>
        <v>IMPOILHV13</v>
      </c>
      <c r="C22" s="239"/>
      <c r="D22" s="239"/>
      <c r="E22" s="240" t="s">
        <v>1217</v>
      </c>
      <c r="F22" s="240"/>
      <c r="G22" s="240" t="s">
        <v>1218</v>
      </c>
      <c r="H22" s="241">
        <f>TechData_R0!J42</f>
        <v>1.0049999999999999</v>
      </c>
      <c r="I22" s="241">
        <f t="shared" si="1"/>
        <v>1.0049999999999999</v>
      </c>
      <c r="J22" s="241">
        <f t="shared" si="18"/>
        <v>1.0049999999999999</v>
      </c>
      <c r="K22" s="241">
        <f t="shared" si="19"/>
        <v>1.0049999999999999</v>
      </c>
      <c r="L22" s="241">
        <f t="shared" si="20"/>
        <v>1.0049999999999999</v>
      </c>
      <c r="M22" s="241">
        <f t="shared" si="21"/>
        <v>1.0049999999999999</v>
      </c>
      <c r="N22" s="241">
        <f t="shared" si="22"/>
        <v>1.0049999999999999</v>
      </c>
      <c r="O22" s="241">
        <f t="shared" si="23"/>
        <v>1.0049999999999999</v>
      </c>
      <c r="P22" s="241">
        <f t="shared" si="24"/>
        <v>1.0049999999999999</v>
      </c>
      <c r="Q22" s="241">
        <f t="shared" si="25"/>
        <v>1.0049999999999999</v>
      </c>
      <c r="R22" s="240">
        <f>IF(TechData_R0!H42="",1,TechData_R0!H42)</f>
        <v>1</v>
      </c>
      <c r="S22" s="240"/>
      <c r="T22" s="242">
        <v>5</v>
      </c>
      <c r="U22" s="243"/>
    </row>
    <row r="23" spans="1:21">
      <c r="A23" s="238" t="s">
        <v>1239</v>
      </c>
      <c r="B23" s="239" t="str">
        <f>TechData_R0!C43</f>
        <v>IMPOILHV11</v>
      </c>
      <c r="C23" s="239"/>
      <c r="D23" s="239"/>
      <c r="E23" s="240" t="s">
        <v>1217</v>
      </c>
      <c r="F23" s="240"/>
      <c r="G23" s="240" t="s">
        <v>1218</v>
      </c>
      <c r="H23" s="241">
        <f>TechData_R0!J43</f>
        <v>1.0049999999999999</v>
      </c>
      <c r="I23" s="241">
        <f t="shared" si="1"/>
        <v>1.0049999999999999</v>
      </c>
      <c r="J23" s="241">
        <f t="shared" si="18"/>
        <v>1.0049999999999999</v>
      </c>
      <c r="K23" s="241">
        <f t="shared" si="19"/>
        <v>1.0049999999999999</v>
      </c>
      <c r="L23" s="241">
        <f t="shared" si="20"/>
        <v>1.0049999999999999</v>
      </c>
      <c r="M23" s="241">
        <f t="shared" si="21"/>
        <v>1.0049999999999999</v>
      </c>
      <c r="N23" s="241">
        <f t="shared" si="22"/>
        <v>1.0049999999999999</v>
      </c>
      <c r="O23" s="241">
        <f t="shared" si="23"/>
        <v>1.0049999999999999</v>
      </c>
      <c r="P23" s="241">
        <f t="shared" si="24"/>
        <v>1.0049999999999999</v>
      </c>
      <c r="Q23" s="241">
        <f t="shared" si="25"/>
        <v>1.0049999999999999</v>
      </c>
      <c r="R23" s="240">
        <f>IF(TechData_R0!H43="",1,TechData_R0!H43)</f>
        <v>1</v>
      </c>
      <c r="S23" s="240"/>
      <c r="T23" s="242">
        <v>5</v>
      </c>
      <c r="U23" s="243"/>
    </row>
    <row r="24" spans="1:21">
      <c r="A24" s="238" t="s">
        <v>1240</v>
      </c>
      <c r="B24" s="239" t="str">
        <f>TechData_R0!C44</f>
        <v>IMPOILHV12</v>
      </c>
      <c r="C24" s="239"/>
      <c r="D24" s="239"/>
      <c r="E24" s="240" t="s">
        <v>1217</v>
      </c>
      <c r="F24" s="240"/>
      <c r="G24" s="240" t="s">
        <v>1218</v>
      </c>
      <c r="H24" s="241">
        <f>TechData_R0!J44</f>
        <v>1.0049999999999999</v>
      </c>
      <c r="I24" s="241">
        <f t="shared" si="1"/>
        <v>1.0049999999999999</v>
      </c>
      <c r="J24" s="241">
        <f t="shared" si="18"/>
        <v>1.0049999999999999</v>
      </c>
      <c r="K24" s="241">
        <f t="shared" si="19"/>
        <v>1.0049999999999999</v>
      </c>
      <c r="L24" s="241">
        <f t="shared" si="20"/>
        <v>1.0049999999999999</v>
      </c>
      <c r="M24" s="241">
        <f t="shared" si="21"/>
        <v>1.0049999999999999</v>
      </c>
      <c r="N24" s="241">
        <f t="shared" si="22"/>
        <v>1.0049999999999999</v>
      </c>
      <c r="O24" s="241">
        <f t="shared" si="23"/>
        <v>1.0049999999999999</v>
      </c>
      <c r="P24" s="241">
        <f t="shared" si="24"/>
        <v>1.0049999999999999</v>
      </c>
      <c r="Q24" s="241">
        <f t="shared" si="25"/>
        <v>1.0049999999999999</v>
      </c>
      <c r="R24" s="240">
        <f>IF(TechData_R0!H44="",1,TechData_R0!H44)</f>
        <v>1</v>
      </c>
      <c r="S24" s="240"/>
      <c r="T24" s="242">
        <v>5</v>
      </c>
      <c r="U24" s="243"/>
    </row>
    <row r="25" spans="1:21">
      <c r="A25" s="238" t="s">
        <v>1241</v>
      </c>
      <c r="B25" s="239" t="str">
        <f>TechData_R0!C45</f>
        <v>IMPOILHV14</v>
      </c>
      <c r="C25" s="239"/>
      <c r="D25" s="239"/>
      <c r="E25" s="240" t="s">
        <v>1217</v>
      </c>
      <c r="F25" s="240"/>
      <c r="G25" s="240" t="s">
        <v>1218</v>
      </c>
      <c r="H25" s="241">
        <f>TechData_R0!J45</f>
        <v>1.0049999999999999</v>
      </c>
      <c r="I25" s="241">
        <f t="shared" si="1"/>
        <v>1.0049999999999999</v>
      </c>
      <c r="J25" s="241">
        <f t="shared" si="18"/>
        <v>1.0049999999999999</v>
      </c>
      <c r="K25" s="241">
        <f t="shared" si="19"/>
        <v>1.0049999999999999</v>
      </c>
      <c r="L25" s="241">
        <f t="shared" si="20"/>
        <v>1.0049999999999999</v>
      </c>
      <c r="M25" s="241">
        <f t="shared" si="21"/>
        <v>1.0049999999999999</v>
      </c>
      <c r="N25" s="241">
        <f t="shared" si="22"/>
        <v>1.0049999999999999</v>
      </c>
      <c r="O25" s="241">
        <f t="shared" si="23"/>
        <v>1.0049999999999999</v>
      </c>
      <c r="P25" s="241">
        <f t="shared" si="24"/>
        <v>1.0049999999999999</v>
      </c>
      <c r="Q25" s="241">
        <f t="shared" si="25"/>
        <v>1.0049999999999999</v>
      </c>
      <c r="R25" s="240">
        <f>IF(TechData_R0!H45="",1,TechData_R0!H45)</f>
        <v>1</v>
      </c>
      <c r="S25" s="240"/>
      <c r="T25" s="242">
        <v>5</v>
      </c>
      <c r="U25" s="243"/>
    </row>
    <row r="26" spans="1:21">
      <c r="A26" s="238" t="s">
        <v>1242</v>
      </c>
      <c r="B26" s="239" t="str">
        <f>TechData_R0!C46</f>
        <v>IMPOILHV15</v>
      </c>
      <c r="C26" s="239"/>
      <c r="D26" s="239"/>
      <c r="E26" s="240" t="s">
        <v>1217</v>
      </c>
      <c r="F26" s="240"/>
      <c r="G26" s="240" t="s">
        <v>1218</v>
      </c>
      <c r="H26" s="241">
        <f>TechData_R0!J46</f>
        <v>1.0049999999999999</v>
      </c>
      <c r="I26" s="241">
        <f t="shared" si="1"/>
        <v>1.0049999999999999</v>
      </c>
      <c r="J26" s="241">
        <f t="shared" si="18"/>
        <v>1.0049999999999999</v>
      </c>
      <c r="K26" s="241">
        <f t="shared" si="19"/>
        <v>1.0049999999999999</v>
      </c>
      <c r="L26" s="241">
        <f t="shared" si="20"/>
        <v>1.0049999999999999</v>
      </c>
      <c r="M26" s="241">
        <f t="shared" si="21"/>
        <v>1.0049999999999999</v>
      </c>
      <c r="N26" s="241">
        <f t="shared" si="22"/>
        <v>1.0049999999999999</v>
      </c>
      <c r="O26" s="241">
        <f t="shared" si="23"/>
        <v>1.0049999999999999</v>
      </c>
      <c r="P26" s="241">
        <f t="shared" si="24"/>
        <v>1.0049999999999999</v>
      </c>
      <c r="Q26" s="241">
        <f t="shared" si="25"/>
        <v>1.0049999999999999</v>
      </c>
      <c r="R26" s="240">
        <f>IF(TechData_R0!H46="",1,TechData_R0!H46)</f>
        <v>1</v>
      </c>
      <c r="S26" s="240"/>
      <c r="T26" s="242">
        <v>5</v>
      </c>
      <c r="U26" s="243"/>
    </row>
    <row r="27" spans="1:21">
      <c r="A27" s="238" t="s">
        <v>1243</v>
      </c>
      <c r="B27" s="239" t="str">
        <f>TechData_R0!C47</f>
        <v>IMPOILLL13</v>
      </c>
      <c r="C27" s="239"/>
      <c r="D27" s="239"/>
      <c r="E27" s="240" t="s">
        <v>1217</v>
      </c>
      <c r="F27" s="240"/>
      <c r="G27" s="240" t="s">
        <v>1218</v>
      </c>
      <c r="H27" s="241">
        <f>TechData_R0!J47</f>
        <v>1.0049999999999999</v>
      </c>
      <c r="I27" s="241">
        <f t="shared" si="1"/>
        <v>1.0049999999999999</v>
      </c>
      <c r="J27" s="241">
        <f t="shared" si="18"/>
        <v>1.0049999999999999</v>
      </c>
      <c r="K27" s="241">
        <f t="shared" si="19"/>
        <v>1.0049999999999999</v>
      </c>
      <c r="L27" s="241">
        <f t="shared" si="20"/>
        <v>1.0049999999999999</v>
      </c>
      <c r="M27" s="241">
        <f t="shared" si="21"/>
        <v>1.0049999999999999</v>
      </c>
      <c r="N27" s="241">
        <f t="shared" si="22"/>
        <v>1.0049999999999999</v>
      </c>
      <c r="O27" s="241">
        <f t="shared" si="23"/>
        <v>1.0049999999999999</v>
      </c>
      <c r="P27" s="241">
        <f t="shared" si="24"/>
        <v>1.0049999999999999</v>
      </c>
      <c r="Q27" s="241">
        <f t="shared" si="25"/>
        <v>1.0049999999999999</v>
      </c>
      <c r="R27" s="240">
        <f>IF(TechData_R0!H47="",1,TechData_R0!H47)</f>
        <v>1</v>
      </c>
      <c r="S27" s="240"/>
      <c r="T27" s="242">
        <v>5</v>
      </c>
      <c r="U27" s="243"/>
    </row>
    <row r="28" spans="1:21">
      <c r="A28" s="238" t="s">
        <v>1244</v>
      </c>
      <c r="B28" s="239" t="str">
        <f>TechData_R0!C48</f>
        <v>IMPOILLL11</v>
      </c>
      <c r="C28" s="239"/>
      <c r="D28" s="239"/>
      <c r="E28" s="240" t="s">
        <v>1217</v>
      </c>
      <c r="F28" s="240"/>
      <c r="G28" s="240" t="s">
        <v>1218</v>
      </c>
      <c r="H28" s="241">
        <f>TechData_R0!J48</f>
        <v>1.0049999999999999</v>
      </c>
      <c r="I28" s="241">
        <f t="shared" si="1"/>
        <v>1.0049999999999999</v>
      </c>
      <c r="J28" s="241">
        <f t="shared" si="18"/>
        <v>1.0049999999999999</v>
      </c>
      <c r="K28" s="241">
        <f t="shared" si="19"/>
        <v>1.0049999999999999</v>
      </c>
      <c r="L28" s="241">
        <f t="shared" si="20"/>
        <v>1.0049999999999999</v>
      </c>
      <c r="M28" s="241">
        <f t="shared" si="21"/>
        <v>1.0049999999999999</v>
      </c>
      <c r="N28" s="241">
        <f t="shared" si="22"/>
        <v>1.0049999999999999</v>
      </c>
      <c r="O28" s="241">
        <f t="shared" si="23"/>
        <v>1.0049999999999999</v>
      </c>
      <c r="P28" s="241">
        <f t="shared" si="24"/>
        <v>1.0049999999999999</v>
      </c>
      <c r="Q28" s="241">
        <f t="shared" si="25"/>
        <v>1.0049999999999999</v>
      </c>
      <c r="R28" s="240">
        <f>IF(TechData_R0!H48="",1,TechData_R0!H48)</f>
        <v>1</v>
      </c>
      <c r="S28" s="240"/>
      <c r="T28" s="242">
        <v>5</v>
      </c>
      <c r="U28" s="243"/>
    </row>
    <row r="29" spans="1:21">
      <c r="A29" s="238" t="s">
        <v>1245</v>
      </c>
      <c r="B29" s="239" t="str">
        <f>TechData_R0!C49</f>
        <v>IMPOILLL12</v>
      </c>
      <c r="C29" s="239"/>
      <c r="D29" s="239"/>
      <c r="E29" s="240" t="s">
        <v>1217</v>
      </c>
      <c r="F29" s="240"/>
      <c r="G29" s="240" t="s">
        <v>1218</v>
      </c>
      <c r="H29" s="241">
        <f>TechData_R0!J49</f>
        <v>1.0049999999999999</v>
      </c>
      <c r="I29" s="241">
        <f t="shared" si="1"/>
        <v>1.0049999999999999</v>
      </c>
      <c r="J29" s="241">
        <f t="shared" si="18"/>
        <v>1.0049999999999999</v>
      </c>
      <c r="K29" s="241">
        <f t="shared" si="19"/>
        <v>1.0049999999999999</v>
      </c>
      <c r="L29" s="241">
        <f t="shared" si="20"/>
        <v>1.0049999999999999</v>
      </c>
      <c r="M29" s="241">
        <f t="shared" si="21"/>
        <v>1.0049999999999999</v>
      </c>
      <c r="N29" s="241">
        <f t="shared" si="22"/>
        <v>1.0049999999999999</v>
      </c>
      <c r="O29" s="241">
        <f t="shared" si="23"/>
        <v>1.0049999999999999</v>
      </c>
      <c r="P29" s="241">
        <f t="shared" si="24"/>
        <v>1.0049999999999999</v>
      </c>
      <c r="Q29" s="241">
        <f t="shared" si="25"/>
        <v>1.0049999999999999</v>
      </c>
      <c r="R29" s="240">
        <f>IF(TechData_R0!H49="",1,TechData_R0!H49)</f>
        <v>1</v>
      </c>
      <c r="S29" s="240"/>
      <c r="T29" s="242">
        <v>5</v>
      </c>
      <c r="U29" s="243"/>
    </row>
    <row r="30" spans="1:21">
      <c r="A30" s="238" t="s">
        <v>1246</v>
      </c>
      <c r="B30" s="239" t="str">
        <f>TechData_R0!C50</f>
        <v>IMPOILLL14</v>
      </c>
      <c r="C30" s="239"/>
      <c r="D30" s="239"/>
      <c r="E30" s="240" t="s">
        <v>1217</v>
      </c>
      <c r="F30" s="240"/>
      <c r="G30" s="240" t="s">
        <v>1218</v>
      </c>
      <c r="H30" s="241">
        <f>TechData_R0!J50</f>
        <v>1.0049999999999999</v>
      </c>
      <c r="I30" s="241">
        <f t="shared" si="1"/>
        <v>1.0049999999999999</v>
      </c>
      <c r="J30" s="241">
        <f t="shared" si="18"/>
        <v>1.0049999999999999</v>
      </c>
      <c r="K30" s="241">
        <f t="shared" si="19"/>
        <v>1.0049999999999999</v>
      </c>
      <c r="L30" s="241">
        <f t="shared" si="20"/>
        <v>1.0049999999999999</v>
      </c>
      <c r="M30" s="241">
        <f t="shared" si="21"/>
        <v>1.0049999999999999</v>
      </c>
      <c r="N30" s="241">
        <f t="shared" si="22"/>
        <v>1.0049999999999999</v>
      </c>
      <c r="O30" s="241">
        <f t="shared" si="23"/>
        <v>1.0049999999999999</v>
      </c>
      <c r="P30" s="241">
        <f t="shared" si="24"/>
        <v>1.0049999999999999</v>
      </c>
      <c r="Q30" s="241">
        <f t="shared" si="25"/>
        <v>1.0049999999999999</v>
      </c>
      <c r="R30" s="240">
        <f>IF(TechData_R0!H50="",1,TechData_R0!H50)</f>
        <v>1</v>
      </c>
      <c r="S30" s="240"/>
      <c r="T30" s="242">
        <v>5</v>
      </c>
      <c r="U30" s="243"/>
    </row>
    <row r="31" spans="1:21">
      <c r="A31" s="238" t="s">
        <v>1247</v>
      </c>
      <c r="B31" s="239" t="str">
        <f>TechData_R0!C51</f>
        <v>IMPOILLL15</v>
      </c>
      <c r="C31" s="239"/>
      <c r="D31" s="239"/>
      <c r="E31" s="240" t="s">
        <v>1217</v>
      </c>
      <c r="F31" s="240"/>
      <c r="G31" s="240" t="s">
        <v>1218</v>
      </c>
      <c r="H31" s="241">
        <f>TechData_R0!J51</f>
        <v>1.0049999999999999</v>
      </c>
      <c r="I31" s="241">
        <f t="shared" si="1"/>
        <v>1.0049999999999999</v>
      </c>
      <c r="J31" s="241">
        <f t="shared" ref="J31:J38" si="26">I31</f>
        <v>1.0049999999999999</v>
      </c>
      <c r="K31" s="241">
        <f t="shared" ref="K31:K38" si="27">J31</f>
        <v>1.0049999999999999</v>
      </c>
      <c r="L31" s="241">
        <f t="shared" ref="L31:L38" si="28">K31</f>
        <v>1.0049999999999999</v>
      </c>
      <c r="M31" s="241">
        <f t="shared" ref="M31:M38" si="29">L31</f>
        <v>1.0049999999999999</v>
      </c>
      <c r="N31" s="241">
        <f t="shared" ref="N31:N38" si="30">M31</f>
        <v>1.0049999999999999</v>
      </c>
      <c r="O31" s="241">
        <f t="shared" ref="O31:O38" si="31">N31</f>
        <v>1.0049999999999999</v>
      </c>
      <c r="P31" s="241">
        <f t="shared" ref="P31:P38" si="32">O31</f>
        <v>1.0049999999999999</v>
      </c>
      <c r="Q31" s="241">
        <f t="shared" ref="Q31:Q38" si="33">P31</f>
        <v>1.0049999999999999</v>
      </c>
      <c r="R31" s="240">
        <f>IF(TechData_R0!H51="",1,TechData_R0!H51)</f>
        <v>1</v>
      </c>
      <c r="S31" s="240"/>
      <c r="T31" s="242">
        <v>5</v>
      </c>
      <c r="U31" s="243"/>
    </row>
    <row r="32" spans="1:21">
      <c r="A32" s="238" t="s">
        <v>1248</v>
      </c>
      <c r="B32" s="239" t="str">
        <f>TechData_R0!C52</f>
        <v>IMPOILMH13</v>
      </c>
      <c r="C32" s="239"/>
      <c r="D32" s="239"/>
      <c r="E32" s="240" t="s">
        <v>1217</v>
      </c>
      <c r="F32" s="240"/>
      <c r="G32" s="240" t="s">
        <v>1218</v>
      </c>
      <c r="H32" s="241">
        <f>TechData_R0!J52</f>
        <v>1.0049999999999999</v>
      </c>
      <c r="I32" s="241">
        <f t="shared" si="1"/>
        <v>1.0049999999999999</v>
      </c>
      <c r="J32" s="241">
        <f t="shared" si="26"/>
        <v>1.0049999999999999</v>
      </c>
      <c r="K32" s="241">
        <f t="shared" si="27"/>
        <v>1.0049999999999999</v>
      </c>
      <c r="L32" s="241">
        <f t="shared" si="28"/>
        <v>1.0049999999999999</v>
      </c>
      <c r="M32" s="241">
        <f t="shared" si="29"/>
        <v>1.0049999999999999</v>
      </c>
      <c r="N32" s="241">
        <f t="shared" si="30"/>
        <v>1.0049999999999999</v>
      </c>
      <c r="O32" s="241">
        <f t="shared" si="31"/>
        <v>1.0049999999999999</v>
      </c>
      <c r="P32" s="241">
        <f t="shared" si="32"/>
        <v>1.0049999999999999</v>
      </c>
      <c r="Q32" s="241">
        <f t="shared" si="33"/>
        <v>1.0049999999999999</v>
      </c>
      <c r="R32" s="240">
        <f>IF(TechData_R0!H52="",1,TechData_R0!H52)</f>
        <v>1</v>
      </c>
      <c r="S32" s="240"/>
      <c r="T32" s="242">
        <v>5</v>
      </c>
      <c r="U32" s="243"/>
    </row>
    <row r="33" spans="1:21">
      <c r="A33" s="238" t="s">
        <v>1249</v>
      </c>
      <c r="B33" s="239" t="str">
        <f>TechData_R0!C53</f>
        <v>IMPOILMH11</v>
      </c>
      <c r="C33" s="239"/>
      <c r="D33" s="239"/>
      <c r="E33" s="240" t="s">
        <v>1217</v>
      </c>
      <c r="F33" s="240"/>
      <c r="G33" s="240" t="s">
        <v>1218</v>
      </c>
      <c r="H33" s="241">
        <f>TechData_R0!J53</f>
        <v>1.0049999999999999</v>
      </c>
      <c r="I33" s="241">
        <f t="shared" si="1"/>
        <v>1.0049999999999999</v>
      </c>
      <c r="J33" s="241">
        <f t="shared" si="26"/>
        <v>1.0049999999999999</v>
      </c>
      <c r="K33" s="241">
        <f t="shared" si="27"/>
        <v>1.0049999999999999</v>
      </c>
      <c r="L33" s="241">
        <f t="shared" si="28"/>
        <v>1.0049999999999999</v>
      </c>
      <c r="M33" s="241">
        <f t="shared" si="29"/>
        <v>1.0049999999999999</v>
      </c>
      <c r="N33" s="241">
        <f t="shared" si="30"/>
        <v>1.0049999999999999</v>
      </c>
      <c r="O33" s="241">
        <f t="shared" si="31"/>
        <v>1.0049999999999999</v>
      </c>
      <c r="P33" s="241">
        <f t="shared" si="32"/>
        <v>1.0049999999999999</v>
      </c>
      <c r="Q33" s="241">
        <f t="shared" si="33"/>
        <v>1.0049999999999999</v>
      </c>
      <c r="R33" s="240">
        <f>IF(TechData_R0!H53="",1,TechData_R0!H53)</f>
        <v>1</v>
      </c>
      <c r="S33" s="240"/>
      <c r="T33" s="242">
        <v>5</v>
      </c>
      <c r="U33" s="243"/>
    </row>
    <row r="34" spans="1:21">
      <c r="A34" s="238" t="s">
        <v>1250</v>
      </c>
      <c r="B34" s="239" t="str">
        <f>TechData_R0!C54</f>
        <v>IMPOILMH12</v>
      </c>
      <c r="C34" s="239"/>
      <c r="D34" s="239"/>
      <c r="E34" s="240" t="s">
        <v>1217</v>
      </c>
      <c r="F34" s="240"/>
      <c r="G34" s="240" t="s">
        <v>1218</v>
      </c>
      <c r="H34" s="241">
        <f>TechData_R0!J54</f>
        <v>1.0049999999999999</v>
      </c>
      <c r="I34" s="241">
        <f t="shared" si="1"/>
        <v>1.0049999999999999</v>
      </c>
      <c r="J34" s="241">
        <f t="shared" si="26"/>
        <v>1.0049999999999999</v>
      </c>
      <c r="K34" s="241">
        <f t="shared" si="27"/>
        <v>1.0049999999999999</v>
      </c>
      <c r="L34" s="241">
        <f t="shared" si="28"/>
        <v>1.0049999999999999</v>
      </c>
      <c r="M34" s="241">
        <f t="shared" si="29"/>
        <v>1.0049999999999999</v>
      </c>
      <c r="N34" s="241">
        <f t="shared" si="30"/>
        <v>1.0049999999999999</v>
      </c>
      <c r="O34" s="241">
        <f t="shared" si="31"/>
        <v>1.0049999999999999</v>
      </c>
      <c r="P34" s="241">
        <f t="shared" si="32"/>
        <v>1.0049999999999999</v>
      </c>
      <c r="Q34" s="241">
        <f t="shared" si="33"/>
        <v>1.0049999999999999</v>
      </c>
      <c r="R34" s="240">
        <f>IF(TechData_R0!H54="",1,TechData_R0!H54)</f>
        <v>1</v>
      </c>
      <c r="S34" s="240"/>
      <c r="T34" s="242">
        <v>5</v>
      </c>
      <c r="U34" s="243"/>
    </row>
    <row r="35" spans="1:21">
      <c r="A35" s="238" t="s">
        <v>1251</v>
      </c>
      <c r="B35" s="239" t="str">
        <f>TechData_R0!C55</f>
        <v>IMPOILMH14</v>
      </c>
      <c r="C35" s="239"/>
      <c r="D35" s="239"/>
      <c r="E35" s="240" t="s">
        <v>1217</v>
      </c>
      <c r="F35" s="240"/>
      <c r="G35" s="240" t="s">
        <v>1218</v>
      </c>
      <c r="H35" s="241">
        <f>TechData_R0!J55</f>
        <v>1.0049999999999999</v>
      </c>
      <c r="I35" s="241">
        <f t="shared" si="1"/>
        <v>1.0049999999999999</v>
      </c>
      <c r="J35" s="241">
        <f t="shared" si="26"/>
        <v>1.0049999999999999</v>
      </c>
      <c r="K35" s="241">
        <f t="shared" si="27"/>
        <v>1.0049999999999999</v>
      </c>
      <c r="L35" s="241">
        <f t="shared" si="28"/>
        <v>1.0049999999999999</v>
      </c>
      <c r="M35" s="241">
        <f t="shared" si="29"/>
        <v>1.0049999999999999</v>
      </c>
      <c r="N35" s="241">
        <f t="shared" si="30"/>
        <v>1.0049999999999999</v>
      </c>
      <c r="O35" s="241">
        <f t="shared" si="31"/>
        <v>1.0049999999999999</v>
      </c>
      <c r="P35" s="241">
        <f t="shared" si="32"/>
        <v>1.0049999999999999</v>
      </c>
      <c r="Q35" s="241">
        <f t="shared" si="33"/>
        <v>1.0049999999999999</v>
      </c>
      <c r="R35" s="240">
        <f>IF(TechData_R0!H55="",1,TechData_R0!H55)</f>
        <v>1</v>
      </c>
      <c r="S35" s="240"/>
      <c r="T35" s="242">
        <v>5</v>
      </c>
      <c r="U35" s="243"/>
    </row>
    <row r="36" spans="1:21">
      <c r="A36" s="238" t="s">
        <v>1400</v>
      </c>
      <c r="B36" s="239" t="str">
        <f>TechData_R0!C56</f>
        <v>IMPOILMH15</v>
      </c>
      <c r="C36" s="239"/>
      <c r="D36" s="239"/>
      <c r="E36" s="240" t="s">
        <v>1217</v>
      </c>
      <c r="F36" s="240"/>
      <c r="G36" s="240" t="s">
        <v>1218</v>
      </c>
      <c r="H36" s="241">
        <f>TechData_R0!J56</f>
        <v>1.0049999999999999</v>
      </c>
      <c r="I36" s="241">
        <f t="shared" si="1"/>
        <v>1.0049999999999999</v>
      </c>
      <c r="J36" s="241">
        <f t="shared" si="26"/>
        <v>1.0049999999999999</v>
      </c>
      <c r="K36" s="241">
        <f t="shared" si="27"/>
        <v>1.0049999999999999</v>
      </c>
      <c r="L36" s="241">
        <f t="shared" si="28"/>
        <v>1.0049999999999999</v>
      </c>
      <c r="M36" s="241">
        <f t="shared" si="29"/>
        <v>1.0049999999999999</v>
      </c>
      <c r="N36" s="241">
        <f t="shared" si="30"/>
        <v>1.0049999999999999</v>
      </c>
      <c r="O36" s="241">
        <f t="shared" si="31"/>
        <v>1.0049999999999999</v>
      </c>
      <c r="P36" s="241">
        <f t="shared" si="32"/>
        <v>1.0049999999999999</v>
      </c>
      <c r="Q36" s="241">
        <f t="shared" si="33"/>
        <v>1.0049999999999999</v>
      </c>
      <c r="R36" s="240">
        <f>IF(TechData_R0!H56="",1,TechData_R0!H56)</f>
        <v>1</v>
      </c>
      <c r="S36" s="240"/>
      <c r="T36" s="242">
        <v>5</v>
      </c>
      <c r="U36" s="243"/>
    </row>
    <row r="37" spans="1:21">
      <c r="A37" s="238" t="s">
        <v>1252</v>
      </c>
      <c r="B37" s="239" t="str">
        <f>TechData_R0!C58</f>
        <v>IMPOILHH23</v>
      </c>
      <c r="C37" s="239"/>
      <c r="D37" s="239"/>
      <c r="E37" s="240" t="s">
        <v>1217</v>
      </c>
      <c r="F37" s="240"/>
      <c r="G37" s="240" t="s">
        <v>1218</v>
      </c>
      <c r="H37" s="241">
        <f>TechData_R0!J58</f>
        <v>1.0049999999999999</v>
      </c>
      <c r="I37" s="241">
        <f t="shared" si="1"/>
        <v>1.0049999999999999</v>
      </c>
      <c r="J37" s="241">
        <f t="shared" si="26"/>
        <v>1.0049999999999999</v>
      </c>
      <c r="K37" s="241">
        <f t="shared" si="27"/>
        <v>1.0049999999999999</v>
      </c>
      <c r="L37" s="241">
        <f t="shared" si="28"/>
        <v>1.0049999999999999</v>
      </c>
      <c r="M37" s="241">
        <f t="shared" si="29"/>
        <v>1.0049999999999999</v>
      </c>
      <c r="N37" s="241">
        <f t="shared" si="30"/>
        <v>1.0049999999999999</v>
      </c>
      <c r="O37" s="241">
        <f t="shared" si="31"/>
        <v>1.0049999999999999</v>
      </c>
      <c r="P37" s="241">
        <f t="shared" si="32"/>
        <v>1.0049999999999999</v>
      </c>
      <c r="Q37" s="241">
        <f t="shared" si="33"/>
        <v>1.0049999999999999</v>
      </c>
      <c r="R37" s="240">
        <f>IF(TechData_R0!H57="",1,TechData_R0!H57)</f>
        <v>1</v>
      </c>
      <c r="S37" s="240"/>
      <c r="T37" s="242">
        <v>5</v>
      </c>
      <c r="U37" s="243"/>
    </row>
    <row r="38" spans="1:21">
      <c r="A38" s="238" t="s">
        <v>1253</v>
      </c>
      <c r="B38" s="239" t="str">
        <f>TechData_R0!C59</f>
        <v>IMPOILHH21</v>
      </c>
      <c r="C38" s="239"/>
      <c r="D38" s="239"/>
      <c r="E38" s="240" t="s">
        <v>1217</v>
      </c>
      <c r="F38" s="240"/>
      <c r="G38" s="240" t="s">
        <v>1218</v>
      </c>
      <c r="H38" s="241">
        <f>TechData_R0!J59</f>
        <v>1.0049999999999999</v>
      </c>
      <c r="I38" s="241">
        <f t="shared" si="1"/>
        <v>1.0049999999999999</v>
      </c>
      <c r="J38" s="241">
        <f t="shared" si="26"/>
        <v>1.0049999999999999</v>
      </c>
      <c r="K38" s="241">
        <f t="shared" si="27"/>
        <v>1.0049999999999999</v>
      </c>
      <c r="L38" s="241">
        <f t="shared" si="28"/>
        <v>1.0049999999999999</v>
      </c>
      <c r="M38" s="241">
        <f t="shared" si="29"/>
        <v>1.0049999999999999</v>
      </c>
      <c r="N38" s="241">
        <f t="shared" si="30"/>
        <v>1.0049999999999999</v>
      </c>
      <c r="O38" s="241">
        <f t="shared" si="31"/>
        <v>1.0049999999999999</v>
      </c>
      <c r="P38" s="241">
        <f t="shared" si="32"/>
        <v>1.0049999999999999</v>
      </c>
      <c r="Q38" s="241">
        <f t="shared" si="33"/>
        <v>1.0049999999999999</v>
      </c>
      <c r="R38" s="240">
        <f>IF(TechData_R0!H58="",1,TechData_R0!H58)</f>
        <v>1</v>
      </c>
      <c r="S38" s="240"/>
      <c r="T38" s="242">
        <v>5</v>
      </c>
      <c r="U38" s="243"/>
    </row>
    <row r="39" spans="1:21">
      <c r="A39" s="238" t="s">
        <v>1254</v>
      </c>
      <c r="B39" s="239" t="str">
        <f>TechData_R0!C60</f>
        <v>IMPOILHH22</v>
      </c>
      <c r="C39" s="239"/>
      <c r="D39" s="239"/>
      <c r="E39" s="240" t="s">
        <v>1217</v>
      </c>
      <c r="F39" s="240"/>
      <c r="G39" s="240" t="s">
        <v>1218</v>
      </c>
      <c r="H39" s="241">
        <f>TechData_R0!J60</f>
        <v>1.0049999999999999</v>
      </c>
      <c r="I39" s="241">
        <f t="shared" si="1"/>
        <v>1.0049999999999999</v>
      </c>
      <c r="J39" s="241">
        <f t="shared" ref="J39:J53" si="34">I39</f>
        <v>1.0049999999999999</v>
      </c>
      <c r="K39" s="241">
        <f t="shared" ref="K39:K53" si="35">J39</f>
        <v>1.0049999999999999</v>
      </c>
      <c r="L39" s="241">
        <f t="shared" ref="L39:L53" si="36">K39</f>
        <v>1.0049999999999999</v>
      </c>
      <c r="M39" s="241">
        <f t="shared" ref="M39:M53" si="37">L39</f>
        <v>1.0049999999999999</v>
      </c>
      <c r="N39" s="241">
        <f t="shared" ref="N39:N53" si="38">M39</f>
        <v>1.0049999999999999</v>
      </c>
      <c r="O39" s="241">
        <f t="shared" ref="O39:O53" si="39">N39</f>
        <v>1.0049999999999999</v>
      </c>
      <c r="P39" s="241">
        <f t="shared" ref="P39:P53" si="40">O39</f>
        <v>1.0049999999999999</v>
      </c>
      <c r="Q39" s="241">
        <f t="shared" ref="Q39:Q53" si="41">P39</f>
        <v>1.0049999999999999</v>
      </c>
      <c r="R39" s="240">
        <f>IF(TechData_R0!H59="",1,TechData_R0!H59)</f>
        <v>1</v>
      </c>
      <c r="S39" s="240"/>
      <c r="T39" s="242">
        <v>5</v>
      </c>
      <c r="U39" s="243"/>
    </row>
    <row r="40" spans="1:21">
      <c r="A40" s="238" t="s">
        <v>1255</v>
      </c>
      <c r="B40" s="239" t="str">
        <f>TechData_R0!C61</f>
        <v>IMPOILHH24</v>
      </c>
      <c r="C40" s="239"/>
      <c r="D40" s="239"/>
      <c r="E40" s="240" t="s">
        <v>1217</v>
      </c>
      <c r="F40" s="240"/>
      <c r="G40" s="240" t="s">
        <v>1218</v>
      </c>
      <c r="H40" s="241">
        <f>TechData_R0!J61</f>
        <v>1.0049999999999999</v>
      </c>
      <c r="I40" s="241">
        <f t="shared" si="1"/>
        <v>1.0049999999999999</v>
      </c>
      <c r="J40" s="241">
        <f t="shared" si="34"/>
        <v>1.0049999999999999</v>
      </c>
      <c r="K40" s="241">
        <f t="shared" si="35"/>
        <v>1.0049999999999999</v>
      </c>
      <c r="L40" s="241">
        <f t="shared" si="36"/>
        <v>1.0049999999999999</v>
      </c>
      <c r="M40" s="241">
        <f t="shared" si="37"/>
        <v>1.0049999999999999</v>
      </c>
      <c r="N40" s="241">
        <f t="shared" si="38"/>
        <v>1.0049999999999999</v>
      </c>
      <c r="O40" s="241">
        <f t="shared" si="39"/>
        <v>1.0049999999999999</v>
      </c>
      <c r="P40" s="241">
        <f t="shared" si="40"/>
        <v>1.0049999999999999</v>
      </c>
      <c r="Q40" s="241">
        <f t="shared" si="41"/>
        <v>1.0049999999999999</v>
      </c>
      <c r="R40" s="240">
        <f>IF(TechData_R0!H60="",1,TechData_R0!H60)</f>
        <v>1</v>
      </c>
      <c r="S40" s="240"/>
      <c r="T40" s="242">
        <v>5</v>
      </c>
      <c r="U40" s="243"/>
    </row>
    <row r="41" spans="1:21">
      <c r="A41" s="238" t="s">
        <v>1256</v>
      </c>
      <c r="B41" s="239" t="str">
        <f>TechData_R0!C62</f>
        <v>IMPOILHH25</v>
      </c>
      <c r="C41" s="239"/>
      <c r="D41" s="239"/>
      <c r="E41" s="240" t="s">
        <v>1217</v>
      </c>
      <c r="F41" s="240"/>
      <c r="G41" s="240" t="s">
        <v>1218</v>
      </c>
      <c r="H41" s="241">
        <f>TechData_R0!J62</f>
        <v>1.0049999999999999</v>
      </c>
      <c r="I41" s="241">
        <f t="shared" si="1"/>
        <v>1.0049999999999999</v>
      </c>
      <c r="J41" s="241">
        <f t="shared" si="34"/>
        <v>1.0049999999999999</v>
      </c>
      <c r="K41" s="241">
        <f t="shared" si="35"/>
        <v>1.0049999999999999</v>
      </c>
      <c r="L41" s="241">
        <f t="shared" si="36"/>
        <v>1.0049999999999999</v>
      </c>
      <c r="M41" s="241">
        <f t="shared" si="37"/>
        <v>1.0049999999999999</v>
      </c>
      <c r="N41" s="241">
        <f t="shared" si="38"/>
        <v>1.0049999999999999</v>
      </c>
      <c r="O41" s="241">
        <f t="shared" si="39"/>
        <v>1.0049999999999999</v>
      </c>
      <c r="P41" s="241">
        <f t="shared" si="40"/>
        <v>1.0049999999999999</v>
      </c>
      <c r="Q41" s="241">
        <f t="shared" si="41"/>
        <v>1.0049999999999999</v>
      </c>
      <c r="R41" s="240">
        <f>IF(TechData_R0!H61="",1,TechData_R0!H61)</f>
        <v>1</v>
      </c>
      <c r="S41" s="240"/>
      <c r="T41" s="242">
        <v>5</v>
      </c>
      <c r="U41" s="243"/>
    </row>
    <row r="42" spans="1:21">
      <c r="A42" s="238" t="s">
        <v>1257</v>
      </c>
      <c r="B42" s="239" t="str">
        <f>TechData_R0!C63</f>
        <v>IMPOILHL23</v>
      </c>
      <c r="C42" s="239"/>
      <c r="D42" s="239"/>
      <c r="E42" s="240" t="s">
        <v>1217</v>
      </c>
      <c r="F42" s="240"/>
      <c r="G42" s="240" t="s">
        <v>1218</v>
      </c>
      <c r="H42" s="241">
        <f>TechData_R0!J63</f>
        <v>1.0049999999999999</v>
      </c>
      <c r="I42" s="241">
        <f t="shared" si="1"/>
        <v>1.0049999999999999</v>
      </c>
      <c r="J42" s="241">
        <f t="shared" si="34"/>
        <v>1.0049999999999999</v>
      </c>
      <c r="K42" s="241">
        <f t="shared" si="35"/>
        <v>1.0049999999999999</v>
      </c>
      <c r="L42" s="241">
        <f t="shared" si="36"/>
        <v>1.0049999999999999</v>
      </c>
      <c r="M42" s="241">
        <f t="shared" si="37"/>
        <v>1.0049999999999999</v>
      </c>
      <c r="N42" s="241">
        <f t="shared" si="38"/>
        <v>1.0049999999999999</v>
      </c>
      <c r="O42" s="241">
        <f t="shared" si="39"/>
        <v>1.0049999999999999</v>
      </c>
      <c r="P42" s="241">
        <f t="shared" si="40"/>
        <v>1.0049999999999999</v>
      </c>
      <c r="Q42" s="241">
        <f t="shared" si="41"/>
        <v>1.0049999999999999</v>
      </c>
      <c r="R42" s="240">
        <f>IF(TechData_R0!H62="",1,TechData_R0!H62)</f>
        <v>1</v>
      </c>
      <c r="S42" s="240"/>
      <c r="T42" s="242">
        <v>5</v>
      </c>
      <c r="U42" s="243"/>
    </row>
    <row r="43" spans="1:21">
      <c r="A43" s="238" t="s">
        <v>1258</v>
      </c>
      <c r="B43" s="239" t="str">
        <f>TechData_R0!C64</f>
        <v>IMPOILHL21</v>
      </c>
      <c r="C43" s="239"/>
      <c r="D43" s="239"/>
      <c r="E43" s="240" t="s">
        <v>1217</v>
      </c>
      <c r="F43" s="240"/>
      <c r="G43" s="240" t="s">
        <v>1218</v>
      </c>
      <c r="H43" s="241">
        <f>TechData_R0!J64</f>
        <v>1.0049999999999999</v>
      </c>
      <c r="I43" s="241">
        <f t="shared" si="1"/>
        <v>1.0049999999999999</v>
      </c>
      <c r="J43" s="241">
        <f t="shared" si="34"/>
        <v>1.0049999999999999</v>
      </c>
      <c r="K43" s="241">
        <f t="shared" si="35"/>
        <v>1.0049999999999999</v>
      </c>
      <c r="L43" s="241">
        <f t="shared" si="36"/>
        <v>1.0049999999999999</v>
      </c>
      <c r="M43" s="241">
        <f t="shared" si="37"/>
        <v>1.0049999999999999</v>
      </c>
      <c r="N43" s="241">
        <f t="shared" si="38"/>
        <v>1.0049999999999999</v>
      </c>
      <c r="O43" s="241">
        <f t="shared" si="39"/>
        <v>1.0049999999999999</v>
      </c>
      <c r="P43" s="241">
        <f t="shared" si="40"/>
        <v>1.0049999999999999</v>
      </c>
      <c r="Q43" s="241">
        <f t="shared" si="41"/>
        <v>1.0049999999999999</v>
      </c>
      <c r="R43" s="240">
        <f>IF(TechData_R0!H63="",1,TechData_R0!H63)</f>
        <v>1</v>
      </c>
      <c r="S43" s="240"/>
      <c r="T43" s="242">
        <v>5</v>
      </c>
      <c r="U43" s="243"/>
    </row>
    <row r="44" spans="1:21">
      <c r="A44" s="238" t="s">
        <v>1259</v>
      </c>
      <c r="B44" s="239" t="str">
        <f>TechData_R0!C65</f>
        <v>IMPOILHL22</v>
      </c>
      <c r="C44" s="239"/>
      <c r="D44" s="239"/>
      <c r="E44" s="240" t="s">
        <v>1217</v>
      </c>
      <c r="F44" s="240"/>
      <c r="G44" s="240" t="s">
        <v>1218</v>
      </c>
      <c r="H44" s="241">
        <f>TechData_R0!J65</f>
        <v>1.0049999999999999</v>
      </c>
      <c r="I44" s="241">
        <f t="shared" si="1"/>
        <v>1.0049999999999999</v>
      </c>
      <c r="J44" s="241">
        <f t="shared" si="34"/>
        <v>1.0049999999999999</v>
      </c>
      <c r="K44" s="241">
        <f t="shared" si="35"/>
        <v>1.0049999999999999</v>
      </c>
      <c r="L44" s="241">
        <f t="shared" si="36"/>
        <v>1.0049999999999999</v>
      </c>
      <c r="M44" s="241">
        <f t="shared" si="37"/>
        <v>1.0049999999999999</v>
      </c>
      <c r="N44" s="241">
        <f t="shared" si="38"/>
        <v>1.0049999999999999</v>
      </c>
      <c r="O44" s="241">
        <f t="shared" si="39"/>
        <v>1.0049999999999999</v>
      </c>
      <c r="P44" s="241">
        <f t="shared" si="40"/>
        <v>1.0049999999999999</v>
      </c>
      <c r="Q44" s="241">
        <f t="shared" si="41"/>
        <v>1.0049999999999999</v>
      </c>
      <c r="R44" s="240">
        <f>IF(TechData_R0!H64="",1,TechData_R0!H64)</f>
        <v>1</v>
      </c>
      <c r="S44" s="240"/>
      <c r="T44" s="242">
        <v>5</v>
      </c>
      <c r="U44" s="243"/>
    </row>
    <row r="45" spans="1:21">
      <c r="A45" s="238" t="s">
        <v>1260</v>
      </c>
      <c r="B45" s="239" t="str">
        <f>TechData_R0!C66</f>
        <v>IMPOILHL24</v>
      </c>
      <c r="C45" s="239"/>
      <c r="D45" s="239"/>
      <c r="E45" s="240" t="s">
        <v>1217</v>
      </c>
      <c r="F45" s="240"/>
      <c r="G45" s="240" t="s">
        <v>1218</v>
      </c>
      <c r="H45" s="241">
        <f>TechData_R0!J66</f>
        <v>1.0049999999999999</v>
      </c>
      <c r="I45" s="241">
        <f t="shared" si="1"/>
        <v>1.0049999999999999</v>
      </c>
      <c r="J45" s="241">
        <f t="shared" si="34"/>
        <v>1.0049999999999999</v>
      </c>
      <c r="K45" s="241">
        <f t="shared" si="35"/>
        <v>1.0049999999999999</v>
      </c>
      <c r="L45" s="241">
        <f t="shared" si="36"/>
        <v>1.0049999999999999</v>
      </c>
      <c r="M45" s="241">
        <f t="shared" si="37"/>
        <v>1.0049999999999999</v>
      </c>
      <c r="N45" s="241">
        <f t="shared" si="38"/>
        <v>1.0049999999999999</v>
      </c>
      <c r="O45" s="241">
        <f t="shared" si="39"/>
        <v>1.0049999999999999</v>
      </c>
      <c r="P45" s="241">
        <f t="shared" si="40"/>
        <v>1.0049999999999999</v>
      </c>
      <c r="Q45" s="241">
        <f t="shared" si="41"/>
        <v>1.0049999999999999</v>
      </c>
      <c r="R45" s="240">
        <f>IF(TechData_R0!H65="",1,TechData_R0!H65)</f>
        <v>1</v>
      </c>
      <c r="S45" s="240"/>
      <c r="T45" s="242">
        <v>5</v>
      </c>
      <c r="U45" s="243"/>
    </row>
    <row r="46" spans="1:21">
      <c r="A46" s="238" t="s">
        <v>1261</v>
      </c>
      <c r="B46" s="239" t="str">
        <f>TechData_R0!C67</f>
        <v>IMPOILHL25</v>
      </c>
      <c r="C46" s="239"/>
      <c r="D46" s="239"/>
      <c r="E46" s="240" t="s">
        <v>1217</v>
      </c>
      <c r="F46" s="240"/>
      <c r="G46" s="240" t="s">
        <v>1218</v>
      </c>
      <c r="H46" s="241">
        <f>TechData_R0!J67</f>
        <v>1.0049999999999999</v>
      </c>
      <c r="I46" s="241">
        <f t="shared" si="1"/>
        <v>1.0049999999999999</v>
      </c>
      <c r="J46" s="241">
        <f t="shared" si="34"/>
        <v>1.0049999999999999</v>
      </c>
      <c r="K46" s="241">
        <f t="shared" si="35"/>
        <v>1.0049999999999999</v>
      </c>
      <c r="L46" s="241">
        <f t="shared" si="36"/>
        <v>1.0049999999999999</v>
      </c>
      <c r="M46" s="241">
        <f t="shared" si="37"/>
        <v>1.0049999999999999</v>
      </c>
      <c r="N46" s="241">
        <f t="shared" si="38"/>
        <v>1.0049999999999999</v>
      </c>
      <c r="O46" s="241">
        <f t="shared" si="39"/>
        <v>1.0049999999999999</v>
      </c>
      <c r="P46" s="241">
        <f t="shared" si="40"/>
        <v>1.0049999999999999</v>
      </c>
      <c r="Q46" s="241">
        <f t="shared" si="41"/>
        <v>1.0049999999999999</v>
      </c>
      <c r="R46" s="240">
        <f>IF(TechData_R0!H66="",1,TechData_R0!H66)</f>
        <v>1</v>
      </c>
      <c r="S46" s="240"/>
      <c r="T46" s="242">
        <v>5</v>
      </c>
      <c r="U46" s="243"/>
    </row>
    <row r="47" spans="1:21">
      <c r="A47" s="238" t="s">
        <v>1262</v>
      </c>
      <c r="B47" s="239" t="str">
        <f>TechData_R0!C68</f>
        <v>IMPOILHV23</v>
      </c>
      <c r="C47" s="239"/>
      <c r="D47" s="239"/>
      <c r="E47" s="240" t="s">
        <v>1217</v>
      </c>
      <c r="F47" s="240"/>
      <c r="G47" s="240" t="s">
        <v>1218</v>
      </c>
      <c r="H47" s="241">
        <f>TechData_R0!J68</f>
        <v>1.0049999999999999</v>
      </c>
      <c r="I47" s="241">
        <f t="shared" si="1"/>
        <v>1.0049999999999999</v>
      </c>
      <c r="J47" s="241">
        <f t="shared" si="34"/>
        <v>1.0049999999999999</v>
      </c>
      <c r="K47" s="241">
        <f t="shared" si="35"/>
        <v>1.0049999999999999</v>
      </c>
      <c r="L47" s="241">
        <f t="shared" si="36"/>
        <v>1.0049999999999999</v>
      </c>
      <c r="M47" s="241">
        <f t="shared" si="37"/>
        <v>1.0049999999999999</v>
      </c>
      <c r="N47" s="241">
        <f t="shared" si="38"/>
        <v>1.0049999999999999</v>
      </c>
      <c r="O47" s="241">
        <f t="shared" si="39"/>
        <v>1.0049999999999999</v>
      </c>
      <c r="P47" s="241">
        <f t="shared" si="40"/>
        <v>1.0049999999999999</v>
      </c>
      <c r="Q47" s="241">
        <f t="shared" si="41"/>
        <v>1.0049999999999999</v>
      </c>
      <c r="R47" s="240">
        <f>IF(TechData_R0!H67="",1,TechData_R0!H67)</f>
        <v>1</v>
      </c>
      <c r="S47" s="240"/>
      <c r="T47" s="242">
        <v>5</v>
      </c>
      <c r="U47" s="243"/>
    </row>
    <row r="48" spans="1:21">
      <c r="A48" s="238" t="s">
        <v>1263</v>
      </c>
      <c r="B48" s="239" t="str">
        <f>TechData_R0!C69</f>
        <v>IMPOILHV21</v>
      </c>
      <c r="C48" s="239"/>
      <c r="D48" s="239"/>
      <c r="E48" s="240" t="s">
        <v>1217</v>
      </c>
      <c r="F48" s="240"/>
      <c r="G48" s="240" t="s">
        <v>1218</v>
      </c>
      <c r="H48" s="241">
        <f>TechData_R0!J69</f>
        <v>1.0049999999999999</v>
      </c>
      <c r="I48" s="241">
        <f t="shared" si="1"/>
        <v>1.0049999999999999</v>
      </c>
      <c r="J48" s="241">
        <f t="shared" si="34"/>
        <v>1.0049999999999999</v>
      </c>
      <c r="K48" s="241">
        <f t="shared" si="35"/>
        <v>1.0049999999999999</v>
      </c>
      <c r="L48" s="241">
        <f t="shared" si="36"/>
        <v>1.0049999999999999</v>
      </c>
      <c r="M48" s="241">
        <f t="shared" si="37"/>
        <v>1.0049999999999999</v>
      </c>
      <c r="N48" s="241">
        <f t="shared" si="38"/>
        <v>1.0049999999999999</v>
      </c>
      <c r="O48" s="241">
        <f t="shared" si="39"/>
        <v>1.0049999999999999</v>
      </c>
      <c r="P48" s="241">
        <f t="shared" si="40"/>
        <v>1.0049999999999999</v>
      </c>
      <c r="Q48" s="241">
        <f t="shared" si="41"/>
        <v>1.0049999999999999</v>
      </c>
      <c r="R48" s="240">
        <f>IF(TechData_R0!H68="",1,TechData_R0!H68)</f>
        <v>1</v>
      </c>
      <c r="S48" s="240"/>
      <c r="T48" s="242">
        <v>5</v>
      </c>
      <c r="U48" s="243"/>
    </row>
    <row r="49" spans="1:21">
      <c r="A49" s="238" t="s">
        <v>1264</v>
      </c>
      <c r="B49" s="239" t="str">
        <f>TechData_R0!C70</f>
        <v>IMPOILHV22</v>
      </c>
      <c r="C49" s="239"/>
      <c r="D49" s="239"/>
      <c r="E49" s="240" t="s">
        <v>1217</v>
      </c>
      <c r="F49" s="240"/>
      <c r="G49" s="240" t="s">
        <v>1218</v>
      </c>
      <c r="H49" s="241">
        <f>TechData_R0!J70</f>
        <v>1.0049999999999999</v>
      </c>
      <c r="I49" s="241">
        <f t="shared" si="1"/>
        <v>1.0049999999999999</v>
      </c>
      <c r="J49" s="241">
        <f t="shared" si="34"/>
        <v>1.0049999999999999</v>
      </c>
      <c r="K49" s="241">
        <f t="shared" si="35"/>
        <v>1.0049999999999999</v>
      </c>
      <c r="L49" s="241">
        <f t="shared" si="36"/>
        <v>1.0049999999999999</v>
      </c>
      <c r="M49" s="241">
        <f t="shared" si="37"/>
        <v>1.0049999999999999</v>
      </c>
      <c r="N49" s="241">
        <f t="shared" si="38"/>
        <v>1.0049999999999999</v>
      </c>
      <c r="O49" s="241">
        <f t="shared" si="39"/>
        <v>1.0049999999999999</v>
      </c>
      <c r="P49" s="241">
        <f t="shared" si="40"/>
        <v>1.0049999999999999</v>
      </c>
      <c r="Q49" s="241">
        <f t="shared" si="41"/>
        <v>1.0049999999999999</v>
      </c>
      <c r="R49" s="240">
        <f>IF(TechData_R0!H69="",1,TechData_R0!H69)</f>
        <v>1</v>
      </c>
      <c r="S49" s="240"/>
      <c r="T49" s="242">
        <v>5</v>
      </c>
      <c r="U49" s="243"/>
    </row>
    <row r="50" spans="1:21">
      <c r="A50" s="238" t="s">
        <v>1265</v>
      </c>
      <c r="B50" s="239" t="str">
        <f>TechData_R0!C71</f>
        <v>IMPOILHV24</v>
      </c>
      <c r="C50" s="239"/>
      <c r="D50" s="239"/>
      <c r="E50" s="240" t="s">
        <v>1217</v>
      </c>
      <c r="F50" s="240"/>
      <c r="G50" s="240" t="s">
        <v>1218</v>
      </c>
      <c r="H50" s="241">
        <f>TechData_R0!J71</f>
        <v>1.0049999999999999</v>
      </c>
      <c r="I50" s="241">
        <f t="shared" si="1"/>
        <v>1.0049999999999999</v>
      </c>
      <c r="J50" s="241">
        <f t="shared" si="34"/>
        <v>1.0049999999999999</v>
      </c>
      <c r="K50" s="241">
        <f t="shared" si="35"/>
        <v>1.0049999999999999</v>
      </c>
      <c r="L50" s="241">
        <f t="shared" si="36"/>
        <v>1.0049999999999999</v>
      </c>
      <c r="M50" s="241">
        <f t="shared" si="37"/>
        <v>1.0049999999999999</v>
      </c>
      <c r="N50" s="241">
        <f t="shared" si="38"/>
        <v>1.0049999999999999</v>
      </c>
      <c r="O50" s="241">
        <f t="shared" si="39"/>
        <v>1.0049999999999999</v>
      </c>
      <c r="P50" s="241">
        <f t="shared" si="40"/>
        <v>1.0049999999999999</v>
      </c>
      <c r="Q50" s="241">
        <f t="shared" si="41"/>
        <v>1.0049999999999999</v>
      </c>
      <c r="R50" s="240">
        <f>IF(TechData_R0!H70="",1,TechData_R0!H70)</f>
        <v>1</v>
      </c>
      <c r="S50" s="240"/>
      <c r="T50" s="242">
        <v>5</v>
      </c>
      <c r="U50" s="243"/>
    </row>
    <row r="51" spans="1:21">
      <c r="A51" s="238" t="s">
        <v>1266</v>
      </c>
      <c r="B51" s="239" t="str">
        <f>TechData_R0!C72</f>
        <v>IMPOILHV25</v>
      </c>
      <c r="C51" s="239"/>
      <c r="D51" s="239"/>
      <c r="E51" s="240" t="s">
        <v>1217</v>
      </c>
      <c r="F51" s="240"/>
      <c r="G51" s="240" t="s">
        <v>1218</v>
      </c>
      <c r="H51" s="241">
        <f>TechData_R0!J72</f>
        <v>1.0049999999999999</v>
      </c>
      <c r="I51" s="241">
        <f t="shared" si="1"/>
        <v>1.0049999999999999</v>
      </c>
      <c r="J51" s="241">
        <f t="shared" si="34"/>
        <v>1.0049999999999999</v>
      </c>
      <c r="K51" s="241">
        <f t="shared" si="35"/>
        <v>1.0049999999999999</v>
      </c>
      <c r="L51" s="241">
        <f t="shared" si="36"/>
        <v>1.0049999999999999</v>
      </c>
      <c r="M51" s="241">
        <f t="shared" si="37"/>
        <v>1.0049999999999999</v>
      </c>
      <c r="N51" s="241">
        <f t="shared" si="38"/>
        <v>1.0049999999999999</v>
      </c>
      <c r="O51" s="241">
        <f t="shared" si="39"/>
        <v>1.0049999999999999</v>
      </c>
      <c r="P51" s="241">
        <f t="shared" si="40"/>
        <v>1.0049999999999999</v>
      </c>
      <c r="Q51" s="241">
        <f t="shared" si="41"/>
        <v>1.0049999999999999</v>
      </c>
      <c r="R51" s="240">
        <f>IF(TechData_R0!H71="",1,TechData_R0!H71)</f>
        <v>1</v>
      </c>
      <c r="S51" s="240"/>
      <c r="T51" s="242">
        <v>5</v>
      </c>
      <c r="U51" s="243"/>
    </row>
    <row r="52" spans="1:21">
      <c r="A52" s="238" t="s">
        <v>1267</v>
      </c>
      <c r="B52" s="239" t="str">
        <f>TechData_R0!C73</f>
        <v>IMPOILLL23</v>
      </c>
      <c r="C52" s="239"/>
      <c r="D52" s="239"/>
      <c r="E52" s="240" t="s">
        <v>1217</v>
      </c>
      <c r="F52" s="240"/>
      <c r="G52" s="240" t="s">
        <v>1218</v>
      </c>
      <c r="H52" s="241">
        <f>TechData_R0!J73</f>
        <v>1.0049999999999999</v>
      </c>
      <c r="I52" s="241">
        <f t="shared" si="1"/>
        <v>1.0049999999999999</v>
      </c>
      <c r="J52" s="241">
        <f t="shared" si="34"/>
        <v>1.0049999999999999</v>
      </c>
      <c r="K52" s="241">
        <f t="shared" si="35"/>
        <v>1.0049999999999999</v>
      </c>
      <c r="L52" s="241">
        <f t="shared" si="36"/>
        <v>1.0049999999999999</v>
      </c>
      <c r="M52" s="241">
        <f t="shared" si="37"/>
        <v>1.0049999999999999</v>
      </c>
      <c r="N52" s="241">
        <f t="shared" si="38"/>
        <v>1.0049999999999999</v>
      </c>
      <c r="O52" s="241">
        <f t="shared" si="39"/>
        <v>1.0049999999999999</v>
      </c>
      <c r="P52" s="241">
        <f t="shared" si="40"/>
        <v>1.0049999999999999</v>
      </c>
      <c r="Q52" s="241">
        <f t="shared" si="41"/>
        <v>1.0049999999999999</v>
      </c>
      <c r="R52" s="240">
        <f>IF(TechData_R0!H72="",1,TechData_R0!H72)</f>
        <v>1</v>
      </c>
      <c r="S52" s="240"/>
      <c r="T52" s="242">
        <v>5</v>
      </c>
      <c r="U52" s="243"/>
    </row>
    <row r="53" spans="1:21">
      <c r="A53" s="238" t="s">
        <v>1268</v>
      </c>
      <c r="B53" s="239" t="str">
        <f>TechData_R0!C74</f>
        <v>IMPOILLL21</v>
      </c>
      <c r="C53" s="239"/>
      <c r="D53" s="239"/>
      <c r="E53" s="240" t="s">
        <v>1217</v>
      </c>
      <c r="F53" s="240"/>
      <c r="G53" s="240" t="s">
        <v>1218</v>
      </c>
      <c r="H53" s="241">
        <f>TechData_R0!J74</f>
        <v>1.0049999999999999</v>
      </c>
      <c r="I53" s="241">
        <f t="shared" si="1"/>
        <v>1.0049999999999999</v>
      </c>
      <c r="J53" s="241">
        <f t="shared" si="34"/>
        <v>1.0049999999999999</v>
      </c>
      <c r="K53" s="241">
        <f t="shared" si="35"/>
        <v>1.0049999999999999</v>
      </c>
      <c r="L53" s="241">
        <f t="shared" si="36"/>
        <v>1.0049999999999999</v>
      </c>
      <c r="M53" s="241">
        <f t="shared" si="37"/>
        <v>1.0049999999999999</v>
      </c>
      <c r="N53" s="241">
        <f t="shared" si="38"/>
        <v>1.0049999999999999</v>
      </c>
      <c r="O53" s="241">
        <f t="shared" si="39"/>
        <v>1.0049999999999999</v>
      </c>
      <c r="P53" s="241">
        <f t="shared" si="40"/>
        <v>1.0049999999999999</v>
      </c>
      <c r="Q53" s="241">
        <f t="shared" si="41"/>
        <v>1.0049999999999999</v>
      </c>
      <c r="R53" s="240">
        <f>IF(TechData_R0!H73="",1,TechData_R0!H73)</f>
        <v>1</v>
      </c>
      <c r="S53" s="240"/>
      <c r="T53" s="242">
        <v>5</v>
      </c>
      <c r="U53" s="243"/>
    </row>
    <row r="54" spans="1:21">
      <c r="A54" s="238" t="s">
        <v>1269</v>
      </c>
      <c r="B54" s="239" t="str">
        <f>TechData_R0!C75</f>
        <v>IMPOILLL22</v>
      </c>
      <c r="C54" s="239"/>
      <c r="D54" s="239"/>
      <c r="E54" s="240" t="s">
        <v>1217</v>
      </c>
      <c r="F54" s="240"/>
      <c r="G54" s="240" t="s">
        <v>1218</v>
      </c>
      <c r="H54" s="241">
        <f>TechData_R0!J75</f>
        <v>1.0049999999999999</v>
      </c>
      <c r="I54" s="241">
        <f t="shared" si="1"/>
        <v>1.0049999999999999</v>
      </c>
      <c r="J54" s="241">
        <f t="shared" ref="J54:J68" si="42">I54</f>
        <v>1.0049999999999999</v>
      </c>
      <c r="K54" s="241">
        <f t="shared" ref="K54:K68" si="43">J54</f>
        <v>1.0049999999999999</v>
      </c>
      <c r="L54" s="241">
        <f t="shared" ref="L54:L68" si="44">K54</f>
        <v>1.0049999999999999</v>
      </c>
      <c r="M54" s="241">
        <f t="shared" ref="M54:M68" si="45">L54</f>
        <v>1.0049999999999999</v>
      </c>
      <c r="N54" s="241">
        <f t="shared" ref="N54:N68" si="46">M54</f>
        <v>1.0049999999999999</v>
      </c>
      <c r="O54" s="241">
        <f t="shared" ref="O54:O68" si="47">N54</f>
        <v>1.0049999999999999</v>
      </c>
      <c r="P54" s="241">
        <f t="shared" ref="P54:P68" si="48">O54</f>
        <v>1.0049999999999999</v>
      </c>
      <c r="Q54" s="241">
        <f t="shared" ref="Q54:Q68" si="49">P54</f>
        <v>1.0049999999999999</v>
      </c>
      <c r="R54" s="240">
        <f>IF(TechData_R0!H74="",1,TechData_R0!H74)</f>
        <v>1</v>
      </c>
      <c r="S54" s="240"/>
      <c r="T54" s="242">
        <v>5</v>
      </c>
      <c r="U54" s="243"/>
    </row>
    <row r="55" spans="1:21">
      <c r="A55" s="238" t="s">
        <v>1270</v>
      </c>
      <c r="B55" s="239" t="str">
        <f>TechData_R0!C76</f>
        <v>IMPOILLL24</v>
      </c>
      <c r="C55" s="239"/>
      <c r="D55" s="239"/>
      <c r="E55" s="240" t="s">
        <v>1217</v>
      </c>
      <c r="F55" s="240"/>
      <c r="G55" s="240" t="s">
        <v>1218</v>
      </c>
      <c r="H55" s="241">
        <f>TechData_R0!J76</f>
        <v>1.0049999999999999</v>
      </c>
      <c r="I55" s="241">
        <f t="shared" si="1"/>
        <v>1.0049999999999999</v>
      </c>
      <c r="J55" s="241">
        <f t="shared" si="42"/>
        <v>1.0049999999999999</v>
      </c>
      <c r="K55" s="241">
        <f t="shared" si="43"/>
        <v>1.0049999999999999</v>
      </c>
      <c r="L55" s="241">
        <f t="shared" si="44"/>
        <v>1.0049999999999999</v>
      </c>
      <c r="M55" s="241">
        <f t="shared" si="45"/>
        <v>1.0049999999999999</v>
      </c>
      <c r="N55" s="241">
        <f t="shared" si="46"/>
        <v>1.0049999999999999</v>
      </c>
      <c r="O55" s="241">
        <f t="shared" si="47"/>
        <v>1.0049999999999999</v>
      </c>
      <c r="P55" s="241">
        <f t="shared" si="48"/>
        <v>1.0049999999999999</v>
      </c>
      <c r="Q55" s="241">
        <f t="shared" si="49"/>
        <v>1.0049999999999999</v>
      </c>
      <c r="R55" s="240">
        <f>IF(TechData_R0!H75="",1,TechData_R0!H75)</f>
        <v>1</v>
      </c>
      <c r="S55" s="240"/>
      <c r="T55" s="242">
        <v>5</v>
      </c>
      <c r="U55" s="243"/>
    </row>
    <row r="56" spans="1:21">
      <c r="A56" s="238" t="s">
        <v>1271</v>
      </c>
      <c r="B56" s="239" t="str">
        <f>TechData_R0!C77</f>
        <v>IMPOILLL25</v>
      </c>
      <c r="C56" s="239"/>
      <c r="D56" s="239"/>
      <c r="E56" s="240" t="s">
        <v>1217</v>
      </c>
      <c r="F56" s="240"/>
      <c r="G56" s="240" t="s">
        <v>1218</v>
      </c>
      <c r="H56" s="241">
        <f>TechData_R0!J77</f>
        <v>1.0049999999999999</v>
      </c>
      <c r="I56" s="241">
        <f t="shared" si="1"/>
        <v>1.0049999999999999</v>
      </c>
      <c r="J56" s="241">
        <f t="shared" si="42"/>
        <v>1.0049999999999999</v>
      </c>
      <c r="K56" s="241">
        <f t="shared" si="43"/>
        <v>1.0049999999999999</v>
      </c>
      <c r="L56" s="241">
        <f t="shared" si="44"/>
        <v>1.0049999999999999</v>
      </c>
      <c r="M56" s="241">
        <f t="shared" si="45"/>
        <v>1.0049999999999999</v>
      </c>
      <c r="N56" s="241">
        <f t="shared" si="46"/>
        <v>1.0049999999999999</v>
      </c>
      <c r="O56" s="241">
        <f t="shared" si="47"/>
        <v>1.0049999999999999</v>
      </c>
      <c r="P56" s="241">
        <f t="shared" si="48"/>
        <v>1.0049999999999999</v>
      </c>
      <c r="Q56" s="241">
        <f t="shared" si="49"/>
        <v>1.0049999999999999</v>
      </c>
      <c r="R56" s="240">
        <f>IF(TechData_R0!H76="",1,TechData_R0!H76)</f>
        <v>1</v>
      </c>
      <c r="S56" s="240"/>
      <c r="T56" s="242">
        <v>5</v>
      </c>
      <c r="U56" s="243"/>
    </row>
    <row r="57" spans="1:21">
      <c r="A57" s="238" t="s">
        <v>1272</v>
      </c>
      <c r="B57" s="239" t="str">
        <f>TechData_R0!C78</f>
        <v>IMPOILMH23</v>
      </c>
      <c r="C57" s="239"/>
      <c r="D57" s="239"/>
      <c r="E57" s="240" t="s">
        <v>1217</v>
      </c>
      <c r="F57" s="240"/>
      <c r="G57" s="240" t="s">
        <v>1218</v>
      </c>
      <c r="H57" s="241">
        <f>TechData_R0!J78</f>
        <v>1.0049999999999999</v>
      </c>
      <c r="I57" s="241">
        <f t="shared" si="1"/>
        <v>1.0049999999999999</v>
      </c>
      <c r="J57" s="241">
        <f t="shared" si="42"/>
        <v>1.0049999999999999</v>
      </c>
      <c r="K57" s="241">
        <f t="shared" si="43"/>
        <v>1.0049999999999999</v>
      </c>
      <c r="L57" s="241">
        <f t="shared" si="44"/>
        <v>1.0049999999999999</v>
      </c>
      <c r="M57" s="241">
        <f t="shared" si="45"/>
        <v>1.0049999999999999</v>
      </c>
      <c r="N57" s="241">
        <f t="shared" si="46"/>
        <v>1.0049999999999999</v>
      </c>
      <c r="O57" s="241">
        <f t="shared" si="47"/>
        <v>1.0049999999999999</v>
      </c>
      <c r="P57" s="241">
        <f t="shared" si="48"/>
        <v>1.0049999999999999</v>
      </c>
      <c r="Q57" s="241">
        <f t="shared" si="49"/>
        <v>1.0049999999999999</v>
      </c>
      <c r="R57" s="240">
        <f>IF(TechData_R0!H77="",1,TechData_R0!H77)</f>
        <v>1</v>
      </c>
      <c r="S57" s="240"/>
      <c r="T57" s="242">
        <v>5</v>
      </c>
      <c r="U57" s="243"/>
    </row>
    <row r="58" spans="1:21">
      <c r="A58" s="238" t="s">
        <v>1273</v>
      </c>
      <c r="B58" s="239" t="str">
        <f>TechData_R0!C79</f>
        <v>IMPOILMH21</v>
      </c>
      <c r="C58" s="239"/>
      <c r="D58" s="239"/>
      <c r="E58" s="240" t="s">
        <v>1217</v>
      </c>
      <c r="F58" s="240"/>
      <c r="G58" s="240" t="s">
        <v>1218</v>
      </c>
      <c r="H58" s="241">
        <f>TechData_R0!J79</f>
        <v>1.0049999999999999</v>
      </c>
      <c r="I58" s="241">
        <f t="shared" si="1"/>
        <v>1.0049999999999999</v>
      </c>
      <c r="J58" s="241">
        <f t="shared" si="42"/>
        <v>1.0049999999999999</v>
      </c>
      <c r="K58" s="241">
        <f t="shared" si="43"/>
        <v>1.0049999999999999</v>
      </c>
      <c r="L58" s="241">
        <f t="shared" si="44"/>
        <v>1.0049999999999999</v>
      </c>
      <c r="M58" s="241">
        <f t="shared" si="45"/>
        <v>1.0049999999999999</v>
      </c>
      <c r="N58" s="241">
        <f t="shared" si="46"/>
        <v>1.0049999999999999</v>
      </c>
      <c r="O58" s="241">
        <f t="shared" si="47"/>
        <v>1.0049999999999999</v>
      </c>
      <c r="P58" s="241">
        <f t="shared" si="48"/>
        <v>1.0049999999999999</v>
      </c>
      <c r="Q58" s="241">
        <f t="shared" si="49"/>
        <v>1.0049999999999999</v>
      </c>
      <c r="R58" s="240">
        <f>IF(TechData_R0!H78="",1,TechData_R0!H78)</f>
        <v>1</v>
      </c>
      <c r="S58" s="240"/>
      <c r="T58" s="242">
        <v>5</v>
      </c>
      <c r="U58" s="243"/>
    </row>
    <row r="59" spans="1:21">
      <c r="A59" s="238" t="s">
        <v>1274</v>
      </c>
      <c r="B59" s="239" t="str">
        <f>TechData_R0!C80</f>
        <v>IMPOILMH22</v>
      </c>
      <c r="C59" s="239"/>
      <c r="D59" s="239"/>
      <c r="E59" s="240" t="s">
        <v>1217</v>
      </c>
      <c r="F59" s="240"/>
      <c r="G59" s="240" t="s">
        <v>1218</v>
      </c>
      <c r="H59" s="241">
        <f>TechData_R0!J80</f>
        <v>1.0049999999999999</v>
      </c>
      <c r="I59" s="241">
        <f t="shared" si="1"/>
        <v>1.0049999999999999</v>
      </c>
      <c r="J59" s="241">
        <f t="shared" si="42"/>
        <v>1.0049999999999999</v>
      </c>
      <c r="K59" s="241">
        <f t="shared" si="43"/>
        <v>1.0049999999999999</v>
      </c>
      <c r="L59" s="241">
        <f t="shared" si="44"/>
        <v>1.0049999999999999</v>
      </c>
      <c r="M59" s="241">
        <f t="shared" si="45"/>
        <v>1.0049999999999999</v>
      </c>
      <c r="N59" s="241">
        <f t="shared" si="46"/>
        <v>1.0049999999999999</v>
      </c>
      <c r="O59" s="241">
        <f t="shared" si="47"/>
        <v>1.0049999999999999</v>
      </c>
      <c r="P59" s="241">
        <f t="shared" si="48"/>
        <v>1.0049999999999999</v>
      </c>
      <c r="Q59" s="241">
        <f t="shared" si="49"/>
        <v>1.0049999999999999</v>
      </c>
      <c r="R59" s="240">
        <f>IF(TechData_R0!H79="",1,TechData_R0!H79)</f>
        <v>1</v>
      </c>
      <c r="S59" s="240"/>
      <c r="T59" s="242">
        <v>5</v>
      </c>
      <c r="U59" s="243"/>
    </row>
    <row r="60" spans="1:21">
      <c r="A60" s="238" t="s">
        <v>1275</v>
      </c>
      <c r="B60" s="239" t="str">
        <f>TechData_R0!C81</f>
        <v>IMPOILMH24</v>
      </c>
      <c r="C60" s="239"/>
      <c r="D60" s="239"/>
      <c r="E60" s="240" t="s">
        <v>1217</v>
      </c>
      <c r="F60" s="240"/>
      <c r="G60" s="240" t="s">
        <v>1218</v>
      </c>
      <c r="H60" s="241">
        <f>TechData_R0!J81</f>
        <v>1.0049999999999999</v>
      </c>
      <c r="I60" s="241">
        <f t="shared" si="1"/>
        <v>1.0049999999999999</v>
      </c>
      <c r="J60" s="241">
        <f t="shared" si="42"/>
        <v>1.0049999999999999</v>
      </c>
      <c r="K60" s="241">
        <f t="shared" si="43"/>
        <v>1.0049999999999999</v>
      </c>
      <c r="L60" s="241">
        <f t="shared" si="44"/>
        <v>1.0049999999999999</v>
      </c>
      <c r="M60" s="241">
        <f t="shared" si="45"/>
        <v>1.0049999999999999</v>
      </c>
      <c r="N60" s="241">
        <f t="shared" si="46"/>
        <v>1.0049999999999999</v>
      </c>
      <c r="O60" s="241">
        <f t="shared" si="47"/>
        <v>1.0049999999999999</v>
      </c>
      <c r="P60" s="241">
        <f t="shared" si="48"/>
        <v>1.0049999999999999</v>
      </c>
      <c r="Q60" s="241">
        <f t="shared" si="49"/>
        <v>1.0049999999999999</v>
      </c>
      <c r="R60" s="240">
        <f>IF(TechData_R0!H80="",1,TechData_R0!H80)</f>
        <v>1</v>
      </c>
      <c r="S60" s="240"/>
      <c r="T60" s="242">
        <v>5</v>
      </c>
      <c r="U60" s="243"/>
    </row>
    <row r="61" spans="1:21">
      <c r="A61" s="238" t="s">
        <v>1276</v>
      </c>
      <c r="B61" s="239" t="str">
        <f>TechData_R0!C82</f>
        <v>IMPOILMH25</v>
      </c>
      <c r="C61" s="239"/>
      <c r="D61" s="239"/>
      <c r="E61" s="240" t="s">
        <v>1217</v>
      </c>
      <c r="F61" s="240"/>
      <c r="G61" s="240" t="s">
        <v>1218</v>
      </c>
      <c r="H61" s="241">
        <f>TechData_R0!J82</f>
        <v>1.0049999999999999</v>
      </c>
      <c r="I61" s="241">
        <f t="shared" si="1"/>
        <v>1.0049999999999999</v>
      </c>
      <c r="J61" s="241">
        <f t="shared" si="42"/>
        <v>1.0049999999999999</v>
      </c>
      <c r="K61" s="241">
        <f t="shared" si="43"/>
        <v>1.0049999999999999</v>
      </c>
      <c r="L61" s="241">
        <f t="shared" si="44"/>
        <v>1.0049999999999999</v>
      </c>
      <c r="M61" s="241">
        <f t="shared" si="45"/>
        <v>1.0049999999999999</v>
      </c>
      <c r="N61" s="241">
        <f t="shared" si="46"/>
        <v>1.0049999999999999</v>
      </c>
      <c r="O61" s="241">
        <f t="shared" si="47"/>
        <v>1.0049999999999999</v>
      </c>
      <c r="P61" s="241">
        <f t="shared" si="48"/>
        <v>1.0049999999999999</v>
      </c>
      <c r="Q61" s="241">
        <f t="shared" si="49"/>
        <v>1.0049999999999999</v>
      </c>
      <c r="R61" s="240">
        <f>IF(TechData_R0!H81="",1,TechData_R0!H81)</f>
        <v>1</v>
      </c>
      <c r="S61" s="240"/>
      <c r="T61" s="242">
        <v>5</v>
      </c>
      <c r="U61" s="243"/>
    </row>
    <row r="62" spans="1:21">
      <c r="A62" s="238" t="s">
        <v>1401</v>
      </c>
      <c r="B62" s="239" t="str">
        <f>TechData_R0!C84</f>
        <v>IMPOILHH33</v>
      </c>
      <c r="C62" s="239"/>
      <c r="D62" s="239"/>
      <c r="E62" s="240" t="s">
        <v>1217</v>
      </c>
      <c r="F62" s="240"/>
      <c r="G62" s="240" t="s">
        <v>1218</v>
      </c>
      <c r="H62" s="241">
        <f>TechData_R0!J84</f>
        <v>1.0049999999999999</v>
      </c>
      <c r="I62" s="241">
        <f t="shared" si="1"/>
        <v>1.0049999999999999</v>
      </c>
      <c r="J62" s="241">
        <f t="shared" si="42"/>
        <v>1.0049999999999999</v>
      </c>
      <c r="K62" s="241">
        <f t="shared" si="43"/>
        <v>1.0049999999999999</v>
      </c>
      <c r="L62" s="241">
        <f t="shared" si="44"/>
        <v>1.0049999999999999</v>
      </c>
      <c r="M62" s="241">
        <f t="shared" si="45"/>
        <v>1.0049999999999999</v>
      </c>
      <c r="N62" s="241">
        <f t="shared" si="46"/>
        <v>1.0049999999999999</v>
      </c>
      <c r="O62" s="241">
        <f t="shared" si="47"/>
        <v>1.0049999999999999</v>
      </c>
      <c r="P62" s="241">
        <f t="shared" si="48"/>
        <v>1.0049999999999999</v>
      </c>
      <c r="Q62" s="241">
        <f t="shared" si="49"/>
        <v>1.0049999999999999</v>
      </c>
      <c r="R62" s="240">
        <f>IF(TechData_R0!H82="",1,TechData_R0!H82)</f>
        <v>1</v>
      </c>
      <c r="S62" s="240"/>
      <c r="T62" s="242">
        <v>5</v>
      </c>
      <c r="U62" s="243"/>
    </row>
    <row r="63" spans="1:21">
      <c r="A63" s="238" t="s">
        <v>1277</v>
      </c>
      <c r="B63" s="239" t="str">
        <f>TechData_R0!C85</f>
        <v>IMPOILHH31</v>
      </c>
      <c r="C63" s="239"/>
      <c r="D63" s="239"/>
      <c r="E63" s="240" t="s">
        <v>1217</v>
      </c>
      <c r="F63" s="240"/>
      <c r="G63" s="240" t="s">
        <v>1218</v>
      </c>
      <c r="H63" s="241">
        <f>TechData_R0!J85</f>
        <v>1.0049999999999999</v>
      </c>
      <c r="I63" s="241">
        <f t="shared" si="1"/>
        <v>1.0049999999999999</v>
      </c>
      <c r="J63" s="241">
        <f t="shared" si="42"/>
        <v>1.0049999999999999</v>
      </c>
      <c r="K63" s="241">
        <f t="shared" si="43"/>
        <v>1.0049999999999999</v>
      </c>
      <c r="L63" s="241">
        <f t="shared" si="44"/>
        <v>1.0049999999999999</v>
      </c>
      <c r="M63" s="241">
        <f t="shared" si="45"/>
        <v>1.0049999999999999</v>
      </c>
      <c r="N63" s="241">
        <f t="shared" si="46"/>
        <v>1.0049999999999999</v>
      </c>
      <c r="O63" s="241">
        <f t="shared" si="47"/>
        <v>1.0049999999999999</v>
      </c>
      <c r="P63" s="241">
        <f t="shared" si="48"/>
        <v>1.0049999999999999</v>
      </c>
      <c r="Q63" s="241">
        <f t="shared" si="49"/>
        <v>1.0049999999999999</v>
      </c>
      <c r="R63" s="240">
        <f>IF(TechData_R0!H83="",1,TechData_R0!H83)</f>
        <v>1</v>
      </c>
      <c r="S63" s="240"/>
      <c r="T63" s="242">
        <v>5</v>
      </c>
      <c r="U63" s="243"/>
    </row>
    <row r="64" spans="1:21">
      <c r="A64" s="238" t="s">
        <v>1278</v>
      </c>
      <c r="B64" s="239" t="str">
        <f>TechData_R0!C86</f>
        <v>IMPOILHH32</v>
      </c>
      <c r="C64" s="239"/>
      <c r="D64" s="239"/>
      <c r="E64" s="240" t="s">
        <v>1217</v>
      </c>
      <c r="F64" s="240"/>
      <c r="G64" s="240" t="s">
        <v>1218</v>
      </c>
      <c r="H64" s="241">
        <f>TechData_R0!J86</f>
        <v>1.0049999999999999</v>
      </c>
      <c r="I64" s="241">
        <f t="shared" si="1"/>
        <v>1.0049999999999999</v>
      </c>
      <c r="J64" s="241">
        <f t="shared" si="42"/>
        <v>1.0049999999999999</v>
      </c>
      <c r="K64" s="241">
        <f t="shared" si="43"/>
        <v>1.0049999999999999</v>
      </c>
      <c r="L64" s="241">
        <f t="shared" si="44"/>
        <v>1.0049999999999999</v>
      </c>
      <c r="M64" s="241">
        <f t="shared" si="45"/>
        <v>1.0049999999999999</v>
      </c>
      <c r="N64" s="241">
        <f t="shared" si="46"/>
        <v>1.0049999999999999</v>
      </c>
      <c r="O64" s="241">
        <f t="shared" si="47"/>
        <v>1.0049999999999999</v>
      </c>
      <c r="P64" s="241">
        <f t="shared" si="48"/>
        <v>1.0049999999999999</v>
      </c>
      <c r="Q64" s="241">
        <f t="shared" si="49"/>
        <v>1.0049999999999999</v>
      </c>
      <c r="R64" s="240">
        <f>IF(TechData_R0!H84="",1,TechData_R0!H84)</f>
        <v>1</v>
      </c>
      <c r="S64" s="240"/>
      <c r="T64" s="242">
        <v>5</v>
      </c>
      <c r="U64" s="243"/>
    </row>
    <row r="65" spans="1:21">
      <c r="A65" s="238" t="s">
        <v>1279</v>
      </c>
      <c r="B65" s="239" t="str">
        <f>TechData_R0!C87</f>
        <v>IMPOILHH34</v>
      </c>
      <c r="C65" s="239"/>
      <c r="D65" s="239"/>
      <c r="E65" s="240" t="s">
        <v>1217</v>
      </c>
      <c r="F65" s="240"/>
      <c r="G65" s="240" t="s">
        <v>1218</v>
      </c>
      <c r="H65" s="241">
        <f>TechData_R0!J87</f>
        <v>1.0049999999999999</v>
      </c>
      <c r="I65" s="241">
        <f t="shared" si="1"/>
        <v>1.0049999999999999</v>
      </c>
      <c r="J65" s="241">
        <f t="shared" si="42"/>
        <v>1.0049999999999999</v>
      </c>
      <c r="K65" s="241">
        <f t="shared" si="43"/>
        <v>1.0049999999999999</v>
      </c>
      <c r="L65" s="241">
        <f t="shared" si="44"/>
        <v>1.0049999999999999</v>
      </c>
      <c r="M65" s="241">
        <f t="shared" si="45"/>
        <v>1.0049999999999999</v>
      </c>
      <c r="N65" s="241">
        <f t="shared" si="46"/>
        <v>1.0049999999999999</v>
      </c>
      <c r="O65" s="241">
        <f t="shared" si="47"/>
        <v>1.0049999999999999</v>
      </c>
      <c r="P65" s="241">
        <f t="shared" si="48"/>
        <v>1.0049999999999999</v>
      </c>
      <c r="Q65" s="241">
        <f t="shared" si="49"/>
        <v>1.0049999999999999</v>
      </c>
      <c r="R65" s="240">
        <f>IF(TechData_R0!H85="",1,TechData_R0!H85)</f>
        <v>1</v>
      </c>
      <c r="S65" s="240"/>
      <c r="T65" s="242">
        <v>5</v>
      </c>
      <c r="U65" s="243"/>
    </row>
    <row r="66" spans="1:21">
      <c r="A66" s="238" t="s">
        <v>1280</v>
      </c>
      <c r="B66" s="239" t="str">
        <f>TechData_R0!C88</f>
        <v>IMPOILHH35</v>
      </c>
      <c r="C66" s="239"/>
      <c r="D66" s="239"/>
      <c r="E66" s="240" t="s">
        <v>1217</v>
      </c>
      <c r="F66" s="240"/>
      <c r="G66" s="240" t="s">
        <v>1218</v>
      </c>
      <c r="H66" s="241">
        <f>TechData_R0!J88</f>
        <v>1.0049999999999999</v>
      </c>
      <c r="I66" s="241">
        <f t="shared" si="1"/>
        <v>1.0049999999999999</v>
      </c>
      <c r="J66" s="241">
        <f t="shared" si="42"/>
        <v>1.0049999999999999</v>
      </c>
      <c r="K66" s="241">
        <f t="shared" si="43"/>
        <v>1.0049999999999999</v>
      </c>
      <c r="L66" s="241">
        <f t="shared" si="44"/>
        <v>1.0049999999999999</v>
      </c>
      <c r="M66" s="241">
        <f t="shared" si="45"/>
        <v>1.0049999999999999</v>
      </c>
      <c r="N66" s="241">
        <f t="shared" si="46"/>
        <v>1.0049999999999999</v>
      </c>
      <c r="O66" s="241">
        <f t="shared" si="47"/>
        <v>1.0049999999999999</v>
      </c>
      <c r="P66" s="241">
        <f t="shared" si="48"/>
        <v>1.0049999999999999</v>
      </c>
      <c r="Q66" s="241">
        <f t="shared" si="49"/>
        <v>1.0049999999999999</v>
      </c>
      <c r="R66" s="240">
        <f>IF(TechData_R0!H86="",1,TechData_R0!H86)</f>
        <v>1</v>
      </c>
      <c r="S66" s="240"/>
      <c r="T66" s="242">
        <v>5</v>
      </c>
      <c r="U66" s="243"/>
    </row>
    <row r="67" spans="1:21">
      <c r="A67" s="238" t="s">
        <v>1281</v>
      </c>
      <c r="B67" s="239" t="str">
        <f>TechData_R0!C89</f>
        <v>IMPOILHL33</v>
      </c>
      <c r="C67" s="239"/>
      <c r="D67" s="239"/>
      <c r="E67" s="240" t="s">
        <v>1217</v>
      </c>
      <c r="F67" s="240"/>
      <c r="G67" s="240" t="s">
        <v>1218</v>
      </c>
      <c r="H67" s="241">
        <f>TechData_R0!J89</f>
        <v>1.0049999999999999</v>
      </c>
      <c r="I67" s="241">
        <f t="shared" si="1"/>
        <v>1.0049999999999999</v>
      </c>
      <c r="J67" s="241">
        <f t="shared" si="42"/>
        <v>1.0049999999999999</v>
      </c>
      <c r="K67" s="241">
        <f t="shared" si="43"/>
        <v>1.0049999999999999</v>
      </c>
      <c r="L67" s="241">
        <f t="shared" si="44"/>
        <v>1.0049999999999999</v>
      </c>
      <c r="M67" s="241">
        <f t="shared" si="45"/>
        <v>1.0049999999999999</v>
      </c>
      <c r="N67" s="241">
        <f t="shared" si="46"/>
        <v>1.0049999999999999</v>
      </c>
      <c r="O67" s="241">
        <f t="shared" si="47"/>
        <v>1.0049999999999999</v>
      </c>
      <c r="P67" s="241">
        <f t="shared" si="48"/>
        <v>1.0049999999999999</v>
      </c>
      <c r="Q67" s="241">
        <f t="shared" si="49"/>
        <v>1.0049999999999999</v>
      </c>
      <c r="R67" s="240">
        <f>IF(TechData_R0!H87="",1,TechData_R0!H87)</f>
        <v>1</v>
      </c>
      <c r="S67" s="240"/>
      <c r="T67" s="242">
        <v>5</v>
      </c>
      <c r="U67" s="243"/>
    </row>
    <row r="68" spans="1:21">
      <c r="A68" s="238" t="s">
        <v>1282</v>
      </c>
      <c r="B68" s="239" t="str">
        <f>TechData_R0!C90</f>
        <v>IMPOILHL31</v>
      </c>
      <c r="C68" s="239"/>
      <c r="D68" s="239"/>
      <c r="E68" s="240" t="s">
        <v>1217</v>
      </c>
      <c r="F68" s="240"/>
      <c r="G68" s="240" t="s">
        <v>1218</v>
      </c>
      <c r="H68" s="241">
        <f>TechData_R0!J90</f>
        <v>1.0049999999999999</v>
      </c>
      <c r="I68" s="241">
        <f t="shared" si="1"/>
        <v>1.0049999999999999</v>
      </c>
      <c r="J68" s="241">
        <f t="shared" si="42"/>
        <v>1.0049999999999999</v>
      </c>
      <c r="K68" s="241">
        <f t="shared" si="43"/>
        <v>1.0049999999999999</v>
      </c>
      <c r="L68" s="241">
        <f t="shared" si="44"/>
        <v>1.0049999999999999</v>
      </c>
      <c r="M68" s="241">
        <f t="shared" si="45"/>
        <v>1.0049999999999999</v>
      </c>
      <c r="N68" s="241">
        <f t="shared" si="46"/>
        <v>1.0049999999999999</v>
      </c>
      <c r="O68" s="241">
        <f t="shared" si="47"/>
        <v>1.0049999999999999</v>
      </c>
      <c r="P68" s="241">
        <f t="shared" si="48"/>
        <v>1.0049999999999999</v>
      </c>
      <c r="Q68" s="241">
        <f t="shared" si="49"/>
        <v>1.0049999999999999</v>
      </c>
      <c r="R68" s="240">
        <f>IF(TechData_R0!H88="",1,TechData_R0!H88)</f>
        <v>1</v>
      </c>
      <c r="S68" s="240"/>
      <c r="T68" s="242">
        <v>5</v>
      </c>
      <c r="U68" s="243"/>
    </row>
    <row r="69" spans="1:21">
      <c r="A69" s="238" t="s">
        <v>1283</v>
      </c>
      <c r="B69" s="239" t="str">
        <f>TechData_R0!C91</f>
        <v>IMPOILHL32</v>
      </c>
      <c r="C69" s="239"/>
      <c r="D69" s="239"/>
      <c r="E69" s="240" t="s">
        <v>1217</v>
      </c>
      <c r="F69" s="240"/>
      <c r="G69" s="240" t="s">
        <v>1218</v>
      </c>
      <c r="H69" s="241">
        <f>TechData_R0!J91</f>
        <v>1.0049999999999999</v>
      </c>
      <c r="I69" s="241">
        <f t="shared" si="1"/>
        <v>1.0049999999999999</v>
      </c>
      <c r="J69" s="241">
        <f t="shared" ref="J69:J86" si="50">I69</f>
        <v>1.0049999999999999</v>
      </c>
      <c r="K69" s="241">
        <f t="shared" ref="K69:K86" si="51">J69</f>
        <v>1.0049999999999999</v>
      </c>
      <c r="L69" s="241">
        <f t="shared" ref="L69:L86" si="52">K69</f>
        <v>1.0049999999999999</v>
      </c>
      <c r="M69" s="241">
        <f t="shared" ref="M69:M86" si="53">L69</f>
        <v>1.0049999999999999</v>
      </c>
      <c r="N69" s="241">
        <f t="shared" ref="N69:N86" si="54">M69</f>
        <v>1.0049999999999999</v>
      </c>
      <c r="O69" s="241">
        <f t="shared" ref="O69:O86" si="55">N69</f>
        <v>1.0049999999999999</v>
      </c>
      <c r="P69" s="241">
        <f t="shared" ref="P69:P86" si="56">O69</f>
        <v>1.0049999999999999</v>
      </c>
      <c r="Q69" s="241">
        <f t="shared" ref="Q69:Q86" si="57">P69</f>
        <v>1.0049999999999999</v>
      </c>
      <c r="R69" s="240">
        <f>IF(TechData_R0!H89="",1,TechData_R0!H89)</f>
        <v>1</v>
      </c>
      <c r="S69" s="240"/>
      <c r="T69" s="242">
        <v>5</v>
      </c>
      <c r="U69" s="243"/>
    </row>
    <row r="70" spans="1:21">
      <c r="A70" s="238" t="s">
        <v>1284</v>
      </c>
      <c r="B70" s="239" t="str">
        <f>TechData_R0!C92</f>
        <v>IMPOILHL34</v>
      </c>
      <c r="C70" s="239"/>
      <c r="D70" s="239"/>
      <c r="E70" s="240" t="s">
        <v>1217</v>
      </c>
      <c r="F70" s="240"/>
      <c r="G70" s="240" t="s">
        <v>1218</v>
      </c>
      <c r="H70" s="241">
        <f>TechData_R0!J92</f>
        <v>1.0049999999999999</v>
      </c>
      <c r="I70" s="241">
        <f t="shared" ref="I70:I86" si="58">H70</f>
        <v>1.0049999999999999</v>
      </c>
      <c r="J70" s="241">
        <f t="shared" si="50"/>
        <v>1.0049999999999999</v>
      </c>
      <c r="K70" s="241">
        <f t="shared" si="51"/>
        <v>1.0049999999999999</v>
      </c>
      <c r="L70" s="241">
        <f t="shared" si="52"/>
        <v>1.0049999999999999</v>
      </c>
      <c r="M70" s="241">
        <f t="shared" si="53"/>
        <v>1.0049999999999999</v>
      </c>
      <c r="N70" s="241">
        <f t="shared" si="54"/>
        <v>1.0049999999999999</v>
      </c>
      <c r="O70" s="241">
        <f t="shared" si="55"/>
        <v>1.0049999999999999</v>
      </c>
      <c r="P70" s="241">
        <f t="shared" si="56"/>
        <v>1.0049999999999999</v>
      </c>
      <c r="Q70" s="241">
        <f t="shared" si="57"/>
        <v>1.0049999999999999</v>
      </c>
      <c r="R70" s="240">
        <f>IF(TechData_R0!H90="",1,TechData_R0!H90)</f>
        <v>1</v>
      </c>
      <c r="S70" s="240"/>
      <c r="T70" s="242">
        <v>5</v>
      </c>
      <c r="U70" s="243"/>
    </row>
    <row r="71" spans="1:21">
      <c r="A71" s="238" t="s">
        <v>1285</v>
      </c>
      <c r="B71" s="239" t="str">
        <f>TechData_R0!C93</f>
        <v>IMPOILHL35</v>
      </c>
      <c r="C71" s="239"/>
      <c r="D71" s="239"/>
      <c r="E71" s="240" t="s">
        <v>1217</v>
      </c>
      <c r="F71" s="240"/>
      <c r="G71" s="240" t="s">
        <v>1218</v>
      </c>
      <c r="H71" s="241">
        <f>TechData_R0!J93</f>
        <v>1.0049999999999999</v>
      </c>
      <c r="I71" s="241">
        <f t="shared" si="58"/>
        <v>1.0049999999999999</v>
      </c>
      <c r="J71" s="241">
        <f t="shared" si="50"/>
        <v>1.0049999999999999</v>
      </c>
      <c r="K71" s="241">
        <f t="shared" si="51"/>
        <v>1.0049999999999999</v>
      </c>
      <c r="L71" s="241">
        <f t="shared" si="52"/>
        <v>1.0049999999999999</v>
      </c>
      <c r="M71" s="241">
        <f t="shared" si="53"/>
        <v>1.0049999999999999</v>
      </c>
      <c r="N71" s="241">
        <f t="shared" si="54"/>
        <v>1.0049999999999999</v>
      </c>
      <c r="O71" s="241">
        <f t="shared" si="55"/>
        <v>1.0049999999999999</v>
      </c>
      <c r="P71" s="241">
        <f t="shared" si="56"/>
        <v>1.0049999999999999</v>
      </c>
      <c r="Q71" s="241">
        <f t="shared" si="57"/>
        <v>1.0049999999999999</v>
      </c>
      <c r="R71" s="240">
        <f>IF(TechData_R0!H91="",1,TechData_R0!H91)</f>
        <v>1</v>
      </c>
      <c r="S71" s="240"/>
      <c r="T71" s="242">
        <v>5</v>
      </c>
      <c r="U71" s="243"/>
    </row>
    <row r="72" spans="1:21">
      <c r="A72" s="238" t="s">
        <v>1286</v>
      </c>
      <c r="B72" s="239" t="str">
        <f>TechData_R0!C94</f>
        <v>IMPOILHV33</v>
      </c>
      <c r="C72" s="239"/>
      <c r="D72" s="239"/>
      <c r="E72" s="240" t="s">
        <v>1217</v>
      </c>
      <c r="F72" s="240"/>
      <c r="G72" s="240" t="s">
        <v>1218</v>
      </c>
      <c r="H72" s="241">
        <f>TechData_R0!J94</f>
        <v>1.0049999999999999</v>
      </c>
      <c r="I72" s="241">
        <f t="shared" si="58"/>
        <v>1.0049999999999999</v>
      </c>
      <c r="J72" s="241">
        <f t="shared" si="50"/>
        <v>1.0049999999999999</v>
      </c>
      <c r="K72" s="241">
        <f t="shared" si="51"/>
        <v>1.0049999999999999</v>
      </c>
      <c r="L72" s="241">
        <f t="shared" si="52"/>
        <v>1.0049999999999999</v>
      </c>
      <c r="M72" s="241">
        <f t="shared" si="53"/>
        <v>1.0049999999999999</v>
      </c>
      <c r="N72" s="241">
        <f t="shared" si="54"/>
        <v>1.0049999999999999</v>
      </c>
      <c r="O72" s="241">
        <f t="shared" si="55"/>
        <v>1.0049999999999999</v>
      </c>
      <c r="P72" s="241">
        <f t="shared" si="56"/>
        <v>1.0049999999999999</v>
      </c>
      <c r="Q72" s="241">
        <f t="shared" si="57"/>
        <v>1.0049999999999999</v>
      </c>
      <c r="R72" s="240">
        <f>IF(TechData_R0!H92="",1,TechData_R0!H92)</f>
        <v>1</v>
      </c>
      <c r="S72" s="240"/>
      <c r="T72" s="242">
        <v>5</v>
      </c>
      <c r="U72" s="243"/>
    </row>
    <row r="73" spans="1:21">
      <c r="A73" s="238" t="s">
        <v>1287</v>
      </c>
      <c r="B73" s="239" t="str">
        <f>TechData_R0!C95</f>
        <v>IMPOILHV31</v>
      </c>
      <c r="C73" s="239"/>
      <c r="D73" s="239"/>
      <c r="E73" s="240" t="s">
        <v>1217</v>
      </c>
      <c r="F73" s="240"/>
      <c r="G73" s="240" t="s">
        <v>1218</v>
      </c>
      <c r="H73" s="241">
        <f>TechData_R0!J95</f>
        <v>1.0049999999999999</v>
      </c>
      <c r="I73" s="241">
        <f t="shared" si="58"/>
        <v>1.0049999999999999</v>
      </c>
      <c r="J73" s="241">
        <f t="shared" si="50"/>
        <v>1.0049999999999999</v>
      </c>
      <c r="K73" s="241">
        <f t="shared" si="51"/>
        <v>1.0049999999999999</v>
      </c>
      <c r="L73" s="241">
        <f t="shared" si="52"/>
        <v>1.0049999999999999</v>
      </c>
      <c r="M73" s="241">
        <f t="shared" si="53"/>
        <v>1.0049999999999999</v>
      </c>
      <c r="N73" s="241">
        <f t="shared" si="54"/>
        <v>1.0049999999999999</v>
      </c>
      <c r="O73" s="241">
        <f t="shared" si="55"/>
        <v>1.0049999999999999</v>
      </c>
      <c r="P73" s="241">
        <f t="shared" si="56"/>
        <v>1.0049999999999999</v>
      </c>
      <c r="Q73" s="241">
        <f t="shared" si="57"/>
        <v>1.0049999999999999</v>
      </c>
      <c r="R73" s="240">
        <f>IF(TechData_R0!H93="",1,TechData_R0!H93)</f>
        <v>1</v>
      </c>
      <c r="S73" s="240"/>
      <c r="T73" s="242">
        <v>5</v>
      </c>
      <c r="U73" s="243"/>
    </row>
    <row r="74" spans="1:21">
      <c r="A74" s="238" t="s">
        <v>1288</v>
      </c>
      <c r="B74" s="239" t="str">
        <f>TechData_R0!C96</f>
        <v>IMPOILHV32</v>
      </c>
      <c r="C74" s="239"/>
      <c r="D74" s="239"/>
      <c r="E74" s="240" t="s">
        <v>1217</v>
      </c>
      <c r="F74" s="240"/>
      <c r="G74" s="240" t="s">
        <v>1218</v>
      </c>
      <c r="H74" s="241">
        <f>TechData_R0!J96</f>
        <v>1.0049999999999999</v>
      </c>
      <c r="I74" s="241">
        <f t="shared" si="58"/>
        <v>1.0049999999999999</v>
      </c>
      <c r="J74" s="241">
        <f t="shared" si="50"/>
        <v>1.0049999999999999</v>
      </c>
      <c r="K74" s="241">
        <f t="shared" si="51"/>
        <v>1.0049999999999999</v>
      </c>
      <c r="L74" s="241">
        <f t="shared" si="52"/>
        <v>1.0049999999999999</v>
      </c>
      <c r="M74" s="241">
        <f t="shared" si="53"/>
        <v>1.0049999999999999</v>
      </c>
      <c r="N74" s="241">
        <f t="shared" si="54"/>
        <v>1.0049999999999999</v>
      </c>
      <c r="O74" s="241">
        <f t="shared" si="55"/>
        <v>1.0049999999999999</v>
      </c>
      <c r="P74" s="241">
        <f t="shared" si="56"/>
        <v>1.0049999999999999</v>
      </c>
      <c r="Q74" s="241">
        <f t="shared" si="57"/>
        <v>1.0049999999999999</v>
      </c>
      <c r="R74" s="240">
        <f>IF(TechData_R0!H94="",1,TechData_R0!H94)</f>
        <v>1</v>
      </c>
      <c r="S74" s="240"/>
      <c r="T74" s="242">
        <v>5</v>
      </c>
      <c r="U74" s="243"/>
    </row>
    <row r="75" spans="1:21">
      <c r="A75" s="238" t="s">
        <v>1289</v>
      </c>
      <c r="B75" s="239" t="str">
        <f>TechData_R0!C97</f>
        <v>IMPOILHV34</v>
      </c>
      <c r="C75" s="239"/>
      <c r="D75" s="239"/>
      <c r="E75" s="240" t="s">
        <v>1217</v>
      </c>
      <c r="F75" s="240"/>
      <c r="G75" s="240" t="s">
        <v>1218</v>
      </c>
      <c r="H75" s="241">
        <f>TechData_R0!J97</f>
        <v>1.0049999999999999</v>
      </c>
      <c r="I75" s="241">
        <f t="shared" si="58"/>
        <v>1.0049999999999999</v>
      </c>
      <c r="J75" s="241">
        <f t="shared" si="50"/>
        <v>1.0049999999999999</v>
      </c>
      <c r="K75" s="241">
        <f t="shared" si="51"/>
        <v>1.0049999999999999</v>
      </c>
      <c r="L75" s="241">
        <f t="shared" si="52"/>
        <v>1.0049999999999999</v>
      </c>
      <c r="M75" s="241">
        <f t="shared" si="53"/>
        <v>1.0049999999999999</v>
      </c>
      <c r="N75" s="241">
        <f t="shared" si="54"/>
        <v>1.0049999999999999</v>
      </c>
      <c r="O75" s="241">
        <f t="shared" si="55"/>
        <v>1.0049999999999999</v>
      </c>
      <c r="P75" s="241">
        <f t="shared" si="56"/>
        <v>1.0049999999999999</v>
      </c>
      <c r="Q75" s="241">
        <f t="shared" si="57"/>
        <v>1.0049999999999999</v>
      </c>
      <c r="R75" s="240">
        <f>IF(TechData_R0!H95="",1,TechData_R0!H95)</f>
        <v>1</v>
      </c>
      <c r="S75" s="240"/>
      <c r="T75" s="242">
        <v>5</v>
      </c>
      <c r="U75" s="243"/>
    </row>
    <row r="76" spans="1:21">
      <c r="A76" s="238" t="s">
        <v>1290</v>
      </c>
      <c r="B76" s="239" t="str">
        <f>TechData_R0!C98</f>
        <v>IMPOILHV35</v>
      </c>
      <c r="C76" s="239"/>
      <c r="D76" s="239"/>
      <c r="E76" s="240" t="s">
        <v>1217</v>
      </c>
      <c r="F76" s="240"/>
      <c r="G76" s="240" t="s">
        <v>1218</v>
      </c>
      <c r="H76" s="241">
        <f>TechData_R0!J98</f>
        <v>1.0049999999999999</v>
      </c>
      <c r="I76" s="241">
        <f t="shared" si="58"/>
        <v>1.0049999999999999</v>
      </c>
      <c r="J76" s="241">
        <f t="shared" si="50"/>
        <v>1.0049999999999999</v>
      </c>
      <c r="K76" s="241">
        <f t="shared" si="51"/>
        <v>1.0049999999999999</v>
      </c>
      <c r="L76" s="241">
        <f t="shared" si="52"/>
        <v>1.0049999999999999</v>
      </c>
      <c r="M76" s="241">
        <f t="shared" si="53"/>
        <v>1.0049999999999999</v>
      </c>
      <c r="N76" s="241">
        <f t="shared" si="54"/>
        <v>1.0049999999999999</v>
      </c>
      <c r="O76" s="241">
        <f t="shared" si="55"/>
        <v>1.0049999999999999</v>
      </c>
      <c r="P76" s="241">
        <f t="shared" si="56"/>
        <v>1.0049999999999999</v>
      </c>
      <c r="Q76" s="241">
        <f t="shared" si="57"/>
        <v>1.0049999999999999</v>
      </c>
      <c r="R76" s="240">
        <f>IF(TechData_R0!H96="",1,TechData_R0!H96)</f>
        <v>1</v>
      </c>
      <c r="S76" s="240"/>
      <c r="T76" s="242">
        <v>5</v>
      </c>
      <c r="U76" s="243"/>
    </row>
    <row r="77" spans="1:21">
      <c r="A77" s="238" t="s">
        <v>1291</v>
      </c>
      <c r="B77" s="239" t="str">
        <f>TechData_R0!C99</f>
        <v>IMPOILLL33</v>
      </c>
      <c r="C77" s="239"/>
      <c r="D77" s="239"/>
      <c r="E77" s="240" t="s">
        <v>1217</v>
      </c>
      <c r="F77" s="240"/>
      <c r="G77" s="240" t="s">
        <v>1218</v>
      </c>
      <c r="H77" s="241">
        <f>TechData_R0!J99</f>
        <v>1.0049999999999999</v>
      </c>
      <c r="I77" s="241">
        <f t="shared" si="58"/>
        <v>1.0049999999999999</v>
      </c>
      <c r="J77" s="241">
        <f t="shared" si="50"/>
        <v>1.0049999999999999</v>
      </c>
      <c r="K77" s="241">
        <f t="shared" si="51"/>
        <v>1.0049999999999999</v>
      </c>
      <c r="L77" s="241">
        <f t="shared" si="52"/>
        <v>1.0049999999999999</v>
      </c>
      <c r="M77" s="241">
        <f t="shared" si="53"/>
        <v>1.0049999999999999</v>
      </c>
      <c r="N77" s="241">
        <f t="shared" si="54"/>
        <v>1.0049999999999999</v>
      </c>
      <c r="O77" s="241">
        <f t="shared" si="55"/>
        <v>1.0049999999999999</v>
      </c>
      <c r="P77" s="241">
        <f t="shared" si="56"/>
        <v>1.0049999999999999</v>
      </c>
      <c r="Q77" s="241">
        <f t="shared" si="57"/>
        <v>1.0049999999999999</v>
      </c>
      <c r="R77" s="240">
        <f>IF(TechData_R0!H97="",1,TechData_R0!H97)</f>
        <v>1</v>
      </c>
      <c r="S77" s="240"/>
      <c r="T77" s="242">
        <v>5</v>
      </c>
      <c r="U77" s="243"/>
    </row>
    <row r="78" spans="1:21">
      <c r="A78" s="238" t="s">
        <v>1292</v>
      </c>
      <c r="B78" s="239" t="str">
        <f>TechData_R0!C100</f>
        <v>IMPOILLL31</v>
      </c>
      <c r="C78" s="239"/>
      <c r="D78" s="239"/>
      <c r="E78" s="240" t="s">
        <v>1217</v>
      </c>
      <c r="F78" s="240"/>
      <c r="G78" s="240" t="s">
        <v>1218</v>
      </c>
      <c r="H78" s="241">
        <f>TechData_R0!J100</f>
        <v>1.0049999999999999</v>
      </c>
      <c r="I78" s="241">
        <f t="shared" si="58"/>
        <v>1.0049999999999999</v>
      </c>
      <c r="J78" s="241">
        <f t="shared" si="50"/>
        <v>1.0049999999999999</v>
      </c>
      <c r="K78" s="241">
        <f t="shared" si="51"/>
        <v>1.0049999999999999</v>
      </c>
      <c r="L78" s="241">
        <f t="shared" si="52"/>
        <v>1.0049999999999999</v>
      </c>
      <c r="M78" s="241">
        <f t="shared" si="53"/>
        <v>1.0049999999999999</v>
      </c>
      <c r="N78" s="241">
        <f t="shared" si="54"/>
        <v>1.0049999999999999</v>
      </c>
      <c r="O78" s="241">
        <f t="shared" si="55"/>
        <v>1.0049999999999999</v>
      </c>
      <c r="P78" s="241">
        <f t="shared" si="56"/>
        <v>1.0049999999999999</v>
      </c>
      <c r="Q78" s="241">
        <f t="shared" si="57"/>
        <v>1.0049999999999999</v>
      </c>
      <c r="R78" s="240">
        <f>IF(TechData_R0!H98="",1,TechData_R0!H98)</f>
        <v>1</v>
      </c>
      <c r="S78" s="240"/>
      <c r="T78" s="242">
        <v>5</v>
      </c>
      <c r="U78" s="243"/>
    </row>
    <row r="79" spans="1:21">
      <c r="A79" s="238" t="s">
        <v>1293</v>
      </c>
      <c r="B79" s="239" t="str">
        <f>TechData_R0!C101</f>
        <v>IMPOILLL32</v>
      </c>
      <c r="C79" s="239"/>
      <c r="D79" s="239"/>
      <c r="E79" s="240" t="s">
        <v>1217</v>
      </c>
      <c r="F79" s="240"/>
      <c r="G79" s="240" t="s">
        <v>1218</v>
      </c>
      <c r="H79" s="241">
        <f>TechData_R0!J101</f>
        <v>1.0049999999999999</v>
      </c>
      <c r="I79" s="241">
        <f t="shared" si="58"/>
        <v>1.0049999999999999</v>
      </c>
      <c r="J79" s="241">
        <f t="shared" si="50"/>
        <v>1.0049999999999999</v>
      </c>
      <c r="K79" s="241">
        <f t="shared" si="51"/>
        <v>1.0049999999999999</v>
      </c>
      <c r="L79" s="241">
        <f t="shared" si="52"/>
        <v>1.0049999999999999</v>
      </c>
      <c r="M79" s="241">
        <f t="shared" si="53"/>
        <v>1.0049999999999999</v>
      </c>
      <c r="N79" s="241">
        <f t="shared" si="54"/>
        <v>1.0049999999999999</v>
      </c>
      <c r="O79" s="241">
        <f t="shared" si="55"/>
        <v>1.0049999999999999</v>
      </c>
      <c r="P79" s="241">
        <f t="shared" si="56"/>
        <v>1.0049999999999999</v>
      </c>
      <c r="Q79" s="241">
        <f t="shared" si="57"/>
        <v>1.0049999999999999</v>
      </c>
      <c r="R79" s="240">
        <f>IF(TechData_R0!H99="",1,TechData_R0!H99)</f>
        <v>1</v>
      </c>
      <c r="S79" s="240"/>
      <c r="T79" s="242">
        <v>5</v>
      </c>
      <c r="U79" s="243"/>
    </row>
    <row r="80" spans="1:21">
      <c r="A80" s="238" t="s">
        <v>1294</v>
      </c>
      <c r="B80" s="239" t="str">
        <f>TechData_R0!C102</f>
        <v>IMPOILLL34</v>
      </c>
      <c r="C80" s="239"/>
      <c r="D80" s="239"/>
      <c r="E80" s="240" t="s">
        <v>1217</v>
      </c>
      <c r="F80" s="240"/>
      <c r="G80" s="240" t="s">
        <v>1218</v>
      </c>
      <c r="H80" s="241">
        <f>TechData_R0!J102</f>
        <v>1.0049999999999999</v>
      </c>
      <c r="I80" s="241">
        <f t="shared" si="58"/>
        <v>1.0049999999999999</v>
      </c>
      <c r="J80" s="241">
        <f t="shared" si="50"/>
        <v>1.0049999999999999</v>
      </c>
      <c r="K80" s="241">
        <f t="shared" si="51"/>
        <v>1.0049999999999999</v>
      </c>
      <c r="L80" s="241">
        <f t="shared" si="52"/>
        <v>1.0049999999999999</v>
      </c>
      <c r="M80" s="241">
        <f t="shared" si="53"/>
        <v>1.0049999999999999</v>
      </c>
      <c r="N80" s="241">
        <f t="shared" si="54"/>
        <v>1.0049999999999999</v>
      </c>
      <c r="O80" s="241">
        <f t="shared" si="55"/>
        <v>1.0049999999999999</v>
      </c>
      <c r="P80" s="241">
        <f t="shared" si="56"/>
        <v>1.0049999999999999</v>
      </c>
      <c r="Q80" s="241">
        <f t="shared" si="57"/>
        <v>1.0049999999999999</v>
      </c>
      <c r="R80" s="240">
        <f>IF(TechData_R0!H100="",1,TechData_R0!H100)</f>
        <v>1</v>
      </c>
      <c r="S80" s="240"/>
      <c r="T80" s="242">
        <v>5</v>
      </c>
      <c r="U80" s="243"/>
    </row>
    <row r="81" spans="1:21">
      <c r="A81" s="238" t="s">
        <v>1295</v>
      </c>
      <c r="B81" s="239" t="str">
        <f>TechData_R0!C103</f>
        <v>IMPOILLL35</v>
      </c>
      <c r="C81" s="239"/>
      <c r="D81" s="239"/>
      <c r="E81" s="240" t="s">
        <v>1217</v>
      </c>
      <c r="F81" s="240"/>
      <c r="G81" s="240" t="s">
        <v>1218</v>
      </c>
      <c r="H81" s="241">
        <f>TechData_R0!J103</f>
        <v>1.0049999999999999</v>
      </c>
      <c r="I81" s="241">
        <f t="shared" si="58"/>
        <v>1.0049999999999999</v>
      </c>
      <c r="J81" s="241">
        <f t="shared" si="50"/>
        <v>1.0049999999999999</v>
      </c>
      <c r="K81" s="241">
        <f t="shared" si="51"/>
        <v>1.0049999999999999</v>
      </c>
      <c r="L81" s="241">
        <f t="shared" si="52"/>
        <v>1.0049999999999999</v>
      </c>
      <c r="M81" s="241">
        <f t="shared" si="53"/>
        <v>1.0049999999999999</v>
      </c>
      <c r="N81" s="241">
        <f t="shared" si="54"/>
        <v>1.0049999999999999</v>
      </c>
      <c r="O81" s="241">
        <f t="shared" si="55"/>
        <v>1.0049999999999999</v>
      </c>
      <c r="P81" s="241">
        <f t="shared" si="56"/>
        <v>1.0049999999999999</v>
      </c>
      <c r="Q81" s="241">
        <f t="shared" si="57"/>
        <v>1.0049999999999999</v>
      </c>
      <c r="R81" s="240">
        <f>IF(TechData_R0!H101="",1,TechData_R0!H101)</f>
        <v>1</v>
      </c>
      <c r="S81" s="240"/>
      <c r="T81" s="242">
        <v>5</v>
      </c>
      <c r="U81" s="243"/>
    </row>
    <row r="82" spans="1:21">
      <c r="A82" s="238" t="s">
        <v>1296</v>
      </c>
      <c r="B82" s="239" t="str">
        <f>TechData_R0!C104</f>
        <v>IMPOILMH33</v>
      </c>
      <c r="C82" s="239"/>
      <c r="D82" s="239"/>
      <c r="E82" s="240" t="s">
        <v>1217</v>
      </c>
      <c r="F82" s="240"/>
      <c r="G82" s="240" t="s">
        <v>1218</v>
      </c>
      <c r="H82" s="241">
        <f>TechData_R0!J104</f>
        <v>1.0049999999999999</v>
      </c>
      <c r="I82" s="241">
        <f t="shared" si="58"/>
        <v>1.0049999999999999</v>
      </c>
      <c r="J82" s="241">
        <f t="shared" si="50"/>
        <v>1.0049999999999999</v>
      </c>
      <c r="K82" s="241">
        <f t="shared" si="51"/>
        <v>1.0049999999999999</v>
      </c>
      <c r="L82" s="241">
        <f t="shared" si="52"/>
        <v>1.0049999999999999</v>
      </c>
      <c r="M82" s="241">
        <f t="shared" si="53"/>
        <v>1.0049999999999999</v>
      </c>
      <c r="N82" s="241">
        <f t="shared" si="54"/>
        <v>1.0049999999999999</v>
      </c>
      <c r="O82" s="241">
        <f t="shared" si="55"/>
        <v>1.0049999999999999</v>
      </c>
      <c r="P82" s="241">
        <f t="shared" si="56"/>
        <v>1.0049999999999999</v>
      </c>
      <c r="Q82" s="241">
        <f t="shared" si="57"/>
        <v>1.0049999999999999</v>
      </c>
      <c r="R82" s="240">
        <f>IF(TechData_R0!H102="",1,TechData_R0!H102)</f>
        <v>1</v>
      </c>
      <c r="S82" s="240"/>
      <c r="T82" s="242">
        <v>5</v>
      </c>
      <c r="U82" s="243"/>
    </row>
    <row r="83" spans="1:21">
      <c r="A83" s="238" t="s">
        <v>1297</v>
      </c>
      <c r="B83" s="239" t="str">
        <f>TechData_R0!C105</f>
        <v>IMPOILMH31</v>
      </c>
      <c r="C83" s="239"/>
      <c r="D83" s="239"/>
      <c r="E83" s="240" t="s">
        <v>1217</v>
      </c>
      <c r="F83" s="240"/>
      <c r="G83" s="240" t="s">
        <v>1218</v>
      </c>
      <c r="H83" s="241">
        <f>TechData_R0!J105</f>
        <v>1.0049999999999999</v>
      </c>
      <c r="I83" s="241">
        <f t="shared" si="58"/>
        <v>1.0049999999999999</v>
      </c>
      <c r="J83" s="241">
        <f t="shared" si="50"/>
        <v>1.0049999999999999</v>
      </c>
      <c r="K83" s="241">
        <f t="shared" si="51"/>
        <v>1.0049999999999999</v>
      </c>
      <c r="L83" s="241">
        <f t="shared" si="52"/>
        <v>1.0049999999999999</v>
      </c>
      <c r="M83" s="241">
        <f t="shared" si="53"/>
        <v>1.0049999999999999</v>
      </c>
      <c r="N83" s="241">
        <f t="shared" si="54"/>
        <v>1.0049999999999999</v>
      </c>
      <c r="O83" s="241">
        <f t="shared" si="55"/>
        <v>1.0049999999999999</v>
      </c>
      <c r="P83" s="241">
        <f t="shared" si="56"/>
        <v>1.0049999999999999</v>
      </c>
      <c r="Q83" s="241">
        <f t="shared" si="57"/>
        <v>1.0049999999999999</v>
      </c>
      <c r="R83" s="240">
        <f>IF(TechData_R0!H103="",1,TechData_R0!H103)</f>
        <v>1</v>
      </c>
      <c r="S83" s="240"/>
      <c r="T83" s="242">
        <v>5</v>
      </c>
      <c r="U83" s="243"/>
    </row>
    <row r="84" spans="1:21">
      <c r="A84" s="238" t="s">
        <v>1298</v>
      </c>
      <c r="B84" s="239" t="str">
        <f>TechData_R0!C106</f>
        <v>IMPOILMH32</v>
      </c>
      <c r="C84" s="239"/>
      <c r="D84" s="239"/>
      <c r="E84" s="240" t="s">
        <v>1217</v>
      </c>
      <c r="F84" s="240"/>
      <c r="G84" s="240" t="s">
        <v>1218</v>
      </c>
      <c r="H84" s="241">
        <f>TechData_R0!J106</f>
        <v>1.0049999999999999</v>
      </c>
      <c r="I84" s="241">
        <f t="shared" si="58"/>
        <v>1.0049999999999999</v>
      </c>
      <c r="J84" s="241">
        <f t="shared" si="50"/>
        <v>1.0049999999999999</v>
      </c>
      <c r="K84" s="241">
        <f t="shared" si="51"/>
        <v>1.0049999999999999</v>
      </c>
      <c r="L84" s="241">
        <f t="shared" si="52"/>
        <v>1.0049999999999999</v>
      </c>
      <c r="M84" s="241">
        <f t="shared" si="53"/>
        <v>1.0049999999999999</v>
      </c>
      <c r="N84" s="241">
        <f t="shared" si="54"/>
        <v>1.0049999999999999</v>
      </c>
      <c r="O84" s="241">
        <f t="shared" si="55"/>
        <v>1.0049999999999999</v>
      </c>
      <c r="P84" s="241">
        <f t="shared" si="56"/>
        <v>1.0049999999999999</v>
      </c>
      <c r="Q84" s="241">
        <f t="shared" si="57"/>
        <v>1.0049999999999999</v>
      </c>
      <c r="R84" s="240">
        <f>IF(TechData_R0!H104="",1,TechData_R0!H104)</f>
        <v>1</v>
      </c>
      <c r="S84" s="240"/>
      <c r="T84" s="242">
        <v>5</v>
      </c>
      <c r="U84" s="243"/>
    </row>
    <row r="85" spans="1:21">
      <c r="A85" s="238" t="s">
        <v>1299</v>
      </c>
      <c r="B85" s="239" t="str">
        <f>TechData_R0!C107</f>
        <v>IMPOILMH34</v>
      </c>
      <c r="C85" s="239"/>
      <c r="D85" s="239"/>
      <c r="E85" s="240" t="s">
        <v>1217</v>
      </c>
      <c r="F85" s="240"/>
      <c r="G85" s="240" t="s">
        <v>1218</v>
      </c>
      <c r="H85" s="241">
        <f>TechData_R0!J107</f>
        <v>1.0049999999999999</v>
      </c>
      <c r="I85" s="241">
        <f t="shared" si="58"/>
        <v>1.0049999999999999</v>
      </c>
      <c r="J85" s="241">
        <f t="shared" si="50"/>
        <v>1.0049999999999999</v>
      </c>
      <c r="K85" s="241">
        <f t="shared" si="51"/>
        <v>1.0049999999999999</v>
      </c>
      <c r="L85" s="241">
        <f t="shared" si="52"/>
        <v>1.0049999999999999</v>
      </c>
      <c r="M85" s="241">
        <f t="shared" si="53"/>
        <v>1.0049999999999999</v>
      </c>
      <c r="N85" s="241">
        <f t="shared" si="54"/>
        <v>1.0049999999999999</v>
      </c>
      <c r="O85" s="241">
        <f t="shared" si="55"/>
        <v>1.0049999999999999</v>
      </c>
      <c r="P85" s="241">
        <f t="shared" si="56"/>
        <v>1.0049999999999999</v>
      </c>
      <c r="Q85" s="241">
        <f t="shared" si="57"/>
        <v>1.0049999999999999</v>
      </c>
      <c r="R85" s="240">
        <f>IF(TechData_R0!H105="",1,TechData_R0!H105)</f>
        <v>1</v>
      </c>
      <c r="S85" s="240"/>
      <c r="T85" s="242">
        <v>5</v>
      </c>
      <c r="U85" s="243"/>
    </row>
    <row r="86" spans="1:21">
      <c r="A86" s="238" t="s">
        <v>1300</v>
      </c>
      <c r="B86" s="239" t="str">
        <f>TechData_R0!C108</f>
        <v>IMPOILMH35</v>
      </c>
      <c r="C86" s="239"/>
      <c r="D86" s="239"/>
      <c r="E86" s="240" t="s">
        <v>1217</v>
      </c>
      <c r="F86" s="240"/>
      <c r="G86" s="240" t="s">
        <v>1218</v>
      </c>
      <c r="H86" s="241">
        <f>TechData_R0!J108</f>
        <v>1.0049999999999999</v>
      </c>
      <c r="I86" s="241">
        <f t="shared" si="58"/>
        <v>1.0049999999999999</v>
      </c>
      <c r="J86" s="241">
        <f t="shared" si="50"/>
        <v>1.0049999999999999</v>
      </c>
      <c r="K86" s="241">
        <f t="shared" si="51"/>
        <v>1.0049999999999999</v>
      </c>
      <c r="L86" s="241">
        <f t="shared" si="52"/>
        <v>1.0049999999999999</v>
      </c>
      <c r="M86" s="241">
        <f t="shared" si="53"/>
        <v>1.0049999999999999</v>
      </c>
      <c r="N86" s="241">
        <f t="shared" si="54"/>
        <v>1.0049999999999999</v>
      </c>
      <c r="O86" s="241">
        <f t="shared" si="55"/>
        <v>1.0049999999999999</v>
      </c>
      <c r="P86" s="241">
        <f t="shared" si="56"/>
        <v>1.0049999999999999</v>
      </c>
      <c r="Q86" s="241">
        <f t="shared" si="57"/>
        <v>1.0049999999999999</v>
      </c>
      <c r="R86" s="240">
        <f>IF(TechData_R0!H106="",1,TechData_R0!H106)</f>
        <v>1</v>
      </c>
      <c r="S86" s="240"/>
      <c r="T86" s="242">
        <v>5</v>
      </c>
      <c r="U86" s="243"/>
    </row>
    <row r="87" spans="1:21">
      <c r="A87" s="238" t="s">
        <v>1301</v>
      </c>
      <c r="B87" s="239" t="str">
        <f>TechData_R0!C198</f>
        <v>IMPJTFP13</v>
      </c>
      <c r="C87" s="239"/>
      <c r="D87" s="239"/>
      <c r="E87" s="240" t="s">
        <v>1217</v>
      </c>
      <c r="F87" s="240"/>
      <c r="G87" s="240" t="s">
        <v>1218</v>
      </c>
      <c r="H87" s="241">
        <f>TechData_R0!I198</f>
        <v>1.0049999999999999</v>
      </c>
      <c r="I87" s="241">
        <f t="shared" ref="I87" si="59">H87</f>
        <v>1.0049999999999999</v>
      </c>
      <c r="J87" s="241">
        <f t="shared" ref="J87" si="60">I87</f>
        <v>1.0049999999999999</v>
      </c>
      <c r="K87" s="241">
        <f t="shared" ref="K87" si="61">J87</f>
        <v>1.0049999999999999</v>
      </c>
      <c r="L87" s="241">
        <f t="shared" ref="L87" si="62">K87</f>
        <v>1.0049999999999999</v>
      </c>
      <c r="M87" s="241">
        <f t="shared" ref="M87" si="63">L87</f>
        <v>1.0049999999999999</v>
      </c>
      <c r="N87" s="241">
        <f t="shared" ref="N87" si="64">M87</f>
        <v>1.0049999999999999</v>
      </c>
      <c r="O87" s="241">
        <f t="shared" ref="O87" si="65">N87</f>
        <v>1.0049999999999999</v>
      </c>
      <c r="P87" s="241">
        <f t="shared" ref="P87" si="66">O87</f>
        <v>1.0049999999999999</v>
      </c>
      <c r="Q87" s="241">
        <f t="shared" ref="Q87" si="67">P87</f>
        <v>1.0049999999999999</v>
      </c>
      <c r="R87" s="240">
        <f>IF(TechData_R0!G198="",1,TechData_R0!G198)</f>
        <v>1</v>
      </c>
      <c r="S87" s="240"/>
      <c r="T87" s="242">
        <v>5</v>
      </c>
      <c r="U87" s="243"/>
    </row>
    <row r="88" spans="1:21">
      <c r="A88" s="238" t="s">
        <v>1381</v>
      </c>
      <c r="B88" s="239" t="str">
        <f>TechData_R0!C199</f>
        <v>IMPJTFP11</v>
      </c>
      <c r="C88" s="239"/>
      <c r="D88" s="239"/>
      <c r="E88" s="240" t="s">
        <v>1217</v>
      </c>
      <c r="F88" s="240"/>
      <c r="G88" s="240" t="s">
        <v>1218</v>
      </c>
      <c r="H88" s="241">
        <f>TechData_R0!I199</f>
        <v>1.0049999999999999</v>
      </c>
      <c r="I88" s="241">
        <f t="shared" ref="I88:I105" si="68">H88</f>
        <v>1.0049999999999999</v>
      </c>
      <c r="J88" s="241">
        <f t="shared" ref="J88:J105" si="69">I88</f>
        <v>1.0049999999999999</v>
      </c>
      <c r="K88" s="241">
        <f t="shared" ref="K88:K105" si="70">J88</f>
        <v>1.0049999999999999</v>
      </c>
      <c r="L88" s="241">
        <f t="shared" ref="L88:L105" si="71">K88</f>
        <v>1.0049999999999999</v>
      </c>
      <c r="M88" s="241">
        <f t="shared" ref="M88:M105" si="72">L88</f>
        <v>1.0049999999999999</v>
      </c>
      <c r="N88" s="241">
        <f t="shared" ref="N88:N105" si="73">M88</f>
        <v>1.0049999999999999</v>
      </c>
      <c r="O88" s="241">
        <f t="shared" ref="O88:O105" si="74">N88</f>
        <v>1.0049999999999999</v>
      </c>
      <c r="P88" s="241">
        <f t="shared" ref="P88:P105" si="75">O88</f>
        <v>1.0049999999999999</v>
      </c>
      <c r="Q88" s="241">
        <f t="shared" ref="Q88:Q105" si="76">P88</f>
        <v>1.0049999999999999</v>
      </c>
      <c r="R88" s="240">
        <f>IF(TechData_R0!G199="",1,TechData_R0!G199)</f>
        <v>1</v>
      </c>
      <c r="S88" s="240"/>
      <c r="T88" s="242">
        <v>5</v>
      </c>
      <c r="U88" s="243"/>
    </row>
    <row r="89" spans="1:21">
      <c r="A89" s="238" t="s">
        <v>1382</v>
      </c>
      <c r="B89" s="239" t="str">
        <f>TechData_R0!C200</f>
        <v>IMPJTFP12</v>
      </c>
      <c r="C89" s="239"/>
      <c r="D89" s="239"/>
      <c r="E89" s="240" t="s">
        <v>1217</v>
      </c>
      <c r="F89" s="240"/>
      <c r="G89" s="240" t="s">
        <v>1218</v>
      </c>
      <c r="H89" s="241">
        <f>TechData_R0!I200</f>
        <v>1.0049999999999999</v>
      </c>
      <c r="I89" s="241">
        <f t="shared" si="68"/>
        <v>1.0049999999999999</v>
      </c>
      <c r="J89" s="241">
        <f t="shared" si="69"/>
        <v>1.0049999999999999</v>
      </c>
      <c r="K89" s="241">
        <f t="shared" si="70"/>
        <v>1.0049999999999999</v>
      </c>
      <c r="L89" s="241">
        <f t="shared" si="71"/>
        <v>1.0049999999999999</v>
      </c>
      <c r="M89" s="241">
        <f t="shared" si="72"/>
        <v>1.0049999999999999</v>
      </c>
      <c r="N89" s="241">
        <f t="shared" si="73"/>
        <v>1.0049999999999999</v>
      </c>
      <c r="O89" s="241">
        <f t="shared" si="74"/>
        <v>1.0049999999999999</v>
      </c>
      <c r="P89" s="241">
        <f t="shared" si="75"/>
        <v>1.0049999999999999</v>
      </c>
      <c r="Q89" s="241">
        <f t="shared" si="76"/>
        <v>1.0049999999999999</v>
      </c>
      <c r="R89" s="240">
        <f>IF(TechData_R0!G200="",1,TechData_R0!G200)</f>
        <v>1</v>
      </c>
      <c r="S89" s="240"/>
      <c r="T89" s="242">
        <v>5</v>
      </c>
      <c r="U89" s="243"/>
    </row>
    <row r="90" spans="1:21">
      <c r="A90" s="238" t="s">
        <v>1383</v>
      </c>
      <c r="B90" s="239" t="str">
        <f>TechData_R0!C201</f>
        <v>IMPJTFP14</v>
      </c>
      <c r="C90" s="239"/>
      <c r="D90" s="239"/>
      <c r="E90" s="240" t="s">
        <v>1217</v>
      </c>
      <c r="F90" s="240"/>
      <c r="G90" s="240" t="s">
        <v>1218</v>
      </c>
      <c r="H90" s="241">
        <f>TechData_R0!I201</f>
        <v>1.0049999999999999</v>
      </c>
      <c r="I90" s="241">
        <f t="shared" si="68"/>
        <v>1.0049999999999999</v>
      </c>
      <c r="J90" s="241">
        <f t="shared" si="69"/>
        <v>1.0049999999999999</v>
      </c>
      <c r="K90" s="241">
        <f t="shared" si="70"/>
        <v>1.0049999999999999</v>
      </c>
      <c r="L90" s="241">
        <f t="shared" si="71"/>
        <v>1.0049999999999999</v>
      </c>
      <c r="M90" s="241">
        <f t="shared" si="72"/>
        <v>1.0049999999999999</v>
      </c>
      <c r="N90" s="241">
        <f t="shared" si="73"/>
        <v>1.0049999999999999</v>
      </c>
      <c r="O90" s="241">
        <f t="shared" si="74"/>
        <v>1.0049999999999999</v>
      </c>
      <c r="P90" s="241">
        <f t="shared" si="75"/>
        <v>1.0049999999999999</v>
      </c>
      <c r="Q90" s="241">
        <f t="shared" si="76"/>
        <v>1.0049999999999999</v>
      </c>
      <c r="R90" s="240">
        <f>IF(TechData_R0!G201="",1,TechData_R0!G201)</f>
        <v>1</v>
      </c>
      <c r="S90" s="240"/>
      <c r="T90" s="242">
        <v>5</v>
      </c>
      <c r="U90" s="243"/>
    </row>
    <row r="91" spans="1:21">
      <c r="A91" s="238" t="s">
        <v>1384</v>
      </c>
      <c r="B91" s="239" t="str">
        <f>TechData_R0!C202</f>
        <v>IMPJTFP15</v>
      </c>
      <c r="C91" s="239"/>
      <c r="D91" s="239"/>
      <c r="E91" s="240" t="s">
        <v>1217</v>
      </c>
      <c r="F91" s="240"/>
      <c r="G91" s="240" t="s">
        <v>1218</v>
      </c>
      <c r="H91" s="241">
        <f>TechData_R0!I202</f>
        <v>1.0049999999999999</v>
      </c>
      <c r="I91" s="241">
        <f t="shared" si="68"/>
        <v>1.0049999999999999</v>
      </c>
      <c r="J91" s="241">
        <f t="shared" si="69"/>
        <v>1.0049999999999999</v>
      </c>
      <c r="K91" s="241">
        <f t="shared" si="70"/>
        <v>1.0049999999999999</v>
      </c>
      <c r="L91" s="241">
        <f t="shared" si="71"/>
        <v>1.0049999999999999</v>
      </c>
      <c r="M91" s="241">
        <f t="shared" si="72"/>
        <v>1.0049999999999999</v>
      </c>
      <c r="N91" s="241">
        <f t="shared" si="73"/>
        <v>1.0049999999999999</v>
      </c>
      <c r="O91" s="241">
        <f t="shared" si="74"/>
        <v>1.0049999999999999</v>
      </c>
      <c r="P91" s="241">
        <f t="shared" si="75"/>
        <v>1.0049999999999999</v>
      </c>
      <c r="Q91" s="241">
        <f t="shared" si="76"/>
        <v>1.0049999999999999</v>
      </c>
      <c r="R91" s="240">
        <f>IF(TechData_R0!G202="",1,TechData_R0!G202)</f>
        <v>1</v>
      </c>
      <c r="S91" s="240"/>
      <c r="T91" s="242">
        <v>5</v>
      </c>
      <c r="U91" s="243"/>
    </row>
    <row r="92" spans="1:21">
      <c r="A92" s="238" t="s">
        <v>1385</v>
      </c>
      <c r="B92" s="239" t="str">
        <f>TechData_R0!C203</f>
        <v>IMPDSHP13</v>
      </c>
      <c r="C92" s="239"/>
      <c r="D92" s="239"/>
      <c r="E92" s="240" t="s">
        <v>1217</v>
      </c>
      <c r="F92" s="240"/>
      <c r="G92" s="240" t="s">
        <v>1218</v>
      </c>
      <c r="H92" s="241">
        <f>TechData_R0!I203</f>
        <v>1.0049999999999999</v>
      </c>
      <c r="I92" s="241">
        <f t="shared" si="68"/>
        <v>1.0049999999999999</v>
      </c>
      <c r="J92" s="241">
        <f t="shared" si="69"/>
        <v>1.0049999999999999</v>
      </c>
      <c r="K92" s="241">
        <f t="shared" si="70"/>
        <v>1.0049999999999999</v>
      </c>
      <c r="L92" s="241">
        <f t="shared" si="71"/>
        <v>1.0049999999999999</v>
      </c>
      <c r="M92" s="241">
        <f t="shared" si="72"/>
        <v>1.0049999999999999</v>
      </c>
      <c r="N92" s="241">
        <f t="shared" si="73"/>
        <v>1.0049999999999999</v>
      </c>
      <c r="O92" s="241">
        <f t="shared" si="74"/>
        <v>1.0049999999999999</v>
      </c>
      <c r="P92" s="241">
        <f t="shared" si="75"/>
        <v>1.0049999999999999</v>
      </c>
      <c r="Q92" s="241">
        <f t="shared" si="76"/>
        <v>1.0049999999999999</v>
      </c>
      <c r="R92" s="240">
        <f>IF(TechData_R0!G203="",1,TechData_R0!G203)</f>
        <v>1</v>
      </c>
      <c r="S92" s="240"/>
      <c r="T92" s="242">
        <v>5</v>
      </c>
      <c r="U92" s="243"/>
    </row>
    <row r="93" spans="1:21">
      <c r="A93" s="238" t="s">
        <v>1386</v>
      </c>
      <c r="B93" s="239" t="str">
        <f>TechData_R0!C204</f>
        <v>IMPDSHP11</v>
      </c>
      <c r="C93" s="239"/>
      <c r="D93" s="239"/>
      <c r="E93" s="240" t="s">
        <v>1217</v>
      </c>
      <c r="F93" s="240"/>
      <c r="G93" s="240" t="s">
        <v>1218</v>
      </c>
      <c r="H93" s="241">
        <f>TechData_R0!I204</f>
        <v>1.0049999999999999</v>
      </c>
      <c r="I93" s="241">
        <f t="shared" si="68"/>
        <v>1.0049999999999999</v>
      </c>
      <c r="J93" s="241">
        <f t="shared" si="69"/>
        <v>1.0049999999999999</v>
      </c>
      <c r="K93" s="241">
        <f t="shared" si="70"/>
        <v>1.0049999999999999</v>
      </c>
      <c r="L93" s="241">
        <f t="shared" si="71"/>
        <v>1.0049999999999999</v>
      </c>
      <c r="M93" s="241">
        <f t="shared" si="72"/>
        <v>1.0049999999999999</v>
      </c>
      <c r="N93" s="241">
        <f t="shared" si="73"/>
        <v>1.0049999999999999</v>
      </c>
      <c r="O93" s="241">
        <f t="shared" si="74"/>
        <v>1.0049999999999999</v>
      </c>
      <c r="P93" s="241">
        <f t="shared" si="75"/>
        <v>1.0049999999999999</v>
      </c>
      <c r="Q93" s="241">
        <f t="shared" si="76"/>
        <v>1.0049999999999999</v>
      </c>
      <c r="R93" s="240">
        <f>IF(TechData_R0!G204="",1,TechData_R0!G204)</f>
        <v>1</v>
      </c>
      <c r="S93" s="240"/>
      <c r="T93" s="242">
        <v>5</v>
      </c>
      <c r="U93" s="243"/>
    </row>
    <row r="94" spans="1:21">
      <c r="A94" s="238" t="s">
        <v>1387</v>
      </c>
      <c r="B94" s="239" t="str">
        <f>TechData_R0!C205</f>
        <v>IMPDSHP12</v>
      </c>
      <c r="C94" s="239"/>
      <c r="D94" s="239"/>
      <c r="E94" s="240" t="s">
        <v>1217</v>
      </c>
      <c r="F94" s="240"/>
      <c r="G94" s="240" t="s">
        <v>1218</v>
      </c>
      <c r="H94" s="241">
        <f>TechData_R0!I205</f>
        <v>1.0049999999999999</v>
      </c>
      <c r="I94" s="241">
        <f t="shared" si="68"/>
        <v>1.0049999999999999</v>
      </c>
      <c r="J94" s="241">
        <f t="shared" si="69"/>
        <v>1.0049999999999999</v>
      </c>
      <c r="K94" s="241">
        <f t="shared" si="70"/>
        <v>1.0049999999999999</v>
      </c>
      <c r="L94" s="241">
        <f t="shared" si="71"/>
        <v>1.0049999999999999</v>
      </c>
      <c r="M94" s="241">
        <f t="shared" si="72"/>
        <v>1.0049999999999999</v>
      </c>
      <c r="N94" s="241">
        <f t="shared" si="73"/>
        <v>1.0049999999999999</v>
      </c>
      <c r="O94" s="241">
        <f t="shared" si="74"/>
        <v>1.0049999999999999</v>
      </c>
      <c r="P94" s="241">
        <f t="shared" si="75"/>
        <v>1.0049999999999999</v>
      </c>
      <c r="Q94" s="241">
        <f t="shared" si="76"/>
        <v>1.0049999999999999</v>
      </c>
      <c r="R94" s="240">
        <f>IF(TechData_R0!G205="",1,TechData_R0!G205)</f>
        <v>1</v>
      </c>
      <c r="S94" s="240"/>
      <c r="T94" s="242">
        <v>5</v>
      </c>
      <c r="U94" s="243"/>
    </row>
    <row r="95" spans="1:21">
      <c r="A95" s="238" t="s">
        <v>1388</v>
      </c>
      <c r="B95" s="239" t="str">
        <f>TechData_R0!C206</f>
        <v>IMPDSHP14</v>
      </c>
      <c r="C95" s="239"/>
      <c r="D95" s="239"/>
      <c r="E95" s="240" t="s">
        <v>1217</v>
      </c>
      <c r="F95" s="240"/>
      <c r="G95" s="240" t="s">
        <v>1218</v>
      </c>
      <c r="H95" s="241">
        <f>TechData_R0!I206</f>
        <v>1.0049999999999999</v>
      </c>
      <c r="I95" s="241">
        <f t="shared" si="68"/>
        <v>1.0049999999999999</v>
      </c>
      <c r="J95" s="241">
        <f t="shared" si="69"/>
        <v>1.0049999999999999</v>
      </c>
      <c r="K95" s="241">
        <f t="shared" si="70"/>
        <v>1.0049999999999999</v>
      </c>
      <c r="L95" s="241">
        <f t="shared" si="71"/>
        <v>1.0049999999999999</v>
      </c>
      <c r="M95" s="241">
        <f t="shared" si="72"/>
        <v>1.0049999999999999</v>
      </c>
      <c r="N95" s="241">
        <f t="shared" si="73"/>
        <v>1.0049999999999999</v>
      </c>
      <c r="O95" s="241">
        <f t="shared" si="74"/>
        <v>1.0049999999999999</v>
      </c>
      <c r="P95" s="241">
        <f t="shared" si="75"/>
        <v>1.0049999999999999</v>
      </c>
      <c r="Q95" s="241">
        <f t="shared" si="76"/>
        <v>1.0049999999999999</v>
      </c>
      <c r="R95" s="240">
        <f>IF(TechData_R0!G206="",1,TechData_R0!G206)</f>
        <v>1</v>
      </c>
      <c r="S95" s="240"/>
      <c r="T95" s="242">
        <v>5</v>
      </c>
      <c r="U95" s="243"/>
    </row>
    <row r="96" spans="1:21">
      <c r="A96" s="238" t="s">
        <v>1389</v>
      </c>
      <c r="B96" s="239" t="str">
        <f>TechData_R0!C207</f>
        <v>IMPDSHP15</v>
      </c>
      <c r="C96" s="239"/>
      <c r="D96" s="239"/>
      <c r="E96" s="240" t="s">
        <v>1217</v>
      </c>
      <c r="F96" s="240"/>
      <c r="G96" s="240" t="s">
        <v>1218</v>
      </c>
      <c r="H96" s="241">
        <f>TechData_R0!I207</f>
        <v>1.0049999999999999</v>
      </c>
      <c r="I96" s="241">
        <f t="shared" si="68"/>
        <v>1.0049999999999999</v>
      </c>
      <c r="J96" s="241">
        <f t="shared" si="69"/>
        <v>1.0049999999999999</v>
      </c>
      <c r="K96" s="241">
        <f t="shared" si="70"/>
        <v>1.0049999999999999</v>
      </c>
      <c r="L96" s="241">
        <f t="shared" si="71"/>
        <v>1.0049999999999999</v>
      </c>
      <c r="M96" s="241">
        <f t="shared" si="72"/>
        <v>1.0049999999999999</v>
      </c>
      <c r="N96" s="241">
        <f t="shared" si="73"/>
        <v>1.0049999999999999</v>
      </c>
      <c r="O96" s="241">
        <f t="shared" si="74"/>
        <v>1.0049999999999999</v>
      </c>
      <c r="P96" s="241">
        <f t="shared" si="75"/>
        <v>1.0049999999999999</v>
      </c>
      <c r="Q96" s="241">
        <f t="shared" si="76"/>
        <v>1.0049999999999999</v>
      </c>
      <c r="R96" s="240">
        <f>IF(TechData_R0!G207="",1,TechData_R0!G207)</f>
        <v>1</v>
      </c>
      <c r="S96" s="240"/>
      <c r="T96" s="242">
        <v>5</v>
      </c>
      <c r="U96" s="243"/>
    </row>
    <row r="97" spans="1:21">
      <c r="A97" s="238" t="s">
        <v>1390</v>
      </c>
      <c r="B97" s="239" t="str">
        <f>TechData_R0!C208</f>
        <v>IMPJTFP23</v>
      </c>
      <c r="C97" s="239"/>
      <c r="D97" s="239"/>
      <c r="E97" s="240" t="s">
        <v>1217</v>
      </c>
      <c r="F97" s="240"/>
      <c r="G97" s="240" t="s">
        <v>1218</v>
      </c>
      <c r="H97" s="241">
        <f>TechData_R0!I208</f>
        <v>1.0049999999999999</v>
      </c>
      <c r="I97" s="241">
        <f t="shared" si="68"/>
        <v>1.0049999999999999</v>
      </c>
      <c r="J97" s="241">
        <f t="shared" si="69"/>
        <v>1.0049999999999999</v>
      </c>
      <c r="K97" s="241">
        <f t="shared" si="70"/>
        <v>1.0049999999999999</v>
      </c>
      <c r="L97" s="241">
        <f t="shared" si="71"/>
        <v>1.0049999999999999</v>
      </c>
      <c r="M97" s="241">
        <f t="shared" si="72"/>
        <v>1.0049999999999999</v>
      </c>
      <c r="N97" s="241">
        <f t="shared" si="73"/>
        <v>1.0049999999999999</v>
      </c>
      <c r="O97" s="241">
        <f t="shared" si="74"/>
        <v>1.0049999999999999</v>
      </c>
      <c r="P97" s="241">
        <f t="shared" si="75"/>
        <v>1.0049999999999999</v>
      </c>
      <c r="Q97" s="241">
        <f t="shared" si="76"/>
        <v>1.0049999999999999</v>
      </c>
      <c r="R97" s="240">
        <f>IF(TechData_R0!G208="",1,TechData_R0!G208)</f>
        <v>1</v>
      </c>
      <c r="S97" s="240"/>
      <c r="T97" s="242">
        <v>5</v>
      </c>
      <c r="U97" s="243"/>
    </row>
    <row r="98" spans="1:21">
      <c r="A98" s="238" t="s">
        <v>1391</v>
      </c>
      <c r="B98" s="239" t="str">
        <f>TechData_R0!C209</f>
        <v>IMPJTFP21</v>
      </c>
      <c r="C98" s="239"/>
      <c r="D98" s="239"/>
      <c r="E98" s="240" t="s">
        <v>1217</v>
      </c>
      <c r="F98" s="240"/>
      <c r="G98" s="240" t="s">
        <v>1218</v>
      </c>
      <c r="H98" s="241">
        <f>TechData_R0!I209</f>
        <v>1.0049999999999999</v>
      </c>
      <c r="I98" s="241">
        <f t="shared" si="68"/>
        <v>1.0049999999999999</v>
      </c>
      <c r="J98" s="241">
        <f t="shared" si="69"/>
        <v>1.0049999999999999</v>
      </c>
      <c r="K98" s="241">
        <f t="shared" si="70"/>
        <v>1.0049999999999999</v>
      </c>
      <c r="L98" s="241">
        <f t="shared" si="71"/>
        <v>1.0049999999999999</v>
      </c>
      <c r="M98" s="241">
        <f t="shared" si="72"/>
        <v>1.0049999999999999</v>
      </c>
      <c r="N98" s="241">
        <f t="shared" si="73"/>
        <v>1.0049999999999999</v>
      </c>
      <c r="O98" s="241">
        <f t="shared" si="74"/>
        <v>1.0049999999999999</v>
      </c>
      <c r="P98" s="241">
        <f t="shared" si="75"/>
        <v>1.0049999999999999</v>
      </c>
      <c r="Q98" s="241">
        <f t="shared" si="76"/>
        <v>1.0049999999999999</v>
      </c>
      <c r="R98" s="240">
        <f>IF(TechData_R0!G209="",1,TechData_R0!G209)</f>
        <v>1</v>
      </c>
      <c r="S98" s="240"/>
      <c r="T98" s="242">
        <v>5</v>
      </c>
      <c r="U98" s="243"/>
    </row>
    <row r="99" spans="1:21">
      <c r="A99" s="238" t="s">
        <v>1392</v>
      </c>
      <c r="B99" s="239" t="str">
        <f>TechData_R0!C210</f>
        <v>IMPJTFP22</v>
      </c>
      <c r="C99" s="239"/>
      <c r="D99" s="239"/>
      <c r="E99" s="240" t="s">
        <v>1217</v>
      </c>
      <c r="F99" s="240"/>
      <c r="G99" s="240" t="s">
        <v>1218</v>
      </c>
      <c r="H99" s="241">
        <f>TechData_R0!I210</f>
        <v>1.0049999999999999</v>
      </c>
      <c r="I99" s="241">
        <f t="shared" si="68"/>
        <v>1.0049999999999999</v>
      </c>
      <c r="J99" s="241">
        <f t="shared" si="69"/>
        <v>1.0049999999999999</v>
      </c>
      <c r="K99" s="241">
        <f t="shared" si="70"/>
        <v>1.0049999999999999</v>
      </c>
      <c r="L99" s="241">
        <f t="shared" si="71"/>
        <v>1.0049999999999999</v>
      </c>
      <c r="M99" s="241">
        <f t="shared" si="72"/>
        <v>1.0049999999999999</v>
      </c>
      <c r="N99" s="241">
        <f t="shared" si="73"/>
        <v>1.0049999999999999</v>
      </c>
      <c r="O99" s="241">
        <f t="shared" si="74"/>
        <v>1.0049999999999999</v>
      </c>
      <c r="P99" s="241">
        <f t="shared" si="75"/>
        <v>1.0049999999999999</v>
      </c>
      <c r="Q99" s="241">
        <f t="shared" si="76"/>
        <v>1.0049999999999999</v>
      </c>
      <c r="R99" s="240">
        <f>IF(TechData_R0!G210="",1,TechData_R0!G210)</f>
        <v>1</v>
      </c>
      <c r="S99" s="240"/>
      <c r="T99" s="242">
        <v>5</v>
      </c>
      <c r="U99" s="243"/>
    </row>
    <row r="100" spans="1:21">
      <c r="A100" s="238" t="s">
        <v>1393</v>
      </c>
      <c r="B100" s="239" t="str">
        <f>TechData_R0!C211</f>
        <v>IMPJTFP24</v>
      </c>
      <c r="C100" s="239"/>
      <c r="D100" s="239"/>
      <c r="E100" s="240" t="s">
        <v>1217</v>
      </c>
      <c r="F100" s="240"/>
      <c r="G100" s="240" t="s">
        <v>1218</v>
      </c>
      <c r="H100" s="241">
        <f>TechData_R0!I211</f>
        <v>1.0049999999999999</v>
      </c>
      <c r="I100" s="241">
        <f t="shared" si="68"/>
        <v>1.0049999999999999</v>
      </c>
      <c r="J100" s="241">
        <f t="shared" si="69"/>
        <v>1.0049999999999999</v>
      </c>
      <c r="K100" s="241">
        <f t="shared" si="70"/>
        <v>1.0049999999999999</v>
      </c>
      <c r="L100" s="241">
        <f t="shared" si="71"/>
        <v>1.0049999999999999</v>
      </c>
      <c r="M100" s="241">
        <f t="shared" si="72"/>
        <v>1.0049999999999999</v>
      </c>
      <c r="N100" s="241">
        <f t="shared" si="73"/>
        <v>1.0049999999999999</v>
      </c>
      <c r="O100" s="241">
        <f t="shared" si="74"/>
        <v>1.0049999999999999</v>
      </c>
      <c r="P100" s="241">
        <f t="shared" si="75"/>
        <v>1.0049999999999999</v>
      </c>
      <c r="Q100" s="241">
        <f t="shared" si="76"/>
        <v>1.0049999999999999</v>
      </c>
      <c r="R100" s="240">
        <f>IF(TechData_R0!G211="",1,TechData_R0!G211)</f>
        <v>1</v>
      </c>
      <c r="S100" s="240"/>
      <c r="T100" s="242">
        <v>5</v>
      </c>
      <c r="U100" s="243"/>
    </row>
    <row r="101" spans="1:21">
      <c r="A101" s="238" t="s">
        <v>1394</v>
      </c>
      <c r="B101" s="239" t="str">
        <f>TechData_R0!C212</f>
        <v>IMPJTFP25</v>
      </c>
      <c r="C101" s="239"/>
      <c r="D101" s="239"/>
      <c r="E101" s="240" t="s">
        <v>1217</v>
      </c>
      <c r="F101" s="240"/>
      <c r="G101" s="240" t="s">
        <v>1218</v>
      </c>
      <c r="H101" s="241">
        <f>TechData_R0!I212</f>
        <v>1.0049999999999999</v>
      </c>
      <c r="I101" s="241">
        <f t="shared" si="68"/>
        <v>1.0049999999999999</v>
      </c>
      <c r="J101" s="241">
        <f t="shared" si="69"/>
        <v>1.0049999999999999</v>
      </c>
      <c r="K101" s="241">
        <f t="shared" si="70"/>
        <v>1.0049999999999999</v>
      </c>
      <c r="L101" s="241">
        <f t="shared" si="71"/>
        <v>1.0049999999999999</v>
      </c>
      <c r="M101" s="241">
        <f t="shared" si="72"/>
        <v>1.0049999999999999</v>
      </c>
      <c r="N101" s="241">
        <f t="shared" si="73"/>
        <v>1.0049999999999999</v>
      </c>
      <c r="O101" s="241">
        <f t="shared" si="74"/>
        <v>1.0049999999999999</v>
      </c>
      <c r="P101" s="241">
        <f t="shared" si="75"/>
        <v>1.0049999999999999</v>
      </c>
      <c r="Q101" s="241">
        <f t="shared" si="76"/>
        <v>1.0049999999999999</v>
      </c>
      <c r="R101" s="240">
        <f>IF(TechData_R0!G212="",1,TechData_R0!G212)</f>
        <v>1</v>
      </c>
      <c r="S101" s="240"/>
      <c r="T101" s="242">
        <v>5</v>
      </c>
      <c r="U101" s="243"/>
    </row>
    <row r="102" spans="1:21">
      <c r="A102" s="238" t="s">
        <v>1395</v>
      </c>
      <c r="B102" s="239" t="str">
        <f>TechData_R0!C213</f>
        <v>IMPDSHP23</v>
      </c>
      <c r="C102" s="239"/>
      <c r="D102" s="239"/>
      <c r="E102" s="240" t="s">
        <v>1217</v>
      </c>
      <c r="F102" s="240"/>
      <c r="G102" s="240" t="s">
        <v>1218</v>
      </c>
      <c r="H102" s="241">
        <f>TechData_R0!I213</f>
        <v>1.0049999999999999</v>
      </c>
      <c r="I102" s="241">
        <f t="shared" si="68"/>
        <v>1.0049999999999999</v>
      </c>
      <c r="J102" s="241">
        <f t="shared" si="69"/>
        <v>1.0049999999999999</v>
      </c>
      <c r="K102" s="241">
        <f t="shared" si="70"/>
        <v>1.0049999999999999</v>
      </c>
      <c r="L102" s="241">
        <f t="shared" si="71"/>
        <v>1.0049999999999999</v>
      </c>
      <c r="M102" s="241">
        <f t="shared" si="72"/>
        <v>1.0049999999999999</v>
      </c>
      <c r="N102" s="241">
        <f t="shared" si="73"/>
        <v>1.0049999999999999</v>
      </c>
      <c r="O102" s="241">
        <f t="shared" si="74"/>
        <v>1.0049999999999999</v>
      </c>
      <c r="P102" s="241">
        <f t="shared" si="75"/>
        <v>1.0049999999999999</v>
      </c>
      <c r="Q102" s="241">
        <f t="shared" si="76"/>
        <v>1.0049999999999999</v>
      </c>
      <c r="R102" s="240">
        <f>IF(TechData_R0!G213="",1,TechData_R0!G213)</f>
        <v>1</v>
      </c>
      <c r="S102" s="240"/>
      <c r="T102" s="242">
        <v>5</v>
      </c>
      <c r="U102" s="243"/>
    </row>
    <row r="103" spans="1:21">
      <c r="A103" s="238" t="s">
        <v>1396</v>
      </c>
      <c r="B103" s="239" t="str">
        <f>TechData_R0!C214</f>
        <v>IMPDSHP21</v>
      </c>
      <c r="C103" s="239"/>
      <c r="D103" s="239"/>
      <c r="E103" s="240" t="s">
        <v>1217</v>
      </c>
      <c r="F103" s="240"/>
      <c r="G103" s="240" t="s">
        <v>1218</v>
      </c>
      <c r="H103" s="241">
        <f>TechData_R0!I214</f>
        <v>1.0049999999999999</v>
      </c>
      <c r="I103" s="241">
        <f t="shared" si="68"/>
        <v>1.0049999999999999</v>
      </c>
      <c r="J103" s="241">
        <f t="shared" si="69"/>
        <v>1.0049999999999999</v>
      </c>
      <c r="K103" s="241">
        <f t="shared" si="70"/>
        <v>1.0049999999999999</v>
      </c>
      <c r="L103" s="241">
        <f t="shared" si="71"/>
        <v>1.0049999999999999</v>
      </c>
      <c r="M103" s="241">
        <f t="shared" si="72"/>
        <v>1.0049999999999999</v>
      </c>
      <c r="N103" s="241">
        <f t="shared" si="73"/>
        <v>1.0049999999999999</v>
      </c>
      <c r="O103" s="241">
        <f t="shared" si="74"/>
        <v>1.0049999999999999</v>
      </c>
      <c r="P103" s="241">
        <f t="shared" si="75"/>
        <v>1.0049999999999999</v>
      </c>
      <c r="Q103" s="241">
        <f t="shared" si="76"/>
        <v>1.0049999999999999</v>
      </c>
      <c r="R103" s="240">
        <f>IF(TechData_R0!G214="",1,TechData_R0!G214)</f>
        <v>1</v>
      </c>
      <c r="S103" s="240"/>
      <c r="T103" s="242">
        <v>5</v>
      </c>
      <c r="U103" s="243"/>
    </row>
    <row r="104" spans="1:21">
      <c r="A104" s="238" t="s">
        <v>1397</v>
      </c>
      <c r="B104" s="239" t="str">
        <f>TechData_R0!C215</f>
        <v>IMPDSHP22</v>
      </c>
      <c r="C104" s="239"/>
      <c r="D104" s="239"/>
      <c r="E104" s="240" t="s">
        <v>1217</v>
      </c>
      <c r="F104" s="240"/>
      <c r="G104" s="240" t="s">
        <v>1218</v>
      </c>
      <c r="H104" s="241">
        <f>TechData_R0!I215</f>
        <v>1.0049999999999999</v>
      </c>
      <c r="I104" s="241">
        <f t="shared" si="68"/>
        <v>1.0049999999999999</v>
      </c>
      <c r="J104" s="241">
        <f t="shared" si="69"/>
        <v>1.0049999999999999</v>
      </c>
      <c r="K104" s="241">
        <f t="shared" si="70"/>
        <v>1.0049999999999999</v>
      </c>
      <c r="L104" s="241">
        <f t="shared" si="71"/>
        <v>1.0049999999999999</v>
      </c>
      <c r="M104" s="241">
        <f t="shared" si="72"/>
        <v>1.0049999999999999</v>
      </c>
      <c r="N104" s="241">
        <f t="shared" si="73"/>
        <v>1.0049999999999999</v>
      </c>
      <c r="O104" s="241">
        <f t="shared" si="74"/>
        <v>1.0049999999999999</v>
      </c>
      <c r="P104" s="241">
        <f t="shared" si="75"/>
        <v>1.0049999999999999</v>
      </c>
      <c r="Q104" s="241">
        <f t="shared" si="76"/>
        <v>1.0049999999999999</v>
      </c>
      <c r="R104" s="240">
        <f>IF(TechData_R0!G215="",1,TechData_R0!G215)</f>
        <v>1</v>
      </c>
      <c r="S104" s="240"/>
      <c r="T104" s="242">
        <v>5</v>
      </c>
      <c r="U104" s="243"/>
    </row>
    <row r="105" spans="1:21">
      <c r="A105" s="238" t="s">
        <v>1398</v>
      </c>
      <c r="B105" s="239" t="str">
        <f>TechData_R0!C216</f>
        <v>IMPDSHP24</v>
      </c>
      <c r="C105" s="239"/>
      <c r="D105" s="239"/>
      <c r="E105" s="240" t="s">
        <v>1217</v>
      </c>
      <c r="F105" s="240"/>
      <c r="G105" s="240" t="s">
        <v>1218</v>
      </c>
      <c r="H105" s="241">
        <f>TechData_R0!I216</f>
        <v>1.0049999999999999</v>
      </c>
      <c r="I105" s="241">
        <f t="shared" si="68"/>
        <v>1.0049999999999999</v>
      </c>
      <c r="J105" s="241">
        <f t="shared" si="69"/>
        <v>1.0049999999999999</v>
      </c>
      <c r="K105" s="241">
        <f t="shared" si="70"/>
        <v>1.0049999999999999</v>
      </c>
      <c r="L105" s="241">
        <f t="shared" si="71"/>
        <v>1.0049999999999999</v>
      </c>
      <c r="M105" s="241">
        <f t="shared" si="72"/>
        <v>1.0049999999999999</v>
      </c>
      <c r="N105" s="241">
        <f t="shared" si="73"/>
        <v>1.0049999999999999</v>
      </c>
      <c r="O105" s="241">
        <f t="shared" si="74"/>
        <v>1.0049999999999999</v>
      </c>
      <c r="P105" s="241">
        <f t="shared" si="75"/>
        <v>1.0049999999999999</v>
      </c>
      <c r="Q105" s="241">
        <f t="shared" si="76"/>
        <v>1.0049999999999999</v>
      </c>
      <c r="R105" s="240">
        <f>IF(TechData_R0!G216="",1,TechData_R0!G216)</f>
        <v>1</v>
      </c>
      <c r="S105" s="240"/>
      <c r="T105" s="242">
        <v>5</v>
      </c>
      <c r="U105" s="243"/>
    </row>
    <row r="106" spans="1:21">
      <c r="A106" s="238" t="s">
        <v>1399</v>
      </c>
      <c r="B106" s="239" t="str">
        <f>TechData_R0!C217</f>
        <v>IMPDSHP25</v>
      </c>
      <c r="C106" s="239"/>
      <c r="D106" s="239"/>
      <c r="E106" s="240" t="s">
        <v>1217</v>
      </c>
      <c r="F106" s="240"/>
      <c r="G106" s="240" t="s">
        <v>1218</v>
      </c>
      <c r="H106" s="241">
        <f>TechData_R0!I217</f>
        <v>1.0049999999999999</v>
      </c>
      <c r="I106" s="241">
        <f t="shared" ref="I106:I111" si="77">H106</f>
        <v>1.0049999999999999</v>
      </c>
      <c r="J106" s="241">
        <f t="shared" ref="J106:J111" si="78">I106</f>
        <v>1.0049999999999999</v>
      </c>
      <c r="K106" s="241">
        <f t="shared" ref="K106:K111" si="79">J106</f>
        <v>1.0049999999999999</v>
      </c>
      <c r="L106" s="241">
        <f t="shared" ref="L106:L111" si="80">K106</f>
        <v>1.0049999999999999</v>
      </c>
      <c r="M106" s="241">
        <f t="shared" ref="M106:M111" si="81">L106</f>
        <v>1.0049999999999999</v>
      </c>
      <c r="N106" s="241">
        <f t="shared" ref="N106:N111" si="82">M106</f>
        <v>1.0049999999999999</v>
      </c>
      <c r="O106" s="241">
        <f t="shared" ref="O106:O111" si="83">N106</f>
        <v>1.0049999999999999</v>
      </c>
      <c r="P106" s="241">
        <f t="shared" ref="P106:P111" si="84">O106</f>
        <v>1.0049999999999999</v>
      </c>
      <c r="Q106" s="241">
        <f t="shared" ref="Q106:Q111" si="85">P106</f>
        <v>1.0049999999999999</v>
      </c>
      <c r="R106" s="240">
        <f>IF(TechData_R0!G217="",1,TechData_R0!G217)</f>
        <v>1</v>
      </c>
      <c r="S106" s="240"/>
      <c r="T106" s="242">
        <v>5</v>
      </c>
      <c r="U106" s="243"/>
    </row>
    <row r="107" spans="1:21">
      <c r="A107" s="238" t="s">
        <v>1402</v>
      </c>
      <c r="B107" s="239" t="str">
        <f>TechData_R0!C218</f>
        <v>IMPJTFP33</v>
      </c>
      <c r="C107" s="239"/>
      <c r="D107" s="239"/>
      <c r="E107" s="240" t="s">
        <v>1217</v>
      </c>
      <c r="F107" s="240"/>
      <c r="G107" s="240" t="s">
        <v>1218</v>
      </c>
      <c r="H107" s="241">
        <f>TechData_R0!I218</f>
        <v>1.0049999999999999</v>
      </c>
      <c r="I107" s="241">
        <f t="shared" si="77"/>
        <v>1.0049999999999999</v>
      </c>
      <c r="J107" s="241">
        <f t="shared" si="78"/>
        <v>1.0049999999999999</v>
      </c>
      <c r="K107" s="241">
        <f t="shared" si="79"/>
        <v>1.0049999999999999</v>
      </c>
      <c r="L107" s="241">
        <f t="shared" si="80"/>
        <v>1.0049999999999999</v>
      </c>
      <c r="M107" s="241">
        <f t="shared" si="81"/>
        <v>1.0049999999999999</v>
      </c>
      <c r="N107" s="241">
        <f t="shared" si="82"/>
        <v>1.0049999999999999</v>
      </c>
      <c r="O107" s="241">
        <f t="shared" si="83"/>
        <v>1.0049999999999999</v>
      </c>
      <c r="P107" s="241">
        <f t="shared" si="84"/>
        <v>1.0049999999999999</v>
      </c>
      <c r="Q107" s="241">
        <f t="shared" si="85"/>
        <v>1.0049999999999999</v>
      </c>
      <c r="R107" s="240">
        <f>IF(TechData_R0!G218="",1,TechData_R0!G218)</f>
        <v>1</v>
      </c>
      <c r="S107" s="240"/>
      <c r="T107" s="242">
        <v>5</v>
      </c>
      <c r="U107" s="243"/>
    </row>
    <row r="108" spans="1:21">
      <c r="A108" s="238" t="s">
        <v>1403</v>
      </c>
      <c r="B108" s="239" t="str">
        <f>TechData_R0!C219</f>
        <v>IMPJTFP31</v>
      </c>
      <c r="C108" s="239"/>
      <c r="D108" s="239"/>
      <c r="E108" s="240" t="s">
        <v>1217</v>
      </c>
      <c r="F108" s="240"/>
      <c r="G108" s="240" t="s">
        <v>1218</v>
      </c>
      <c r="H108" s="241">
        <f>TechData_R0!I219</f>
        <v>1.0049999999999999</v>
      </c>
      <c r="I108" s="241">
        <f t="shared" si="77"/>
        <v>1.0049999999999999</v>
      </c>
      <c r="J108" s="241">
        <f t="shared" si="78"/>
        <v>1.0049999999999999</v>
      </c>
      <c r="K108" s="241">
        <f t="shared" si="79"/>
        <v>1.0049999999999999</v>
      </c>
      <c r="L108" s="241">
        <f t="shared" si="80"/>
        <v>1.0049999999999999</v>
      </c>
      <c r="M108" s="241">
        <f t="shared" si="81"/>
        <v>1.0049999999999999</v>
      </c>
      <c r="N108" s="241">
        <f t="shared" si="82"/>
        <v>1.0049999999999999</v>
      </c>
      <c r="O108" s="241">
        <f t="shared" si="83"/>
        <v>1.0049999999999999</v>
      </c>
      <c r="P108" s="241">
        <f t="shared" si="84"/>
        <v>1.0049999999999999</v>
      </c>
      <c r="Q108" s="241">
        <f t="shared" si="85"/>
        <v>1.0049999999999999</v>
      </c>
      <c r="R108" s="240">
        <f>IF(TechData_R0!G219="",1,TechData_R0!G219)</f>
        <v>1</v>
      </c>
      <c r="S108" s="240"/>
      <c r="T108" s="242">
        <v>5</v>
      </c>
      <c r="U108" s="243"/>
    </row>
    <row r="109" spans="1:21">
      <c r="A109" s="238" t="s">
        <v>1404</v>
      </c>
      <c r="B109" s="239" t="str">
        <f>TechData_R0!C220</f>
        <v>IMPJTFP32</v>
      </c>
      <c r="C109" s="239"/>
      <c r="D109" s="239"/>
      <c r="E109" s="240" t="s">
        <v>1217</v>
      </c>
      <c r="F109" s="240"/>
      <c r="G109" s="240" t="s">
        <v>1218</v>
      </c>
      <c r="H109" s="241">
        <f>TechData_R0!I220</f>
        <v>1.0049999999999999</v>
      </c>
      <c r="I109" s="241">
        <f t="shared" si="77"/>
        <v>1.0049999999999999</v>
      </c>
      <c r="J109" s="241">
        <f t="shared" si="78"/>
        <v>1.0049999999999999</v>
      </c>
      <c r="K109" s="241">
        <f t="shared" si="79"/>
        <v>1.0049999999999999</v>
      </c>
      <c r="L109" s="241">
        <f t="shared" si="80"/>
        <v>1.0049999999999999</v>
      </c>
      <c r="M109" s="241">
        <f t="shared" si="81"/>
        <v>1.0049999999999999</v>
      </c>
      <c r="N109" s="241">
        <f t="shared" si="82"/>
        <v>1.0049999999999999</v>
      </c>
      <c r="O109" s="241">
        <f t="shared" si="83"/>
        <v>1.0049999999999999</v>
      </c>
      <c r="P109" s="241">
        <f t="shared" si="84"/>
        <v>1.0049999999999999</v>
      </c>
      <c r="Q109" s="241">
        <f t="shared" si="85"/>
        <v>1.0049999999999999</v>
      </c>
      <c r="R109" s="240">
        <f>IF(TechData_R0!G220="",1,TechData_R0!G220)</f>
        <v>1</v>
      </c>
      <c r="S109" s="240"/>
      <c r="T109" s="242">
        <v>5</v>
      </c>
      <c r="U109" s="243"/>
    </row>
    <row r="110" spans="1:21">
      <c r="A110" s="238" t="s">
        <v>1405</v>
      </c>
      <c r="B110" s="239" t="str">
        <f>TechData_R0!C221</f>
        <v>IMPJTFP34</v>
      </c>
      <c r="C110" s="239"/>
      <c r="D110" s="239"/>
      <c r="E110" s="240" t="s">
        <v>1217</v>
      </c>
      <c r="F110" s="240"/>
      <c r="G110" s="240" t="s">
        <v>1218</v>
      </c>
      <c r="H110" s="241">
        <f>TechData_R0!I221</f>
        <v>1.0049999999999999</v>
      </c>
      <c r="I110" s="241">
        <f t="shared" si="77"/>
        <v>1.0049999999999999</v>
      </c>
      <c r="J110" s="241">
        <f t="shared" si="78"/>
        <v>1.0049999999999999</v>
      </c>
      <c r="K110" s="241">
        <f t="shared" si="79"/>
        <v>1.0049999999999999</v>
      </c>
      <c r="L110" s="241">
        <f t="shared" si="80"/>
        <v>1.0049999999999999</v>
      </c>
      <c r="M110" s="241">
        <f t="shared" si="81"/>
        <v>1.0049999999999999</v>
      </c>
      <c r="N110" s="241">
        <f t="shared" si="82"/>
        <v>1.0049999999999999</v>
      </c>
      <c r="O110" s="241">
        <f t="shared" si="83"/>
        <v>1.0049999999999999</v>
      </c>
      <c r="P110" s="241">
        <f t="shared" si="84"/>
        <v>1.0049999999999999</v>
      </c>
      <c r="Q110" s="241">
        <f t="shared" si="85"/>
        <v>1.0049999999999999</v>
      </c>
      <c r="R110" s="240">
        <f>IF(TechData_R0!G221="",1,TechData_R0!G221)</f>
        <v>1</v>
      </c>
      <c r="S110" s="240"/>
      <c r="T110" s="242">
        <v>5</v>
      </c>
      <c r="U110" s="243"/>
    </row>
    <row r="111" spans="1:21">
      <c r="A111" s="238" t="s">
        <v>1406</v>
      </c>
      <c r="B111" s="239" t="str">
        <f>TechData_R0!C222</f>
        <v>IMPJTFP35</v>
      </c>
      <c r="C111" s="239"/>
      <c r="D111" s="239"/>
      <c r="E111" s="240" t="s">
        <v>1217</v>
      </c>
      <c r="F111" s="240"/>
      <c r="G111" s="240" t="s">
        <v>1218</v>
      </c>
      <c r="H111" s="241">
        <f>TechData_R0!I222</f>
        <v>1.0049999999999999</v>
      </c>
      <c r="I111" s="241">
        <f t="shared" si="77"/>
        <v>1.0049999999999999</v>
      </c>
      <c r="J111" s="241">
        <f t="shared" si="78"/>
        <v>1.0049999999999999</v>
      </c>
      <c r="K111" s="241">
        <f t="shared" si="79"/>
        <v>1.0049999999999999</v>
      </c>
      <c r="L111" s="241">
        <f t="shared" si="80"/>
        <v>1.0049999999999999</v>
      </c>
      <c r="M111" s="241">
        <f t="shared" si="81"/>
        <v>1.0049999999999999</v>
      </c>
      <c r="N111" s="241">
        <f t="shared" si="82"/>
        <v>1.0049999999999999</v>
      </c>
      <c r="O111" s="241">
        <f t="shared" si="83"/>
        <v>1.0049999999999999</v>
      </c>
      <c r="P111" s="241">
        <f t="shared" si="84"/>
        <v>1.0049999999999999</v>
      </c>
      <c r="Q111" s="241">
        <f t="shared" si="85"/>
        <v>1.0049999999999999</v>
      </c>
      <c r="R111" s="240">
        <f>IF(TechData_R0!G222="",1,TechData_R0!G222)</f>
        <v>1</v>
      </c>
      <c r="S111" s="240"/>
      <c r="T111" s="242">
        <v>5</v>
      </c>
      <c r="U111" s="243"/>
    </row>
    <row r="112" spans="1:21">
      <c r="A112" s="238" t="s">
        <v>1407</v>
      </c>
      <c r="B112" s="239" t="str">
        <f>TechData_R0!C223</f>
        <v>IMPDSHP33</v>
      </c>
      <c r="C112" s="239"/>
      <c r="D112" s="239"/>
      <c r="E112" s="240" t="s">
        <v>1217</v>
      </c>
      <c r="F112" s="240"/>
      <c r="G112" s="240" t="s">
        <v>1218</v>
      </c>
      <c r="H112" s="241">
        <f>TechData_R0!I223</f>
        <v>1.0049999999999999</v>
      </c>
      <c r="I112" s="241">
        <f t="shared" ref="I112:I116" si="86">H112</f>
        <v>1.0049999999999999</v>
      </c>
      <c r="J112" s="241">
        <f t="shared" ref="J112:J116" si="87">I112</f>
        <v>1.0049999999999999</v>
      </c>
      <c r="K112" s="241">
        <f t="shared" ref="K112:K116" si="88">J112</f>
        <v>1.0049999999999999</v>
      </c>
      <c r="L112" s="241">
        <f t="shared" ref="L112:L116" si="89">K112</f>
        <v>1.0049999999999999</v>
      </c>
      <c r="M112" s="241">
        <f t="shared" ref="M112:M116" si="90">L112</f>
        <v>1.0049999999999999</v>
      </c>
      <c r="N112" s="241">
        <f t="shared" ref="N112:N116" si="91">M112</f>
        <v>1.0049999999999999</v>
      </c>
      <c r="O112" s="241">
        <f t="shared" ref="O112:O116" si="92">N112</f>
        <v>1.0049999999999999</v>
      </c>
      <c r="P112" s="241">
        <f t="shared" ref="P112:P116" si="93">O112</f>
        <v>1.0049999999999999</v>
      </c>
      <c r="Q112" s="241">
        <f t="shared" ref="Q112:Q116" si="94">P112</f>
        <v>1.0049999999999999</v>
      </c>
      <c r="R112" s="240">
        <f>IF(TechData_R0!G223="",1,TechData_R0!G223)</f>
        <v>1</v>
      </c>
      <c r="S112" s="240"/>
      <c r="T112" s="242">
        <v>5</v>
      </c>
      <c r="U112" s="243"/>
    </row>
    <row r="113" spans="1:21">
      <c r="A113" s="238" t="s">
        <v>1408</v>
      </c>
      <c r="B113" s="239" t="str">
        <f>TechData_R0!C224</f>
        <v>IMPDSHP31</v>
      </c>
      <c r="C113" s="239"/>
      <c r="D113" s="239"/>
      <c r="E113" s="240" t="s">
        <v>1217</v>
      </c>
      <c r="F113" s="240"/>
      <c r="G113" s="240" t="s">
        <v>1218</v>
      </c>
      <c r="H113" s="241">
        <f>TechData_R0!I224</f>
        <v>1.0049999999999999</v>
      </c>
      <c r="I113" s="241">
        <f t="shared" si="86"/>
        <v>1.0049999999999999</v>
      </c>
      <c r="J113" s="241">
        <f t="shared" si="87"/>
        <v>1.0049999999999999</v>
      </c>
      <c r="K113" s="241">
        <f t="shared" si="88"/>
        <v>1.0049999999999999</v>
      </c>
      <c r="L113" s="241">
        <f t="shared" si="89"/>
        <v>1.0049999999999999</v>
      </c>
      <c r="M113" s="241">
        <f t="shared" si="90"/>
        <v>1.0049999999999999</v>
      </c>
      <c r="N113" s="241">
        <f t="shared" si="91"/>
        <v>1.0049999999999999</v>
      </c>
      <c r="O113" s="241">
        <f t="shared" si="92"/>
        <v>1.0049999999999999</v>
      </c>
      <c r="P113" s="241">
        <f t="shared" si="93"/>
        <v>1.0049999999999999</v>
      </c>
      <c r="Q113" s="241">
        <f t="shared" si="94"/>
        <v>1.0049999999999999</v>
      </c>
      <c r="R113" s="240">
        <f>IF(TechData_R0!G224="",1,TechData_R0!G224)</f>
        <v>1</v>
      </c>
      <c r="S113" s="240"/>
      <c r="T113" s="242">
        <v>5</v>
      </c>
      <c r="U113" s="243"/>
    </row>
    <row r="114" spans="1:21">
      <c r="A114" s="238" t="s">
        <v>1409</v>
      </c>
      <c r="B114" s="239" t="str">
        <f>TechData_R0!C225</f>
        <v>IMPDSHP32</v>
      </c>
      <c r="C114" s="239"/>
      <c r="D114" s="239"/>
      <c r="E114" s="240" t="s">
        <v>1217</v>
      </c>
      <c r="F114" s="240"/>
      <c r="G114" s="240" t="s">
        <v>1218</v>
      </c>
      <c r="H114" s="241">
        <f>TechData_R0!I225</f>
        <v>1.0049999999999999</v>
      </c>
      <c r="I114" s="241">
        <f t="shared" si="86"/>
        <v>1.0049999999999999</v>
      </c>
      <c r="J114" s="241">
        <f t="shared" si="87"/>
        <v>1.0049999999999999</v>
      </c>
      <c r="K114" s="241">
        <f t="shared" si="88"/>
        <v>1.0049999999999999</v>
      </c>
      <c r="L114" s="241">
        <f t="shared" si="89"/>
        <v>1.0049999999999999</v>
      </c>
      <c r="M114" s="241">
        <f t="shared" si="90"/>
        <v>1.0049999999999999</v>
      </c>
      <c r="N114" s="241">
        <f t="shared" si="91"/>
        <v>1.0049999999999999</v>
      </c>
      <c r="O114" s="241">
        <f t="shared" si="92"/>
        <v>1.0049999999999999</v>
      </c>
      <c r="P114" s="241">
        <f t="shared" si="93"/>
        <v>1.0049999999999999</v>
      </c>
      <c r="Q114" s="241">
        <f t="shared" si="94"/>
        <v>1.0049999999999999</v>
      </c>
      <c r="R114" s="240">
        <f>IF(TechData_R0!G225="",1,TechData_R0!G225)</f>
        <v>1</v>
      </c>
      <c r="S114" s="240"/>
      <c r="T114" s="242">
        <v>5</v>
      </c>
      <c r="U114" s="243"/>
    </row>
    <row r="115" spans="1:21">
      <c r="A115" s="238" t="s">
        <v>1410</v>
      </c>
      <c r="B115" s="239" t="str">
        <f>TechData_R0!C226</f>
        <v>IMPDSHP34</v>
      </c>
      <c r="C115" s="239"/>
      <c r="D115" s="239"/>
      <c r="E115" s="240" t="s">
        <v>1217</v>
      </c>
      <c r="F115" s="240"/>
      <c r="G115" s="240" t="s">
        <v>1218</v>
      </c>
      <c r="H115" s="241">
        <f>TechData_R0!I226</f>
        <v>1.0049999999999999</v>
      </c>
      <c r="I115" s="241">
        <f t="shared" si="86"/>
        <v>1.0049999999999999</v>
      </c>
      <c r="J115" s="241">
        <f t="shared" si="87"/>
        <v>1.0049999999999999</v>
      </c>
      <c r="K115" s="241">
        <f t="shared" si="88"/>
        <v>1.0049999999999999</v>
      </c>
      <c r="L115" s="241">
        <f t="shared" si="89"/>
        <v>1.0049999999999999</v>
      </c>
      <c r="M115" s="241">
        <f t="shared" si="90"/>
        <v>1.0049999999999999</v>
      </c>
      <c r="N115" s="241">
        <f t="shared" si="91"/>
        <v>1.0049999999999999</v>
      </c>
      <c r="O115" s="241">
        <f t="shared" si="92"/>
        <v>1.0049999999999999</v>
      </c>
      <c r="P115" s="241">
        <f t="shared" si="93"/>
        <v>1.0049999999999999</v>
      </c>
      <c r="Q115" s="241">
        <f t="shared" si="94"/>
        <v>1.0049999999999999</v>
      </c>
      <c r="R115" s="240">
        <f>IF(TechData_R0!G226="",1,TechData_R0!G226)</f>
        <v>1</v>
      </c>
      <c r="S115" s="240"/>
      <c r="T115" s="242">
        <v>5</v>
      </c>
      <c r="U115" s="243"/>
    </row>
    <row r="116" spans="1:21">
      <c r="A116" s="238" t="s">
        <v>1411</v>
      </c>
      <c r="B116" s="239" t="str">
        <f>TechData_R0!C227</f>
        <v>IMPDSHP35</v>
      </c>
      <c r="C116" s="239"/>
      <c r="D116" s="239"/>
      <c r="E116" s="240" t="s">
        <v>1217</v>
      </c>
      <c r="F116" s="240"/>
      <c r="G116" s="240" t="s">
        <v>1218</v>
      </c>
      <c r="H116" s="241">
        <f>TechData_R0!I227</f>
        <v>1.0049999999999999</v>
      </c>
      <c r="I116" s="241">
        <f t="shared" si="86"/>
        <v>1.0049999999999999</v>
      </c>
      <c r="J116" s="241">
        <f t="shared" si="87"/>
        <v>1.0049999999999999</v>
      </c>
      <c r="K116" s="241">
        <f t="shared" si="88"/>
        <v>1.0049999999999999</v>
      </c>
      <c r="L116" s="241">
        <f t="shared" si="89"/>
        <v>1.0049999999999999</v>
      </c>
      <c r="M116" s="241">
        <f t="shared" si="90"/>
        <v>1.0049999999999999</v>
      </c>
      <c r="N116" s="241">
        <f t="shared" si="91"/>
        <v>1.0049999999999999</v>
      </c>
      <c r="O116" s="241">
        <f t="shared" si="92"/>
        <v>1.0049999999999999</v>
      </c>
      <c r="P116" s="241">
        <f t="shared" si="93"/>
        <v>1.0049999999999999</v>
      </c>
      <c r="Q116" s="241">
        <f t="shared" si="94"/>
        <v>1.0049999999999999</v>
      </c>
      <c r="R116" s="240">
        <f>IF(TechData_R0!G227="",1,TechData_R0!G227)</f>
        <v>1</v>
      </c>
      <c r="S116" s="240"/>
      <c r="T116" s="242">
        <v>5</v>
      </c>
      <c r="U116" s="243"/>
    </row>
    <row r="117" spans="1:21">
      <c r="A117" s="238"/>
      <c r="B117" s="239"/>
      <c r="C117" s="239"/>
      <c r="D117" s="239"/>
      <c r="E117" s="240"/>
      <c r="F117" s="240"/>
      <c r="G117" s="240"/>
      <c r="H117" s="241"/>
      <c r="I117" s="241"/>
      <c r="J117" s="241"/>
      <c r="K117" s="241"/>
      <c r="L117" s="241"/>
      <c r="M117" s="241"/>
      <c r="N117" s="241"/>
      <c r="O117" s="241"/>
      <c r="P117" s="241"/>
      <c r="Q117" s="241"/>
      <c r="R117" s="240"/>
      <c r="S117" s="240"/>
      <c r="T117" s="242"/>
      <c r="U117" s="243"/>
    </row>
    <row r="118" spans="1:21">
      <c r="A118" s="238"/>
      <c r="B118" s="239"/>
      <c r="C118" s="239"/>
      <c r="D118" s="239"/>
      <c r="E118" s="240"/>
      <c r="F118" s="240"/>
      <c r="G118" s="240"/>
      <c r="H118" s="241"/>
      <c r="I118" s="241"/>
      <c r="J118" s="241"/>
      <c r="K118" s="241"/>
      <c r="L118" s="241"/>
      <c r="M118" s="241"/>
      <c r="N118" s="241"/>
      <c r="O118" s="241"/>
      <c r="P118" s="241"/>
      <c r="Q118" s="241"/>
      <c r="R118" s="240"/>
      <c r="S118" s="240"/>
      <c r="T118" s="242"/>
      <c r="U118" s="243"/>
    </row>
    <row r="119" spans="1:21">
      <c r="A119" s="238"/>
      <c r="B119" s="239"/>
      <c r="C119" s="239"/>
      <c r="D119" s="239"/>
      <c r="E119" s="240"/>
      <c r="F119" s="240"/>
      <c r="G119" s="240"/>
      <c r="H119" s="241"/>
      <c r="I119" s="241"/>
      <c r="J119" s="241"/>
      <c r="K119" s="241"/>
      <c r="L119" s="241"/>
      <c r="M119" s="241"/>
      <c r="N119" s="241"/>
      <c r="O119" s="241"/>
      <c r="P119" s="241"/>
      <c r="Q119" s="241"/>
      <c r="R119" s="240"/>
      <c r="S119" s="240"/>
      <c r="T119" s="242"/>
      <c r="U119" s="243"/>
    </row>
    <row r="120" spans="1:21">
      <c r="A120" s="238"/>
      <c r="B120" s="239"/>
      <c r="C120" s="239"/>
      <c r="D120" s="239"/>
      <c r="E120" s="240"/>
      <c r="F120" s="240"/>
      <c r="G120" s="240"/>
      <c r="H120" s="241"/>
      <c r="I120" s="241"/>
      <c r="J120" s="241"/>
      <c r="K120" s="241"/>
      <c r="L120" s="241"/>
      <c r="M120" s="241"/>
      <c r="N120" s="241"/>
      <c r="O120" s="241"/>
      <c r="P120" s="241"/>
      <c r="Q120" s="241"/>
      <c r="R120" s="240"/>
      <c r="S120" s="240"/>
      <c r="T120" s="242"/>
      <c r="U120" s="243"/>
    </row>
    <row r="126" spans="1:21" s="233" customFormat="1">
      <c r="A126" s="232" t="s">
        <v>1219</v>
      </c>
    </row>
    <row r="127" spans="1:21">
      <c r="A127" s="234" t="s">
        <v>1221</v>
      </c>
    </row>
    <row r="128" spans="1:21">
      <c r="A128" s="234" t="s">
        <v>1200</v>
      </c>
    </row>
    <row r="129" spans="1:21">
      <c r="G129" s="234" t="s">
        <v>1201</v>
      </c>
    </row>
    <row r="130" spans="1:21" ht="13.5" thickBot="1">
      <c r="A130" s="235" t="s">
        <v>1187</v>
      </c>
      <c r="B130" s="236" t="s">
        <v>1188</v>
      </c>
      <c r="C130" s="236" t="s">
        <v>1189</v>
      </c>
      <c r="D130" s="236" t="s">
        <v>1202</v>
      </c>
      <c r="E130" s="235" t="s">
        <v>1203</v>
      </c>
      <c r="F130" s="235" t="s">
        <v>429</v>
      </c>
      <c r="G130" s="235" t="s">
        <v>1113</v>
      </c>
      <c r="H130" s="235" t="s">
        <v>1204</v>
      </c>
      <c r="I130" s="235" t="s">
        <v>1205</v>
      </c>
      <c r="J130" s="235" t="s">
        <v>1206</v>
      </c>
      <c r="K130" s="235" t="s">
        <v>1207</v>
      </c>
      <c r="L130" s="235" t="s">
        <v>1208</v>
      </c>
      <c r="M130" s="235" t="s">
        <v>1209</v>
      </c>
      <c r="N130" s="235" t="s">
        <v>1210</v>
      </c>
      <c r="O130" s="235" t="s">
        <v>1211</v>
      </c>
      <c r="P130" s="235" t="s">
        <v>1212</v>
      </c>
      <c r="Q130" s="235" t="s">
        <v>1213</v>
      </c>
      <c r="R130" s="235" t="s">
        <v>1214</v>
      </c>
      <c r="S130" s="235" t="s">
        <v>1215</v>
      </c>
      <c r="T130" s="237" t="s">
        <v>1216</v>
      </c>
      <c r="U130" s="235" t="s">
        <v>1191</v>
      </c>
    </row>
    <row r="131" spans="1:21">
      <c r="A131" s="238" t="s">
        <v>1223</v>
      </c>
      <c r="B131" s="239" t="str">
        <f>TechData_R0!C9</f>
        <v>MINOILD1</v>
      </c>
      <c r="C131" s="239"/>
      <c r="D131" s="239"/>
      <c r="E131" s="240" t="s">
        <v>1217</v>
      </c>
      <c r="F131" s="240"/>
      <c r="G131" s="240" t="s">
        <v>1220</v>
      </c>
      <c r="H131" s="241">
        <f>1-TechData_R0!K9+1</f>
        <v>0.99</v>
      </c>
      <c r="I131" s="241">
        <f>H131</f>
        <v>0.99</v>
      </c>
      <c r="J131" s="241">
        <f t="shared" ref="J131:Q131" si="95">I131</f>
        <v>0.99</v>
      </c>
      <c r="K131" s="241">
        <f t="shared" si="95"/>
        <v>0.99</v>
      </c>
      <c r="L131" s="241">
        <f t="shared" si="95"/>
        <v>0.99</v>
      </c>
      <c r="M131" s="241">
        <f t="shared" si="95"/>
        <v>0.99</v>
      </c>
      <c r="N131" s="241">
        <f t="shared" si="95"/>
        <v>0.99</v>
      </c>
      <c r="O131" s="241">
        <f t="shared" si="95"/>
        <v>0.99</v>
      </c>
      <c r="P131" s="241">
        <f t="shared" si="95"/>
        <v>0.99</v>
      </c>
      <c r="Q131" s="241">
        <f t="shared" si="95"/>
        <v>0.99</v>
      </c>
      <c r="R131" s="240">
        <v>1</v>
      </c>
      <c r="S131" s="240"/>
      <c r="T131" s="242">
        <v>5</v>
      </c>
      <c r="U131" s="243"/>
    </row>
    <row r="132" spans="1:21">
      <c r="A132" s="238" t="s">
        <v>1302</v>
      </c>
      <c r="B132" s="239" t="str">
        <f>TechData_R0!C10</f>
        <v>MINOILD2</v>
      </c>
      <c r="C132" s="239"/>
      <c r="D132" s="239"/>
      <c r="E132" s="240" t="s">
        <v>1217</v>
      </c>
      <c r="F132" s="240"/>
      <c r="G132" s="240" t="s">
        <v>1220</v>
      </c>
      <c r="H132" s="241">
        <f>1-TechData_R0!K10+1</f>
        <v>0.99</v>
      </c>
      <c r="I132" s="241">
        <f t="shared" ref="I132:I193" si="96">H132</f>
        <v>0.99</v>
      </c>
      <c r="J132" s="241">
        <f t="shared" ref="J132:J136" si="97">I132</f>
        <v>0.99</v>
      </c>
      <c r="K132" s="241">
        <f t="shared" ref="K132:K136" si="98">J132</f>
        <v>0.99</v>
      </c>
      <c r="L132" s="241">
        <f t="shared" ref="L132:L136" si="99">K132</f>
        <v>0.99</v>
      </c>
      <c r="M132" s="241">
        <f t="shared" ref="M132:M136" si="100">L132</f>
        <v>0.99</v>
      </c>
      <c r="N132" s="241">
        <f t="shared" ref="N132:N136" si="101">M132</f>
        <v>0.99</v>
      </c>
      <c r="O132" s="241">
        <f t="shared" ref="O132:O136" si="102">N132</f>
        <v>0.99</v>
      </c>
      <c r="P132" s="241">
        <f t="shared" ref="P132:P136" si="103">O132</f>
        <v>0.99</v>
      </c>
      <c r="Q132" s="241">
        <f t="shared" ref="Q132:Q136" si="104">P132</f>
        <v>0.99</v>
      </c>
      <c r="R132" s="240">
        <v>1</v>
      </c>
      <c r="S132" s="240"/>
      <c r="T132" s="242">
        <v>5</v>
      </c>
      <c r="U132" s="243"/>
    </row>
    <row r="133" spans="1:21">
      <c r="A133" s="238" t="s">
        <v>1303</v>
      </c>
      <c r="B133" s="239" t="str">
        <f>TechData_R0!C11</f>
        <v>MINOILD3</v>
      </c>
      <c r="C133" s="239"/>
      <c r="D133" s="239"/>
      <c r="E133" s="240" t="s">
        <v>1217</v>
      </c>
      <c r="F133" s="240"/>
      <c r="G133" s="240" t="s">
        <v>1220</v>
      </c>
      <c r="H133" s="241">
        <f>1-TechData_R0!K11+1</f>
        <v>0.99</v>
      </c>
      <c r="I133" s="241">
        <f t="shared" si="96"/>
        <v>0.99</v>
      </c>
      <c r="J133" s="241">
        <f t="shared" si="97"/>
        <v>0.99</v>
      </c>
      <c r="K133" s="241">
        <f t="shared" si="98"/>
        <v>0.99</v>
      </c>
      <c r="L133" s="241">
        <f t="shared" si="99"/>
        <v>0.99</v>
      </c>
      <c r="M133" s="241">
        <f t="shared" si="100"/>
        <v>0.99</v>
      </c>
      <c r="N133" s="241">
        <f t="shared" si="101"/>
        <v>0.99</v>
      </c>
      <c r="O133" s="241">
        <f t="shared" si="102"/>
        <v>0.99</v>
      </c>
      <c r="P133" s="241">
        <f t="shared" si="103"/>
        <v>0.99</v>
      </c>
      <c r="Q133" s="241">
        <f t="shared" si="104"/>
        <v>0.99</v>
      </c>
      <c r="R133" s="240">
        <v>1</v>
      </c>
      <c r="S133" s="240"/>
      <c r="T133" s="242">
        <v>5</v>
      </c>
      <c r="U133" s="243"/>
    </row>
    <row r="134" spans="1:21">
      <c r="A134" s="238" t="s">
        <v>1304</v>
      </c>
      <c r="B134" s="239" t="str">
        <f>TechData_R0!C12</f>
        <v>MINOILD4</v>
      </c>
      <c r="C134" s="239"/>
      <c r="D134" s="239"/>
      <c r="E134" s="240" t="s">
        <v>1217</v>
      </c>
      <c r="F134" s="240"/>
      <c r="G134" s="240" t="s">
        <v>1220</v>
      </c>
      <c r="H134" s="241">
        <f>1-TechData_R0!K12+1</f>
        <v>0.99</v>
      </c>
      <c r="I134" s="241">
        <f t="shared" si="96"/>
        <v>0.99</v>
      </c>
      <c r="J134" s="241">
        <f t="shared" si="97"/>
        <v>0.99</v>
      </c>
      <c r="K134" s="241">
        <f t="shared" si="98"/>
        <v>0.99</v>
      </c>
      <c r="L134" s="241">
        <f t="shared" si="99"/>
        <v>0.99</v>
      </c>
      <c r="M134" s="241">
        <f t="shared" si="100"/>
        <v>0.99</v>
      </c>
      <c r="N134" s="241">
        <f t="shared" si="101"/>
        <v>0.99</v>
      </c>
      <c r="O134" s="241">
        <f t="shared" si="102"/>
        <v>0.99</v>
      </c>
      <c r="P134" s="241">
        <f t="shared" si="103"/>
        <v>0.99</v>
      </c>
      <c r="Q134" s="241">
        <f t="shared" si="104"/>
        <v>0.99</v>
      </c>
      <c r="R134" s="240">
        <v>1</v>
      </c>
      <c r="S134" s="240"/>
      <c r="T134" s="242">
        <v>5</v>
      </c>
      <c r="U134" s="243"/>
    </row>
    <row r="135" spans="1:21">
      <c r="A135" s="238" t="s">
        <v>1305</v>
      </c>
      <c r="B135" s="239" t="str">
        <f>TechData_R0!C13</f>
        <v>MINOILD5</v>
      </c>
      <c r="C135" s="239"/>
      <c r="D135" s="239"/>
      <c r="E135" s="240" t="s">
        <v>1217</v>
      </c>
      <c r="F135" s="240"/>
      <c r="G135" s="240" t="s">
        <v>1220</v>
      </c>
      <c r="H135" s="241">
        <f>1-TechData_R0!K13+1</f>
        <v>0.99</v>
      </c>
      <c r="I135" s="241">
        <f t="shared" si="96"/>
        <v>0.99</v>
      </c>
      <c r="J135" s="241">
        <f t="shared" si="97"/>
        <v>0.99</v>
      </c>
      <c r="K135" s="241">
        <f t="shared" si="98"/>
        <v>0.99</v>
      </c>
      <c r="L135" s="241">
        <f t="shared" si="99"/>
        <v>0.99</v>
      </c>
      <c r="M135" s="241">
        <f t="shared" si="100"/>
        <v>0.99</v>
      </c>
      <c r="N135" s="241">
        <f t="shared" si="101"/>
        <v>0.99</v>
      </c>
      <c r="O135" s="241">
        <f t="shared" si="102"/>
        <v>0.99</v>
      </c>
      <c r="P135" s="241">
        <f t="shared" si="103"/>
        <v>0.99</v>
      </c>
      <c r="Q135" s="241">
        <f t="shared" si="104"/>
        <v>0.99</v>
      </c>
      <c r="R135" s="240">
        <v>1</v>
      </c>
      <c r="S135" s="240"/>
      <c r="T135" s="242">
        <v>5</v>
      </c>
      <c r="U135" s="243"/>
    </row>
    <row r="136" spans="1:21">
      <c r="A136" s="238" t="s">
        <v>1306</v>
      </c>
      <c r="B136" s="239" t="str">
        <f>TechData_R0!C32</f>
        <v>IMPOILHH13</v>
      </c>
      <c r="C136" s="239"/>
      <c r="D136" s="239"/>
      <c r="E136" s="240" t="s">
        <v>1217</v>
      </c>
      <c r="F136" s="240"/>
      <c r="G136" s="240" t="s">
        <v>1220</v>
      </c>
      <c r="H136" s="241">
        <f>1-TechData_R0!K32+1</f>
        <v>0.99500000000000011</v>
      </c>
      <c r="I136" s="241">
        <f t="shared" si="96"/>
        <v>0.99500000000000011</v>
      </c>
      <c r="J136" s="241">
        <f t="shared" si="97"/>
        <v>0.99500000000000011</v>
      </c>
      <c r="K136" s="241">
        <f t="shared" si="98"/>
        <v>0.99500000000000011</v>
      </c>
      <c r="L136" s="241">
        <f t="shared" si="99"/>
        <v>0.99500000000000011</v>
      </c>
      <c r="M136" s="241">
        <f t="shared" si="100"/>
        <v>0.99500000000000011</v>
      </c>
      <c r="N136" s="241">
        <f t="shared" si="101"/>
        <v>0.99500000000000011</v>
      </c>
      <c r="O136" s="241">
        <f t="shared" si="102"/>
        <v>0.99500000000000011</v>
      </c>
      <c r="P136" s="241">
        <f t="shared" si="103"/>
        <v>0.99500000000000011</v>
      </c>
      <c r="Q136" s="241">
        <f t="shared" si="104"/>
        <v>0.99500000000000011</v>
      </c>
      <c r="R136" s="240">
        <v>1</v>
      </c>
      <c r="S136" s="240"/>
      <c r="T136" s="242">
        <v>5</v>
      </c>
      <c r="U136" s="243"/>
    </row>
    <row r="137" spans="1:21">
      <c r="A137" s="238" t="s">
        <v>1307</v>
      </c>
      <c r="B137" s="239" t="str">
        <f>TechData_R0!C33</f>
        <v>IMPOILHH11</v>
      </c>
      <c r="C137" s="239"/>
      <c r="D137" s="239"/>
      <c r="E137" s="240" t="s">
        <v>1217</v>
      </c>
      <c r="F137" s="240"/>
      <c r="G137" s="240" t="s">
        <v>1220</v>
      </c>
      <c r="H137" s="241">
        <f>1-TechData_R0!K33+1</f>
        <v>0.99500000000000011</v>
      </c>
      <c r="I137" s="241">
        <f t="shared" si="96"/>
        <v>0.99500000000000011</v>
      </c>
      <c r="J137" s="241">
        <f t="shared" ref="J137:J155" si="105">I137</f>
        <v>0.99500000000000011</v>
      </c>
      <c r="K137" s="241">
        <f t="shared" ref="K137:K155" si="106">J137</f>
        <v>0.99500000000000011</v>
      </c>
      <c r="L137" s="241">
        <f t="shared" ref="L137:L155" si="107">K137</f>
        <v>0.99500000000000011</v>
      </c>
      <c r="M137" s="241">
        <f t="shared" ref="M137:M155" si="108">L137</f>
        <v>0.99500000000000011</v>
      </c>
      <c r="N137" s="241">
        <f t="shared" ref="N137:N155" si="109">M137</f>
        <v>0.99500000000000011</v>
      </c>
      <c r="O137" s="241">
        <f t="shared" ref="O137:O155" si="110">N137</f>
        <v>0.99500000000000011</v>
      </c>
      <c r="P137" s="241">
        <f t="shared" ref="P137:P155" si="111">O137</f>
        <v>0.99500000000000011</v>
      </c>
      <c r="Q137" s="241">
        <f t="shared" ref="Q137:Q155" si="112">P137</f>
        <v>0.99500000000000011</v>
      </c>
      <c r="R137" s="240">
        <v>1</v>
      </c>
      <c r="S137" s="240"/>
      <c r="T137" s="242">
        <v>5</v>
      </c>
      <c r="U137" s="243"/>
    </row>
    <row r="138" spans="1:21">
      <c r="A138" s="238" t="s">
        <v>1308</v>
      </c>
      <c r="B138" s="239" t="str">
        <f>TechData_R0!C34</f>
        <v>IMPOILHH12</v>
      </c>
      <c r="C138" s="239"/>
      <c r="D138" s="239"/>
      <c r="E138" s="240" t="s">
        <v>1217</v>
      </c>
      <c r="F138" s="240"/>
      <c r="G138" s="240" t="s">
        <v>1220</v>
      </c>
      <c r="H138" s="241">
        <f>1-TechData_R0!K34+1</f>
        <v>0.99500000000000011</v>
      </c>
      <c r="I138" s="241">
        <f t="shared" si="96"/>
        <v>0.99500000000000011</v>
      </c>
      <c r="J138" s="241">
        <f t="shared" si="105"/>
        <v>0.99500000000000011</v>
      </c>
      <c r="K138" s="241">
        <f t="shared" si="106"/>
        <v>0.99500000000000011</v>
      </c>
      <c r="L138" s="241">
        <f t="shared" si="107"/>
        <v>0.99500000000000011</v>
      </c>
      <c r="M138" s="241">
        <f t="shared" si="108"/>
        <v>0.99500000000000011</v>
      </c>
      <c r="N138" s="241">
        <f t="shared" si="109"/>
        <v>0.99500000000000011</v>
      </c>
      <c r="O138" s="241">
        <f t="shared" si="110"/>
        <v>0.99500000000000011</v>
      </c>
      <c r="P138" s="241">
        <f t="shared" si="111"/>
        <v>0.99500000000000011</v>
      </c>
      <c r="Q138" s="241">
        <f t="shared" si="112"/>
        <v>0.99500000000000011</v>
      </c>
      <c r="R138" s="240">
        <v>1</v>
      </c>
      <c r="S138" s="240"/>
      <c r="T138" s="242">
        <v>5</v>
      </c>
      <c r="U138" s="243"/>
    </row>
    <row r="139" spans="1:21">
      <c r="A139" s="238" t="s">
        <v>1309</v>
      </c>
      <c r="B139" s="239" t="str">
        <f>TechData_R0!C35</f>
        <v>IMPOILHH14</v>
      </c>
      <c r="C139" s="239"/>
      <c r="D139" s="239"/>
      <c r="E139" s="240" t="s">
        <v>1217</v>
      </c>
      <c r="F139" s="240"/>
      <c r="G139" s="240" t="s">
        <v>1220</v>
      </c>
      <c r="H139" s="241">
        <f>1-TechData_R0!K35+1</f>
        <v>0.99500000000000011</v>
      </c>
      <c r="I139" s="241">
        <f t="shared" si="96"/>
        <v>0.99500000000000011</v>
      </c>
      <c r="J139" s="241">
        <f t="shared" si="105"/>
        <v>0.99500000000000011</v>
      </c>
      <c r="K139" s="241">
        <f t="shared" si="106"/>
        <v>0.99500000000000011</v>
      </c>
      <c r="L139" s="241">
        <f t="shared" si="107"/>
        <v>0.99500000000000011</v>
      </c>
      <c r="M139" s="241">
        <f t="shared" si="108"/>
        <v>0.99500000000000011</v>
      </c>
      <c r="N139" s="241">
        <f t="shared" si="109"/>
        <v>0.99500000000000011</v>
      </c>
      <c r="O139" s="241">
        <f t="shared" si="110"/>
        <v>0.99500000000000011</v>
      </c>
      <c r="P139" s="241">
        <f t="shared" si="111"/>
        <v>0.99500000000000011</v>
      </c>
      <c r="Q139" s="241">
        <f t="shared" si="112"/>
        <v>0.99500000000000011</v>
      </c>
      <c r="R139" s="240">
        <v>1</v>
      </c>
      <c r="S139" s="240"/>
      <c r="T139" s="242">
        <v>5</v>
      </c>
      <c r="U139" s="243"/>
    </row>
    <row r="140" spans="1:21">
      <c r="A140" s="238" t="s">
        <v>1310</v>
      </c>
      <c r="B140" s="239" t="str">
        <f>TechData_R0!C36</f>
        <v>IMPOILHH15</v>
      </c>
      <c r="C140" s="239"/>
      <c r="D140" s="239"/>
      <c r="E140" s="240" t="s">
        <v>1217</v>
      </c>
      <c r="F140" s="240"/>
      <c r="G140" s="240" t="s">
        <v>1220</v>
      </c>
      <c r="H140" s="241">
        <f>1-TechData_R0!K36+1</f>
        <v>0.99500000000000011</v>
      </c>
      <c r="I140" s="241">
        <f t="shared" si="96"/>
        <v>0.99500000000000011</v>
      </c>
      <c r="J140" s="241">
        <f t="shared" si="105"/>
        <v>0.99500000000000011</v>
      </c>
      <c r="K140" s="241">
        <f t="shared" si="106"/>
        <v>0.99500000000000011</v>
      </c>
      <c r="L140" s="241">
        <f t="shared" si="107"/>
        <v>0.99500000000000011</v>
      </c>
      <c r="M140" s="241">
        <f t="shared" si="108"/>
        <v>0.99500000000000011</v>
      </c>
      <c r="N140" s="241">
        <f t="shared" si="109"/>
        <v>0.99500000000000011</v>
      </c>
      <c r="O140" s="241">
        <f t="shared" si="110"/>
        <v>0.99500000000000011</v>
      </c>
      <c r="P140" s="241">
        <f t="shared" si="111"/>
        <v>0.99500000000000011</v>
      </c>
      <c r="Q140" s="241">
        <f t="shared" si="112"/>
        <v>0.99500000000000011</v>
      </c>
      <c r="R140" s="240">
        <v>1</v>
      </c>
      <c r="S140" s="240"/>
      <c r="T140" s="242">
        <v>5</v>
      </c>
      <c r="U140" s="243"/>
    </row>
    <row r="141" spans="1:21">
      <c r="A141" s="238" t="s">
        <v>1311</v>
      </c>
      <c r="B141" s="239" t="str">
        <f>TechData_R0!C37</f>
        <v>IMPOILHL13</v>
      </c>
      <c r="C141" s="239"/>
      <c r="D141" s="239"/>
      <c r="E141" s="240" t="s">
        <v>1217</v>
      </c>
      <c r="F141" s="240"/>
      <c r="G141" s="240" t="s">
        <v>1220</v>
      </c>
      <c r="H141" s="241">
        <f>1-TechData_R0!K37+1</f>
        <v>0.99500000000000011</v>
      </c>
      <c r="I141" s="241">
        <f t="shared" si="96"/>
        <v>0.99500000000000011</v>
      </c>
      <c r="J141" s="241">
        <f t="shared" si="105"/>
        <v>0.99500000000000011</v>
      </c>
      <c r="K141" s="241">
        <f t="shared" si="106"/>
        <v>0.99500000000000011</v>
      </c>
      <c r="L141" s="241">
        <f t="shared" si="107"/>
        <v>0.99500000000000011</v>
      </c>
      <c r="M141" s="241">
        <f t="shared" si="108"/>
        <v>0.99500000000000011</v>
      </c>
      <c r="N141" s="241">
        <f t="shared" si="109"/>
        <v>0.99500000000000011</v>
      </c>
      <c r="O141" s="241">
        <f t="shared" si="110"/>
        <v>0.99500000000000011</v>
      </c>
      <c r="P141" s="241">
        <f t="shared" si="111"/>
        <v>0.99500000000000011</v>
      </c>
      <c r="Q141" s="241">
        <f t="shared" si="112"/>
        <v>0.99500000000000011</v>
      </c>
      <c r="R141" s="240">
        <v>1</v>
      </c>
      <c r="S141" s="240"/>
      <c r="T141" s="242">
        <v>5</v>
      </c>
      <c r="U141" s="243"/>
    </row>
    <row r="142" spans="1:21">
      <c r="A142" s="238" t="s">
        <v>1312</v>
      </c>
      <c r="B142" s="239" t="str">
        <f>TechData_R0!C38</f>
        <v>IMPOILHL11</v>
      </c>
      <c r="C142" s="239"/>
      <c r="D142" s="239"/>
      <c r="E142" s="240" t="s">
        <v>1217</v>
      </c>
      <c r="F142" s="240"/>
      <c r="G142" s="240" t="s">
        <v>1220</v>
      </c>
      <c r="H142" s="241">
        <f>1-TechData_R0!K38+1</f>
        <v>0.99500000000000011</v>
      </c>
      <c r="I142" s="241">
        <f t="shared" si="96"/>
        <v>0.99500000000000011</v>
      </c>
      <c r="J142" s="241">
        <f t="shared" si="105"/>
        <v>0.99500000000000011</v>
      </c>
      <c r="K142" s="241">
        <f t="shared" si="106"/>
        <v>0.99500000000000011</v>
      </c>
      <c r="L142" s="241">
        <f t="shared" si="107"/>
        <v>0.99500000000000011</v>
      </c>
      <c r="M142" s="241">
        <f t="shared" si="108"/>
        <v>0.99500000000000011</v>
      </c>
      <c r="N142" s="241">
        <f t="shared" si="109"/>
        <v>0.99500000000000011</v>
      </c>
      <c r="O142" s="241">
        <f t="shared" si="110"/>
        <v>0.99500000000000011</v>
      </c>
      <c r="P142" s="241">
        <f t="shared" si="111"/>
        <v>0.99500000000000011</v>
      </c>
      <c r="Q142" s="241">
        <f t="shared" si="112"/>
        <v>0.99500000000000011</v>
      </c>
      <c r="R142" s="240">
        <v>1</v>
      </c>
      <c r="S142" s="240"/>
      <c r="T142" s="242">
        <v>5</v>
      </c>
      <c r="U142" s="243"/>
    </row>
    <row r="143" spans="1:21">
      <c r="A143" s="238" t="s">
        <v>1313</v>
      </c>
      <c r="B143" s="239" t="str">
        <f>TechData_R0!C39</f>
        <v>IMPOILHL12</v>
      </c>
      <c r="C143" s="239"/>
      <c r="D143" s="239"/>
      <c r="E143" s="240" t="s">
        <v>1217</v>
      </c>
      <c r="F143" s="240"/>
      <c r="G143" s="240" t="s">
        <v>1220</v>
      </c>
      <c r="H143" s="241">
        <f>1-TechData_R0!K39+1</f>
        <v>0.99500000000000011</v>
      </c>
      <c r="I143" s="241">
        <f t="shared" si="96"/>
        <v>0.99500000000000011</v>
      </c>
      <c r="J143" s="241">
        <f t="shared" si="105"/>
        <v>0.99500000000000011</v>
      </c>
      <c r="K143" s="241">
        <f t="shared" si="106"/>
        <v>0.99500000000000011</v>
      </c>
      <c r="L143" s="241">
        <f t="shared" si="107"/>
        <v>0.99500000000000011</v>
      </c>
      <c r="M143" s="241">
        <f t="shared" si="108"/>
        <v>0.99500000000000011</v>
      </c>
      <c r="N143" s="241">
        <f t="shared" si="109"/>
        <v>0.99500000000000011</v>
      </c>
      <c r="O143" s="241">
        <f t="shared" si="110"/>
        <v>0.99500000000000011</v>
      </c>
      <c r="P143" s="241">
        <f t="shared" si="111"/>
        <v>0.99500000000000011</v>
      </c>
      <c r="Q143" s="241">
        <f t="shared" si="112"/>
        <v>0.99500000000000011</v>
      </c>
      <c r="R143" s="240">
        <v>1</v>
      </c>
      <c r="S143" s="240"/>
      <c r="T143" s="242">
        <v>5</v>
      </c>
      <c r="U143" s="243"/>
    </row>
    <row r="144" spans="1:21">
      <c r="A144" s="238" t="s">
        <v>1314</v>
      </c>
      <c r="B144" s="239" t="str">
        <f>TechData_R0!C40</f>
        <v>IMPOILHL14</v>
      </c>
      <c r="C144" s="239"/>
      <c r="D144" s="239"/>
      <c r="E144" s="240" t="s">
        <v>1217</v>
      </c>
      <c r="F144" s="240"/>
      <c r="G144" s="240" t="s">
        <v>1220</v>
      </c>
      <c r="H144" s="241">
        <f>1-TechData_R0!K40+1</f>
        <v>0.99500000000000011</v>
      </c>
      <c r="I144" s="241">
        <f t="shared" si="96"/>
        <v>0.99500000000000011</v>
      </c>
      <c r="J144" s="241">
        <f t="shared" si="105"/>
        <v>0.99500000000000011</v>
      </c>
      <c r="K144" s="241">
        <f t="shared" si="106"/>
        <v>0.99500000000000011</v>
      </c>
      <c r="L144" s="241">
        <f t="shared" si="107"/>
        <v>0.99500000000000011</v>
      </c>
      <c r="M144" s="241">
        <f t="shared" si="108"/>
        <v>0.99500000000000011</v>
      </c>
      <c r="N144" s="241">
        <f t="shared" si="109"/>
        <v>0.99500000000000011</v>
      </c>
      <c r="O144" s="241">
        <f t="shared" si="110"/>
        <v>0.99500000000000011</v>
      </c>
      <c r="P144" s="241">
        <f t="shared" si="111"/>
        <v>0.99500000000000011</v>
      </c>
      <c r="Q144" s="241">
        <f t="shared" si="112"/>
        <v>0.99500000000000011</v>
      </c>
      <c r="R144" s="240">
        <v>1</v>
      </c>
      <c r="S144" s="240"/>
      <c r="T144" s="242">
        <v>5</v>
      </c>
      <c r="U144" s="243"/>
    </row>
    <row r="145" spans="1:21">
      <c r="A145" s="238" t="s">
        <v>1315</v>
      </c>
      <c r="B145" s="239" t="str">
        <f>TechData_R0!C41</f>
        <v>IMPOILHL15</v>
      </c>
      <c r="C145" s="239"/>
      <c r="D145" s="239"/>
      <c r="E145" s="240" t="s">
        <v>1217</v>
      </c>
      <c r="F145" s="240"/>
      <c r="G145" s="240" t="s">
        <v>1220</v>
      </c>
      <c r="H145" s="241">
        <f>1-TechData_R0!K41+1</f>
        <v>0.99500000000000011</v>
      </c>
      <c r="I145" s="241">
        <f t="shared" si="96"/>
        <v>0.99500000000000011</v>
      </c>
      <c r="J145" s="241">
        <f t="shared" si="105"/>
        <v>0.99500000000000011</v>
      </c>
      <c r="K145" s="241">
        <f t="shared" si="106"/>
        <v>0.99500000000000011</v>
      </c>
      <c r="L145" s="241">
        <f t="shared" si="107"/>
        <v>0.99500000000000011</v>
      </c>
      <c r="M145" s="241">
        <f t="shared" si="108"/>
        <v>0.99500000000000011</v>
      </c>
      <c r="N145" s="241">
        <f t="shared" si="109"/>
        <v>0.99500000000000011</v>
      </c>
      <c r="O145" s="241">
        <f t="shared" si="110"/>
        <v>0.99500000000000011</v>
      </c>
      <c r="P145" s="241">
        <f t="shared" si="111"/>
        <v>0.99500000000000011</v>
      </c>
      <c r="Q145" s="241">
        <f t="shared" si="112"/>
        <v>0.99500000000000011</v>
      </c>
      <c r="R145" s="240">
        <v>1</v>
      </c>
      <c r="S145" s="240"/>
      <c r="T145" s="242">
        <v>5</v>
      </c>
      <c r="U145" s="243"/>
    </row>
    <row r="146" spans="1:21">
      <c r="A146" s="238" t="s">
        <v>1316</v>
      </c>
      <c r="B146" s="239" t="str">
        <f>TechData_R0!C42</f>
        <v>IMPOILHV13</v>
      </c>
      <c r="C146" s="239"/>
      <c r="D146" s="239"/>
      <c r="E146" s="240" t="s">
        <v>1217</v>
      </c>
      <c r="F146" s="240"/>
      <c r="G146" s="240" t="s">
        <v>1220</v>
      </c>
      <c r="H146" s="241">
        <f>1-TechData_R0!K42+1</f>
        <v>0.99500000000000011</v>
      </c>
      <c r="I146" s="241">
        <f t="shared" si="96"/>
        <v>0.99500000000000011</v>
      </c>
      <c r="J146" s="241">
        <f t="shared" si="105"/>
        <v>0.99500000000000011</v>
      </c>
      <c r="K146" s="241">
        <f t="shared" si="106"/>
        <v>0.99500000000000011</v>
      </c>
      <c r="L146" s="241">
        <f t="shared" si="107"/>
        <v>0.99500000000000011</v>
      </c>
      <c r="M146" s="241">
        <f t="shared" si="108"/>
        <v>0.99500000000000011</v>
      </c>
      <c r="N146" s="241">
        <f t="shared" si="109"/>
        <v>0.99500000000000011</v>
      </c>
      <c r="O146" s="241">
        <f t="shared" si="110"/>
        <v>0.99500000000000011</v>
      </c>
      <c r="P146" s="241">
        <f t="shared" si="111"/>
        <v>0.99500000000000011</v>
      </c>
      <c r="Q146" s="241">
        <f t="shared" si="112"/>
        <v>0.99500000000000011</v>
      </c>
      <c r="R146" s="240">
        <v>1</v>
      </c>
      <c r="S146" s="240"/>
      <c r="T146" s="242">
        <v>5</v>
      </c>
      <c r="U146" s="243"/>
    </row>
    <row r="147" spans="1:21">
      <c r="A147" s="238" t="s">
        <v>1317</v>
      </c>
      <c r="B147" s="239" t="str">
        <f>TechData_R0!C43</f>
        <v>IMPOILHV11</v>
      </c>
      <c r="C147" s="239"/>
      <c r="D147" s="239"/>
      <c r="E147" s="240" t="s">
        <v>1217</v>
      </c>
      <c r="F147" s="240"/>
      <c r="G147" s="240" t="s">
        <v>1220</v>
      </c>
      <c r="H147" s="241">
        <f>1-TechData_R0!K43+1</f>
        <v>0.99500000000000011</v>
      </c>
      <c r="I147" s="241">
        <f t="shared" si="96"/>
        <v>0.99500000000000011</v>
      </c>
      <c r="J147" s="241">
        <f t="shared" si="105"/>
        <v>0.99500000000000011</v>
      </c>
      <c r="K147" s="241">
        <f t="shared" si="106"/>
        <v>0.99500000000000011</v>
      </c>
      <c r="L147" s="241">
        <f t="shared" si="107"/>
        <v>0.99500000000000011</v>
      </c>
      <c r="M147" s="241">
        <f t="shared" si="108"/>
        <v>0.99500000000000011</v>
      </c>
      <c r="N147" s="241">
        <f t="shared" si="109"/>
        <v>0.99500000000000011</v>
      </c>
      <c r="O147" s="241">
        <f t="shared" si="110"/>
        <v>0.99500000000000011</v>
      </c>
      <c r="P147" s="241">
        <f t="shared" si="111"/>
        <v>0.99500000000000011</v>
      </c>
      <c r="Q147" s="241">
        <f t="shared" si="112"/>
        <v>0.99500000000000011</v>
      </c>
      <c r="R147" s="240">
        <v>1</v>
      </c>
      <c r="S147" s="240"/>
      <c r="T147" s="242">
        <v>5</v>
      </c>
      <c r="U147" s="243"/>
    </row>
    <row r="148" spans="1:21">
      <c r="A148" s="238" t="s">
        <v>1318</v>
      </c>
      <c r="B148" s="239" t="str">
        <f>TechData_R0!C44</f>
        <v>IMPOILHV12</v>
      </c>
      <c r="C148" s="239"/>
      <c r="D148" s="239"/>
      <c r="E148" s="240" t="s">
        <v>1217</v>
      </c>
      <c r="F148" s="240"/>
      <c r="G148" s="240" t="s">
        <v>1220</v>
      </c>
      <c r="H148" s="241">
        <f>1-TechData_R0!K44+1</f>
        <v>0.99500000000000011</v>
      </c>
      <c r="I148" s="241">
        <f t="shared" si="96"/>
        <v>0.99500000000000011</v>
      </c>
      <c r="J148" s="241">
        <f t="shared" si="105"/>
        <v>0.99500000000000011</v>
      </c>
      <c r="K148" s="241">
        <f t="shared" si="106"/>
        <v>0.99500000000000011</v>
      </c>
      <c r="L148" s="241">
        <f t="shared" si="107"/>
        <v>0.99500000000000011</v>
      </c>
      <c r="M148" s="241">
        <f t="shared" si="108"/>
        <v>0.99500000000000011</v>
      </c>
      <c r="N148" s="241">
        <f t="shared" si="109"/>
        <v>0.99500000000000011</v>
      </c>
      <c r="O148" s="241">
        <f t="shared" si="110"/>
        <v>0.99500000000000011</v>
      </c>
      <c r="P148" s="241">
        <f t="shared" si="111"/>
        <v>0.99500000000000011</v>
      </c>
      <c r="Q148" s="241">
        <f t="shared" si="112"/>
        <v>0.99500000000000011</v>
      </c>
      <c r="R148" s="240">
        <v>1</v>
      </c>
      <c r="S148" s="240"/>
      <c r="T148" s="242">
        <v>5</v>
      </c>
      <c r="U148" s="243"/>
    </row>
    <row r="149" spans="1:21">
      <c r="A149" s="238" t="s">
        <v>1319</v>
      </c>
      <c r="B149" s="239" t="str">
        <f>TechData_R0!C45</f>
        <v>IMPOILHV14</v>
      </c>
      <c r="C149" s="239"/>
      <c r="D149" s="239"/>
      <c r="E149" s="240" t="s">
        <v>1217</v>
      </c>
      <c r="F149" s="240"/>
      <c r="G149" s="240" t="s">
        <v>1220</v>
      </c>
      <c r="H149" s="241">
        <f>1-TechData_R0!K45+1</f>
        <v>0.99500000000000011</v>
      </c>
      <c r="I149" s="241">
        <f t="shared" si="96"/>
        <v>0.99500000000000011</v>
      </c>
      <c r="J149" s="241">
        <f t="shared" si="105"/>
        <v>0.99500000000000011</v>
      </c>
      <c r="K149" s="241">
        <f t="shared" si="106"/>
        <v>0.99500000000000011</v>
      </c>
      <c r="L149" s="241">
        <f t="shared" si="107"/>
        <v>0.99500000000000011</v>
      </c>
      <c r="M149" s="241">
        <f t="shared" si="108"/>
        <v>0.99500000000000011</v>
      </c>
      <c r="N149" s="241">
        <f t="shared" si="109"/>
        <v>0.99500000000000011</v>
      </c>
      <c r="O149" s="241">
        <f t="shared" si="110"/>
        <v>0.99500000000000011</v>
      </c>
      <c r="P149" s="241">
        <f t="shared" si="111"/>
        <v>0.99500000000000011</v>
      </c>
      <c r="Q149" s="241">
        <f t="shared" si="112"/>
        <v>0.99500000000000011</v>
      </c>
      <c r="R149" s="240">
        <v>1</v>
      </c>
      <c r="S149" s="240"/>
      <c r="T149" s="242">
        <v>5</v>
      </c>
      <c r="U149" s="243"/>
    </row>
    <row r="150" spans="1:21">
      <c r="A150" s="238" t="s">
        <v>1320</v>
      </c>
      <c r="B150" s="239" t="str">
        <f>TechData_R0!C46</f>
        <v>IMPOILHV15</v>
      </c>
      <c r="C150" s="239"/>
      <c r="D150" s="239"/>
      <c r="E150" s="240" t="s">
        <v>1217</v>
      </c>
      <c r="F150" s="240"/>
      <c r="G150" s="240" t="s">
        <v>1220</v>
      </c>
      <c r="H150" s="241">
        <f>1-TechData_R0!K46+1</f>
        <v>0.99500000000000011</v>
      </c>
      <c r="I150" s="241">
        <f t="shared" si="96"/>
        <v>0.99500000000000011</v>
      </c>
      <c r="J150" s="241">
        <f t="shared" si="105"/>
        <v>0.99500000000000011</v>
      </c>
      <c r="K150" s="241">
        <f t="shared" si="106"/>
        <v>0.99500000000000011</v>
      </c>
      <c r="L150" s="241">
        <f t="shared" si="107"/>
        <v>0.99500000000000011</v>
      </c>
      <c r="M150" s="241">
        <f t="shared" si="108"/>
        <v>0.99500000000000011</v>
      </c>
      <c r="N150" s="241">
        <f t="shared" si="109"/>
        <v>0.99500000000000011</v>
      </c>
      <c r="O150" s="241">
        <f t="shared" si="110"/>
        <v>0.99500000000000011</v>
      </c>
      <c r="P150" s="241">
        <f t="shared" si="111"/>
        <v>0.99500000000000011</v>
      </c>
      <c r="Q150" s="241">
        <f t="shared" si="112"/>
        <v>0.99500000000000011</v>
      </c>
      <c r="R150" s="240">
        <v>1</v>
      </c>
      <c r="S150" s="240"/>
      <c r="T150" s="242">
        <v>5</v>
      </c>
      <c r="U150" s="243"/>
    </row>
    <row r="151" spans="1:21">
      <c r="A151" s="238" t="s">
        <v>1321</v>
      </c>
      <c r="B151" s="239" t="str">
        <f>TechData_R0!C47</f>
        <v>IMPOILLL13</v>
      </c>
      <c r="C151" s="239"/>
      <c r="D151" s="239"/>
      <c r="E151" s="240" t="s">
        <v>1217</v>
      </c>
      <c r="F151" s="240"/>
      <c r="G151" s="240" t="s">
        <v>1220</v>
      </c>
      <c r="H151" s="241">
        <f>1-TechData_R0!K47+1</f>
        <v>0.99500000000000011</v>
      </c>
      <c r="I151" s="241">
        <f t="shared" si="96"/>
        <v>0.99500000000000011</v>
      </c>
      <c r="J151" s="241">
        <f t="shared" si="105"/>
        <v>0.99500000000000011</v>
      </c>
      <c r="K151" s="241">
        <f t="shared" si="106"/>
        <v>0.99500000000000011</v>
      </c>
      <c r="L151" s="241">
        <f t="shared" si="107"/>
        <v>0.99500000000000011</v>
      </c>
      <c r="M151" s="241">
        <f t="shared" si="108"/>
        <v>0.99500000000000011</v>
      </c>
      <c r="N151" s="241">
        <f t="shared" si="109"/>
        <v>0.99500000000000011</v>
      </c>
      <c r="O151" s="241">
        <f t="shared" si="110"/>
        <v>0.99500000000000011</v>
      </c>
      <c r="P151" s="241">
        <f t="shared" si="111"/>
        <v>0.99500000000000011</v>
      </c>
      <c r="Q151" s="241">
        <f t="shared" si="112"/>
        <v>0.99500000000000011</v>
      </c>
      <c r="R151" s="240">
        <v>1</v>
      </c>
      <c r="S151" s="240"/>
      <c r="T151" s="242">
        <v>5</v>
      </c>
      <c r="U151" s="243"/>
    </row>
    <row r="152" spans="1:21">
      <c r="A152" s="238" t="s">
        <v>1322</v>
      </c>
      <c r="B152" s="239" t="str">
        <f>TechData_R0!C48</f>
        <v>IMPOILLL11</v>
      </c>
      <c r="C152" s="239"/>
      <c r="D152" s="239"/>
      <c r="E152" s="240" t="s">
        <v>1217</v>
      </c>
      <c r="F152" s="240"/>
      <c r="G152" s="240" t="s">
        <v>1220</v>
      </c>
      <c r="H152" s="241">
        <f>1-TechData_R0!K48+1</f>
        <v>0.99500000000000011</v>
      </c>
      <c r="I152" s="241">
        <f t="shared" si="96"/>
        <v>0.99500000000000011</v>
      </c>
      <c r="J152" s="241">
        <f t="shared" si="105"/>
        <v>0.99500000000000011</v>
      </c>
      <c r="K152" s="241">
        <f t="shared" si="106"/>
        <v>0.99500000000000011</v>
      </c>
      <c r="L152" s="241">
        <f t="shared" si="107"/>
        <v>0.99500000000000011</v>
      </c>
      <c r="M152" s="241">
        <f t="shared" si="108"/>
        <v>0.99500000000000011</v>
      </c>
      <c r="N152" s="241">
        <f t="shared" si="109"/>
        <v>0.99500000000000011</v>
      </c>
      <c r="O152" s="241">
        <f t="shared" si="110"/>
        <v>0.99500000000000011</v>
      </c>
      <c r="P152" s="241">
        <f t="shared" si="111"/>
        <v>0.99500000000000011</v>
      </c>
      <c r="Q152" s="241">
        <f t="shared" si="112"/>
        <v>0.99500000000000011</v>
      </c>
      <c r="R152" s="240">
        <v>1</v>
      </c>
      <c r="S152" s="240"/>
      <c r="T152" s="242">
        <v>5</v>
      </c>
      <c r="U152" s="243"/>
    </row>
    <row r="153" spans="1:21">
      <c r="A153" s="238" t="s">
        <v>1323</v>
      </c>
      <c r="B153" s="239" t="str">
        <f>TechData_R0!C49</f>
        <v>IMPOILLL12</v>
      </c>
      <c r="C153" s="239"/>
      <c r="D153" s="239"/>
      <c r="E153" s="240" t="s">
        <v>1217</v>
      </c>
      <c r="F153" s="240"/>
      <c r="G153" s="240" t="s">
        <v>1220</v>
      </c>
      <c r="H153" s="241">
        <f>1-TechData_R0!K49+1</f>
        <v>0.99500000000000011</v>
      </c>
      <c r="I153" s="241">
        <f t="shared" si="96"/>
        <v>0.99500000000000011</v>
      </c>
      <c r="J153" s="241">
        <f t="shared" si="105"/>
        <v>0.99500000000000011</v>
      </c>
      <c r="K153" s="241">
        <f t="shared" si="106"/>
        <v>0.99500000000000011</v>
      </c>
      <c r="L153" s="241">
        <f t="shared" si="107"/>
        <v>0.99500000000000011</v>
      </c>
      <c r="M153" s="241">
        <f t="shared" si="108"/>
        <v>0.99500000000000011</v>
      </c>
      <c r="N153" s="241">
        <f t="shared" si="109"/>
        <v>0.99500000000000011</v>
      </c>
      <c r="O153" s="241">
        <f t="shared" si="110"/>
        <v>0.99500000000000011</v>
      </c>
      <c r="P153" s="241">
        <f t="shared" si="111"/>
        <v>0.99500000000000011</v>
      </c>
      <c r="Q153" s="241">
        <f t="shared" si="112"/>
        <v>0.99500000000000011</v>
      </c>
      <c r="R153" s="240">
        <v>1</v>
      </c>
      <c r="S153" s="240"/>
      <c r="T153" s="242">
        <v>5</v>
      </c>
      <c r="U153" s="243"/>
    </row>
    <row r="154" spans="1:21">
      <c r="A154" s="238" t="s">
        <v>1324</v>
      </c>
      <c r="B154" s="239" t="str">
        <f>TechData_R0!C50</f>
        <v>IMPOILLL14</v>
      </c>
      <c r="C154" s="239"/>
      <c r="D154" s="239"/>
      <c r="E154" s="240" t="s">
        <v>1217</v>
      </c>
      <c r="F154" s="240"/>
      <c r="G154" s="240" t="s">
        <v>1220</v>
      </c>
      <c r="H154" s="241">
        <f>1-TechData_R0!K50+1</f>
        <v>0.99500000000000011</v>
      </c>
      <c r="I154" s="241">
        <f t="shared" si="96"/>
        <v>0.99500000000000011</v>
      </c>
      <c r="J154" s="241">
        <f t="shared" si="105"/>
        <v>0.99500000000000011</v>
      </c>
      <c r="K154" s="241">
        <f t="shared" si="106"/>
        <v>0.99500000000000011</v>
      </c>
      <c r="L154" s="241">
        <f t="shared" si="107"/>
        <v>0.99500000000000011</v>
      </c>
      <c r="M154" s="241">
        <f t="shared" si="108"/>
        <v>0.99500000000000011</v>
      </c>
      <c r="N154" s="241">
        <f t="shared" si="109"/>
        <v>0.99500000000000011</v>
      </c>
      <c r="O154" s="241">
        <f t="shared" si="110"/>
        <v>0.99500000000000011</v>
      </c>
      <c r="P154" s="241">
        <f t="shared" si="111"/>
        <v>0.99500000000000011</v>
      </c>
      <c r="Q154" s="241">
        <f t="shared" si="112"/>
        <v>0.99500000000000011</v>
      </c>
      <c r="R154" s="240">
        <v>1</v>
      </c>
      <c r="S154" s="240"/>
      <c r="T154" s="242">
        <v>5</v>
      </c>
      <c r="U154" s="243"/>
    </row>
    <row r="155" spans="1:21">
      <c r="A155" s="238" t="s">
        <v>1325</v>
      </c>
      <c r="B155" s="239" t="str">
        <f>TechData_R0!C51</f>
        <v>IMPOILLL15</v>
      </c>
      <c r="C155" s="239"/>
      <c r="D155" s="239"/>
      <c r="E155" s="240" t="s">
        <v>1217</v>
      </c>
      <c r="F155" s="240"/>
      <c r="G155" s="240" t="s">
        <v>1220</v>
      </c>
      <c r="H155" s="241">
        <f>1-TechData_R0!K51+1</f>
        <v>0.99500000000000011</v>
      </c>
      <c r="I155" s="241">
        <f t="shared" si="96"/>
        <v>0.99500000000000011</v>
      </c>
      <c r="J155" s="241">
        <f t="shared" si="105"/>
        <v>0.99500000000000011</v>
      </c>
      <c r="K155" s="241">
        <f t="shared" si="106"/>
        <v>0.99500000000000011</v>
      </c>
      <c r="L155" s="241">
        <f t="shared" si="107"/>
        <v>0.99500000000000011</v>
      </c>
      <c r="M155" s="241">
        <f t="shared" si="108"/>
        <v>0.99500000000000011</v>
      </c>
      <c r="N155" s="241">
        <f t="shared" si="109"/>
        <v>0.99500000000000011</v>
      </c>
      <c r="O155" s="241">
        <f t="shared" si="110"/>
        <v>0.99500000000000011</v>
      </c>
      <c r="P155" s="241">
        <f t="shared" si="111"/>
        <v>0.99500000000000011</v>
      </c>
      <c r="Q155" s="241">
        <f t="shared" si="112"/>
        <v>0.99500000000000011</v>
      </c>
      <c r="R155" s="240">
        <v>1</v>
      </c>
      <c r="S155" s="240"/>
      <c r="T155" s="242">
        <v>5</v>
      </c>
      <c r="U155" s="243"/>
    </row>
    <row r="156" spans="1:21">
      <c r="A156" s="238" t="s">
        <v>1326</v>
      </c>
      <c r="B156" s="239" t="str">
        <f>TechData_R0!C52</f>
        <v>IMPOILMH13</v>
      </c>
      <c r="C156" s="239"/>
      <c r="D156" s="239"/>
      <c r="E156" s="240" t="s">
        <v>1217</v>
      </c>
      <c r="F156" s="240"/>
      <c r="G156" s="240" t="s">
        <v>1220</v>
      </c>
      <c r="H156" s="241">
        <f>1-TechData_R0!K52+1</f>
        <v>0.99500000000000011</v>
      </c>
      <c r="I156" s="241">
        <f t="shared" si="96"/>
        <v>0.99500000000000011</v>
      </c>
      <c r="J156" s="241">
        <f t="shared" ref="J156:J210" si="113">I156</f>
        <v>0.99500000000000011</v>
      </c>
      <c r="K156" s="241">
        <f t="shared" ref="K156:K210" si="114">J156</f>
        <v>0.99500000000000011</v>
      </c>
      <c r="L156" s="241">
        <f t="shared" ref="L156:L210" si="115">K156</f>
        <v>0.99500000000000011</v>
      </c>
      <c r="M156" s="241">
        <f t="shared" ref="M156:M210" si="116">L156</f>
        <v>0.99500000000000011</v>
      </c>
      <c r="N156" s="241">
        <f t="shared" ref="N156:N210" si="117">M156</f>
        <v>0.99500000000000011</v>
      </c>
      <c r="O156" s="241">
        <f t="shared" ref="O156:O210" si="118">N156</f>
        <v>0.99500000000000011</v>
      </c>
      <c r="P156" s="241">
        <f t="shared" ref="P156:P210" si="119">O156</f>
        <v>0.99500000000000011</v>
      </c>
      <c r="Q156" s="241">
        <f t="shared" ref="Q156:Q210" si="120">P156</f>
        <v>0.99500000000000011</v>
      </c>
      <c r="R156" s="240">
        <v>1</v>
      </c>
      <c r="S156" s="240"/>
      <c r="T156" s="242">
        <v>5</v>
      </c>
      <c r="U156" s="243"/>
    </row>
    <row r="157" spans="1:21">
      <c r="A157" s="238" t="s">
        <v>1327</v>
      </c>
      <c r="B157" s="239" t="str">
        <f>TechData_R0!C53</f>
        <v>IMPOILMH11</v>
      </c>
      <c r="C157" s="239"/>
      <c r="D157" s="239"/>
      <c r="E157" s="240" t="s">
        <v>1217</v>
      </c>
      <c r="F157" s="240"/>
      <c r="G157" s="240" t="s">
        <v>1220</v>
      </c>
      <c r="H157" s="241">
        <f>1-TechData_R0!K53+1</f>
        <v>0.99500000000000011</v>
      </c>
      <c r="I157" s="241">
        <f t="shared" si="96"/>
        <v>0.99500000000000011</v>
      </c>
      <c r="J157" s="241">
        <f t="shared" si="113"/>
        <v>0.99500000000000011</v>
      </c>
      <c r="K157" s="241">
        <f t="shared" si="114"/>
        <v>0.99500000000000011</v>
      </c>
      <c r="L157" s="241">
        <f t="shared" si="115"/>
        <v>0.99500000000000011</v>
      </c>
      <c r="M157" s="241">
        <f t="shared" si="116"/>
        <v>0.99500000000000011</v>
      </c>
      <c r="N157" s="241">
        <f t="shared" si="117"/>
        <v>0.99500000000000011</v>
      </c>
      <c r="O157" s="241">
        <f t="shared" si="118"/>
        <v>0.99500000000000011</v>
      </c>
      <c r="P157" s="241">
        <f t="shared" si="119"/>
        <v>0.99500000000000011</v>
      </c>
      <c r="Q157" s="241">
        <f t="shared" si="120"/>
        <v>0.99500000000000011</v>
      </c>
      <c r="R157" s="240">
        <v>1</v>
      </c>
      <c r="S157" s="240"/>
      <c r="T157" s="242">
        <v>5</v>
      </c>
      <c r="U157" s="243"/>
    </row>
    <row r="158" spans="1:21">
      <c r="A158" s="238" t="s">
        <v>1328</v>
      </c>
      <c r="B158" s="239" t="str">
        <f>TechData_R0!C54</f>
        <v>IMPOILMH12</v>
      </c>
      <c r="C158" s="239"/>
      <c r="D158" s="239"/>
      <c r="E158" s="240" t="s">
        <v>1217</v>
      </c>
      <c r="F158" s="240"/>
      <c r="G158" s="240" t="s">
        <v>1220</v>
      </c>
      <c r="H158" s="241">
        <f>1-TechData_R0!K54+1</f>
        <v>0.99500000000000011</v>
      </c>
      <c r="I158" s="241">
        <f t="shared" si="96"/>
        <v>0.99500000000000011</v>
      </c>
      <c r="J158" s="241">
        <f t="shared" si="113"/>
        <v>0.99500000000000011</v>
      </c>
      <c r="K158" s="241">
        <f t="shared" si="114"/>
        <v>0.99500000000000011</v>
      </c>
      <c r="L158" s="241">
        <f t="shared" si="115"/>
        <v>0.99500000000000011</v>
      </c>
      <c r="M158" s="241">
        <f t="shared" si="116"/>
        <v>0.99500000000000011</v>
      </c>
      <c r="N158" s="241">
        <f t="shared" si="117"/>
        <v>0.99500000000000011</v>
      </c>
      <c r="O158" s="241">
        <f t="shared" si="118"/>
        <v>0.99500000000000011</v>
      </c>
      <c r="P158" s="241">
        <f t="shared" si="119"/>
        <v>0.99500000000000011</v>
      </c>
      <c r="Q158" s="241">
        <f t="shared" si="120"/>
        <v>0.99500000000000011</v>
      </c>
      <c r="R158" s="240">
        <v>1</v>
      </c>
      <c r="S158" s="240"/>
      <c r="T158" s="242">
        <v>5</v>
      </c>
      <c r="U158" s="243"/>
    </row>
    <row r="159" spans="1:21">
      <c r="A159" s="238" t="s">
        <v>1329</v>
      </c>
      <c r="B159" s="239" t="str">
        <f>TechData_R0!C55</f>
        <v>IMPOILMH14</v>
      </c>
      <c r="C159" s="239"/>
      <c r="D159" s="239"/>
      <c r="E159" s="240" t="s">
        <v>1217</v>
      </c>
      <c r="F159" s="240"/>
      <c r="G159" s="240" t="s">
        <v>1220</v>
      </c>
      <c r="H159" s="241">
        <f>1-TechData_R0!K55+1</f>
        <v>0.99500000000000011</v>
      </c>
      <c r="I159" s="241">
        <f t="shared" si="96"/>
        <v>0.99500000000000011</v>
      </c>
      <c r="J159" s="241">
        <f t="shared" si="113"/>
        <v>0.99500000000000011</v>
      </c>
      <c r="K159" s="241">
        <f t="shared" si="114"/>
        <v>0.99500000000000011</v>
      </c>
      <c r="L159" s="241">
        <f t="shared" si="115"/>
        <v>0.99500000000000011</v>
      </c>
      <c r="M159" s="241">
        <f t="shared" si="116"/>
        <v>0.99500000000000011</v>
      </c>
      <c r="N159" s="241">
        <f t="shared" si="117"/>
        <v>0.99500000000000011</v>
      </c>
      <c r="O159" s="241">
        <f t="shared" si="118"/>
        <v>0.99500000000000011</v>
      </c>
      <c r="P159" s="241">
        <f t="shared" si="119"/>
        <v>0.99500000000000011</v>
      </c>
      <c r="Q159" s="241">
        <f t="shared" si="120"/>
        <v>0.99500000000000011</v>
      </c>
      <c r="R159" s="240">
        <v>1</v>
      </c>
      <c r="S159" s="240"/>
      <c r="T159" s="242">
        <v>5</v>
      </c>
      <c r="U159" s="243"/>
    </row>
    <row r="160" spans="1:21">
      <c r="A160" s="238" t="s">
        <v>1330</v>
      </c>
      <c r="B160" s="239" t="str">
        <f>TechData_R0!C56</f>
        <v>IMPOILMH15</v>
      </c>
      <c r="C160" s="239"/>
      <c r="D160" s="239"/>
      <c r="E160" s="240" t="s">
        <v>1217</v>
      </c>
      <c r="F160" s="240"/>
      <c r="G160" s="240" t="s">
        <v>1220</v>
      </c>
      <c r="H160" s="241">
        <f>1-TechData_R0!K56+1</f>
        <v>0.99500000000000011</v>
      </c>
      <c r="I160" s="241">
        <f t="shared" si="96"/>
        <v>0.99500000000000011</v>
      </c>
      <c r="J160" s="241">
        <f t="shared" si="113"/>
        <v>0.99500000000000011</v>
      </c>
      <c r="K160" s="241">
        <f t="shared" si="114"/>
        <v>0.99500000000000011</v>
      </c>
      <c r="L160" s="241">
        <f t="shared" si="115"/>
        <v>0.99500000000000011</v>
      </c>
      <c r="M160" s="241">
        <f t="shared" si="116"/>
        <v>0.99500000000000011</v>
      </c>
      <c r="N160" s="241">
        <f t="shared" si="117"/>
        <v>0.99500000000000011</v>
      </c>
      <c r="O160" s="241">
        <f t="shared" si="118"/>
        <v>0.99500000000000011</v>
      </c>
      <c r="P160" s="241">
        <f t="shared" si="119"/>
        <v>0.99500000000000011</v>
      </c>
      <c r="Q160" s="241">
        <f t="shared" si="120"/>
        <v>0.99500000000000011</v>
      </c>
      <c r="R160" s="240">
        <v>1</v>
      </c>
      <c r="S160" s="240"/>
      <c r="T160" s="242">
        <v>5</v>
      </c>
      <c r="U160" s="243"/>
    </row>
    <row r="161" spans="1:21">
      <c r="A161" s="238" t="s">
        <v>1412</v>
      </c>
      <c r="B161" s="239" t="str">
        <f>TechData_R0!C58</f>
        <v>IMPOILHH23</v>
      </c>
      <c r="C161" s="239"/>
      <c r="D161" s="239"/>
      <c r="E161" s="240" t="s">
        <v>1217</v>
      </c>
      <c r="F161" s="240"/>
      <c r="G161" s="240" t="s">
        <v>1220</v>
      </c>
      <c r="H161" s="241">
        <f>1-TechData_R0!K58+1</f>
        <v>0.99500000000000011</v>
      </c>
      <c r="I161" s="241">
        <f t="shared" si="96"/>
        <v>0.99500000000000011</v>
      </c>
      <c r="J161" s="241">
        <f t="shared" si="113"/>
        <v>0.99500000000000011</v>
      </c>
      <c r="K161" s="241">
        <f t="shared" si="114"/>
        <v>0.99500000000000011</v>
      </c>
      <c r="L161" s="241">
        <f t="shared" si="115"/>
        <v>0.99500000000000011</v>
      </c>
      <c r="M161" s="241">
        <f t="shared" si="116"/>
        <v>0.99500000000000011</v>
      </c>
      <c r="N161" s="241">
        <f t="shared" si="117"/>
        <v>0.99500000000000011</v>
      </c>
      <c r="O161" s="241">
        <f t="shared" si="118"/>
        <v>0.99500000000000011</v>
      </c>
      <c r="P161" s="241">
        <f t="shared" si="119"/>
        <v>0.99500000000000011</v>
      </c>
      <c r="Q161" s="241">
        <f t="shared" si="120"/>
        <v>0.99500000000000011</v>
      </c>
      <c r="R161" s="240">
        <v>1</v>
      </c>
      <c r="S161" s="240"/>
      <c r="T161" s="242">
        <v>5</v>
      </c>
      <c r="U161" s="243"/>
    </row>
    <row r="162" spans="1:21">
      <c r="A162" s="238" t="s">
        <v>1331</v>
      </c>
      <c r="B162" s="239" t="str">
        <f>TechData_R0!C59</f>
        <v>IMPOILHH21</v>
      </c>
      <c r="C162" s="239"/>
      <c r="D162" s="239"/>
      <c r="E162" s="240" t="s">
        <v>1217</v>
      </c>
      <c r="F162" s="240"/>
      <c r="G162" s="240" t="s">
        <v>1220</v>
      </c>
      <c r="H162" s="241">
        <f>1-TechData_R0!K59+1</f>
        <v>0.99500000000000011</v>
      </c>
      <c r="I162" s="241">
        <f t="shared" si="96"/>
        <v>0.99500000000000011</v>
      </c>
      <c r="J162" s="241">
        <f t="shared" si="113"/>
        <v>0.99500000000000011</v>
      </c>
      <c r="K162" s="241">
        <f t="shared" si="114"/>
        <v>0.99500000000000011</v>
      </c>
      <c r="L162" s="241">
        <f t="shared" si="115"/>
        <v>0.99500000000000011</v>
      </c>
      <c r="M162" s="241">
        <f t="shared" si="116"/>
        <v>0.99500000000000011</v>
      </c>
      <c r="N162" s="241">
        <f t="shared" si="117"/>
        <v>0.99500000000000011</v>
      </c>
      <c r="O162" s="241">
        <f t="shared" si="118"/>
        <v>0.99500000000000011</v>
      </c>
      <c r="P162" s="241">
        <f t="shared" si="119"/>
        <v>0.99500000000000011</v>
      </c>
      <c r="Q162" s="241">
        <f t="shared" si="120"/>
        <v>0.99500000000000011</v>
      </c>
      <c r="R162" s="240">
        <v>1</v>
      </c>
      <c r="S162" s="240"/>
      <c r="T162" s="242">
        <v>5</v>
      </c>
      <c r="U162" s="243"/>
    </row>
    <row r="163" spans="1:21">
      <c r="A163" s="238" t="s">
        <v>1332</v>
      </c>
      <c r="B163" s="239" t="str">
        <f>TechData_R0!C60</f>
        <v>IMPOILHH22</v>
      </c>
      <c r="C163" s="239"/>
      <c r="D163" s="239"/>
      <c r="E163" s="240" t="s">
        <v>1217</v>
      </c>
      <c r="F163" s="240"/>
      <c r="G163" s="240" t="s">
        <v>1220</v>
      </c>
      <c r="H163" s="241">
        <f>1-TechData_R0!K60+1</f>
        <v>0.99500000000000011</v>
      </c>
      <c r="I163" s="241">
        <f t="shared" si="96"/>
        <v>0.99500000000000011</v>
      </c>
      <c r="J163" s="241">
        <f t="shared" si="113"/>
        <v>0.99500000000000011</v>
      </c>
      <c r="K163" s="241">
        <f t="shared" si="114"/>
        <v>0.99500000000000011</v>
      </c>
      <c r="L163" s="241">
        <f t="shared" si="115"/>
        <v>0.99500000000000011</v>
      </c>
      <c r="M163" s="241">
        <f t="shared" si="116"/>
        <v>0.99500000000000011</v>
      </c>
      <c r="N163" s="241">
        <f t="shared" si="117"/>
        <v>0.99500000000000011</v>
      </c>
      <c r="O163" s="241">
        <f t="shared" si="118"/>
        <v>0.99500000000000011</v>
      </c>
      <c r="P163" s="241">
        <f t="shared" si="119"/>
        <v>0.99500000000000011</v>
      </c>
      <c r="Q163" s="241">
        <f t="shared" si="120"/>
        <v>0.99500000000000011</v>
      </c>
      <c r="R163" s="240">
        <v>1</v>
      </c>
      <c r="S163" s="240"/>
      <c r="T163" s="242">
        <v>5</v>
      </c>
      <c r="U163" s="243"/>
    </row>
    <row r="164" spans="1:21">
      <c r="A164" s="238" t="s">
        <v>1333</v>
      </c>
      <c r="B164" s="239" t="str">
        <f>TechData_R0!C61</f>
        <v>IMPOILHH24</v>
      </c>
      <c r="C164" s="239"/>
      <c r="D164" s="239"/>
      <c r="E164" s="240" t="s">
        <v>1217</v>
      </c>
      <c r="F164" s="240"/>
      <c r="G164" s="240" t="s">
        <v>1220</v>
      </c>
      <c r="H164" s="241">
        <f>1-TechData_R0!K61+1</f>
        <v>0.99500000000000011</v>
      </c>
      <c r="I164" s="241">
        <f t="shared" si="96"/>
        <v>0.99500000000000011</v>
      </c>
      <c r="J164" s="241">
        <f t="shared" si="113"/>
        <v>0.99500000000000011</v>
      </c>
      <c r="K164" s="241">
        <f t="shared" si="114"/>
        <v>0.99500000000000011</v>
      </c>
      <c r="L164" s="241">
        <f t="shared" si="115"/>
        <v>0.99500000000000011</v>
      </c>
      <c r="M164" s="241">
        <f t="shared" si="116"/>
        <v>0.99500000000000011</v>
      </c>
      <c r="N164" s="241">
        <f t="shared" si="117"/>
        <v>0.99500000000000011</v>
      </c>
      <c r="O164" s="241">
        <f t="shared" si="118"/>
        <v>0.99500000000000011</v>
      </c>
      <c r="P164" s="241">
        <f t="shared" si="119"/>
        <v>0.99500000000000011</v>
      </c>
      <c r="Q164" s="241">
        <f t="shared" si="120"/>
        <v>0.99500000000000011</v>
      </c>
      <c r="R164" s="240">
        <v>1</v>
      </c>
      <c r="S164" s="240"/>
      <c r="T164" s="242">
        <v>5</v>
      </c>
      <c r="U164" s="243"/>
    </row>
    <row r="165" spans="1:21">
      <c r="A165" s="238" t="s">
        <v>1334</v>
      </c>
      <c r="B165" s="239" t="str">
        <f>TechData_R0!C62</f>
        <v>IMPOILHH25</v>
      </c>
      <c r="C165" s="239"/>
      <c r="D165" s="239"/>
      <c r="E165" s="240" t="s">
        <v>1217</v>
      </c>
      <c r="F165" s="240"/>
      <c r="G165" s="240" t="s">
        <v>1220</v>
      </c>
      <c r="H165" s="241">
        <f>1-TechData_R0!K62+1</f>
        <v>0.99500000000000011</v>
      </c>
      <c r="I165" s="241">
        <f t="shared" si="96"/>
        <v>0.99500000000000011</v>
      </c>
      <c r="J165" s="241">
        <f t="shared" si="113"/>
        <v>0.99500000000000011</v>
      </c>
      <c r="K165" s="241">
        <f t="shared" si="114"/>
        <v>0.99500000000000011</v>
      </c>
      <c r="L165" s="241">
        <f t="shared" si="115"/>
        <v>0.99500000000000011</v>
      </c>
      <c r="M165" s="241">
        <f t="shared" si="116"/>
        <v>0.99500000000000011</v>
      </c>
      <c r="N165" s="241">
        <f t="shared" si="117"/>
        <v>0.99500000000000011</v>
      </c>
      <c r="O165" s="241">
        <f t="shared" si="118"/>
        <v>0.99500000000000011</v>
      </c>
      <c r="P165" s="241">
        <f t="shared" si="119"/>
        <v>0.99500000000000011</v>
      </c>
      <c r="Q165" s="241">
        <f t="shared" si="120"/>
        <v>0.99500000000000011</v>
      </c>
      <c r="R165" s="240">
        <v>1</v>
      </c>
      <c r="S165" s="240"/>
      <c r="T165" s="242">
        <v>5</v>
      </c>
      <c r="U165" s="243"/>
    </row>
    <row r="166" spans="1:21">
      <c r="A166" s="238" t="s">
        <v>1335</v>
      </c>
      <c r="B166" s="239" t="str">
        <f>TechData_R0!C63</f>
        <v>IMPOILHL23</v>
      </c>
      <c r="C166" s="239"/>
      <c r="D166" s="239"/>
      <c r="E166" s="240" t="s">
        <v>1217</v>
      </c>
      <c r="F166" s="240"/>
      <c r="G166" s="240" t="s">
        <v>1220</v>
      </c>
      <c r="H166" s="241">
        <f>1-TechData_R0!K63+1</f>
        <v>0.99500000000000011</v>
      </c>
      <c r="I166" s="241">
        <f t="shared" si="96"/>
        <v>0.99500000000000011</v>
      </c>
      <c r="J166" s="241">
        <f t="shared" si="113"/>
        <v>0.99500000000000011</v>
      </c>
      <c r="K166" s="241">
        <f t="shared" si="114"/>
        <v>0.99500000000000011</v>
      </c>
      <c r="L166" s="241">
        <f t="shared" si="115"/>
        <v>0.99500000000000011</v>
      </c>
      <c r="M166" s="241">
        <f t="shared" si="116"/>
        <v>0.99500000000000011</v>
      </c>
      <c r="N166" s="241">
        <f t="shared" si="117"/>
        <v>0.99500000000000011</v>
      </c>
      <c r="O166" s="241">
        <f t="shared" si="118"/>
        <v>0.99500000000000011</v>
      </c>
      <c r="P166" s="241">
        <f t="shared" si="119"/>
        <v>0.99500000000000011</v>
      </c>
      <c r="Q166" s="241">
        <f t="shared" si="120"/>
        <v>0.99500000000000011</v>
      </c>
      <c r="R166" s="240">
        <v>1</v>
      </c>
      <c r="S166" s="240"/>
      <c r="T166" s="242">
        <v>5</v>
      </c>
      <c r="U166" s="243"/>
    </row>
    <row r="167" spans="1:21">
      <c r="A167" s="238" t="s">
        <v>1336</v>
      </c>
      <c r="B167" s="239" t="str">
        <f>TechData_R0!C64</f>
        <v>IMPOILHL21</v>
      </c>
      <c r="C167" s="239"/>
      <c r="D167" s="239"/>
      <c r="E167" s="240" t="s">
        <v>1217</v>
      </c>
      <c r="F167" s="240"/>
      <c r="G167" s="240" t="s">
        <v>1220</v>
      </c>
      <c r="H167" s="241">
        <f>1-TechData_R0!K64+1</f>
        <v>0.99500000000000011</v>
      </c>
      <c r="I167" s="241">
        <f t="shared" si="96"/>
        <v>0.99500000000000011</v>
      </c>
      <c r="J167" s="241">
        <f t="shared" si="113"/>
        <v>0.99500000000000011</v>
      </c>
      <c r="K167" s="241">
        <f t="shared" si="114"/>
        <v>0.99500000000000011</v>
      </c>
      <c r="L167" s="241">
        <f t="shared" si="115"/>
        <v>0.99500000000000011</v>
      </c>
      <c r="M167" s="241">
        <f t="shared" si="116"/>
        <v>0.99500000000000011</v>
      </c>
      <c r="N167" s="241">
        <f t="shared" si="117"/>
        <v>0.99500000000000011</v>
      </c>
      <c r="O167" s="241">
        <f t="shared" si="118"/>
        <v>0.99500000000000011</v>
      </c>
      <c r="P167" s="241">
        <f t="shared" si="119"/>
        <v>0.99500000000000011</v>
      </c>
      <c r="Q167" s="241">
        <f t="shared" si="120"/>
        <v>0.99500000000000011</v>
      </c>
      <c r="R167" s="240">
        <v>1</v>
      </c>
      <c r="S167" s="240"/>
      <c r="T167" s="242">
        <v>5</v>
      </c>
      <c r="U167" s="243"/>
    </row>
    <row r="168" spans="1:21">
      <c r="A168" s="238" t="s">
        <v>1337</v>
      </c>
      <c r="B168" s="239" t="str">
        <f>TechData_R0!C65</f>
        <v>IMPOILHL22</v>
      </c>
      <c r="C168" s="239"/>
      <c r="D168" s="239"/>
      <c r="E168" s="240" t="s">
        <v>1217</v>
      </c>
      <c r="F168" s="240"/>
      <c r="G168" s="240" t="s">
        <v>1220</v>
      </c>
      <c r="H168" s="241">
        <f>1-TechData_R0!K65+1</f>
        <v>0.99500000000000011</v>
      </c>
      <c r="I168" s="241">
        <f t="shared" si="96"/>
        <v>0.99500000000000011</v>
      </c>
      <c r="J168" s="241">
        <f t="shared" si="113"/>
        <v>0.99500000000000011</v>
      </c>
      <c r="K168" s="241">
        <f t="shared" si="114"/>
        <v>0.99500000000000011</v>
      </c>
      <c r="L168" s="241">
        <f t="shared" si="115"/>
        <v>0.99500000000000011</v>
      </c>
      <c r="M168" s="241">
        <f t="shared" si="116"/>
        <v>0.99500000000000011</v>
      </c>
      <c r="N168" s="241">
        <f t="shared" si="117"/>
        <v>0.99500000000000011</v>
      </c>
      <c r="O168" s="241">
        <f t="shared" si="118"/>
        <v>0.99500000000000011</v>
      </c>
      <c r="P168" s="241">
        <f t="shared" si="119"/>
        <v>0.99500000000000011</v>
      </c>
      <c r="Q168" s="241">
        <f t="shared" si="120"/>
        <v>0.99500000000000011</v>
      </c>
      <c r="R168" s="240">
        <v>1</v>
      </c>
      <c r="S168" s="240"/>
      <c r="T168" s="242">
        <v>5</v>
      </c>
      <c r="U168" s="243"/>
    </row>
    <row r="169" spans="1:21">
      <c r="A169" s="238" t="s">
        <v>1338</v>
      </c>
      <c r="B169" s="239" t="str">
        <f>TechData_R0!C66</f>
        <v>IMPOILHL24</v>
      </c>
      <c r="C169" s="239"/>
      <c r="D169" s="239"/>
      <c r="E169" s="240" t="s">
        <v>1217</v>
      </c>
      <c r="F169" s="240"/>
      <c r="G169" s="240" t="s">
        <v>1220</v>
      </c>
      <c r="H169" s="241">
        <f>1-TechData_R0!K66+1</f>
        <v>0.99500000000000011</v>
      </c>
      <c r="I169" s="241">
        <f t="shared" si="96"/>
        <v>0.99500000000000011</v>
      </c>
      <c r="J169" s="241">
        <f t="shared" si="113"/>
        <v>0.99500000000000011</v>
      </c>
      <c r="K169" s="241">
        <f t="shared" si="114"/>
        <v>0.99500000000000011</v>
      </c>
      <c r="L169" s="241">
        <f t="shared" si="115"/>
        <v>0.99500000000000011</v>
      </c>
      <c r="M169" s="241">
        <f t="shared" si="116"/>
        <v>0.99500000000000011</v>
      </c>
      <c r="N169" s="241">
        <f t="shared" si="117"/>
        <v>0.99500000000000011</v>
      </c>
      <c r="O169" s="241">
        <f t="shared" si="118"/>
        <v>0.99500000000000011</v>
      </c>
      <c r="P169" s="241">
        <f t="shared" si="119"/>
        <v>0.99500000000000011</v>
      </c>
      <c r="Q169" s="241">
        <f t="shared" si="120"/>
        <v>0.99500000000000011</v>
      </c>
      <c r="R169" s="240">
        <v>1</v>
      </c>
      <c r="S169" s="240"/>
      <c r="T169" s="242">
        <v>5</v>
      </c>
      <c r="U169" s="243"/>
    </row>
    <row r="170" spans="1:21">
      <c r="A170" s="238" t="s">
        <v>1339</v>
      </c>
      <c r="B170" s="239" t="str">
        <f>TechData_R0!C67</f>
        <v>IMPOILHL25</v>
      </c>
      <c r="C170" s="239"/>
      <c r="D170" s="239"/>
      <c r="E170" s="240" t="s">
        <v>1217</v>
      </c>
      <c r="F170" s="240"/>
      <c r="G170" s="240" t="s">
        <v>1220</v>
      </c>
      <c r="H170" s="241">
        <f>1-TechData_R0!K67+1</f>
        <v>0.99500000000000011</v>
      </c>
      <c r="I170" s="241">
        <f t="shared" si="96"/>
        <v>0.99500000000000011</v>
      </c>
      <c r="J170" s="241">
        <f t="shared" si="113"/>
        <v>0.99500000000000011</v>
      </c>
      <c r="K170" s="241">
        <f t="shared" si="114"/>
        <v>0.99500000000000011</v>
      </c>
      <c r="L170" s="241">
        <f t="shared" si="115"/>
        <v>0.99500000000000011</v>
      </c>
      <c r="M170" s="241">
        <f t="shared" si="116"/>
        <v>0.99500000000000011</v>
      </c>
      <c r="N170" s="241">
        <f t="shared" si="117"/>
        <v>0.99500000000000011</v>
      </c>
      <c r="O170" s="241">
        <f t="shared" si="118"/>
        <v>0.99500000000000011</v>
      </c>
      <c r="P170" s="241">
        <f t="shared" si="119"/>
        <v>0.99500000000000011</v>
      </c>
      <c r="Q170" s="241">
        <f t="shared" si="120"/>
        <v>0.99500000000000011</v>
      </c>
      <c r="R170" s="240">
        <v>1</v>
      </c>
      <c r="S170" s="240"/>
      <c r="T170" s="242">
        <v>5</v>
      </c>
      <c r="U170" s="243"/>
    </row>
    <row r="171" spans="1:21">
      <c r="A171" s="238" t="s">
        <v>1340</v>
      </c>
      <c r="B171" s="239" t="str">
        <f>TechData_R0!C68</f>
        <v>IMPOILHV23</v>
      </c>
      <c r="C171" s="239"/>
      <c r="D171" s="239"/>
      <c r="E171" s="240" t="s">
        <v>1217</v>
      </c>
      <c r="F171" s="240"/>
      <c r="G171" s="240" t="s">
        <v>1220</v>
      </c>
      <c r="H171" s="241">
        <f>1-TechData_R0!K68+1</f>
        <v>0.99500000000000011</v>
      </c>
      <c r="I171" s="241">
        <f t="shared" si="96"/>
        <v>0.99500000000000011</v>
      </c>
      <c r="J171" s="241">
        <f t="shared" si="113"/>
        <v>0.99500000000000011</v>
      </c>
      <c r="K171" s="241">
        <f t="shared" si="114"/>
        <v>0.99500000000000011</v>
      </c>
      <c r="L171" s="241">
        <f t="shared" si="115"/>
        <v>0.99500000000000011</v>
      </c>
      <c r="M171" s="241">
        <f t="shared" si="116"/>
        <v>0.99500000000000011</v>
      </c>
      <c r="N171" s="241">
        <f t="shared" si="117"/>
        <v>0.99500000000000011</v>
      </c>
      <c r="O171" s="241">
        <f t="shared" si="118"/>
        <v>0.99500000000000011</v>
      </c>
      <c r="P171" s="241">
        <f t="shared" si="119"/>
        <v>0.99500000000000011</v>
      </c>
      <c r="Q171" s="241">
        <f t="shared" si="120"/>
        <v>0.99500000000000011</v>
      </c>
      <c r="R171" s="240">
        <v>1</v>
      </c>
      <c r="S171" s="240"/>
      <c r="T171" s="242">
        <v>5</v>
      </c>
      <c r="U171" s="243"/>
    </row>
    <row r="172" spans="1:21">
      <c r="A172" s="238" t="s">
        <v>1341</v>
      </c>
      <c r="B172" s="239" t="str">
        <f>TechData_R0!C69</f>
        <v>IMPOILHV21</v>
      </c>
      <c r="C172" s="239"/>
      <c r="D172" s="239"/>
      <c r="E172" s="240" t="s">
        <v>1217</v>
      </c>
      <c r="F172" s="240"/>
      <c r="G172" s="240" t="s">
        <v>1220</v>
      </c>
      <c r="H172" s="241">
        <f>1-TechData_R0!K69+1</f>
        <v>0.99500000000000011</v>
      </c>
      <c r="I172" s="241">
        <f t="shared" si="96"/>
        <v>0.99500000000000011</v>
      </c>
      <c r="J172" s="241">
        <f t="shared" si="113"/>
        <v>0.99500000000000011</v>
      </c>
      <c r="K172" s="241">
        <f t="shared" si="114"/>
        <v>0.99500000000000011</v>
      </c>
      <c r="L172" s="241">
        <f t="shared" si="115"/>
        <v>0.99500000000000011</v>
      </c>
      <c r="M172" s="241">
        <f t="shared" si="116"/>
        <v>0.99500000000000011</v>
      </c>
      <c r="N172" s="241">
        <f t="shared" si="117"/>
        <v>0.99500000000000011</v>
      </c>
      <c r="O172" s="241">
        <f t="shared" si="118"/>
        <v>0.99500000000000011</v>
      </c>
      <c r="P172" s="241">
        <f t="shared" si="119"/>
        <v>0.99500000000000011</v>
      </c>
      <c r="Q172" s="241">
        <f t="shared" si="120"/>
        <v>0.99500000000000011</v>
      </c>
      <c r="R172" s="240">
        <v>1</v>
      </c>
      <c r="S172" s="240"/>
      <c r="T172" s="242">
        <v>5</v>
      </c>
      <c r="U172" s="243"/>
    </row>
    <row r="173" spans="1:21">
      <c r="A173" s="238" t="s">
        <v>1342</v>
      </c>
      <c r="B173" s="239" t="str">
        <f>TechData_R0!C70</f>
        <v>IMPOILHV22</v>
      </c>
      <c r="C173" s="239"/>
      <c r="D173" s="239"/>
      <c r="E173" s="240" t="s">
        <v>1217</v>
      </c>
      <c r="F173" s="240"/>
      <c r="G173" s="240" t="s">
        <v>1220</v>
      </c>
      <c r="H173" s="241">
        <f>1-TechData_R0!K70+1</f>
        <v>0.99500000000000011</v>
      </c>
      <c r="I173" s="241">
        <f t="shared" si="96"/>
        <v>0.99500000000000011</v>
      </c>
      <c r="J173" s="241">
        <f t="shared" si="113"/>
        <v>0.99500000000000011</v>
      </c>
      <c r="K173" s="241">
        <f t="shared" si="114"/>
        <v>0.99500000000000011</v>
      </c>
      <c r="L173" s="241">
        <f t="shared" si="115"/>
        <v>0.99500000000000011</v>
      </c>
      <c r="M173" s="241">
        <f t="shared" si="116"/>
        <v>0.99500000000000011</v>
      </c>
      <c r="N173" s="241">
        <f t="shared" si="117"/>
        <v>0.99500000000000011</v>
      </c>
      <c r="O173" s="241">
        <f t="shared" si="118"/>
        <v>0.99500000000000011</v>
      </c>
      <c r="P173" s="241">
        <f t="shared" si="119"/>
        <v>0.99500000000000011</v>
      </c>
      <c r="Q173" s="241">
        <f t="shared" si="120"/>
        <v>0.99500000000000011</v>
      </c>
      <c r="R173" s="240">
        <v>1</v>
      </c>
      <c r="S173" s="240"/>
      <c r="T173" s="242">
        <v>5</v>
      </c>
      <c r="U173" s="243"/>
    </row>
    <row r="174" spans="1:21">
      <c r="A174" s="238" t="s">
        <v>1343</v>
      </c>
      <c r="B174" s="239" t="str">
        <f>TechData_R0!C71</f>
        <v>IMPOILHV24</v>
      </c>
      <c r="C174" s="239"/>
      <c r="D174" s="239"/>
      <c r="E174" s="240" t="s">
        <v>1217</v>
      </c>
      <c r="F174" s="240"/>
      <c r="G174" s="240" t="s">
        <v>1220</v>
      </c>
      <c r="H174" s="241">
        <f>1-TechData_R0!K71+1</f>
        <v>0.99500000000000011</v>
      </c>
      <c r="I174" s="241">
        <f t="shared" si="96"/>
        <v>0.99500000000000011</v>
      </c>
      <c r="J174" s="241">
        <f t="shared" si="113"/>
        <v>0.99500000000000011</v>
      </c>
      <c r="K174" s="241">
        <f t="shared" si="114"/>
        <v>0.99500000000000011</v>
      </c>
      <c r="L174" s="241">
        <f t="shared" si="115"/>
        <v>0.99500000000000011</v>
      </c>
      <c r="M174" s="241">
        <f t="shared" si="116"/>
        <v>0.99500000000000011</v>
      </c>
      <c r="N174" s="241">
        <f t="shared" si="117"/>
        <v>0.99500000000000011</v>
      </c>
      <c r="O174" s="241">
        <f t="shared" si="118"/>
        <v>0.99500000000000011</v>
      </c>
      <c r="P174" s="241">
        <f t="shared" si="119"/>
        <v>0.99500000000000011</v>
      </c>
      <c r="Q174" s="241">
        <f t="shared" si="120"/>
        <v>0.99500000000000011</v>
      </c>
      <c r="R174" s="240">
        <v>1</v>
      </c>
      <c r="S174" s="240"/>
      <c r="T174" s="242">
        <v>5</v>
      </c>
      <c r="U174" s="243"/>
    </row>
    <row r="175" spans="1:21">
      <c r="A175" s="238" t="s">
        <v>1344</v>
      </c>
      <c r="B175" s="239" t="str">
        <f>TechData_R0!C72</f>
        <v>IMPOILHV25</v>
      </c>
      <c r="C175" s="239"/>
      <c r="D175" s="239"/>
      <c r="E175" s="240" t="s">
        <v>1217</v>
      </c>
      <c r="F175" s="240"/>
      <c r="G175" s="240" t="s">
        <v>1220</v>
      </c>
      <c r="H175" s="241">
        <f>1-TechData_R0!K72+1</f>
        <v>0.99500000000000011</v>
      </c>
      <c r="I175" s="241">
        <f t="shared" si="96"/>
        <v>0.99500000000000011</v>
      </c>
      <c r="J175" s="241">
        <f t="shared" si="113"/>
        <v>0.99500000000000011</v>
      </c>
      <c r="K175" s="241">
        <f t="shared" si="114"/>
        <v>0.99500000000000011</v>
      </c>
      <c r="L175" s="241">
        <f t="shared" si="115"/>
        <v>0.99500000000000011</v>
      </c>
      <c r="M175" s="241">
        <f t="shared" si="116"/>
        <v>0.99500000000000011</v>
      </c>
      <c r="N175" s="241">
        <f t="shared" si="117"/>
        <v>0.99500000000000011</v>
      </c>
      <c r="O175" s="241">
        <f t="shared" si="118"/>
        <v>0.99500000000000011</v>
      </c>
      <c r="P175" s="241">
        <f t="shared" si="119"/>
        <v>0.99500000000000011</v>
      </c>
      <c r="Q175" s="241">
        <f t="shared" si="120"/>
        <v>0.99500000000000011</v>
      </c>
      <c r="R175" s="240">
        <v>1</v>
      </c>
      <c r="S175" s="240"/>
      <c r="T175" s="242">
        <v>5</v>
      </c>
      <c r="U175" s="243"/>
    </row>
    <row r="176" spans="1:21">
      <c r="A176" s="238" t="s">
        <v>1345</v>
      </c>
      <c r="B176" s="239" t="str">
        <f>TechData_R0!C73</f>
        <v>IMPOILLL23</v>
      </c>
      <c r="C176" s="239"/>
      <c r="D176" s="239"/>
      <c r="E176" s="240" t="s">
        <v>1217</v>
      </c>
      <c r="F176" s="240"/>
      <c r="G176" s="240" t="s">
        <v>1220</v>
      </c>
      <c r="H176" s="241">
        <f>1-TechData_R0!K73+1</f>
        <v>0.99500000000000011</v>
      </c>
      <c r="I176" s="241">
        <f t="shared" si="96"/>
        <v>0.99500000000000011</v>
      </c>
      <c r="J176" s="241">
        <f t="shared" si="113"/>
        <v>0.99500000000000011</v>
      </c>
      <c r="K176" s="241">
        <f t="shared" si="114"/>
        <v>0.99500000000000011</v>
      </c>
      <c r="L176" s="241">
        <f t="shared" si="115"/>
        <v>0.99500000000000011</v>
      </c>
      <c r="M176" s="241">
        <f t="shared" si="116"/>
        <v>0.99500000000000011</v>
      </c>
      <c r="N176" s="241">
        <f t="shared" si="117"/>
        <v>0.99500000000000011</v>
      </c>
      <c r="O176" s="241">
        <f t="shared" si="118"/>
        <v>0.99500000000000011</v>
      </c>
      <c r="P176" s="241">
        <f t="shared" si="119"/>
        <v>0.99500000000000011</v>
      </c>
      <c r="Q176" s="241">
        <f t="shared" si="120"/>
        <v>0.99500000000000011</v>
      </c>
      <c r="R176" s="240">
        <v>1</v>
      </c>
      <c r="S176" s="240"/>
      <c r="T176" s="242">
        <v>5</v>
      </c>
      <c r="U176" s="243"/>
    </row>
    <row r="177" spans="1:21">
      <c r="A177" s="238" t="s">
        <v>1346</v>
      </c>
      <c r="B177" s="239" t="str">
        <f>TechData_R0!C74</f>
        <v>IMPOILLL21</v>
      </c>
      <c r="C177" s="239"/>
      <c r="D177" s="239"/>
      <c r="E177" s="240" t="s">
        <v>1217</v>
      </c>
      <c r="F177" s="240"/>
      <c r="G177" s="240" t="s">
        <v>1220</v>
      </c>
      <c r="H177" s="241">
        <f>1-TechData_R0!K74+1</f>
        <v>0.99500000000000011</v>
      </c>
      <c r="I177" s="241">
        <f t="shared" si="96"/>
        <v>0.99500000000000011</v>
      </c>
      <c r="J177" s="241">
        <f t="shared" si="113"/>
        <v>0.99500000000000011</v>
      </c>
      <c r="K177" s="241">
        <f t="shared" si="114"/>
        <v>0.99500000000000011</v>
      </c>
      <c r="L177" s="241">
        <f t="shared" si="115"/>
        <v>0.99500000000000011</v>
      </c>
      <c r="M177" s="241">
        <f t="shared" si="116"/>
        <v>0.99500000000000011</v>
      </c>
      <c r="N177" s="241">
        <f t="shared" si="117"/>
        <v>0.99500000000000011</v>
      </c>
      <c r="O177" s="241">
        <f t="shared" si="118"/>
        <v>0.99500000000000011</v>
      </c>
      <c r="P177" s="241">
        <f t="shared" si="119"/>
        <v>0.99500000000000011</v>
      </c>
      <c r="Q177" s="241">
        <f t="shared" si="120"/>
        <v>0.99500000000000011</v>
      </c>
      <c r="R177" s="240">
        <v>1</v>
      </c>
      <c r="S177" s="240"/>
      <c r="T177" s="242">
        <v>5</v>
      </c>
      <c r="U177" s="243"/>
    </row>
    <row r="178" spans="1:21">
      <c r="A178" s="238" t="s">
        <v>1347</v>
      </c>
      <c r="B178" s="239" t="str">
        <f>TechData_R0!C75</f>
        <v>IMPOILLL22</v>
      </c>
      <c r="C178" s="239"/>
      <c r="D178" s="239"/>
      <c r="E178" s="240" t="s">
        <v>1217</v>
      </c>
      <c r="F178" s="240"/>
      <c r="G178" s="240" t="s">
        <v>1220</v>
      </c>
      <c r="H178" s="241">
        <f>1-TechData_R0!K75+1</f>
        <v>0.99500000000000011</v>
      </c>
      <c r="I178" s="241">
        <f t="shared" si="96"/>
        <v>0.99500000000000011</v>
      </c>
      <c r="J178" s="241">
        <f t="shared" si="113"/>
        <v>0.99500000000000011</v>
      </c>
      <c r="K178" s="241">
        <f t="shared" si="114"/>
        <v>0.99500000000000011</v>
      </c>
      <c r="L178" s="241">
        <f t="shared" si="115"/>
        <v>0.99500000000000011</v>
      </c>
      <c r="M178" s="241">
        <f t="shared" si="116"/>
        <v>0.99500000000000011</v>
      </c>
      <c r="N178" s="241">
        <f t="shared" si="117"/>
        <v>0.99500000000000011</v>
      </c>
      <c r="O178" s="241">
        <f t="shared" si="118"/>
        <v>0.99500000000000011</v>
      </c>
      <c r="P178" s="241">
        <f t="shared" si="119"/>
        <v>0.99500000000000011</v>
      </c>
      <c r="Q178" s="241">
        <f t="shared" si="120"/>
        <v>0.99500000000000011</v>
      </c>
      <c r="R178" s="240">
        <v>1</v>
      </c>
      <c r="S178" s="240"/>
      <c r="T178" s="242">
        <v>5</v>
      </c>
      <c r="U178" s="243"/>
    </row>
    <row r="179" spans="1:21">
      <c r="A179" s="238" t="s">
        <v>1348</v>
      </c>
      <c r="B179" s="239" t="str">
        <f>TechData_R0!C76</f>
        <v>IMPOILLL24</v>
      </c>
      <c r="C179" s="239"/>
      <c r="D179" s="239"/>
      <c r="E179" s="240" t="s">
        <v>1217</v>
      </c>
      <c r="F179" s="240"/>
      <c r="G179" s="240" t="s">
        <v>1220</v>
      </c>
      <c r="H179" s="241">
        <f>1-TechData_R0!K76+1</f>
        <v>0.99500000000000011</v>
      </c>
      <c r="I179" s="241">
        <f t="shared" si="96"/>
        <v>0.99500000000000011</v>
      </c>
      <c r="J179" s="241">
        <f t="shared" si="113"/>
        <v>0.99500000000000011</v>
      </c>
      <c r="K179" s="241">
        <f t="shared" si="114"/>
        <v>0.99500000000000011</v>
      </c>
      <c r="L179" s="241">
        <f t="shared" si="115"/>
        <v>0.99500000000000011</v>
      </c>
      <c r="M179" s="241">
        <f t="shared" si="116"/>
        <v>0.99500000000000011</v>
      </c>
      <c r="N179" s="241">
        <f t="shared" si="117"/>
        <v>0.99500000000000011</v>
      </c>
      <c r="O179" s="241">
        <f t="shared" si="118"/>
        <v>0.99500000000000011</v>
      </c>
      <c r="P179" s="241">
        <f t="shared" si="119"/>
        <v>0.99500000000000011</v>
      </c>
      <c r="Q179" s="241">
        <f t="shared" si="120"/>
        <v>0.99500000000000011</v>
      </c>
      <c r="R179" s="240">
        <v>1</v>
      </c>
      <c r="S179" s="240"/>
      <c r="T179" s="242">
        <v>5</v>
      </c>
      <c r="U179" s="243"/>
    </row>
    <row r="180" spans="1:21">
      <c r="A180" s="238" t="s">
        <v>1349</v>
      </c>
      <c r="B180" s="239" t="str">
        <f>TechData_R0!C77</f>
        <v>IMPOILLL25</v>
      </c>
      <c r="C180" s="239"/>
      <c r="D180" s="239"/>
      <c r="E180" s="240" t="s">
        <v>1217</v>
      </c>
      <c r="F180" s="240"/>
      <c r="G180" s="240" t="s">
        <v>1220</v>
      </c>
      <c r="H180" s="241">
        <f>1-TechData_R0!K77+1</f>
        <v>0.99500000000000011</v>
      </c>
      <c r="I180" s="241">
        <f t="shared" si="96"/>
        <v>0.99500000000000011</v>
      </c>
      <c r="J180" s="241">
        <f t="shared" si="113"/>
        <v>0.99500000000000011</v>
      </c>
      <c r="K180" s="241">
        <f t="shared" si="114"/>
        <v>0.99500000000000011</v>
      </c>
      <c r="L180" s="241">
        <f t="shared" si="115"/>
        <v>0.99500000000000011</v>
      </c>
      <c r="M180" s="241">
        <f t="shared" si="116"/>
        <v>0.99500000000000011</v>
      </c>
      <c r="N180" s="241">
        <f t="shared" si="117"/>
        <v>0.99500000000000011</v>
      </c>
      <c r="O180" s="241">
        <f t="shared" si="118"/>
        <v>0.99500000000000011</v>
      </c>
      <c r="P180" s="241">
        <f t="shared" si="119"/>
        <v>0.99500000000000011</v>
      </c>
      <c r="Q180" s="241">
        <f t="shared" si="120"/>
        <v>0.99500000000000011</v>
      </c>
      <c r="R180" s="240">
        <v>1</v>
      </c>
      <c r="S180" s="240"/>
      <c r="T180" s="242">
        <v>5</v>
      </c>
      <c r="U180" s="243"/>
    </row>
    <row r="181" spans="1:21">
      <c r="A181" s="238" t="s">
        <v>1350</v>
      </c>
      <c r="B181" s="239" t="str">
        <f>TechData_R0!C78</f>
        <v>IMPOILMH23</v>
      </c>
      <c r="C181" s="239"/>
      <c r="D181" s="239"/>
      <c r="E181" s="240" t="s">
        <v>1217</v>
      </c>
      <c r="F181" s="240"/>
      <c r="G181" s="240" t="s">
        <v>1220</v>
      </c>
      <c r="H181" s="241">
        <f>1-TechData_R0!K78+1</f>
        <v>0.99500000000000011</v>
      </c>
      <c r="I181" s="241">
        <f t="shared" si="96"/>
        <v>0.99500000000000011</v>
      </c>
      <c r="J181" s="241">
        <f t="shared" si="113"/>
        <v>0.99500000000000011</v>
      </c>
      <c r="K181" s="241">
        <f t="shared" si="114"/>
        <v>0.99500000000000011</v>
      </c>
      <c r="L181" s="241">
        <f t="shared" si="115"/>
        <v>0.99500000000000011</v>
      </c>
      <c r="M181" s="241">
        <f t="shared" si="116"/>
        <v>0.99500000000000011</v>
      </c>
      <c r="N181" s="241">
        <f t="shared" si="117"/>
        <v>0.99500000000000011</v>
      </c>
      <c r="O181" s="241">
        <f t="shared" si="118"/>
        <v>0.99500000000000011</v>
      </c>
      <c r="P181" s="241">
        <f t="shared" si="119"/>
        <v>0.99500000000000011</v>
      </c>
      <c r="Q181" s="241">
        <f t="shared" si="120"/>
        <v>0.99500000000000011</v>
      </c>
      <c r="R181" s="240">
        <v>1</v>
      </c>
      <c r="S181" s="240"/>
      <c r="T181" s="242">
        <v>5</v>
      </c>
      <c r="U181" s="243"/>
    </row>
    <row r="182" spans="1:21">
      <c r="A182" s="238" t="s">
        <v>1351</v>
      </c>
      <c r="B182" s="239" t="str">
        <f>TechData_R0!C79</f>
        <v>IMPOILMH21</v>
      </c>
      <c r="C182" s="239"/>
      <c r="D182" s="239"/>
      <c r="E182" s="240" t="s">
        <v>1217</v>
      </c>
      <c r="F182" s="240"/>
      <c r="G182" s="240" t="s">
        <v>1220</v>
      </c>
      <c r="H182" s="241">
        <f>1-TechData_R0!K79+1</f>
        <v>0.99500000000000011</v>
      </c>
      <c r="I182" s="241">
        <f t="shared" si="96"/>
        <v>0.99500000000000011</v>
      </c>
      <c r="J182" s="241">
        <f t="shared" si="113"/>
        <v>0.99500000000000011</v>
      </c>
      <c r="K182" s="241">
        <f t="shared" si="114"/>
        <v>0.99500000000000011</v>
      </c>
      <c r="L182" s="241">
        <f t="shared" si="115"/>
        <v>0.99500000000000011</v>
      </c>
      <c r="M182" s="241">
        <f t="shared" si="116"/>
        <v>0.99500000000000011</v>
      </c>
      <c r="N182" s="241">
        <f t="shared" si="117"/>
        <v>0.99500000000000011</v>
      </c>
      <c r="O182" s="241">
        <f t="shared" si="118"/>
        <v>0.99500000000000011</v>
      </c>
      <c r="P182" s="241">
        <f t="shared" si="119"/>
        <v>0.99500000000000011</v>
      </c>
      <c r="Q182" s="241">
        <f t="shared" si="120"/>
        <v>0.99500000000000011</v>
      </c>
      <c r="R182" s="240">
        <v>1</v>
      </c>
      <c r="S182" s="240"/>
      <c r="T182" s="242">
        <v>5</v>
      </c>
      <c r="U182" s="243"/>
    </row>
    <row r="183" spans="1:21">
      <c r="A183" s="238" t="s">
        <v>1352</v>
      </c>
      <c r="B183" s="239" t="str">
        <f>TechData_R0!C80</f>
        <v>IMPOILMH22</v>
      </c>
      <c r="C183" s="239"/>
      <c r="D183" s="239"/>
      <c r="E183" s="240" t="s">
        <v>1217</v>
      </c>
      <c r="F183" s="240"/>
      <c r="G183" s="240" t="s">
        <v>1220</v>
      </c>
      <c r="H183" s="241">
        <f>1-TechData_R0!K80+1</f>
        <v>0.99500000000000011</v>
      </c>
      <c r="I183" s="241">
        <f t="shared" si="96"/>
        <v>0.99500000000000011</v>
      </c>
      <c r="J183" s="241">
        <f t="shared" si="113"/>
        <v>0.99500000000000011</v>
      </c>
      <c r="K183" s="241">
        <f t="shared" si="114"/>
        <v>0.99500000000000011</v>
      </c>
      <c r="L183" s="241">
        <f t="shared" si="115"/>
        <v>0.99500000000000011</v>
      </c>
      <c r="M183" s="241">
        <f t="shared" si="116"/>
        <v>0.99500000000000011</v>
      </c>
      <c r="N183" s="241">
        <f t="shared" si="117"/>
        <v>0.99500000000000011</v>
      </c>
      <c r="O183" s="241">
        <f t="shared" si="118"/>
        <v>0.99500000000000011</v>
      </c>
      <c r="P183" s="241">
        <f t="shared" si="119"/>
        <v>0.99500000000000011</v>
      </c>
      <c r="Q183" s="241">
        <f t="shared" si="120"/>
        <v>0.99500000000000011</v>
      </c>
      <c r="R183" s="240">
        <v>1</v>
      </c>
      <c r="S183" s="240"/>
      <c r="T183" s="242">
        <v>5</v>
      </c>
      <c r="U183" s="243"/>
    </row>
    <row r="184" spans="1:21">
      <c r="A184" s="238" t="s">
        <v>1353</v>
      </c>
      <c r="B184" s="239" t="str">
        <f>TechData_R0!C81</f>
        <v>IMPOILMH24</v>
      </c>
      <c r="C184" s="239"/>
      <c r="D184" s="239"/>
      <c r="E184" s="240" t="s">
        <v>1217</v>
      </c>
      <c r="F184" s="240"/>
      <c r="G184" s="240" t="s">
        <v>1220</v>
      </c>
      <c r="H184" s="241">
        <f>1-TechData_R0!K81+1</f>
        <v>0.99500000000000011</v>
      </c>
      <c r="I184" s="241">
        <f t="shared" si="96"/>
        <v>0.99500000000000011</v>
      </c>
      <c r="J184" s="241">
        <f t="shared" si="113"/>
        <v>0.99500000000000011</v>
      </c>
      <c r="K184" s="241">
        <f t="shared" si="114"/>
        <v>0.99500000000000011</v>
      </c>
      <c r="L184" s="241">
        <f t="shared" si="115"/>
        <v>0.99500000000000011</v>
      </c>
      <c r="M184" s="241">
        <f t="shared" si="116"/>
        <v>0.99500000000000011</v>
      </c>
      <c r="N184" s="241">
        <f t="shared" si="117"/>
        <v>0.99500000000000011</v>
      </c>
      <c r="O184" s="241">
        <f t="shared" si="118"/>
        <v>0.99500000000000011</v>
      </c>
      <c r="P184" s="241">
        <f t="shared" si="119"/>
        <v>0.99500000000000011</v>
      </c>
      <c r="Q184" s="241">
        <f t="shared" si="120"/>
        <v>0.99500000000000011</v>
      </c>
      <c r="R184" s="240">
        <v>1</v>
      </c>
      <c r="S184" s="240"/>
      <c r="T184" s="242">
        <v>5</v>
      </c>
      <c r="U184" s="243"/>
    </row>
    <row r="185" spans="1:21">
      <c r="A185" s="238" t="s">
        <v>1354</v>
      </c>
      <c r="B185" s="239" t="str">
        <f>TechData_R0!C82</f>
        <v>IMPOILMH25</v>
      </c>
      <c r="C185" s="239"/>
      <c r="D185" s="239"/>
      <c r="E185" s="240" t="s">
        <v>1217</v>
      </c>
      <c r="F185" s="240"/>
      <c r="G185" s="240" t="s">
        <v>1220</v>
      </c>
      <c r="H185" s="241">
        <f>1-TechData_R0!K82+1</f>
        <v>0.99500000000000011</v>
      </c>
      <c r="I185" s="241">
        <f t="shared" si="96"/>
        <v>0.99500000000000011</v>
      </c>
      <c r="J185" s="241">
        <f t="shared" si="113"/>
        <v>0.99500000000000011</v>
      </c>
      <c r="K185" s="241">
        <f t="shared" si="114"/>
        <v>0.99500000000000011</v>
      </c>
      <c r="L185" s="241">
        <f t="shared" si="115"/>
        <v>0.99500000000000011</v>
      </c>
      <c r="M185" s="241">
        <f t="shared" si="116"/>
        <v>0.99500000000000011</v>
      </c>
      <c r="N185" s="241">
        <f t="shared" si="117"/>
        <v>0.99500000000000011</v>
      </c>
      <c r="O185" s="241">
        <f t="shared" si="118"/>
        <v>0.99500000000000011</v>
      </c>
      <c r="P185" s="241">
        <f t="shared" si="119"/>
        <v>0.99500000000000011</v>
      </c>
      <c r="Q185" s="241">
        <f t="shared" si="120"/>
        <v>0.99500000000000011</v>
      </c>
      <c r="R185" s="240">
        <v>1</v>
      </c>
      <c r="S185" s="240"/>
      <c r="T185" s="242">
        <v>5</v>
      </c>
      <c r="U185" s="243"/>
    </row>
    <row r="186" spans="1:21">
      <c r="A186" s="238" t="s">
        <v>1355</v>
      </c>
      <c r="B186" s="239" t="str">
        <f>TechData_R0!C84</f>
        <v>IMPOILHH33</v>
      </c>
      <c r="C186" s="239"/>
      <c r="D186" s="239"/>
      <c r="E186" s="240" t="s">
        <v>1217</v>
      </c>
      <c r="F186" s="240"/>
      <c r="G186" s="240" t="s">
        <v>1220</v>
      </c>
      <c r="H186" s="241">
        <f>1-TechData_R0!K84+1</f>
        <v>0.99500000000000011</v>
      </c>
      <c r="I186" s="241">
        <f t="shared" si="96"/>
        <v>0.99500000000000011</v>
      </c>
      <c r="J186" s="241">
        <f t="shared" si="113"/>
        <v>0.99500000000000011</v>
      </c>
      <c r="K186" s="241">
        <f t="shared" si="114"/>
        <v>0.99500000000000011</v>
      </c>
      <c r="L186" s="241">
        <f t="shared" si="115"/>
        <v>0.99500000000000011</v>
      </c>
      <c r="M186" s="241">
        <f t="shared" si="116"/>
        <v>0.99500000000000011</v>
      </c>
      <c r="N186" s="241">
        <f t="shared" si="117"/>
        <v>0.99500000000000011</v>
      </c>
      <c r="O186" s="241">
        <f t="shared" si="118"/>
        <v>0.99500000000000011</v>
      </c>
      <c r="P186" s="241">
        <f t="shared" si="119"/>
        <v>0.99500000000000011</v>
      </c>
      <c r="Q186" s="241">
        <f t="shared" si="120"/>
        <v>0.99500000000000011</v>
      </c>
      <c r="R186" s="240">
        <v>1</v>
      </c>
      <c r="S186" s="240"/>
      <c r="T186" s="242">
        <v>5</v>
      </c>
      <c r="U186" s="243"/>
    </row>
    <row r="187" spans="1:21">
      <c r="A187" s="238" t="s">
        <v>1413</v>
      </c>
      <c r="B187" s="239" t="str">
        <f>TechData_R0!C85</f>
        <v>IMPOILHH31</v>
      </c>
      <c r="C187" s="239"/>
      <c r="D187" s="239"/>
      <c r="E187" s="240" t="s">
        <v>1217</v>
      </c>
      <c r="F187" s="240"/>
      <c r="G187" s="240" t="s">
        <v>1220</v>
      </c>
      <c r="H187" s="241">
        <f>1-TechData_R0!K85+1</f>
        <v>0.99500000000000011</v>
      </c>
      <c r="I187" s="241">
        <f t="shared" si="96"/>
        <v>0.99500000000000011</v>
      </c>
      <c r="J187" s="241">
        <f t="shared" si="113"/>
        <v>0.99500000000000011</v>
      </c>
      <c r="K187" s="241">
        <f t="shared" si="114"/>
        <v>0.99500000000000011</v>
      </c>
      <c r="L187" s="241">
        <f t="shared" si="115"/>
        <v>0.99500000000000011</v>
      </c>
      <c r="M187" s="241">
        <f t="shared" si="116"/>
        <v>0.99500000000000011</v>
      </c>
      <c r="N187" s="241">
        <f t="shared" si="117"/>
        <v>0.99500000000000011</v>
      </c>
      <c r="O187" s="241">
        <f t="shared" si="118"/>
        <v>0.99500000000000011</v>
      </c>
      <c r="P187" s="241">
        <f t="shared" si="119"/>
        <v>0.99500000000000011</v>
      </c>
      <c r="Q187" s="241">
        <f t="shared" si="120"/>
        <v>0.99500000000000011</v>
      </c>
      <c r="R187" s="240">
        <v>1</v>
      </c>
      <c r="S187" s="240"/>
      <c r="T187" s="242">
        <v>5</v>
      </c>
      <c r="U187" s="243"/>
    </row>
    <row r="188" spans="1:21">
      <c r="A188" s="238" t="s">
        <v>1356</v>
      </c>
      <c r="B188" s="239" t="str">
        <f>TechData_R0!C86</f>
        <v>IMPOILHH32</v>
      </c>
      <c r="C188" s="239"/>
      <c r="D188" s="239"/>
      <c r="E188" s="240" t="s">
        <v>1217</v>
      </c>
      <c r="F188" s="240"/>
      <c r="G188" s="240" t="s">
        <v>1220</v>
      </c>
      <c r="H188" s="241">
        <f>1-TechData_R0!K86+1</f>
        <v>0.99500000000000011</v>
      </c>
      <c r="I188" s="241">
        <f t="shared" si="96"/>
        <v>0.99500000000000011</v>
      </c>
      <c r="J188" s="241">
        <f t="shared" si="113"/>
        <v>0.99500000000000011</v>
      </c>
      <c r="K188" s="241">
        <f t="shared" si="114"/>
        <v>0.99500000000000011</v>
      </c>
      <c r="L188" s="241">
        <f t="shared" si="115"/>
        <v>0.99500000000000011</v>
      </c>
      <c r="M188" s="241">
        <f t="shared" si="116"/>
        <v>0.99500000000000011</v>
      </c>
      <c r="N188" s="241">
        <f t="shared" si="117"/>
        <v>0.99500000000000011</v>
      </c>
      <c r="O188" s="241">
        <f t="shared" si="118"/>
        <v>0.99500000000000011</v>
      </c>
      <c r="P188" s="241">
        <f t="shared" si="119"/>
        <v>0.99500000000000011</v>
      </c>
      <c r="Q188" s="241">
        <f t="shared" si="120"/>
        <v>0.99500000000000011</v>
      </c>
      <c r="R188" s="240">
        <v>1</v>
      </c>
      <c r="S188" s="240"/>
      <c r="T188" s="242">
        <v>5</v>
      </c>
      <c r="U188" s="243"/>
    </row>
    <row r="189" spans="1:21">
      <c r="A189" s="238" t="s">
        <v>1357</v>
      </c>
      <c r="B189" s="239" t="str">
        <f>TechData_R0!C87</f>
        <v>IMPOILHH34</v>
      </c>
      <c r="C189" s="239"/>
      <c r="D189" s="239"/>
      <c r="E189" s="240" t="s">
        <v>1217</v>
      </c>
      <c r="F189" s="240"/>
      <c r="G189" s="240" t="s">
        <v>1220</v>
      </c>
      <c r="H189" s="241">
        <f>1-TechData_R0!K87+1</f>
        <v>0.99500000000000011</v>
      </c>
      <c r="I189" s="241">
        <f t="shared" si="96"/>
        <v>0.99500000000000011</v>
      </c>
      <c r="J189" s="241">
        <f t="shared" si="113"/>
        <v>0.99500000000000011</v>
      </c>
      <c r="K189" s="241">
        <f t="shared" si="114"/>
        <v>0.99500000000000011</v>
      </c>
      <c r="L189" s="241">
        <f t="shared" si="115"/>
        <v>0.99500000000000011</v>
      </c>
      <c r="M189" s="241">
        <f t="shared" si="116"/>
        <v>0.99500000000000011</v>
      </c>
      <c r="N189" s="241">
        <f t="shared" si="117"/>
        <v>0.99500000000000011</v>
      </c>
      <c r="O189" s="241">
        <f t="shared" si="118"/>
        <v>0.99500000000000011</v>
      </c>
      <c r="P189" s="241">
        <f t="shared" si="119"/>
        <v>0.99500000000000011</v>
      </c>
      <c r="Q189" s="241">
        <f t="shared" si="120"/>
        <v>0.99500000000000011</v>
      </c>
      <c r="R189" s="240">
        <v>1</v>
      </c>
      <c r="S189" s="240"/>
      <c r="T189" s="242">
        <v>5</v>
      </c>
      <c r="U189" s="243"/>
    </row>
    <row r="190" spans="1:21">
      <c r="A190" s="238" t="s">
        <v>1358</v>
      </c>
      <c r="B190" s="239" t="str">
        <f>TechData_R0!C88</f>
        <v>IMPOILHH35</v>
      </c>
      <c r="C190" s="239"/>
      <c r="D190" s="239"/>
      <c r="E190" s="240" t="s">
        <v>1217</v>
      </c>
      <c r="F190" s="240"/>
      <c r="G190" s="240" t="s">
        <v>1220</v>
      </c>
      <c r="H190" s="241">
        <f>1-TechData_R0!K88+1</f>
        <v>0.99500000000000011</v>
      </c>
      <c r="I190" s="241">
        <f t="shared" si="96"/>
        <v>0.99500000000000011</v>
      </c>
      <c r="J190" s="241">
        <f t="shared" si="113"/>
        <v>0.99500000000000011</v>
      </c>
      <c r="K190" s="241">
        <f t="shared" si="114"/>
        <v>0.99500000000000011</v>
      </c>
      <c r="L190" s="241">
        <f t="shared" si="115"/>
        <v>0.99500000000000011</v>
      </c>
      <c r="M190" s="241">
        <f t="shared" si="116"/>
        <v>0.99500000000000011</v>
      </c>
      <c r="N190" s="241">
        <f t="shared" si="117"/>
        <v>0.99500000000000011</v>
      </c>
      <c r="O190" s="241">
        <f t="shared" si="118"/>
        <v>0.99500000000000011</v>
      </c>
      <c r="P190" s="241">
        <f t="shared" si="119"/>
        <v>0.99500000000000011</v>
      </c>
      <c r="Q190" s="241">
        <f t="shared" si="120"/>
        <v>0.99500000000000011</v>
      </c>
      <c r="R190" s="240">
        <v>1</v>
      </c>
      <c r="S190" s="240"/>
      <c r="T190" s="242">
        <v>5</v>
      </c>
      <c r="U190" s="243"/>
    </row>
    <row r="191" spans="1:21">
      <c r="A191" s="238" t="s">
        <v>1359</v>
      </c>
      <c r="B191" s="239" t="str">
        <f>TechData_R0!C89</f>
        <v>IMPOILHL33</v>
      </c>
      <c r="C191" s="239"/>
      <c r="D191" s="239"/>
      <c r="E191" s="240" t="s">
        <v>1217</v>
      </c>
      <c r="F191" s="240"/>
      <c r="G191" s="240" t="s">
        <v>1220</v>
      </c>
      <c r="H191" s="241">
        <f>1-TechData_R0!K89+1</f>
        <v>0.99500000000000011</v>
      </c>
      <c r="I191" s="241">
        <f t="shared" si="96"/>
        <v>0.99500000000000011</v>
      </c>
      <c r="J191" s="241">
        <f t="shared" si="113"/>
        <v>0.99500000000000011</v>
      </c>
      <c r="K191" s="241">
        <f t="shared" si="114"/>
        <v>0.99500000000000011</v>
      </c>
      <c r="L191" s="241">
        <f t="shared" si="115"/>
        <v>0.99500000000000011</v>
      </c>
      <c r="M191" s="241">
        <f t="shared" si="116"/>
        <v>0.99500000000000011</v>
      </c>
      <c r="N191" s="241">
        <f t="shared" si="117"/>
        <v>0.99500000000000011</v>
      </c>
      <c r="O191" s="241">
        <f t="shared" si="118"/>
        <v>0.99500000000000011</v>
      </c>
      <c r="P191" s="241">
        <f t="shared" si="119"/>
        <v>0.99500000000000011</v>
      </c>
      <c r="Q191" s="241">
        <f t="shared" si="120"/>
        <v>0.99500000000000011</v>
      </c>
      <c r="R191" s="240">
        <v>1</v>
      </c>
      <c r="S191" s="240"/>
      <c r="T191" s="242">
        <v>5</v>
      </c>
      <c r="U191" s="243"/>
    </row>
    <row r="192" spans="1:21">
      <c r="A192" s="238" t="s">
        <v>1360</v>
      </c>
      <c r="B192" s="239" t="str">
        <f>TechData_R0!C90</f>
        <v>IMPOILHL31</v>
      </c>
      <c r="C192" s="239"/>
      <c r="D192" s="239"/>
      <c r="E192" s="240" t="s">
        <v>1217</v>
      </c>
      <c r="F192" s="240"/>
      <c r="G192" s="240" t="s">
        <v>1220</v>
      </c>
      <c r="H192" s="241">
        <f>1-TechData_R0!K90+1</f>
        <v>0.99500000000000011</v>
      </c>
      <c r="I192" s="241">
        <f t="shared" si="96"/>
        <v>0.99500000000000011</v>
      </c>
      <c r="J192" s="241">
        <f t="shared" si="113"/>
        <v>0.99500000000000011</v>
      </c>
      <c r="K192" s="241">
        <f t="shared" si="114"/>
        <v>0.99500000000000011</v>
      </c>
      <c r="L192" s="241">
        <f t="shared" si="115"/>
        <v>0.99500000000000011</v>
      </c>
      <c r="M192" s="241">
        <f t="shared" si="116"/>
        <v>0.99500000000000011</v>
      </c>
      <c r="N192" s="241">
        <f t="shared" si="117"/>
        <v>0.99500000000000011</v>
      </c>
      <c r="O192" s="241">
        <f t="shared" si="118"/>
        <v>0.99500000000000011</v>
      </c>
      <c r="P192" s="241">
        <f t="shared" si="119"/>
        <v>0.99500000000000011</v>
      </c>
      <c r="Q192" s="241">
        <f t="shared" si="120"/>
        <v>0.99500000000000011</v>
      </c>
      <c r="R192" s="240">
        <v>1</v>
      </c>
      <c r="S192" s="240"/>
      <c r="T192" s="242">
        <v>5</v>
      </c>
      <c r="U192" s="243"/>
    </row>
    <row r="193" spans="1:21">
      <c r="A193" s="238" t="s">
        <v>1361</v>
      </c>
      <c r="B193" s="239" t="str">
        <f>TechData_R0!C91</f>
        <v>IMPOILHL32</v>
      </c>
      <c r="C193" s="239"/>
      <c r="D193" s="239"/>
      <c r="E193" s="240" t="s">
        <v>1217</v>
      </c>
      <c r="F193" s="240"/>
      <c r="G193" s="240" t="s">
        <v>1220</v>
      </c>
      <c r="H193" s="241">
        <f>1-TechData_R0!K91+1</f>
        <v>0.99500000000000011</v>
      </c>
      <c r="I193" s="241">
        <f t="shared" si="96"/>
        <v>0.99500000000000011</v>
      </c>
      <c r="J193" s="241">
        <f t="shared" si="113"/>
        <v>0.99500000000000011</v>
      </c>
      <c r="K193" s="241">
        <f t="shared" si="114"/>
        <v>0.99500000000000011</v>
      </c>
      <c r="L193" s="241">
        <f t="shared" si="115"/>
        <v>0.99500000000000011</v>
      </c>
      <c r="M193" s="241">
        <f t="shared" si="116"/>
        <v>0.99500000000000011</v>
      </c>
      <c r="N193" s="241">
        <f t="shared" si="117"/>
        <v>0.99500000000000011</v>
      </c>
      <c r="O193" s="241">
        <f t="shared" si="118"/>
        <v>0.99500000000000011</v>
      </c>
      <c r="P193" s="241">
        <f t="shared" si="119"/>
        <v>0.99500000000000011</v>
      </c>
      <c r="Q193" s="241">
        <f t="shared" si="120"/>
        <v>0.99500000000000011</v>
      </c>
      <c r="R193" s="240">
        <v>1</v>
      </c>
      <c r="S193" s="240"/>
      <c r="T193" s="242">
        <v>5</v>
      </c>
      <c r="U193" s="243"/>
    </row>
    <row r="194" spans="1:21">
      <c r="A194" s="238" t="s">
        <v>1362</v>
      </c>
      <c r="B194" s="239" t="str">
        <f>TechData_R0!C92</f>
        <v>IMPOILHL34</v>
      </c>
      <c r="C194" s="239"/>
      <c r="D194" s="239"/>
      <c r="E194" s="240" t="s">
        <v>1217</v>
      </c>
      <c r="F194" s="240"/>
      <c r="G194" s="240" t="s">
        <v>1220</v>
      </c>
      <c r="H194" s="241">
        <f>1-TechData_R0!K92+1</f>
        <v>0.99500000000000011</v>
      </c>
      <c r="I194" s="241">
        <f t="shared" ref="I194:I210" si="121">H194</f>
        <v>0.99500000000000011</v>
      </c>
      <c r="J194" s="241">
        <f t="shared" si="113"/>
        <v>0.99500000000000011</v>
      </c>
      <c r="K194" s="241">
        <f t="shared" si="114"/>
        <v>0.99500000000000011</v>
      </c>
      <c r="L194" s="241">
        <f t="shared" si="115"/>
        <v>0.99500000000000011</v>
      </c>
      <c r="M194" s="241">
        <f t="shared" si="116"/>
        <v>0.99500000000000011</v>
      </c>
      <c r="N194" s="241">
        <f t="shared" si="117"/>
        <v>0.99500000000000011</v>
      </c>
      <c r="O194" s="241">
        <f t="shared" si="118"/>
        <v>0.99500000000000011</v>
      </c>
      <c r="P194" s="241">
        <f t="shared" si="119"/>
        <v>0.99500000000000011</v>
      </c>
      <c r="Q194" s="241">
        <f t="shared" si="120"/>
        <v>0.99500000000000011</v>
      </c>
      <c r="R194" s="240">
        <v>1</v>
      </c>
      <c r="S194" s="240"/>
      <c r="T194" s="242">
        <v>5</v>
      </c>
      <c r="U194" s="243"/>
    </row>
    <row r="195" spans="1:21">
      <c r="A195" s="238" t="s">
        <v>1363</v>
      </c>
      <c r="B195" s="239" t="str">
        <f>TechData_R0!C93</f>
        <v>IMPOILHL35</v>
      </c>
      <c r="C195" s="239"/>
      <c r="D195" s="239"/>
      <c r="E195" s="240" t="s">
        <v>1217</v>
      </c>
      <c r="F195" s="240"/>
      <c r="G195" s="240" t="s">
        <v>1220</v>
      </c>
      <c r="H195" s="241">
        <f>1-TechData_R0!K93+1</f>
        <v>0.99500000000000011</v>
      </c>
      <c r="I195" s="241">
        <f t="shared" si="121"/>
        <v>0.99500000000000011</v>
      </c>
      <c r="J195" s="241">
        <f t="shared" si="113"/>
        <v>0.99500000000000011</v>
      </c>
      <c r="K195" s="241">
        <f t="shared" si="114"/>
        <v>0.99500000000000011</v>
      </c>
      <c r="L195" s="241">
        <f t="shared" si="115"/>
        <v>0.99500000000000011</v>
      </c>
      <c r="M195" s="241">
        <f t="shared" si="116"/>
        <v>0.99500000000000011</v>
      </c>
      <c r="N195" s="241">
        <f t="shared" si="117"/>
        <v>0.99500000000000011</v>
      </c>
      <c r="O195" s="241">
        <f t="shared" si="118"/>
        <v>0.99500000000000011</v>
      </c>
      <c r="P195" s="241">
        <f t="shared" si="119"/>
        <v>0.99500000000000011</v>
      </c>
      <c r="Q195" s="241">
        <f t="shared" si="120"/>
        <v>0.99500000000000011</v>
      </c>
      <c r="R195" s="240">
        <v>1</v>
      </c>
      <c r="S195" s="240"/>
      <c r="T195" s="242">
        <v>5</v>
      </c>
      <c r="U195" s="243"/>
    </row>
    <row r="196" spans="1:21">
      <c r="A196" s="238" t="s">
        <v>1364</v>
      </c>
      <c r="B196" s="239" t="str">
        <f>TechData_R0!C94</f>
        <v>IMPOILHV33</v>
      </c>
      <c r="C196" s="239"/>
      <c r="D196" s="239"/>
      <c r="E196" s="240" t="s">
        <v>1217</v>
      </c>
      <c r="F196" s="240"/>
      <c r="G196" s="240" t="s">
        <v>1220</v>
      </c>
      <c r="H196" s="241">
        <f>1-TechData_R0!K94+1</f>
        <v>0.99500000000000011</v>
      </c>
      <c r="I196" s="241">
        <f t="shared" si="121"/>
        <v>0.99500000000000011</v>
      </c>
      <c r="J196" s="241">
        <f t="shared" si="113"/>
        <v>0.99500000000000011</v>
      </c>
      <c r="K196" s="241">
        <f t="shared" si="114"/>
        <v>0.99500000000000011</v>
      </c>
      <c r="L196" s="241">
        <f t="shared" si="115"/>
        <v>0.99500000000000011</v>
      </c>
      <c r="M196" s="241">
        <f t="shared" si="116"/>
        <v>0.99500000000000011</v>
      </c>
      <c r="N196" s="241">
        <f t="shared" si="117"/>
        <v>0.99500000000000011</v>
      </c>
      <c r="O196" s="241">
        <f t="shared" si="118"/>
        <v>0.99500000000000011</v>
      </c>
      <c r="P196" s="241">
        <f t="shared" si="119"/>
        <v>0.99500000000000011</v>
      </c>
      <c r="Q196" s="241">
        <f t="shared" si="120"/>
        <v>0.99500000000000011</v>
      </c>
      <c r="R196" s="240">
        <v>1</v>
      </c>
      <c r="S196" s="240"/>
      <c r="T196" s="242">
        <v>5</v>
      </c>
      <c r="U196" s="243"/>
    </row>
    <row r="197" spans="1:21">
      <c r="A197" s="238" t="s">
        <v>1365</v>
      </c>
      <c r="B197" s="239" t="str">
        <f>TechData_R0!C95</f>
        <v>IMPOILHV31</v>
      </c>
      <c r="C197" s="239"/>
      <c r="D197" s="239"/>
      <c r="E197" s="240" t="s">
        <v>1217</v>
      </c>
      <c r="F197" s="240"/>
      <c r="G197" s="240" t="s">
        <v>1220</v>
      </c>
      <c r="H197" s="241">
        <f>1-TechData_R0!K95+1</f>
        <v>0.99500000000000011</v>
      </c>
      <c r="I197" s="241">
        <f t="shared" si="121"/>
        <v>0.99500000000000011</v>
      </c>
      <c r="J197" s="241">
        <f t="shared" si="113"/>
        <v>0.99500000000000011</v>
      </c>
      <c r="K197" s="241">
        <f t="shared" si="114"/>
        <v>0.99500000000000011</v>
      </c>
      <c r="L197" s="241">
        <f t="shared" si="115"/>
        <v>0.99500000000000011</v>
      </c>
      <c r="M197" s="241">
        <f t="shared" si="116"/>
        <v>0.99500000000000011</v>
      </c>
      <c r="N197" s="241">
        <f t="shared" si="117"/>
        <v>0.99500000000000011</v>
      </c>
      <c r="O197" s="241">
        <f t="shared" si="118"/>
        <v>0.99500000000000011</v>
      </c>
      <c r="P197" s="241">
        <f t="shared" si="119"/>
        <v>0.99500000000000011</v>
      </c>
      <c r="Q197" s="241">
        <f t="shared" si="120"/>
        <v>0.99500000000000011</v>
      </c>
      <c r="R197" s="240">
        <v>1</v>
      </c>
      <c r="S197" s="240"/>
      <c r="T197" s="242">
        <v>5</v>
      </c>
      <c r="U197" s="243"/>
    </row>
    <row r="198" spans="1:21">
      <c r="A198" s="238" t="s">
        <v>1366</v>
      </c>
      <c r="B198" s="239" t="str">
        <f>TechData_R0!C96</f>
        <v>IMPOILHV32</v>
      </c>
      <c r="C198" s="239"/>
      <c r="D198" s="239"/>
      <c r="E198" s="240" t="s">
        <v>1217</v>
      </c>
      <c r="F198" s="240"/>
      <c r="G198" s="240" t="s">
        <v>1220</v>
      </c>
      <c r="H198" s="241">
        <f>1-TechData_R0!K96+1</f>
        <v>0.99500000000000011</v>
      </c>
      <c r="I198" s="241">
        <f t="shared" si="121"/>
        <v>0.99500000000000011</v>
      </c>
      <c r="J198" s="241">
        <f t="shared" si="113"/>
        <v>0.99500000000000011</v>
      </c>
      <c r="K198" s="241">
        <f t="shared" si="114"/>
        <v>0.99500000000000011</v>
      </c>
      <c r="L198" s="241">
        <f t="shared" si="115"/>
        <v>0.99500000000000011</v>
      </c>
      <c r="M198" s="241">
        <f t="shared" si="116"/>
        <v>0.99500000000000011</v>
      </c>
      <c r="N198" s="241">
        <f t="shared" si="117"/>
        <v>0.99500000000000011</v>
      </c>
      <c r="O198" s="241">
        <f t="shared" si="118"/>
        <v>0.99500000000000011</v>
      </c>
      <c r="P198" s="241">
        <f t="shared" si="119"/>
        <v>0.99500000000000011</v>
      </c>
      <c r="Q198" s="241">
        <f t="shared" si="120"/>
        <v>0.99500000000000011</v>
      </c>
      <c r="R198" s="240">
        <v>1</v>
      </c>
      <c r="S198" s="240"/>
      <c r="T198" s="242">
        <v>5</v>
      </c>
      <c r="U198" s="243"/>
    </row>
    <row r="199" spans="1:21">
      <c r="A199" s="238" t="s">
        <v>1367</v>
      </c>
      <c r="B199" s="239" t="str">
        <f>TechData_R0!C97</f>
        <v>IMPOILHV34</v>
      </c>
      <c r="C199" s="239"/>
      <c r="D199" s="239"/>
      <c r="E199" s="240" t="s">
        <v>1217</v>
      </c>
      <c r="F199" s="240"/>
      <c r="G199" s="240" t="s">
        <v>1220</v>
      </c>
      <c r="H199" s="241">
        <f>1-TechData_R0!K97+1</f>
        <v>0.99500000000000011</v>
      </c>
      <c r="I199" s="241">
        <f t="shared" si="121"/>
        <v>0.99500000000000011</v>
      </c>
      <c r="J199" s="241">
        <f t="shared" si="113"/>
        <v>0.99500000000000011</v>
      </c>
      <c r="K199" s="241">
        <f t="shared" si="114"/>
        <v>0.99500000000000011</v>
      </c>
      <c r="L199" s="241">
        <f t="shared" si="115"/>
        <v>0.99500000000000011</v>
      </c>
      <c r="M199" s="241">
        <f t="shared" si="116"/>
        <v>0.99500000000000011</v>
      </c>
      <c r="N199" s="241">
        <f t="shared" si="117"/>
        <v>0.99500000000000011</v>
      </c>
      <c r="O199" s="241">
        <f t="shared" si="118"/>
        <v>0.99500000000000011</v>
      </c>
      <c r="P199" s="241">
        <f t="shared" si="119"/>
        <v>0.99500000000000011</v>
      </c>
      <c r="Q199" s="241">
        <f t="shared" si="120"/>
        <v>0.99500000000000011</v>
      </c>
      <c r="R199" s="240">
        <v>1</v>
      </c>
      <c r="S199" s="240"/>
      <c r="T199" s="242">
        <v>5</v>
      </c>
      <c r="U199" s="243"/>
    </row>
    <row r="200" spans="1:21">
      <c r="A200" s="238" t="s">
        <v>1368</v>
      </c>
      <c r="B200" s="239" t="str">
        <f>TechData_R0!C98</f>
        <v>IMPOILHV35</v>
      </c>
      <c r="C200" s="239"/>
      <c r="D200" s="239"/>
      <c r="E200" s="240" t="s">
        <v>1217</v>
      </c>
      <c r="F200" s="240"/>
      <c r="G200" s="240" t="s">
        <v>1220</v>
      </c>
      <c r="H200" s="241">
        <f>1-TechData_R0!K98+1</f>
        <v>0.99500000000000011</v>
      </c>
      <c r="I200" s="241">
        <f t="shared" si="121"/>
        <v>0.99500000000000011</v>
      </c>
      <c r="J200" s="241">
        <f t="shared" si="113"/>
        <v>0.99500000000000011</v>
      </c>
      <c r="K200" s="241">
        <f t="shared" si="114"/>
        <v>0.99500000000000011</v>
      </c>
      <c r="L200" s="241">
        <f t="shared" si="115"/>
        <v>0.99500000000000011</v>
      </c>
      <c r="M200" s="241">
        <f t="shared" si="116"/>
        <v>0.99500000000000011</v>
      </c>
      <c r="N200" s="241">
        <f t="shared" si="117"/>
        <v>0.99500000000000011</v>
      </c>
      <c r="O200" s="241">
        <f t="shared" si="118"/>
        <v>0.99500000000000011</v>
      </c>
      <c r="P200" s="241">
        <f t="shared" si="119"/>
        <v>0.99500000000000011</v>
      </c>
      <c r="Q200" s="241">
        <f t="shared" si="120"/>
        <v>0.99500000000000011</v>
      </c>
      <c r="R200" s="240">
        <v>1</v>
      </c>
      <c r="S200" s="240"/>
      <c r="T200" s="242">
        <v>5</v>
      </c>
      <c r="U200" s="243"/>
    </row>
    <row r="201" spans="1:21">
      <c r="A201" s="238" t="s">
        <v>1369</v>
      </c>
      <c r="B201" s="239" t="str">
        <f>TechData_R0!C99</f>
        <v>IMPOILLL33</v>
      </c>
      <c r="C201" s="239"/>
      <c r="D201" s="239"/>
      <c r="E201" s="240" t="s">
        <v>1217</v>
      </c>
      <c r="F201" s="240"/>
      <c r="G201" s="240" t="s">
        <v>1220</v>
      </c>
      <c r="H201" s="241">
        <f>1-TechData_R0!K99+1</f>
        <v>0.99500000000000011</v>
      </c>
      <c r="I201" s="241">
        <f t="shared" si="121"/>
        <v>0.99500000000000011</v>
      </c>
      <c r="J201" s="241">
        <f t="shared" si="113"/>
        <v>0.99500000000000011</v>
      </c>
      <c r="K201" s="241">
        <f t="shared" si="114"/>
        <v>0.99500000000000011</v>
      </c>
      <c r="L201" s="241">
        <f t="shared" si="115"/>
        <v>0.99500000000000011</v>
      </c>
      <c r="M201" s="241">
        <f t="shared" si="116"/>
        <v>0.99500000000000011</v>
      </c>
      <c r="N201" s="241">
        <f t="shared" si="117"/>
        <v>0.99500000000000011</v>
      </c>
      <c r="O201" s="241">
        <f t="shared" si="118"/>
        <v>0.99500000000000011</v>
      </c>
      <c r="P201" s="241">
        <f t="shared" si="119"/>
        <v>0.99500000000000011</v>
      </c>
      <c r="Q201" s="241">
        <f t="shared" si="120"/>
        <v>0.99500000000000011</v>
      </c>
      <c r="R201" s="240">
        <v>1</v>
      </c>
      <c r="S201" s="240"/>
      <c r="T201" s="242">
        <v>5</v>
      </c>
      <c r="U201" s="243"/>
    </row>
    <row r="202" spans="1:21">
      <c r="A202" s="238" t="s">
        <v>1370</v>
      </c>
      <c r="B202" s="239" t="str">
        <f>TechData_R0!C100</f>
        <v>IMPOILLL31</v>
      </c>
      <c r="C202" s="239"/>
      <c r="D202" s="239"/>
      <c r="E202" s="240" t="s">
        <v>1217</v>
      </c>
      <c r="F202" s="240"/>
      <c r="G202" s="240" t="s">
        <v>1220</v>
      </c>
      <c r="H202" s="241">
        <f>1-TechData_R0!K100+1</f>
        <v>0.99500000000000011</v>
      </c>
      <c r="I202" s="241">
        <f t="shared" si="121"/>
        <v>0.99500000000000011</v>
      </c>
      <c r="J202" s="241">
        <f t="shared" si="113"/>
        <v>0.99500000000000011</v>
      </c>
      <c r="K202" s="241">
        <f t="shared" si="114"/>
        <v>0.99500000000000011</v>
      </c>
      <c r="L202" s="241">
        <f t="shared" si="115"/>
        <v>0.99500000000000011</v>
      </c>
      <c r="M202" s="241">
        <f t="shared" si="116"/>
        <v>0.99500000000000011</v>
      </c>
      <c r="N202" s="241">
        <f t="shared" si="117"/>
        <v>0.99500000000000011</v>
      </c>
      <c r="O202" s="241">
        <f t="shared" si="118"/>
        <v>0.99500000000000011</v>
      </c>
      <c r="P202" s="241">
        <f t="shared" si="119"/>
        <v>0.99500000000000011</v>
      </c>
      <c r="Q202" s="241">
        <f t="shared" si="120"/>
        <v>0.99500000000000011</v>
      </c>
      <c r="R202" s="240">
        <v>1</v>
      </c>
      <c r="S202" s="240"/>
      <c r="T202" s="242">
        <v>5</v>
      </c>
      <c r="U202" s="243"/>
    </row>
    <row r="203" spans="1:21">
      <c r="A203" s="238" t="s">
        <v>1371</v>
      </c>
      <c r="B203" s="239" t="str">
        <f>TechData_R0!C101</f>
        <v>IMPOILLL32</v>
      </c>
      <c r="C203" s="239"/>
      <c r="D203" s="239"/>
      <c r="E203" s="240" t="s">
        <v>1217</v>
      </c>
      <c r="F203" s="240"/>
      <c r="G203" s="240" t="s">
        <v>1220</v>
      </c>
      <c r="H203" s="241">
        <f>1-TechData_R0!K101+1</f>
        <v>0.99500000000000011</v>
      </c>
      <c r="I203" s="241">
        <f t="shared" si="121"/>
        <v>0.99500000000000011</v>
      </c>
      <c r="J203" s="241">
        <f t="shared" si="113"/>
        <v>0.99500000000000011</v>
      </c>
      <c r="K203" s="241">
        <f t="shared" si="114"/>
        <v>0.99500000000000011</v>
      </c>
      <c r="L203" s="241">
        <f t="shared" si="115"/>
        <v>0.99500000000000011</v>
      </c>
      <c r="M203" s="241">
        <f t="shared" si="116"/>
        <v>0.99500000000000011</v>
      </c>
      <c r="N203" s="241">
        <f t="shared" si="117"/>
        <v>0.99500000000000011</v>
      </c>
      <c r="O203" s="241">
        <f t="shared" si="118"/>
        <v>0.99500000000000011</v>
      </c>
      <c r="P203" s="241">
        <f t="shared" si="119"/>
        <v>0.99500000000000011</v>
      </c>
      <c r="Q203" s="241">
        <f t="shared" si="120"/>
        <v>0.99500000000000011</v>
      </c>
      <c r="R203" s="240">
        <v>1</v>
      </c>
      <c r="S203" s="240"/>
      <c r="T203" s="242">
        <v>5</v>
      </c>
      <c r="U203" s="243"/>
    </row>
    <row r="204" spans="1:21">
      <c r="A204" s="238" t="s">
        <v>1372</v>
      </c>
      <c r="B204" s="239" t="str">
        <f>TechData_R0!C102</f>
        <v>IMPOILLL34</v>
      </c>
      <c r="C204" s="239"/>
      <c r="D204" s="239"/>
      <c r="E204" s="240" t="s">
        <v>1217</v>
      </c>
      <c r="F204" s="240"/>
      <c r="G204" s="240" t="s">
        <v>1220</v>
      </c>
      <c r="H204" s="241">
        <f>1-TechData_R0!K102+1</f>
        <v>0.99500000000000011</v>
      </c>
      <c r="I204" s="241">
        <f t="shared" si="121"/>
        <v>0.99500000000000011</v>
      </c>
      <c r="J204" s="241">
        <f t="shared" si="113"/>
        <v>0.99500000000000011</v>
      </c>
      <c r="K204" s="241">
        <f t="shared" si="114"/>
        <v>0.99500000000000011</v>
      </c>
      <c r="L204" s="241">
        <f t="shared" si="115"/>
        <v>0.99500000000000011</v>
      </c>
      <c r="M204" s="241">
        <f t="shared" si="116"/>
        <v>0.99500000000000011</v>
      </c>
      <c r="N204" s="241">
        <f t="shared" si="117"/>
        <v>0.99500000000000011</v>
      </c>
      <c r="O204" s="241">
        <f t="shared" si="118"/>
        <v>0.99500000000000011</v>
      </c>
      <c r="P204" s="241">
        <f t="shared" si="119"/>
        <v>0.99500000000000011</v>
      </c>
      <c r="Q204" s="241">
        <f t="shared" si="120"/>
        <v>0.99500000000000011</v>
      </c>
      <c r="R204" s="240">
        <v>1</v>
      </c>
      <c r="S204" s="240"/>
      <c r="T204" s="242">
        <v>5</v>
      </c>
      <c r="U204" s="243"/>
    </row>
    <row r="205" spans="1:21">
      <c r="A205" s="238" t="s">
        <v>1373</v>
      </c>
      <c r="B205" s="239" t="str">
        <f>TechData_R0!C103</f>
        <v>IMPOILLL35</v>
      </c>
      <c r="C205" s="239"/>
      <c r="D205" s="239"/>
      <c r="E205" s="240" t="s">
        <v>1217</v>
      </c>
      <c r="F205" s="240"/>
      <c r="G205" s="240" t="s">
        <v>1220</v>
      </c>
      <c r="H205" s="241">
        <f>1-TechData_R0!K103+1</f>
        <v>0.99500000000000011</v>
      </c>
      <c r="I205" s="241">
        <f t="shared" si="121"/>
        <v>0.99500000000000011</v>
      </c>
      <c r="J205" s="241">
        <f t="shared" si="113"/>
        <v>0.99500000000000011</v>
      </c>
      <c r="K205" s="241">
        <f t="shared" si="114"/>
        <v>0.99500000000000011</v>
      </c>
      <c r="L205" s="241">
        <f t="shared" si="115"/>
        <v>0.99500000000000011</v>
      </c>
      <c r="M205" s="241">
        <f t="shared" si="116"/>
        <v>0.99500000000000011</v>
      </c>
      <c r="N205" s="241">
        <f t="shared" si="117"/>
        <v>0.99500000000000011</v>
      </c>
      <c r="O205" s="241">
        <f t="shared" si="118"/>
        <v>0.99500000000000011</v>
      </c>
      <c r="P205" s="241">
        <f t="shared" si="119"/>
        <v>0.99500000000000011</v>
      </c>
      <c r="Q205" s="241">
        <f t="shared" si="120"/>
        <v>0.99500000000000011</v>
      </c>
      <c r="R205" s="240">
        <v>1</v>
      </c>
      <c r="S205" s="240"/>
      <c r="T205" s="242">
        <v>5</v>
      </c>
      <c r="U205" s="243"/>
    </row>
    <row r="206" spans="1:21">
      <c r="A206" s="238" t="s">
        <v>1374</v>
      </c>
      <c r="B206" s="239" t="str">
        <f>TechData_R0!C104</f>
        <v>IMPOILMH33</v>
      </c>
      <c r="C206" s="239"/>
      <c r="D206" s="239"/>
      <c r="E206" s="240" t="s">
        <v>1217</v>
      </c>
      <c r="F206" s="240"/>
      <c r="G206" s="240" t="s">
        <v>1220</v>
      </c>
      <c r="H206" s="241">
        <f>1-TechData_R0!K104+1</f>
        <v>0.99500000000000011</v>
      </c>
      <c r="I206" s="241">
        <f t="shared" si="121"/>
        <v>0.99500000000000011</v>
      </c>
      <c r="J206" s="241">
        <f t="shared" si="113"/>
        <v>0.99500000000000011</v>
      </c>
      <c r="K206" s="241">
        <f t="shared" si="114"/>
        <v>0.99500000000000011</v>
      </c>
      <c r="L206" s="241">
        <f t="shared" si="115"/>
        <v>0.99500000000000011</v>
      </c>
      <c r="M206" s="241">
        <f t="shared" si="116"/>
        <v>0.99500000000000011</v>
      </c>
      <c r="N206" s="241">
        <f t="shared" si="117"/>
        <v>0.99500000000000011</v>
      </c>
      <c r="O206" s="241">
        <f t="shared" si="118"/>
        <v>0.99500000000000011</v>
      </c>
      <c r="P206" s="241">
        <f t="shared" si="119"/>
        <v>0.99500000000000011</v>
      </c>
      <c r="Q206" s="241">
        <f t="shared" si="120"/>
        <v>0.99500000000000011</v>
      </c>
      <c r="R206" s="240">
        <v>1</v>
      </c>
      <c r="S206" s="240"/>
      <c r="T206" s="242">
        <v>5</v>
      </c>
      <c r="U206" s="243"/>
    </row>
    <row r="207" spans="1:21">
      <c r="A207" s="238" t="s">
        <v>1375</v>
      </c>
      <c r="B207" s="239" t="str">
        <f>TechData_R0!C105</f>
        <v>IMPOILMH31</v>
      </c>
      <c r="C207" s="239"/>
      <c r="D207" s="239"/>
      <c r="E207" s="240" t="s">
        <v>1217</v>
      </c>
      <c r="F207" s="240"/>
      <c r="G207" s="240" t="s">
        <v>1220</v>
      </c>
      <c r="H207" s="241">
        <f>1-TechData_R0!K105+1</f>
        <v>0.99500000000000011</v>
      </c>
      <c r="I207" s="241">
        <f t="shared" si="121"/>
        <v>0.99500000000000011</v>
      </c>
      <c r="J207" s="241">
        <f t="shared" si="113"/>
        <v>0.99500000000000011</v>
      </c>
      <c r="K207" s="241">
        <f t="shared" si="114"/>
        <v>0.99500000000000011</v>
      </c>
      <c r="L207" s="241">
        <f t="shared" si="115"/>
        <v>0.99500000000000011</v>
      </c>
      <c r="M207" s="241">
        <f t="shared" si="116"/>
        <v>0.99500000000000011</v>
      </c>
      <c r="N207" s="241">
        <f t="shared" si="117"/>
        <v>0.99500000000000011</v>
      </c>
      <c r="O207" s="241">
        <f t="shared" si="118"/>
        <v>0.99500000000000011</v>
      </c>
      <c r="P207" s="241">
        <f t="shared" si="119"/>
        <v>0.99500000000000011</v>
      </c>
      <c r="Q207" s="241">
        <f t="shared" si="120"/>
        <v>0.99500000000000011</v>
      </c>
      <c r="R207" s="240">
        <v>1</v>
      </c>
      <c r="S207" s="240"/>
      <c r="T207" s="242">
        <v>5</v>
      </c>
      <c r="U207" s="243"/>
    </row>
    <row r="208" spans="1:21">
      <c r="A208" s="238" t="s">
        <v>1376</v>
      </c>
      <c r="B208" s="239" t="str">
        <f>TechData_R0!C106</f>
        <v>IMPOILMH32</v>
      </c>
      <c r="C208" s="239"/>
      <c r="D208" s="239"/>
      <c r="E208" s="240" t="s">
        <v>1217</v>
      </c>
      <c r="F208" s="240"/>
      <c r="G208" s="240" t="s">
        <v>1220</v>
      </c>
      <c r="H208" s="241">
        <f>1-TechData_R0!K106+1</f>
        <v>0.99500000000000011</v>
      </c>
      <c r="I208" s="241">
        <f t="shared" si="121"/>
        <v>0.99500000000000011</v>
      </c>
      <c r="J208" s="241">
        <f t="shared" si="113"/>
        <v>0.99500000000000011</v>
      </c>
      <c r="K208" s="241">
        <f t="shared" si="114"/>
        <v>0.99500000000000011</v>
      </c>
      <c r="L208" s="241">
        <f t="shared" si="115"/>
        <v>0.99500000000000011</v>
      </c>
      <c r="M208" s="241">
        <f t="shared" si="116"/>
        <v>0.99500000000000011</v>
      </c>
      <c r="N208" s="241">
        <f t="shared" si="117"/>
        <v>0.99500000000000011</v>
      </c>
      <c r="O208" s="241">
        <f t="shared" si="118"/>
        <v>0.99500000000000011</v>
      </c>
      <c r="P208" s="241">
        <f t="shared" si="119"/>
        <v>0.99500000000000011</v>
      </c>
      <c r="Q208" s="241">
        <f t="shared" si="120"/>
        <v>0.99500000000000011</v>
      </c>
      <c r="R208" s="240">
        <v>1</v>
      </c>
      <c r="S208" s="240"/>
      <c r="T208" s="242">
        <v>5</v>
      </c>
      <c r="U208" s="243"/>
    </row>
    <row r="209" spans="1:21">
      <c r="A209" s="238" t="s">
        <v>1377</v>
      </c>
      <c r="B209" s="239" t="str">
        <f>TechData_R0!C107</f>
        <v>IMPOILMH34</v>
      </c>
      <c r="C209" s="239"/>
      <c r="D209" s="239"/>
      <c r="E209" s="240" t="s">
        <v>1217</v>
      </c>
      <c r="F209" s="240"/>
      <c r="G209" s="240" t="s">
        <v>1220</v>
      </c>
      <c r="H209" s="241">
        <f>1-TechData_R0!K107+1</f>
        <v>0.99500000000000011</v>
      </c>
      <c r="I209" s="241">
        <f t="shared" si="121"/>
        <v>0.99500000000000011</v>
      </c>
      <c r="J209" s="241">
        <f t="shared" si="113"/>
        <v>0.99500000000000011</v>
      </c>
      <c r="K209" s="241">
        <f t="shared" si="114"/>
        <v>0.99500000000000011</v>
      </c>
      <c r="L209" s="241">
        <f t="shared" si="115"/>
        <v>0.99500000000000011</v>
      </c>
      <c r="M209" s="241">
        <f t="shared" si="116"/>
        <v>0.99500000000000011</v>
      </c>
      <c r="N209" s="241">
        <f t="shared" si="117"/>
        <v>0.99500000000000011</v>
      </c>
      <c r="O209" s="241">
        <f t="shared" si="118"/>
        <v>0.99500000000000011</v>
      </c>
      <c r="P209" s="241">
        <f t="shared" si="119"/>
        <v>0.99500000000000011</v>
      </c>
      <c r="Q209" s="241">
        <f t="shared" si="120"/>
        <v>0.99500000000000011</v>
      </c>
      <c r="R209" s="240">
        <v>1</v>
      </c>
      <c r="S209" s="240"/>
      <c r="T209" s="242">
        <v>5</v>
      </c>
      <c r="U209" s="243"/>
    </row>
    <row r="210" spans="1:21">
      <c r="A210" s="238" t="s">
        <v>1378</v>
      </c>
      <c r="B210" s="239" t="str">
        <f>TechData_R0!C108</f>
        <v>IMPOILMH35</v>
      </c>
      <c r="C210" s="239"/>
      <c r="D210" s="239"/>
      <c r="E210" s="240" t="s">
        <v>1217</v>
      </c>
      <c r="F210" s="240"/>
      <c r="G210" s="240" t="s">
        <v>1220</v>
      </c>
      <c r="H210" s="241">
        <f>1-TechData_R0!K108+1</f>
        <v>0.99500000000000011</v>
      </c>
      <c r="I210" s="241">
        <f t="shared" si="121"/>
        <v>0.99500000000000011</v>
      </c>
      <c r="J210" s="241">
        <f t="shared" si="113"/>
        <v>0.99500000000000011</v>
      </c>
      <c r="K210" s="241">
        <f t="shared" si="114"/>
        <v>0.99500000000000011</v>
      </c>
      <c r="L210" s="241">
        <f t="shared" si="115"/>
        <v>0.99500000000000011</v>
      </c>
      <c r="M210" s="241">
        <f t="shared" si="116"/>
        <v>0.99500000000000011</v>
      </c>
      <c r="N210" s="241">
        <f t="shared" si="117"/>
        <v>0.99500000000000011</v>
      </c>
      <c r="O210" s="241">
        <f t="shared" si="118"/>
        <v>0.99500000000000011</v>
      </c>
      <c r="P210" s="241">
        <f t="shared" si="119"/>
        <v>0.99500000000000011</v>
      </c>
      <c r="Q210" s="241">
        <f t="shared" si="120"/>
        <v>0.99500000000000011</v>
      </c>
      <c r="R210" s="240">
        <v>1</v>
      </c>
      <c r="S210" s="240"/>
      <c r="T210" s="242">
        <v>5</v>
      </c>
      <c r="U210" s="243"/>
    </row>
    <row r="211" spans="1:21">
      <c r="A211" s="238" t="s">
        <v>1379</v>
      </c>
      <c r="B211" s="239" t="str">
        <f>TechData_R0!C198</f>
        <v>IMPJTFP13</v>
      </c>
      <c r="C211" s="239"/>
      <c r="D211" s="239"/>
      <c r="E211" s="240" t="s">
        <v>1217</v>
      </c>
      <c r="F211" s="240"/>
      <c r="G211" s="240" t="s">
        <v>1220</v>
      </c>
      <c r="H211" s="241">
        <f>1-TechData_R0!J198+1</f>
        <v>0.99500000000000011</v>
      </c>
      <c r="I211" s="241">
        <f t="shared" ref="I211" si="122">H211</f>
        <v>0.99500000000000011</v>
      </c>
      <c r="J211" s="241">
        <f t="shared" ref="J211" si="123">I211</f>
        <v>0.99500000000000011</v>
      </c>
      <c r="K211" s="241">
        <f t="shared" ref="K211" si="124">J211</f>
        <v>0.99500000000000011</v>
      </c>
      <c r="L211" s="241">
        <f t="shared" ref="L211" si="125">K211</f>
        <v>0.99500000000000011</v>
      </c>
      <c r="M211" s="241">
        <f t="shared" ref="M211" si="126">L211</f>
        <v>0.99500000000000011</v>
      </c>
      <c r="N211" s="241">
        <f t="shared" ref="N211" si="127">M211</f>
        <v>0.99500000000000011</v>
      </c>
      <c r="O211" s="241">
        <f t="shared" ref="O211" si="128">N211</f>
        <v>0.99500000000000011</v>
      </c>
      <c r="P211" s="241">
        <f t="shared" ref="P211" si="129">O211</f>
        <v>0.99500000000000011</v>
      </c>
      <c r="Q211" s="241">
        <f t="shared" ref="Q211" si="130">P211</f>
        <v>0.99500000000000011</v>
      </c>
      <c r="R211" s="240">
        <v>1</v>
      </c>
      <c r="S211" s="240"/>
      <c r="T211" s="242">
        <v>5</v>
      </c>
      <c r="U211" s="243"/>
    </row>
    <row r="212" spans="1:21">
      <c r="A212" s="238" t="s">
        <v>1380</v>
      </c>
      <c r="B212" s="239" t="str">
        <f>TechData_R0!C199</f>
        <v>IMPJTFP11</v>
      </c>
      <c r="C212" s="239"/>
      <c r="D212" s="239"/>
      <c r="E212" s="240" t="s">
        <v>1217</v>
      </c>
      <c r="F212" s="240"/>
      <c r="G212" s="240" t="s">
        <v>1220</v>
      </c>
      <c r="H212" s="241">
        <f>1-TechData_R0!J199+1</f>
        <v>0.99500000000000011</v>
      </c>
      <c r="I212" s="241">
        <f t="shared" ref="I212:I236" si="131">H212</f>
        <v>0.99500000000000011</v>
      </c>
      <c r="J212" s="241">
        <f t="shared" ref="J212:J236" si="132">I212</f>
        <v>0.99500000000000011</v>
      </c>
      <c r="K212" s="241">
        <f t="shared" ref="K212:K236" si="133">J212</f>
        <v>0.99500000000000011</v>
      </c>
      <c r="L212" s="241">
        <f t="shared" ref="L212:L236" si="134">K212</f>
        <v>0.99500000000000011</v>
      </c>
      <c r="M212" s="241">
        <f t="shared" ref="M212:M236" si="135">L212</f>
        <v>0.99500000000000011</v>
      </c>
      <c r="N212" s="241">
        <f t="shared" ref="N212:N236" si="136">M212</f>
        <v>0.99500000000000011</v>
      </c>
      <c r="O212" s="241">
        <f t="shared" ref="O212:O236" si="137">N212</f>
        <v>0.99500000000000011</v>
      </c>
      <c r="P212" s="241">
        <f t="shared" ref="P212:P236" si="138">O212</f>
        <v>0.99500000000000011</v>
      </c>
      <c r="Q212" s="241">
        <f t="shared" ref="Q212:Q236" si="139">P212</f>
        <v>0.99500000000000011</v>
      </c>
      <c r="R212" s="240">
        <v>1</v>
      </c>
      <c r="S212" s="240"/>
      <c r="T212" s="242">
        <v>5</v>
      </c>
      <c r="U212" s="243"/>
    </row>
    <row r="213" spans="1:21">
      <c r="A213" s="238" t="s">
        <v>1414</v>
      </c>
      <c r="B213" s="239" t="str">
        <f>TechData_R0!C200</f>
        <v>IMPJTFP12</v>
      </c>
      <c r="C213" s="239"/>
      <c r="D213" s="239"/>
      <c r="E213" s="240" t="s">
        <v>1217</v>
      </c>
      <c r="F213" s="240"/>
      <c r="G213" s="240" t="s">
        <v>1220</v>
      </c>
      <c r="H213" s="241">
        <f>1-TechData_R0!J200+1</f>
        <v>0.99500000000000011</v>
      </c>
      <c r="I213" s="241">
        <f t="shared" si="131"/>
        <v>0.99500000000000011</v>
      </c>
      <c r="J213" s="241">
        <f t="shared" si="132"/>
        <v>0.99500000000000011</v>
      </c>
      <c r="K213" s="241">
        <f t="shared" si="133"/>
        <v>0.99500000000000011</v>
      </c>
      <c r="L213" s="241">
        <f t="shared" si="134"/>
        <v>0.99500000000000011</v>
      </c>
      <c r="M213" s="241">
        <f t="shared" si="135"/>
        <v>0.99500000000000011</v>
      </c>
      <c r="N213" s="241">
        <f t="shared" si="136"/>
        <v>0.99500000000000011</v>
      </c>
      <c r="O213" s="241">
        <f t="shared" si="137"/>
        <v>0.99500000000000011</v>
      </c>
      <c r="P213" s="241">
        <f t="shared" si="138"/>
        <v>0.99500000000000011</v>
      </c>
      <c r="Q213" s="241">
        <f t="shared" si="139"/>
        <v>0.99500000000000011</v>
      </c>
      <c r="R213" s="240">
        <v>1</v>
      </c>
      <c r="S213" s="240"/>
      <c r="T213" s="242">
        <v>5</v>
      </c>
      <c r="U213" s="243"/>
    </row>
    <row r="214" spans="1:21">
      <c r="A214" s="238" t="s">
        <v>1415</v>
      </c>
      <c r="B214" s="239" t="str">
        <f>TechData_R0!C201</f>
        <v>IMPJTFP14</v>
      </c>
      <c r="C214" s="239"/>
      <c r="D214" s="239"/>
      <c r="E214" s="240" t="s">
        <v>1217</v>
      </c>
      <c r="F214" s="240"/>
      <c r="G214" s="240" t="s">
        <v>1220</v>
      </c>
      <c r="H214" s="241">
        <f>1-TechData_R0!J201+1</f>
        <v>0.99500000000000011</v>
      </c>
      <c r="I214" s="241">
        <f t="shared" si="131"/>
        <v>0.99500000000000011</v>
      </c>
      <c r="J214" s="241">
        <f t="shared" si="132"/>
        <v>0.99500000000000011</v>
      </c>
      <c r="K214" s="241">
        <f t="shared" si="133"/>
        <v>0.99500000000000011</v>
      </c>
      <c r="L214" s="241">
        <f t="shared" si="134"/>
        <v>0.99500000000000011</v>
      </c>
      <c r="M214" s="241">
        <f t="shared" si="135"/>
        <v>0.99500000000000011</v>
      </c>
      <c r="N214" s="241">
        <f t="shared" si="136"/>
        <v>0.99500000000000011</v>
      </c>
      <c r="O214" s="241">
        <f t="shared" si="137"/>
        <v>0.99500000000000011</v>
      </c>
      <c r="P214" s="241">
        <f t="shared" si="138"/>
        <v>0.99500000000000011</v>
      </c>
      <c r="Q214" s="241">
        <f t="shared" si="139"/>
        <v>0.99500000000000011</v>
      </c>
      <c r="R214" s="240">
        <v>1</v>
      </c>
      <c r="S214" s="240"/>
      <c r="T214" s="242">
        <v>5</v>
      </c>
      <c r="U214" s="243"/>
    </row>
    <row r="215" spans="1:21">
      <c r="A215" s="238" t="s">
        <v>1416</v>
      </c>
      <c r="B215" s="239" t="str">
        <f>TechData_R0!C202</f>
        <v>IMPJTFP15</v>
      </c>
      <c r="C215" s="239"/>
      <c r="D215" s="239"/>
      <c r="E215" s="240" t="s">
        <v>1217</v>
      </c>
      <c r="F215" s="240"/>
      <c r="G215" s="240" t="s">
        <v>1220</v>
      </c>
      <c r="H215" s="241">
        <f>1-TechData_R0!J202+1</f>
        <v>0.99500000000000011</v>
      </c>
      <c r="I215" s="241">
        <f t="shared" si="131"/>
        <v>0.99500000000000011</v>
      </c>
      <c r="J215" s="241">
        <f t="shared" si="132"/>
        <v>0.99500000000000011</v>
      </c>
      <c r="K215" s="241">
        <f t="shared" si="133"/>
        <v>0.99500000000000011</v>
      </c>
      <c r="L215" s="241">
        <f t="shared" si="134"/>
        <v>0.99500000000000011</v>
      </c>
      <c r="M215" s="241">
        <f t="shared" si="135"/>
        <v>0.99500000000000011</v>
      </c>
      <c r="N215" s="241">
        <f t="shared" si="136"/>
        <v>0.99500000000000011</v>
      </c>
      <c r="O215" s="241">
        <f t="shared" si="137"/>
        <v>0.99500000000000011</v>
      </c>
      <c r="P215" s="241">
        <f t="shared" si="138"/>
        <v>0.99500000000000011</v>
      </c>
      <c r="Q215" s="241">
        <f t="shared" si="139"/>
        <v>0.99500000000000011</v>
      </c>
      <c r="R215" s="240">
        <v>1</v>
      </c>
      <c r="S215" s="240"/>
      <c r="T215" s="242">
        <v>5</v>
      </c>
      <c r="U215" s="243"/>
    </row>
    <row r="216" spans="1:21">
      <c r="A216" s="238" t="s">
        <v>1417</v>
      </c>
      <c r="B216" s="239" t="str">
        <f>TechData_R0!C203</f>
        <v>IMPDSHP13</v>
      </c>
      <c r="C216" s="239"/>
      <c r="D216" s="239"/>
      <c r="E216" s="240" t="s">
        <v>1217</v>
      </c>
      <c r="F216" s="240"/>
      <c r="G216" s="240" t="s">
        <v>1220</v>
      </c>
      <c r="H216" s="241">
        <f>1-TechData_R0!J203+1</f>
        <v>0.99500000000000011</v>
      </c>
      <c r="I216" s="241">
        <f t="shared" si="131"/>
        <v>0.99500000000000011</v>
      </c>
      <c r="J216" s="241">
        <f t="shared" si="132"/>
        <v>0.99500000000000011</v>
      </c>
      <c r="K216" s="241">
        <f t="shared" si="133"/>
        <v>0.99500000000000011</v>
      </c>
      <c r="L216" s="241">
        <f t="shared" si="134"/>
        <v>0.99500000000000011</v>
      </c>
      <c r="M216" s="241">
        <f t="shared" si="135"/>
        <v>0.99500000000000011</v>
      </c>
      <c r="N216" s="241">
        <f t="shared" si="136"/>
        <v>0.99500000000000011</v>
      </c>
      <c r="O216" s="241">
        <f t="shared" si="137"/>
        <v>0.99500000000000011</v>
      </c>
      <c r="P216" s="241">
        <f t="shared" si="138"/>
        <v>0.99500000000000011</v>
      </c>
      <c r="Q216" s="241">
        <f t="shared" si="139"/>
        <v>0.99500000000000011</v>
      </c>
      <c r="R216" s="240">
        <v>1</v>
      </c>
      <c r="S216" s="240"/>
      <c r="T216" s="242">
        <v>5</v>
      </c>
      <c r="U216" s="243"/>
    </row>
    <row r="217" spans="1:21">
      <c r="A217" s="238" t="s">
        <v>1418</v>
      </c>
      <c r="B217" s="239" t="str">
        <f>TechData_R0!C204</f>
        <v>IMPDSHP11</v>
      </c>
      <c r="C217" s="239"/>
      <c r="D217" s="239"/>
      <c r="E217" s="240" t="s">
        <v>1217</v>
      </c>
      <c r="F217" s="240"/>
      <c r="G217" s="240" t="s">
        <v>1220</v>
      </c>
      <c r="H217" s="241">
        <f>1-TechData_R0!J204+1</f>
        <v>0.99500000000000011</v>
      </c>
      <c r="I217" s="241">
        <f t="shared" si="131"/>
        <v>0.99500000000000011</v>
      </c>
      <c r="J217" s="241">
        <f t="shared" si="132"/>
        <v>0.99500000000000011</v>
      </c>
      <c r="K217" s="241">
        <f t="shared" si="133"/>
        <v>0.99500000000000011</v>
      </c>
      <c r="L217" s="241">
        <f t="shared" si="134"/>
        <v>0.99500000000000011</v>
      </c>
      <c r="M217" s="241">
        <f t="shared" si="135"/>
        <v>0.99500000000000011</v>
      </c>
      <c r="N217" s="241">
        <f t="shared" si="136"/>
        <v>0.99500000000000011</v>
      </c>
      <c r="O217" s="241">
        <f t="shared" si="137"/>
        <v>0.99500000000000011</v>
      </c>
      <c r="P217" s="241">
        <f t="shared" si="138"/>
        <v>0.99500000000000011</v>
      </c>
      <c r="Q217" s="241">
        <f t="shared" si="139"/>
        <v>0.99500000000000011</v>
      </c>
      <c r="R217" s="240">
        <v>1</v>
      </c>
      <c r="S217" s="240"/>
      <c r="T217" s="242">
        <v>5</v>
      </c>
      <c r="U217" s="243"/>
    </row>
    <row r="218" spans="1:21">
      <c r="A218" s="238" t="s">
        <v>1419</v>
      </c>
      <c r="B218" s="239" t="str">
        <f>TechData_R0!C205</f>
        <v>IMPDSHP12</v>
      </c>
      <c r="C218" s="239"/>
      <c r="D218" s="239"/>
      <c r="E218" s="240" t="s">
        <v>1217</v>
      </c>
      <c r="F218" s="240"/>
      <c r="G218" s="240" t="s">
        <v>1220</v>
      </c>
      <c r="H218" s="241">
        <f>1-TechData_R0!J205+1</f>
        <v>0.99500000000000011</v>
      </c>
      <c r="I218" s="241">
        <f t="shared" si="131"/>
        <v>0.99500000000000011</v>
      </c>
      <c r="J218" s="241">
        <f t="shared" si="132"/>
        <v>0.99500000000000011</v>
      </c>
      <c r="K218" s="241">
        <f t="shared" si="133"/>
        <v>0.99500000000000011</v>
      </c>
      <c r="L218" s="241">
        <f t="shared" si="134"/>
        <v>0.99500000000000011</v>
      </c>
      <c r="M218" s="241">
        <f t="shared" si="135"/>
        <v>0.99500000000000011</v>
      </c>
      <c r="N218" s="241">
        <f t="shared" si="136"/>
        <v>0.99500000000000011</v>
      </c>
      <c r="O218" s="241">
        <f t="shared" si="137"/>
        <v>0.99500000000000011</v>
      </c>
      <c r="P218" s="241">
        <f t="shared" si="138"/>
        <v>0.99500000000000011</v>
      </c>
      <c r="Q218" s="241">
        <f t="shared" si="139"/>
        <v>0.99500000000000011</v>
      </c>
      <c r="R218" s="240">
        <v>1</v>
      </c>
      <c r="S218" s="240"/>
      <c r="T218" s="242">
        <v>5</v>
      </c>
      <c r="U218" s="243"/>
    </row>
    <row r="219" spans="1:21">
      <c r="A219" s="238" t="s">
        <v>1420</v>
      </c>
      <c r="B219" s="239" t="str">
        <f>TechData_R0!C206</f>
        <v>IMPDSHP14</v>
      </c>
      <c r="C219" s="239"/>
      <c r="D219" s="239"/>
      <c r="E219" s="240" t="s">
        <v>1217</v>
      </c>
      <c r="F219" s="240"/>
      <c r="G219" s="240" t="s">
        <v>1220</v>
      </c>
      <c r="H219" s="241">
        <f>1-TechData_R0!J206+1</f>
        <v>0.99500000000000011</v>
      </c>
      <c r="I219" s="241">
        <f t="shared" si="131"/>
        <v>0.99500000000000011</v>
      </c>
      <c r="J219" s="241">
        <f t="shared" si="132"/>
        <v>0.99500000000000011</v>
      </c>
      <c r="K219" s="241">
        <f t="shared" si="133"/>
        <v>0.99500000000000011</v>
      </c>
      <c r="L219" s="241">
        <f t="shared" si="134"/>
        <v>0.99500000000000011</v>
      </c>
      <c r="M219" s="241">
        <f t="shared" si="135"/>
        <v>0.99500000000000011</v>
      </c>
      <c r="N219" s="241">
        <f t="shared" si="136"/>
        <v>0.99500000000000011</v>
      </c>
      <c r="O219" s="241">
        <f t="shared" si="137"/>
        <v>0.99500000000000011</v>
      </c>
      <c r="P219" s="241">
        <f t="shared" si="138"/>
        <v>0.99500000000000011</v>
      </c>
      <c r="Q219" s="241">
        <f t="shared" si="139"/>
        <v>0.99500000000000011</v>
      </c>
      <c r="R219" s="240">
        <v>1</v>
      </c>
      <c r="S219" s="240"/>
      <c r="T219" s="242">
        <v>5</v>
      </c>
      <c r="U219" s="243"/>
    </row>
    <row r="220" spans="1:21">
      <c r="A220" s="238" t="s">
        <v>1421</v>
      </c>
      <c r="B220" s="239" t="str">
        <f>TechData_R0!C207</f>
        <v>IMPDSHP15</v>
      </c>
      <c r="C220" s="239"/>
      <c r="D220" s="239"/>
      <c r="E220" s="240" t="s">
        <v>1217</v>
      </c>
      <c r="F220" s="240"/>
      <c r="G220" s="240" t="s">
        <v>1220</v>
      </c>
      <c r="H220" s="241">
        <f>1-TechData_R0!J207+1</f>
        <v>0.99500000000000011</v>
      </c>
      <c r="I220" s="241">
        <f t="shared" si="131"/>
        <v>0.99500000000000011</v>
      </c>
      <c r="J220" s="241">
        <f t="shared" si="132"/>
        <v>0.99500000000000011</v>
      </c>
      <c r="K220" s="241">
        <f t="shared" si="133"/>
        <v>0.99500000000000011</v>
      </c>
      <c r="L220" s="241">
        <f t="shared" si="134"/>
        <v>0.99500000000000011</v>
      </c>
      <c r="M220" s="241">
        <f t="shared" si="135"/>
        <v>0.99500000000000011</v>
      </c>
      <c r="N220" s="241">
        <f t="shared" si="136"/>
        <v>0.99500000000000011</v>
      </c>
      <c r="O220" s="241">
        <f t="shared" si="137"/>
        <v>0.99500000000000011</v>
      </c>
      <c r="P220" s="241">
        <f t="shared" si="138"/>
        <v>0.99500000000000011</v>
      </c>
      <c r="Q220" s="241">
        <f t="shared" si="139"/>
        <v>0.99500000000000011</v>
      </c>
      <c r="R220" s="240">
        <v>1</v>
      </c>
      <c r="S220" s="240"/>
      <c r="T220" s="242">
        <v>5</v>
      </c>
      <c r="U220" s="243"/>
    </row>
    <row r="221" spans="1:21">
      <c r="A221" s="238" t="s">
        <v>1422</v>
      </c>
      <c r="B221" s="239" t="str">
        <f>TechData_R0!C208</f>
        <v>IMPJTFP23</v>
      </c>
      <c r="C221" s="239"/>
      <c r="D221" s="239"/>
      <c r="E221" s="240" t="s">
        <v>1217</v>
      </c>
      <c r="F221" s="240"/>
      <c r="G221" s="240" t="s">
        <v>1220</v>
      </c>
      <c r="H221" s="241">
        <f>1-TechData_R0!J208+1</f>
        <v>0.99500000000000011</v>
      </c>
      <c r="I221" s="241">
        <f t="shared" si="131"/>
        <v>0.99500000000000011</v>
      </c>
      <c r="J221" s="241">
        <f t="shared" si="132"/>
        <v>0.99500000000000011</v>
      </c>
      <c r="K221" s="241">
        <f t="shared" si="133"/>
        <v>0.99500000000000011</v>
      </c>
      <c r="L221" s="241">
        <f t="shared" si="134"/>
        <v>0.99500000000000011</v>
      </c>
      <c r="M221" s="241">
        <f t="shared" si="135"/>
        <v>0.99500000000000011</v>
      </c>
      <c r="N221" s="241">
        <f t="shared" si="136"/>
        <v>0.99500000000000011</v>
      </c>
      <c r="O221" s="241">
        <f t="shared" si="137"/>
        <v>0.99500000000000011</v>
      </c>
      <c r="P221" s="241">
        <f t="shared" si="138"/>
        <v>0.99500000000000011</v>
      </c>
      <c r="Q221" s="241">
        <f t="shared" si="139"/>
        <v>0.99500000000000011</v>
      </c>
      <c r="R221" s="240">
        <v>1</v>
      </c>
      <c r="S221" s="240"/>
      <c r="T221" s="242">
        <v>5</v>
      </c>
      <c r="U221" s="243"/>
    </row>
    <row r="222" spans="1:21">
      <c r="A222" s="238" t="s">
        <v>1423</v>
      </c>
      <c r="B222" s="239" t="str">
        <f>TechData_R0!C209</f>
        <v>IMPJTFP21</v>
      </c>
      <c r="C222" s="239"/>
      <c r="D222" s="239"/>
      <c r="E222" s="240" t="s">
        <v>1217</v>
      </c>
      <c r="F222" s="240"/>
      <c r="G222" s="240" t="s">
        <v>1220</v>
      </c>
      <c r="H222" s="241">
        <f>1-TechData_R0!J209+1</f>
        <v>0.99500000000000011</v>
      </c>
      <c r="I222" s="241">
        <f t="shared" si="131"/>
        <v>0.99500000000000011</v>
      </c>
      <c r="J222" s="241">
        <f t="shared" si="132"/>
        <v>0.99500000000000011</v>
      </c>
      <c r="K222" s="241">
        <f t="shared" si="133"/>
        <v>0.99500000000000011</v>
      </c>
      <c r="L222" s="241">
        <f t="shared" si="134"/>
        <v>0.99500000000000011</v>
      </c>
      <c r="M222" s="241">
        <f t="shared" si="135"/>
        <v>0.99500000000000011</v>
      </c>
      <c r="N222" s="241">
        <f t="shared" si="136"/>
        <v>0.99500000000000011</v>
      </c>
      <c r="O222" s="241">
        <f t="shared" si="137"/>
        <v>0.99500000000000011</v>
      </c>
      <c r="P222" s="241">
        <f t="shared" si="138"/>
        <v>0.99500000000000011</v>
      </c>
      <c r="Q222" s="241">
        <f t="shared" si="139"/>
        <v>0.99500000000000011</v>
      </c>
      <c r="R222" s="240">
        <v>1</v>
      </c>
      <c r="S222" s="240"/>
      <c r="T222" s="242">
        <v>5</v>
      </c>
      <c r="U222" s="243"/>
    </row>
    <row r="223" spans="1:21">
      <c r="A223" s="238" t="s">
        <v>1424</v>
      </c>
      <c r="B223" s="239" t="str">
        <f>TechData_R0!C210</f>
        <v>IMPJTFP22</v>
      </c>
      <c r="C223" s="239"/>
      <c r="D223" s="239"/>
      <c r="E223" s="240" t="s">
        <v>1217</v>
      </c>
      <c r="F223" s="240"/>
      <c r="G223" s="240" t="s">
        <v>1220</v>
      </c>
      <c r="H223" s="241">
        <f>1-TechData_R0!J210+1</f>
        <v>0.99500000000000011</v>
      </c>
      <c r="I223" s="241">
        <f t="shared" si="131"/>
        <v>0.99500000000000011</v>
      </c>
      <c r="J223" s="241">
        <f t="shared" si="132"/>
        <v>0.99500000000000011</v>
      </c>
      <c r="K223" s="241">
        <f t="shared" si="133"/>
        <v>0.99500000000000011</v>
      </c>
      <c r="L223" s="241">
        <f t="shared" si="134"/>
        <v>0.99500000000000011</v>
      </c>
      <c r="M223" s="241">
        <f t="shared" si="135"/>
        <v>0.99500000000000011</v>
      </c>
      <c r="N223" s="241">
        <f t="shared" si="136"/>
        <v>0.99500000000000011</v>
      </c>
      <c r="O223" s="241">
        <f t="shared" si="137"/>
        <v>0.99500000000000011</v>
      </c>
      <c r="P223" s="241">
        <f t="shared" si="138"/>
        <v>0.99500000000000011</v>
      </c>
      <c r="Q223" s="241">
        <f t="shared" si="139"/>
        <v>0.99500000000000011</v>
      </c>
      <c r="R223" s="240">
        <v>1</v>
      </c>
      <c r="S223" s="240"/>
      <c r="T223" s="242">
        <v>5</v>
      </c>
      <c r="U223" s="243"/>
    </row>
    <row r="224" spans="1:21">
      <c r="A224" s="238" t="s">
        <v>1425</v>
      </c>
      <c r="B224" s="239" t="str">
        <f>TechData_R0!C211</f>
        <v>IMPJTFP24</v>
      </c>
      <c r="C224" s="239"/>
      <c r="D224" s="239"/>
      <c r="E224" s="240" t="s">
        <v>1217</v>
      </c>
      <c r="F224" s="240"/>
      <c r="G224" s="240" t="s">
        <v>1220</v>
      </c>
      <c r="H224" s="241">
        <f>1-TechData_R0!J211+1</f>
        <v>0.99500000000000011</v>
      </c>
      <c r="I224" s="241">
        <f t="shared" si="131"/>
        <v>0.99500000000000011</v>
      </c>
      <c r="J224" s="241">
        <f t="shared" si="132"/>
        <v>0.99500000000000011</v>
      </c>
      <c r="K224" s="241">
        <f t="shared" si="133"/>
        <v>0.99500000000000011</v>
      </c>
      <c r="L224" s="241">
        <f t="shared" si="134"/>
        <v>0.99500000000000011</v>
      </c>
      <c r="M224" s="241">
        <f t="shared" si="135"/>
        <v>0.99500000000000011</v>
      </c>
      <c r="N224" s="241">
        <f t="shared" si="136"/>
        <v>0.99500000000000011</v>
      </c>
      <c r="O224" s="241">
        <f t="shared" si="137"/>
        <v>0.99500000000000011</v>
      </c>
      <c r="P224" s="241">
        <f t="shared" si="138"/>
        <v>0.99500000000000011</v>
      </c>
      <c r="Q224" s="241">
        <f t="shared" si="139"/>
        <v>0.99500000000000011</v>
      </c>
      <c r="R224" s="240">
        <v>1</v>
      </c>
      <c r="S224" s="240"/>
      <c r="T224" s="242">
        <v>5</v>
      </c>
      <c r="U224" s="243"/>
    </row>
    <row r="225" spans="1:21">
      <c r="A225" s="238" t="s">
        <v>1426</v>
      </c>
      <c r="B225" s="239" t="str">
        <f>TechData_R0!C212</f>
        <v>IMPJTFP25</v>
      </c>
      <c r="C225" s="239"/>
      <c r="D225" s="239"/>
      <c r="E225" s="240" t="s">
        <v>1217</v>
      </c>
      <c r="F225" s="240"/>
      <c r="G225" s="240" t="s">
        <v>1220</v>
      </c>
      <c r="H225" s="241">
        <f>1-TechData_R0!J212+1</f>
        <v>0.99500000000000011</v>
      </c>
      <c r="I225" s="241">
        <f t="shared" si="131"/>
        <v>0.99500000000000011</v>
      </c>
      <c r="J225" s="241">
        <f t="shared" si="132"/>
        <v>0.99500000000000011</v>
      </c>
      <c r="K225" s="241">
        <f t="shared" si="133"/>
        <v>0.99500000000000011</v>
      </c>
      <c r="L225" s="241">
        <f t="shared" si="134"/>
        <v>0.99500000000000011</v>
      </c>
      <c r="M225" s="241">
        <f t="shared" si="135"/>
        <v>0.99500000000000011</v>
      </c>
      <c r="N225" s="241">
        <f t="shared" si="136"/>
        <v>0.99500000000000011</v>
      </c>
      <c r="O225" s="241">
        <f t="shared" si="137"/>
        <v>0.99500000000000011</v>
      </c>
      <c r="P225" s="241">
        <f t="shared" si="138"/>
        <v>0.99500000000000011</v>
      </c>
      <c r="Q225" s="241">
        <f t="shared" si="139"/>
        <v>0.99500000000000011</v>
      </c>
      <c r="R225" s="240">
        <v>1</v>
      </c>
      <c r="S225" s="240"/>
      <c r="T225" s="242">
        <v>5</v>
      </c>
      <c r="U225" s="243"/>
    </row>
    <row r="226" spans="1:21">
      <c r="A226" s="238" t="s">
        <v>1427</v>
      </c>
      <c r="B226" s="239" t="str">
        <f>TechData_R0!C213</f>
        <v>IMPDSHP23</v>
      </c>
      <c r="C226" s="239"/>
      <c r="D226" s="239"/>
      <c r="E226" s="240" t="s">
        <v>1217</v>
      </c>
      <c r="F226" s="240"/>
      <c r="G226" s="240" t="s">
        <v>1220</v>
      </c>
      <c r="H226" s="241">
        <f>1-TechData_R0!J213+1</f>
        <v>0.99500000000000011</v>
      </c>
      <c r="I226" s="241">
        <f t="shared" si="131"/>
        <v>0.99500000000000011</v>
      </c>
      <c r="J226" s="241">
        <f t="shared" si="132"/>
        <v>0.99500000000000011</v>
      </c>
      <c r="K226" s="241">
        <f t="shared" si="133"/>
        <v>0.99500000000000011</v>
      </c>
      <c r="L226" s="241">
        <f t="shared" si="134"/>
        <v>0.99500000000000011</v>
      </c>
      <c r="M226" s="241">
        <f t="shared" si="135"/>
        <v>0.99500000000000011</v>
      </c>
      <c r="N226" s="241">
        <f t="shared" si="136"/>
        <v>0.99500000000000011</v>
      </c>
      <c r="O226" s="241">
        <f t="shared" si="137"/>
        <v>0.99500000000000011</v>
      </c>
      <c r="P226" s="241">
        <f t="shared" si="138"/>
        <v>0.99500000000000011</v>
      </c>
      <c r="Q226" s="241">
        <f t="shared" si="139"/>
        <v>0.99500000000000011</v>
      </c>
      <c r="R226" s="240">
        <v>1</v>
      </c>
      <c r="S226" s="240"/>
      <c r="T226" s="242">
        <v>5</v>
      </c>
      <c r="U226" s="243"/>
    </row>
    <row r="227" spans="1:21">
      <c r="A227" s="238" t="s">
        <v>1428</v>
      </c>
      <c r="B227" s="239" t="str">
        <f>TechData_R0!C214</f>
        <v>IMPDSHP21</v>
      </c>
      <c r="C227" s="239"/>
      <c r="D227" s="239"/>
      <c r="E227" s="240" t="s">
        <v>1217</v>
      </c>
      <c r="F227" s="240"/>
      <c r="G227" s="240" t="s">
        <v>1220</v>
      </c>
      <c r="H227" s="241">
        <f>1-TechData_R0!J214+1</f>
        <v>0.99500000000000011</v>
      </c>
      <c r="I227" s="241">
        <f t="shared" si="131"/>
        <v>0.99500000000000011</v>
      </c>
      <c r="J227" s="241">
        <f t="shared" si="132"/>
        <v>0.99500000000000011</v>
      </c>
      <c r="K227" s="241">
        <f t="shared" si="133"/>
        <v>0.99500000000000011</v>
      </c>
      <c r="L227" s="241">
        <f t="shared" si="134"/>
        <v>0.99500000000000011</v>
      </c>
      <c r="M227" s="241">
        <f t="shared" si="135"/>
        <v>0.99500000000000011</v>
      </c>
      <c r="N227" s="241">
        <f t="shared" si="136"/>
        <v>0.99500000000000011</v>
      </c>
      <c r="O227" s="241">
        <f t="shared" si="137"/>
        <v>0.99500000000000011</v>
      </c>
      <c r="P227" s="241">
        <f t="shared" si="138"/>
        <v>0.99500000000000011</v>
      </c>
      <c r="Q227" s="241">
        <f t="shared" si="139"/>
        <v>0.99500000000000011</v>
      </c>
      <c r="R227" s="240">
        <v>1</v>
      </c>
      <c r="S227" s="240"/>
      <c r="T227" s="242">
        <v>5</v>
      </c>
      <c r="U227" s="243"/>
    </row>
    <row r="228" spans="1:21">
      <c r="A228" s="238" t="s">
        <v>1429</v>
      </c>
      <c r="B228" s="239" t="str">
        <f>TechData_R0!C215</f>
        <v>IMPDSHP22</v>
      </c>
      <c r="C228" s="239"/>
      <c r="D228" s="239"/>
      <c r="E228" s="240" t="s">
        <v>1217</v>
      </c>
      <c r="F228" s="240"/>
      <c r="G228" s="240" t="s">
        <v>1220</v>
      </c>
      <c r="H228" s="241">
        <f>1-TechData_R0!J215+1</f>
        <v>0.99500000000000011</v>
      </c>
      <c r="I228" s="241">
        <f t="shared" si="131"/>
        <v>0.99500000000000011</v>
      </c>
      <c r="J228" s="241">
        <f t="shared" si="132"/>
        <v>0.99500000000000011</v>
      </c>
      <c r="K228" s="241">
        <f t="shared" si="133"/>
        <v>0.99500000000000011</v>
      </c>
      <c r="L228" s="241">
        <f t="shared" si="134"/>
        <v>0.99500000000000011</v>
      </c>
      <c r="M228" s="241">
        <f t="shared" si="135"/>
        <v>0.99500000000000011</v>
      </c>
      <c r="N228" s="241">
        <f t="shared" si="136"/>
        <v>0.99500000000000011</v>
      </c>
      <c r="O228" s="241">
        <f t="shared" si="137"/>
        <v>0.99500000000000011</v>
      </c>
      <c r="P228" s="241">
        <f t="shared" si="138"/>
        <v>0.99500000000000011</v>
      </c>
      <c r="Q228" s="241">
        <f t="shared" si="139"/>
        <v>0.99500000000000011</v>
      </c>
      <c r="R228" s="240">
        <v>1</v>
      </c>
      <c r="S228" s="240"/>
      <c r="T228" s="242">
        <v>5</v>
      </c>
      <c r="U228" s="243"/>
    </row>
    <row r="229" spans="1:21">
      <c r="A229" s="238" t="s">
        <v>1430</v>
      </c>
      <c r="B229" s="239" t="str">
        <f>TechData_R0!C216</f>
        <v>IMPDSHP24</v>
      </c>
      <c r="C229" s="239"/>
      <c r="D229" s="239"/>
      <c r="E229" s="240" t="s">
        <v>1217</v>
      </c>
      <c r="F229" s="240"/>
      <c r="G229" s="240" t="s">
        <v>1220</v>
      </c>
      <c r="H229" s="241">
        <f>1-TechData_R0!J216+1</f>
        <v>0.99500000000000011</v>
      </c>
      <c r="I229" s="241">
        <f t="shared" si="131"/>
        <v>0.99500000000000011</v>
      </c>
      <c r="J229" s="241">
        <f t="shared" si="132"/>
        <v>0.99500000000000011</v>
      </c>
      <c r="K229" s="241">
        <f t="shared" si="133"/>
        <v>0.99500000000000011</v>
      </c>
      <c r="L229" s="241">
        <f t="shared" si="134"/>
        <v>0.99500000000000011</v>
      </c>
      <c r="M229" s="241">
        <f t="shared" si="135"/>
        <v>0.99500000000000011</v>
      </c>
      <c r="N229" s="241">
        <f t="shared" si="136"/>
        <v>0.99500000000000011</v>
      </c>
      <c r="O229" s="241">
        <f t="shared" si="137"/>
        <v>0.99500000000000011</v>
      </c>
      <c r="P229" s="241">
        <f t="shared" si="138"/>
        <v>0.99500000000000011</v>
      </c>
      <c r="Q229" s="241">
        <f t="shared" si="139"/>
        <v>0.99500000000000011</v>
      </c>
      <c r="R229" s="240">
        <v>1</v>
      </c>
      <c r="S229" s="240"/>
      <c r="T229" s="242">
        <v>5</v>
      </c>
      <c r="U229" s="243"/>
    </row>
    <row r="230" spans="1:21">
      <c r="A230" s="238" t="s">
        <v>1431</v>
      </c>
      <c r="B230" s="239" t="str">
        <f>TechData_R0!C217</f>
        <v>IMPDSHP25</v>
      </c>
      <c r="C230" s="239"/>
      <c r="D230" s="239"/>
      <c r="E230" s="240" t="s">
        <v>1217</v>
      </c>
      <c r="F230" s="240"/>
      <c r="G230" s="240" t="s">
        <v>1220</v>
      </c>
      <c r="H230" s="241">
        <f>1-TechData_R0!J217+1</f>
        <v>0.99500000000000011</v>
      </c>
      <c r="I230" s="241">
        <f t="shared" si="131"/>
        <v>0.99500000000000011</v>
      </c>
      <c r="J230" s="241">
        <f t="shared" si="132"/>
        <v>0.99500000000000011</v>
      </c>
      <c r="K230" s="241">
        <f t="shared" si="133"/>
        <v>0.99500000000000011</v>
      </c>
      <c r="L230" s="241">
        <f t="shared" si="134"/>
        <v>0.99500000000000011</v>
      </c>
      <c r="M230" s="241">
        <f t="shared" si="135"/>
        <v>0.99500000000000011</v>
      </c>
      <c r="N230" s="241">
        <f t="shared" si="136"/>
        <v>0.99500000000000011</v>
      </c>
      <c r="O230" s="241">
        <f t="shared" si="137"/>
        <v>0.99500000000000011</v>
      </c>
      <c r="P230" s="241">
        <f t="shared" si="138"/>
        <v>0.99500000000000011</v>
      </c>
      <c r="Q230" s="241">
        <f t="shared" si="139"/>
        <v>0.99500000000000011</v>
      </c>
      <c r="R230" s="240">
        <v>1</v>
      </c>
      <c r="S230" s="240"/>
      <c r="T230" s="242">
        <v>5</v>
      </c>
      <c r="U230" s="243"/>
    </row>
    <row r="231" spans="1:21">
      <c r="A231" s="238" t="s">
        <v>1432</v>
      </c>
      <c r="B231" s="239" t="str">
        <f>TechData_R0!C218</f>
        <v>IMPJTFP33</v>
      </c>
      <c r="C231" s="239"/>
      <c r="D231" s="239"/>
      <c r="E231" s="240" t="s">
        <v>1217</v>
      </c>
      <c r="F231" s="240"/>
      <c r="G231" s="240" t="s">
        <v>1220</v>
      </c>
      <c r="H231" s="241">
        <f>1-TechData_R0!J218+1</f>
        <v>0.99500000000000011</v>
      </c>
      <c r="I231" s="241">
        <f t="shared" si="131"/>
        <v>0.99500000000000011</v>
      </c>
      <c r="J231" s="241">
        <f t="shared" si="132"/>
        <v>0.99500000000000011</v>
      </c>
      <c r="K231" s="241">
        <f t="shared" si="133"/>
        <v>0.99500000000000011</v>
      </c>
      <c r="L231" s="241">
        <f t="shared" si="134"/>
        <v>0.99500000000000011</v>
      </c>
      <c r="M231" s="241">
        <f t="shared" si="135"/>
        <v>0.99500000000000011</v>
      </c>
      <c r="N231" s="241">
        <f t="shared" si="136"/>
        <v>0.99500000000000011</v>
      </c>
      <c r="O231" s="241">
        <f t="shared" si="137"/>
        <v>0.99500000000000011</v>
      </c>
      <c r="P231" s="241">
        <f t="shared" si="138"/>
        <v>0.99500000000000011</v>
      </c>
      <c r="Q231" s="241">
        <f t="shared" si="139"/>
        <v>0.99500000000000011</v>
      </c>
      <c r="R231" s="240">
        <v>1</v>
      </c>
      <c r="S231" s="240"/>
      <c r="T231" s="242">
        <v>5</v>
      </c>
      <c r="U231" s="243"/>
    </row>
    <row r="232" spans="1:21">
      <c r="A232" s="238" t="s">
        <v>1433</v>
      </c>
      <c r="B232" s="239" t="str">
        <f>TechData_R0!C219</f>
        <v>IMPJTFP31</v>
      </c>
      <c r="C232" s="239"/>
      <c r="D232" s="239"/>
      <c r="E232" s="240" t="s">
        <v>1217</v>
      </c>
      <c r="F232" s="240"/>
      <c r="G232" s="240" t="s">
        <v>1220</v>
      </c>
      <c r="H232" s="241">
        <f>1-TechData_R0!J219+1</f>
        <v>0.99500000000000011</v>
      </c>
      <c r="I232" s="241">
        <f t="shared" si="131"/>
        <v>0.99500000000000011</v>
      </c>
      <c r="J232" s="241">
        <f t="shared" si="132"/>
        <v>0.99500000000000011</v>
      </c>
      <c r="K232" s="241">
        <f t="shared" si="133"/>
        <v>0.99500000000000011</v>
      </c>
      <c r="L232" s="241">
        <f t="shared" si="134"/>
        <v>0.99500000000000011</v>
      </c>
      <c r="M232" s="241">
        <f t="shared" si="135"/>
        <v>0.99500000000000011</v>
      </c>
      <c r="N232" s="241">
        <f t="shared" si="136"/>
        <v>0.99500000000000011</v>
      </c>
      <c r="O232" s="241">
        <f t="shared" si="137"/>
        <v>0.99500000000000011</v>
      </c>
      <c r="P232" s="241">
        <f t="shared" si="138"/>
        <v>0.99500000000000011</v>
      </c>
      <c r="Q232" s="241">
        <f t="shared" si="139"/>
        <v>0.99500000000000011</v>
      </c>
      <c r="R232" s="240">
        <v>1</v>
      </c>
      <c r="S232" s="240"/>
      <c r="T232" s="242">
        <v>5</v>
      </c>
      <c r="U232" s="243"/>
    </row>
    <row r="233" spans="1:21">
      <c r="A233" s="238" t="s">
        <v>1434</v>
      </c>
      <c r="B233" s="239" t="str">
        <f>TechData_R0!C220</f>
        <v>IMPJTFP32</v>
      </c>
      <c r="C233" s="239"/>
      <c r="D233" s="239"/>
      <c r="E233" s="240" t="s">
        <v>1217</v>
      </c>
      <c r="F233" s="240"/>
      <c r="G233" s="240" t="s">
        <v>1220</v>
      </c>
      <c r="H233" s="241">
        <f>1-TechData_R0!J220+1</f>
        <v>0.99500000000000011</v>
      </c>
      <c r="I233" s="241">
        <f t="shared" si="131"/>
        <v>0.99500000000000011</v>
      </c>
      <c r="J233" s="241">
        <f t="shared" si="132"/>
        <v>0.99500000000000011</v>
      </c>
      <c r="K233" s="241">
        <f t="shared" si="133"/>
        <v>0.99500000000000011</v>
      </c>
      <c r="L233" s="241">
        <f t="shared" si="134"/>
        <v>0.99500000000000011</v>
      </c>
      <c r="M233" s="241">
        <f t="shared" si="135"/>
        <v>0.99500000000000011</v>
      </c>
      <c r="N233" s="241">
        <f t="shared" si="136"/>
        <v>0.99500000000000011</v>
      </c>
      <c r="O233" s="241">
        <f t="shared" si="137"/>
        <v>0.99500000000000011</v>
      </c>
      <c r="P233" s="241">
        <f t="shared" si="138"/>
        <v>0.99500000000000011</v>
      </c>
      <c r="Q233" s="241">
        <f t="shared" si="139"/>
        <v>0.99500000000000011</v>
      </c>
      <c r="R233" s="240">
        <v>1</v>
      </c>
      <c r="S233" s="240"/>
      <c r="T233" s="242">
        <v>5</v>
      </c>
      <c r="U233" s="243"/>
    </row>
    <row r="234" spans="1:21">
      <c r="A234" s="238" t="s">
        <v>1435</v>
      </c>
      <c r="B234" s="239" t="str">
        <f>TechData_R0!C221</f>
        <v>IMPJTFP34</v>
      </c>
      <c r="C234" s="239"/>
      <c r="D234" s="239"/>
      <c r="E234" s="240" t="s">
        <v>1217</v>
      </c>
      <c r="F234" s="240"/>
      <c r="G234" s="240" t="s">
        <v>1220</v>
      </c>
      <c r="H234" s="241">
        <f>1-TechData_R0!J221+1</f>
        <v>0.99500000000000011</v>
      </c>
      <c r="I234" s="241">
        <f t="shared" si="131"/>
        <v>0.99500000000000011</v>
      </c>
      <c r="J234" s="241">
        <f t="shared" si="132"/>
        <v>0.99500000000000011</v>
      </c>
      <c r="K234" s="241">
        <f t="shared" si="133"/>
        <v>0.99500000000000011</v>
      </c>
      <c r="L234" s="241">
        <f t="shared" si="134"/>
        <v>0.99500000000000011</v>
      </c>
      <c r="M234" s="241">
        <f t="shared" si="135"/>
        <v>0.99500000000000011</v>
      </c>
      <c r="N234" s="241">
        <f t="shared" si="136"/>
        <v>0.99500000000000011</v>
      </c>
      <c r="O234" s="241">
        <f t="shared" si="137"/>
        <v>0.99500000000000011</v>
      </c>
      <c r="P234" s="241">
        <f t="shared" si="138"/>
        <v>0.99500000000000011</v>
      </c>
      <c r="Q234" s="241">
        <f t="shared" si="139"/>
        <v>0.99500000000000011</v>
      </c>
      <c r="R234" s="240">
        <v>1</v>
      </c>
      <c r="S234" s="240"/>
      <c r="T234" s="242">
        <v>5</v>
      </c>
      <c r="U234" s="243"/>
    </row>
    <row r="235" spans="1:21">
      <c r="A235" s="238" t="s">
        <v>1436</v>
      </c>
      <c r="B235" s="239" t="str">
        <f>TechData_R0!C222</f>
        <v>IMPJTFP35</v>
      </c>
      <c r="C235" s="239"/>
      <c r="D235" s="239"/>
      <c r="E235" s="240" t="s">
        <v>1217</v>
      </c>
      <c r="F235" s="240"/>
      <c r="G235" s="240" t="s">
        <v>1220</v>
      </c>
      <c r="H235" s="241">
        <f>1-TechData_R0!J222+1</f>
        <v>0.99500000000000011</v>
      </c>
      <c r="I235" s="241">
        <f t="shared" si="131"/>
        <v>0.99500000000000011</v>
      </c>
      <c r="J235" s="241">
        <f t="shared" si="132"/>
        <v>0.99500000000000011</v>
      </c>
      <c r="K235" s="241">
        <f t="shared" si="133"/>
        <v>0.99500000000000011</v>
      </c>
      <c r="L235" s="241">
        <f t="shared" si="134"/>
        <v>0.99500000000000011</v>
      </c>
      <c r="M235" s="241">
        <f t="shared" si="135"/>
        <v>0.99500000000000011</v>
      </c>
      <c r="N235" s="241">
        <f t="shared" si="136"/>
        <v>0.99500000000000011</v>
      </c>
      <c r="O235" s="241">
        <f t="shared" si="137"/>
        <v>0.99500000000000011</v>
      </c>
      <c r="P235" s="241">
        <f t="shared" si="138"/>
        <v>0.99500000000000011</v>
      </c>
      <c r="Q235" s="241">
        <f t="shared" si="139"/>
        <v>0.99500000000000011</v>
      </c>
      <c r="R235" s="240">
        <v>1</v>
      </c>
      <c r="S235" s="240"/>
      <c r="T235" s="242">
        <v>5</v>
      </c>
      <c r="U235" s="243"/>
    </row>
    <row r="236" spans="1:21">
      <c r="A236" s="238" t="s">
        <v>1437</v>
      </c>
      <c r="B236" s="239" t="str">
        <f>TechData_R0!C223</f>
        <v>IMPDSHP33</v>
      </c>
      <c r="C236" s="239"/>
      <c r="D236" s="239"/>
      <c r="E236" s="240" t="s">
        <v>1217</v>
      </c>
      <c r="F236" s="240"/>
      <c r="G236" s="240" t="s">
        <v>1220</v>
      </c>
      <c r="H236" s="241">
        <f>1-TechData_R0!J223+1</f>
        <v>0.99500000000000011</v>
      </c>
      <c r="I236" s="241">
        <f t="shared" si="131"/>
        <v>0.99500000000000011</v>
      </c>
      <c r="J236" s="241">
        <f t="shared" si="132"/>
        <v>0.99500000000000011</v>
      </c>
      <c r="K236" s="241">
        <f t="shared" si="133"/>
        <v>0.99500000000000011</v>
      </c>
      <c r="L236" s="241">
        <f t="shared" si="134"/>
        <v>0.99500000000000011</v>
      </c>
      <c r="M236" s="241">
        <f t="shared" si="135"/>
        <v>0.99500000000000011</v>
      </c>
      <c r="N236" s="241">
        <f t="shared" si="136"/>
        <v>0.99500000000000011</v>
      </c>
      <c r="O236" s="241">
        <f t="shared" si="137"/>
        <v>0.99500000000000011</v>
      </c>
      <c r="P236" s="241">
        <f t="shared" si="138"/>
        <v>0.99500000000000011</v>
      </c>
      <c r="Q236" s="241">
        <f t="shared" si="139"/>
        <v>0.99500000000000011</v>
      </c>
      <c r="R236" s="240">
        <v>1</v>
      </c>
      <c r="S236" s="240"/>
      <c r="T236" s="242">
        <v>5</v>
      </c>
      <c r="U236" s="243"/>
    </row>
    <row r="237" spans="1:21">
      <c r="A237" s="238" t="s">
        <v>1438</v>
      </c>
      <c r="B237" s="239" t="str">
        <f>TechData_R0!C224</f>
        <v>IMPDSHP31</v>
      </c>
      <c r="C237" s="239"/>
      <c r="D237" s="239"/>
      <c r="E237" s="240" t="s">
        <v>1217</v>
      </c>
      <c r="F237" s="240"/>
      <c r="G237" s="240" t="s">
        <v>1220</v>
      </c>
      <c r="H237" s="241">
        <f>1-TechData_R0!J224+1</f>
        <v>0.99500000000000011</v>
      </c>
      <c r="I237" s="241">
        <f t="shared" ref="I237:I240" si="140">H237</f>
        <v>0.99500000000000011</v>
      </c>
      <c r="J237" s="241">
        <f t="shared" ref="J237:J240" si="141">I237</f>
        <v>0.99500000000000011</v>
      </c>
      <c r="K237" s="241">
        <f t="shared" ref="K237:K240" si="142">J237</f>
        <v>0.99500000000000011</v>
      </c>
      <c r="L237" s="241">
        <f t="shared" ref="L237:L240" si="143">K237</f>
        <v>0.99500000000000011</v>
      </c>
      <c r="M237" s="241">
        <f t="shared" ref="M237:M240" si="144">L237</f>
        <v>0.99500000000000011</v>
      </c>
      <c r="N237" s="241">
        <f t="shared" ref="N237:N240" si="145">M237</f>
        <v>0.99500000000000011</v>
      </c>
      <c r="O237" s="241">
        <f t="shared" ref="O237:O240" si="146">N237</f>
        <v>0.99500000000000011</v>
      </c>
      <c r="P237" s="241">
        <f t="shared" ref="P237:P240" si="147">O237</f>
        <v>0.99500000000000011</v>
      </c>
      <c r="Q237" s="241">
        <f t="shared" ref="Q237:Q240" si="148">P237</f>
        <v>0.99500000000000011</v>
      </c>
      <c r="R237" s="240">
        <v>1</v>
      </c>
      <c r="S237" s="240"/>
      <c r="T237" s="242">
        <v>5</v>
      </c>
      <c r="U237" s="243"/>
    </row>
    <row r="238" spans="1:21">
      <c r="A238" s="238" t="s">
        <v>1439</v>
      </c>
      <c r="B238" s="239" t="str">
        <f>TechData_R0!C225</f>
        <v>IMPDSHP32</v>
      </c>
      <c r="C238" s="239"/>
      <c r="D238" s="239"/>
      <c r="E238" s="240" t="s">
        <v>1217</v>
      </c>
      <c r="F238" s="240"/>
      <c r="G238" s="240" t="s">
        <v>1220</v>
      </c>
      <c r="H238" s="241">
        <f>1-TechData_R0!J225+1</f>
        <v>0.99500000000000011</v>
      </c>
      <c r="I238" s="241">
        <f t="shared" si="140"/>
        <v>0.99500000000000011</v>
      </c>
      <c r="J238" s="241">
        <f t="shared" si="141"/>
        <v>0.99500000000000011</v>
      </c>
      <c r="K238" s="241">
        <f t="shared" si="142"/>
        <v>0.99500000000000011</v>
      </c>
      <c r="L238" s="241">
        <f t="shared" si="143"/>
        <v>0.99500000000000011</v>
      </c>
      <c r="M238" s="241">
        <f t="shared" si="144"/>
        <v>0.99500000000000011</v>
      </c>
      <c r="N238" s="241">
        <f t="shared" si="145"/>
        <v>0.99500000000000011</v>
      </c>
      <c r="O238" s="241">
        <f t="shared" si="146"/>
        <v>0.99500000000000011</v>
      </c>
      <c r="P238" s="241">
        <f t="shared" si="147"/>
        <v>0.99500000000000011</v>
      </c>
      <c r="Q238" s="241">
        <f t="shared" si="148"/>
        <v>0.99500000000000011</v>
      </c>
      <c r="R238" s="240">
        <v>1</v>
      </c>
      <c r="S238" s="240"/>
      <c r="T238" s="242">
        <v>5</v>
      </c>
      <c r="U238" s="243"/>
    </row>
    <row r="239" spans="1:21">
      <c r="A239" s="238" t="s">
        <v>1440</v>
      </c>
      <c r="B239" s="239" t="str">
        <f>TechData_R0!C226</f>
        <v>IMPDSHP34</v>
      </c>
      <c r="C239" s="239"/>
      <c r="D239" s="239"/>
      <c r="E239" s="240" t="s">
        <v>1217</v>
      </c>
      <c r="F239" s="240"/>
      <c r="G239" s="240" t="s">
        <v>1220</v>
      </c>
      <c r="H239" s="241">
        <f>1-TechData_R0!J226+1</f>
        <v>0.99500000000000011</v>
      </c>
      <c r="I239" s="241">
        <f t="shared" si="140"/>
        <v>0.99500000000000011</v>
      </c>
      <c r="J239" s="241">
        <f t="shared" si="141"/>
        <v>0.99500000000000011</v>
      </c>
      <c r="K239" s="241">
        <f t="shared" si="142"/>
        <v>0.99500000000000011</v>
      </c>
      <c r="L239" s="241">
        <f t="shared" si="143"/>
        <v>0.99500000000000011</v>
      </c>
      <c r="M239" s="241">
        <f t="shared" si="144"/>
        <v>0.99500000000000011</v>
      </c>
      <c r="N239" s="241">
        <f t="shared" si="145"/>
        <v>0.99500000000000011</v>
      </c>
      <c r="O239" s="241">
        <f t="shared" si="146"/>
        <v>0.99500000000000011</v>
      </c>
      <c r="P239" s="241">
        <f t="shared" si="147"/>
        <v>0.99500000000000011</v>
      </c>
      <c r="Q239" s="241">
        <f t="shared" si="148"/>
        <v>0.99500000000000011</v>
      </c>
      <c r="R239" s="240">
        <v>1</v>
      </c>
      <c r="S239" s="240"/>
      <c r="T239" s="242">
        <v>5</v>
      </c>
      <c r="U239" s="243"/>
    </row>
    <row r="240" spans="1:21">
      <c r="A240" s="238" t="s">
        <v>1441</v>
      </c>
      <c r="B240" s="239" t="str">
        <f>TechData_R0!C227</f>
        <v>IMPDSHP35</v>
      </c>
      <c r="C240" s="239"/>
      <c r="D240" s="239"/>
      <c r="E240" s="240" t="s">
        <v>1217</v>
      </c>
      <c r="F240" s="240"/>
      <c r="G240" s="240" t="s">
        <v>1220</v>
      </c>
      <c r="H240" s="241">
        <f>1-TechData_R0!J227+1</f>
        <v>0.99500000000000011</v>
      </c>
      <c r="I240" s="241">
        <f t="shared" si="140"/>
        <v>0.99500000000000011</v>
      </c>
      <c r="J240" s="241">
        <f t="shared" si="141"/>
        <v>0.99500000000000011</v>
      </c>
      <c r="K240" s="241">
        <f t="shared" si="142"/>
        <v>0.99500000000000011</v>
      </c>
      <c r="L240" s="241">
        <f t="shared" si="143"/>
        <v>0.99500000000000011</v>
      </c>
      <c r="M240" s="241">
        <f t="shared" si="144"/>
        <v>0.99500000000000011</v>
      </c>
      <c r="N240" s="241">
        <f t="shared" si="145"/>
        <v>0.99500000000000011</v>
      </c>
      <c r="O240" s="241">
        <f t="shared" si="146"/>
        <v>0.99500000000000011</v>
      </c>
      <c r="P240" s="241">
        <f t="shared" si="147"/>
        <v>0.99500000000000011</v>
      </c>
      <c r="Q240" s="241">
        <f t="shared" si="148"/>
        <v>0.99500000000000011</v>
      </c>
      <c r="R240" s="240">
        <v>1</v>
      </c>
      <c r="S240" s="240"/>
      <c r="T240" s="242">
        <v>5</v>
      </c>
      <c r="U240" s="243"/>
    </row>
    <row r="241" spans="1:21">
      <c r="A241" s="238"/>
      <c r="B241" s="239"/>
      <c r="C241" s="239"/>
      <c r="D241" s="239"/>
      <c r="E241" s="240"/>
      <c r="F241" s="240"/>
      <c r="G241" s="240"/>
      <c r="H241" s="241"/>
      <c r="I241" s="241"/>
      <c r="J241" s="241"/>
      <c r="K241" s="241"/>
      <c r="L241" s="241"/>
      <c r="M241" s="241"/>
      <c r="N241" s="241"/>
      <c r="O241" s="241"/>
      <c r="P241" s="241"/>
      <c r="Q241" s="241"/>
      <c r="R241" s="240"/>
      <c r="S241" s="240"/>
      <c r="T241" s="242"/>
      <c r="U241" s="243"/>
    </row>
    <row r="242" spans="1:21">
      <c r="A242" s="238"/>
      <c r="B242" s="239"/>
      <c r="C242" s="239"/>
      <c r="D242" s="239"/>
      <c r="E242" s="240"/>
      <c r="F242" s="240"/>
      <c r="G242" s="240"/>
      <c r="H242" s="241"/>
      <c r="I242" s="241"/>
      <c r="J242" s="241"/>
      <c r="K242" s="241"/>
      <c r="L242" s="241"/>
      <c r="M242" s="241"/>
      <c r="N242" s="241"/>
      <c r="O242" s="241"/>
      <c r="P242" s="241"/>
      <c r="Q242" s="241"/>
      <c r="R242" s="240"/>
      <c r="S242" s="240"/>
      <c r="T242" s="242"/>
      <c r="U242" s="243"/>
    </row>
    <row r="243" spans="1:21">
      <c r="A243" s="238"/>
      <c r="B243" s="239"/>
      <c r="C243" s="239"/>
      <c r="D243" s="239"/>
      <c r="E243" s="240"/>
      <c r="F243" s="240"/>
      <c r="G243" s="240"/>
      <c r="H243" s="241"/>
      <c r="I243" s="241"/>
      <c r="J243" s="241"/>
      <c r="K243" s="241"/>
      <c r="L243" s="241"/>
      <c r="M243" s="241"/>
      <c r="N243" s="241"/>
      <c r="O243" s="241"/>
      <c r="P243" s="241"/>
      <c r="Q243" s="241"/>
      <c r="R243" s="240"/>
      <c r="S243" s="240"/>
      <c r="T243" s="242"/>
      <c r="U243" s="243"/>
    </row>
  </sheetData>
  <phoneticPr fontId="68"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53876-48E9-4AC4-BD05-EC969B06C804}">
  <sheetPr>
    <tabColor theme="8"/>
  </sheetPr>
  <dimension ref="A2:S35"/>
  <sheetViews>
    <sheetView showFormulas="1" workbookViewId="0">
      <selection activeCell="H14" sqref="H14"/>
    </sheetView>
  </sheetViews>
  <sheetFormatPr defaultRowHeight="12.75"/>
  <cols>
    <col min="1" max="1" width="23" bestFit="1" customWidth="1"/>
    <col min="2" max="2" width="11.42578125" bestFit="1" customWidth="1"/>
    <col min="3" max="3" width="6.7109375" bestFit="1" customWidth="1"/>
    <col min="4" max="4" width="7.28515625" bestFit="1" customWidth="1"/>
    <col min="5" max="5" width="12.7109375" bestFit="1" customWidth="1"/>
    <col min="6" max="6" width="16.140625" bestFit="1" customWidth="1"/>
    <col min="7" max="17" width="18" bestFit="1" customWidth="1"/>
    <col min="18" max="18" width="15.140625" customWidth="1"/>
    <col min="19" max="19" width="8.7109375" bestFit="1" customWidth="1"/>
  </cols>
  <sheetData>
    <row r="2" spans="1:19">
      <c r="A2" s="207" t="s">
        <v>1442</v>
      </c>
      <c r="B2" s="207"/>
      <c r="C2" s="208"/>
      <c r="D2" s="208"/>
      <c r="E2" s="208"/>
      <c r="F2" s="208"/>
      <c r="G2" s="208"/>
      <c r="H2" s="208"/>
      <c r="I2" s="208"/>
      <c r="J2" s="208"/>
      <c r="K2" s="208"/>
      <c r="L2" s="208"/>
      <c r="M2" s="208"/>
      <c r="N2" s="208"/>
      <c r="O2" s="208"/>
      <c r="P2" s="208"/>
      <c r="Q2" s="208"/>
      <c r="R2" s="208"/>
      <c r="S2" s="208"/>
    </row>
    <row r="3" spans="1:19" ht="15">
      <c r="A3" s="209" t="s">
        <v>1514</v>
      </c>
      <c r="B3" s="209"/>
      <c r="C3" s="210"/>
      <c r="D3" s="210"/>
      <c r="E3" s="210"/>
      <c r="F3" s="210"/>
      <c r="G3" s="210"/>
      <c r="H3" s="211"/>
      <c r="I3" s="210"/>
      <c r="J3" s="210"/>
      <c r="K3" s="210"/>
      <c r="L3" s="210"/>
      <c r="M3" s="210"/>
      <c r="N3" s="210"/>
      <c r="O3" s="210"/>
      <c r="P3" s="210"/>
      <c r="Q3" s="210"/>
      <c r="R3" s="210"/>
      <c r="S3" s="210"/>
    </row>
    <row r="4" spans="1:19">
      <c r="A4" s="212"/>
      <c r="B4" s="212"/>
      <c r="C4" s="213"/>
      <c r="D4" s="212"/>
      <c r="F4" s="214" t="s">
        <v>1515</v>
      </c>
      <c r="G4" s="212"/>
      <c r="H4" s="212"/>
      <c r="I4" s="215"/>
      <c r="J4" s="215"/>
      <c r="K4" s="215"/>
      <c r="L4" s="215"/>
      <c r="M4" s="215"/>
      <c r="N4" s="215"/>
      <c r="O4" s="215"/>
      <c r="P4" s="215"/>
      <c r="Q4" s="215"/>
      <c r="R4" s="215"/>
      <c r="S4" s="212"/>
    </row>
    <row r="5" spans="1:19" ht="13.5" thickBot="1">
      <c r="A5" s="216" t="s">
        <v>1187</v>
      </c>
      <c r="B5" s="216" t="s">
        <v>1188</v>
      </c>
      <c r="C5" s="216" t="s">
        <v>1189</v>
      </c>
      <c r="D5" s="216" t="s">
        <v>1190</v>
      </c>
      <c r="E5" s="218" t="s">
        <v>1513</v>
      </c>
      <c r="F5" s="219" t="s">
        <v>1503</v>
      </c>
      <c r="G5" s="220" t="s">
        <v>1516</v>
      </c>
      <c r="H5" s="220" t="s">
        <v>1504</v>
      </c>
      <c r="I5" s="220" t="s">
        <v>1505</v>
      </c>
      <c r="J5" s="220" t="s">
        <v>1506</v>
      </c>
      <c r="K5" s="220" t="s">
        <v>1507</v>
      </c>
      <c r="L5" s="220" t="s">
        <v>1508</v>
      </c>
      <c r="M5" s="220" t="s">
        <v>1509</v>
      </c>
      <c r="N5" s="220" t="s">
        <v>1510</v>
      </c>
      <c r="O5" s="220" t="s">
        <v>1511</v>
      </c>
      <c r="P5" s="220" t="s">
        <v>1512</v>
      </c>
      <c r="Q5" s="221" t="s">
        <v>1191</v>
      </c>
    </row>
    <row r="6" spans="1:19" ht="15">
      <c r="A6" s="222" t="s">
        <v>1473</v>
      </c>
      <c r="B6" s="223" t="s">
        <v>1443</v>
      </c>
      <c r="C6" s="245"/>
      <c r="D6" s="222"/>
      <c r="E6" s="224">
        <v>1</v>
      </c>
      <c r="F6" s="222">
        <v>1</v>
      </c>
      <c r="G6" s="225">
        <f>IF(TechData_R0!W198="","",TechData_R0!W198)</f>
        <v>218348.8961308857</v>
      </c>
      <c r="H6" s="225">
        <f>IF(TechData_R0!X198="","",TechData_R0!X198)</f>
        <v>218348.8961308857</v>
      </c>
      <c r="I6" s="225">
        <f>IF(TechData_R0!Y198="","",TechData_R0!Y198)</f>
        <v>218348.8961308857</v>
      </c>
      <c r="J6" s="225" t="str">
        <f>IF(TechData_R0!Z198="","",TechData_R0!Z198)</f>
        <v/>
      </c>
      <c r="K6" s="225" t="str">
        <f>IF(TechData_R0!AA198="","",TechData_R0!AA198)</f>
        <v/>
      </c>
      <c r="L6" s="225" t="str">
        <f>IF(TechData_R0!AB198="","",TechData_R0!AB198)</f>
        <v/>
      </c>
      <c r="M6" s="225" t="str">
        <f>IF(TechData_R0!AC198="","",TechData_R0!AC198)</f>
        <v/>
      </c>
      <c r="N6" s="225" t="str">
        <f>IF(TechData_R0!AD198="","",TechData_R0!AD198)</f>
        <v/>
      </c>
      <c r="O6" s="225" t="str">
        <f>IF(TechData_R0!AE198="","",TechData_R0!AE198)</f>
        <v/>
      </c>
      <c r="P6" s="225" t="str">
        <f>IF(TechData_R0!AF198="","",TechData_R0!AF198)</f>
        <v/>
      </c>
      <c r="Q6" s="222"/>
    </row>
    <row r="7" spans="1:19" ht="15">
      <c r="A7" s="222" t="s">
        <v>1474</v>
      </c>
      <c r="B7" s="223" t="s">
        <v>1444</v>
      </c>
      <c r="C7" s="245"/>
      <c r="D7" s="222"/>
      <c r="E7" s="224">
        <v>1</v>
      </c>
      <c r="F7" s="222">
        <v>1</v>
      </c>
      <c r="G7" s="225">
        <f>IF(TechData_R0!W199="","",TechData_R0!W199)</f>
        <v>1746791.1690470844</v>
      </c>
      <c r="H7" s="225">
        <f>IF(TechData_R0!X199="","",TechData_R0!X199)</f>
        <v>1746791.1690470844</v>
      </c>
      <c r="I7" s="225">
        <f>IF(TechData_R0!Y199="","",TechData_R0!Y199)</f>
        <v>1746791.1690470844</v>
      </c>
      <c r="J7" s="225" t="str">
        <f>IF(TechData_R0!Z199="","",TechData_R0!Z199)</f>
        <v/>
      </c>
      <c r="K7" s="225" t="str">
        <f>IF(TechData_R0!AA199="","",TechData_R0!AA199)</f>
        <v/>
      </c>
      <c r="L7" s="225" t="str">
        <f>IF(TechData_R0!AB199="","",TechData_R0!AB199)</f>
        <v/>
      </c>
      <c r="M7" s="225" t="str">
        <f>IF(TechData_R0!AC199="","",TechData_R0!AC199)</f>
        <v/>
      </c>
      <c r="N7" s="225" t="str">
        <f>IF(TechData_R0!AD199="","",TechData_R0!AD199)</f>
        <v/>
      </c>
      <c r="O7" s="225" t="str">
        <f>IF(TechData_R0!AE199="","",TechData_R0!AE199)</f>
        <v/>
      </c>
      <c r="P7" s="225" t="str">
        <f>IF(TechData_R0!AF199="","",TechData_R0!AF199)</f>
        <v/>
      </c>
      <c r="Q7" s="222"/>
    </row>
    <row r="8" spans="1:19" ht="15">
      <c r="A8" s="222" t="s">
        <v>1475</v>
      </c>
      <c r="B8" s="223" t="s">
        <v>1445</v>
      </c>
      <c r="C8" s="245"/>
      <c r="D8" s="222"/>
      <c r="E8" s="224">
        <v>1</v>
      </c>
      <c r="F8" s="222">
        <v>1</v>
      </c>
      <c r="G8" s="225">
        <f>IF(TechData_R0!W200="","",TechData_R0!W200)</f>
        <v>218348.896130885</v>
      </c>
      <c r="H8" s="225">
        <f>IF(TechData_R0!X200="","",TechData_R0!X200)</f>
        <v>218348.896130885</v>
      </c>
      <c r="I8" s="225">
        <f>IF(TechData_R0!Y200="","",TechData_R0!Y200)</f>
        <v>218348.896130885</v>
      </c>
      <c r="J8" s="225" t="str">
        <f>IF(TechData_R0!Z200="","",TechData_R0!Z200)</f>
        <v/>
      </c>
      <c r="K8" s="225" t="str">
        <f>IF(TechData_R0!AA200="","",TechData_R0!AA200)</f>
        <v/>
      </c>
      <c r="L8" s="225" t="str">
        <f>IF(TechData_R0!AB200="","",TechData_R0!AB200)</f>
        <v/>
      </c>
      <c r="M8" s="225" t="str">
        <f>IF(TechData_R0!AC200="","",TechData_R0!AC200)</f>
        <v/>
      </c>
      <c r="N8" s="225" t="str">
        <f>IF(TechData_R0!AD200="","",TechData_R0!AD200)</f>
        <v/>
      </c>
      <c r="O8" s="225" t="str">
        <f>IF(TechData_R0!AE200="","",TechData_R0!AE200)</f>
        <v/>
      </c>
      <c r="P8" s="225" t="str">
        <f>IF(TechData_R0!AF200="","",TechData_R0!AF200)</f>
        <v/>
      </c>
      <c r="Q8" s="222"/>
    </row>
    <row r="9" spans="1:19" ht="15">
      <c r="A9" s="222" t="s">
        <v>1476</v>
      </c>
      <c r="B9" s="223" t="s">
        <v>1446</v>
      </c>
      <c r="C9" s="245"/>
      <c r="D9" s="222"/>
      <c r="E9" s="224">
        <v>1</v>
      </c>
      <c r="F9" s="222">
        <v>1</v>
      </c>
      <c r="G9" s="225">
        <f>IF(TechData_R0!W201="","",TechData_R0!W201)</f>
        <v>436697.79226177093</v>
      </c>
      <c r="H9" s="225">
        <f>IF(TechData_R0!X201="","",TechData_R0!X201)</f>
        <v>436697.79226177093</v>
      </c>
      <c r="I9" s="225">
        <f>IF(TechData_R0!Y201="","",TechData_R0!Y201)</f>
        <v>436697.79226177093</v>
      </c>
      <c r="J9" s="225" t="str">
        <f>IF(TechData_R0!Z201="","",TechData_R0!Z201)</f>
        <v/>
      </c>
      <c r="K9" s="225" t="str">
        <f>IF(TechData_R0!AA201="","",TechData_R0!AA201)</f>
        <v/>
      </c>
      <c r="L9" s="225" t="str">
        <f>IF(TechData_R0!AB201="","",TechData_R0!AB201)</f>
        <v/>
      </c>
      <c r="M9" s="225" t="str">
        <f>IF(TechData_R0!AC201="","",TechData_R0!AC201)</f>
        <v/>
      </c>
      <c r="N9" s="225" t="str">
        <f>IF(TechData_R0!AD201="","",TechData_R0!AD201)</f>
        <v/>
      </c>
      <c r="O9" s="225" t="str">
        <f>IF(TechData_R0!AE201="","",TechData_R0!AE201)</f>
        <v/>
      </c>
      <c r="P9" s="225" t="str">
        <f>IF(TechData_R0!AF201="","",TechData_R0!AF201)</f>
        <v/>
      </c>
      <c r="Q9" s="222"/>
    </row>
    <row r="10" spans="1:19" ht="15">
      <c r="A10" s="222" t="s">
        <v>1477</v>
      </c>
      <c r="B10" s="223" t="s">
        <v>1447</v>
      </c>
      <c r="C10" s="245"/>
      <c r="D10" s="222"/>
      <c r="E10" s="224">
        <v>1</v>
      </c>
      <c r="F10" s="222">
        <v>1</v>
      </c>
      <c r="G10" s="225">
        <f>IF(TechData_R0!W202="","",TechData_R0!W202)</f>
        <v>1746791.1690470842</v>
      </c>
      <c r="H10" s="225">
        <f>IF(TechData_R0!X202="","",TechData_R0!X202)</f>
        <v>1746791.1690470842</v>
      </c>
      <c r="I10" s="225">
        <f>IF(TechData_R0!Y202="","",TechData_R0!Y202)</f>
        <v>1746791.1690470842</v>
      </c>
      <c r="J10" s="225" t="str">
        <f>IF(TechData_R0!Z202="","",TechData_R0!Z202)</f>
        <v/>
      </c>
      <c r="K10" s="225" t="str">
        <f>IF(TechData_R0!AA202="","",TechData_R0!AA202)</f>
        <v/>
      </c>
      <c r="L10" s="225" t="str">
        <f>IF(TechData_R0!AB202="","",TechData_R0!AB202)</f>
        <v/>
      </c>
      <c r="M10" s="225" t="str">
        <f>IF(TechData_R0!AC202="","",TechData_R0!AC202)</f>
        <v/>
      </c>
      <c r="N10" s="225" t="str">
        <f>IF(TechData_R0!AD202="","",TechData_R0!AD202)</f>
        <v/>
      </c>
      <c r="O10" s="225" t="str">
        <f>IF(TechData_R0!AE202="","",TechData_R0!AE202)</f>
        <v/>
      </c>
      <c r="P10" s="225" t="str">
        <f>IF(TechData_R0!AF202="","",TechData_R0!AF202)</f>
        <v/>
      </c>
      <c r="Q10" s="222"/>
    </row>
    <row r="11" spans="1:19" ht="15">
      <c r="A11" s="222" t="s">
        <v>1478</v>
      </c>
      <c r="B11" s="223" t="s">
        <v>1448</v>
      </c>
      <c r="C11" s="245"/>
      <c r="D11" s="222"/>
      <c r="E11" s="224">
        <v>1</v>
      </c>
      <c r="F11" s="222">
        <v>1</v>
      </c>
      <c r="G11" s="225">
        <f>IF(TechData_R0!W203="","",TechData_R0!W203)</f>
        <v>224317.86948190606</v>
      </c>
      <c r="H11" s="225">
        <f>IF(TechData_R0!X203="","",TechData_R0!X203)</f>
        <v>224317.86948190606</v>
      </c>
      <c r="I11" s="225">
        <f>IF(TechData_R0!Y203="","",TechData_R0!Y203)</f>
        <v>224317.86948190606</v>
      </c>
      <c r="J11" s="225" t="str">
        <f>IF(TechData_R0!Z203="","",TechData_R0!Z203)</f>
        <v/>
      </c>
      <c r="K11" s="225" t="str">
        <f>IF(TechData_R0!AA203="","",TechData_R0!AA203)</f>
        <v/>
      </c>
      <c r="L11" s="225" t="str">
        <f>IF(TechData_R0!AB203="","",TechData_R0!AB203)</f>
        <v/>
      </c>
      <c r="M11" s="225" t="str">
        <f>IF(TechData_R0!AC203="","",TechData_R0!AC203)</f>
        <v/>
      </c>
      <c r="N11" s="225" t="str">
        <f>IF(TechData_R0!AD203="","",TechData_R0!AD203)</f>
        <v/>
      </c>
      <c r="O11" s="225" t="str">
        <f>IF(TechData_R0!AE203="","",TechData_R0!AE203)</f>
        <v/>
      </c>
      <c r="P11" s="225" t="str">
        <f>IF(TechData_R0!AF203="","",TechData_R0!AF203)</f>
        <v/>
      </c>
      <c r="Q11" s="222"/>
    </row>
    <row r="12" spans="1:19" ht="15">
      <c r="A12" s="222" t="s">
        <v>1479</v>
      </c>
      <c r="B12" s="223" t="s">
        <v>1449</v>
      </c>
      <c r="C12" s="245"/>
      <c r="D12" s="222"/>
      <c r="E12" s="224">
        <v>1</v>
      </c>
      <c r="F12" s="222">
        <v>1</v>
      </c>
      <c r="G12" s="225">
        <f>IF(TechData_R0!W204="","",TechData_R0!W204)</f>
        <v>1794542.9558552499</v>
      </c>
      <c r="H12" s="225">
        <f>IF(TechData_R0!X204="","",TechData_R0!X204)</f>
        <v>1794542.9558552499</v>
      </c>
      <c r="I12" s="225">
        <f>IF(TechData_R0!Y204="","",TechData_R0!Y204)</f>
        <v>1794542.9558552499</v>
      </c>
      <c r="J12" s="225" t="str">
        <f>IF(TechData_R0!Z204="","",TechData_R0!Z204)</f>
        <v/>
      </c>
      <c r="K12" s="225" t="str">
        <f>IF(TechData_R0!AA204="","",TechData_R0!AA204)</f>
        <v/>
      </c>
      <c r="L12" s="225" t="str">
        <f>IF(TechData_R0!AB204="","",TechData_R0!AB204)</f>
        <v/>
      </c>
      <c r="M12" s="225" t="str">
        <f>IF(TechData_R0!AC204="","",TechData_R0!AC204)</f>
        <v/>
      </c>
      <c r="N12" s="225" t="str">
        <f>IF(TechData_R0!AD204="","",TechData_R0!AD204)</f>
        <v/>
      </c>
      <c r="O12" s="225" t="str">
        <f>IF(TechData_R0!AE204="","",TechData_R0!AE204)</f>
        <v/>
      </c>
      <c r="P12" s="225" t="str">
        <f>IF(TechData_R0!AF204="","",TechData_R0!AF204)</f>
        <v/>
      </c>
      <c r="Q12" s="222"/>
    </row>
    <row r="13" spans="1:19" ht="15">
      <c r="A13" s="222" t="s">
        <v>1480</v>
      </c>
      <c r="B13" s="223" t="s">
        <v>1450</v>
      </c>
      <c r="C13" s="245"/>
      <c r="D13" s="222"/>
      <c r="E13" s="224">
        <v>1</v>
      </c>
      <c r="F13" s="222">
        <v>1</v>
      </c>
      <c r="G13" s="225">
        <f>IF(TechData_R0!W205="","",TechData_R0!W205)</f>
        <v>224317.8694819056</v>
      </c>
      <c r="H13" s="225">
        <f>IF(TechData_R0!X205="","",TechData_R0!X205)</f>
        <v>224317.8694819056</v>
      </c>
      <c r="I13" s="225">
        <f>IF(TechData_R0!Y205="","",TechData_R0!Y205)</f>
        <v>224317.8694819056</v>
      </c>
      <c r="J13" s="225" t="str">
        <f>IF(TechData_R0!Z205="","",TechData_R0!Z205)</f>
        <v/>
      </c>
      <c r="K13" s="225" t="str">
        <f>IF(TechData_R0!AA205="","",TechData_R0!AA205)</f>
        <v/>
      </c>
      <c r="L13" s="225" t="str">
        <f>IF(TechData_R0!AB205="","",TechData_R0!AB205)</f>
        <v/>
      </c>
      <c r="M13" s="225" t="str">
        <f>IF(TechData_R0!AC205="","",TechData_R0!AC205)</f>
        <v/>
      </c>
      <c r="N13" s="225" t="str">
        <f>IF(TechData_R0!AD205="","",TechData_R0!AD205)</f>
        <v/>
      </c>
      <c r="O13" s="225" t="str">
        <f>IF(TechData_R0!AE205="","",TechData_R0!AE205)</f>
        <v/>
      </c>
      <c r="P13" s="225" t="str">
        <f>IF(TechData_R0!AF205="","",TechData_R0!AF205)</f>
        <v/>
      </c>
      <c r="Q13" s="222"/>
    </row>
    <row r="14" spans="1:19" ht="15">
      <c r="A14" s="222" t="s">
        <v>1481</v>
      </c>
      <c r="B14" s="223" t="s">
        <v>1451</v>
      </c>
      <c r="C14" s="245"/>
      <c r="D14" s="222"/>
      <c r="E14" s="224">
        <v>1</v>
      </c>
      <c r="F14" s="222">
        <v>1</v>
      </c>
      <c r="G14" s="225">
        <f>IF(TechData_R0!W206="","",TechData_R0!W206)</f>
        <v>448635.73896381306</v>
      </c>
      <c r="H14" s="225">
        <f>IF(TechData_R0!X206="","",TechData_R0!X206)</f>
        <v>448635.73896381306</v>
      </c>
      <c r="I14" s="225">
        <f>IF(TechData_R0!Y206="","",TechData_R0!Y206)</f>
        <v>448635.73896381306</v>
      </c>
      <c r="J14" s="225" t="str">
        <f>IF(TechData_R0!Z206="","",TechData_R0!Z206)</f>
        <v/>
      </c>
      <c r="K14" s="225" t="str">
        <f>IF(TechData_R0!AA206="","",TechData_R0!AA206)</f>
        <v/>
      </c>
      <c r="L14" s="225" t="str">
        <f>IF(TechData_R0!AB206="","",TechData_R0!AB206)</f>
        <v/>
      </c>
      <c r="M14" s="225" t="str">
        <f>IF(TechData_R0!AC206="","",TechData_R0!AC206)</f>
        <v/>
      </c>
      <c r="N14" s="225" t="str">
        <f>IF(TechData_R0!AD206="","",TechData_R0!AD206)</f>
        <v/>
      </c>
      <c r="O14" s="225" t="str">
        <f>IF(TechData_R0!AE206="","",TechData_R0!AE206)</f>
        <v/>
      </c>
      <c r="P14" s="225" t="str">
        <f>IF(TechData_R0!AF206="","",TechData_R0!AF206)</f>
        <v/>
      </c>
      <c r="Q14" s="222"/>
    </row>
    <row r="15" spans="1:19" ht="15">
      <c r="A15" s="222" t="s">
        <v>1482</v>
      </c>
      <c r="B15" s="223" t="s">
        <v>1452</v>
      </c>
      <c r="C15" s="245"/>
      <c r="D15" s="222"/>
      <c r="E15" s="224">
        <v>1</v>
      </c>
      <c r="F15" s="222">
        <v>1</v>
      </c>
      <c r="G15" s="225">
        <f>IF(TechData_R0!W207="","",TechData_R0!W207)</f>
        <v>1794542.9558552485</v>
      </c>
      <c r="H15" s="225">
        <f>IF(TechData_R0!X207="","",TechData_R0!X207)</f>
        <v>1794542.9558552485</v>
      </c>
      <c r="I15" s="225">
        <f>IF(TechData_R0!Y207="","",TechData_R0!Y207)</f>
        <v>1794542.9558552485</v>
      </c>
      <c r="J15" s="225" t="str">
        <f>IF(TechData_R0!Z207="","",TechData_R0!Z207)</f>
        <v/>
      </c>
      <c r="K15" s="225" t="str">
        <f>IF(TechData_R0!AA207="","",TechData_R0!AA207)</f>
        <v/>
      </c>
      <c r="L15" s="225" t="str">
        <f>IF(TechData_R0!AB207="","",TechData_R0!AB207)</f>
        <v/>
      </c>
      <c r="M15" s="225" t="str">
        <f>IF(TechData_R0!AC207="","",TechData_R0!AC207)</f>
        <v/>
      </c>
      <c r="N15" s="225" t="str">
        <f>IF(TechData_R0!AD207="","",TechData_R0!AD207)</f>
        <v/>
      </c>
      <c r="O15" s="225" t="str">
        <f>IF(TechData_R0!AE207="","",TechData_R0!AE207)</f>
        <v/>
      </c>
      <c r="P15" s="225" t="str">
        <f>IF(TechData_R0!AF207="","",TechData_R0!AF207)</f>
        <v/>
      </c>
      <c r="Q15" s="222"/>
    </row>
    <row r="16" spans="1:19" ht="15">
      <c r="A16" s="222" t="s">
        <v>1483</v>
      </c>
      <c r="B16" s="223" t="s">
        <v>1453</v>
      </c>
      <c r="C16" s="245"/>
      <c r="D16" s="222"/>
      <c r="E16" s="224">
        <v>1</v>
      </c>
      <c r="F16" s="222">
        <v>1</v>
      </c>
      <c r="G16" s="225">
        <f>IF(TechData_R0!W208="","",TechData_R0!W208)</f>
        <v>218348.8961308857</v>
      </c>
      <c r="H16" s="225">
        <f>IF(TechData_R0!X208="","",TechData_R0!X208)</f>
        <v>218348.8961308857</v>
      </c>
      <c r="I16" s="225">
        <f>IF(TechData_R0!Y208="","",TechData_R0!Y208)</f>
        <v>218348.8961308857</v>
      </c>
      <c r="J16" s="225">
        <f>IF(TechData_R0!Z208="","",TechData_R0!Z208)</f>
        <v>218348.8961308857</v>
      </c>
      <c r="K16" s="225">
        <f>IF(TechData_R0!AA208="","",TechData_R0!AA208)</f>
        <v>218348.8961308857</v>
      </c>
      <c r="L16" s="225">
        <f>IF(TechData_R0!AB208="","",TechData_R0!AB208)</f>
        <v>218348.8961308857</v>
      </c>
      <c r="M16" s="225">
        <f>IF(TechData_R0!AC208="","",TechData_R0!AC208)</f>
        <v>218348.8961308857</v>
      </c>
      <c r="N16" s="225">
        <f>IF(TechData_R0!AD208="","",TechData_R0!AD208)</f>
        <v>0</v>
      </c>
      <c r="O16" s="225">
        <f>IF(TechData_R0!AE208="","",TechData_R0!AE208)</f>
        <v>0</v>
      </c>
      <c r="P16" s="225">
        <f>IF(TechData_R0!AF208="","",TechData_R0!AF208)</f>
        <v>0</v>
      </c>
      <c r="Q16" s="222"/>
    </row>
    <row r="17" spans="1:17" ht="15">
      <c r="A17" s="222" t="s">
        <v>1484</v>
      </c>
      <c r="B17" s="223" t="s">
        <v>1454</v>
      </c>
      <c r="C17" s="245"/>
      <c r="D17" s="222"/>
      <c r="E17" s="224">
        <v>1</v>
      </c>
      <c r="F17" s="222">
        <v>1</v>
      </c>
      <c r="G17" s="225">
        <f>IF(TechData_R0!W209="","",TechData_R0!W209)</f>
        <v>1746791.1690470844</v>
      </c>
      <c r="H17" s="225">
        <f>IF(TechData_R0!X209="","",TechData_R0!X209)</f>
        <v>1746791.1690470844</v>
      </c>
      <c r="I17" s="225">
        <f>IF(TechData_R0!Y209="","",TechData_R0!Y209)</f>
        <v>1746791.1690470844</v>
      </c>
      <c r="J17" s="225">
        <f>IF(TechData_R0!Z209="","",TechData_R0!Z209)</f>
        <v>1746791.1690470844</v>
      </c>
      <c r="K17" s="225">
        <f>IF(TechData_R0!AA209="","",TechData_R0!AA209)</f>
        <v>1746791.1690470844</v>
      </c>
      <c r="L17" s="225">
        <f>IF(TechData_R0!AB209="","",TechData_R0!AB209)</f>
        <v>1746791.1690470844</v>
      </c>
      <c r="M17" s="225">
        <f>IF(TechData_R0!AC209="","",TechData_R0!AC209)</f>
        <v>1746791.1690470844</v>
      </c>
      <c r="N17" s="225">
        <f>IF(TechData_R0!AD209="","",TechData_R0!AD209)</f>
        <v>0</v>
      </c>
      <c r="O17" s="225">
        <f>IF(TechData_R0!AE209="","",TechData_R0!AE209)</f>
        <v>0</v>
      </c>
      <c r="P17" s="225">
        <f>IF(TechData_R0!AF209="","",TechData_R0!AF209)</f>
        <v>0</v>
      </c>
      <c r="Q17" s="222"/>
    </row>
    <row r="18" spans="1:17" ht="15">
      <c r="A18" s="222" t="s">
        <v>1485</v>
      </c>
      <c r="B18" s="223" t="s">
        <v>1455</v>
      </c>
      <c r="C18" s="245"/>
      <c r="D18" s="222"/>
      <c r="E18" s="224">
        <v>1</v>
      </c>
      <c r="F18" s="222">
        <v>1</v>
      </c>
      <c r="G18" s="225">
        <f>IF(TechData_R0!W210="","",TechData_R0!W210)</f>
        <v>218348.896130885</v>
      </c>
      <c r="H18" s="225">
        <f>IF(TechData_R0!X210="","",TechData_R0!X210)</f>
        <v>218348.896130885</v>
      </c>
      <c r="I18" s="225">
        <f>IF(TechData_R0!Y210="","",TechData_R0!Y210)</f>
        <v>218348.896130885</v>
      </c>
      <c r="J18" s="225">
        <f>IF(TechData_R0!Z210="","",TechData_R0!Z210)</f>
        <v>218348.896130885</v>
      </c>
      <c r="K18" s="225">
        <f>IF(TechData_R0!AA210="","",TechData_R0!AA210)</f>
        <v>218348.896130885</v>
      </c>
      <c r="L18" s="225">
        <f>IF(TechData_R0!AB210="","",TechData_R0!AB210)</f>
        <v>218348.896130885</v>
      </c>
      <c r="M18" s="225">
        <f>IF(TechData_R0!AC210="","",TechData_R0!AC210)</f>
        <v>218348.896130885</v>
      </c>
      <c r="N18" s="225">
        <f>IF(TechData_R0!AD210="","",TechData_R0!AD210)</f>
        <v>0</v>
      </c>
      <c r="O18" s="225">
        <f>IF(TechData_R0!AE210="","",TechData_R0!AE210)</f>
        <v>0</v>
      </c>
      <c r="P18" s="225">
        <f>IF(TechData_R0!AF210="","",TechData_R0!AF210)</f>
        <v>0</v>
      </c>
      <c r="Q18" s="222"/>
    </row>
    <row r="19" spans="1:17" ht="15">
      <c r="A19" s="222" t="s">
        <v>1486</v>
      </c>
      <c r="B19" s="223" t="s">
        <v>1456</v>
      </c>
      <c r="C19" s="245"/>
      <c r="D19" s="222"/>
      <c r="E19" s="224">
        <v>1</v>
      </c>
      <c r="F19" s="222">
        <v>1</v>
      </c>
      <c r="G19" s="225">
        <f>IF(TechData_R0!W211="","",TechData_R0!W211)</f>
        <v>436697.79226177093</v>
      </c>
      <c r="H19" s="225">
        <f>IF(TechData_R0!X211="","",TechData_R0!X211)</f>
        <v>436697.79226177093</v>
      </c>
      <c r="I19" s="225">
        <f>IF(TechData_R0!Y211="","",TechData_R0!Y211)</f>
        <v>436697.79226177093</v>
      </c>
      <c r="J19" s="225">
        <f>IF(TechData_R0!Z211="","",TechData_R0!Z211)</f>
        <v>436697.79226177093</v>
      </c>
      <c r="K19" s="225">
        <f>IF(TechData_R0!AA211="","",TechData_R0!AA211)</f>
        <v>436697.79226177093</v>
      </c>
      <c r="L19" s="225">
        <f>IF(TechData_R0!AB211="","",TechData_R0!AB211)</f>
        <v>436697.79226177093</v>
      </c>
      <c r="M19" s="225">
        <f>IF(TechData_R0!AC211="","",TechData_R0!AC211)</f>
        <v>436697.79226177093</v>
      </c>
      <c r="N19" s="225">
        <f>IF(TechData_R0!AD211="","",TechData_R0!AD211)</f>
        <v>0</v>
      </c>
      <c r="O19" s="225">
        <f>IF(TechData_R0!AE211="","",TechData_R0!AE211)</f>
        <v>0</v>
      </c>
      <c r="P19" s="225">
        <f>IF(TechData_R0!AF211="","",TechData_R0!AF211)</f>
        <v>0</v>
      </c>
      <c r="Q19" s="222"/>
    </row>
    <row r="20" spans="1:17" ht="15">
      <c r="A20" s="222" t="s">
        <v>1487</v>
      </c>
      <c r="B20" s="223" t="s">
        <v>1457</v>
      </c>
      <c r="C20" s="245"/>
      <c r="D20" s="222"/>
      <c r="E20" s="224">
        <v>1</v>
      </c>
      <c r="F20" s="222">
        <v>1</v>
      </c>
      <c r="G20" s="225">
        <f>IF(TechData_R0!W212="","",TechData_R0!W212)</f>
        <v>1746791.1690470842</v>
      </c>
      <c r="H20" s="225">
        <f>IF(TechData_R0!X212="","",TechData_R0!X212)</f>
        <v>1746791.1690470842</v>
      </c>
      <c r="I20" s="225">
        <f>IF(TechData_R0!Y212="","",TechData_R0!Y212)</f>
        <v>1746791.1690470842</v>
      </c>
      <c r="J20" s="225">
        <f>IF(TechData_R0!Z212="","",TechData_R0!Z212)</f>
        <v>1746791.1690470842</v>
      </c>
      <c r="K20" s="225">
        <f>IF(TechData_R0!AA212="","",TechData_R0!AA212)</f>
        <v>1746791.1690470842</v>
      </c>
      <c r="L20" s="225">
        <f>IF(TechData_R0!AB212="","",TechData_R0!AB212)</f>
        <v>1746791.1690470842</v>
      </c>
      <c r="M20" s="225">
        <f>IF(TechData_R0!AC212="","",TechData_R0!AC212)</f>
        <v>1746791.1690470842</v>
      </c>
      <c r="N20" s="225">
        <f>IF(TechData_R0!AD212="","",TechData_R0!AD212)</f>
        <v>0</v>
      </c>
      <c r="O20" s="225">
        <f>IF(TechData_R0!AE212="","",TechData_R0!AE212)</f>
        <v>0</v>
      </c>
      <c r="P20" s="225">
        <f>IF(TechData_R0!AF212="","",TechData_R0!AF212)</f>
        <v>0</v>
      </c>
      <c r="Q20" s="222"/>
    </row>
    <row r="21" spans="1:17" ht="15">
      <c r="A21" s="222" t="s">
        <v>1488</v>
      </c>
      <c r="B21" s="223" t="s">
        <v>1458</v>
      </c>
      <c r="C21" s="245"/>
      <c r="D21" s="222"/>
      <c r="E21" s="224">
        <v>1</v>
      </c>
      <c r="F21" s="222">
        <v>1</v>
      </c>
      <c r="G21" s="225">
        <f>IF(TechData_R0!W213="","",TechData_R0!W213)</f>
        <v>224317.86948190606</v>
      </c>
      <c r="H21" s="225">
        <f>IF(TechData_R0!X213="","",TechData_R0!X213)</f>
        <v>224317.86948190606</v>
      </c>
      <c r="I21" s="225">
        <f>IF(TechData_R0!Y213="","",TechData_R0!Y213)</f>
        <v>224317.86948190606</v>
      </c>
      <c r="J21" s="225" t="str">
        <f>IF(TechData_R0!Z213="","",TechData_R0!Z213)</f>
        <v/>
      </c>
      <c r="K21" s="225" t="str">
        <f>IF(TechData_R0!AA213="","",TechData_R0!AA213)</f>
        <v/>
      </c>
      <c r="L21" s="225" t="str">
        <f>IF(TechData_R0!AB213="","",TechData_R0!AB213)</f>
        <v/>
      </c>
      <c r="M21" s="225" t="str">
        <f>IF(TechData_R0!AC213="","",TechData_R0!AC213)</f>
        <v/>
      </c>
      <c r="N21" s="225" t="str">
        <f>IF(TechData_R0!AD213="","",TechData_R0!AD213)</f>
        <v/>
      </c>
      <c r="O21" s="225" t="str">
        <f>IF(TechData_R0!AE213="","",TechData_R0!AE213)</f>
        <v/>
      </c>
      <c r="P21" s="225" t="str">
        <f>IF(TechData_R0!AF213="","",TechData_R0!AF213)</f>
        <v/>
      </c>
      <c r="Q21" s="222"/>
    </row>
    <row r="22" spans="1:17" ht="15">
      <c r="A22" s="222" t="s">
        <v>1489</v>
      </c>
      <c r="B22" s="223" t="s">
        <v>1459</v>
      </c>
      <c r="C22" s="245"/>
      <c r="D22" s="222"/>
      <c r="E22" s="224">
        <v>1</v>
      </c>
      <c r="F22" s="222">
        <v>1</v>
      </c>
      <c r="G22" s="225">
        <f>IF(TechData_R0!W214="","",TechData_R0!W214)</f>
        <v>1794542.9558552499</v>
      </c>
      <c r="H22" s="225">
        <f>IF(TechData_R0!X214="","",TechData_R0!X214)</f>
        <v>1794542.9558552499</v>
      </c>
      <c r="I22" s="225">
        <f>IF(TechData_R0!Y214="","",TechData_R0!Y214)</f>
        <v>1794542.9558552499</v>
      </c>
      <c r="J22" s="225" t="str">
        <f>IF(TechData_R0!Z214="","",TechData_R0!Z214)</f>
        <v/>
      </c>
      <c r="K22" s="225" t="str">
        <f>IF(TechData_R0!AA214="","",TechData_R0!AA214)</f>
        <v/>
      </c>
      <c r="L22" s="225" t="str">
        <f>IF(TechData_R0!AB214="","",TechData_R0!AB214)</f>
        <v/>
      </c>
      <c r="M22" s="225" t="str">
        <f>IF(TechData_R0!AC214="","",TechData_R0!AC214)</f>
        <v/>
      </c>
      <c r="N22" s="225" t="str">
        <f>IF(TechData_R0!AD214="","",TechData_R0!AD214)</f>
        <v/>
      </c>
      <c r="O22" s="225" t="str">
        <f>IF(TechData_R0!AE214="","",TechData_R0!AE214)</f>
        <v/>
      </c>
      <c r="P22" s="225" t="str">
        <f>IF(TechData_R0!AF214="","",TechData_R0!AF214)</f>
        <v/>
      </c>
      <c r="Q22" s="222"/>
    </row>
    <row r="23" spans="1:17" ht="15">
      <c r="A23" s="222" t="s">
        <v>1490</v>
      </c>
      <c r="B23" s="223" t="s">
        <v>1460</v>
      </c>
      <c r="C23" s="245"/>
      <c r="D23" s="222"/>
      <c r="E23" s="224">
        <v>1</v>
      </c>
      <c r="F23" s="222">
        <v>1</v>
      </c>
      <c r="G23" s="225">
        <f>IF(TechData_R0!W215="","",TechData_R0!W215)</f>
        <v>224317.8694819056</v>
      </c>
      <c r="H23" s="225">
        <f>IF(TechData_R0!X215="","",TechData_R0!X215)</f>
        <v>224317.8694819056</v>
      </c>
      <c r="I23" s="225">
        <f>IF(TechData_R0!Y215="","",TechData_R0!Y215)</f>
        <v>224317.8694819056</v>
      </c>
      <c r="J23" s="225" t="str">
        <f>IF(TechData_R0!Z215="","",TechData_R0!Z215)</f>
        <v/>
      </c>
      <c r="K23" s="225" t="str">
        <f>IF(TechData_R0!AA215="","",TechData_R0!AA215)</f>
        <v/>
      </c>
      <c r="L23" s="225" t="str">
        <f>IF(TechData_R0!AB215="","",TechData_R0!AB215)</f>
        <v/>
      </c>
      <c r="M23" s="225" t="str">
        <f>IF(TechData_R0!AC215="","",TechData_R0!AC215)</f>
        <v/>
      </c>
      <c r="N23" s="225" t="str">
        <f>IF(TechData_R0!AD215="","",TechData_R0!AD215)</f>
        <v/>
      </c>
      <c r="O23" s="225" t="str">
        <f>IF(TechData_R0!AE215="","",TechData_R0!AE215)</f>
        <v/>
      </c>
      <c r="P23" s="225" t="str">
        <f>IF(TechData_R0!AF215="","",TechData_R0!AF215)</f>
        <v/>
      </c>
      <c r="Q23" s="222"/>
    </row>
    <row r="24" spans="1:17" ht="15">
      <c r="A24" s="222" t="s">
        <v>1491</v>
      </c>
      <c r="B24" s="223" t="s">
        <v>1461</v>
      </c>
      <c r="C24" s="245"/>
      <c r="D24" s="222"/>
      <c r="E24" s="224">
        <v>1</v>
      </c>
      <c r="F24" s="222">
        <v>1</v>
      </c>
      <c r="G24" s="225">
        <f>IF(TechData_R0!W216="","",TechData_R0!W216)</f>
        <v>448635.73896381306</v>
      </c>
      <c r="H24" s="225">
        <f>IF(TechData_R0!X216="","",TechData_R0!X216)</f>
        <v>448635.73896381306</v>
      </c>
      <c r="I24" s="225">
        <f>IF(TechData_R0!Y216="","",TechData_R0!Y216)</f>
        <v>448635.73896381306</v>
      </c>
      <c r="J24" s="225" t="str">
        <f>IF(TechData_R0!Z216="","",TechData_R0!Z216)</f>
        <v/>
      </c>
      <c r="K24" s="225" t="str">
        <f>IF(TechData_R0!AA216="","",TechData_R0!AA216)</f>
        <v/>
      </c>
      <c r="L24" s="225" t="str">
        <f>IF(TechData_R0!AB216="","",TechData_R0!AB216)</f>
        <v/>
      </c>
      <c r="M24" s="225" t="str">
        <f>IF(TechData_R0!AC216="","",TechData_R0!AC216)</f>
        <v/>
      </c>
      <c r="N24" s="225" t="str">
        <f>IF(TechData_R0!AD216="","",TechData_R0!AD216)</f>
        <v/>
      </c>
      <c r="O24" s="225" t="str">
        <f>IF(TechData_R0!AE216="","",TechData_R0!AE216)</f>
        <v/>
      </c>
      <c r="P24" s="225" t="str">
        <f>IF(TechData_R0!AF216="","",TechData_R0!AF216)</f>
        <v/>
      </c>
      <c r="Q24" s="222"/>
    </row>
    <row r="25" spans="1:17" ht="15">
      <c r="A25" s="222" t="s">
        <v>1492</v>
      </c>
      <c r="B25" s="223" t="s">
        <v>1462</v>
      </c>
      <c r="C25" s="245"/>
      <c r="D25" s="222"/>
      <c r="E25" s="224">
        <v>1</v>
      </c>
      <c r="F25" s="222">
        <v>1</v>
      </c>
      <c r="G25" s="225">
        <f>IF(TechData_R0!W217="","",TechData_R0!W217)</f>
        <v>1794542.9558552485</v>
      </c>
      <c r="H25" s="225">
        <f>IF(TechData_R0!X217="","",TechData_R0!X217)</f>
        <v>1794542.9558552485</v>
      </c>
      <c r="I25" s="225">
        <f>IF(TechData_R0!Y217="","",TechData_R0!Y217)</f>
        <v>1794542.9558552485</v>
      </c>
      <c r="J25" s="225" t="str">
        <f>IF(TechData_R0!Z217="","",TechData_R0!Z217)</f>
        <v/>
      </c>
      <c r="K25" s="225" t="str">
        <f>IF(TechData_R0!AA217="","",TechData_R0!AA217)</f>
        <v/>
      </c>
      <c r="L25" s="225" t="str">
        <f>IF(TechData_R0!AB217="","",TechData_R0!AB217)</f>
        <v/>
      </c>
      <c r="M25" s="225" t="str">
        <f>IF(TechData_R0!AC217="","",TechData_R0!AC217)</f>
        <v/>
      </c>
      <c r="N25" s="225" t="str">
        <f>IF(TechData_R0!AD217="","",TechData_R0!AD217)</f>
        <v/>
      </c>
      <c r="O25" s="225" t="str">
        <f>IF(TechData_R0!AE217="","",TechData_R0!AE217)</f>
        <v/>
      </c>
      <c r="P25" s="225" t="str">
        <f>IF(TechData_R0!AF217="","",TechData_R0!AF217)</f>
        <v/>
      </c>
      <c r="Q25" s="222"/>
    </row>
    <row r="26" spans="1:17" ht="15">
      <c r="A26" s="222" t="s">
        <v>1493</v>
      </c>
      <c r="B26" s="223" t="s">
        <v>1463</v>
      </c>
      <c r="C26" s="245"/>
      <c r="D26" s="222"/>
      <c r="E26" s="224">
        <v>1</v>
      </c>
      <c r="F26" s="222">
        <v>1</v>
      </c>
      <c r="G26" s="225">
        <f>IF(TechData_R0!W218="","",TechData_R0!W218)</f>
        <v>218348.8961308857</v>
      </c>
      <c r="H26" s="225">
        <f>IF(TechData_R0!X218="","",TechData_R0!X218)</f>
        <v>218348.8961308857</v>
      </c>
      <c r="I26" s="225">
        <f>IF(TechData_R0!Y218="","",TechData_R0!Y218)</f>
        <v>218348.8961308857</v>
      </c>
      <c r="J26" s="225" t="str">
        <f>IF(TechData_R0!Z218="","",TechData_R0!Z218)</f>
        <v/>
      </c>
      <c r="K26" s="225" t="str">
        <f>IF(TechData_R0!AA218="","",TechData_R0!AA218)</f>
        <v/>
      </c>
      <c r="L26" s="225" t="str">
        <f>IF(TechData_R0!AB218="","",TechData_R0!AB218)</f>
        <v/>
      </c>
      <c r="M26" s="225" t="str">
        <f>IF(TechData_R0!AC218="","",TechData_R0!AC218)</f>
        <v/>
      </c>
      <c r="N26" s="225" t="str">
        <f>IF(TechData_R0!AD218="","",TechData_R0!AD218)</f>
        <v/>
      </c>
      <c r="O26" s="225" t="str">
        <f>IF(TechData_R0!AE218="","",TechData_R0!AE218)</f>
        <v/>
      </c>
      <c r="P26" s="225" t="str">
        <f>IF(TechData_R0!AF218="","",TechData_R0!AF218)</f>
        <v/>
      </c>
      <c r="Q26" s="222"/>
    </row>
    <row r="27" spans="1:17" ht="15">
      <c r="A27" s="222" t="s">
        <v>1494</v>
      </c>
      <c r="B27" s="223" t="s">
        <v>1464</v>
      </c>
      <c r="C27" s="245"/>
      <c r="D27" s="222"/>
      <c r="E27" s="224">
        <v>1</v>
      </c>
      <c r="F27" s="222">
        <v>1</v>
      </c>
      <c r="G27" s="225">
        <f>IF(TechData_R0!W219="","",TechData_R0!W219)</f>
        <v>1746791.1690470844</v>
      </c>
      <c r="H27" s="225">
        <f>IF(TechData_R0!X219="","",TechData_R0!X219)</f>
        <v>1746791.1690470844</v>
      </c>
      <c r="I27" s="225">
        <f>IF(TechData_R0!Y219="","",TechData_R0!Y219)</f>
        <v>1746791.1690470844</v>
      </c>
      <c r="J27" s="225" t="str">
        <f>IF(TechData_R0!Z219="","",TechData_R0!Z219)</f>
        <v/>
      </c>
      <c r="K27" s="225" t="str">
        <f>IF(TechData_R0!AA219="","",TechData_R0!AA219)</f>
        <v/>
      </c>
      <c r="L27" s="225" t="str">
        <f>IF(TechData_R0!AB219="","",TechData_R0!AB219)</f>
        <v/>
      </c>
      <c r="M27" s="225" t="str">
        <f>IF(TechData_R0!AC219="","",TechData_R0!AC219)</f>
        <v/>
      </c>
      <c r="N27" s="225" t="str">
        <f>IF(TechData_R0!AD219="","",TechData_R0!AD219)</f>
        <v/>
      </c>
      <c r="O27" s="225" t="str">
        <f>IF(TechData_R0!AE219="","",TechData_R0!AE219)</f>
        <v/>
      </c>
      <c r="P27" s="225" t="str">
        <f>IF(TechData_R0!AF219="","",TechData_R0!AF219)</f>
        <v/>
      </c>
      <c r="Q27" s="222"/>
    </row>
    <row r="28" spans="1:17" ht="15">
      <c r="A28" s="222" t="s">
        <v>1495</v>
      </c>
      <c r="B28" s="223" t="s">
        <v>1465</v>
      </c>
      <c r="C28" s="245"/>
      <c r="D28" s="222"/>
      <c r="E28" s="224">
        <v>1</v>
      </c>
      <c r="F28" s="222">
        <v>1</v>
      </c>
      <c r="G28" s="225">
        <f>IF(TechData_R0!W220="","",TechData_R0!W220)</f>
        <v>218348.896130885</v>
      </c>
      <c r="H28" s="225">
        <f>IF(TechData_R0!X220="","",TechData_R0!X220)</f>
        <v>218348.896130885</v>
      </c>
      <c r="I28" s="225">
        <f>IF(TechData_R0!Y220="","",TechData_R0!Y220)</f>
        <v>218348.896130885</v>
      </c>
      <c r="J28" s="225" t="str">
        <f>IF(TechData_R0!Z220="","",TechData_R0!Z220)</f>
        <v/>
      </c>
      <c r="K28" s="225" t="str">
        <f>IF(TechData_R0!AA220="","",TechData_R0!AA220)</f>
        <v/>
      </c>
      <c r="L28" s="225" t="str">
        <f>IF(TechData_R0!AB220="","",TechData_R0!AB220)</f>
        <v/>
      </c>
      <c r="M28" s="225" t="str">
        <f>IF(TechData_R0!AC220="","",TechData_R0!AC220)</f>
        <v/>
      </c>
      <c r="N28" s="225" t="str">
        <f>IF(TechData_R0!AD220="","",TechData_R0!AD220)</f>
        <v/>
      </c>
      <c r="O28" s="225" t="str">
        <f>IF(TechData_R0!AE220="","",TechData_R0!AE220)</f>
        <v/>
      </c>
      <c r="P28" s="225" t="str">
        <f>IF(TechData_R0!AF220="","",TechData_R0!AF220)</f>
        <v/>
      </c>
      <c r="Q28" s="222"/>
    </row>
    <row r="29" spans="1:17" ht="15">
      <c r="A29" s="222" t="s">
        <v>1496</v>
      </c>
      <c r="B29" s="223" t="s">
        <v>1466</v>
      </c>
      <c r="C29" s="245"/>
      <c r="D29" s="222"/>
      <c r="E29" s="224">
        <v>1</v>
      </c>
      <c r="F29" s="222">
        <v>1</v>
      </c>
      <c r="G29" s="225">
        <f>IF(TechData_R0!W221="","",TechData_R0!W221)</f>
        <v>436697.79226177093</v>
      </c>
      <c r="H29" s="225">
        <f>IF(TechData_R0!X221="","",TechData_R0!X221)</f>
        <v>436697.79226177093</v>
      </c>
      <c r="I29" s="225">
        <f>IF(TechData_R0!Y221="","",TechData_R0!Y221)</f>
        <v>436697.79226177093</v>
      </c>
      <c r="J29" s="225" t="str">
        <f>IF(TechData_R0!Z221="","",TechData_R0!Z221)</f>
        <v/>
      </c>
      <c r="K29" s="225" t="str">
        <f>IF(TechData_R0!AA221="","",TechData_R0!AA221)</f>
        <v/>
      </c>
      <c r="L29" s="225" t="str">
        <f>IF(TechData_R0!AB221="","",TechData_R0!AB221)</f>
        <v/>
      </c>
      <c r="M29" s="225" t="str">
        <f>IF(TechData_R0!AC221="","",TechData_R0!AC221)</f>
        <v/>
      </c>
      <c r="N29" s="225" t="str">
        <f>IF(TechData_R0!AD221="","",TechData_R0!AD221)</f>
        <v/>
      </c>
      <c r="O29" s="225" t="str">
        <f>IF(TechData_R0!AE221="","",TechData_R0!AE221)</f>
        <v/>
      </c>
      <c r="P29" s="225" t="str">
        <f>IF(TechData_R0!AF221="","",TechData_R0!AF221)</f>
        <v/>
      </c>
      <c r="Q29" s="222"/>
    </row>
    <row r="30" spans="1:17" ht="15">
      <c r="A30" s="222" t="s">
        <v>1497</v>
      </c>
      <c r="B30" s="223" t="s">
        <v>1467</v>
      </c>
      <c r="C30" s="245"/>
      <c r="D30" s="222"/>
      <c r="E30" s="224">
        <v>1</v>
      </c>
      <c r="F30" s="222">
        <v>1</v>
      </c>
      <c r="G30" s="225">
        <f>IF(TechData_R0!W222="","",TechData_R0!W222)</f>
        <v>1746791.1690470842</v>
      </c>
      <c r="H30" s="225">
        <f>IF(TechData_R0!X222="","",TechData_R0!X222)</f>
        <v>1746791.1690470842</v>
      </c>
      <c r="I30" s="225">
        <f>IF(TechData_R0!Y222="","",TechData_R0!Y222)</f>
        <v>1746791.1690470842</v>
      </c>
      <c r="J30" s="225" t="str">
        <f>IF(TechData_R0!Z222="","",TechData_R0!Z222)</f>
        <v/>
      </c>
      <c r="K30" s="225" t="str">
        <f>IF(TechData_R0!AA222="","",TechData_R0!AA222)</f>
        <v/>
      </c>
      <c r="L30" s="225" t="str">
        <f>IF(TechData_R0!AB222="","",TechData_R0!AB222)</f>
        <v/>
      </c>
      <c r="M30" s="225" t="str">
        <f>IF(TechData_R0!AC222="","",TechData_R0!AC222)</f>
        <v/>
      </c>
      <c r="N30" s="225" t="str">
        <f>IF(TechData_R0!AD222="","",TechData_R0!AD222)</f>
        <v/>
      </c>
      <c r="O30" s="225" t="str">
        <f>IF(TechData_R0!AE222="","",TechData_R0!AE222)</f>
        <v/>
      </c>
      <c r="P30" s="225" t="str">
        <f>IF(TechData_R0!AF222="","",TechData_R0!AF222)</f>
        <v/>
      </c>
      <c r="Q30" s="222"/>
    </row>
    <row r="31" spans="1:17" ht="15">
      <c r="A31" s="222" t="s">
        <v>1498</v>
      </c>
      <c r="B31" s="223" t="s">
        <v>1468</v>
      </c>
      <c r="C31" s="245"/>
      <c r="D31" s="222"/>
      <c r="E31" s="224">
        <v>1</v>
      </c>
      <c r="F31" s="222">
        <v>1</v>
      </c>
      <c r="G31" s="225">
        <f>IF(TechData_R0!W223="","",TechData_R0!W223)</f>
        <v>224317.86948190606</v>
      </c>
      <c r="H31" s="225">
        <f>IF(TechData_R0!X223="","",TechData_R0!X223)</f>
        <v>224317.86948190606</v>
      </c>
      <c r="I31" s="225">
        <f>IF(TechData_R0!Y223="","",TechData_R0!Y223)</f>
        <v>224317.86948190606</v>
      </c>
      <c r="J31" s="225" t="str">
        <f>IF(TechData_R0!Z223="","",TechData_R0!Z223)</f>
        <v/>
      </c>
      <c r="K31" s="225" t="str">
        <f>IF(TechData_R0!AA223="","",TechData_R0!AA223)</f>
        <v/>
      </c>
      <c r="L31" s="225" t="str">
        <f>IF(TechData_R0!AB223="","",TechData_R0!AB223)</f>
        <v/>
      </c>
      <c r="M31" s="225" t="str">
        <f>IF(TechData_R0!AC223="","",TechData_R0!AC223)</f>
        <v/>
      </c>
      <c r="N31" s="225" t="str">
        <f>IF(TechData_R0!AD223="","",TechData_R0!AD223)</f>
        <v/>
      </c>
      <c r="O31" s="225" t="str">
        <f>IF(TechData_R0!AE223="","",TechData_R0!AE223)</f>
        <v/>
      </c>
      <c r="P31" s="225" t="str">
        <f>IF(TechData_R0!AF223="","",TechData_R0!AF223)</f>
        <v/>
      </c>
      <c r="Q31" s="222"/>
    </row>
    <row r="32" spans="1:17" ht="15">
      <c r="A32" s="222" t="s">
        <v>1499</v>
      </c>
      <c r="B32" s="223" t="s">
        <v>1469</v>
      </c>
      <c r="C32" s="245"/>
      <c r="D32" s="222"/>
      <c r="E32" s="224">
        <v>1</v>
      </c>
      <c r="F32" s="222">
        <v>1</v>
      </c>
      <c r="G32" s="225">
        <f>IF(TechData_R0!W224="","",TechData_R0!W224)</f>
        <v>1794542.9558552499</v>
      </c>
      <c r="H32" s="225">
        <f>IF(TechData_R0!X224="","",TechData_R0!X224)</f>
        <v>1794542.9558552499</v>
      </c>
      <c r="I32" s="225">
        <f>IF(TechData_R0!Y224="","",TechData_R0!Y224)</f>
        <v>1794542.9558552499</v>
      </c>
      <c r="J32" s="225" t="str">
        <f>IF(TechData_R0!Z224="","",TechData_R0!Z224)</f>
        <v/>
      </c>
      <c r="K32" s="225" t="str">
        <f>IF(TechData_R0!AA224="","",TechData_R0!AA224)</f>
        <v/>
      </c>
      <c r="L32" s="225" t="str">
        <f>IF(TechData_R0!AB224="","",TechData_R0!AB224)</f>
        <v/>
      </c>
      <c r="M32" s="225" t="str">
        <f>IF(TechData_R0!AC224="","",TechData_R0!AC224)</f>
        <v/>
      </c>
      <c r="N32" s="225" t="str">
        <f>IF(TechData_R0!AD224="","",TechData_R0!AD224)</f>
        <v/>
      </c>
      <c r="O32" s="225" t="str">
        <f>IF(TechData_R0!AE224="","",TechData_R0!AE224)</f>
        <v/>
      </c>
      <c r="P32" s="225" t="str">
        <f>IF(TechData_R0!AF224="","",TechData_R0!AF224)</f>
        <v/>
      </c>
      <c r="Q32" s="222"/>
    </row>
    <row r="33" spans="1:17" ht="15">
      <c r="A33" s="222" t="s">
        <v>1500</v>
      </c>
      <c r="B33" s="223" t="s">
        <v>1470</v>
      </c>
      <c r="C33" s="245"/>
      <c r="D33" s="222"/>
      <c r="E33" s="224">
        <v>1</v>
      </c>
      <c r="F33" s="222">
        <v>1</v>
      </c>
      <c r="G33" s="225">
        <f>IF(TechData_R0!W225="","",TechData_R0!W225)</f>
        <v>224317.8694819056</v>
      </c>
      <c r="H33" s="225">
        <f>IF(TechData_R0!X225="","",TechData_R0!X225)</f>
        <v>224317.8694819056</v>
      </c>
      <c r="I33" s="225">
        <f>IF(TechData_R0!Y225="","",TechData_R0!Y225)</f>
        <v>224317.8694819056</v>
      </c>
      <c r="J33" s="225" t="str">
        <f>IF(TechData_R0!Z225="","",TechData_R0!Z225)</f>
        <v/>
      </c>
      <c r="K33" s="225" t="str">
        <f>IF(TechData_R0!AA225="","",TechData_R0!AA225)</f>
        <v/>
      </c>
      <c r="L33" s="225" t="str">
        <f>IF(TechData_R0!AB225="","",TechData_R0!AB225)</f>
        <v/>
      </c>
      <c r="M33" s="225" t="str">
        <f>IF(TechData_R0!AC225="","",TechData_R0!AC225)</f>
        <v/>
      </c>
      <c r="N33" s="225" t="str">
        <f>IF(TechData_R0!AD225="","",TechData_R0!AD225)</f>
        <v/>
      </c>
      <c r="O33" s="225" t="str">
        <f>IF(TechData_R0!AE225="","",TechData_R0!AE225)</f>
        <v/>
      </c>
      <c r="P33" s="225" t="str">
        <f>IF(TechData_R0!AF225="","",TechData_R0!AF225)</f>
        <v/>
      </c>
      <c r="Q33" s="222"/>
    </row>
    <row r="34" spans="1:17" ht="15">
      <c r="A34" s="222" t="s">
        <v>1501</v>
      </c>
      <c r="B34" s="223" t="s">
        <v>1471</v>
      </c>
      <c r="C34" s="245"/>
      <c r="D34" s="222"/>
      <c r="E34" s="224">
        <v>1</v>
      </c>
      <c r="F34" s="222">
        <v>1</v>
      </c>
      <c r="G34" s="225">
        <f>IF(TechData_R0!W226="","",TechData_R0!W226)</f>
        <v>448635.73896381306</v>
      </c>
      <c r="H34" s="225">
        <f>IF(TechData_R0!X226="","",TechData_R0!X226)</f>
        <v>448635.73896381306</v>
      </c>
      <c r="I34" s="225">
        <f>IF(TechData_R0!Y226="","",TechData_R0!Y226)</f>
        <v>448635.73896381306</v>
      </c>
      <c r="J34" s="225" t="str">
        <f>IF(TechData_R0!Z226="","",TechData_R0!Z226)</f>
        <v/>
      </c>
      <c r="K34" s="225" t="str">
        <f>IF(TechData_R0!AA226="","",TechData_R0!AA226)</f>
        <v/>
      </c>
      <c r="L34" s="225" t="str">
        <f>IF(TechData_R0!AB226="","",TechData_R0!AB226)</f>
        <v/>
      </c>
      <c r="M34" s="225" t="str">
        <f>IF(TechData_R0!AC226="","",TechData_R0!AC226)</f>
        <v/>
      </c>
      <c r="N34" s="225" t="str">
        <f>IF(TechData_R0!AD226="","",TechData_R0!AD226)</f>
        <v/>
      </c>
      <c r="O34" s="225" t="str">
        <f>IF(TechData_R0!AE226="","",TechData_R0!AE226)</f>
        <v/>
      </c>
      <c r="P34" s="225" t="str">
        <f>IF(TechData_R0!AF226="","",TechData_R0!AF226)</f>
        <v/>
      </c>
      <c r="Q34" s="222"/>
    </row>
    <row r="35" spans="1:17" ht="15">
      <c r="A35" s="246" t="s">
        <v>1502</v>
      </c>
      <c r="B35" s="247" t="s">
        <v>1472</v>
      </c>
      <c r="C35" s="248"/>
      <c r="D35" s="246"/>
      <c r="E35" s="249">
        <v>1</v>
      </c>
      <c r="F35" s="246">
        <v>1</v>
      </c>
      <c r="G35" s="250">
        <f>IF(TechData_R0!W227="","",TechData_R0!W227)</f>
        <v>1794542.9558552485</v>
      </c>
      <c r="H35" s="250">
        <f>IF(TechData_R0!X227="","",TechData_R0!X227)</f>
        <v>1794542.9558552485</v>
      </c>
      <c r="I35" s="250">
        <f>IF(TechData_R0!Y227="","",TechData_R0!Y227)</f>
        <v>1794542.9558552485</v>
      </c>
      <c r="J35" s="250" t="str">
        <f>IF(TechData_R0!Z227="","",TechData_R0!Z227)</f>
        <v/>
      </c>
      <c r="K35" s="250" t="str">
        <f>IF(TechData_R0!AA227="","",TechData_R0!AA227)</f>
        <v/>
      </c>
      <c r="L35" s="250" t="str">
        <f>IF(TechData_R0!AB227="","",TechData_R0!AB227)</f>
        <v/>
      </c>
      <c r="M35" s="250" t="str">
        <f>IF(TechData_R0!AC227="","",TechData_R0!AC227)</f>
        <v/>
      </c>
      <c r="N35" s="250" t="str">
        <f>IF(TechData_R0!AD227="","",TechData_R0!AD227)</f>
        <v/>
      </c>
      <c r="O35" s="250" t="str">
        <f>IF(TechData_R0!AE227="","",TechData_R0!AE227)</f>
        <v/>
      </c>
      <c r="P35" s="250" t="str">
        <f>IF(TechData_R0!AF227="","",TechData_R0!AF227)</f>
        <v/>
      </c>
      <c r="Q35" s="246"/>
    </row>
  </sheetData>
  <phoneticPr fontId="6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rgb="FFFFC000"/>
  </sheetPr>
  <dimension ref="B1:BG524"/>
  <sheetViews>
    <sheetView showFormulas="1" topLeftCell="U1" zoomScale="90" zoomScaleNormal="90" workbookViewId="0">
      <selection activeCell="C520" sqref="C520"/>
    </sheetView>
  </sheetViews>
  <sheetFormatPr defaultColWidth="9.140625" defaultRowHeight="12.75"/>
  <cols>
    <col min="1" max="1" width="9.140625" style="147"/>
    <col min="2" max="2" width="40" style="147" bestFit="1" customWidth="1"/>
    <col min="3" max="3" width="22" style="147" bestFit="1" customWidth="1"/>
    <col min="4" max="4" width="69" style="147" bestFit="1" customWidth="1"/>
    <col min="5" max="5" width="10.7109375" style="147" bestFit="1" customWidth="1"/>
    <col min="6" max="7" width="14.140625" style="163" bestFit="1" customWidth="1"/>
    <col min="8" max="9" width="17.85546875" style="163" bestFit="1" customWidth="1"/>
    <col min="10" max="10" width="21.85546875" style="163" bestFit="1" customWidth="1"/>
    <col min="11" max="11" width="19.7109375" style="163" bestFit="1" customWidth="1"/>
    <col min="12" max="12" width="17.85546875" style="163" bestFit="1" customWidth="1"/>
    <col min="13" max="13" width="21.85546875" style="163" bestFit="1" customWidth="1"/>
    <col min="14" max="14" width="19.7109375" style="163" bestFit="1" customWidth="1"/>
    <col min="15" max="19" width="17.85546875" style="163" bestFit="1" customWidth="1"/>
    <col min="20" max="20" width="11.7109375" style="163" bestFit="1" customWidth="1"/>
    <col min="21" max="32" width="19.140625" style="163" bestFit="1" customWidth="1"/>
    <col min="33" max="37" width="17.85546875" style="163" bestFit="1" customWidth="1"/>
    <col min="38" max="38" width="7.140625" style="163" bestFit="1" customWidth="1"/>
    <col min="39" max="39" width="12.28515625" style="163" bestFit="1" customWidth="1"/>
    <col min="40" max="40" width="7.140625" style="163" bestFit="1" customWidth="1"/>
    <col min="41" max="41" width="12.28515625" style="163" bestFit="1" customWidth="1"/>
    <col min="42" max="46" width="9.28515625" style="163" customWidth="1"/>
    <col min="47" max="47" width="14.7109375" style="163" bestFit="1" customWidth="1"/>
    <col min="48" max="48" width="13.42578125" style="163" bestFit="1" customWidth="1"/>
    <col min="49" max="49" width="14.7109375" style="163" bestFit="1" customWidth="1"/>
    <col min="50" max="53" width="15.85546875" style="163" bestFit="1" customWidth="1"/>
    <col min="54" max="57" width="14.5703125" style="163" bestFit="1" customWidth="1"/>
    <col min="58" max="59" width="13.42578125" style="163" bestFit="1" customWidth="1"/>
    <col min="60" max="16384" width="9.140625" style="147"/>
  </cols>
  <sheetData>
    <row r="1" spans="2:59">
      <c r="B1" s="146" t="s">
        <v>397</v>
      </c>
      <c r="C1" s="147" t="s">
        <v>974</v>
      </c>
      <c r="Z1" s="163" t="s">
        <v>398</v>
      </c>
      <c r="AA1" s="163" t="s">
        <v>398</v>
      </c>
      <c r="AB1" s="163" t="s">
        <v>398</v>
      </c>
      <c r="AC1" s="163" t="str">
        <f t="shared" ref="AC1:AK1" si="0">$AB1</f>
        <v>*</v>
      </c>
      <c r="AD1" s="163" t="str">
        <f t="shared" si="0"/>
        <v>*</v>
      </c>
      <c r="AE1" s="163" t="str">
        <f t="shared" si="0"/>
        <v>*</v>
      </c>
      <c r="AF1" s="163" t="str">
        <f t="shared" si="0"/>
        <v>*</v>
      </c>
      <c r="AG1" s="163" t="str">
        <f t="shared" si="0"/>
        <v>*</v>
      </c>
      <c r="AH1" s="163" t="str">
        <f t="shared" si="0"/>
        <v>*</v>
      </c>
      <c r="AI1" s="163" t="str">
        <f t="shared" si="0"/>
        <v>*</v>
      </c>
      <c r="AJ1" s="163" t="str">
        <f t="shared" si="0"/>
        <v>*</v>
      </c>
      <c r="AK1" s="163" t="str">
        <f t="shared" si="0"/>
        <v>*</v>
      </c>
    </row>
    <row r="4" spans="2:59" ht="17.25" customHeight="1"/>
    <row r="5" spans="2:59" ht="17.25" customHeight="1">
      <c r="AW5" s="169"/>
      <c r="AX5" s="169"/>
      <c r="AY5" s="169"/>
      <c r="AZ5" s="169"/>
      <c r="BA5" s="169"/>
      <c r="BB5" s="169"/>
      <c r="BC5" s="169"/>
      <c r="BD5" s="169"/>
      <c r="BE5" s="169"/>
      <c r="BF5" s="170"/>
      <c r="BG5" s="170"/>
    </row>
    <row r="6" spans="2:59" ht="17.25" customHeight="1">
      <c r="E6" s="192"/>
      <c r="AV6" s="169"/>
      <c r="AW6" s="169"/>
      <c r="AX6" s="169"/>
      <c r="AY6" s="169"/>
      <c r="AZ6" s="169"/>
      <c r="BA6" s="169"/>
      <c r="BB6" s="169"/>
      <c r="BC6" s="169"/>
      <c r="BD6" s="169"/>
      <c r="BE6" s="170"/>
      <c r="BF6" s="170"/>
      <c r="BG6" s="147"/>
    </row>
    <row r="7" spans="2:59" ht="15.75" customHeight="1">
      <c r="B7" s="153" t="s">
        <v>541</v>
      </c>
      <c r="C7" s="153" t="s">
        <v>187</v>
      </c>
      <c r="D7" s="153" t="s">
        <v>188</v>
      </c>
      <c r="E7" s="153" t="s">
        <v>191</v>
      </c>
      <c r="F7" s="153" t="s">
        <v>1157</v>
      </c>
      <c r="G7" s="193" t="s">
        <v>1124</v>
      </c>
      <c r="H7" s="193" t="s">
        <v>1125</v>
      </c>
      <c r="I7" s="193" t="s">
        <v>1126</v>
      </c>
      <c r="J7" s="193" t="s">
        <v>1127</v>
      </c>
      <c r="K7" s="193" t="s">
        <v>1128</v>
      </c>
      <c r="L7" s="153" t="s">
        <v>1129</v>
      </c>
      <c r="M7" s="153" t="s">
        <v>1130</v>
      </c>
      <c r="N7" s="153" t="s">
        <v>1131</v>
      </c>
      <c r="O7" s="153" t="s">
        <v>1132</v>
      </c>
      <c r="P7" s="153" t="s">
        <v>1133</v>
      </c>
      <c r="Q7" s="153" t="s">
        <v>1134</v>
      </c>
      <c r="R7" s="153" t="s">
        <v>1135</v>
      </c>
      <c r="S7" s="153" t="s">
        <v>1136</v>
      </c>
      <c r="T7" s="153" t="s">
        <v>1137</v>
      </c>
      <c r="U7" s="153" t="s">
        <v>1138</v>
      </c>
      <c r="V7" s="153" t="s">
        <v>402</v>
      </c>
      <c r="W7" s="153" t="s">
        <v>1174</v>
      </c>
      <c r="X7" s="153" t="s">
        <v>1175</v>
      </c>
      <c r="Y7" s="153" t="s">
        <v>1176</v>
      </c>
      <c r="Z7" s="153" t="s">
        <v>1177</v>
      </c>
      <c r="AA7" s="153" t="s">
        <v>1178</v>
      </c>
      <c r="AB7" s="153" t="s">
        <v>1179</v>
      </c>
      <c r="AC7" s="153" t="s">
        <v>1180</v>
      </c>
      <c r="AD7" s="153" t="s">
        <v>1181</v>
      </c>
      <c r="AE7" s="153" t="s">
        <v>1182</v>
      </c>
      <c r="AF7" s="153" t="s">
        <v>1183</v>
      </c>
      <c r="AG7" s="153" t="s">
        <v>1184</v>
      </c>
      <c r="AH7" s="153" t="s">
        <v>1185</v>
      </c>
      <c r="AI7" s="153" t="s">
        <v>1139</v>
      </c>
      <c r="AJ7" s="176"/>
      <c r="AK7" s="176"/>
      <c r="AL7" s="176"/>
      <c r="AM7" s="176"/>
      <c r="AN7" s="176"/>
      <c r="AO7" s="176"/>
      <c r="AP7" s="147"/>
      <c r="AQ7" s="147"/>
      <c r="AR7" s="147"/>
      <c r="AS7" s="147"/>
      <c r="AT7" s="147"/>
      <c r="AU7" s="147"/>
      <c r="AV7" s="147"/>
      <c r="AW7" s="147"/>
      <c r="AX7" s="147"/>
      <c r="AY7" s="147"/>
      <c r="AZ7" s="147"/>
      <c r="BA7" s="147"/>
      <c r="BB7" s="147"/>
      <c r="BC7" s="147"/>
      <c r="BD7" s="147"/>
      <c r="BE7" s="147"/>
      <c r="BF7" s="147"/>
      <c r="BG7" s="147"/>
    </row>
    <row r="8" spans="2:59">
      <c r="B8" s="154" t="s">
        <v>1156</v>
      </c>
      <c r="C8" s="154"/>
      <c r="D8" s="154"/>
      <c r="E8" s="194"/>
      <c r="F8" s="196"/>
      <c r="G8" s="196"/>
      <c r="H8" s="196"/>
      <c r="I8" s="196"/>
      <c r="J8" s="196"/>
      <c r="K8" s="196"/>
      <c r="L8" s="196"/>
      <c r="M8" s="196"/>
      <c r="N8" s="196"/>
      <c r="O8" s="196"/>
      <c r="P8" s="196"/>
      <c r="Q8" s="196"/>
      <c r="R8" s="196"/>
      <c r="S8" s="196"/>
      <c r="T8" s="196"/>
      <c r="U8" s="196"/>
      <c r="V8" s="196"/>
      <c r="W8" s="196"/>
      <c r="X8" s="196"/>
      <c r="Y8" s="196"/>
      <c r="Z8" s="196"/>
      <c r="AA8" s="196"/>
      <c r="AB8" s="196"/>
      <c r="AC8" s="196"/>
      <c r="AD8" s="196"/>
      <c r="AE8" s="196"/>
      <c r="AF8" s="196"/>
      <c r="AG8" s="196"/>
      <c r="AH8" s="196"/>
      <c r="AI8" s="196"/>
      <c r="AP8" s="147"/>
      <c r="AQ8" s="147"/>
      <c r="AR8" s="147"/>
      <c r="AS8" s="147"/>
      <c r="AT8" s="147"/>
      <c r="AU8" s="147"/>
      <c r="AV8" s="147"/>
      <c r="AW8" s="147"/>
      <c r="AX8" s="147"/>
      <c r="AY8" s="147"/>
      <c r="AZ8" s="147"/>
      <c r="BA8" s="147"/>
      <c r="BB8" s="147"/>
      <c r="BC8" s="147"/>
      <c r="BD8" s="147"/>
      <c r="BE8" s="147"/>
      <c r="BF8" s="147"/>
      <c r="BG8" s="147"/>
    </row>
    <row r="9" spans="2:59">
      <c r="B9" s="158" t="str">
        <f>Technologies!B9</f>
        <v>R1</v>
      </c>
      <c r="C9" s="158" t="str">
        <f>Technologies!C9</f>
        <v>MINOILD1</v>
      </c>
      <c r="D9" s="158" t="s">
        <v>319</v>
      </c>
      <c r="E9" s="197" t="str">
        <f>Commodities!$C$10</f>
        <v>OILD0</v>
      </c>
      <c r="F9" s="197">
        <v>1</v>
      </c>
      <c r="G9" s="197"/>
      <c r="H9" s="197"/>
      <c r="I9" s="197"/>
      <c r="J9" s="197">
        <v>1.0049999999999999</v>
      </c>
      <c r="K9" s="197">
        <v>1.01</v>
      </c>
      <c r="L9" s="188">
        <f>L11*'Imp Crude'!$C$5</f>
        <v>10.985032901503299</v>
      </c>
      <c r="M9" s="188">
        <f>M11*'Imp Crude'!$C$5</f>
        <v>12.023778767606524</v>
      </c>
      <c r="N9" s="188">
        <f>N11*'Imp Crude'!$C$5</f>
        <v>11.976269618951905</v>
      </c>
      <c r="O9" s="188">
        <f>O11*'Imp Crude'!$C$5</f>
        <v>13.651596890839382</v>
      </c>
      <c r="P9" s="188">
        <f>P11*'Imp Crude'!$C$5</f>
        <v>14.902155011538648</v>
      </c>
      <c r="Q9" s="188">
        <f>Q11*'Imp Crude'!$C$5</f>
        <v>16.322527629087038</v>
      </c>
      <c r="R9" s="188">
        <f>R11*'Imp Crude'!$C$5</f>
        <v>17.862996923404218</v>
      </c>
      <c r="S9" s="188">
        <f>S11*'Imp Crude'!$C$5</f>
        <v>19.548850909397785</v>
      </c>
      <c r="T9" s="188">
        <f>T11*'Imp Crude'!$C$5</f>
        <v>21.393810541228788</v>
      </c>
      <c r="U9" s="188">
        <f>U11*'Imp Crude'!$C$5</f>
        <v>23.41289171395556</v>
      </c>
      <c r="V9" s="187">
        <f>Y9/SUM($Y$9:$Y$13)*'Domestic Crude Oil CUM'!$J$7</f>
        <v>177.08863984470972</v>
      </c>
      <c r="W9" s="186">
        <f>Y9*0.9</f>
        <v>2.2708085285094786</v>
      </c>
      <c r="X9" s="195">
        <f>'Domestic Crude Oil Prod'!B47</f>
        <v>2.1943304557264169</v>
      </c>
      <c r="Y9" s="195">
        <f>'Domestic Crude Oil Prod'!B62</f>
        <v>2.523120587232754</v>
      </c>
      <c r="Z9" s="197"/>
      <c r="AA9" s="197"/>
      <c r="AB9" s="197"/>
      <c r="AC9" s="197"/>
      <c r="AD9" s="197"/>
      <c r="AE9" s="197"/>
      <c r="AF9" s="197"/>
      <c r="AG9" s="197"/>
      <c r="AH9" s="197"/>
      <c r="AI9" s="197"/>
      <c r="AP9" s="147"/>
      <c r="AQ9" s="147"/>
      <c r="AR9" s="147"/>
      <c r="AS9" s="147"/>
      <c r="AT9" s="147"/>
      <c r="AU9" s="147"/>
      <c r="AV9" s="147"/>
      <c r="AW9" s="147"/>
      <c r="AX9" s="147"/>
      <c r="AY9" s="147"/>
      <c r="AZ9" s="147"/>
      <c r="BA9" s="147"/>
      <c r="BB9" s="147"/>
      <c r="BC9" s="147"/>
      <c r="BD9" s="147"/>
      <c r="BE9" s="147"/>
      <c r="BF9" s="147"/>
      <c r="BG9" s="147"/>
    </row>
    <row r="10" spans="2:59">
      <c r="B10" s="158" t="str">
        <f>Technologies!B10</f>
        <v>R1</v>
      </c>
      <c r="C10" s="158" t="str">
        <f>Technologies!C10</f>
        <v>MINOILD2</v>
      </c>
      <c r="D10" s="158" t="s">
        <v>320</v>
      </c>
      <c r="E10" s="197" t="str">
        <f>Commodities!$C$10</f>
        <v>OILD0</v>
      </c>
      <c r="F10" s="197">
        <v>1</v>
      </c>
      <c r="G10" s="197"/>
      <c r="H10" s="197"/>
      <c r="I10" s="197"/>
      <c r="J10" s="197">
        <v>1.0049999999999999</v>
      </c>
      <c r="K10" s="197">
        <v>1.01</v>
      </c>
      <c r="L10" s="188">
        <f>L11*'Imp Crude'!$C$6</f>
        <v>11.595312507142369</v>
      </c>
      <c r="M10" s="188">
        <f>M11*'Imp Crude'!$C$6</f>
        <v>12.691766476917998</v>
      </c>
      <c r="N10" s="188">
        <f>N11*'Imp Crude'!$C$6</f>
        <v>12.641617931115899</v>
      </c>
      <c r="O10" s="188">
        <f>O11*'Imp Crude'!$C$6</f>
        <v>14.410018940330458</v>
      </c>
      <c r="P10" s="188">
        <f>P11*'Imp Crude'!$C$6</f>
        <v>15.730052512179682</v>
      </c>
      <c r="Q10" s="188">
        <f>Q11*'Imp Crude'!$C$6</f>
        <v>17.229334719591872</v>
      </c>
      <c r="R10" s="188">
        <f>R11*'Imp Crude'!$C$6</f>
        <v>18.855385641371118</v>
      </c>
      <c r="S10" s="188">
        <f>S11*'Imp Crude'!$C$6</f>
        <v>20.634898182142102</v>
      </c>
      <c r="T10" s="188">
        <f>T11*'Imp Crude'!$C$6</f>
        <v>22.582355571297054</v>
      </c>
      <c r="U10" s="188">
        <f>U11*'Imp Crude'!$C$6</f>
        <v>24.713607920286425</v>
      </c>
      <c r="V10" s="187">
        <f>Y10/SUM($Y$9:$Y$13)*'Domestic Crude Oil CUM'!$J$7</f>
        <v>177.08863984470972</v>
      </c>
      <c r="W10" s="186">
        <f t="shared" ref="W10:W11" si="1">Y10*0.9</f>
        <v>2.2708085285094786</v>
      </c>
      <c r="X10" s="195">
        <f>'Domestic Crude Oil Prod'!B48</f>
        <v>2.1943304557264169</v>
      </c>
      <c r="Y10" s="195">
        <f>'Domestic Crude Oil Prod'!B63</f>
        <v>2.523120587232754</v>
      </c>
      <c r="Z10" s="197"/>
      <c r="AA10" s="197"/>
      <c r="AB10" s="197"/>
      <c r="AC10" s="197"/>
      <c r="AD10" s="197"/>
      <c r="AE10" s="197"/>
      <c r="AF10" s="197"/>
      <c r="AG10" s="197"/>
      <c r="AH10" s="197"/>
      <c r="AI10" s="197"/>
      <c r="AP10" s="147"/>
      <c r="AQ10" s="147"/>
      <c r="AR10" s="147"/>
      <c r="AS10" s="147"/>
      <c r="AT10" s="147"/>
      <c r="AU10" s="147"/>
      <c r="AV10" s="147"/>
      <c r="AW10" s="147"/>
      <c r="AX10" s="147"/>
      <c r="AY10" s="147"/>
      <c r="AZ10" s="147"/>
      <c r="BA10" s="147"/>
      <c r="BB10" s="147"/>
      <c r="BC10" s="147"/>
      <c r="BD10" s="147"/>
      <c r="BE10" s="147"/>
      <c r="BF10" s="147"/>
      <c r="BG10" s="147"/>
    </row>
    <row r="11" spans="2:59">
      <c r="B11" s="158" t="str">
        <f>Technologies!B11</f>
        <v>R1</v>
      </c>
      <c r="C11" s="158" t="str">
        <f>Technologies!C11</f>
        <v>MINOILD3</v>
      </c>
      <c r="D11" s="158" t="s">
        <v>321</v>
      </c>
      <c r="E11" s="197" t="str">
        <f>Commodities!$C$10</f>
        <v>OILD0</v>
      </c>
      <c r="F11" s="197">
        <v>1</v>
      </c>
      <c r="G11" s="197"/>
      <c r="H11" s="185"/>
      <c r="I11" s="197"/>
      <c r="J11" s="197">
        <v>1.0049999999999999</v>
      </c>
      <c r="K11" s="197">
        <v>1.01</v>
      </c>
      <c r="L11" s="188">
        <f>'Domestic Crude Oil Prices'!M31*'Imp Crude'!$J$5</f>
        <v>12.205592112781442</v>
      </c>
      <c r="M11" s="188">
        <f>'Domestic Crude Oil Prices'!N31*'Imp Crude'!$J$5</f>
        <v>13.359754186229472</v>
      </c>
      <c r="N11" s="188">
        <f>'Domestic Crude Oil Prices'!O31*'Imp Crude'!$J$5</f>
        <v>13.306966243279895</v>
      </c>
      <c r="O11" s="188">
        <f>'Domestic Crude Oil Prices'!P31*'Imp Crude'!$J$5</f>
        <v>15.168440989821535</v>
      </c>
      <c r="P11" s="188">
        <f>'Domestic Crude Oil Prices'!Q31*'Imp Crude'!$J$5</f>
        <v>16.557950012820719</v>
      </c>
      <c r="Q11" s="188">
        <f>'Domestic Crude Oil Prices'!R31*'Imp Crude'!$J$5</f>
        <v>18.136141810096706</v>
      </c>
      <c r="R11" s="188">
        <f>'Domestic Crude Oil Prices'!S31*'Imp Crude'!$J$5</f>
        <v>19.847774359338018</v>
      </c>
      <c r="S11" s="188">
        <f>R11*'Domestic Crude Oil Prices'!$T$30</f>
        <v>21.720945454886426</v>
      </c>
      <c r="T11" s="188">
        <f>S11*'Domestic Crude Oil Prices'!$T$30</f>
        <v>23.770900601365319</v>
      </c>
      <c r="U11" s="188">
        <f>T11*'Domestic Crude Oil Prices'!$T$30</f>
        <v>26.014324126617289</v>
      </c>
      <c r="V11" s="187">
        <f>Y11/SUM($Y$9:$Y$13)*'Domestic Crude Oil CUM'!$J$7</f>
        <v>1416.7091187576777</v>
      </c>
      <c r="W11" s="186">
        <f t="shared" si="1"/>
        <v>18.166468228075829</v>
      </c>
      <c r="X11" s="195">
        <f>'Domestic Crude Oil Prod'!B49</f>
        <v>17.554643645811332</v>
      </c>
      <c r="Y11" s="195">
        <f>'Domestic Crude Oil Prod'!B64</f>
        <v>20.184964697862032</v>
      </c>
      <c r="Z11" s="197"/>
      <c r="AA11" s="197"/>
      <c r="AB11" s="197"/>
      <c r="AC11" s="197"/>
      <c r="AD11" s="197"/>
      <c r="AE11" s="197"/>
      <c r="AF11" s="197"/>
      <c r="AG11" s="197"/>
      <c r="AH11" s="197"/>
      <c r="AI11" s="197"/>
      <c r="AP11" s="147"/>
      <c r="AQ11" s="147"/>
      <c r="AR11" s="147"/>
      <c r="AS11" s="147"/>
      <c r="AT11" s="147"/>
      <c r="AU11" s="147"/>
      <c r="AV11" s="147"/>
      <c r="AW11" s="147"/>
      <c r="AX11" s="147"/>
      <c r="AY11" s="147"/>
      <c r="AZ11" s="147"/>
      <c r="BA11" s="147"/>
      <c r="BB11" s="147"/>
      <c r="BC11" s="147"/>
      <c r="BD11" s="147"/>
      <c r="BE11" s="147"/>
      <c r="BF11" s="147"/>
      <c r="BG11" s="147"/>
    </row>
    <row r="12" spans="2:59">
      <c r="B12" s="158" t="str">
        <f>Technologies!B12</f>
        <v>R1</v>
      </c>
      <c r="C12" s="158" t="str">
        <f>Technologies!C12</f>
        <v>MINOILD4</v>
      </c>
      <c r="D12" s="158" t="s">
        <v>322</v>
      </c>
      <c r="E12" s="197" t="str">
        <f>Commodities!$C$10</f>
        <v>OILD0</v>
      </c>
      <c r="F12" s="197">
        <v>1</v>
      </c>
      <c r="G12" s="197"/>
      <c r="H12" s="185">
        <f>Y12*0.1</f>
        <v>0.50462411744655078</v>
      </c>
      <c r="I12" s="197"/>
      <c r="J12" s="197">
        <v>1.0049999999999999</v>
      </c>
      <c r="K12" s="197">
        <v>1.01</v>
      </c>
      <c r="L12" s="188">
        <f>L11*'Imp Crude'!$C$8</f>
        <v>12.815871718420516</v>
      </c>
      <c r="M12" s="188">
        <f>M11*'Imp Crude'!$C$8</f>
        <v>14.027741895540945</v>
      </c>
      <c r="N12" s="188">
        <f>N11*'Imp Crude'!$C$8</f>
        <v>13.972314555443891</v>
      </c>
      <c r="O12" s="188">
        <f>O11*'Imp Crude'!$C$8</f>
        <v>15.926863039312613</v>
      </c>
      <c r="P12" s="188">
        <f>P11*'Imp Crude'!$C$8</f>
        <v>17.385847513461755</v>
      </c>
      <c r="Q12" s="188">
        <f>Q11*'Imp Crude'!$C$8</f>
        <v>19.042948900601541</v>
      </c>
      <c r="R12" s="188">
        <f>R11*'Imp Crude'!$C$8</f>
        <v>20.840163077304918</v>
      </c>
      <c r="S12" s="188">
        <f>S11*'Imp Crude'!$C$8</f>
        <v>22.80699272763075</v>
      </c>
      <c r="T12" s="188">
        <f>T11*'Imp Crude'!$C$8</f>
        <v>24.959445631433585</v>
      </c>
      <c r="U12" s="188">
        <f>U11*'Imp Crude'!$C$8</f>
        <v>27.315040332948154</v>
      </c>
      <c r="V12" s="187">
        <f>Y12/SUM($Y$9:$Y$13)*'Domestic Crude Oil CUM'!$J$7</f>
        <v>354.17727968941938</v>
      </c>
      <c r="W12" s="186"/>
      <c r="X12" s="195">
        <f>'Domestic Crude Oil Prod'!B50</f>
        <v>4.3886609114528312</v>
      </c>
      <c r="Y12" s="195">
        <f>'Domestic Crude Oil Prod'!B65</f>
        <v>5.0462411744655071</v>
      </c>
      <c r="Z12" s="197"/>
      <c r="AA12" s="197"/>
      <c r="AB12" s="197"/>
      <c r="AC12" s="197"/>
      <c r="AD12" s="197"/>
      <c r="AE12" s="197"/>
      <c r="AF12" s="197"/>
      <c r="AG12" s="197"/>
      <c r="AH12" s="197"/>
      <c r="AI12" s="197"/>
      <c r="AP12" s="147"/>
      <c r="AQ12" s="147"/>
      <c r="AR12" s="147"/>
      <c r="AS12" s="147"/>
      <c r="AT12" s="147"/>
      <c r="AU12" s="147"/>
      <c r="AV12" s="147"/>
      <c r="AW12" s="147"/>
      <c r="AX12" s="147"/>
      <c r="AY12" s="147"/>
      <c r="AZ12" s="147"/>
      <c r="BA12" s="147"/>
      <c r="BB12" s="147"/>
      <c r="BC12" s="147"/>
      <c r="BD12" s="147"/>
      <c r="BE12" s="147"/>
      <c r="BF12" s="147"/>
      <c r="BG12" s="147"/>
    </row>
    <row r="13" spans="2:59">
      <c r="B13" s="158" t="str">
        <f>Technologies!B13</f>
        <v>R1</v>
      </c>
      <c r="C13" s="158" t="str">
        <f>Technologies!C13</f>
        <v>MINOILD5</v>
      </c>
      <c r="D13" s="158" t="s">
        <v>323</v>
      </c>
      <c r="E13" s="197" t="str">
        <f>Commodities!$C$10</f>
        <v>OILD0</v>
      </c>
      <c r="F13" s="197">
        <v>1</v>
      </c>
      <c r="G13" s="197"/>
      <c r="H13" s="185">
        <f>Y13*0.1</f>
        <v>0.75693617616982645</v>
      </c>
      <c r="I13" s="197"/>
      <c r="J13" s="197">
        <v>1.0049999999999999</v>
      </c>
      <c r="K13" s="197">
        <v>1.01</v>
      </c>
      <c r="L13" s="188">
        <f>L12*'Imp Crude'!$C$9</f>
        <v>16.660633233946673</v>
      </c>
      <c r="M13" s="188">
        <f>M12*'Imp Crude'!$C$9</f>
        <v>18.236064464203228</v>
      </c>
      <c r="N13" s="188">
        <f>N12*'Imp Crude'!$C$9</f>
        <v>18.164008922077059</v>
      </c>
      <c r="O13" s="188">
        <f>O12*'Imp Crude'!$C$9</f>
        <v>20.704921951106396</v>
      </c>
      <c r="P13" s="188">
        <f>P12*'Imp Crude'!$C$9</f>
        <v>22.601601767500281</v>
      </c>
      <c r="Q13" s="188">
        <f>Q12*'Imp Crude'!$C$9</f>
        <v>24.755833570782006</v>
      </c>
      <c r="R13" s="188">
        <f>R12*'Imp Crude'!$C$9</f>
        <v>27.092212000496396</v>
      </c>
      <c r="S13" s="188">
        <f>S12*'Imp Crude'!$C$9</f>
        <v>29.649090545919975</v>
      </c>
      <c r="T13" s="188">
        <f>T12*'Imp Crude'!$C$9</f>
        <v>32.447279320863665</v>
      </c>
      <c r="U13" s="188">
        <f>U12*'Imp Crude'!$C$9</f>
        <v>35.509552432832599</v>
      </c>
      <c r="V13" s="187">
        <f>Y13/SUM($Y$9:$Y$13)*'Domestic Crude Oil CUM'!$J$7</f>
        <v>531.26591953412935</v>
      </c>
      <c r="W13" s="186"/>
      <c r="X13" s="195">
        <v>0</v>
      </c>
      <c r="Y13" s="195">
        <f>'Domestic Crude Oil Prod'!B66</f>
        <v>7.5693617616982642</v>
      </c>
      <c r="Z13" s="197"/>
      <c r="AA13" s="197"/>
      <c r="AB13" s="197"/>
      <c r="AC13" s="197"/>
      <c r="AD13" s="197"/>
      <c r="AE13" s="197"/>
      <c r="AF13" s="197"/>
      <c r="AG13" s="197"/>
      <c r="AH13" s="197"/>
      <c r="AI13" s="197"/>
      <c r="AP13" s="147"/>
      <c r="AQ13" s="147"/>
      <c r="AR13" s="147"/>
      <c r="AS13" s="147"/>
      <c r="AT13" s="147"/>
      <c r="AU13" s="147"/>
      <c r="AV13" s="147"/>
      <c r="AW13" s="147"/>
      <c r="AX13" s="147"/>
      <c r="AY13" s="147"/>
      <c r="AZ13" s="147"/>
      <c r="BA13" s="147"/>
      <c r="BB13" s="147"/>
      <c r="BC13" s="147"/>
      <c r="BD13" s="147"/>
      <c r="BE13" s="147"/>
      <c r="BF13" s="147"/>
      <c r="BG13" s="147"/>
    </row>
    <row r="14" spans="2:59">
      <c r="O14" s="171"/>
      <c r="P14" s="171"/>
      <c r="Q14" s="171"/>
      <c r="R14" s="171"/>
      <c r="S14" s="171"/>
      <c r="T14" s="171"/>
      <c r="U14" s="171"/>
      <c r="V14" s="171"/>
      <c r="W14" s="171"/>
      <c r="X14" s="171"/>
      <c r="Y14" s="172"/>
      <c r="Z14" s="173"/>
    </row>
    <row r="15" spans="2:59">
      <c r="O15" s="171"/>
      <c r="P15" s="171"/>
      <c r="Q15" s="171"/>
      <c r="R15" s="171"/>
      <c r="S15" s="171"/>
      <c r="T15" s="171"/>
      <c r="U15" s="171"/>
      <c r="V15" s="171"/>
      <c r="W15" s="171"/>
      <c r="X15" s="171"/>
      <c r="Y15" s="172"/>
      <c r="Z15" s="173"/>
    </row>
    <row r="16" spans="2:59" ht="17.25" customHeight="1">
      <c r="F16" s="192"/>
      <c r="AW16" s="169"/>
      <c r="AX16" s="169"/>
      <c r="AY16" s="169"/>
      <c r="AZ16" s="169"/>
      <c r="BA16" s="169"/>
      <c r="BB16" s="169"/>
      <c r="BC16" s="169"/>
      <c r="BD16" s="169"/>
      <c r="BE16" s="169"/>
      <c r="BF16" s="170"/>
      <c r="BG16" s="170"/>
    </row>
    <row r="17" spans="2:59" ht="15.75" customHeight="1">
      <c r="B17" s="153" t="s">
        <v>541</v>
      </c>
      <c r="C17" s="153" t="s">
        <v>187</v>
      </c>
      <c r="D17" s="153" t="s">
        <v>188</v>
      </c>
      <c r="E17" s="153" t="s">
        <v>190</v>
      </c>
      <c r="F17" s="153" t="s">
        <v>191</v>
      </c>
      <c r="G17" s="153" t="s">
        <v>1157</v>
      </c>
      <c r="H17" s="153" t="s">
        <v>1174</v>
      </c>
      <c r="I17" s="153" t="s">
        <v>1175</v>
      </c>
      <c r="J17" s="153" t="s">
        <v>1176</v>
      </c>
      <c r="K17" s="153" t="s">
        <v>1177</v>
      </c>
      <c r="L17" s="153" t="s">
        <v>1178</v>
      </c>
      <c r="M17" s="153" t="s">
        <v>1179</v>
      </c>
      <c r="N17" s="153" t="s">
        <v>1180</v>
      </c>
      <c r="O17" s="153" t="s">
        <v>1181</v>
      </c>
      <c r="P17" s="153" t="s">
        <v>1182</v>
      </c>
      <c r="Q17" s="153" t="s">
        <v>1183</v>
      </c>
      <c r="R17" s="153" t="s">
        <v>1184</v>
      </c>
      <c r="S17" s="153" t="s">
        <v>1185</v>
      </c>
      <c r="T17" s="153" t="s">
        <v>1139</v>
      </c>
      <c r="U17" s="176"/>
      <c r="V17" s="176"/>
      <c r="W17" s="176"/>
      <c r="X17" s="153" t="s">
        <v>1141</v>
      </c>
      <c r="Y17" s="153" t="s">
        <v>1142</v>
      </c>
      <c r="Z17" s="153" t="s">
        <v>1143</v>
      </c>
      <c r="AA17" s="153" t="s">
        <v>1144</v>
      </c>
      <c r="AB17" s="153" t="s">
        <v>1145</v>
      </c>
      <c r="AC17" s="153" t="s">
        <v>1146</v>
      </c>
      <c r="AD17" s="153" t="s">
        <v>1147</v>
      </c>
      <c r="AE17" s="153" t="s">
        <v>1148</v>
      </c>
      <c r="AF17" s="153" t="s">
        <v>1149</v>
      </c>
      <c r="AG17" s="153" t="s">
        <v>1150</v>
      </c>
      <c r="AH17" s="153" t="s">
        <v>1151</v>
      </c>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row>
    <row r="18" spans="2:59" ht="15.75" customHeight="1">
      <c r="B18" s="184" t="s">
        <v>1158</v>
      </c>
      <c r="C18" s="184"/>
      <c r="D18" s="184"/>
      <c r="E18" s="184"/>
      <c r="F18" s="184"/>
      <c r="G18" s="184"/>
      <c r="H18" s="184"/>
      <c r="I18" s="184"/>
      <c r="J18" s="184"/>
      <c r="K18" s="184"/>
      <c r="L18" s="184"/>
      <c r="M18" s="184"/>
      <c r="N18" s="184"/>
      <c r="O18" s="184"/>
      <c r="P18" s="184"/>
      <c r="Q18" s="184"/>
      <c r="R18" s="184"/>
      <c r="S18" s="184"/>
      <c r="T18" s="184"/>
      <c r="U18" s="176"/>
      <c r="V18" s="176"/>
      <c r="W18" s="176"/>
      <c r="X18" s="184"/>
      <c r="Y18" s="184"/>
      <c r="Z18" s="184"/>
      <c r="AA18" s="184"/>
      <c r="AB18" s="184"/>
      <c r="AC18" s="184"/>
      <c r="AD18" s="184"/>
      <c r="AE18" s="184"/>
      <c r="AF18" s="184"/>
      <c r="AG18" s="184"/>
      <c r="AH18" s="184"/>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row>
    <row r="19" spans="2:59">
      <c r="B19" s="158" t="str">
        <f>Technologies!B$18</f>
        <v>R1</v>
      </c>
      <c r="C19" s="158" t="str">
        <f>Technologies!C$18</f>
        <v>SCMINOILD</v>
      </c>
      <c r="D19" s="158" t="s">
        <v>329</v>
      </c>
      <c r="E19" s="158" t="str">
        <f>Commodities!$C$10</f>
        <v>OILD0</v>
      </c>
      <c r="F19" s="197" t="str">
        <f>Commodities!C11</f>
        <v>OILD1</v>
      </c>
      <c r="G19" s="197">
        <v>1</v>
      </c>
      <c r="H19" s="187"/>
      <c r="I19" s="187"/>
      <c r="J19" s="187"/>
      <c r="K19" s="197"/>
      <c r="L19" s="197"/>
      <c r="M19" s="197"/>
      <c r="N19" s="197"/>
      <c r="O19" s="197"/>
      <c r="P19" s="197"/>
      <c r="Q19" s="197"/>
      <c r="R19" s="197"/>
      <c r="S19" s="197"/>
      <c r="T19" s="19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row>
    <row r="20" spans="2:59">
      <c r="B20" s="158" t="s">
        <v>398</v>
      </c>
      <c r="C20" s="158" t="str">
        <f>Technologies!C$18</f>
        <v>SCMINOILD</v>
      </c>
      <c r="D20" s="158" t="s">
        <v>329</v>
      </c>
      <c r="E20" s="158" t="str">
        <f>Commodities!$C$10</f>
        <v>OILD0</v>
      </c>
      <c r="F20" s="197" t="str">
        <f>Commodities!C12</f>
        <v>OILD2</v>
      </c>
      <c r="G20" s="197">
        <v>1</v>
      </c>
      <c r="H20" s="187"/>
      <c r="I20" s="197"/>
      <c r="J20" s="197"/>
      <c r="K20" s="197"/>
      <c r="L20" s="197"/>
      <c r="M20" s="197"/>
      <c r="N20" s="197"/>
      <c r="O20" s="197"/>
      <c r="P20" s="197"/>
      <c r="Q20" s="197"/>
      <c r="R20" s="197"/>
      <c r="S20" s="197"/>
      <c r="T20" s="197"/>
      <c r="X20" s="163">
        <f>Emissions!D6</f>
        <v>1.0994635376187136E-3</v>
      </c>
      <c r="Y20" s="163">
        <f>Emissions!E6</f>
        <v>2.9382215229465623E-3</v>
      </c>
      <c r="Z20" s="163">
        <f>Emissions!F6</f>
        <v>9.2506587303091761E-3</v>
      </c>
      <c r="AA20" s="163">
        <f>Emissions!G6</f>
        <v>1.1184198055086913E-3</v>
      </c>
      <c r="AB20" s="163">
        <f>Emissions!H6</f>
        <v>3.8860349174454526E-4</v>
      </c>
      <c r="AC20" s="163">
        <f>Emissions!I6</f>
        <v>1.9524955926677155E-3</v>
      </c>
      <c r="AD20" s="163">
        <f>Emissions!C75</f>
        <v>8.0620206724657542E-2</v>
      </c>
      <c r="AE20" s="163">
        <f>Emissions!K6</f>
        <v>4.3599416146948987E-5</v>
      </c>
      <c r="AF20" s="163">
        <f>Emissions!B75/1000</f>
        <v>2.213380878401827E-3</v>
      </c>
      <c r="AG20" s="163">
        <f>Emissions!M6</f>
        <v>3.1277842018463403E-5</v>
      </c>
      <c r="AH20" s="163">
        <f>Emissions!N6</f>
        <v>1.2321574128485582E-5</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row>
    <row r="21" spans="2:59">
      <c r="B21" s="158" t="s">
        <v>398</v>
      </c>
      <c r="C21" s="158" t="str">
        <f>Technologies!C$18</f>
        <v>SCMINOILD</v>
      </c>
      <c r="D21" s="158" t="s">
        <v>329</v>
      </c>
      <c r="E21" s="158" t="str">
        <f>Commodities!$C$10</f>
        <v>OILD0</v>
      </c>
      <c r="F21" s="197" t="str">
        <f>Commodities!C13</f>
        <v>OILD3</v>
      </c>
      <c r="G21" s="197">
        <v>1</v>
      </c>
      <c r="H21" s="187"/>
      <c r="I21" s="197"/>
      <c r="J21" s="197"/>
      <c r="K21" s="197"/>
      <c r="L21" s="197"/>
      <c r="M21" s="197"/>
      <c r="N21" s="197"/>
      <c r="O21" s="197"/>
      <c r="P21" s="197"/>
      <c r="Q21" s="197"/>
      <c r="R21" s="197"/>
      <c r="S21" s="197"/>
      <c r="T21" s="197"/>
      <c r="X21" s="163">
        <f>X20</f>
        <v>1.0994635376187136E-3</v>
      </c>
      <c r="Y21" s="163">
        <f t="shared" ref="Y21:AH21" si="2">Y20</f>
        <v>2.9382215229465623E-3</v>
      </c>
      <c r="Z21" s="163">
        <f t="shared" si="2"/>
        <v>9.2506587303091761E-3</v>
      </c>
      <c r="AA21" s="163">
        <f t="shared" si="2"/>
        <v>1.1184198055086913E-3</v>
      </c>
      <c r="AB21" s="163">
        <f t="shared" si="2"/>
        <v>3.8860349174454526E-4</v>
      </c>
      <c r="AC21" s="163">
        <f t="shared" si="2"/>
        <v>1.9524955926677155E-3</v>
      </c>
      <c r="AD21" s="163">
        <f t="shared" si="2"/>
        <v>8.0620206724657542E-2</v>
      </c>
      <c r="AE21" s="163">
        <f t="shared" si="2"/>
        <v>4.3599416146948987E-5</v>
      </c>
      <c r="AF21" s="163">
        <f t="shared" si="2"/>
        <v>2.213380878401827E-3</v>
      </c>
      <c r="AG21" s="163">
        <f t="shared" si="2"/>
        <v>3.1277842018463403E-5</v>
      </c>
      <c r="AH21" s="163">
        <f t="shared" si="2"/>
        <v>1.2321574128485582E-5</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row>
    <row r="22" spans="2:59">
      <c r="B22" s="158" t="s">
        <v>398</v>
      </c>
      <c r="C22" s="158" t="str">
        <f>Technologies!C$18</f>
        <v>SCMINOILD</v>
      </c>
      <c r="D22" s="158" t="s">
        <v>329</v>
      </c>
      <c r="E22" s="158" t="str">
        <f>Commodities!$C$10</f>
        <v>OILD0</v>
      </c>
      <c r="F22" s="197" t="str">
        <f>Commodities!C14</f>
        <v>OILD4</v>
      </c>
      <c r="G22" s="197">
        <v>1</v>
      </c>
      <c r="H22" s="187"/>
      <c r="I22" s="197"/>
      <c r="J22" s="197"/>
      <c r="K22" s="197"/>
      <c r="L22" s="197"/>
      <c r="M22" s="197"/>
      <c r="N22" s="197"/>
      <c r="O22" s="197"/>
      <c r="P22" s="197"/>
      <c r="Q22" s="197"/>
      <c r="R22" s="197"/>
      <c r="S22" s="197"/>
      <c r="T22" s="197"/>
      <c r="X22" s="163">
        <f t="shared" ref="X22:X24" si="3">X21</f>
        <v>1.0994635376187136E-3</v>
      </c>
      <c r="Y22" s="163">
        <f t="shared" ref="Y22:Y24" si="4">Y21</f>
        <v>2.9382215229465623E-3</v>
      </c>
      <c r="Z22" s="163">
        <f t="shared" ref="Z22:Z24" si="5">Z21</f>
        <v>9.2506587303091761E-3</v>
      </c>
      <c r="AA22" s="163">
        <f t="shared" ref="AA22:AA24" si="6">AA21</f>
        <v>1.1184198055086913E-3</v>
      </c>
      <c r="AB22" s="163">
        <f t="shared" ref="AB22:AB24" si="7">AB21</f>
        <v>3.8860349174454526E-4</v>
      </c>
      <c r="AC22" s="163">
        <f t="shared" ref="AC22:AC24" si="8">AC21</f>
        <v>1.9524955926677155E-3</v>
      </c>
      <c r="AD22" s="163">
        <f t="shared" ref="AD22:AD24" si="9">AD21</f>
        <v>8.0620206724657542E-2</v>
      </c>
      <c r="AE22" s="163">
        <f t="shared" ref="AE22:AE24" si="10">AE21</f>
        <v>4.3599416146948987E-5</v>
      </c>
      <c r="AF22" s="163">
        <f t="shared" ref="AF22:AF24" si="11">AF21</f>
        <v>2.213380878401827E-3</v>
      </c>
      <c r="AG22" s="163">
        <f t="shared" ref="AG22:AG24" si="12">AG21</f>
        <v>3.1277842018463403E-5</v>
      </c>
      <c r="AH22" s="163">
        <f t="shared" ref="AH22:AH24" si="13">AH21</f>
        <v>1.2321574128485582E-5</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row>
    <row r="23" spans="2:59">
      <c r="B23" s="158" t="s">
        <v>398</v>
      </c>
      <c r="C23" s="158" t="str">
        <f>Technologies!C$18</f>
        <v>SCMINOILD</v>
      </c>
      <c r="D23" s="158" t="s">
        <v>329</v>
      </c>
      <c r="E23" s="158" t="str">
        <f>Commodities!$C$10</f>
        <v>OILD0</v>
      </c>
      <c r="F23" s="197" t="str">
        <f>Commodities!C15</f>
        <v>OILD5</v>
      </c>
      <c r="G23" s="197">
        <v>1</v>
      </c>
      <c r="H23" s="187"/>
      <c r="I23" s="197"/>
      <c r="J23" s="197"/>
      <c r="K23" s="197"/>
      <c r="L23" s="197"/>
      <c r="M23" s="197"/>
      <c r="N23" s="197"/>
      <c r="O23" s="197"/>
      <c r="P23" s="197"/>
      <c r="Q23" s="197"/>
      <c r="R23" s="197"/>
      <c r="S23" s="197"/>
      <c r="T23" s="197"/>
      <c r="X23" s="163">
        <f t="shared" si="3"/>
        <v>1.0994635376187136E-3</v>
      </c>
      <c r="Y23" s="163">
        <f t="shared" si="4"/>
        <v>2.9382215229465623E-3</v>
      </c>
      <c r="Z23" s="163">
        <f t="shared" si="5"/>
        <v>9.2506587303091761E-3</v>
      </c>
      <c r="AA23" s="163">
        <f t="shared" si="6"/>
        <v>1.1184198055086913E-3</v>
      </c>
      <c r="AB23" s="163">
        <f t="shared" si="7"/>
        <v>3.8860349174454526E-4</v>
      </c>
      <c r="AC23" s="163">
        <f t="shared" si="8"/>
        <v>1.9524955926677155E-3</v>
      </c>
      <c r="AD23" s="163">
        <f t="shared" si="9"/>
        <v>8.0620206724657542E-2</v>
      </c>
      <c r="AE23" s="163">
        <f t="shared" si="10"/>
        <v>4.3599416146948987E-5</v>
      </c>
      <c r="AF23" s="163">
        <f t="shared" si="11"/>
        <v>2.213380878401827E-3</v>
      </c>
      <c r="AG23" s="163">
        <f t="shared" si="12"/>
        <v>3.1277842018463403E-5</v>
      </c>
      <c r="AH23" s="163">
        <f t="shared" si="13"/>
        <v>1.2321574128485582E-5</v>
      </c>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row>
    <row r="24" spans="2:59">
      <c r="B24" s="158" t="s">
        <v>398</v>
      </c>
      <c r="C24" s="158" t="str">
        <f>Technologies!C$18</f>
        <v>SCMINOILD</v>
      </c>
      <c r="D24" s="158" t="s">
        <v>329</v>
      </c>
      <c r="E24" s="158" t="str">
        <f>Commodities!$C$10</f>
        <v>OILD0</v>
      </c>
      <c r="F24" s="197" t="str">
        <f>Commodities!C16</f>
        <v>OILD6</v>
      </c>
      <c r="G24" s="197">
        <v>1</v>
      </c>
      <c r="H24" s="187"/>
      <c r="I24" s="197"/>
      <c r="J24" s="197"/>
      <c r="K24" s="197"/>
      <c r="L24" s="197"/>
      <c r="M24" s="197"/>
      <c r="N24" s="197"/>
      <c r="O24" s="197"/>
      <c r="P24" s="197"/>
      <c r="Q24" s="197"/>
      <c r="R24" s="197"/>
      <c r="S24" s="197"/>
      <c r="T24" s="197"/>
      <c r="X24" s="163">
        <f t="shared" si="3"/>
        <v>1.0994635376187136E-3</v>
      </c>
      <c r="Y24" s="163">
        <f t="shared" si="4"/>
        <v>2.9382215229465623E-3</v>
      </c>
      <c r="Z24" s="163">
        <f t="shared" si="5"/>
        <v>9.2506587303091761E-3</v>
      </c>
      <c r="AA24" s="163">
        <f t="shared" si="6"/>
        <v>1.1184198055086913E-3</v>
      </c>
      <c r="AB24" s="163">
        <f t="shared" si="7"/>
        <v>3.8860349174454526E-4</v>
      </c>
      <c r="AC24" s="163">
        <f t="shared" si="8"/>
        <v>1.9524955926677155E-3</v>
      </c>
      <c r="AD24" s="163">
        <f t="shared" si="9"/>
        <v>8.0620206724657542E-2</v>
      </c>
      <c r="AE24" s="163">
        <f t="shared" si="10"/>
        <v>4.3599416146948987E-5</v>
      </c>
      <c r="AF24" s="163">
        <f t="shared" si="11"/>
        <v>2.213380878401827E-3</v>
      </c>
      <c r="AG24" s="163">
        <f t="shared" si="12"/>
        <v>3.1277842018463403E-5</v>
      </c>
      <c r="AH24" s="163">
        <f t="shared" si="13"/>
        <v>1.2321574128485582E-5</v>
      </c>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row>
    <row r="25" spans="2:59">
      <c r="B25" s="146" t="s">
        <v>398</v>
      </c>
      <c r="C25" s="146"/>
      <c r="D25" s="146"/>
      <c r="E25" s="146"/>
      <c r="F25" s="164"/>
      <c r="G25" s="164"/>
      <c r="H25" s="171"/>
      <c r="I25" s="171"/>
      <c r="J25" s="171"/>
      <c r="K25" s="171"/>
      <c r="L25" s="171"/>
      <c r="M25" s="171"/>
      <c r="N25" s="172"/>
      <c r="O25" s="173"/>
      <c r="AS25" s="147"/>
      <c r="AT25" s="147"/>
      <c r="AU25" s="147"/>
      <c r="AV25" s="147"/>
      <c r="AW25" s="147"/>
      <c r="AX25" s="147"/>
      <c r="AY25" s="147"/>
      <c r="AZ25" s="147"/>
      <c r="BA25" s="147"/>
      <c r="BB25" s="147"/>
      <c r="BC25" s="147"/>
      <c r="BD25" s="147"/>
      <c r="BE25" s="147"/>
      <c r="BF25" s="147"/>
      <c r="BG25" s="147"/>
    </row>
    <row r="26" spans="2:59">
      <c r="O26" s="171"/>
      <c r="P26" s="171"/>
      <c r="Q26" s="171"/>
      <c r="R26" s="171"/>
      <c r="S26" s="171"/>
      <c r="T26" s="171"/>
      <c r="U26" s="171"/>
      <c r="V26" s="171"/>
      <c r="W26" s="171"/>
      <c r="X26" s="171"/>
      <c r="Y26" s="172"/>
      <c r="Z26" s="173"/>
    </row>
    <row r="27" spans="2:59">
      <c r="O27" s="171"/>
      <c r="P27" s="171"/>
      <c r="Q27" s="171"/>
      <c r="R27" s="171"/>
      <c r="S27" s="171"/>
      <c r="T27" s="171"/>
      <c r="U27" s="171"/>
      <c r="V27" s="171"/>
      <c r="W27" s="171"/>
      <c r="X27" s="171"/>
      <c r="Y27" s="172"/>
      <c r="Z27" s="173"/>
    </row>
    <row r="28" spans="2:59">
      <c r="O28" s="171"/>
      <c r="P28" s="171"/>
      <c r="Q28" s="171"/>
      <c r="R28" s="171"/>
      <c r="S28" s="171"/>
      <c r="T28" s="171"/>
      <c r="U28" s="171"/>
      <c r="V28" s="171"/>
      <c r="W28" s="171"/>
      <c r="X28" s="171"/>
      <c r="Y28" s="172"/>
      <c r="Z28" s="173"/>
    </row>
    <row r="29" spans="2:59" ht="17.25" customHeight="1">
      <c r="E29" s="192"/>
      <c r="F29" s="147"/>
      <c r="AW29" s="169"/>
      <c r="AX29" s="169"/>
      <c r="AY29" s="169"/>
      <c r="AZ29" s="169"/>
      <c r="BA29" s="169"/>
      <c r="BB29" s="169"/>
      <c r="BC29" s="169"/>
      <c r="BD29" s="169"/>
      <c r="BE29" s="169"/>
      <c r="BF29" s="170"/>
      <c r="BG29" s="170"/>
    </row>
    <row r="30" spans="2:59" ht="15.75" customHeight="1">
      <c r="B30" s="153" t="s">
        <v>541</v>
      </c>
      <c r="C30" s="153" t="s">
        <v>187</v>
      </c>
      <c r="D30" s="153" t="s">
        <v>188</v>
      </c>
      <c r="E30" s="153" t="s">
        <v>191</v>
      </c>
      <c r="F30" s="153" t="s">
        <v>1157</v>
      </c>
      <c r="G30" s="193" t="s">
        <v>1124</v>
      </c>
      <c r="H30" s="193" t="s">
        <v>1125</v>
      </c>
      <c r="I30" s="193" t="s">
        <v>1126</v>
      </c>
      <c r="J30" s="193" t="s">
        <v>1127</v>
      </c>
      <c r="K30" s="193" t="s">
        <v>1128</v>
      </c>
      <c r="L30" s="153" t="s">
        <v>1129</v>
      </c>
      <c r="M30" s="153" t="s">
        <v>1130</v>
      </c>
      <c r="N30" s="153" t="s">
        <v>1131</v>
      </c>
      <c r="O30" s="153" t="s">
        <v>1132</v>
      </c>
      <c r="P30" s="153" t="s">
        <v>1133</v>
      </c>
      <c r="Q30" s="153" t="s">
        <v>1134</v>
      </c>
      <c r="R30" s="153" t="s">
        <v>1135</v>
      </c>
      <c r="S30" s="153" t="s">
        <v>1136</v>
      </c>
      <c r="T30" s="153" t="s">
        <v>1137</v>
      </c>
      <c r="U30" s="153" t="s">
        <v>1138</v>
      </c>
      <c r="V30" s="153" t="s">
        <v>402</v>
      </c>
      <c r="W30" s="153" t="s">
        <v>1174</v>
      </c>
      <c r="X30" s="153" t="s">
        <v>1175</v>
      </c>
      <c r="Y30" s="153" t="s">
        <v>1176</v>
      </c>
      <c r="Z30" s="153" t="s">
        <v>1177</v>
      </c>
      <c r="AA30" s="153" t="s">
        <v>1178</v>
      </c>
      <c r="AB30" s="153" t="s">
        <v>1179</v>
      </c>
      <c r="AC30" s="153" t="s">
        <v>1180</v>
      </c>
      <c r="AD30" s="153" t="s">
        <v>1181</v>
      </c>
      <c r="AE30" s="153" t="s">
        <v>1182</v>
      </c>
      <c r="AF30" s="153" t="s">
        <v>1183</v>
      </c>
      <c r="AG30" s="153" t="s">
        <v>1184</v>
      </c>
      <c r="AH30" s="153" t="s">
        <v>1185</v>
      </c>
      <c r="AI30" s="153" t="s">
        <v>1139</v>
      </c>
      <c r="AJ30" s="153" t="s">
        <v>1140</v>
      </c>
      <c r="AK30" s="176"/>
      <c r="AL30" s="176"/>
      <c r="AM30" s="176"/>
      <c r="AN30" s="147"/>
      <c r="AO30" s="147"/>
      <c r="AP30" s="147"/>
      <c r="AQ30" s="147"/>
      <c r="AR30" s="147"/>
      <c r="AS30" s="147"/>
      <c r="AT30" s="147"/>
      <c r="AU30" s="147"/>
      <c r="AV30" s="147"/>
      <c r="AW30" s="147"/>
      <c r="AX30" s="147"/>
      <c r="AY30" s="147"/>
      <c r="AZ30" s="147"/>
      <c r="BA30" s="147"/>
      <c r="BB30" s="147"/>
      <c r="BC30" s="147"/>
      <c r="BD30" s="147"/>
      <c r="BE30" s="147"/>
      <c r="BF30" s="147"/>
      <c r="BG30" s="147"/>
    </row>
    <row r="31" spans="2:59">
      <c r="B31" s="154" t="s">
        <v>336</v>
      </c>
      <c r="C31" s="154"/>
      <c r="D31" s="154"/>
      <c r="E31" s="194"/>
      <c r="F31" s="196"/>
      <c r="G31" s="182"/>
      <c r="H31" s="182"/>
      <c r="I31" s="182"/>
      <c r="J31" s="182"/>
      <c r="K31" s="182"/>
      <c r="L31" s="199"/>
      <c r="M31" s="199"/>
      <c r="N31" s="199"/>
      <c r="O31" s="199"/>
      <c r="P31" s="199"/>
      <c r="Q31" s="199"/>
      <c r="R31" s="199"/>
      <c r="S31" s="199"/>
      <c r="T31" s="199"/>
      <c r="U31" s="199"/>
      <c r="V31" s="183"/>
      <c r="W31" s="183"/>
      <c r="X31" s="183"/>
      <c r="Y31" s="183"/>
      <c r="Z31" s="183"/>
      <c r="AA31" s="183"/>
      <c r="AB31" s="183"/>
      <c r="AC31" s="183"/>
      <c r="AD31" s="183"/>
      <c r="AE31" s="199"/>
      <c r="AF31" s="199"/>
      <c r="AG31" s="199"/>
      <c r="AH31" s="199"/>
      <c r="AI31" s="196"/>
      <c r="AJ31" s="196"/>
      <c r="AN31" s="147"/>
      <c r="AO31" s="147"/>
      <c r="AP31" s="147"/>
      <c r="AQ31" s="147"/>
      <c r="AR31" s="147"/>
      <c r="AS31" s="147"/>
      <c r="AT31" s="147"/>
      <c r="AU31" s="147"/>
      <c r="AV31" s="147"/>
      <c r="AW31" s="147"/>
      <c r="AX31" s="147"/>
      <c r="AY31" s="147"/>
      <c r="AZ31" s="147"/>
      <c r="BA31" s="147"/>
      <c r="BB31" s="147"/>
      <c r="BC31" s="147"/>
      <c r="BD31" s="147"/>
      <c r="BE31" s="147"/>
      <c r="BF31" s="147"/>
      <c r="BG31" s="147"/>
    </row>
    <row r="32" spans="2:59">
      <c r="B32" s="158" t="str">
        <f>Technologies!B25</f>
        <v>R1</v>
      </c>
      <c r="C32" s="158" t="str">
        <f>'Imp Crude'!B13</f>
        <v>IMPOILHH13</v>
      </c>
      <c r="D32" s="158" t="str">
        <f>'Imp Crude'!C13</f>
        <v>Imported Imported Oil-High Sulfur, Heavy G, PADD 1, Step 3</v>
      </c>
      <c r="E32" s="197" t="str">
        <f>'Imp Crude'!D13</f>
        <v>OILHH1</v>
      </c>
      <c r="F32" s="197">
        <v>1</v>
      </c>
      <c r="G32" s="197"/>
      <c r="H32" s="187"/>
      <c r="I32" s="197"/>
      <c r="J32" s="197">
        <v>1.0049999999999999</v>
      </c>
      <c r="K32" s="197">
        <v>1.0049999999999999</v>
      </c>
      <c r="L32" s="195">
        <f>'Imp Crude'!L13</f>
        <v>11.163537115571355</v>
      </c>
      <c r="M32" s="195" t="e">
        <f>'Imp Crude'!M13</f>
        <v>#REF!</v>
      </c>
      <c r="N32" s="195" t="e">
        <f>'Imp Crude'!N13</f>
        <v>#REF!</v>
      </c>
      <c r="O32" s="195" t="e">
        <f>'Imp Crude'!O13</f>
        <v>#REF!</v>
      </c>
      <c r="P32" s="195" t="e">
        <f>'Imp Crude'!P13</f>
        <v>#REF!</v>
      </c>
      <c r="Q32" s="195" t="e">
        <f>'Imp Crude'!Q13</f>
        <v>#REF!</v>
      </c>
      <c r="R32" s="195" t="e">
        <f>'Imp Crude'!R13</f>
        <v>#REF!</v>
      </c>
      <c r="S32" s="195" t="e">
        <f>'Imp Crude'!S13</f>
        <v>#REF!</v>
      </c>
      <c r="T32" s="195" t="e">
        <f>'Imp Crude'!T13</f>
        <v>#REF!</v>
      </c>
      <c r="U32" s="195" t="e">
        <f>'Imp Crude'!U13</f>
        <v>#REF!</v>
      </c>
      <c r="V32" s="187"/>
      <c r="W32" s="187"/>
      <c r="X32" s="187">
        <f>'Imp Crude'!AE13</f>
        <v>477.40443985876851</v>
      </c>
      <c r="Y32" s="187">
        <f>'Imp Crude'!AF13</f>
        <v>239.79184420201267</v>
      </c>
      <c r="Z32" s="187"/>
      <c r="AA32" s="187"/>
      <c r="AB32" s="187"/>
      <c r="AC32" s="187"/>
      <c r="AD32" s="187"/>
      <c r="AE32" s="187"/>
      <c r="AF32" s="187"/>
      <c r="AG32" s="187"/>
      <c r="AH32" s="187"/>
      <c r="AI32" s="197"/>
      <c r="AJ32" s="197"/>
      <c r="AN32" s="147"/>
      <c r="AO32" s="147"/>
      <c r="AP32" s="147"/>
      <c r="AQ32" s="147"/>
      <c r="AR32" s="147"/>
      <c r="AS32" s="147"/>
      <c r="AT32" s="147"/>
      <c r="AU32" s="147"/>
      <c r="AV32" s="147"/>
      <c r="AW32" s="147"/>
      <c r="AX32" s="147"/>
      <c r="AY32" s="147"/>
      <c r="AZ32" s="147"/>
      <c r="BA32" s="147"/>
      <c r="BB32" s="147"/>
      <c r="BC32" s="147"/>
      <c r="BD32" s="147"/>
      <c r="BE32" s="147"/>
      <c r="BF32" s="147"/>
      <c r="BG32" s="147"/>
    </row>
    <row r="33" spans="2:59">
      <c r="B33" s="158" t="str">
        <f>Technologies!B26</f>
        <v>R1</v>
      </c>
      <c r="C33" s="158" t="str">
        <f>'Imp Crude'!B14</f>
        <v>IMPOILHH11</v>
      </c>
      <c r="D33" s="158" t="str">
        <f>'Imp Crude'!C14</f>
        <v>Imported Imported Oil-High Sulfur, Heavy G, PADD 1, Step 1</v>
      </c>
      <c r="E33" s="197" t="str">
        <f>'Imp Crude'!D14</f>
        <v>OILHH1</v>
      </c>
      <c r="F33" s="197">
        <v>1</v>
      </c>
      <c r="G33" s="197"/>
      <c r="H33" s="187"/>
      <c r="I33" s="197"/>
      <c r="J33" s="197">
        <v>1.0049999999999999</v>
      </c>
      <c r="K33" s="197">
        <v>1.0049999999999999</v>
      </c>
      <c r="L33" s="195">
        <f>'Imp Crude'!L14</f>
        <v>10.04718340401422</v>
      </c>
      <c r="M33" s="195" t="e">
        <f>'Imp Crude'!M14</f>
        <v>#REF!</v>
      </c>
      <c r="N33" s="195" t="e">
        <f>'Imp Crude'!N14</f>
        <v>#REF!</v>
      </c>
      <c r="O33" s="195" t="e">
        <f>'Imp Crude'!O14</f>
        <v>#REF!</v>
      </c>
      <c r="P33" s="195" t="e">
        <f>'Imp Crude'!P14</f>
        <v>#REF!</v>
      </c>
      <c r="Q33" s="195" t="e">
        <f>'Imp Crude'!Q14</f>
        <v>#REF!</v>
      </c>
      <c r="R33" s="195" t="e">
        <f>'Imp Crude'!R14</f>
        <v>#REF!</v>
      </c>
      <c r="S33" s="195" t="e">
        <f>'Imp Crude'!S14</f>
        <v>#REF!</v>
      </c>
      <c r="T33" s="195" t="e">
        <f>'Imp Crude'!T14</f>
        <v>#REF!</v>
      </c>
      <c r="U33" s="195" t="e">
        <f>'Imp Crude'!U14</f>
        <v>#REF!</v>
      </c>
      <c r="V33" s="187"/>
      <c r="W33" s="187"/>
      <c r="X33" s="187">
        <f>'Imp Crude'!AE14</f>
        <v>59.675554982346078</v>
      </c>
      <c r="Y33" s="187">
        <f>'Imp Crude'!AF14</f>
        <v>29.973980525251584</v>
      </c>
      <c r="Z33" s="187"/>
      <c r="AA33" s="187"/>
      <c r="AB33" s="187"/>
      <c r="AC33" s="187"/>
      <c r="AD33" s="187"/>
      <c r="AE33" s="187"/>
      <c r="AF33" s="187"/>
      <c r="AG33" s="187"/>
      <c r="AH33" s="187"/>
      <c r="AI33" s="197"/>
      <c r="AJ33" s="197"/>
      <c r="AN33" s="147"/>
      <c r="AO33" s="147"/>
      <c r="AP33" s="147"/>
      <c r="AQ33" s="147"/>
      <c r="AR33" s="147"/>
      <c r="AS33" s="147"/>
      <c r="AT33" s="147"/>
      <c r="AU33" s="147"/>
      <c r="AV33" s="147"/>
      <c r="AW33" s="147"/>
      <c r="AX33" s="147"/>
      <c r="AY33" s="147"/>
      <c r="AZ33" s="147"/>
      <c r="BA33" s="147"/>
      <c r="BB33" s="147"/>
      <c r="BC33" s="147"/>
      <c r="BD33" s="147"/>
      <c r="BE33" s="147"/>
      <c r="BF33" s="147"/>
      <c r="BG33" s="147"/>
    </row>
    <row r="34" spans="2:59">
      <c r="B34" s="158" t="str">
        <f>Technologies!B27</f>
        <v>R1</v>
      </c>
      <c r="C34" s="158" t="str">
        <f>'Imp Crude'!B15</f>
        <v>IMPOILHH12</v>
      </c>
      <c r="D34" s="158" t="str">
        <f>'Imp Crude'!C15</f>
        <v>Imported Imported Oil-High Sulfur, Heavy G, PADD 1, Step 2</v>
      </c>
      <c r="E34" s="197" t="str">
        <f>'Imp Crude'!D15</f>
        <v>OILHH1</v>
      </c>
      <c r="F34" s="197">
        <v>1</v>
      </c>
      <c r="G34" s="197"/>
      <c r="H34" s="187"/>
      <c r="I34" s="197"/>
      <c r="J34" s="197">
        <v>1.0049999999999999</v>
      </c>
      <c r="K34" s="197">
        <v>1.0049999999999999</v>
      </c>
      <c r="L34" s="195">
        <f>'Imp Crude'!L15</f>
        <v>10.605360259792784</v>
      </c>
      <c r="M34" s="195" t="e">
        <f>'Imp Crude'!M15</f>
        <v>#REF!</v>
      </c>
      <c r="N34" s="195" t="e">
        <f>'Imp Crude'!N15</f>
        <v>#REF!</v>
      </c>
      <c r="O34" s="195" t="e">
        <f>'Imp Crude'!O15</f>
        <v>#REF!</v>
      </c>
      <c r="P34" s="195" t="e">
        <f>'Imp Crude'!P15</f>
        <v>#REF!</v>
      </c>
      <c r="Q34" s="195" t="e">
        <f>'Imp Crude'!Q15</f>
        <v>#REF!</v>
      </c>
      <c r="R34" s="195" t="e">
        <f>'Imp Crude'!R15</f>
        <v>#REF!</v>
      </c>
      <c r="S34" s="195" t="e">
        <f>'Imp Crude'!S15</f>
        <v>#REF!</v>
      </c>
      <c r="T34" s="195" t="e">
        <f>'Imp Crude'!T15</f>
        <v>#REF!</v>
      </c>
      <c r="U34" s="195" t="e">
        <f>'Imp Crude'!U15</f>
        <v>#REF!</v>
      </c>
      <c r="V34" s="187"/>
      <c r="W34" s="187"/>
      <c r="X34" s="187">
        <f>'Imp Crude'!AE15</f>
        <v>59.675554982346078</v>
      </c>
      <c r="Y34" s="187">
        <f>'Imp Crude'!AF15</f>
        <v>29.973980525251584</v>
      </c>
      <c r="Z34" s="187"/>
      <c r="AA34" s="187"/>
      <c r="AB34" s="187"/>
      <c r="AC34" s="187"/>
      <c r="AD34" s="187"/>
      <c r="AE34" s="187"/>
      <c r="AF34" s="187"/>
      <c r="AG34" s="187"/>
      <c r="AH34" s="187"/>
      <c r="AI34" s="197"/>
      <c r="AJ34" s="197"/>
      <c r="AN34" s="147"/>
      <c r="AO34" s="147"/>
      <c r="AP34" s="147"/>
      <c r="AQ34" s="147"/>
      <c r="AR34" s="147"/>
      <c r="AS34" s="147"/>
      <c r="AT34" s="147"/>
      <c r="AU34" s="147"/>
      <c r="AV34" s="147"/>
      <c r="AW34" s="147"/>
      <c r="AX34" s="147"/>
      <c r="AY34" s="147"/>
      <c r="AZ34" s="147"/>
      <c r="BA34" s="147"/>
      <c r="BB34" s="147"/>
      <c r="BC34" s="147"/>
      <c r="BD34" s="147"/>
      <c r="BE34" s="147"/>
      <c r="BF34" s="147"/>
      <c r="BG34" s="147"/>
    </row>
    <row r="35" spans="2:59">
      <c r="B35" s="158" t="str">
        <f>Technologies!B28</f>
        <v>R1</v>
      </c>
      <c r="C35" s="158" t="str">
        <f>'Imp Crude'!B16</f>
        <v>IMPOILHH14</v>
      </c>
      <c r="D35" s="158" t="str">
        <f>'Imp Crude'!C16</f>
        <v>Imported Imported Oil-High Sulfur, Heavy G, PADD 1, Step 4</v>
      </c>
      <c r="E35" s="197" t="str">
        <f>'Imp Crude'!D16</f>
        <v>OILHH1</v>
      </c>
      <c r="F35" s="197">
        <v>1</v>
      </c>
      <c r="G35" s="197"/>
      <c r="H35" s="187"/>
      <c r="I35" s="197"/>
      <c r="J35" s="197">
        <v>1.0049999999999999</v>
      </c>
      <c r="K35" s="197">
        <v>1.0049999999999999</v>
      </c>
      <c r="L35" s="195">
        <f>'Imp Crude'!L16</f>
        <v>11.721713971349921</v>
      </c>
      <c r="M35" s="195" t="e">
        <f>'Imp Crude'!M16</f>
        <v>#REF!</v>
      </c>
      <c r="N35" s="195" t="e">
        <f>'Imp Crude'!N16</f>
        <v>#REF!</v>
      </c>
      <c r="O35" s="195" t="e">
        <f>'Imp Crude'!O16</f>
        <v>#REF!</v>
      </c>
      <c r="P35" s="195" t="e">
        <f>'Imp Crude'!P16</f>
        <v>#REF!</v>
      </c>
      <c r="Q35" s="195" t="e">
        <f>'Imp Crude'!Q16</f>
        <v>#REF!</v>
      </c>
      <c r="R35" s="195" t="e">
        <f>'Imp Crude'!R16</f>
        <v>#REF!</v>
      </c>
      <c r="S35" s="195" t="e">
        <f>'Imp Crude'!S16</f>
        <v>#REF!</v>
      </c>
      <c r="T35" s="195" t="e">
        <f>'Imp Crude'!T16</f>
        <v>#REF!</v>
      </c>
      <c r="U35" s="195" t="e">
        <f>'Imp Crude'!U16</f>
        <v>#REF!</v>
      </c>
      <c r="V35" s="187"/>
      <c r="W35" s="187"/>
      <c r="X35" s="187">
        <f>'Imp Crude'!AE16</f>
        <v>119.35110996469211</v>
      </c>
      <c r="Y35" s="187">
        <f>'Imp Crude'!AF16</f>
        <v>59.947961050503125</v>
      </c>
      <c r="Z35" s="187"/>
      <c r="AA35" s="187"/>
      <c r="AB35" s="187"/>
      <c r="AC35" s="187"/>
      <c r="AD35" s="187"/>
      <c r="AE35" s="187"/>
      <c r="AF35" s="187"/>
      <c r="AG35" s="187"/>
      <c r="AH35" s="187"/>
      <c r="AI35" s="197"/>
      <c r="AJ35" s="197"/>
      <c r="AN35" s="147"/>
      <c r="AO35" s="147"/>
      <c r="AP35" s="147"/>
      <c r="AQ35" s="147"/>
      <c r="AR35" s="147"/>
      <c r="AS35" s="147"/>
      <c r="AT35" s="147"/>
      <c r="AU35" s="147"/>
      <c r="AV35" s="147"/>
      <c r="AW35" s="147"/>
      <c r="AX35" s="147"/>
      <c r="AY35" s="147"/>
      <c r="AZ35" s="147"/>
      <c r="BA35" s="147"/>
      <c r="BB35" s="147"/>
      <c r="BC35" s="147"/>
      <c r="BD35" s="147"/>
      <c r="BE35" s="147"/>
      <c r="BF35" s="147"/>
      <c r="BG35" s="147"/>
    </row>
    <row r="36" spans="2:59">
      <c r="B36" s="158" t="str">
        <f>Technologies!B29</f>
        <v>R1</v>
      </c>
      <c r="C36" s="158" t="str">
        <f>'Imp Crude'!B17</f>
        <v>IMPOILHH15</v>
      </c>
      <c r="D36" s="158" t="str">
        <f>'Imp Crude'!C17</f>
        <v>Imported Imported Oil-High Sulfur, Heavy G, PADD 1, Step 5</v>
      </c>
      <c r="E36" s="197" t="str">
        <f>'Imp Crude'!D17</f>
        <v>OILHH1</v>
      </c>
      <c r="F36" s="197">
        <v>1</v>
      </c>
      <c r="G36" s="197"/>
      <c r="H36" s="187"/>
      <c r="I36" s="197"/>
      <c r="J36" s="197">
        <v>1.0049999999999999</v>
      </c>
      <c r="K36" s="197">
        <v>1.0049999999999999</v>
      </c>
      <c r="L36" s="195">
        <f>'Imp Crude'!L17</f>
        <v>14.512598250242762</v>
      </c>
      <c r="M36" s="195" t="e">
        <f>'Imp Crude'!M17</f>
        <v>#REF!</v>
      </c>
      <c r="N36" s="195" t="e">
        <f>'Imp Crude'!N17</f>
        <v>#REF!</v>
      </c>
      <c r="O36" s="195" t="e">
        <f>'Imp Crude'!O17</f>
        <v>#REF!</v>
      </c>
      <c r="P36" s="195" t="e">
        <f>'Imp Crude'!P17</f>
        <v>#REF!</v>
      </c>
      <c r="Q36" s="195" t="e">
        <f>'Imp Crude'!Q17</f>
        <v>#REF!</v>
      </c>
      <c r="R36" s="195" t="e">
        <f>'Imp Crude'!R17</f>
        <v>#REF!</v>
      </c>
      <c r="S36" s="195" t="e">
        <f>'Imp Crude'!S17</f>
        <v>#REF!</v>
      </c>
      <c r="T36" s="195" t="e">
        <f>'Imp Crude'!T17</f>
        <v>#REF!</v>
      </c>
      <c r="U36" s="195" t="e">
        <f>'Imp Crude'!U17</f>
        <v>#REF!</v>
      </c>
      <c r="V36" s="187"/>
      <c r="W36" s="187"/>
      <c r="X36" s="187">
        <f>'Imp Crude'!AE17</f>
        <v>59.675554982346057</v>
      </c>
      <c r="Y36" s="187">
        <f>'Imp Crude'!AF17</f>
        <v>29.973980525251648</v>
      </c>
      <c r="Z36" s="187"/>
      <c r="AA36" s="187"/>
      <c r="AB36" s="187"/>
      <c r="AC36" s="187"/>
      <c r="AD36" s="187"/>
      <c r="AE36" s="187"/>
      <c r="AF36" s="187"/>
      <c r="AG36" s="187"/>
      <c r="AH36" s="187"/>
      <c r="AI36" s="197"/>
      <c r="AJ36" s="187"/>
      <c r="AK36" s="172"/>
      <c r="AL36" s="172"/>
      <c r="AM36" s="172"/>
      <c r="AN36" s="172"/>
      <c r="AO36" s="172"/>
      <c r="AP36" s="172"/>
      <c r="AQ36" s="172"/>
      <c r="BC36" s="147"/>
      <c r="BD36" s="147"/>
      <c r="BE36" s="147"/>
      <c r="BF36" s="147"/>
      <c r="BG36" s="147"/>
    </row>
    <row r="37" spans="2:59">
      <c r="B37" s="158" t="str">
        <f>Technologies!B30</f>
        <v>R1</v>
      </c>
      <c r="C37" s="158" t="str">
        <f>'Imp Crude'!B18</f>
        <v>IMPOILHL13</v>
      </c>
      <c r="D37" s="158" t="str">
        <f>'Imp Crude'!C18</f>
        <v>Imported Imported Oil-High Sulfur, Low G, PADD 1, Step 3</v>
      </c>
      <c r="E37" s="197" t="str">
        <f>'Imp Crude'!D18</f>
        <v>OILHL1</v>
      </c>
      <c r="F37" s="197">
        <v>1</v>
      </c>
      <c r="G37" s="197"/>
      <c r="H37" s="187"/>
      <c r="I37" s="197"/>
      <c r="J37" s="197">
        <v>1.0049999999999999</v>
      </c>
      <c r="K37" s="197">
        <v>1.0049999999999999</v>
      </c>
      <c r="L37" s="195">
        <f>'Imp Crude'!L18</f>
        <v>12.073158658321612</v>
      </c>
      <c r="M37" s="195" t="e">
        <f>'Imp Crude'!M18</f>
        <v>#REF!</v>
      </c>
      <c r="N37" s="195" t="e">
        <f>'Imp Crude'!N18</f>
        <v>#REF!</v>
      </c>
      <c r="O37" s="195" t="e">
        <f>'Imp Crude'!O18</f>
        <v>#REF!</v>
      </c>
      <c r="P37" s="195" t="e">
        <f>'Imp Crude'!P18</f>
        <v>#REF!</v>
      </c>
      <c r="Q37" s="195" t="e">
        <f>'Imp Crude'!Q18</f>
        <v>#REF!</v>
      </c>
      <c r="R37" s="195" t="e">
        <f>'Imp Crude'!R18</f>
        <v>#REF!</v>
      </c>
      <c r="S37" s="195" t="e">
        <f>'Imp Crude'!S18</f>
        <v>#REF!</v>
      </c>
      <c r="T37" s="195" t="e">
        <f>'Imp Crude'!T18</f>
        <v>#REF!</v>
      </c>
      <c r="U37" s="195" t="e">
        <f>'Imp Crude'!U18</f>
        <v>#REF!</v>
      </c>
      <c r="V37" s="187"/>
      <c r="W37" s="187"/>
      <c r="X37" s="187">
        <f>'Imp Crude'!AE18</f>
        <v>174.82416107504201</v>
      </c>
      <c r="Y37" s="187">
        <f>'Imp Crude'!AF18</f>
        <v>148.71043064384565</v>
      </c>
      <c r="Z37" s="187"/>
      <c r="AA37" s="187"/>
      <c r="AB37" s="187"/>
      <c r="AC37" s="187"/>
      <c r="AD37" s="187"/>
      <c r="AE37" s="187"/>
      <c r="AF37" s="187"/>
      <c r="AG37" s="187"/>
      <c r="AH37" s="187"/>
      <c r="AI37" s="197"/>
      <c r="AJ37" s="197"/>
      <c r="BC37" s="147"/>
      <c r="BD37" s="147"/>
      <c r="BE37" s="147"/>
      <c r="BF37" s="147"/>
      <c r="BG37" s="147"/>
    </row>
    <row r="38" spans="2:59">
      <c r="B38" s="158" t="str">
        <f>Technologies!B31</f>
        <v>R1</v>
      </c>
      <c r="C38" s="158" t="str">
        <f>'Imp Crude'!B19</f>
        <v>IMPOILHL11</v>
      </c>
      <c r="D38" s="158" t="str">
        <f>'Imp Crude'!C19</f>
        <v>Imported Imported Oil-High Sulfur, Low G, PADD 1, Step 1</v>
      </c>
      <c r="E38" s="197" t="str">
        <f>'Imp Crude'!D19</f>
        <v>OILHL1</v>
      </c>
      <c r="F38" s="197">
        <v>1</v>
      </c>
      <c r="G38" s="197"/>
      <c r="H38" s="187"/>
      <c r="I38" s="197"/>
      <c r="J38" s="197">
        <v>1.0049999999999999</v>
      </c>
      <c r="K38" s="197">
        <v>1.0049999999999999</v>
      </c>
      <c r="L38" s="195">
        <f>'Imp Crude'!L19</f>
        <v>10.865842792489451</v>
      </c>
      <c r="M38" s="195" t="e">
        <f>'Imp Crude'!M19</f>
        <v>#REF!</v>
      </c>
      <c r="N38" s="195" t="e">
        <f>'Imp Crude'!N19</f>
        <v>#REF!</v>
      </c>
      <c r="O38" s="195" t="e">
        <f>'Imp Crude'!O19</f>
        <v>#REF!</v>
      </c>
      <c r="P38" s="195" t="e">
        <f>'Imp Crude'!P19</f>
        <v>#REF!</v>
      </c>
      <c r="Q38" s="195" t="e">
        <f>'Imp Crude'!Q19</f>
        <v>#REF!</v>
      </c>
      <c r="R38" s="195" t="e">
        <f>'Imp Crude'!R19</f>
        <v>#REF!</v>
      </c>
      <c r="S38" s="195" t="e">
        <f>'Imp Crude'!S19</f>
        <v>#REF!</v>
      </c>
      <c r="T38" s="195" t="e">
        <f>'Imp Crude'!T19</f>
        <v>#REF!</v>
      </c>
      <c r="U38" s="195" t="e">
        <f>'Imp Crude'!U19</f>
        <v>#REF!</v>
      </c>
      <c r="V38" s="187"/>
      <c r="W38" s="187"/>
      <c r="X38" s="187">
        <f>'Imp Crude'!AE19</f>
        <v>21.853020134380252</v>
      </c>
      <c r="Y38" s="187">
        <f>'Imp Crude'!AF19</f>
        <v>18.58880383048071</v>
      </c>
      <c r="Z38" s="187"/>
      <c r="AA38" s="187"/>
      <c r="AB38" s="187"/>
      <c r="AC38" s="187"/>
      <c r="AD38" s="187"/>
      <c r="AE38" s="187"/>
      <c r="AF38" s="187"/>
      <c r="AG38" s="187"/>
      <c r="AH38" s="187"/>
      <c r="AI38" s="197"/>
      <c r="AJ38" s="197"/>
      <c r="BC38" s="147"/>
      <c r="BD38" s="147"/>
      <c r="BE38" s="147"/>
      <c r="BF38" s="147"/>
      <c r="BG38" s="147"/>
    </row>
    <row r="39" spans="2:59">
      <c r="B39" s="158" t="str">
        <f>Technologies!B32</f>
        <v>R1</v>
      </c>
      <c r="C39" s="158" t="str">
        <f>'Imp Crude'!B20</f>
        <v>IMPOILHL12</v>
      </c>
      <c r="D39" s="158" t="str">
        <f>'Imp Crude'!C20</f>
        <v>Imported Imported Oil-High Sulfur, Low G, PADD 1, Step 2</v>
      </c>
      <c r="E39" s="197" t="str">
        <f>'Imp Crude'!D20</f>
        <v>OILHL1</v>
      </c>
      <c r="F39" s="197">
        <v>1</v>
      </c>
      <c r="G39" s="197"/>
      <c r="H39" s="187"/>
      <c r="I39" s="197"/>
      <c r="J39" s="197">
        <v>1.0049999999999999</v>
      </c>
      <c r="K39" s="197">
        <v>1.0049999999999999</v>
      </c>
      <c r="L39" s="195">
        <f>'Imp Crude'!L20</f>
        <v>11.469500725405531</v>
      </c>
      <c r="M39" s="195" t="e">
        <f>'Imp Crude'!M20</f>
        <v>#REF!</v>
      </c>
      <c r="N39" s="195" t="e">
        <f>'Imp Crude'!N20</f>
        <v>#REF!</v>
      </c>
      <c r="O39" s="195" t="e">
        <f>'Imp Crude'!O20</f>
        <v>#REF!</v>
      </c>
      <c r="P39" s="195" t="e">
        <f>'Imp Crude'!P20</f>
        <v>#REF!</v>
      </c>
      <c r="Q39" s="195" t="e">
        <f>'Imp Crude'!Q20</f>
        <v>#REF!</v>
      </c>
      <c r="R39" s="195" t="e">
        <f>'Imp Crude'!R20</f>
        <v>#REF!</v>
      </c>
      <c r="S39" s="195" t="e">
        <f>'Imp Crude'!S20</f>
        <v>#REF!</v>
      </c>
      <c r="T39" s="195" t="e">
        <f>'Imp Crude'!T20</f>
        <v>#REF!</v>
      </c>
      <c r="U39" s="195" t="e">
        <f>'Imp Crude'!U20</f>
        <v>#REF!</v>
      </c>
      <c r="V39" s="187"/>
      <c r="W39" s="187"/>
      <c r="X39" s="187">
        <f>'Imp Crude'!AE20</f>
        <v>21.853020134380252</v>
      </c>
      <c r="Y39" s="187">
        <f>'Imp Crude'!AF20</f>
        <v>18.58880383048071</v>
      </c>
      <c r="Z39" s="187"/>
      <c r="AA39" s="187"/>
      <c r="AB39" s="187"/>
      <c r="AC39" s="187"/>
      <c r="AD39" s="187"/>
      <c r="AE39" s="187"/>
      <c r="AF39" s="187"/>
      <c r="AG39" s="187"/>
      <c r="AH39" s="187"/>
      <c r="AI39" s="197"/>
      <c r="AJ39" s="197"/>
      <c r="BC39" s="147"/>
      <c r="BD39" s="147"/>
      <c r="BE39" s="147"/>
      <c r="BF39" s="147"/>
      <c r="BG39" s="147"/>
    </row>
    <row r="40" spans="2:59">
      <c r="B40" s="158" t="str">
        <f>Technologies!B33</f>
        <v>R1</v>
      </c>
      <c r="C40" s="158" t="str">
        <f>'Imp Crude'!B21</f>
        <v>IMPOILHL14</v>
      </c>
      <c r="D40" s="158" t="str">
        <f>'Imp Crude'!C21</f>
        <v>Imported Imported Oil-High Sulfur, Low G, PADD 1, Step 4</v>
      </c>
      <c r="E40" s="197" t="str">
        <f>'Imp Crude'!D21</f>
        <v>OILHL1</v>
      </c>
      <c r="F40" s="197">
        <v>1</v>
      </c>
      <c r="G40" s="197"/>
      <c r="H40" s="187"/>
      <c r="I40" s="197"/>
      <c r="J40" s="197">
        <v>1.0049999999999999</v>
      </c>
      <c r="K40" s="197">
        <v>1.0049999999999999</v>
      </c>
      <c r="L40" s="195">
        <f>'Imp Crude'!L21</f>
        <v>12.676816591237694</v>
      </c>
      <c r="M40" s="195" t="e">
        <f>'Imp Crude'!M21</f>
        <v>#REF!</v>
      </c>
      <c r="N40" s="195" t="e">
        <f>'Imp Crude'!N21</f>
        <v>#REF!</v>
      </c>
      <c r="O40" s="195" t="e">
        <f>'Imp Crude'!O21</f>
        <v>#REF!</v>
      </c>
      <c r="P40" s="195" t="e">
        <f>'Imp Crude'!P21</f>
        <v>#REF!</v>
      </c>
      <c r="Q40" s="195" t="e">
        <f>'Imp Crude'!Q21</f>
        <v>#REF!</v>
      </c>
      <c r="R40" s="195" t="e">
        <f>'Imp Crude'!R21</f>
        <v>#REF!</v>
      </c>
      <c r="S40" s="195" t="e">
        <f>'Imp Crude'!S21</f>
        <v>#REF!</v>
      </c>
      <c r="T40" s="195" t="e">
        <f>'Imp Crude'!T21</f>
        <v>#REF!</v>
      </c>
      <c r="U40" s="195" t="e">
        <f>'Imp Crude'!U21</f>
        <v>#REF!</v>
      </c>
      <c r="V40" s="187"/>
      <c r="W40" s="187"/>
      <c r="X40" s="187">
        <f>'Imp Crude'!AE21</f>
        <v>43.706040268760461</v>
      </c>
      <c r="Y40" s="187">
        <f>'Imp Crude'!AF21</f>
        <v>37.177607660961456</v>
      </c>
      <c r="Z40" s="187"/>
      <c r="AA40" s="187"/>
      <c r="AB40" s="187"/>
      <c r="AC40" s="187"/>
      <c r="AD40" s="187"/>
      <c r="AE40" s="187"/>
      <c r="AF40" s="187"/>
      <c r="AG40" s="187"/>
      <c r="AH40" s="187"/>
      <c r="AI40" s="197"/>
      <c r="AJ40" s="197"/>
      <c r="BC40" s="147"/>
      <c r="BD40" s="147"/>
      <c r="BE40" s="147"/>
      <c r="BF40" s="147"/>
      <c r="BG40" s="147"/>
    </row>
    <row r="41" spans="2:59">
      <c r="B41" s="158" t="str">
        <f>Technologies!B34</f>
        <v>R1</v>
      </c>
      <c r="C41" s="158" t="str">
        <f>'Imp Crude'!B22</f>
        <v>IMPOILHL15</v>
      </c>
      <c r="D41" s="158" t="str">
        <f>'Imp Crude'!C22</f>
        <v>Imported Imported Oil-High Sulfur, Low G, PADD 1, Step 5</v>
      </c>
      <c r="E41" s="197" t="str">
        <f>'Imp Crude'!D22</f>
        <v>OILHL1</v>
      </c>
      <c r="F41" s="197">
        <v>1</v>
      </c>
      <c r="G41" s="197"/>
      <c r="H41" s="187"/>
      <c r="I41" s="197"/>
      <c r="J41" s="197">
        <v>1.0049999999999999</v>
      </c>
      <c r="K41" s="197">
        <v>1.0049999999999999</v>
      </c>
      <c r="L41" s="195">
        <f>'Imp Crude'!L22</f>
        <v>15.695106255818095</v>
      </c>
      <c r="M41" s="195" t="e">
        <f>'Imp Crude'!M22</f>
        <v>#REF!</v>
      </c>
      <c r="N41" s="195" t="e">
        <f>'Imp Crude'!N22</f>
        <v>#REF!</v>
      </c>
      <c r="O41" s="195" t="e">
        <f>'Imp Crude'!O22</f>
        <v>#REF!</v>
      </c>
      <c r="P41" s="195" t="e">
        <f>'Imp Crude'!P22</f>
        <v>#REF!</v>
      </c>
      <c r="Q41" s="195" t="e">
        <f>'Imp Crude'!Q22</f>
        <v>#REF!</v>
      </c>
      <c r="R41" s="195" t="e">
        <f>'Imp Crude'!R22</f>
        <v>#REF!</v>
      </c>
      <c r="S41" s="195" t="e">
        <f>'Imp Crude'!S22</f>
        <v>#REF!</v>
      </c>
      <c r="T41" s="195" t="e">
        <f>'Imp Crude'!T22</f>
        <v>#REF!</v>
      </c>
      <c r="U41" s="195" t="e">
        <f>'Imp Crude'!U22</f>
        <v>#REF!</v>
      </c>
      <c r="V41" s="187"/>
      <c r="W41" s="187"/>
      <c r="X41" s="187">
        <f>'Imp Crude'!AE22</f>
        <v>21.853020134380245</v>
      </c>
      <c r="Y41" s="187">
        <f>'Imp Crude'!AF22</f>
        <v>18.588803830480657</v>
      </c>
      <c r="Z41" s="187"/>
      <c r="AA41" s="187"/>
      <c r="AB41" s="187"/>
      <c r="AC41" s="187"/>
      <c r="AD41" s="187"/>
      <c r="AE41" s="187"/>
      <c r="AF41" s="187"/>
      <c r="AG41" s="187"/>
      <c r="AH41" s="187"/>
      <c r="AI41" s="197"/>
      <c r="AJ41" s="197"/>
      <c r="BC41" s="147"/>
      <c r="BD41" s="147"/>
      <c r="BE41" s="147"/>
      <c r="BF41" s="147"/>
      <c r="BG41" s="147"/>
    </row>
    <row r="42" spans="2:59">
      <c r="B42" s="158" t="str">
        <f>Technologies!B35</f>
        <v>R1</v>
      </c>
      <c r="C42" s="158" t="str">
        <f>'Imp Crude'!B23</f>
        <v>IMPOILHV13</v>
      </c>
      <c r="D42" s="158" t="str">
        <f>'Imp Crude'!C23</f>
        <v>Imported Imported Oil-High Sulfur, Very HG, PADD 1, Step 3</v>
      </c>
      <c r="E42" s="197" t="str">
        <f>'Imp Crude'!D23</f>
        <v>OILHV1</v>
      </c>
      <c r="F42" s="197">
        <v>1</v>
      </c>
      <c r="G42" s="197"/>
      <c r="H42" s="187"/>
      <c r="I42" s="197"/>
      <c r="J42" s="197">
        <v>1.0049999999999999</v>
      </c>
      <c r="K42" s="197">
        <v>1.0049999999999999</v>
      </c>
      <c r="L42" s="195">
        <f>'Imp Crude'!L23</f>
        <v>11.064305674544054</v>
      </c>
      <c r="M42" s="195" t="e">
        <f>'Imp Crude'!M23</f>
        <v>#REF!</v>
      </c>
      <c r="N42" s="195" t="e">
        <f>'Imp Crude'!N23</f>
        <v>#REF!</v>
      </c>
      <c r="O42" s="195" t="e">
        <f>'Imp Crude'!O23</f>
        <v>#REF!</v>
      </c>
      <c r="P42" s="195" t="e">
        <f>'Imp Crude'!P23</f>
        <v>#REF!</v>
      </c>
      <c r="Q42" s="195" t="e">
        <f>'Imp Crude'!Q23</f>
        <v>#REF!</v>
      </c>
      <c r="R42" s="195" t="e">
        <f>'Imp Crude'!R23</f>
        <v>#REF!</v>
      </c>
      <c r="S42" s="195" t="e">
        <f>'Imp Crude'!S23</f>
        <v>#REF!</v>
      </c>
      <c r="T42" s="195" t="e">
        <f>'Imp Crude'!T23</f>
        <v>#REF!</v>
      </c>
      <c r="U42" s="195" t="e">
        <f>'Imp Crude'!U23</f>
        <v>#REF!</v>
      </c>
      <c r="V42" s="187"/>
      <c r="W42" s="187"/>
      <c r="X42" s="187">
        <f>'Imp Crude'!AE23</f>
        <v>229.67789582530821</v>
      </c>
      <c r="Y42" s="187">
        <f>'Imp Crude'!AF23</f>
        <v>117.94018622705795</v>
      </c>
      <c r="Z42" s="187"/>
      <c r="AA42" s="187"/>
      <c r="AB42" s="187"/>
      <c r="AC42" s="187"/>
      <c r="AD42" s="187"/>
      <c r="AE42" s="187"/>
      <c r="AF42" s="187"/>
      <c r="AG42" s="187"/>
      <c r="AH42" s="187"/>
      <c r="AI42" s="197"/>
      <c r="AJ42" s="197"/>
      <c r="BC42" s="147"/>
      <c r="BD42" s="147"/>
      <c r="BE42" s="147"/>
      <c r="BF42" s="147"/>
      <c r="BG42" s="147"/>
    </row>
    <row r="43" spans="2:59">
      <c r="B43" s="158" t="str">
        <f>Technologies!B36</f>
        <v>R1</v>
      </c>
      <c r="C43" s="158" t="str">
        <f>'Imp Crude'!B24</f>
        <v>IMPOILHV11</v>
      </c>
      <c r="D43" s="158" t="str">
        <f>'Imp Crude'!C24</f>
        <v>Imported Imported Oil-High Sulfur, Very HG, PADD 1, Step 1</v>
      </c>
      <c r="E43" s="197" t="str">
        <f>'Imp Crude'!D24</f>
        <v>OILHV1</v>
      </c>
      <c r="F43" s="197">
        <v>1</v>
      </c>
      <c r="G43" s="197"/>
      <c r="H43" s="187"/>
      <c r="I43" s="197"/>
      <c r="J43" s="197">
        <v>1.0049999999999999</v>
      </c>
      <c r="K43" s="197">
        <v>1.0049999999999999</v>
      </c>
      <c r="L43" s="195">
        <f>'Imp Crude'!L24</f>
        <v>9.9578751070896452</v>
      </c>
      <c r="M43" s="195" t="e">
        <f>'Imp Crude'!M24</f>
        <v>#REF!</v>
      </c>
      <c r="N43" s="195" t="e">
        <f>'Imp Crude'!N24</f>
        <v>#REF!</v>
      </c>
      <c r="O43" s="195" t="e">
        <f>'Imp Crude'!O24</f>
        <v>#REF!</v>
      </c>
      <c r="P43" s="195" t="e">
        <f>'Imp Crude'!P24</f>
        <v>#REF!</v>
      </c>
      <c r="Q43" s="195" t="e">
        <f>'Imp Crude'!Q24</f>
        <v>#REF!</v>
      </c>
      <c r="R43" s="195" t="e">
        <f>'Imp Crude'!R24</f>
        <v>#REF!</v>
      </c>
      <c r="S43" s="195" t="e">
        <f>'Imp Crude'!S24</f>
        <v>#REF!</v>
      </c>
      <c r="T43" s="195" t="e">
        <f>'Imp Crude'!T24</f>
        <v>#REF!</v>
      </c>
      <c r="U43" s="195" t="e">
        <f>'Imp Crude'!U24</f>
        <v>#REF!</v>
      </c>
      <c r="V43" s="187"/>
      <c r="W43" s="187"/>
      <c r="X43" s="187">
        <f>'Imp Crude'!AE24</f>
        <v>28.709736978163527</v>
      </c>
      <c r="Y43" s="187">
        <f>'Imp Crude'!AF24</f>
        <v>14.742523278382247</v>
      </c>
      <c r="Z43" s="187"/>
      <c r="AA43" s="187"/>
      <c r="AB43" s="187"/>
      <c r="AC43" s="187"/>
      <c r="AD43" s="187"/>
      <c r="AE43" s="187"/>
      <c r="AF43" s="187"/>
      <c r="AG43" s="187"/>
      <c r="AH43" s="187"/>
      <c r="AI43" s="197"/>
      <c r="AJ43" s="197"/>
      <c r="BC43" s="147"/>
      <c r="BD43" s="147"/>
      <c r="BE43" s="147"/>
      <c r="BF43" s="147"/>
      <c r="BG43" s="147"/>
    </row>
    <row r="44" spans="2:59">
      <c r="B44" s="158" t="str">
        <f>Technologies!B37</f>
        <v>R1</v>
      </c>
      <c r="C44" s="158" t="str">
        <f>'Imp Crude'!B25</f>
        <v>IMPOILHV12</v>
      </c>
      <c r="D44" s="158" t="str">
        <f>'Imp Crude'!C25</f>
        <v>Imported Imported Oil-High Sulfur, Very HG, PADD 1, Step 2</v>
      </c>
      <c r="E44" s="197" t="str">
        <f>'Imp Crude'!D25</f>
        <v>OILHV1</v>
      </c>
      <c r="F44" s="197">
        <v>1</v>
      </c>
      <c r="G44" s="197"/>
      <c r="H44" s="187"/>
      <c r="I44" s="197"/>
      <c r="J44" s="197">
        <v>1.0049999999999999</v>
      </c>
      <c r="K44" s="197">
        <v>1.0049999999999999</v>
      </c>
      <c r="L44" s="195">
        <f>'Imp Crude'!L25</f>
        <v>10.511090390816848</v>
      </c>
      <c r="M44" s="195" t="e">
        <f>'Imp Crude'!M25</f>
        <v>#REF!</v>
      </c>
      <c r="N44" s="195" t="e">
        <f>'Imp Crude'!N25</f>
        <v>#REF!</v>
      </c>
      <c r="O44" s="195" t="e">
        <f>'Imp Crude'!O25</f>
        <v>#REF!</v>
      </c>
      <c r="P44" s="195" t="e">
        <f>'Imp Crude'!P25</f>
        <v>#REF!</v>
      </c>
      <c r="Q44" s="195" t="e">
        <f>'Imp Crude'!Q25</f>
        <v>#REF!</v>
      </c>
      <c r="R44" s="195" t="e">
        <f>'Imp Crude'!R25</f>
        <v>#REF!</v>
      </c>
      <c r="S44" s="195" t="e">
        <f>'Imp Crude'!S25</f>
        <v>#REF!</v>
      </c>
      <c r="T44" s="195" t="e">
        <f>'Imp Crude'!T25</f>
        <v>#REF!</v>
      </c>
      <c r="U44" s="195" t="e">
        <f>'Imp Crude'!U25</f>
        <v>#REF!</v>
      </c>
      <c r="V44" s="187"/>
      <c r="W44" s="187"/>
      <c r="X44" s="187">
        <f>'Imp Crude'!AE25</f>
        <v>28.709736978163527</v>
      </c>
      <c r="Y44" s="187">
        <f>'Imp Crude'!AF25</f>
        <v>14.742523278382247</v>
      </c>
      <c r="Z44" s="187"/>
      <c r="AA44" s="187"/>
      <c r="AB44" s="187"/>
      <c r="AC44" s="187"/>
      <c r="AD44" s="187"/>
      <c r="AE44" s="187"/>
      <c r="AF44" s="187"/>
      <c r="AG44" s="187"/>
      <c r="AH44" s="187"/>
      <c r="AI44" s="197"/>
      <c r="AJ44" s="197"/>
      <c r="BC44" s="147"/>
      <c r="BD44" s="147"/>
      <c r="BE44" s="147"/>
      <c r="BF44" s="147"/>
      <c r="BG44" s="147"/>
    </row>
    <row r="45" spans="2:59">
      <c r="B45" s="158" t="str">
        <f>Technologies!B38</f>
        <v>R1</v>
      </c>
      <c r="C45" s="158" t="str">
        <f>'Imp Crude'!B26</f>
        <v>IMPOILHV14</v>
      </c>
      <c r="D45" s="158" t="str">
        <f>'Imp Crude'!C26</f>
        <v>Imported Imported Oil-High Sulfur, Very HG, PADD 1, Step 4</v>
      </c>
      <c r="E45" s="197" t="str">
        <f>'Imp Crude'!D26</f>
        <v>OILHV1</v>
      </c>
      <c r="F45" s="197">
        <v>1</v>
      </c>
      <c r="G45" s="197"/>
      <c r="H45" s="187"/>
      <c r="I45" s="197"/>
      <c r="J45" s="197">
        <v>1.0049999999999999</v>
      </c>
      <c r="K45" s="197">
        <v>1.0049999999999999</v>
      </c>
      <c r="L45" s="195">
        <f>'Imp Crude'!L26</f>
        <v>11.617520958271253</v>
      </c>
      <c r="M45" s="195" t="e">
        <f>'Imp Crude'!M26</f>
        <v>#REF!</v>
      </c>
      <c r="N45" s="195" t="e">
        <f>'Imp Crude'!N26</f>
        <v>#REF!</v>
      </c>
      <c r="O45" s="195" t="e">
        <f>'Imp Crude'!O26</f>
        <v>#REF!</v>
      </c>
      <c r="P45" s="195" t="e">
        <f>'Imp Crude'!P26</f>
        <v>#REF!</v>
      </c>
      <c r="Q45" s="195" t="e">
        <f>'Imp Crude'!Q26</f>
        <v>#REF!</v>
      </c>
      <c r="R45" s="195" t="e">
        <f>'Imp Crude'!R26</f>
        <v>#REF!</v>
      </c>
      <c r="S45" s="195" t="e">
        <f>'Imp Crude'!S26</f>
        <v>#REF!</v>
      </c>
      <c r="T45" s="195" t="e">
        <f>'Imp Crude'!T26</f>
        <v>#REF!</v>
      </c>
      <c r="U45" s="195" t="e">
        <f>'Imp Crude'!U26</f>
        <v>#REF!</v>
      </c>
      <c r="V45" s="187"/>
      <c r="W45" s="187"/>
      <c r="X45" s="187">
        <f>'Imp Crude'!AE26</f>
        <v>57.419473956327067</v>
      </c>
      <c r="Y45" s="187">
        <f>'Imp Crude'!AF26</f>
        <v>29.485046556764473</v>
      </c>
      <c r="Z45" s="187"/>
      <c r="AA45" s="187"/>
      <c r="AB45" s="187"/>
      <c r="AC45" s="187"/>
      <c r="AD45" s="187"/>
      <c r="AE45" s="187"/>
      <c r="AF45" s="187"/>
      <c r="AG45" s="187"/>
      <c r="AH45" s="187"/>
      <c r="AI45" s="197"/>
      <c r="AJ45" s="197"/>
      <c r="BC45" s="147"/>
      <c r="BD45" s="147"/>
      <c r="BE45" s="147"/>
      <c r="BF45" s="147"/>
      <c r="BG45" s="147"/>
    </row>
    <row r="46" spans="2:59">
      <c r="B46" s="158" t="str">
        <f>Technologies!B39</f>
        <v>R1</v>
      </c>
      <c r="C46" s="158" t="str">
        <f>'Imp Crude'!B27</f>
        <v>IMPOILHV15</v>
      </c>
      <c r="D46" s="158" t="str">
        <f>'Imp Crude'!C27</f>
        <v>Imported Imported Oil-High Sulfur, Very HG, PADD 1, Step 5</v>
      </c>
      <c r="E46" s="197" t="str">
        <f>'Imp Crude'!D27</f>
        <v>OILHV1</v>
      </c>
      <c r="F46" s="197">
        <v>1</v>
      </c>
      <c r="G46" s="197"/>
      <c r="H46" s="187"/>
      <c r="I46" s="197"/>
      <c r="J46" s="197">
        <v>1.0049999999999999</v>
      </c>
      <c r="K46" s="197">
        <v>1.0049999999999999</v>
      </c>
      <c r="L46" s="195">
        <f>'Imp Crude'!L27</f>
        <v>14.383597376907268</v>
      </c>
      <c r="M46" s="195" t="e">
        <f>'Imp Crude'!M27</f>
        <v>#REF!</v>
      </c>
      <c r="N46" s="195" t="e">
        <f>'Imp Crude'!N27</f>
        <v>#REF!</v>
      </c>
      <c r="O46" s="195" t="e">
        <f>'Imp Crude'!O27</f>
        <v>#REF!</v>
      </c>
      <c r="P46" s="195" t="e">
        <f>'Imp Crude'!P27</f>
        <v>#REF!</v>
      </c>
      <c r="Q46" s="195" t="e">
        <f>'Imp Crude'!Q27</f>
        <v>#REF!</v>
      </c>
      <c r="R46" s="195" t="e">
        <f>'Imp Crude'!R27</f>
        <v>#REF!</v>
      </c>
      <c r="S46" s="195" t="e">
        <f>'Imp Crude'!S27</f>
        <v>#REF!</v>
      </c>
      <c r="T46" s="195" t="e">
        <f>'Imp Crude'!T27</f>
        <v>#REF!</v>
      </c>
      <c r="U46" s="195" t="e">
        <f>'Imp Crude'!U27</f>
        <v>#REF!</v>
      </c>
      <c r="V46" s="187"/>
      <c r="W46" s="187"/>
      <c r="X46" s="187">
        <f>'Imp Crude'!AE27</f>
        <v>28.709736978163505</v>
      </c>
      <c r="Y46" s="187">
        <f>'Imp Crude'!AF27</f>
        <v>14.742523278382265</v>
      </c>
      <c r="Z46" s="187"/>
      <c r="AA46" s="187"/>
      <c r="AB46" s="187"/>
      <c r="AC46" s="187"/>
      <c r="AD46" s="187"/>
      <c r="AE46" s="187"/>
      <c r="AF46" s="187"/>
      <c r="AG46" s="187"/>
      <c r="AH46" s="187"/>
      <c r="AI46" s="197"/>
      <c r="AJ46" s="197"/>
      <c r="BC46" s="147"/>
      <c r="BD46" s="147"/>
      <c r="BE46" s="147"/>
      <c r="BF46" s="147"/>
      <c r="BG46" s="147"/>
    </row>
    <row r="47" spans="2:59">
      <c r="B47" s="158" t="str">
        <f>Technologies!B40</f>
        <v>R1</v>
      </c>
      <c r="C47" s="158" t="str">
        <f>'Imp Crude'!B28</f>
        <v>IMPOILLL13</v>
      </c>
      <c r="D47" s="158" t="str">
        <f>'Imp Crude'!C28</f>
        <v>Imported Imported Oil-Low Sulfur, Low G, PADD 1, Step 3</v>
      </c>
      <c r="E47" s="197" t="str">
        <f>'Imp Crude'!D28</f>
        <v>OILLL1</v>
      </c>
      <c r="F47" s="197">
        <v>1</v>
      </c>
      <c r="G47" s="197"/>
      <c r="H47" s="187"/>
      <c r="I47" s="197"/>
      <c r="J47" s="197">
        <v>1.0049999999999999</v>
      </c>
      <c r="K47" s="197">
        <v>1.0049999999999999</v>
      </c>
      <c r="L47" s="195">
        <f>'Imp Crude'!L28</f>
        <v>14.669714698535982</v>
      </c>
      <c r="M47" s="195" t="e">
        <f>'Imp Crude'!M28</f>
        <v>#REF!</v>
      </c>
      <c r="N47" s="195" t="e">
        <f>'Imp Crude'!N28</f>
        <v>#REF!</v>
      </c>
      <c r="O47" s="195" t="e">
        <f>'Imp Crude'!O28</f>
        <v>#REF!</v>
      </c>
      <c r="P47" s="195" t="e">
        <f>'Imp Crude'!P28</f>
        <v>#REF!</v>
      </c>
      <c r="Q47" s="195" t="e">
        <f>'Imp Crude'!Q28</f>
        <v>#REF!</v>
      </c>
      <c r="R47" s="195" t="e">
        <f>'Imp Crude'!R28</f>
        <v>#REF!</v>
      </c>
      <c r="S47" s="195" t="e">
        <f>'Imp Crude'!S28</f>
        <v>#REF!</v>
      </c>
      <c r="T47" s="195" t="e">
        <f>'Imp Crude'!T28</f>
        <v>#REF!</v>
      </c>
      <c r="U47" s="195" t="e">
        <f>'Imp Crude'!U28</f>
        <v>#REF!</v>
      </c>
      <c r="V47" s="187"/>
      <c r="W47" s="187"/>
      <c r="X47" s="187">
        <f>'Imp Crude'!AE28</f>
        <v>1978.4224100861722</v>
      </c>
      <c r="Y47" s="187">
        <f>'Imp Crude'!AF28</f>
        <v>1660.717773877245</v>
      </c>
      <c r="Z47" s="187"/>
      <c r="AA47" s="187"/>
      <c r="AB47" s="187"/>
      <c r="AC47" s="187"/>
      <c r="AD47" s="187"/>
      <c r="AE47" s="187"/>
      <c r="AF47" s="187"/>
      <c r="AG47" s="187"/>
      <c r="AH47" s="187"/>
      <c r="AI47" s="197"/>
      <c r="AJ47" s="197"/>
      <c r="BC47" s="147"/>
      <c r="BD47" s="147"/>
      <c r="BE47" s="147"/>
      <c r="BF47" s="147"/>
      <c r="BG47" s="147"/>
    </row>
    <row r="48" spans="2:59">
      <c r="B48" s="158" t="str">
        <f>Technologies!B41</f>
        <v>R1</v>
      </c>
      <c r="C48" s="158" t="str">
        <f>'Imp Crude'!B29</f>
        <v>IMPOILLL11</v>
      </c>
      <c r="D48" s="158" t="str">
        <f>'Imp Crude'!C29</f>
        <v>Imported Imported Oil-Low Sulfur, Low G, PADD 1, Step 1</v>
      </c>
      <c r="E48" s="197" t="str">
        <f>'Imp Crude'!D29</f>
        <v>OILLL1</v>
      </c>
      <c r="F48" s="197">
        <v>1</v>
      </c>
      <c r="G48" s="197"/>
      <c r="H48" s="187"/>
      <c r="I48" s="197"/>
      <c r="J48" s="197">
        <v>1.0049999999999999</v>
      </c>
      <c r="K48" s="197">
        <v>1.0049999999999999</v>
      </c>
      <c r="L48" s="195">
        <f>'Imp Crude'!L29</f>
        <v>13.202743228682387</v>
      </c>
      <c r="M48" s="195" t="e">
        <f>'Imp Crude'!M29</f>
        <v>#REF!</v>
      </c>
      <c r="N48" s="195" t="e">
        <f>'Imp Crude'!N29</f>
        <v>#REF!</v>
      </c>
      <c r="O48" s="195" t="e">
        <f>'Imp Crude'!O29</f>
        <v>#REF!</v>
      </c>
      <c r="P48" s="195" t="e">
        <f>'Imp Crude'!P29</f>
        <v>#REF!</v>
      </c>
      <c r="Q48" s="195" t="e">
        <f>'Imp Crude'!Q29</f>
        <v>#REF!</v>
      </c>
      <c r="R48" s="195" t="e">
        <f>'Imp Crude'!R29</f>
        <v>#REF!</v>
      </c>
      <c r="S48" s="195" t="e">
        <f>'Imp Crude'!S29</f>
        <v>#REF!</v>
      </c>
      <c r="T48" s="195" t="e">
        <f>'Imp Crude'!T29</f>
        <v>#REF!</v>
      </c>
      <c r="U48" s="195" t="e">
        <f>'Imp Crude'!U29</f>
        <v>#REF!</v>
      </c>
      <c r="V48" s="187"/>
      <c r="W48" s="187"/>
      <c r="X48" s="187">
        <f>'Imp Crude'!AE29</f>
        <v>247.30280126077159</v>
      </c>
      <c r="Y48" s="187">
        <f>'Imp Crude'!AF29</f>
        <v>207.58972173465565</v>
      </c>
      <c r="Z48" s="187"/>
      <c r="AA48" s="187"/>
      <c r="AB48" s="187"/>
      <c r="AC48" s="187"/>
      <c r="AD48" s="187"/>
      <c r="AE48" s="187"/>
      <c r="AF48" s="187"/>
      <c r="AG48" s="187"/>
      <c r="AH48" s="187"/>
      <c r="AI48" s="197"/>
      <c r="AJ48" s="197"/>
      <c r="BC48" s="147"/>
      <c r="BD48" s="147"/>
      <c r="BE48" s="147"/>
      <c r="BF48" s="147"/>
      <c r="BG48" s="147"/>
    </row>
    <row r="49" spans="2:59">
      <c r="B49" s="158" t="str">
        <f>Technologies!B42</f>
        <v>R1</v>
      </c>
      <c r="C49" s="158" t="str">
        <f>'Imp Crude'!B30</f>
        <v>IMPOILLL12</v>
      </c>
      <c r="D49" s="158" t="str">
        <f>'Imp Crude'!C30</f>
        <v>Imported Imported Oil-Low Sulfur, Low G, PADD 1, Step 2</v>
      </c>
      <c r="E49" s="197" t="str">
        <f>'Imp Crude'!D30</f>
        <v>OILLL1</v>
      </c>
      <c r="F49" s="197">
        <v>1</v>
      </c>
      <c r="G49" s="197"/>
      <c r="H49" s="187"/>
      <c r="I49" s="197"/>
      <c r="J49" s="197">
        <v>1.0049999999999999</v>
      </c>
      <c r="K49" s="197">
        <v>1.0049999999999999</v>
      </c>
      <c r="L49" s="195">
        <f>'Imp Crude'!L30</f>
        <v>13.936228963609183</v>
      </c>
      <c r="M49" s="195" t="e">
        <f>'Imp Crude'!M30</f>
        <v>#REF!</v>
      </c>
      <c r="N49" s="195" t="e">
        <f>'Imp Crude'!N30</f>
        <v>#REF!</v>
      </c>
      <c r="O49" s="195" t="e">
        <f>'Imp Crude'!O30</f>
        <v>#REF!</v>
      </c>
      <c r="P49" s="195" t="e">
        <f>'Imp Crude'!P30</f>
        <v>#REF!</v>
      </c>
      <c r="Q49" s="195" t="e">
        <f>'Imp Crude'!Q30</f>
        <v>#REF!</v>
      </c>
      <c r="R49" s="195" t="e">
        <f>'Imp Crude'!R30</f>
        <v>#REF!</v>
      </c>
      <c r="S49" s="195" t="e">
        <f>'Imp Crude'!S30</f>
        <v>#REF!</v>
      </c>
      <c r="T49" s="195" t="e">
        <f>'Imp Crude'!T30</f>
        <v>#REF!</v>
      </c>
      <c r="U49" s="195" t="e">
        <f>'Imp Crude'!U30</f>
        <v>#REF!</v>
      </c>
      <c r="V49" s="187"/>
      <c r="W49" s="187"/>
      <c r="X49" s="187">
        <f>'Imp Crude'!AE30</f>
        <v>247.30280126077159</v>
      </c>
      <c r="Y49" s="187">
        <f>'Imp Crude'!AF30</f>
        <v>207.58972173465565</v>
      </c>
      <c r="Z49" s="187"/>
      <c r="AA49" s="187"/>
      <c r="AB49" s="187"/>
      <c r="AC49" s="187"/>
      <c r="AD49" s="187"/>
      <c r="AE49" s="187"/>
      <c r="AF49" s="187"/>
      <c r="AG49" s="187"/>
      <c r="AH49" s="187"/>
      <c r="AI49" s="197"/>
      <c r="AJ49" s="197"/>
      <c r="BC49" s="147"/>
      <c r="BD49" s="147"/>
      <c r="BE49" s="147"/>
      <c r="BF49" s="147"/>
      <c r="BG49" s="147"/>
    </row>
    <row r="50" spans="2:59">
      <c r="B50" s="158" t="str">
        <f>Technologies!B43</f>
        <v>R1</v>
      </c>
      <c r="C50" s="158" t="str">
        <f>'Imp Crude'!B31</f>
        <v>IMPOILLL14</v>
      </c>
      <c r="D50" s="158" t="str">
        <f>'Imp Crude'!C31</f>
        <v>Imported Imported Oil-Low Sulfur, Low G, PADD 1, Step 4</v>
      </c>
      <c r="E50" s="197" t="str">
        <f>'Imp Crude'!D31</f>
        <v>OILLL1</v>
      </c>
      <c r="F50" s="197">
        <v>1</v>
      </c>
      <c r="G50" s="197"/>
      <c r="H50" s="187"/>
      <c r="I50" s="197"/>
      <c r="J50" s="197">
        <v>1.0049999999999999</v>
      </c>
      <c r="K50" s="197">
        <v>1.0049999999999999</v>
      </c>
      <c r="L50" s="195">
        <f>'Imp Crude'!L31</f>
        <v>15.403200433462786</v>
      </c>
      <c r="M50" s="195" t="e">
        <f>'Imp Crude'!M31</f>
        <v>#REF!</v>
      </c>
      <c r="N50" s="195" t="e">
        <f>'Imp Crude'!N31</f>
        <v>#REF!</v>
      </c>
      <c r="O50" s="195" t="e">
        <f>'Imp Crude'!O31</f>
        <v>#REF!</v>
      </c>
      <c r="P50" s="195" t="e">
        <f>'Imp Crude'!P31</f>
        <v>#REF!</v>
      </c>
      <c r="Q50" s="195" t="e">
        <f>'Imp Crude'!Q31</f>
        <v>#REF!</v>
      </c>
      <c r="R50" s="195" t="e">
        <f>'Imp Crude'!R31</f>
        <v>#REF!</v>
      </c>
      <c r="S50" s="195" t="e">
        <f>'Imp Crude'!S31</f>
        <v>#REF!</v>
      </c>
      <c r="T50" s="195" t="e">
        <f>'Imp Crude'!T31</f>
        <v>#REF!</v>
      </c>
      <c r="U50" s="195" t="e">
        <f>'Imp Crude'!U31</f>
        <v>#REF!</v>
      </c>
      <c r="V50" s="187"/>
      <c r="W50" s="187"/>
      <c r="X50" s="187">
        <f>'Imp Crude'!AE31</f>
        <v>494.60560252154301</v>
      </c>
      <c r="Y50" s="187">
        <f>'Imp Crude'!AF31</f>
        <v>415.17944346931108</v>
      </c>
      <c r="Z50" s="187"/>
      <c r="AA50" s="187"/>
      <c r="AB50" s="187"/>
      <c r="AC50" s="187"/>
      <c r="AD50" s="187"/>
      <c r="AE50" s="187"/>
      <c r="AF50" s="187"/>
      <c r="AG50" s="187"/>
      <c r="AH50" s="187"/>
      <c r="AI50" s="197"/>
      <c r="AJ50" s="197"/>
      <c r="BC50" s="147"/>
      <c r="BD50" s="147"/>
      <c r="BE50" s="147"/>
      <c r="BF50" s="147"/>
      <c r="BG50" s="147"/>
    </row>
    <row r="51" spans="2:59">
      <c r="B51" s="158" t="str">
        <f>Technologies!B44</f>
        <v>R1</v>
      </c>
      <c r="C51" s="158" t="str">
        <f>'Imp Crude'!B32</f>
        <v>IMPOILLL15</v>
      </c>
      <c r="D51" s="158" t="str">
        <f>'Imp Crude'!C32</f>
        <v>Imported Imported Oil-Low Sulfur, Low G, PADD 1, Step 5</v>
      </c>
      <c r="E51" s="197" t="str">
        <f>'Imp Crude'!D32</f>
        <v>OILLL1</v>
      </c>
      <c r="F51" s="197">
        <v>1</v>
      </c>
      <c r="G51" s="197"/>
      <c r="H51" s="187"/>
      <c r="I51" s="197"/>
      <c r="J51" s="197">
        <v>1.0049999999999999</v>
      </c>
      <c r="K51" s="197">
        <v>1.0049999999999999</v>
      </c>
      <c r="L51" s="195">
        <f>'Imp Crude'!L32</f>
        <v>19.070629108096782</v>
      </c>
      <c r="M51" s="195" t="e">
        <f>'Imp Crude'!M32</f>
        <v>#REF!</v>
      </c>
      <c r="N51" s="195" t="e">
        <f>'Imp Crude'!N32</f>
        <v>#REF!</v>
      </c>
      <c r="O51" s="195" t="e">
        <f>'Imp Crude'!O32</f>
        <v>#REF!</v>
      </c>
      <c r="P51" s="195" t="e">
        <f>'Imp Crude'!P32</f>
        <v>#REF!</v>
      </c>
      <c r="Q51" s="195" t="e">
        <f>'Imp Crude'!Q32</f>
        <v>#REF!</v>
      </c>
      <c r="R51" s="195" t="e">
        <f>'Imp Crude'!R32</f>
        <v>#REF!</v>
      </c>
      <c r="S51" s="195" t="e">
        <f>'Imp Crude'!S32</f>
        <v>#REF!</v>
      </c>
      <c r="T51" s="195" t="e">
        <f>'Imp Crude'!T32</f>
        <v>#REF!</v>
      </c>
      <c r="U51" s="195" t="e">
        <f>'Imp Crude'!U32</f>
        <v>#REF!</v>
      </c>
      <c r="V51" s="187"/>
      <c r="W51" s="187"/>
      <c r="X51" s="187">
        <f>'Imp Crude'!AE32</f>
        <v>247.3028012607715</v>
      </c>
      <c r="Y51" s="187">
        <f>'Imp Crude'!AF32</f>
        <v>207.58972173465554</v>
      </c>
      <c r="Z51" s="187"/>
      <c r="AA51" s="187"/>
      <c r="AB51" s="187"/>
      <c r="AC51" s="187"/>
      <c r="AD51" s="187"/>
      <c r="AE51" s="187"/>
      <c r="AF51" s="187"/>
      <c r="AG51" s="187"/>
      <c r="AH51" s="187"/>
      <c r="AI51" s="197"/>
      <c r="AJ51" s="197"/>
      <c r="BC51" s="147"/>
      <c r="BD51" s="147"/>
      <c r="BE51" s="147"/>
      <c r="BF51" s="147"/>
      <c r="BG51" s="147"/>
    </row>
    <row r="52" spans="2:59">
      <c r="B52" s="158" t="str">
        <f>Technologies!B45</f>
        <v>R1</v>
      </c>
      <c r="C52" s="158" t="str">
        <f>'Imp Crude'!B33</f>
        <v>IMPOILMH13</v>
      </c>
      <c r="D52" s="158" t="str">
        <f>'Imp Crude'!C33</f>
        <v>Imported Imported Oil-Medium Sulfur, HG, PADD 1, Step 3</v>
      </c>
      <c r="E52" s="197" t="str">
        <f>'Imp Crude'!D33</f>
        <v>OILMH1</v>
      </c>
      <c r="F52" s="197">
        <v>1</v>
      </c>
      <c r="G52" s="197"/>
      <c r="H52" s="187"/>
      <c r="I52" s="197"/>
      <c r="J52" s="197">
        <v>1.0049999999999999</v>
      </c>
      <c r="K52" s="197">
        <v>1.0049999999999999</v>
      </c>
      <c r="L52" s="195">
        <f>'Imp Crude'!L33</f>
        <v>12.053312370116149</v>
      </c>
      <c r="M52" s="195" t="e">
        <f>'Imp Crude'!M33</f>
        <v>#REF!</v>
      </c>
      <c r="N52" s="195" t="e">
        <f>'Imp Crude'!N33</f>
        <v>#REF!</v>
      </c>
      <c r="O52" s="195" t="e">
        <f>'Imp Crude'!O33</f>
        <v>#REF!</v>
      </c>
      <c r="P52" s="195" t="e">
        <f>'Imp Crude'!P33</f>
        <v>#REF!</v>
      </c>
      <c r="Q52" s="195" t="e">
        <f>'Imp Crude'!Q33</f>
        <v>#REF!</v>
      </c>
      <c r="R52" s="195" t="e">
        <f>'Imp Crude'!R33</f>
        <v>#REF!</v>
      </c>
      <c r="S52" s="195" t="e">
        <f>'Imp Crude'!S33</f>
        <v>#REF!</v>
      </c>
      <c r="T52" s="195" t="e">
        <f>'Imp Crude'!T33</f>
        <v>#REF!</v>
      </c>
      <c r="U52" s="195" t="e">
        <f>'Imp Crude'!U33</f>
        <v>#REF!</v>
      </c>
      <c r="V52" s="187"/>
      <c r="W52" s="187"/>
      <c r="X52" s="187">
        <f>'Imp Crude'!AE33</f>
        <v>98.252445095977691</v>
      </c>
      <c r="Y52" s="187">
        <f>'Imp Crude'!AF33</f>
        <v>94.750746578812979</v>
      </c>
      <c r="Z52" s="187"/>
      <c r="AA52" s="187"/>
      <c r="AB52" s="187"/>
      <c r="AC52" s="187"/>
      <c r="AD52" s="187"/>
      <c r="AE52" s="187"/>
      <c r="AF52" s="187"/>
      <c r="AG52" s="187"/>
      <c r="AH52" s="187"/>
      <c r="AI52" s="197"/>
      <c r="AJ52" s="197"/>
      <c r="BC52" s="147"/>
      <c r="BD52" s="147"/>
      <c r="BE52" s="147"/>
      <c r="BF52" s="147"/>
      <c r="BG52" s="147"/>
    </row>
    <row r="53" spans="2:59">
      <c r="B53" s="158" t="str">
        <f>Technologies!B46</f>
        <v>R1</v>
      </c>
      <c r="C53" s="158" t="str">
        <f>'Imp Crude'!B34</f>
        <v>IMPOILMH11</v>
      </c>
      <c r="D53" s="158" t="str">
        <f>'Imp Crude'!C34</f>
        <v>Imported Imported Oil-Medium Sulfur, HG, PADD 1, Step 1</v>
      </c>
      <c r="E53" s="197" t="str">
        <f>'Imp Crude'!D34</f>
        <v>OILMH1</v>
      </c>
      <c r="F53" s="197">
        <v>1</v>
      </c>
      <c r="G53" s="197"/>
      <c r="H53" s="187"/>
      <c r="I53" s="197"/>
      <c r="J53" s="197">
        <v>1.0049999999999999</v>
      </c>
      <c r="K53" s="197">
        <v>1.0049999999999999</v>
      </c>
      <c r="L53" s="195">
        <f>'Imp Crude'!L34</f>
        <v>10.847981133104536</v>
      </c>
      <c r="M53" s="195" t="e">
        <f>'Imp Crude'!M34</f>
        <v>#REF!</v>
      </c>
      <c r="N53" s="195" t="e">
        <f>'Imp Crude'!N34</f>
        <v>#REF!</v>
      </c>
      <c r="O53" s="195" t="e">
        <f>'Imp Crude'!O34</f>
        <v>#REF!</v>
      </c>
      <c r="P53" s="195" t="e">
        <f>'Imp Crude'!P34</f>
        <v>#REF!</v>
      </c>
      <c r="Q53" s="195" t="e">
        <f>'Imp Crude'!Q34</f>
        <v>#REF!</v>
      </c>
      <c r="R53" s="195" t="e">
        <f>'Imp Crude'!R34</f>
        <v>#REF!</v>
      </c>
      <c r="S53" s="195" t="e">
        <f>'Imp Crude'!S34</f>
        <v>#REF!</v>
      </c>
      <c r="T53" s="195" t="e">
        <f>'Imp Crude'!T34</f>
        <v>#REF!</v>
      </c>
      <c r="U53" s="195" t="e">
        <f>'Imp Crude'!U34</f>
        <v>#REF!</v>
      </c>
      <c r="V53" s="187"/>
      <c r="W53" s="187"/>
      <c r="X53" s="187">
        <f>'Imp Crude'!AE34</f>
        <v>12.281555636997211</v>
      </c>
      <c r="Y53" s="187">
        <f>'Imp Crude'!AF34</f>
        <v>11.843843322351622</v>
      </c>
      <c r="Z53" s="187"/>
      <c r="AA53" s="187"/>
      <c r="AB53" s="187"/>
      <c r="AC53" s="187"/>
      <c r="AD53" s="187"/>
      <c r="AE53" s="187"/>
      <c r="AF53" s="187"/>
      <c r="AG53" s="187"/>
      <c r="AH53" s="187"/>
      <c r="AI53" s="197"/>
      <c r="AJ53" s="197"/>
      <c r="BC53" s="147"/>
      <c r="BD53" s="147"/>
      <c r="BE53" s="147"/>
      <c r="BF53" s="147"/>
      <c r="BG53" s="147"/>
    </row>
    <row r="54" spans="2:59">
      <c r="B54" s="158" t="str">
        <f>Technologies!B47</f>
        <v>R1</v>
      </c>
      <c r="C54" s="158" t="str">
        <f>'Imp Crude'!B35</f>
        <v>IMPOILMH12</v>
      </c>
      <c r="D54" s="158" t="str">
        <f>'Imp Crude'!C35</f>
        <v>Imported Imported Oil-Medium Sulfur, HG, PADD 1, Step 2</v>
      </c>
      <c r="E54" s="197" t="str">
        <f>'Imp Crude'!D35</f>
        <v>OILMH1</v>
      </c>
      <c r="F54" s="197">
        <v>1</v>
      </c>
      <c r="G54" s="197"/>
      <c r="H54" s="187"/>
      <c r="I54" s="197"/>
      <c r="J54" s="197">
        <v>1.0049999999999999</v>
      </c>
      <c r="K54" s="197">
        <v>1.0049999999999999</v>
      </c>
      <c r="L54" s="195">
        <f>'Imp Crude'!L35</f>
        <v>11.450646751610343</v>
      </c>
      <c r="M54" s="195" t="e">
        <f>'Imp Crude'!M35</f>
        <v>#REF!</v>
      </c>
      <c r="N54" s="195" t="e">
        <f>'Imp Crude'!N35</f>
        <v>#REF!</v>
      </c>
      <c r="O54" s="195" t="e">
        <f>'Imp Crude'!O35</f>
        <v>#REF!</v>
      </c>
      <c r="P54" s="195" t="e">
        <f>'Imp Crude'!P35</f>
        <v>#REF!</v>
      </c>
      <c r="Q54" s="195" t="e">
        <f>'Imp Crude'!Q35</f>
        <v>#REF!</v>
      </c>
      <c r="R54" s="195" t="e">
        <f>'Imp Crude'!R35</f>
        <v>#REF!</v>
      </c>
      <c r="S54" s="195" t="e">
        <f>'Imp Crude'!S35</f>
        <v>#REF!</v>
      </c>
      <c r="T54" s="195" t="e">
        <f>'Imp Crude'!T35</f>
        <v>#REF!</v>
      </c>
      <c r="U54" s="195" t="e">
        <f>'Imp Crude'!U35</f>
        <v>#REF!</v>
      </c>
      <c r="V54" s="187"/>
      <c r="W54" s="187"/>
      <c r="X54" s="187">
        <f>'Imp Crude'!AE35</f>
        <v>12.281555636997211</v>
      </c>
      <c r="Y54" s="187">
        <f>'Imp Crude'!AF35</f>
        <v>11.843843322351622</v>
      </c>
      <c r="Z54" s="187"/>
      <c r="AA54" s="187"/>
      <c r="AB54" s="187"/>
      <c r="AC54" s="187"/>
      <c r="AD54" s="187"/>
      <c r="AE54" s="187"/>
      <c r="AF54" s="187"/>
      <c r="AG54" s="187"/>
      <c r="AH54" s="187"/>
      <c r="AI54" s="197"/>
      <c r="AJ54" s="197"/>
      <c r="BC54" s="147"/>
      <c r="BD54" s="147"/>
      <c r="BE54" s="147"/>
      <c r="BF54" s="147"/>
      <c r="BG54" s="147"/>
    </row>
    <row r="55" spans="2:59">
      <c r="B55" s="158" t="str">
        <f>Technologies!B48</f>
        <v>R1</v>
      </c>
      <c r="C55" s="158" t="str">
        <f>'Imp Crude'!B36</f>
        <v>IMPOILMH14</v>
      </c>
      <c r="D55" s="158" t="str">
        <f>'Imp Crude'!C36</f>
        <v>Imported Imported Oil-Medium Sulfur, HG, PADD 1, Step 4</v>
      </c>
      <c r="E55" s="197" t="str">
        <f>'Imp Crude'!D36</f>
        <v>OILMH1</v>
      </c>
      <c r="F55" s="197">
        <v>1</v>
      </c>
      <c r="G55" s="197"/>
      <c r="H55" s="187"/>
      <c r="I55" s="197"/>
      <c r="J55" s="197">
        <v>1.0049999999999999</v>
      </c>
      <c r="K55" s="197">
        <v>1.0049999999999999</v>
      </c>
      <c r="L55" s="195">
        <f>'Imp Crude'!L36</f>
        <v>12.655977988621959</v>
      </c>
      <c r="M55" s="195" t="e">
        <f>'Imp Crude'!M36</f>
        <v>#REF!</v>
      </c>
      <c r="N55" s="195" t="e">
        <f>'Imp Crude'!N36</f>
        <v>#REF!</v>
      </c>
      <c r="O55" s="195" t="e">
        <f>'Imp Crude'!O36</f>
        <v>#REF!</v>
      </c>
      <c r="P55" s="195" t="e">
        <f>'Imp Crude'!P36</f>
        <v>#REF!</v>
      </c>
      <c r="Q55" s="195" t="e">
        <f>'Imp Crude'!Q36</f>
        <v>#REF!</v>
      </c>
      <c r="R55" s="195" t="e">
        <f>'Imp Crude'!R36</f>
        <v>#REF!</v>
      </c>
      <c r="S55" s="195" t="e">
        <f>'Imp Crude'!S36</f>
        <v>#REF!</v>
      </c>
      <c r="T55" s="195" t="e">
        <f>'Imp Crude'!T36</f>
        <v>#REF!</v>
      </c>
      <c r="U55" s="195" t="e">
        <f>'Imp Crude'!U36</f>
        <v>#REF!</v>
      </c>
      <c r="V55" s="187"/>
      <c r="W55" s="187"/>
      <c r="X55" s="187">
        <f>'Imp Crude'!AE36</f>
        <v>24.563111273994394</v>
      </c>
      <c r="Y55" s="187">
        <f>'Imp Crude'!AF36</f>
        <v>23.687686644703263</v>
      </c>
      <c r="Z55" s="187"/>
      <c r="AA55" s="187"/>
      <c r="AB55" s="187"/>
      <c r="AC55" s="187"/>
      <c r="AD55" s="187"/>
      <c r="AE55" s="187"/>
      <c r="AF55" s="187"/>
      <c r="AG55" s="187"/>
      <c r="AH55" s="187"/>
      <c r="AI55" s="197"/>
      <c r="AJ55" s="197"/>
      <c r="BC55" s="147"/>
      <c r="BD55" s="147"/>
      <c r="BE55" s="147"/>
      <c r="BF55" s="147"/>
      <c r="BG55" s="147"/>
    </row>
    <row r="56" spans="2:59">
      <c r="B56" s="158" t="str">
        <f>Technologies!B49</f>
        <v>R1</v>
      </c>
      <c r="C56" s="158" t="str">
        <f>'Imp Crude'!B37</f>
        <v>IMPOILMH15</v>
      </c>
      <c r="D56" s="158" t="str">
        <f>'Imp Crude'!C37</f>
        <v>Imported Imported Oil-Medium Sulfur, HG, PADD 1, Step 5</v>
      </c>
      <c r="E56" s="197" t="str">
        <f>'Imp Crude'!D37</f>
        <v>OILMH1</v>
      </c>
      <c r="F56" s="197">
        <v>1</v>
      </c>
      <c r="G56" s="197"/>
      <c r="H56" s="187"/>
      <c r="I56" s="197"/>
      <c r="J56" s="197">
        <v>1.0049999999999999</v>
      </c>
      <c r="K56" s="197">
        <v>1.0049999999999999</v>
      </c>
      <c r="L56" s="195">
        <f>'Imp Crude'!L37</f>
        <v>15.669306081150996</v>
      </c>
      <c r="M56" s="195" t="e">
        <f>'Imp Crude'!M37</f>
        <v>#REF!</v>
      </c>
      <c r="N56" s="195" t="e">
        <f>'Imp Crude'!N37</f>
        <v>#REF!</v>
      </c>
      <c r="O56" s="195" t="e">
        <f>'Imp Crude'!O37</f>
        <v>#REF!</v>
      </c>
      <c r="P56" s="195" t="e">
        <f>'Imp Crude'!P37</f>
        <v>#REF!</v>
      </c>
      <c r="Q56" s="195" t="e">
        <f>'Imp Crude'!Q37</f>
        <v>#REF!</v>
      </c>
      <c r="R56" s="195" t="e">
        <f>'Imp Crude'!R37</f>
        <v>#REF!</v>
      </c>
      <c r="S56" s="195" t="e">
        <f>'Imp Crude'!S37</f>
        <v>#REF!</v>
      </c>
      <c r="T56" s="195" t="e">
        <f>'Imp Crude'!T37</f>
        <v>#REF!</v>
      </c>
      <c r="U56" s="195" t="e">
        <f>'Imp Crude'!U37</f>
        <v>#REF!</v>
      </c>
      <c r="V56" s="187"/>
      <c r="W56" s="187"/>
      <c r="X56" s="187">
        <f>'Imp Crude'!AE37</f>
        <v>12.28155563699724</v>
      </c>
      <c r="Y56" s="187">
        <f>'Imp Crude'!AF37</f>
        <v>11.843843322351631</v>
      </c>
      <c r="Z56" s="187"/>
      <c r="AA56" s="187"/>
      <c r="AB56" s="187"/>
      <c r="AC56" s="187"/>
      <c r="AD56" s="187"/>
      <c r="AE56" s="187"/>
      <c r="AF56" s="187"/>
      <c r="AG56" s="187"/>
      <c r="AH56" s="187"/>
      <c r="AI56" s="197"/>
      <c r="AJ56" s="197"/>
      <c r="BC56" s="147"/>
      <c r="BD56" s="147"/>
      <c r="BE56" s="147"/>
      <c r="BF56" s="147"/>
      <c r="BG56" s="147"/>
    </row>
    <row r="57" spans="2:59">
      <c r="B57" s="158" t="s">
        <v>398</v>
      </c>
      <c r="C57" s="158"/>
      <c r="D57" s="158"/>
      <c r="E57" s="197"/>
      <c r="F57" s="197"/>
      <c r="G57" s="197"/>
      <c r="H57" s="187"/>
      <c r="I57" s="197"/>
      <c r="J57" s="197"/>
      <c r="K57" s="197"/>
      <c r="L57" s="195"/>
      <c r="M57" s="195"/>
      <c r="N57" s="195"/>
      <c r="O57" s="195"/>
      <c r="P57" s="195"/>
      <c r="Q57" s="195"/>
      <c r="R57" s="195"/>
      <c r="S57" s="195"/>
      <c r="T57" s="195"/>
      <c r="U57" s="195"/>
      <c r="V57" s="187"/>
      <c r="W57" s="187"/>
      <c r="X57" s="187"/>
      <c r="Y57" s="187"/>
      <c r="Z57" s="187"/>
      <c r="AA57" s="187"/>
      <c r="AB57" s="187"/>
      <c r="AC57" s="187"/>
      <c r="AD57" s="187"/>
      <c r="AE57" s="187"/>
      <c r="AF57" s="187"/>
      <c r="AG57" s="187"/>
      <c r="AH57" s="187"/>
      <c r="AI57" s="197"/>
      <c r="AJ57" s="197"/>
      <c r="BC57" s="147"/>
      <c r="BD57" s="147"/>
      <c r="BE57" s="147"/>
      <c r="BF57" s="147"/>
      <c r="BG57" s="147"/>
    </row>
    <row r="58" spans="2:59">
      <c r="B58" s="158" t="str">
        <f>Technologies!B51</f>
        <v>R1</v>
      </c>
      <c r="C58" s="158" t="str">
        <f>'Imp Crude'!B39</f>
        <v>IMPOILHH23</v>
      </c>
      <c r="D58" s="158" t="str">
        <f>'Imp Crude'!C39</f>
        <v>Imported Imported Oil-High Sulfur, Heavy G, PADD 2, Step 3</v>
      </c>
      <c r="E58" s="197" t="str">
        <f>'Imp Crude'!D39</f>
        <v>OILHH2</v>
      </c>
      <c r="F58" s="197">
        <v>1</v>
      </c>
      <c r="G58" s="197"/>
      <c r="H58" s="187"/>
      <c r="I58" s="197"/>
      <c r="J58" s="197">
        <v>1.0049999999999999</v>
      </c>
      <c r="K58" s="197">
        <v>1.0049999999999999</v>
      </c>
      <c r="L58" s="195">
        <f>'Imp Crude'!L39</f>
        <v>11.163537115571355</v>
      </c>
      <c r="M58" s="195" t="e">
        <f>'Imp Crude'!M39</f>
        <v>#REF!</v>
      </c>
      <c r="N58" s="195" t="e">
        <f>'Imp Crude'!N39</f>
        <v>#REF!</v>
      </c>
      <c r="O58" s="195" t="e">
        <f>'Imp Crude'!O39</f>
        <v>#REF!</v>
      </c>
      <c r="P58" s="195" t="e">
        <f>'Imp Crude'!P39</f>
        <v>#REF!</v>
      </c>
      <c r="Q58" s="195" t="e">
        <f>'Imp Crude'!Q39</f>
        <v>#REF!</v>
      </c>
      <c r="R58" s="195" t="e">
        <f>'Imp Crude'!R39</f>
        <v>#REF!</v>
      </c>
      <c r="S58" s="195" t="e">
        <f>'Imp Crude'!S39</f>
        <v>#REF!</v>
      </c>
      <c r="T58" s="195" t="e">
        <f>'Imp Crude'!T39</f>
        <v>#REF!</v>
      </c>
      <c r="U58" s="195" t="e">
        <f>'Imp Crude'!U39</f>
        <v>#REF!</v>
      </c>
      <c r="V58" s="187"/>
      <c r="W58" s="187"/>
      <c r="X58" s="187">
        <f>'Imp Crude'!AE39</f>
        <v>424.26430225520011</v>
      </c>
      <c r="Y58" s="187">
        <f>'Imp Crude'!AF39</f>
        <v>454.15912204269654</v>
      </c>
      <c r="Z58" s="187"/>
      <c r="AA58" s="187"/>
      <c r="AB58" s="187"/>
      <c r="AC58" s="187"/>
      <c r="AD58" s="187"/>
      <c r="AE58" s="187"/>
      <c r="AF58" s="187"/>
      <c r="AG58" s="187"/>
      <c r="AH58" s="187"/>
      <c r="AI58" s="197"/>
      <c r="AJ58" s="197"/>
      <c r="BC58" s="147"/>
      <c r="BD58" s="147"/>
      <c r="BE58" s="147"/>
      <c r="BF58" s="147"/>
      <c r="BG58" s="147"/>
    </row>
    <row r="59" spans="2:59">
      <c r="B59" s="158" t="str">
        <f>Technologies!B52</f>
        <v>R1</v>
      </c>
      <c r="C59" s="158" t="str">
        <f>'Imp Crude'!B40</f>
        <v>IMPOILHH21</v>
      </c>
      <c r="D59" s="158" t="str">
        <f>'Imp Crude'!C40</f>
        <v>Imported Imported Oil-High Sulfur, Heavy G, PADD 2, Step 1</v>
      </c>
      <c r="E59" s="197" t="str">
        <f>'Imp Crude'!D40</f>
        <v>OILHH2</v>
      </c>
      <c r="F59" s="197">
        <v>1</v>
      </c>
      <c r="G59" s="197"/>
      <c r="H59" s="187"/>
      <c r="I59" s="197"/>
      <c r="J59" s="197">
        <v>1.0049999999999999</v>
      </c>
      <c r="K59" s="197">
        <v>1.0049999999999999</v>
      </c>
      <c r="L59" s="195">
        <f>'Imp Crude'!L40</f>
        <v>10.04718340401422</v>
      </c>
      <c r="M59" s="195" t="e">
        <f>'Imp Crude'!M40</f>
        <v>#REF!</v>
      </c>
      <c r="N59" s="195" t="e">
        <f>'Imp Crude'!N40</f>
        <v>#REF!</v>
      </c>
      <c r="O59" s="195" t="e">
        <f>'Imp Crude'!O40</f>
        <v>#REF!</v>
      </c>
      <c r="P59" s="195" t="e">
        <f>'Imp Crude'!P40</f>
        <v>#REF!</v>
      </c>
      <c r="Q59" s="195" t="e">
        <f>'Imp Crude'!Q40</f>
        <v>#REF!</v>
      </c>
      <c r="R59" s="195" t="e">
        <f>'Imp Crude'!R40</f>
        <v>#REF!</v>
      </c>
      <c r="S59" s="195" t="e">
        <f>'Imp Crude'!S40</f>
        <v>#REF!</v>
      </c>
      <c r="T59" s="195" t="e">
        <f>'Imp Crude'!T40</f>
        <v>#REF!</v>
      </c>
      <c r="U59" s="195" t="e">
        <f>'Imp Crude'!U40</f>
        <v>#REF!</v>
      </c>
      <c r="V59" s="187"/>
      <c r="W59" s="187"/>
      <c r="X59" s="187">
        <f>'Imp Crude'!AE40</f>
        <v>53.033037781899999</v>
      </c>
      <c r="Y59" s="187">
        <f>'Imp Crude'!AF40</f>
        <v>56.769890255337067</v>
      </c>
      <c r="Z59" s="187"/>
      <c r="AA59" s="187"/>
      <c r="AB59" s="187"/>
      <c r="AC59" s="187"/>
      <c r="AD59" s="187"/>
      <c r="AE59" s="187"/>
      <c r="AF59" s="187"/>
      <c r="AG59" s="187"/>
      <c r="AH59" s="187"/>
      <c r="AI59" s="197"/>
      <c r="AJ59" s="197"/>
      <c r="BC59" s="147"/>
      <c r="BD59" s="147"/>
      <c r="BE59" s="147"/>
      <c r="BF59" s="147"/>
      <c r="BG59" s="147"/>
    </row>
    <row r="60" spans="2:59">
      <c r="B60" s="158" t="str">
        <f>Technologies!B53</f>
        <v>R1</v>
      </c>
      <c r="C60" s="158" t="str">
        <f>'Imp Crude'!B41</f>
        <v>IMPOILHH22</v>
      </c>
      <c r="D60" s="158" t="str">
        <f>'Imp Crude'!C41</f>
        <v>Imported Imported Oil-High Sulfur, Heavy G, PADD 2, Step 2</v>
      </c>
      <c r="E60" s="197" t="str">
        <f>'Imp Crude'!D41</f>
        <v>OILHH2</v>
      </c>
      <c r="F60" s="197">
        <v>1</v>
      </c>
      <c r="G60" s="197"/>
      <c r="H60" s="187"/>
      <c r="I60" s="197"/>
      <c r="J60" s="197">
        <v>1.0049999999999999</v>
      </c>
      <c r="K60" s="197">
        <v>1.0049999999999999</v>
      </c>
      <c r="L60" s="195">
        <f>'Imp Crude'!L41</f>
        <v>10.605360259792784</v>
      </c>
      <c r="M60" s="195" t="e">
        <f>'Imp Crude'!M41</f>
        <v>#REF!</v>
      </c>
      <c r="N60" s="195" t="e">
        <f>'Imp Crude'!N41</f>
        <v>#REF!</v>
      </c>
      <c r="O60" s="195" t="e">
        <f>'Imp Crude'!O41</f>
        <v>#REF!</v>
      </c>
      <c r="P60" s="195" t="e">
        <f>'Imp Crude'!P41</f>
        <v>#REF!</v>
      </c>
      <c r="Q60" s="195" t="e">
        <f>'Imp Crude'!Q41</f>
        <v>#REF!</v>
      </c>
      <c r="R60" s="195" t="e">
        <f>'Imp Crude'!R41</f>
        <v>#REF!</v>
      </c>
      <c r="S60" s="195" t="e">
        <f>'Imp Crude'!S41</f>
        <v>#REF!</v>
      </c>
      <c r="T60" s="195" t="e">
        <f>'Imp Crude'!T41</f>
        <v>#REF!</v>
      </c>
      <c r="U60" s="195" t="e">
        <f>'Imp Crude'!U41</f>
        <v>#REF!</v>
      </c>
      <c r="V60" s="187"/>
      <c r="W60" s="187"/>
      <c r="X60" s="187">
        <f>'Imp Crude'!AE41</f>
        <v>53.033037781899999</v>
      </c>
      <c r="Y60" s="187">
        <f>'Imp Crude'!AF41</f>
        <v>56.769890255337067</v>
      </c>
      <c r="Z60" s="187"/>
      <c r="AA60" s="187"/>
      <c r="AB60" s="187"/>
      <c r="AC60" s="187"/>
      <c r="AD60" s="187"/>
      <c r="AE60" s="187"/>
      <c r="AF60" s="187"/>
      <c r="AG60" s="187"/>
      <c r="AH60" s="187"/>
      <c r="AI60" s="197"/>
      <c r="AJ60" s="197"/>
      <c r="BC60" s="147"/>
      <c r="BD60" s="147"/>
      <c r="BE60" s="147"/>
      <c r="BF60" s="147"/>
      <c r="BG60" s="147"/>
    </row>
    <row r="61" spans="2:59">
      <c r="B61" s="158" t="str">
        <f>Technologies!B54</f>
        <v>R1</v>
      </c>
      <c r="C61" s="158" t="str">
        <f>'Imp Crude'!B42</f>
        <v>IMPOILHH24</v>
      </c>
      <c r="D61" s="158" t="str">
        <f>'Imp Crude'!C42</f>
        <v>Imported Imported Oil-High Sulfur, Heavy G, PADD 2, Step 4</v>
      </c>
      <c r="E61" s="197" t="str">
        <f>'Imp Crude'!D42</f>
        <v>OILHH2</v>
      </c>
      <c r="F61" s="197">
        <v>1</v>
      </c>
      <c r="G61" s="197"/>
      <c r="H61" s="187"/>
      <c r="I61" s="197"/>
      <c r="J61" s="197">
        <v>1.0049999999999999</v>
      </c>
      <c r="K61" s="197">
        <v>1.0049999999999999</v>
      </c>
      <c r="L61" s="195">
        <f>'Imp Crude'!L42</f>
        <v>11.721713971349921</v>
      </c>
      <c r="M61" s="195" t="e">
        <f>'Imp Crude'!M42</f>
        <v>#REF!</v>
      </c>
      <c r="N61" s="195" t="e">
        <f>'Imp Crude'!N42</f>
        <v>#REF!</v>
      </c>
      <c r="O61" s="195" t="e">
        <f>'Imp Crude'!O42</f>
        <v>#REF!</v>
      </c>
      <c r="P61" s="195" t="e">
        <f>'Imp Crude'!P42</f>
        <v>#REF!</v>
      </c>
      <c r="Q61" s="195" t="e">
        <f>'Imp Crude'!Q42</f>
        <v>#REF!</v>
      </c>
      <c r="R61" s="195" t="e">
        <f>'Imp Crude'!R42</f>
        <v>#REF!</v>
      </c>
      <c r="S61" s="195" t="e">
        <f>'Imp Crude'!S42</f>
        <v>#REF!</v>
      </c>
      <c r="T61" s="195" t="e">
        <f>'Imp Crude'!T42</f>
        <v>#REF!</v>
      </c>
      <c r="U61" s="195" t="e">
        <f>'Imp Crude'!U42</f>
        <v>#REF!</v>
      </c>
      <c r="V61" s="187"/>
      <c r="W61" s="187"/>
      <c r="X61" s="187">
        <f>'Imp Crude'!AE42</f>
        <v>106.06607556379981</v>
      </c>
      <c r="Y61" s="187">
        <f>'Imp Crude'!AF42</f>
        <v>113.53978051067418</v>
      </c>
      <c r="Z61" s="187"/>
      <c r="AA61" s="187"/>
      <c r="AB61" s="187"/>
      <c r="AC61" s="187"/>
      <c r="AD61" s="187"/>
      <c r="AE61" s="187"/>
      <c r="AF61" s="187"/>
      <c r="AG61" s="187"/>
      <c r="AH61" s="187"/>
      <c r="AI61" s="197"/>
      <c r="AJ61" s="197"/>
      <c r="BC61" s="147"/>
      <c r="BD61" s="147"/>
      <c r="BE61" s="147"/>
      <c r="BF61" s="147"/>
      <c r="BG61" s="147"/>
    </row>
    <row r="62" spans="2:59">
      <c r="B62" s="158" t="str">
        <f>Technologies!B55</f>
        <v>R1</v>
      </c>
      <c r="C62" s="158" t="str">
        <f>'Imp Crude'!B43</f>
        <v>IMPOILHH25</v>
      </c>
      <c r="D62" s="158" t="str">
        <f>'Imp Crude'!C43</f>
        <v>Imported Imported Oil-High Sulfur, Heavy G, PADD 2, Step 5</v>
      </c>
      <c r="E62" s="197" t="str">
        <f>'Imp Crude'!D43</f>
        <v>OILHH2</v>
      </c>
      <c r="F62" s="197">
        <v>1</v>
      </c>
      <c r="G62" s="197"/>
      <c r="H62" s="187"/>
      <c r="I62" s="197"/>
      <c r="J62" s="197">
        <v>1.0049999999999999</v>
      </c>
      <c r="K62" s="197">
        <v>1.0049999999999999</v>
      </c>
      <c r="L62" s="195">
        <f>'Imp Crude'!L43</f>
        <v>14.512598250242762</v>
      </c>
      <c r="M62" s="195" t="e">
        <f>'Imp Crude'!M43</f>
        <v>#REF!</v>
      </c>
      <c r="N62" s="195" t="e">
        <f>'Imp Crude'!N43</f>
        <v>#REF!</v>
      </c>
      <c r="O62" s="195" t="e">
        <f>'Imp Crude'!O43</f>
        <v>#REF!</v>
      </c>
      <c r="P62" s="195" t="e">
        <f>'Imp Crude'!P43</f>
        <v>#REF!</v>
      </c>
      <c r="Q62" s="195" t="e">
        <f>'Imp Crude'!Q43</f>
        <v>#REF!</v>
      </c>
      <c r="R62" s="195" t="e">
        <f>'Imp Crude'!R43</f>
        <v>#REF!</v>
      </c>
      <c r="S62" s="195" t="e">
        <f>'Imp Crude'!S43</f>
        <v>#REF!</v>
      </c>
      <c r="T62" s="195" t="e">
        <f>'Imp Crude'!T43</f>
        <v>#REF!</v>
      </c>
      <c r="U62" s="195" t="e">
        <f>'Imp Crude'!U43</f>
        <v>#REF!</v>
      </c>
      <c r="V62" s="187"/>
      <c r="W62" s="187"/>
      <c r="X62" s="187">
        <f>'Imp Crude'!AE43</f>
        <v>53.033037781900134</v>
      </c>
      <c r="Y62" s="187">
        <f>'Imp Crude'!AF43</f>
        <v>56.769890255336918</v>
      </c>
      <c r="Z62" s="187"/>
      <c r="AA62" s="187"/>
      <c r="AB62" s="187"/>
      <c r="AC62" s="187"/>
      <c r="AD62" s="187"/>
      <c r="AE62" s="187"/>
      <c r="AF62" s="187"/>
      <c r="AG62" s="187"/>
      <c r="AH62" s="187"/>
      <c r="AI62" s="197"/>
      <c r="AJ62" s="197"/>
      <c r="BC62" s="147"/>
      <c r="BD62" s="147"/>
      <c r="BE62" s="147"/>
      <c r="BF62" s="147"/>
      <c r="BG62" s="147"/>
    </row>
    <row r="63" spans="2:59">
      <c r="B63" s="158" t="str">
        <f>Technologies!B56</f>
        <v>R1</v>
      </c>
      <c r="C63" s="158" t="str">
        <f>'Imp Crude'!B44</f>
        <v>IMPOILHL23</v>
      </c>
      <c r="D63" s="158" t="str">
        <f>'Imp Crude'!C44</f>
        <v>Imported Imported Oil-High Sulfur, Low G, PADD 2, Step 3</v>
      </c>
      <c r="E63" s="197" t="str">
        <f>'Imp Crude'!D44</f>
        <v>OILHL2</v>
      </c>
      <c r="F63" s="197">
        <v>1</v>
      </c>
      <c r="G63" s="197"/>
      <c r="H63" s="187"/>
      <c r="I63" s="197"/>
      <c r="J63" s="197">
        <v>1.0049999999999999</v>
      </c>
      <c r="K63" s="197">
        <v>1.0049999999999999</v>
      </c>
      <c r="L63" s="195">
        <f>'Imp Crude'!L44</f>
        <v>12.073158658321612</v>
      </c>
      <c r="M63" s="195" t="e">
        <f>'Imp Crude'!M44</f>
        <v>#REF!</v>
      </c>
      <c r="N63" s="195" t="e">
        <f>'Imp Crude'!N44</f>
        <v>#REF!</v>
      </c>
      <c r="O63" s="195" t="e">
        <f>'Imp Crude'!O44</f>
        <v>#REF!</v>
      </c>
      <c r="P63" s="195" t="e">
        <f>'Imp Crude'!P44</f>
        <v>#REF!</v>
      </c>
      <c r="Q63" s="195" t="e">
        <f>'Imp Crude'!Q44</f>
        <v>#REF!</v>
      </c>
      <c r="R63" s="195" t="e">
        <f>'Imp Crude'!R44</f>
        <v>#REF!</v>
      </c>
      <c r="S63" s="195" t="e">
        <f>'Imp Crude'!S44</f>
        <v>#REF!</v>
      </c>
      <c r="T63" s="195" t="e">
        <f>'Imp Crude'!T44</f>
        <v>#REF!</v>
      </c>
      <c r="U63" s="195" t="e">
        <f>'Imp Crude'!U44</f>
        <v>#REF!</v>
      </c>
      <c r="V63" s="187"/>
      <c r="W63" s="187"/>
      <c r="X63" s="187">
        <f>'Imp Crude'!AE44</f>
        <v>276.11265328962531</v>
      </c>
      <c r="Y63" s="187">
        <f>'Imp Crude'!AF44</f>
        <v>221.25891853935906</v>
      </c>
      <c r="Z63" s="187"/>
      <c r="AA63" s="187"/>
      <c r="AB63" s="187"/>
      <c r="AC63" s="187"/>
      <c r="AD63" s="187"/>
      <c r="AE63" s="187"/>
      <c r="AF63" s="187"/>
      <c r="AG63" s="187"/>
      <c r="AH63" s="187"/>
      <c r="AI63" s="197"/>
      <c r="AJ63" s="197"/>
      <c r="BC63" s="147"/>
      <c r="BD63" s="147"/>
      <c r="BE63" s="147"/>
      <c r="BF63" s="147"/>
      <c r="BG63" s="147"/>
    </row>
    <row r="64" spans="2:59">
      <c r="B64" s="158" t="str">
        <f>Technologies!B57</f>
        <v>R1</v>
      </c>
      <c r="C64" s="158" t="str">
        <f>'Imp Crude'!B45</f>
        <v>IMPOILHL21</v>
      </c>
      <c r="D64" s="158" t="str">
        <f>'Imp Crude'!C45</f>
        <v>Imported Imported Oil-High Sulfur, Low G, PADD 2, Step 1</v>
      </c>
      <c r="E64" s="197" t="str">
        <f>'Imp Crude'!D45</f>
        <v>OILHL2</v>
      </c>
      <c r="F64" s="197">
        <v>1</v>
      </c>
      <c r="G64" s="197"/>
      <c r="H64" s="187"/>
      <c r="I64" s="197"/>
      <c r="J64" s="197">
        <v>1.0049999999999999</v>
      </c>
      <c r="K64" s="197">
        <v>1.0049999999999999</v>
      </c>
      <c r="L64" s="195">
        <f>'Imp Crude'!L45</f>
        <v>10.865842792489451</v>
      </c>
      <c r="M64" s="195" t="e">
        <f>'Imp Crude'!M45</f>
        <v>#REF!</v>
      </c>
      <c r="N64" s="195" t="e">
        <f>'Imp Crude'!N45</f>
        <v>#REF!</v>
      </c>
      <c r="O64" s="195" t="e">
        <f>'Imp Crude'!O45</f>
        <v>#REF!</v>
      </c>
      <c r="P64" s="195" t="e">
        <f>'Imp Crude'!P45</f>
        <v>#REF!</v>
      </c>
      <c r="Q64" s="195" t="e">
        <f>'Imp Crude'!Q45</f>
        <v>#REF!</v>
      </c>
      <c r="R64" s="195" t="e">
        <f>'Imp Crude'!R45</f>
        <v>#REF!</v>
      </c>
      <c r="S64" s="195" t="e">
        <f>'Imp Crude'!S45</f>
        <v>#REF!</v>
      </c>
      <c r="T64" s="195" t="e">
        <f>'Imp Crude'!T45</f>
        <v>#REF!</v>
      </c>
      <c r="U64" s="195" t="e">
        <f>'Imp Crude'!U45</f>
        <v>#REF!</v>
      </c>
      <c r="V64" s="187"/>
      <c r="W64" s="187"/>
      <c r="X64" s="187">
        <f>'Imp Crude'!AE45</f>
        <v>34.514081661203164</v>
      </c>
      <c r="Y64" s="187">
        <f>'Imp Crude'!AF45</f>
        <v>27.657364817419879</v>
      </c>
      <c r="Z64" s="187"/>
      <c r="AA64" s="187"/>
      <c r="AB64" s="187"/>
      <c r="AC64" s="187"/>
      <c r="AD64" s="187"/>
      <c r="AE64" s="187"/>
      <c r="AF64" s="187"/>
      <c r="AG64" s="187"/>
      <c r="AH64" s="187"/>
      <c r="AI64" s="197"/>
      <c r="AJ64" s="197"/>
      <c r="BC64" s="147"/>
      <c r="BD64" s="147"/>
      <c r="BE64" s="147"/>
      <c r="BF64" s="147"/>
      <c r="BG64" s="147"/>
    </row>
    <row r="65" spans="2:59">
      <c r="B65" s="158" t="str">
        <f>Technologies!B58</f>
        <v>R1</v>
      </c>
      <c r="C65" s="158" t="str">
        <f>'Imp Crude'!B46</f>
        <v>IMPOILHL22</v>
      </c>
      <c r="D65" s="158" t="str">
        <f>'Imp Crude'!C46</f>
        <v>Imported Imported Oil-High Sulfur, Low G, PADD 2, Step 2</v>
      </c>
      <c r="E65" s="197" t="str">
        <f>'Imp Crude'!D46</f>
        <v>OILHL2</v>
      </c>
      <c r="F65" s="197">
        <v>1</v>
      </c>
      <c r="G65" s="197"/>
      <c r="H65" s="187"/>
      <c r="I65" s="197"/>
      <c r="J65" s="197">
        <v>1.0049999999999999</v>
      </c>
      <c r="K65" s="197">
        <v>1.0049999999999999</v>
      </c>
      <c r="L65" s="195">
        <f>'Imp Crude'!L46</f>
        <v>11.469500725405531</v>
      </c>
      <c r="M65" s="195" t="e">
        <f>'Imp Crude'!M46</f>
        <v>#REF!</v>
      </c>
      <c r="N65" s="195" t="e">
        <f>'Imp Crude'!N46</f>
        <v>#REF!</v>
      </c>
      <c r="O65" s="195" t="e">
        <f>'Imp Crude'!O46</f>
        <v>#REF!</v>
      </c>
      <c r="P65" s="195" t="e">
        <f>'Imp Crude'!P46</f>
        <v>#REF!</v>
      </c>
      <c r="Q65" s="195" t="e">
        <f>'Imp Crude'!Q46</f>
        <v>#REF!</v>
      </c>
      <c r="R65" s="195" t="e">
        <f>'Imp Crude'!R46</f>
        <v>#REF!</v>
      </c>
      <c r="S65" s="195" t="e">
        <f>'Imp Crude'!S46</f>
        <v>#REF!</v>
      </c>
      <c r="T65" s="195" t="e">
        <f>'Imp Crude'!T46</f>
        <v>#REF!</v>
      </c>
      <c r="U65" s="195" t="e">
        <f>'Imp Crude'!U46</f>
        <v>#REF!</v>
      </c>
      <c r="V65" s="187"/>
      <c r="W65" s="187"/>
      <c r="X65" s="187">
        <f>'Imp Crude'!AE46</f>
        <v>34.514081661203164</v>
      </c>
      <c r="Y65" s="187">
        <f>'Imp Crude'!AF46</f>
        <v>27.657364817419879</v>
      </c>
      <c r="Z65" s="187"/>
      <c r="AA65" s="187"/>
      <c r="AB65" s="187"/>
      <c r="AC65" s="187"/>
      <c r="AD65" s="187"/>
      <c r="AE65" s="187"/>
      <c r="AF65" s="187"/>
      <c r="AG65" s="187"/>
      <c r="AH65" s="187"/>
      <c r="AI65" s="197"/>
      <c r="AJ65" s="197"/>
      <c r="BC65" s="147"/>
      <c r="BD65" s="147"/>
      <c r="BE65" s="147"/>
      <c r="BF65" s="147"/>
      <c r="BG65" s="147"/>
    </row>
    <row r="66" spans="2:59">
      <c r="B66" s="158" t="str">
        <f>Technologies!B59</f>
        <v>R1</v>
      </c>
      <c r="C66" s="158" t="str">
        <f>'Imp Crude'!B47</f>
        <v>IMPOILHL24</v>
      </c>
      <c r="D66" s="158" t="str">
        <f>'Imp Crude'!C47</f>
        <v>Imported Imported Oil-High Sulfur, Low G, PADD 2, Step 4</v>
      </c>
      <c r="E66" s="197" t="str">
        <f>'Imp Crude'!D47</f>
        <v>OILHL2</v>
      </c>
      <c r="F66" s="197">
        <v>1</v>
      </c>
      <c r="G66" s="197"/>
      <c r="H66" s="187"/>
      <c r="I66" s="197"/>
      <c r="J66" s="197">
        <v>1.0049999999999999</v>
      </c>
      <c r="K66" s="197">
        <v>1.0049999999999999</v>
      </c>
      <c r="L66" s="195">
        <f>'Imp Crude'!L47</f>
        <v>12.676816591237694</v>
      </c>
      <c r="M66" s="195" t="e">
        <f>'Imp Crude'!M47</f>
        <v>#REF!</v>
      </c>
      <c r="N66" s="195" t="e">
        <f>'Imp Crude'!N47</f>
        <v>#REF!</v>
      </c>
      <c r="O66" s="195" t="e">
        <f>'Imp Crude'!O47</f>
        <v>#REF!</v>
      </c>
      <c r="P66" s="195" t="e">
        <f>'Imp Crude'!P47</f>
        <v>#REF!</v>
      </c>
      <c r="Q66" s="195" t="e">
        <f>'Imp Crude'!Q47</f>
        <v>#REF!</v>
      </c>
      <c r="R66" s="195" t="e">
        <f>'Imp Crude'!R47</f>
        <v>#REF!</v>
      </c>
      <c r="S66" s="195" t="e">
        <f>'Imp Crude'!S47</f>
        <v>#REF!</v>
      </c>
      <c r="T66" s="195" t="e">
        <f>'Imp Crude'!T47</f>
        <v>#REF!</v>
      </c>
      <c r="U66" s="195" t="e">
        <f>'Imp Crude'!U47</f>
        <v>#REF!</v>
      </c>
      <c r="V66" s="187"/>
      <c r="W66" s="187"/>
      <c r="X66" s="187">
        <f>'Imp Crude'!AE47</f>
        <v>69.028163322406328</v>
      </c>
      <c r="Y66" s="187">
        <f>'Imp Crude'!AF47</f>
        <v>55.31472963483975</v>
      </c>
      <c r="Z66" s="187"/>
      <c r="AA66" s="187"/>
      <c r="AB66" s="187"/>
      <c r="AC66" s="187"/>
      <c r="AD66" s="187"/>
      <c r="AE66" s="187"/>
      <c r="AF66" s="187"/>
      <c r="AG66" s="187"/>
      <c r="AH66" s="187"/>
      <c r="AI66" s="197"/>
      <c r="AJ66" s="197"/>
      <c r="BC66" s="147"/>
      <c r="BD66" s="147"/>
      <c r="BE66" s="147"/>
      <c r="BF66" s="147"/>
      <c r="BG66" s="147"/>
    </row>
    <row r="67" spans="2:59">
      <c r="B67" s="158" t="str">
        <f>Technologies!B60</f>
        <v>R1</v>
      </c>
      <c r="C67" s="158" t="str">
        <f>'Imp Crude'!B48</f>
        <v>IMPOILHL25</v>
      </c>
      <c r="D67" s="158" t="str">
        <f>'Imp Crude'!C48</f>
        <v>Imported Imported Oil-High Sulfur, Low G, PADD 2, Step 5</v>
      </c>
      <c r="E67" s="197" t="str">
        <f>'Imp Crude'!D48</f>
        <v>OILHL2</v>
      </c>
      <c r="F67" s="197">
        <v>1</v>
      </c>
      <c r="G67" s="197"/>
      <c r="H67" s="187"/>
      <c r="I67" s="197"/>
      <c r="J67" s="197">
        <v>1.0049999999999999</v>
      </c>
      <c r="K67" s="197">
        <v>1.0049999999999999</v>
      </c>
      <c r="L67" s="195">
        <f>'Imp Crude'!L48</f>
        <v>15.695106255818095</v>
      </c>
      <c r="M67" s="195" t="e">
        <f>'Imp Crude'!M48</f>
        <v>#REF!</v>
      </c>
      <c r="N67" s="195" t="e">
        <f>'Imp Crude'!N48</f>
        <v>#REF!</v>
      </c>
      <c r="O67" s="195" t="e">
        <f>'Imp Crude'!O48</f>
        <v>#REF!</v>
      </c>
      <c r="P67" s="195" t="e">
        <f>'Imp Crude'!P48</f>
        <v>#REF!</v>
      </c>
      <c r="Q67" s="195" t="e">
        <f>'Imp Crude'!Q48</f>
        <v>#REF!</v>
      </c>
      <c r="R67" s="195" t="e">
        <f>'Imp Crude'!R48</f>
        <v>#REF!</v>
      </c>
      <c r="S67" s="195" t="e">
        <f>'Imp Crude'!S48</f>
        <v>#REF!</v>
      </c>
      <c r="T67" s="195" t="e">
        <f>'Imp Crude'!T48</f>
        <v>#REF!</v>
      </c>
      <c r="U67" s="195" t="e">
        <f>'Imp Crude'!U48</f>
        <v>#REF!</v>
      </c>
      <c r="V67" s="187"/>
      <c r="W67" s="187"/>
      <c r="X67" s="187">
        <f>'Imp Crude'!AE48</f>
        <v>34.514081661203079</v>
      </c>
      <c r="Y67" s="187">
        <f>'Imp Crude'!AF48</f>
        <v>27.657364817419932</v>
      </c>
      <c r="Z67" s="187"/>
      <c r="AA67" s="187"/>
      <c r="AB67" s="187"/>
      <c r="AC67" s="187"/>
      <c r="AD67" s="187"/>
      <c r="AE67" s="187"/>
      <c r="AF67" s="187"/>
      <c r="AG67" s="187"/>
      <c r="AH67" s="187"/>
      <c r="AI67" s="197"/>
      <c r="AJ67" s="197"/>
      <c r="BC67" s="147"/>
      <c r="BD67" s="147"/>
      <c r="BE67" s="147"/>
      <c r="BF67" s="147"/>
      <c r="BG67" s="147"/>
    </row>
    <row r="68" spans="2:59">
      <c r="B68" s="158" t="str">
        <f>Technologies!B61</f>
        <v>R1</v>
      </c>
      <c r="C68" s="158" t="str">
        <f>'Imp Crude'!B49</f>
        <v>IMPOILHV23</v>
      </c>
      <c r="D68" s="158" t="str">
        <f>'Imp Crude'!C49</f>
        <v>Imported Imported Oil-High Sulfur, Very HG, PADD 2, Step 3</v>
      </c>
      <c r="E68" s="197" t="str">
        <f>'Imp Crude'!D49</f>
        <v>OILHV2</v>
      </c>
      <c r="F68" s="197">
        <v>1</v>
      </c>
      <c r="G68" s="197"/>
      <c r="H68" s="187"/>
      <c r="I68" s="197"/>
      <c r="J68" s="197">
        <v>1.0049999999999999</v>
      </c>
      <c r="K68" s="197">
        <v>1.0049999999999999</v>
      </c>
      <c r="L68" s="195">
        <f>'Imp Crude'!L49</f>
        <v>11.064305674544054</v>
      </c>
      <c r="M68" s="195" t="e">
        <f>'Imp Crude'!M49</f>
        <v>#REF!</v>
      </c>
      <c r="N68" s="195" t="e">
        <f>'Imp Crude'!N49</f>
        <v>#REF!</v>
      </c>
      <c r="O68" s="195" t="e">
        <f>'Imp Crude'!O49</f>
        <v>#REF!</v>
      </c>
      <c r="P68" s="195" t="e">
        <f>'Imp Crude'!P49</f>
        <v>#REF!</v>
      </c>
      <c r="Q68" s="195" t="e">
        <f>'Imp Crude'!Q49</f>
        <v>#REF!</v>
      </c>
      <c r="R68" s="195" t="e">
        <f>'Imp Crude'!R49</f>
        <v>#REF!</v>
      </c>
      <c r="S68" s="195" t="e">
        <f>'Imp Crude'!S49</f>
        <v>#REF!</v>
      </c>
      <c r="T68" s="195" t="e">
        <f>'Imp Crude'!T49</f>
        <v>#REF!</v>
      </c>
      <c r="U68" s="195" t="e">
        <f>'Imp Crude'!U49</f>
        <v>#REF!</v>
      </c>
      <c r="V68" s="187"/>
      <c r="W68" s="187"/>
      <c r="X68" s="187">
        <f>'Imp Crude'!AE49</f>
        <v>1086.6999818454267</v>
      </c>
      <c r="Y68" s="187">
        <f>'Imp Crude'!AF49</f>
        <v>1302.1661969867105</v>
      </c>
      <c r="Z68" s="187"/>
      <c r="AA68" s="187"/>
      <c r="AB68" s="187"/>
      <c r="AC68" s="187"/>
      <c r="AD68" s="187"/>
      <c r="AE68" s="187"/>
      <c r="AF68" s="187"/>
      <c r="AG68" s="187"/>
      <c r="AH68" s="187"/>
      <c r="AI68" s="197"/>
      <c r="AJ68" s="197"/>
      <c r="BC68" s="147"/>
      <c r="BD68" s="147"/>
      <c r="BE68" s="147"/>
      <c r="BF68" s="147"/>
      <c r="BG68" s="147"/>
    </row>
    <row r="69" spans="2:59">
      <c r="B69" s="158" t="str">
        <f>Technologies!B62</f>
        <v>R1</v>
      </c>
      <c r="C69" s="158" t="str">
        <f>'Imp Crude'!B50</f>
        <v>IMPOILHV21</v>
      </c>
      <c r="D69" s="158" t="str">
        <f>'Imp Crude'!C50</f>
        <v>Imported Imported Oil-High Sulfur, Very HG, PADD 2, Step 1</v>
      </c>
      <c r="E69" s="197" t="str">
        <f>'Imp Crude'!D50</f>
        <v>OILHV2</v>
      </c>
      <c r="F69" s="197">
        <v>1</v>
      </c>
      <c r="G69" s="197"/>
      <c r="H69" s="187"/>
      <c r="I69" s="197"/>
      <c r="J69" s="197">
        <v>1.0049999999999999</v>
      </c>
      <c r="K69" s="197">
        <v>1.0049999999999999</v>
      </c>
      <c r="L69" s="195">
        <f>'Imp Crude'!L50</f>
        <v>9.9578751070896452</v>
      </c>
      <c r="M69" s="195" t="e">
        <f>'Imp Crude'!M50</f>
        <v>#REF!</v>
      </c>
      <c r="N69" s="195" t="e">
        <f>'Imp Crude'!N50</f>
        <v>#REF!</v>
      </c>
      <c r="O69" s="195" t="e">
        <f>'Imp Crude'!O50</f>
        <v>#REF!</v>
      </c>
      <c r="P69" s="195" t="e">
        <f>'Imp Crude'!P50</f>
        <v>#REF!</v>
      </c>
      <c r="Q69" s="195" t="e">
        <f>'Imp Crude'!Q50</f>
        <v>#REF!</v>
      </c>
      <c r="R69" s="195" t="e">
        <f>'Imp Crude'!R50</f>
        <v>#REF!</v>
      </c>
      <c r="S69" s="195" t="e">
        <f>'Imp Crude'!S50</f>
        <v>#REF!</v>
      </c>
      <c r="T69" s="195" t="e">
        <f>'Imp Crude'!T50</f>
        <v>#REF!</v>
      </c>
      <c r="U69" s="195" t="e">
        <f>'Imp Crude'!U50</f>
        <v>#REF!</v>
      </c>
      <c r="V69" s="187"/>
      <c r="W69" s="187"/>
      <c r="X69" s="187">
        <f>'Imp Crude'!AE50</f>
        <v>135.83749773067834</v>
      </c>
      <c r="Y69" s="187">
        <f>'Imp Crude'!AF50</f>
        <v>162.77077462333878</v>
      </c>
      <c r="Z69" s="187"/>
      <c r="AA69" s="187"/>
      <c r="AB69" s="187"/>
      <c r="AC69" s="187"/>
      <c r="AD69" s="187"/>
      <c r="AE69" s="187"/>
      <c r="AF69" s="187"/>
      <c r="AG69" s="187"/>
      <c r="AH69" s="187"/>
      <c r="AI69" s="197"/>
      <c r="AJ69" s="197"/>
      <c r="BC69" s="147"/>
      <c r="BD69" s="147"/>
      <c r="BE69" s="147"/>
      <c r="BF69" s="147"/>
      <c r="BG69" s="147"/>
    </row>
    <row r="70" spans="2:59">
      <c r="B70" s="158" t="str">
        <f>Technologies!B63</f>
        <v>R1</v>
      </c>
      <c r="C70" s="158" t="str">
        <f>'Imp Crude'!B51</f>
        <v>IMPOILHV22</v>
      </c>
      <c r="D70" s="158" t="str">
        <f>'Imp Crude'!C51</f>
        <v>Imported Imported Oil-High Sulfur, Very HG, PADD 2, Step 2</v>
      </c>
      <c r="E70" s="197" t="str">
        <f>'Imp Crude'!D51</f>
        <v>OILHV2</v>
      </c>
      <c r="F70" s="197">
        <v>1</v>
      </c>
      <c r="G70" s="197"/>
      <c r="H70" s="187"/>
      <c r="I70" s="197"/>
      <c r="J70" s="197">
        <v>1.0049999999999999</v>
      </c>
      <c r="K70" s="197">
        <v>1.0049999999999999</v>
      </c>
      <c r="L70" s="195">
        <f>'Imp Crude'!L51</f>
        <v>10.511090390816848</v>
      </c>
      <c r="M70" s="195" t="e">
        <f>'Imp Crude'!M51</f>
        <v>#REF!</v>
      </c>
      <c r="N70" s="195" t="e">
        <f>'Imp Crude'!N51</f>
        <v>#REF!</v>
      </c>
      <c r="O70" s="195" t="e">
        <f>'Imp Crude'!O51</f>
        <v>#REF!</v>
      </c>
      <c r="P70" s="195" t="e">
        <f>'Imp Crude'!P51</f>
        <v>#REF!</v>
      </c>
      <c r="Q70" s="195" t="e">
        <f>'Imp Crude'!Q51</f>
        <v>#REF!</v>
      </c>
      <c r="R70" s="195" t="e">
        <f>'Imp Crude'!R51</f>
        <v>#REF!</v>
      </c>
      <c r="S70" s="195" t="e">
        <f>'Imp Crude'!S51</f>
        <v>#REF!</v>
      </c>
      <c r="T70" s="195" t="e">
        <f>'Imp Crude'!T51</f>
        <v>#REF!</v>
      </c>
      <c r="U70" s="195" t="e">
        <f>'Imp Crude'!U51</f>
        <v>#REF!</v>
      </c>
      <c r="V70" s="187"/>
      <c r="W70" s="187"/>
      <c r="X70" s="187">
        <f>'Imp Crude'!AE51</f>
        <v>135.83749773067834</v>
      </c>
      <c r="Y70" s="187">
        <f>'Imp Crude'!AF51</f>
        <v>162.77077462333878</v>
      </c>
      <c r="Z70" s="187"/>
      <c r="AA70" s="187"/>
      <c r="AB70" s="187"/>
      <c r="AC70" s="187"/>
      <c r="AD70" s="187"/>
      <c r="AE70" s="187"/>
      <c r="AF70" s="187"/>
      <c r="AG70" s="187"/>
      <c r="AH70" s="187"/>
      <c r="AI70" s="197"/>
      <c r="AJ70" s="197"/>
      <c r="BC70" s="147"/>
      <c r="BD70" s="147"/>
      <c r="BE70" s="147"/>
      <c r="BF70" s="147"/>
      <c r="BG70" s="147"/>
    </row>
    <row r="71" spans="2:59">
      <c r="B71" s="158" t="str">
        <f>Technologies!B64</f>
        <v>R1</v>
      </c>
      <c r="C71" s="158" t="str">
        <f>'Imp Crude'!B52</f>
        <v>IMPOILHV24</v>
      </c>
      <c r="D71" s="158" t="str">
        <f>'Imp Crude'!C52</f>
        <v>Imported Imported Oil-High Sulfur, Very HG, PADD 2, Step 4</v>
      </c>
      <c r="E71" s="197" t="str">
        <f>'Imp Crude'!D52</f>
        <v>OILHV2</v>
      </c>
      <c r="F71" s="197">
        <v>1</v>
      </c>
      <c r="G71" s="197"/>
      <c r="H71" s="187"/>
      <c r="I71" s="197"/>
      <c r="J71" s="197">
        <v>1.0049999999999999</v>
      </c>
      <c r="K71" s="197">
        <v>1.0049999999999999</v>
      </c>
      <c r="L71" s="195">
        <f>'Imp Crude'!L52</f>
        <v>11.617520958271253</v>
      </c>
      <c r="M71" s="195" t="e">
        <f>'Imp Crude'!M52</f>
        <v>#REF!</v>
      </c>
      <c r="N71" s="195" t="e">
        <f>'Imp Crude'!N52</f>
        <v>#REF!</v>
      </c>
      <c r="O71" s="195" t="e">
        <f>'Imp Crude'!O52</f>
        <v>#REF!</v>
      </c>
      <c r="P71" s="195" t="e">
        <f>'Imp Crude'!P52</f>
        <v>#REF!</v>
      </c>
      <c r="Q71" s="195" t="e">
        <f>'Imp Crude'!Q52</f>
        <v>#REF!</v>
      </c>
      <c r="R71" s="195" t="e">
        <f>'Imp Crude'!R52</f>
        <v>#REF!</v>
      </c>
      <c r="S71" s="195" t="e">
        <f>'Imp Crude'!S52</f>
        <v>#REF!</v>
      </c>
      <c r="T71" s="195" t="e">
        <f>'Imp Crude'!T52</f>
        <v>#REF!</v>
      </c>
      <c r="U71" s="195" t="e">
        <f>'Imp Crude'!U52</f>
        <v>#REF!</v>
      </c>
      <c r="V71" s="187"/>
      <c r="W71" s="187"/>
      <c r="X71" s="187">
        <f>'Imp Crude'!AE52</f>
        <v>271.67499546135627</v>
      </c>
      <c r="Y71" s="187">
        <f>'Imp Crude'!AF52</f>
        <v>325.54154924667773</v>
      </c>
      <c r="Z71" s="187"/>
      <c r="AA71" s="187"/>
      <c r="AB71" s="187"/>
      <c r="AC71" s="187"/>
      <c r="AD71" s="187"/>
      <c r="AE71" s="187"/>
      <c r="AF71" s="187"/>
      <c r="AG71" s="187"/>
      <c r="AH71" s="187"/>
      <c r="AI71" s="197"/>
      <c r="AJ71" s="197"/>
      <c r="BC71" s="147"/>
      <c r="BD71" s="147"/>
      <c r="BE71" s="147"/>
      <c r="BF71" s="147"/>
      <c r="BG71" s="147"/>
    </row>
    <row r="72" spans="2:59">
      <c r="B72" s="158" t="str">
        <f>Technologies!B65</f>
        <v>R1</v>
      </c>
      <c r="C72" s="158" t="str">
        <f>'Imp Crude'!B53</f>
        <v>IMPOILHV25</v>
      </c>
      <c r="D72" s="158" t="str">
        <f>'Imp Crude'!C53</f>
        <v>Imported Imported Oil-High Sulfur, Very HG, PADD 2, Step 5</v>
      </c>
      <c r="E72" s="197" t="str">
        <f>'Imp Crude'!D53</f>
        <v>OILHV2</v>
      </c>
      <c r="F72" s="197">
        <v>1</v>
      </c>
      <c r="G72" s="197"/>
      <c r="H72" s="187"/>
      <c r="I72" s="197"/>
      <c r="J72" s="197">
        <v>1.0049999999999999</v>
      </c>
      <c r="K72" s="197">
        <v>1.0049999999999999</v>
      </c>
      <c r="L72" s="195">
        <f>'Imp Crude'!L53</f>
        <v>14.383597376907268</v>
      </c>
      <c r="M72" s="195" t="e">
        <f>'Imp Crude'!M53</f>
        <v>#REF!</v>
      </c>
      <c r="N72" s="195" t="e">
        <f>'Imp Crude'!N53</f>
        <v>#REF!</v>
      </c>
      <c r="O72" s="195" t="e">
        <f>'Imp Crude'!O53</f>
        <v>#REF!</v>
      </c>
      <c r="P72" s="195" t="e">
        <f>'Imp Crude'!P53</f>
        <v>#REF!</v>
      </c>
      <c r="Q72" s="195" t="e">
        <f>'Imp Crude'!Q53</f>
        <v>#REF!</v>
      </c>
      <c r="R72" s="195" t="e">
        <f>'Imp Crude'!R53</f>
        <v>#REF!</v>
      </c>
      <c r="S72" s="195" t="e">
        <f>'Imp Crude'!S53</f>
        <v>#REF!</v>
      </c>
      <c r="T72" s="195" t="e">
        <f>'Imp Crude'!T53</f>
        <v>#REF!</v>
      </c>
      <c r="U72" s="195" t="e">
        <f>'Imp Crude'!U53</f>
        <v>#REF!</v>
      </c>
      <c r="V72" s="187"/>
      <c r="W72" s="187"/>
      <c r="X72" s="187">
        <f>'Imp Crude'!AE53</f>
        <v>135.83749773067871</v>
      </c>
      <c r="Y72" s="187">
        <f>'Imp Crude'!AF53</f>
        <v>162.77077462333841</v>
      </c>
      <c r="Z72" s="187"/>
      <c r="AA72" s="187"/>
      <c r="AB72" s="187"/>
      <c r="AC72" s="187"/>
      <c r="AD72" s="187"/>
      <c r="AE72" s="187"/>
      <c r="AF72" s="187"/>
      <c r="AG72" s="187"/>
      <c r="AH72" s="187"/>
      <c r="AI72" s="197"/>
      <c r="AJ72" s="197"/>
      <c r="BC72" s="147"/>
      <c r="BD72" s="147"/>
      <c r="BE72" s="147"/>
      <c r="BF72" s="147"/>
      <c r="BG72" s="147"/>
    </row>
    <row r="73" spans="2:59">
      <c r="B73" s="158" t="str">
        <f>Technologies!B66</f>
        <v>R1</v>
      </c>
      <c r="C73" s="158" t="str">
        <f>'Imp Crude'!B54</f>
        <v>IMPOILLL23</v>
      </c>
      <c r="D73" s="158" t="str">
        <f>'Imp Crude'!C54</f>
        <v>Imported Imported Oil-Low Sulfur, Low G, PADD 2, Step 3</v>
      </c>
      <c r="E73" s="197" t="str">
        <f>'Imp Crude'!D54</f>
        <v>OILLL2</v>
      </c>
      <c r="F73" s="197">
        <v>1</v>
      </c>
      <c r="G73" s="197"/>
      <c r="H73" s="187"/>
      <c r="I73" s="197"/>
      <c r="J73" s="197">
        <v>1.0049999999999999</v>
      </c>
      <c r="K73" s="197">
        <v>1.0049999999999999</v>
      </c>
      <c r="L73" s="195">
        <f>'Imp Crude'!L54</f>
        <v>14.669714698535982</v>
      </c>
      <c r="M73" s="195" t="e">
        <f>'Imp Crude'!M54</f>
        <v>#REF!</v>
      </c>
      <c r="N73" s="195" t="e">
        <f>'Imp Crude'!N54</f>
        <v>#REF!</v>
      </c>
      <c r="O73" s="195" t="e">
        <f>'Imp Crude'!O54</f>
        <v>#REF!</v>
      </c>
      <c r="P73" s="195" t="e">
        <f>'Imp Crude'!P54</f>
        <v>#REF!</v>
      </c>
      <c r="Q73" s="195" t="e">
        <f>'Imp Crude'!Q54</f>
        <v>#REF!</v>
      </c>
      <c r="R73" s="195" t="e">
        <f>'Imp Crude'!R54</f>
        <v>#REF!</v>
      </c>
      <c r="S73" s="195" t="e">
        <f>'Imp Crude'!S54</f>
        <v>#REF!</v>
      </c>
      <c r="T73" s="195" t="e">
        <f>'Imp Crude'!T54</f>
        <v>#REF!</v>
      </c>
      <c r="U73" s="195" t="e">
        <f>'Imp Crude'!U54</f>
        <v>#REF!</v>
      </c>
      <c r="V73" s="187"/>
      <c r="W73" s="187"/>
      <c r="X73" s="187">
        <f>'Imp Crude'!AE54</f>
        <v>698.23495911145324</v>
      </c>
      <c r="Y73" s="187">
        <f>'Imp Crude'!AF54</f>
        <v>689.05231353186718</v>
      </c>
      <c r="Z73" s="187"/>
      <c r="AA73" s="187"/>
      <c r="AB73" s="187"/>
      <c r="AC73" s="187"/>
      <c r="AD73" s="187"/>
      <c r="AE73" s="187"/>
      <c r="AF73" s="187"/>
      <c r="AG73" s="187"/>
      <c r="AH73" s="187"/>
      <c r="AI73" s="197"/>
      <c r="AJ73" s="197"/>
      <c r="BC73" s="147"/>
      <c r="BD73" s="147"/>
      <c r="BE73" s="147"/>
      <c r="BF73" s="147"/>
      <c r="BG73" s="147"/>
    </row>
    <row r="74" spans="2:59">
      <c r="B74" s="158" t="str">
        <f>Technologies!B67</f>
        <v>R1</v>
      </c>
      <c r="C74" s="158" t="str">
        <f>'Imp Crude'!B55</f>
        <v>IMPOILLL21</v>
      </c>
      <c r="D74" s="158" t="str">
        <f>'Imp Crude'!C55</f>
        <v>Imported Imported Oil-Low Sulfur, Low G, PADD 2, Step 1</v>
      </c>
      <c r="E74" s="197" t="str">
        <f>'Imp Crude'!D55</f>
        <v>OILLL2</v>
      </c>
      <c r="F74" s="197">
        <v>1</v>
      </c>
      <c r="G74" s="197"/>
      <c r="H74" s="187"/>
      <c r="I74" s="197"/>
      <c r="J74" s="197">
        <v>1.0049999999999999</v>
      </c>
      <c r="K74" s="197">
        <v>1.0049999999999999</v>
      </c>
      <c r="L74" s="195">
        <f>'Imp Crude'!L55</f>
        <v>13.202743228682387</v>
      </c>
      <c r="M74" s="195" t="e">
        <f>'Imp Crude'!M55</f>
        <v>#REF!</v>
      </c>
      <c r="N74" s="195" t="e">
        <f>'Imp Crude'!N55</f>
        <v>#REF!</v>
      </c>
      <c r="O74" s="195" t="e">
        <f>'Imp Crude'!O55</f>
        <v>#REF!</v>
      </c>
      <c r="P74" s="195" t="e">
        <f>'Imp Crude'!P55</f>
        <v>#REF!</v>
      </c>
      <c r="Q74" s="195" t="e">
        <f>'Imp Crude'!Q55</f>
        <v>#REF!</v>
      </c>
      <c r="R74" s="195" t="e">
        <f>'Imp Crude'!R55</f>
        <v>#REF!</v>
      </c>
      <c r="S74" s="195" t="e">
        <f>'Imp Crude'!S55</f>
        <v>#REF!</v>
      </c>
      <c r="T74" s="195" t="e">
        <f>'Imp Crude'!T55</f>
        <v>#REF!</v>
      </c>
      <c r="U74" s="195" t="e">
        <f>'Imp Crude'!U55</f>
        <v>#REF!</v>
      </c>
      <c r="V74" s="187"/>
      <c r="W74" s="187"/>
      <c r="X74" s="187">
        <f>'Imp Crude'!AE55</f>
        <v>87.279369888931654</v>
      </c>
      <c r="Y74" s="187">
        <f>'Imp Crude'!AF55</f>
        <v>86.13153919148337</v>
      </c>
      <c r="Z74" s="187"/>
      <c r="AA74" s="187"/>
      <c r="AB74" s="187"/>
      <c r="AC74" s="187"/>
      <c r="AD74" s="187"/>
      <c r="AE74" s="187"/>
      <c r="AF74" s="187"/>
      <c r="AG74" s="187"/>
      <c r="AH74" s="187"/>
      <c r="AI74" s="197"/>
      <c r="AJ74" s="197"/>
      <c r="BC74" s="147"/>
      <c r="BD74" s="147"/>
      <c r="BE74" s="147"/>
      <c r="BF74" s="147"/>
      <c r="BG74" s="147"/>
    </row>
    <row r="75" spans="2:59">
      <c r="B75" s="158" t="str">
        <f>Technologies!B68</f>
        <v>R1</v>
      </c>
      <c r="C75" s="158" t="str">
        <f>'Imp Crude'!B56</f>
        <v>IMPOILLL22</v>
      </c>
      <c r="D75" s="158" t="str">
        <f>'Imp Crude'!C56</f>
        <v>Imported Imported Oil-Low Sulfur, Low G, PADD 2, Step 2</v>
      </c>
      <c r="E75" s="197" t="str">
        <f>'Imp Crude'!D56</f>
        <v>OILLL2</v>
      </c>
      <c r="F75" s="197">
        <v>1</v>
      </c>
      <c r="G75" s="197"/>
      <c r="H75" s="187"/>
      <c r="I75" s="197"/>
      <c r="J75" s="197">
        <v>1.0049999999999999</v>
      </c>
      <c r="K75" s="197">
        <v>1.0049999999999999</v>
      </c>
      <c r="L75" s="195">
        <f>'Imp Crude'!L56</f>
        <v>13.936228963609183</v>
      </c>
      <c r="M75" s="195" t="e">
        <f>'Imp Crude'!M56</f>
        <v>#REF!</v>
      </c>
      <c r="N75" s="195" t="e">
        <f>'Imp Crude'!N56</f>
        <v>#REF!</v>
      </c>
      <c r="O75" s="195" t="e">
        <f>'Imp Crude'!O56</f>
        <v>#REF!</v>
      </c>
      <c r="P75" s="195" t="e">
        <f>'Imp Crude'!P56</f>
        <v>#REF!</v>
      </c>
      <c r="Q75" s="195" t="e">
        <f>'Imp Crude'!Q56</f>
        <v>#REF!</v>
      </c>
      <c r="R75" s="195" t="e">
        <f>'Imp Crude'!R56</f>
        <v>#REF!</v>
      </c>
      <c r="S75" s="195" t="e">
        <f>'Imp Crude'!S56</f>
        <v>#REF!</v>
      </c>
      <c r="T75" s="195" t="e">
        <f>'Imp Crude'!T56</f>
        <v>#REF!</v>
      </c>
      <c r="U75" s="195" t="e">
        <f>'Imp Crude'!U56</f>
        <v>#REF!</v>
      </c>
      <c r="V75" s="187"/>
      <c r="W75" s="187"/>
      <c r="X75" s="187">
        <f>'Imp Crude'!AE56</f>
        <v>87.279369888931654</v>
      </c>
      <c r="Y75" s="187">
        <f>'Imp Crude'!AF56</f>
        <v>86.13153919148337</v>
      </c>
      <c r="Z75" s="187"/>
      <c r="AA75" s="187"/>
      <c r="AB75" s="187"/>
      <c r="AC75" s="187"/>
      <c r="AD75" s="187"/>
      <c r="AE75" s="187"/>
      <c r="AF75" s="187"/>
      <c r="AG75" s="187"/>
      <c r="AH75" s="187"/>
      <c r="AI75" s="197"/>
      <c r="AJ75" s="197"/>
      <c r="BC75" s="147"/>
      <c r="BD75" s="147"/>
      <c r="BE75" s="147"/>
      <c r="BF75" s="147"/>
      <c r="BG75" s="147"/>
    </row>
    <row r="76" spans="2:59">
      <c r="B76" s="158" t="str">
        <f>Technologies!B69</f>
        <v>R1</v>
      </c>
      <c r="C76" s="158" t="str">
        <f>'Imp Crude'!B57</f>
        <v>IMPOILLL24</v>
      </c>
      <c r="D76" s="158" t="str">
        <f>'Imp Crude'!C57</f>
        <v>Imported Imported Oil-Low Sulfur, Low G, PADD 2, Step 4</v>
      </c>
      <c r="E76" s="197" t="str">
        <f>'Imp Crude'!D57</f>
        <v>OILLL2</v>
      </c>
      <c r="F76" s="197">
        <v>1</v>
      </c>
      <c r="G76" s="197"/>
      <c r="H76" s="187"/>
      <c r="I76" s="197"/>
      <c r="J76" s="197">
        <v>1.0049999999999999</v>
      </c>
      <c r="K76" s="197">
        <v>1.0049999999999999</v>
      </c>
      <c r="L76" s="195">
        <f>'Imp Crude'!L57</f>
        <v>15.403200433462786</v>
      </c>
      <c r="M76" s="195" t="e">
        <f>'Imp Crude'!M57</f>
        <v>#REF!</v>
      </c>
      <c r="N76" s="195" t="e">
        <f>'Imp Crude'!N57</f>
        <v>#REF!</v>
      </c>
      <c r="O76" s="195" t="e">
        <f>'Imp Crude'!O57</f>
        <v>#REF!</v>
      </c>
      <c r="P76" s="195" t="e">
        <f>'Imp Crude'!P57</f>
        <v>#REF!</v>
      </c>
      <c r="Q76" s="195" t="e">
        <f>'Imp Crude'!Q57</f>
        <v>#REF!</v>
      </c>
      <c r="R76" s="195" t="e">
        <f>'Imp Crude'!R57</f>
        <v>#REF!</v>
      </c>
      <c r="S76" s="195" t="e">
        <f>'Imp Crude'!S57</f>
        <v>#REF!</v>
      </c>
      <c r="T76" s="195" t="e">
        <f>'Imp Crude'!T57</f>
        <v>#REF!</v>
      </c>
      <c r="U76" s="195" t="e">
        <f>'Imp Crude'!U57</f>
        <v>#REF!</v>
      </c>
      <c r="V76" s="187"/>
      <c r="W76" s="187"/>
      <c r="X76" s="187">
        <f>'Imp Crude'!AE57</f>
        <v>174.55873977786325</v>
      </c>
      <c r="Y76" s="187">
        <f>'Imp Crude'!AF57</f>
        <v>172.26307838296691</v>
      </c>
      <c r="Z76" s="187"/>
      <c r="AA76" s="187"/>
      <c r="AB76" s="187"/>
      <c r="AC76" s="187"/>
      <c r="AD76" s="187"/>
      <c r="AE76" s="187"/>
      <c r="AF76" s="187"/>
      <c r="AG76" s="187"/>
      <c r="AH76" s="187"/>
      <c r="AI76" s="197"/>
      <c r="AJ76" s="197"/>
      <c r="BC76" s="147"/>
      <c r="BD76" s="147"/>
      <c r="BE76" s="147"/>
      <c r="BF76" s="147"/>
      <c r="BG76" s="147"/>
    </row>
    <row r="77" spans="2:59">
      <c r="B77" s="158" t="str">
        <f>Technologies!B70</f>
        <v>R1</v>
      </c>
      <c r="C77" s="158" t="str">
        <f>'Imp Crude'!B58</f>
        <v>IMPOILLL25</v>
      </c>
      <c r="D77" s="158" t="str">
        <f>'Imp Crude'!C58</f>
        <v>Imported Imported Oil-Low Sulfur, Low G, PADD 2, Step 5</v>
      </c>
      <c r="E77" s="197" t="str">
        <f>'Imp Crude'!D58</f>
        <v>OILLL2</v>
      </c>
      <c r="F77" s="197">
        <v>1</v>
      </c>
      <c r="G77" s="197"/>
      <c r="H77" s="187"/>
      <c r="I77" s="197"/>
      <c r="J77" s="197">
        <v>1.0049999999999999</v>
      </c>
      <c r="K77" s="197">
        <v>1.0049999999999999</v>
      </c>
      <c r="L77" s="195">
        <f>'Imp Crude'!L58</f>
        <v>19.070629108096782</v>
      </c>
      <c r="M77" s="195" t="e">
        <f>'Imp Crude'!M58</f>
        <v>#REF!</v>
      </c>
      <c r="N77" s="195" t="e">
        <f>'Imp Crude'!N58</f>
        <v>#REF!</v>
      </c>
      <c r="O77" s="195" t="e">
        <f>'Imp Crude'!O58</f>
        <v>#REF!</v>
      </c>
      <c r="P77" s="195" t="e">
        <f>'Imp Crude'!P58</f>
        <v>#REF!</v>
      </c>
      <c r="Q77" s="195" t="e">
        <f>'Imp Crude'!Q58</f>
        <v>#REF!</v>
      </c>
      <c r="R77" s="195" t="e">
        <f>'Imp Crude'!R58</f>
        <v>#REF!</v>
      </c>
      <c r="S77" s="195" t="e">
        <f>'Imp Crude'!S58</f>
        <v>#REF!</v>
      </c>
      <c r="T77" s="195" t="e">
        <f>'Imp Crude'!T58</f>
        <v>#REF!</v>
      </c>
      <c r="U77" s="195" t="e">
        <f>'Imp Crude'!U58</f>
        <v>#REF!</v>
      </c>
      <c r="V77" s="187"/>
      <c r="W77" s="187"/>
      <c r="X77" s="187">
        <f>'Imp Crude'!AE58</f>
        <v>87.279369888931797</v>
      </c>
      <c r="Y77" s="187">
        <f>'Imp Crude'!AF58</f>
        <v>86.131539191483171</v>
      </c>
      <c r="Z77" s="187"/>
      <c r="AA77" s="187"/>
      <c r="AB77" s="187"/>
      <c r="AC77" s="187"/>
      <c r="AD77" s="187"/>
      <c r="AE77" s="187"/>
      <c r="AF77" s="187"/>
      <c r="AG77" s="187"/>
      <c r="AH77" s="187"/>
      <c r="AI77" s="197"/>
      <c r="AJ77" s="197"/>
      <c r="BC77" s="147"/>
      <c r="BD77" s="147"/>
      <c r="BE77" s="147"/>
      <c r="BF77" s="147"/>
      <c r="BG77" s="147"/>
    </row>
    <row r="78" spans="2:59">
      <c r="B78" s="158" t="str">
        <f>Technologies!B71</f>
        <v>R1</v>
      </c>
      <c r="C78" s="158" t="str">
        <f>'Imp Crude'!B59</f>
        <v>IMPOILMH23</v>
      </c>
      <c r="D78" s="158" t="str">
        <f>'Imp Crude'!C59</f>
        <v>Imported Imported Oil-Medium Sulfur, HG, PADD 2, Step 3</v>
      </c>
      <c r="E78" s="197" t="str">
        <f>'Imp Crude'!D59</f>
        <v>OILMH2</v>
      </c>
      <c r="F78" s="197">
        <v>1</v>
      </c>
      <c r="G78" s="197"/>
      <c r="H78" s="187"/>
      <c r="I78" s="197"/>
      <c r="J78" s="197">
        <v>1.0049999999999999</v>
      </c>
      <c r="K78" s="197">
        <v>1.0049999999999999</v>
      </c>
      <c r="L78" s="195">
        <f>'Imp Crude'!L59</f>
        <v>12.053312370116149</v>
      </c>
      <c r="M78" s="195" t="e">
        <f>'Imp Crude'!M59</f>
        <v>#REF!</v>
      </c>
      <c r="N78" s="195" t="e">
        <f>'Imp Crude'!N59</f>
        <v>#REF!</v>
      </c>
      <c r="O78" s="195" t="e">
        <f>'Imp Crude'!O59</f>
        <v>#REF!</v>
      </c>
      <c r="P78" s="195" t="e">
        <f>'Imp Crude'!P59</f>
        <v>#REF!</v>
      </c>
      <c r="Q78" s="195" t="e">
        <f>'Imp Crude'!Q59</f>
        <v>#REF!</v>
      </c>
      <c r="R78" s="195" t="e">
        <f>'Imp Crude'!R59</f>
        <v>#REF!</v>
      </c>
      <c r="S78" s="195" t="e">
        <f>'Imp Crude'!S59</f>
        <v>#REF!</v>
      </c>
      <c r="T78" s="195" t="e">
        <f>'Imp Crude'!T59</f>
        <v>#REF!</v>
      </c>
      <c r="U78" s="195" t="e">
        <f>'Imp Crude'!U59</f>
        <v>#REF!</v>
      </c>
      <c r="V78" s="187"/>
      <c r="W78" s="187"/>
      <c r="X78" s="187">
        <f>'Imp Crude'!AE59</f>
        <v>423.7986508566409</v>
      </c>
      <c r="Y78" s="187">
        <f>'Imp Crude'!AF59</f>
        <v>65.023561294797744</v>
      </c>
      <c r="Z78" s="187"/>
      <c r="AA78" s="187"/>
      <c r="AB78" s="187"/>
      <c r="AC78" s="187"/>
      <c r="AD78" s="187"/>
      <c r="AE78" s="187"/>
      <c r="AF78" s="187"/>
      <c r="AG78" s="187"/>
      <c r="AH78" s="187"/>
      <c r="AI78" s="197"/>
      <c r="AJ78" s="197"/>
      <c r="BC78" s="147"/>
      <c r="BD78" s="147"/>
      <c r="BE78" s="147"/>
      <c r="BF78" s="147"/>
      <c r="BG78" s="147"/>
    </row>
    <row r="79" spans="2:59">
      <c r="B79" s="158" t="str">
        <f>Technologies!B72</f>
        <v>R1</v>
      </c>
      <c r="C79" s="158" t="str">
        <f>'Imp Crude'!B60</f>
        <v>IMPOILMH21</v>
      </c>
      <c r="D79" s="158" t="str">
        <f>'Imp Crude'!C60</f>
        <v>Imported Imported Oil-Medium Sulfur, HG, PADD 2, Step 1</v>
      </c>
      <c r="E79" s="197" t="str">
        <f>'Imp Crude'!D60</f>
        <v>OILMH2</v>
      </c>
      <c r="F79" s="197">
        <v>1</v>
      </c>
      <c r="G79" s="197"/>
      <c r="H79" s="187"/>
      <c r="I79" s="197"/>
      <c r="J79" s="197">
        <v>1.0049999999999999</v>
      </c>
      <c r="K79" s="197">
        <v>1.0049999999999999</v>
      </c>
      <c r="L79" s="195">
        <f>'Imp Crude'!L60</f>
        <v>10.847981133104536</v>
      </c>
      <c r="M79" s="195" t="e">
        <f>'Imp Crude'!M60</f>
        <v>#REF!</v>
      </c>
      <c r="N79" s="195" t="e">
        <f>'Imp Crude'!N60</f>
        <v>#REF!</v>
      </c>
      <c r="O79" s="195" t="e">
        <f>'Imp Crude'!O60</f>
        <v>#REF!</v>
      </c>
      <c r="P79" s="195" t="e">
        <f>'Imp Crude'!P60</f>
        <v>#REF!</v>
      </c>
      <c r="Q79" s="195" t="e">
        <f>'Imp Crude'!Q60</f>
        <v>#REF!</v>
      </c>
      <c r="R79" s="195" t="e">
        <f>'Imp Crude'!R60</f>
        <v>#REF!</v>
      </c>
      <c r="S79" s="195" t="e">
        <f>'Imp Crude'!S60</f>
        <v>#REF!</v>
      </c>
      <c r="T79" s="195" t="e">
        <f>'Imp Crude'!T60</f>
        <v>#REF!</v>
      </c>
      <c r="U79" s="195" t="e">
        <f>'Imp Crude'!U60</f>
        <v>#REF!</v>
      </c>
      <c r="V79" s="187"/>
      <c r="W79" s="187"/>
      <c r="X79" s="187">
        <f>'Imp Crude'!AE60</f>
        <v>52.974831357080099</v>
      </c>
      <c r="Y79" s="187">
        <f>'Imp Crude'!AF60</f>
        <v>8.127945161849718</v>
      </c>
      <c r="Z79" s="187"/>
      <c r="AA79" s="187"/>
      <c r="AB79" s="187"/>
      <c r="AC79" s="187"/>
      <c r="AD79" s="187"/>
      <c r="AE79" s="187"/>
      <c r="AF79" s="187"/>
      <c r="AG79" s="187"/>
      <c r="AH79" s="187"/>
      <c r="AI79" s="197"/>
      <c r="AJ79" s="197"/>
      <c r="BC79" s="147"/>
      <c r="BD79" s="147"/>
      <c r="BE79" s="147"/>
      <c r="BF79" s="147"/>
      <c r="BG79" s="147"/>
    </row>
    <row r="80" spans="2:59">
      <c r="B80" s="158" t="str">
        <f>Technologies!B73</f>
        <v>R1</v>
      </c>
      <c r="C80" s="158" t="str">
        <f>'Imp Crude'!B61</f>
        <v>IMPOILMH22</v>
      </c>
      <c r="D80" s="158" t="str">
        <f>'Imp Crude'!C61</f>
        <v>Imported Imported Oil-Medium Sulfur, HG, PADD 2, Step 2</v>
      </c>
      <c r="E80" s="197" t="str">
        <f>'Imp Crude'!D61</f>
        <v>OILMH2</v>
      </c>
      <c r="F80" s="197">
        <v>1</v>
      </c>
      <c r="G80" s="197"/>
      <c r="H80" s="187"/>
      <c r="I80" s="197"/>
      <c r="J80" s="197">
        <v>1.0049999999999999</v>
      </c>
      <c r="K80" s="197">
        <v>1.0049999999999999</v>
      </c>
      <c r="L80" s="195">
        <f>'Imp Crude'!L61</f>
        <v>11.450646751610343</v>
      </c>
      <c r="M80" s="195" t="e">
        <f>'Imp Crude'!M61</f>
        <v>#REF!</v>
      </c>
      <c r="N80" s="195" t="e">
        <f>'Imp Crude'!N61</f>
        <v>#REF!</v>
      </c>
      <c r="O80" s="195" t="e">
        <f>'Imp Crude'!O61</f>
        <v>#REF!</v>
      </c>
      <c r="P80" s="195" t="e">
        <f>'Imp Crude'!P61</f>
        <v>#REF!</v>
      </c>
      <c r="Q80" s="195" t="e">
        <f>'Imp Crude'!Q61</f>
        <v>#REF!</v>
      </c>
      <c r="R80" s="195" t="e">
        <f>'Imp Crude'!R61</f>
        <v>#REF!</v>
      </c>
      <c r="S80" s="195" t="e">
        <f>'Imp Crude'!S61</f>
        <v>#REF!</v>
      </c>
      <c r="T80" s="195" t="e">
        <f>'Imp Crude'!T61</f>
        <v>#REF!</v>
      </c>
      <c r="U80" s="195" t="e">
        <f>'Imp Crude'!U61</f>
        <v>#REF!</v>
      </c>
      <c r="V80" s="187"/>
      <c r="W80" s="187"/>
      <c r="X80" s="187">
        <f>'Imp Crude'!AE61</f>
        <v>52.974831357080099</v>
      </c>
      <c r="Y80" s="187">
        <f>'Imp Crude'!AF61</f>
        <v>8.127945161849718</v>
      </c>
      <c r="Z80" s="187"/>
      <c r="AA80" s="187"/>
      <c r="AB80" s="187"/>
      <c r="AC80" s="187"/>
      <c r="AD80" s="187"/>
      <c r="AE80" s="187"/>
      <c r="AF80" s="187"/>
      <c r="AG80" s="187"/>
      <c r="AH80" s="187"/>
      <c r="AI80" s="197"/>
      <c r="AJ80" s="197"/>
      <c r="BC80" s="147"/>
      <c r="BD80" s="147"/>
      <c r="BE80" s="147"/>
      <c r="BF80" s="147"/>
      <c r="BG80" s="147"/>
    </row>
    <row r="81" spans="2:59">
      <c r="B81" s="158" t="str">
        <f>Technologies!B74</f>
        <v>R1</v>
      </c>
      <c r="C81" s="158" t="str">
        <f>'Imp Crude'!B62</f>
        <v>IMPOILMH24</v>
      </c>
      <c r="D81" s="158" t="str">
        <f>'Imp Crude'!C62</f>
        <v>Imported Imported Oil-Medium Sulfur, HG, PADD 2, Step 4</v>
      </c>
      <c r="E81" s="197" t="str">
        <f>'Imp Crude'!D62</f>
        <v>OILMH2</v>
      </c>
      <c r="F81" s="197">
        <v>1</v>
      </c>
      <c r="G81" s="197"/>
      <c r="H81" s="187"/>
      <c r="I81" s="197"/>
      <c r="J81" s="197">
        <v>1.0049999999999999</v>
      </c>
      <c r="K81" s="197">
        <v>1.0049999999999999</v>
      </c>
      <c r="L81" s="195">
        <f>'Imp Crude'!L62</f>
        <v>12.655977988621959</v>
      </c>
      <c r="M81" s="195" t="e">
        <f>'Imp Crude'!M62</f>
        <v>#REF!</v>
      </c>
      <c r="N81" s="195" t="e">
        <f>'Imp Crude'!N62</f>
        <v>#REF!</v>
      </c>
      <c r="O81" s="195" t="e">
        <f>'Imp Crude'!O62</f>
        <v>#REF!</v>
      </c>
      <c r="P81" s="195" t="e">
        <f>'Imp Crude'!P62</f>
        <v>#REF!</v>
      </c>
      <c r="Q81" s="195" t="e">
        <f>'Imp Crude'!Q62</f>
        <v>#REF!</v>
      </c>
      <c r="R81" s="195" t="e">
        <f>'Imp Crude'!R62</f>
        <v>#REF!</v>
      </c>
      <c r="S81" s="195" t="e">
        <f>'Imp Crude'!S62</f>
        <v>#REF!</v>
      </c>
      <c r="T81" s="195" t="e">
        <f>'Imp Crude'!T62</f>
        <v>#REF!</v>
      </c>
      <c r="U81" s="195" t="e">
        <f>'Imp Crude'!U62</f>
        <v>#REF!</v>
      </c>
      <c r="V81" s="187"/>
      <c r="W81" s="187"/>
      <c r="X81" s="187">
        <f>'Imp Crude'!AE62</f>
        <v>105.94966271416024</v>
      </c>
      <c r="Y81" s="187">
        <f>'Imp Crude'!AF62</f>
        <v>16.255890323699433</v>
      </c>
      <c r="Z81" s="187"/>
      <c r="AA81" s="187"/>
      <c r="AB81" s="187"/>
      <c r="AC81" s="187"/>
      <c r="AD81" s="187"/>
      <c r="AE81" s="187"/>
      <c r="AF81" s="187"/>
      <c r="AG81" s="187"/>
      <c r="AH81" s="187"/>
      <c r="AI81" s="197"/>
      <c r="AJ81" s="197"/>
      <c r="BC81" s="147"/>
      <c r="BD81" s="147"/>
      <c r="BE81" s="147"/>
      <c r="BF81" s="147"/>
      <c r="BG81" s="147"/>
    </row>
    <row r="82" spans="2:59">
      <c r="B82" s="158" t="str">
        <f>Technologies!B75</f>
        <v>R1</v>
      </c>
      <c r="C82" s="158" t="str">
        <f>'Imp Crude'!B63</f>
        <v>IMPOILMH25</v>
      </c>
      <c r="D82" s="158" t="str">
        <f>'Imp Crude'!C63</f>
        <v>Imported Imported Oil-Medium Sulfur, HG, PADD 2, Step 5</v>
      </c>
      <c r="E82" s="197" t="str">
        <f>'Imp Crude'!D63</f>
        <v>OILMH2</v>
      </c>
      <c r="F82" s="197">
        <v>1</v>
      </c>
      <c r="G82" s="197"/>
      <c r="H82" s="187"/>
      <c r="I82" s="197"/>
      <c r="J82" s="197">
        <v>1.0049999999999999</v>
      </c>
      <c r="K82" s="197">
        <v>1.0049999999999999</v>
      </c>
      <c r="L82" s="195">
        <f>'Imp Crude'!L63</f>
        <v>15.669306081150996</v>
      </c>
      <c r="M82" s="195" t="e">
        <f>'Imp Crude'!M63</f>
        <v>#REF!</v>
      </c>
      <c r="N82" s="195" t="e">
        <f>'Imp Crude'!N63</f>
        <v>#REF!</v>
      </c>
      <c r="O82" s="195" t="e">
        <f>'Imp Crude'!O63</f>
        <v>#REF!</v>
      </c>
      <c r="P82" s="195" t="e">
        <f>'Imp Crude'!P63</f>
        <v>#REF!</v>
      </c>
      <c r="Q82" s="195" t="e">
        <f>'Imp Crude'!Q63</f>
        <v>#REF!</v>
      </c>
      <c r="R82" s="195" t="e">
        <f>'Imp Crude'!R63</f>
        <v>#REF!</v>
      </c>
      <c r="S82" s="195" t="e">
        <f>'Imp Crude'!S63</f>
        <v>#REF!</v>
      </c>
      <c r="T82" s="195" t="e">
        <f>'Imp Crude'!T63</f>
        <v>#REF!</v>
      </c>
      <c r="U82" s="195" t="e">
        <f>'Imp Crude'!U63</f>
        <v>#REF!</v>
      </c>
      <c r="V82" s="187"/>
      <c r="W82" s="187"/>
      <c r="X82" s="187">
        <f>'Imp Crude'!AE63</f>
        <v>52.974831357080006</v>
      </c>
      <c r="Y82" s="187">
        <f>'Imp Crude'!AF63</f>
        <v>8.1279451618497092</v>
      </c>
      <c r="Z82" s="187"/>
      <c r="AA82" s="187"/>
      <c r="AB82" s="187"/>
      <c r="AC82" s="187"/>
      <c r="AD82" s="187"/>
      <c r="AE82" s="187"/>
      <c r="AF82" s="187"/>
      <c r="AG82" s="187"/>
      <c r="AH82" s="187"/>
      <c r="AI82" s="197"/>
      <c r="AJ82" s="197"/>
      <c r="BC82" s="147"/>
      <c r="BD82" s="147"/>
      <c r="BE82" s="147"/>
      <c r="BF82" s="147"/>
      <c r="BG82" s="147"/>
    </row>
    <row r="83" spans="2:59">
      <c r="B83" s="158" t="s">
        <v>398</v>
      </c>
      <c r="C83" s="158"/>
      <c r="D83" s="158"/>
      <c r="E83" s="197"/>
      <c r="F83" s="197"/>
      <c r="G83" s="197"/>
      <c r="H83" s="187"/>
      <c r="I83" s="197"/>
      <c r="J83" s="197"/>
      <c r="K83" s="197"/>
      <c r="L83" s="195"/>
      <c r="M83" s="195"/>
      <c r="N83" s="195"/>
      <c r="O83" s="195"/>
      <c r="P83" s="195"/>
      <c r="Q83" s="195"/>
      <c r="R83" s="195"/>
      <c r="S83" s="195"/>
      <c r="T83" s="195"/>
      <c r="U83" s="195"/>
      <c r="V83" s="187"/>
      <c r="W83" s="187"/>
      <c r="X83" s="187"/>
      <c r="Y83" s="187"/>
      <c r="Z83" s="187"/>
      <c r="AA83" s="187"/>
      <c r="AB83" s="187"/>
      <c r="AC83" s="187"/>
      <c r="AD83" s="187"/>
      <c r="AE83" s="187"/>
      <c r="AF83" s="187"/>
      <c r="AG83" s="187"/>
      <c r="AH83" s="187"/>
      <c r="AI83" s="197"/>
      <c r="AJ83" s="197"/>
      <c r="BC83" s="147"/>
      <c r="BD83" s="147"/>
      <c r="BE83" s="147"/>
      <c r="BF83" s="147"/>
      <c r="BG83" s="147"/>
    </row>
    <row r="84" spans="2:59">
      <c r="B84" s="158" t="str">
        <f>Technologies!B77</f>
        <v>R1</v>
      </c>
      <c r="C84" s="158" t="str">
        <f>'Imp Crude'!B65</f>
        <v>IMPOILHH33</v>
      </c>
      <c r="D84" s="158" t="str">
        <f>'Imp Crude'!C65</f>
        <v>Imported Imported Oil-High Sulfur, Heavy G, PADD 3, Step 3</v>
      </c>
      <c r="E84" s="197" t="str">
        <f>'Imp Crude'!D65</f>
        <v>OILHH3</v>
      </c>
      <c r="F84" s="197">
        <v>1</v>
      </c>
      <c r="G84" s="197"/>
      <c r="H84" s="187"/>
      <c r="I84" s="197"/>
      <c r="J84" s="197">
        <v>1.0049999999999999</v>
      </c>
      <c r="K84" s="197">
        <v>1.0049999999999999</v>
      </c>
      <c r="L84" s="195">
        <f>'Imp Crude'!L65</f>
        <v>11.163537115571355</v>
      </c>
      <c r="M84" s="195" t="e">
        <f>'Imp Crude'!M65</f>
        <v>#REF!</v>
      </c>
      <c r="N84" s="195" t="e">
        <f>'Imp Crude'!N65</f>
        <v>#REF!</v>
      </c>
      <c r="O84" s="195" t="e">
        <f>'Imp Crude'!O65</f>
        <v>#REF!</v>
      </c>
      <c r="P84" s="195" t="e">
        <f>'Imp Crude'!P65</f>
        <v>#REF!</v>
      </c>
      <c r="Q84" s="195" t="e">
        <f>'Imp Crude'!Q65</f>
        <v>#REF!</v>
      </c>
      <c r="R84" s="195" t="e">
        <f>'Imp Crude'!R65</f>
        <v>#REF!</v>
      </c>
      <c r="S84" s="195" t="e">
        <f>'Imp Crude'!S65</f>
        <v>#REF!</v>
      </c>
      <c r="T84" s="195" t="e">
        <f>'Imp Crude'!T65</f>
        <v>#REF!</v>
      </c>
      <c r="U84" s="195" t="e">
        <f>'Imp Crude'!U65</f>
        <v>#REF!</v>
      </c>
      <c r="V84" s="187"/>
      <c r="W84" s="187"/>
      <c r="X84" s="187">
        <f>'Imp Crude'!AE65</f>
        <v>2841.2371995043663</v>
      </c>
      <c r="Y84" s="187">
        <f>'Imp Crude'!AF65</f>
        <v>2009.6396798455767</v>
      </c>
      <c r="Z84" s="187"/>
      <c r="AA84" s="187"/>
      <c r="AB84" s="187"/>
      <c r="AC84" s="187"/>
      <c r="AD84" s="187"/>
      <c r="AE84" s="187"/>
      <c r="AF84" s="187"/>
      <c r="AG84" s="187"/>
      <c r="AH84" s="187"/>
      <c r="AI84" s="197"/>
      <c r="AJ84" s="197"/>
      <c r="BC84" s="147"/>
      <c r="BD84" s="147"/>
      <c r="BE84" s="147"/>
      <c r="BF84" s="147"/>
      <c r="BG84" s="147"/>
    </row>
    <row r="85" spans="2:59">
      <c r="B85" s="158" t="str">
        <f>Technologies!B78</f>
        <v>R1</v>
      </c>
      <c r="C85" s="158" t="str">
        <f>'Imp Crude'!B66</f>
        <v>IMPOILHH31</v>
      </c>
      <c r="D85" s="158" t="str">
        <f>'Imp Crude'!C66</f>
        <v>Imported Imported Oil-High Sulfur, Heavy G, PADD 3, Step 1</v>
      </c>
      <c r="E85" s="197" t="str">
        <f>'Imp Crude'!D66</f>
        <v>OILHH3</v>
      </c>
      <c r="F85" s="197">
        <v>1</v>
      </c>
      <c r="G85" s="197"/>
      <c r="H85" s="187"/>
      <c r="I85" s="197"/>
      <c r="J85" s="197">
        <v>1.0049999999999999</v>
      </c>
      <c r="K85" s="197">
        <v>1.0049999999999999</v>
      </c>
      <c r="L85" s="195">
        <f>'Imp Crude'!L66</f>
        <v>10.04718340401422</v>
      </c>
      <c r="M85" s="195" t="e">
        <f>'Imp Crude'!M66</f>
        <v>#REF!</v>
      </c>
      <c r="N85" s="195" t="e">
        <f>'Imp Crude'!N66</f>
        <v>#REF!</v>
      </c>
      <c r="O85" s="195" t="e">
        <f>'Imp Crude'!O66</f>
        <v>#REF!</v>
      </c>
      <c r="P85" s="195" t="e">
        <f>'Imp Crude'!P66</f>
        <v>#REF!</v>
      </c>
      <c r="Q85" s="195" t="e">
        <f>'Imp Crude'!Q66</f>
        <v>#REF!</v>
      </c>
      <c r="R85" s="195" t="e">
        <f>'Imp Crude'!R66</f>
        <v>#REF!</v>
      </c>
      <c r="S85" s="195" t="e">
        <f>'Imp Crude'!S66</f>
        <v>#REF!</v>
      </c>
      <c r="T85" s="195" t="e">
        <f>'Imp Crude'!T66</f>
        <v>#REF!</v>
      </c>
      <c r="U85" s="195" t="e">
        <f>'Imp Crude'!U66</f>
        <v>#REF!</v>
      </c>
      <c r="V85" s="187"/>
      <c r="W85" s="187"/>
      <c r="X85" s="187">
        <f>'Imp Crude'!AE66</f>
        <v>355.15464993804585</v>
      </c>
      <c r="Y85" s="187">
        <f>'Imp Crude'!AF66</f>
        <v>251.20495998069708</v>
      </c>
      <c r="Z85" s="187"/>
      <c r="AA85" s="187"/>
      <c r="AB85" s="187"/>
      <c r="AC85" s="187"/>
      <c r="AD85" s="187"/>
      <c r="AE85" s="187"/>
      <c r="AF85" s="187"/>
      <c r="AG85" s="187"/>
      <c r="AH85" s="187"/>
      <c r="AI85" s="197"/>
      <c r="AJ85" s="197"/>
      <c r="BC85" s="147"/>
      <c r="BD85" s="147"/>
      <c r="BE85" s="147"/>
      <c r="BF85" s="147"/>
      <c r="BG85" s="147"/>
    </row>
    <row r="86" spans="2:59">
      <c r="B86" s="158" t="str">
        <f>Technologies!B79</f>
        <v>R1</v>
      </c>
      <c r="C86" s="158" t="str">
        <f>'Imp Crude'!B67</f>
        <v>IMPOILHH32</v>
      </c>
      <c r="D86" s="158" t="str">
        <f>'Imp Crude'!C67</f>
        <v>Imported Imported Oil-High Sulfur, Heavy G, PADD 3, Step 2</v>
      </c>
      <c r="E86" s="197" t="str">
        <f>'Imp Crude'!D67</f>
        <v>OILHH3</v>
      </c>
      <c r="F86" s="197">
        <v>1</v>
      </c>
      <c r="G86" s="197"/>
      <c r="H86" s="187"/>
      <c r="I86" s="197"/>
      <c r="J86" s="197">
        <v>1.0049999999999999</v>
      </c>
      <c r="K86" s="197">
        <v>1.0049999999999999</v>
      </c>
      <c r="L86" s="195">
        <f>'Imp Crude'!L67</f>
        <v>10.605360259792784</v>
      </c>
      <c r="M86" s="195" t="e">
        <f>'Imp Crude'!M67</f>
        <v>#REF!</v>
      </c>
      <c r="N86" s="195" t="e">
        <f>'Imp Crude'!N67</f>
        <v>#REF!</v>
      </c>
      <c r="O86" s="195" t="e">
        <f>'Imp Crude'!O67</f>
        <v>#REF!</v>
      </c>
      <c r="P86" s="195" t="e">
        <f>'Imp Crude'!P67</f>
        <v>#REF!</v>
      </c>
      <c r="Q86" s="195" t="e">
        <f>'Imp Crude'!Q67</f>
        <v>#REF!</v>
      </c>
      <c r="R86" s="195" t="e">
        <f>'Imp Crude'!R67</f>
        <v>#REF!</v>
      </c>
      <c r="S86" s="195" t="e">
        <f>'Imp Crude'!S67</f>
        <v>#REF!</v>
      </c>
      <c r="T86" s="195" t="e">
        <f>'Imp Crude'!T67</f>
        <v>#REF!</v>
      </c>
      <c r="U86" s="195" t="e">
        <f>'Imp Crude'!U67</f>
        <v>#REF!</v>
      </c>
      <c r="V86" s="187"/>
      <c r="W86" s="187"/>
      <c r="X86" s="187">
        <f>'Imp Crude'!AE67</f>
        <v>355.15464993804585</v>
      </c>
      <c r="Y86" s="187">
        <f>'Imp Crude'!AF67</f>
        <v>251.20495998069708</v>
      </c>
      <c r="Z86" s="187"/>
      <c r="AA86" s="187"/>
      <c r="AB86" s="187"/>
      <c r="AC86" s="187"/>
      <c r="AD86" s="187"/>
      <c r="AE86" s="187"/>
      <c r="AF86" s="187"/>
      <c r="AG86" s="187"/>
      <c r="AH86" s="187"/>
      <c r="AI86" s="197"/>
      <c r="AJ86" s="197"/>
      <c r="BC86" s="147"/>
      <c r="BD86" s="147"/>
      <c r="BE86" s="147"/>
      <c r="BF86" s="147"/>
      <c r="BG86" s="147"/>
    </row>
    <row r="87" spans="2:59">
      <c r="B87" s="158" t="str">
        <f>Technologies!B80</f>
        <v>R1</v>
      </c>
      <c r="C87" s="158" t="str">
        <f>'Imp Crude'!B68</f>
        <v>IMPOILHH34</v>
      </c>
      <c r="D87" s="158" t="str">
        <f>'Imp Crude'!C68</f>
        <v>Imported Imported Oil-High Sulfur, Heavy G, PADD 3, Step 4</v>
      </c>
      <c r="E87" s="197" t="str">
        <f>'Imp Crude'!D68</f>
        <v>OILHH3</v>
      </c>
      <c r="F87" s="197">
        <v>1</v>
      </c>
      <c r="G87" s="197"/>
      <c r="H87" s="187"/>
      <c r="I87" s="197"/>
      <c r="J87" s="197">
        <v>1.0049999999999999</v>
      </c>
      <c r="K87" s="197">
        <v>1.0049999999999999</v>
      </c>
      <c r="L87" s="195">
        <f>'Imp Crude'!L68</f>
        <v>11.721713971349921</v>
      </c>
      <c r="M87" s="195" t="e">
        <f>'Imp Crude'!M68</f>
        <v>#REF!</v>
      </c>
      <c r="N87" s="195" t="e">
        <f>'Imp Crude'!N68</f>
        <v>#REF!</v>
      </c>
      <c r="O87" s="195" t="e">
        <f>'Imp Crude'!O68</f>
        <v>#REF!</v>
      </c>
      <c r="P87" s="195" t="e">
        <f>'Imp Crude'!P68</f>
        <v>#REF!</v>
      </c>
      <c r="Q87" s="195" t="e">
        <f>'Imp Crude'!Q68</f>
        <v>#REF!</v>
      </c>
      <c r="R87" s="195" t="e">
        <f>'Imp Crude'!R68</f>
        <v>#REF!</v>
      </c>
      <c r="S87" s="195" t="e">
        <f>'Imp Crude'!S68</f>
        <v>#REF!</v>
      </c>
      <c r="T87" s="195" t="e">
        <f>'Imp Crude'!T68</f>
        <v>#REF!</v>
      </c>
      <c r="U87" s="195" t="e">
        <f>'Imp Crude'!U68</f>
        <v>#REF!</v>
      </c>
      <c r="V87" s="187"/>
      <c r="W87" s="187"/>
      <c r="X87" s="187">
        <f>'Imp Crude'!AE68</f>
        <v>710.30929987609215</v>
      </c>
      <c r="Y87" s="187">
        <f>'Imp Crude'!AF68</f>
        <v>502.40991996139383</v>
      </c>
      <c r="Z87" s="187"/>
      <c r="AA87" s="187"/>
      <c r="AB87" s="187"/>
      <c r="AC87" s="187"/>
      <c r="AD87" s="187"/>
      <c r="AE87" s="187"/>
      <c r="AF87" s="187"/>
      <c r="AG87" s="187"/>
      <c r="AH87" s="187"/>
      <c r="AI87" s="197"/>
      <c r="AJ87" s="197"/>
      <c r="BC87" s="147"/>
      <c r="BD87" s="147"/>
      <c r="BE87" s="147"/>
      <c r="BF87" s="147"/>
      <c r="BG87" s="147"/>
    </row>
    <row r="88" spans="2:59">
      <c r="B88" s="158" t="str">
        <f>Technologies!B81</f>
        <v>R1</v>
      </c>
      <c r="C88" s="158" t="str">
        <f>'Imp Crude'!B69</f>
        <v>IMPOILHH35</v>
      </c>
      <c r="D88" s="158" t="str">
        <f>'Imp Crude'!C69</f>
        <v>Imported Imported Oil-High Sulfur, Heavy G, PADD 3, Step 5</v>
      </c>
      <c r="E88" s="197" t="str">
        <f>'Imp Crude'!D69</f>
        <v>OILHH3</v>
      </c>
      <c r="F88" s="197">
        <v>1</v>
      </c>
      <c r="G88" s="197"/>
      <c r="H88" s="187"/>
      <c r="I88" s="197"/>
      <c r="J88" s="197">
        <v>1.0049999999999999</v>
      </c>
      <c r="K88" s="197">
        <v>1.0049999999999999</v>
      </c>
      <c r="L88" s="195">
        <f>'Imp Crude'!L69</f>
        <v>14.512598250242762</v>
      </c>
      <c r="M88" s="195" t="e">
        <f>'Imp Crude'!M69</f>
        <v>#REF!</v>
      </c>
      <c r="N88" s="195" t="e">
        <f>'Imp Crude'!N69</f>
        <v>#REF!</v>
      </c>
      <c r="O88" s="195" t="e">
        <f>'Imp Crude'!O69</f>
        <v>#REF!</v>
      </c>
      <c r="P88" s="195" t="e">
        <f>'Imp Crude'!P69</f>
        <v>#REF!</v>
      </c>
      <c r="Q88" s="195" t="e">
        <f>'Imp Crude'!Q69</f>
        <v>#REF!</v>
      </c>
      <c r="R88" s="195" t="e">
        <f>'Imp Crude'!R69</f>
        <v>#REF!</v>
      </c>
      <c r="S88" s="195" t="e">
        <f>'Imp Crude'!S69</f>
        <v>#REF!</v>
      </c>
      <c r="T88" s="195" t="e">
        <f>'Imp Crude'!T69</f>
        <v>#REF!</v>
      </c>
      <c r="U88" s="195" t="e">
        <f>'Imp Crude'!U69</f>
        <v>#REF!</v>
      </c>
      <c r="V88" s="187"/>
      <c r="W88" s="187"/>
      <c r="X88" s="187">
        <f>'Imp Crude'!AE69</f>
        <v>355.15464993804653</v>
      </c>
      <c r="Y88" s="187">
        <f>'Imp Crude'!AF69</f>
        <v>251.20495998069782</v>
      </c>
      <c r="Z88" s="187"/>
      <c r="AA88" s="187"/>
      <c r="AB88" s="187"/>
      <c r="AC88" s="187"/>
      <c r="AD88" s="187"/>
      <c r="AE88" s="187"/>
      <c r="AF88" s="187"/>
      <c r="AG88" s="187"/>
      <c r="AH88" s="187"/>
      <c r="AI88" s="197"/>
      <c r="AJ88" s="197"/>
      <c r="BC88" s="147"/>
      <c r="BD88" s="147"/>
      <c r="BE88" s="147"/>
      <c r="BF88" s="147"/>
      <c r="BG88" s="147"/>
    </row>
    <row r="89" spans="2:59">
      <c r="B89" s="158" t="str">
        <f>Technologies!B82</f>
        <v>R1</v>
      </c>
      <c r="C89" s="158" t="str">
        <f>'Imp Crude'!B70</f>
        <v>IMPOILHL33</v>
      </c>
      <c r="D89" s="158" t="str">
        <f>'Imp Crude'!C70</f>
        <v>Imported Imported Oil-High Sulfur, Low G, PADD 3, Step 3</v>
      </c>
      <c r="E89" s="197" t="str">
        <f>'Imp Crude'!D70</f>
        <v>OILHL3</v>
      </c>
      <c r="F89" s="197">
        <v>1</v>
      </c>
      <c r="G89" s="197"/>
      <c r="H89" s="187"/>
      <c r="I89" s="197"/>
      <c r="J89" s="197">
        <v>1.0049999999999999</v>
      </c>
      <c r="K89" s="197">
        <v>1.0049999999999999</v>
      </c>
      <c r="L89" s="195">
        <f>'Imp Crude'!L70</f>
        <v>12.073158658321612</v>
      </c>
      <c r="M89" s="195" t="e">
        <f>'Imp Crude'!M70</f>
        <v>#REF!</v>
      </c>
      <c r="N89" s="195" t="e">
        <f>'Imp Crude'!N70</f>
        <v>#REF!</v>
      </c>
      <c r="O89" s="195" t="e">
        <f>'Imp Crude'!O70</f>
        <v>#REF!</v>
      </c>
      <c r="P89" s="195" t="e">
        <f>'Imp Crude'!P70</f>
        <v>#REF!</v>
      </c>
      <c r="Q89" s="195" t="e">
        <f>'Imp Crude'!Q70</f>
        <v>#REF!</v>
      </c>
      <c r="R89" s="195" t="e">
        <f>'Imp Crude'!R70</f>
        <v>#REF!</v>
      </c>
      <c r="S89" s="195" t="e">
        <f>'Imp Crude'!S70</f>
        <v>#REF!</v>
      </c>
      <c r="T89" s="195" t="e">
        <f>'Imp Crude'!T70</f>
        <v>#REF!</v>
      </c>
      <c r="U89" s="195" t="e">
        <f>'Imp Crude'!U70</f>
        <v>#REF!</v>
      </c>
      <c r="V89" s="187"/>
      <c r="W89" s="187"/>
      <c r="X89" s="187">
        <f>'Imp Crude'!AE70</f>
        <v>503.29465761865652</v>
      </c>
      <c r="Y89" s="187">
        <f>'Imp Crude'!AF70</f>
        <v>612.21983276960952</v>
      </c>
      <c r="Z89" s="187"/>
      <c r="AA89" s="187"/>
      <c r="AB89" s="187"/>
      <c r="AC89" s="187"/>
      <c r="AD89" s="187"/>
      <c r="AE89" s="187"/>
      <c r="AF89" s="187"/>
      <c r="AG89" s="187"/>
      <c r="AH89" s="187"/>
      <c r="AI89" s="197"/>
      <c r="AJ89" s="197"/>
      <c r="BC89" s="147"/>
      <c r="BD89" s="147"/>
      <c r="BE89" s="147"/>
      <c r="BF89" s="147"/>
      <c r="BG89" s="147"/>
    </row>
    <row r="90" spans="2:59">
      <c r="B90" s="158" t="str">
        <f>Technologies!B83</f>
        <v>R1</v>
      </c>
      <c r="C90" s="158" t="str">
        <f>'Imp Crude'!B71</f>
        <v>IMPOILHL31</v>
      </c>
      <c r="D90" s="158" t="str">
        <f>'Imp Crude'!C71</f>
        <v>Imported Imported Oil-High Sulfur, Low G, PADD 3, Step 1</v>
      </c>
      <c r="E90" s="197" t="str">
        <f>'Imp Crude'!D71</f>
        <v>OILHL3</v>
      </c>
      <c r="F90" s="197">
        <v>1</v>
      </c>
      <c r="G90" s="197"/>
      <c r="H90" s="187"/>
      <c r="I90" s="197"/>
      <c r="J90" s="197">
        <v>1.0049999999999999</v>
      </c>
      <c r="K90" s="197">
        <v>1.0049999999999999</v>
      </c>
      <c r="L90" s="195">
        <f>'Imp Crude'!L71</f>
        <v>10.865842792489451</v>
      </c>
      <c r="M90" s="195" t="e">
        <f>'Imp Crude'!M71</f>
        <v>#REF!</v>
      </c>
      <c r="N90" s="195" t="e">
        <f>'Imp Crude'!N71</f>
        <v>#REF!</v>
      </c>
      <c r="O90" s="195" t="e">
        <f>'Imp Crude'!O71</f>
        <v>#REF!</v>
      </c>
      <c r="P90" s="195" t="e">
        <f>'Imp Crude'!P71</f>
        <v>#REF!</v>
      </c>
      <c r="Q90" s="195" t="e">
        <f>'Imp Crude'!Q71</f>
        <v>#REF!</v>
      </c>
      <c r="R90" s="195" t="e">
        <f>'Imp Crude'!R71</f>
        <v>#REF!</v>
      </c>
      <c r="S90" s="195" t="e">
        <f>'Imp Crude'!S71</f>
        <v>#REF!</v>
      </c>
      <c r="T90" s="195" t="e">
        <f>'Imp Crude'!T71</f>
        <v>#REF!</v>
      </c>
      <c r="U90" s="195" t="e">
        <f>'Imp Crude'!U71</f>
        <v>#REF!</v>
      </c>
      <c r="V90" s="187"/>
      <c r="W90" s="187"/>
      <c r="X90" s="187">
        <f>'Imp Crude'!AE71</f>
        <v>62.911832202332064</v>
      </c>
      <c r="Y90" s="187">
        <f>'Imp Crude'!AF71</f>
        <v>76.527479096201191</v>
      </c>
      <c r="Z90" s="187"/>
      <c r="AA90" s="187"/>
      <c r="AB90" s="187"/>
      <c r="AC90" s="187"/>
      <c r="AD90" s="187"/>
      <c r="AE90" s="187"/>
      <c r="AF90" s="187"/>
      <c r="AG90" s="187"/>
      <c r="AH90" s="187"/>
      <c r="AI90" s="197"/>
      <c r="AJ90" s="197"/>
      <c r="BC90" s="147"/>
      <c r="BD90" s="147"/>
      <c r="BE90" s="147"/>
      <c r="BF90" s="147"/>
      <c r="BG90" s="147"/>
    </row>
    <row r="91" spans="2:59">
      <c r="B91" s="158" t="str">
        <f>Technologies!B84</f>
        <v>R1</v>
      </c>
      <c r="C91" s="158" t="str">
        <f>'Imp Crude'!B72</f>
        <v>IMPOILHL32</v>
      </c>
      <c r="D91" s="158" t="str">
        <f>'Imp Crude'!C72</f>
        <v>Imported Imported Oil-High Sulfur, Low G, PADD 3, Step 2</v>
      </c>
      <c r="E91" s="197" t="str">
        <f>'Imp Crude'!D72</f>
        <v>OILHL3</v>
      </c>
      <c r="F91" s="197">
        <v>1</v>
      </c>
      <c r="G91" s="197"/>
      <c r="H91" s="187"/>
      <c r="I91" s="197"/>
      <c r="J91" s="197">
        <v>1.0049999999999999</v>
      </c>
      <c r="K91" s="197">
        <v>1.0049999999999999</v>
      </c>
      <c r="L91" s="195">
        <f>'Imp Crude'!L72</f>
        <v>11.469500725405531</v>
      </c>
      <c r="M91" s="195" t="e">
        <f>'Imp Crude'!M72</f>
        <v>#REF!</v>
      </c>
      <c r="N91" s="195" t="e">
        <f>'Imp Crude'!N72</f>
        <v>#REF!</v>
      </c>
      <c r="O91" s="195" t="e">
        <f>'Imp Crude'!O72</f>
        <v>#REF!</v>
      </c>
      <c r="P91" s="195" t="e">
        <f>'Imp Crude'!P72</f>
        <v>#REF!</v>
      </c>
      <c r="Q91" s="195" t="e">
        <f>'Imp Crude'!Q72</f>
        <v>#REF!</v>
      </c>
      <c r="R91" s="195" t="e">
        <f>'Imp Crude'!R72</f>
        <v>#REF!</v>
      </c>
      <c r="S91" s="195" t="e">
        <f>'Imp Crude'!S72</f>
        <v>#REF!</v>
      </c>
      <c r="T91" s="195" t="e">
        <f>'Imp Crude'!T72</f>
        <v>#REF!</v>
      </c>
      <c r="U91" s="195" t="e">
        <f>'Imp Crude'!U72</f>
        <v>#REF!</v>
      </c>
      <c r="V91" s="187"/>
      <c r="W91" s="187"/>
      <c r="X91" s="187">
        <f>'Imp Crude'!AE72</f>
        <v>62.911832202332064</v>
      </c>
      <c r="Y91" s="187">
        <f>'Imp Crude'!AF72</f>
        <v>76.527479096201191</v>
      </c>
      <c r="Z91" s="187"/>
      <c r="AA91" s="187"/>
      <c r="AB91" s="187"/>
      <c r="AC91" s="187"/>
      <c r="AD91" s="187"/>
      <c r="AE91" s="187"/>
      <c r="AF91" s="187"/>
      <c r="AG91" s="187"/>
      <c r="AH91" s="187"/>
      <c r="AI91" s="197"/>
      <c r="AJ91" s="197"/>
      <c r="BC91" s="147"/>
      <c r="BD91" s="147"/>
      <c r="BE91" s="147"/>
      <c r="BF91" s="147"/>
      <c r="BG91" s="147"/>
    </row>
    <row r="92" spans="2:59">
      <c r="B92" s="158" t="str">
        <f>Technologies!B85</f>
        <v>R1</v>
      </c>
      <c r="C92" s="158" t="str">
        <f>'Imp Crude'!B73</f>
        <v>IMPOILHL34</v>
      </c>
      <c r="D92" s="158" t="str">
        <f>'Imp Crude'!C73</f>
        <v>Imported Imported Oil-High Sulfur, Low G, PADD 3, Step 4</v>
      </c>
      <c r="E92" s="197" t="str">
        <f>'Imp Crude'!D73</f>
        <v>OILHL3</v>
      </c>
      <c r="F92" s="197">
        <v>1</v>
      </c>
      <c r="G92" s="197"/>
      <c r="H92" s="187"/>
      <c r="I92" s="197"/>
      <c r="J92" s="197">
        <v>1.0049999999999999</v>
      </c>
      <c r="K92" s="197">
        <v>1.0049999999999999</v>
      </c>
      <c r="L92" s="195">
        <f>'Imp Crude'!L73</f>
        <v>12.676816591237694</v>
      </c>
      <c r="M92" s="195" t="e">
        <f>'Imp Crude'!M73</f>
        <v>#REF!</v>
      </c>
      <c r="N92" s="195" t="e">
        <f>'Imp Crude'!N73</f>
        <v>#REF!</v>
      </c>
      <c r="O92" s="195" t="e">
        <f>'Imp Crude'!O73</f>
        <v>#REF!</v>
      </c>
      <c r="P92" s="195" t="e">
        <f>'Imp Crude'!P73</f>
        <v>#REF!</v>
      </c>
      <c r="Q92" s="195" t="e">
        <f>'Imp Crude'!Q73</f>
        <v>#REF!</v>
      </c>
      <c r="R92" s="195" t="e">
        <f>'Imp Crude'!R73</f>
        <v>#REF!</v>
      </c>
      <c r="S92" s="195" t="e">
        <f>'Imp Crude'!S73</f>
        <v>#REF!</v>
      </c>
      <c r="T92" s="195" t="e">
        <f>'Imp Crude'!T73</f>
        <v>#REF!</v>
      </c>
      <c r="U92" s="195" t="e">
        <f>'Imp Crude'!U73</f>
        <v>#REF!</v>
      </c>
      <c r="V92" s="187"/>
      <c r="W92" s="187"/>
      <c r="X92" s="187">
        <f>'Imp Crude'!AE73</f>
        <v>125.82366440466421</v>
      </c>
      <c r="Y92" s="187">
        <f>'Imp Crude'!AF73</f>
        <v>153.05495819240241</v>
      </c>
      <c r="Z92" s="187"/>
      <c r="AA92" s="187"/>
      <c r="AB92" s="187"/>
      <c r="AC92" s="187"/>
      <c r="AD92" s="187"/>
      <c r="AE92" s="187"/>
      <c r="AF92" s="187"/>
      <c r="AG92" s="187"/>
      <c r="AH92" s="187"/>
      <c r="AI92" s="197"/>
      <c r="AJ92" s="197"/>
      <c r="BC92" s="147"/>
      <c r="BD92" s="147"/>
      <c r="BE92" s="147"/>
      <c r="BF92" s="147"/>
      <c r="BG92" s="147"/>
    </row>
    <row r="93" spans="2:59">
      <c r="B93" s="158" t="str">
        <f>Technologies!B86</f>
        <v>R1</v>
      </c>
      <c r="C93" s="158" t="str">
        <f>'Imp Crude'!B74</f>
        <v>IMPOILHL35</v>
      </c>
      <c r="D93" s="158" t="str">
        <f>'Imp Crude'!C74</f>
        <v>Imported Imported Oil-High Sulfur, Low G, PADD 3, Step 5</v>
      </c>
      <c r="E93" s="197" t="str">
        <f>'Imp Crude'!D74</f>
        <v>OILHL3</v>
      </c>
      <c r="F93" s="197">
        <v>1</v>
      </c>
      <c r="G93" s="197"/>
      <c r="H93" s="187"/>
      <c r="I93" s="197"/>
      <c r="J93" s="197">
        <v>1.0049999999999999</v>
      </c>
      <c r="K93" s="197">
        <v>1.0049999999999999</v>
      </c>
      <c r="L93" s="195">
        <f>'Imp Crude'!L74</f>
        <v>15.695106255818095</v>
      </c>
      <c r="M93" s="195" t="e">
        <f>'Imp Crude'!M74</f>
        <v>#REF!</v>
      </c>
      <c r="N93" s="195" t="e">
        <f>'Imp Crude'!N74</f>
        <v>#REF!</v>
      </c>
      <c r="O93" s="195" t="e">
        <f>'Imp Crude'!O74</f>
        <v>#REF!</v>
      </c>
      <c r="P93" s="195" t="e">
        <f>'Imp Crude'!P74</f>
        <v>#REF!</v>
      </c>
      <c r="Q93" s="195" t="e">
        <f>'Imp Crude'!Q74</f>
        <v>#REF!</v>
      </c>
      <c r="R93" s="195" t="e">
        <f>'Imp Crude'!R74</f>
        <v>#REF!</v>
      </c>
      <c r="S93" s="195" t="e">
        <f>'Imp Crude'!S74</f>
        <v>#REF!</v>
      </c>
      <c r="T93" s="195" t="e">
        <f>'Imp Crude'!T74</f>
        <v>#REF!</v>
      </c>
      <c r="U93" s="195" t="e">
        <f>'Imp Crude'!U74</f>
        <v>#REF!</v>
      </c>
      <c r="V93" s="187"/>
      <c r="W93" s="187"/>
      <c r="X93" s="187">
        <f>'Imp Crude'!AE74</f>
        <v>62.911832202331993</v>
      </c>
      <c r="Y93" s="187">
        <f>'Imp Crude'!AF74</f>
        <v>76.527479096201432</v>
      </c>
      <c r="Z93" s="187"/>
      <c r="AA93" s="187"/>
      <c r="AB93" s="187"/>
      <c r="AC93" s="187"/>
      <c r="AD93" s="187"/>
      <c r="AE93" s="187"/>
      <c r="AF93" s="187"/>
      <c r="AG93" s="187"/>
      <c r="AH93" s="187"/>
      <c r="AI93" s="197"/>
      <c r="AJ93" s="197"/>
      <c r="BC93" s="147"/>
      <c r="BD93" s="147"/>
      <c r="BE93" s="147"/>
      <c r="BF93" s="147"/>
      <c r="BG93" s="147"/>
    </row>
    <row r="94" spans="2:59">
      <c r="B94" s="158" t="str">
        <f>Technologies!B87</f>
        <v>R1</v>
      </c>
      <c r="C94" s="158" t="str">
        <f>'Imp Crude'!B75</f>
        <v>IMPOILHV33</v>
      </c>
      <c r="D94" s="158" t="str">
        <f>'Imp Crude'!C75</f>
        <v>Imported Imported Oil-High Sulfur, Very HG, PADD 3, Step 3</v>
      </c>
      <c r="E94" s="197" t="str">
        <f>'Imp Crude'!D75</f>
        <v>OILHV3</v>
      </c>
      <c r="F94" s="197">
        <v>1</v>
      </c>
      <c r="G94" s="197"/>
      <c r="H94" s="187"/>
      <c r="I94" s="197"/>
      <c r="J94" s="197">
        <v>1.0049999999999999</v>
      </c>
      <c r="K94" s="197">
        <v>1.0049999999999999</v>
      </c>
      <c r="L94" s="195">
        <f>'Imp Crude'!L75</f>
        <v>11.064305674544054</v>
      </c>
      <c r="M94" s="195" t="e">
        <f>'Imp Crude'!M75</f>
        <v>#REF!</v>
      </c>
      <c r="N94" s="195" t="e">
        <f>'Imp Crude'!N75</f>
        <v>#REF!</v>
      </c>
      <c r="O94" s="195" t="e">
        <f>'Imp Crude'!O75</f>
        <v>#REF!</v>
      </c>
      <c r="P94" s="195" t="e">
        <f>'Imp Crude'!P75</f>
        <v>#REF!</v>
      </c>
      <c r="Q94" s="195" t="e">
        <f>'Imp Crude'!Q75</f>
        <v>#REF!</v>
      </c>
      <c r="R94" s="195" t="e">
        <f>'Imp Crude'!R75</f>
        <v>#REF!</v>
      </c>
      <c r="S94" s="195" t="e">
        <f>'Imp Crude'!S75</f>
        <v>#REF!</v>
      </c>
      <c r="T94" s="195" t="e">
        <f>'Imp Crude'!T75</f>
        <v>#REF!</v>
      </c>
      <c r="U94" s="195" t="e">
        <f>'Imp Crude'!U75</f>
        <v>#REF!</v>
      </c>
      <c r="V94" s="187"/>
      <c r="W94" s="187"/>
      <c r="X94" s="187">
        <f>'Imp Crude'!AE75</f>
        <v>3820.5207167301719</v>
      </c>
      <c r="Y94" s="187">
        <f>'Imp Crude'!AF75</f>
        <v>3880.6269992561847</v>
      </c>
      <c r="Z94" s="187"/>
      <c r="AA94" s="187"/>
      <c r="AB94" s="187"/>
      <c r="AC94" s="187"/>
      <c r="AD94" s="187"/>
      <c r="AE94" s="187"/>
      <c r="AF94" s="187"/>
      <c r="AG94" s="187"/>
      <c r="AH94" s="187"/>
      <c r="AI94" s="197"/>
      <c r="AJ94" s="197"/>
      <c r="BC94" s="147"/>
      <c r="BD94" s="147"/>
      <c r="BE94" s="147"/>
      <c r="BF94" s="147"/>
      <c r="BG94" s="147"/>
    </row>
    <row r="95" spans="2:59">
      <c r="B95" s="158" t="str">
        <f>Technologies!B88</f>
        <v>R1</v>
      </c>
      <c r="C95" s="158" t="str">
        <f>'Imp Crude'!B76</f>
        <v>IMPOILHV31</v>
      </c>
      <c r="D95" s="158" t="str">
        <f>'Imp Crude'!C76</f>
        <v>Imported Imported Oil-High Sulfur, Very HG, PADD 3, Step 1</v>
      </c>
      <c r="E95" s="197" t="str">
        <f>'Imp Crude'!D76</f>
        <v>OILHV3</v>
      </c>
      <c r="F95" s="197">
        <v>1</v>
      </c>
      <c r="G95" s="197"/>
      <c r="H95" s="187"/>
      <c r="I95" s="197"/>
      <c r="J95" s="197">
        <v>1.0049999999999999</v>
      </c>
      <c r="K95" s="197">
        <v>1.0049999999999999</v>
      </c>
      <c r="L95" s="195">
        <f>'Imp Crude'!L76</f>
        <v>9.9578751070896452</v>
      </c>
      <c r="M95" s="195" t="e">
        <f>'Imp Crude'!M76</f>
        <v>#REF!</v>
      </c>
      <c r="N95" s="195" t="e">
        <f>'Imp Crude'!N76</f>
        <v>#REF!</v>
      </c>
      <c r="O95" s="195" t="e">
        <f>'Imp Crude'!O76</f>
        <v>#REF!</v>
      </c>
      <c r="P95" s="195" t="e">
        <f>'Imp Crude'!P76</f>
        <v>#REF!</v>
      </c>
      <c r="Q95" s="195" t="e">
        <f>'Imp Crude'!Q76</f>
        <v>#REF!</v>
      </c>
      <c r="R95" s="195" t="e">
        <f>'Imp Crude'!R76</f>
        <v>#REF!</v>
      </c>
      <c r="S95" s="195" t="e">
        <f>'Imp Crude'!S76</f>
        <v>#REF!</v>
      </c>
      <c r="T95" s="195" t="e">
        <f>'Imp Crude'!T76</f>
        <v>#REF!</v>
      </c>
      <c r="U95" s="195" t="e">
        <f>'Imp Crude'!U76</f>
        <v>#REF!</v>
      </c>
      <c r="V95" s="187"/>
      <c r="W95" s="187"/>
      <c r="X95" s="187">
        <f>'Imp Crude'!AE76</f>
        <v>477.56508959127149</v>
      </c>
      <c r="Y95" s="187">
        <f>'Imp Crude'!AF76</f>
        <v>485.0783749070232</v>
      </c>
      <c r="Z95" s="187"/>
      <c r="AA95" s="187"/>
      <c r="AB95" s="187"/>
      <c r="AC95" s="187"/>
      <c r="AD95" s="187"/>
      <c r="AE95" s="187"/>
      <c r="AF95" s="187"/>
      <c r="AG95" s="187"/>
      <c r="AH95" s="187"/>
      <c r="AI95" s="197"/>
      <c r="AJ95" s="197"/>
      <c r="BC95" s="147"/>
      <c r="BD95" s="147"/>
      <c r="BE95" s="147"/>
      <c r="BF95" s="147"/>
      <c r="BG95" s="147"/>
    </row>
    <row r="96" spans="2:59">
      <c r="B96" s="158" t="str">
        <f>Technologies!B89</f>
        <v>R1</v>
      </c>
      <c r="C96" s="158" t="str">
        <f>'Imp Crude'!B77</f>
        <v>IMPOILHV32</v>
      </c>
      <c r="D96" s="158" t="str">
        <f>'Imp Crude'!C77</f>
        <v>Imported Imported Oil-High Sulfur, Very HG, PADD 3, Step 2</v>
      </c>
      <c r="E96" s="197" t="str">
        <f>'Imp Crude'!D77</f>
        <v>OILHV3</v>
      </c>
      <c r="F96" s="197">
        <v>1</v>
      </c>
      <c r="G96" s="197"/>
      <c r="H96" s="187"/>
      <c r="I96" s="197"/>
      <c r="J96" s="197">
        <v>1.0049999999999999</v>
      </c>
      <c r="K96" s="197">
        <v>1.0049999999999999</v>
      </c>
      <c r="L96" s="195">
        <f>'Imp Crude'!L77</f>
        <v>10.511090390816848</v>
      </c>
      <c r="M96" s="195" t="e">
        <f>'Imp Crude'!M77</f>
        <v>#REF!</v>
      </c>
      <c r="N96" s="195" t="e">
        <f>'Imp Crude'!N77</f>
        <v>#REF!</v>
      </c>
      <c r="O96" s="195" t="e">
        <f>'Imp Crude'!O77</f>
        <v>#REF!</v>
      </c>
      <c r="P96" s="195" t="e">
        <f>'Imp Crude'!P77</f>
        <v>#REF!</v>
      </c>
      <c r="Q96" s="195" t="e">
        <f>'Imp Crude'!Q77</f>
        <v>#REF!</v>
      </c>
      <c r="R96" s="195" t="e">
        <f>'Imp Crude'!R77</f>
        <v>#REF!</v>
      </c>
      <c r="S96" s="195" t="e">
        <f>'Imp Crude'!S77</f>
        <v>#REF!</v>
      </c>
      <c r="T96" s="195" t="e">
        <f>'Imp Crude'!T77</f>
        <v>#REF!</v>
      </c>
      <c r="U96" s="195" t="e">
        <f>'Imp Crude'!U77</f>
        <v>#REF!</v>
      </c>
      <c r="V96" s="187"/>
      <c r="W96" s="187"/>
      <c r="X96" s="187">
        <f>'Imp Crude'!AE77</f>
        <v>477.56508959127149</v>
      </c>
      <c r="Y96" s="187">
        <f>'Imp Crude'!AF77</f>
        <v>485.0783749070232</v>
      </c>
      <c r="Z96" s="187"/>
      <c r="AA96" s="187"/>
      <c r="AB96" s="187"/>
      <c r="AC96" s="187"/>
      <c r="AD96" s="187"/>
      <c r="AE96" s="187"/>
      <c r="AF96" s="187"/>
      <c r="AG96" s="187"/>
      <c r="AH96" s="187"/>
      <c r="AI96" s="197"/>
      <c r="AJ96" s="197"/>
      <c r="BC96" s="147"/>
      <c r="BD96" s="147"/>
      <c r="BE96" s="147"/>
      <c r="BF96" s="147"/>
      <c r="BG96" s="147"/>
    </row>
    <row r="97" spans="2:59">
      <c r="B97" s="158" t="str">
        <f>Technologies!B90</f>
        <v>R1</v>
      </c>
      <c r="C97" s="158" t="str">
        <f>'Imp Crude'!B78</f>
        <v>IMPOILHV34</v>
      </c>
      <c r="D97" s="158" t="str">
        <f>'Imp Crude'!C78</f>
        <v>Imported Imported Oil-High Sulfur, Very HG, PADD 3, Step 4</v>
      </c>
      <c r="E97" s="197" t="str">
        <f>'Imp Crude'!D78</f>
        <v>OILHV3</v>
      </c>
      <c r="F97" s="197">
        <v>1</v>
      </c>
      <c r="G97" s="197"/>
      <c r="H97" s="187"/>
      <c r="I97" s="197"/>
      <c r="J97" s="197">
        <v>1.0049999999999999</v>
      </c>
      <c r="K97" s="197">
        <v>1.0049999999999999</v>
      </c>
      <c r="L97" s="195">
        <f>'Imp Crude'!L78</f>
        <v>11.617520958271253</v>
      </c>
      <c r="M97" s="195" t="e">
        <f>'Imp Crude'!M78</f>
        <v>#REF!</v>
      </c>
      <c r="N97" s="195" t="e">
        <f>'Imp Crude'!N78</f>
        <v>#REF!</v>
      </c>
      <c r="O97" s="195" t="e">
        <f>'Imp Crude'!O78</f>
        <v>#REF!</v>
      </c>
      <c r="P97" s="195" t="e">
        <f>'Imp Crude'!P78</f>
        <v>#REF!</v>
      </c>
      <c r="Q97" s="195" t="e">
        <f>'Imp Crude'!Q78</f>
        <v>#REF!</v>
      </c>
      <c r="R97" s="195" t="e">
        <f>'Imp Crude'!R78</f>
        <v>#REF!</v>
      </c>
      <c r="S97" s="195" t="e">
        <f>'Imp Crude'!S78</f>
        <v>#REF!</v>
      </c>
      <c r="T97" s="195" t="e">
        <f>'Imp Crude'!T78</f>
        <v>#REF!</v>
      </c>
      <c r="U97" s="195" t="e">
        <f>'Imp Crude'!U78</f>
        <v>#REF!</v>
      </c>
      <c r="V97" s="187"/>
      <c r="W97" s="187"/>
      <c r="X97" s="187">
        <f>'Imp Crude'!AE78</f>
        <v>955.13017918254263</v>
      </c>
      <c r="Y97" s="187">
        <f>'Imp Crude'!AF78</f>
        <v>970.15674981404663</v>
      </c>
      <c r="Z97" s="187"/>
      <c r="AA97" s="187"/>
      <c r="AB97" s="187"/>
      <c r="AC97" s="187"/>
      <c r="AD97" s="187"/>
      <c r="AE97" s="187"/>
      <c r="AF97" s="187"/>
      <c r="AG97" s="187"/>
      <c r="AH97" s="187"/>
      <c r="AI97" s="197"/>
      <c r="AJ97" s="197"/>
      <c r="BC97" s="147"/>
      <c r="BD97" s="147"/>
      <c r="BE97" s="147"/>
      <c r="BF97" s="147"/>
      <c r="BG97" s="147"/>
    </row>
    <row r="98" spans="2:59">
      <c r="B98" s="158" t="str">
        <f>Technologies!B91</f>
        <v>R1</v>
      </c>
      <c r="C98" s="158" t="str">
        <f>'Imp Crude'!B79</f>
        <v>IMPOILHV35</v>
      </c>
      <c r="D98" s="158" t="str">
        <f>'Imp Crude'!C79</f>
        <v>Imported Imported Oil-High Sulfur, Very HG, PADD 3, Step 5</v>
      </c>
      <c r="E98" s="197" t="str">
        <f>'Imp Crude'!D79</f>
        <v>OILHV3</v>
      </c>
      <c r="F98" s="197">
        <v>1</v>
      </c>
      <c r="G98" s="197"/>
      <c r="H98" s="187"/>
      <c r="I98" s="197"/>
      <c r="J98" s="197">
        <v>1.0049999999999999</v>
      </c>
      <c r="K98" s="197">
        <v>1.0049999999999999</v>
      </c>
      <c r="L98" s="195">
        <f>'Imp Crude'!L79</f>
        <v>14.383597376907268</v>
      </c>
      <c r="M98" s="195" t="e">
        <f>'Imp Crude'!M79</f>
        <v>#REF!</v>
      </c>
      <c r="N98" s="195" t="e">
        <f>'Imp Crude'!N79</f>
        <v>#REF!</v>
      </c>
      <c r="O98" s="195" t="e">
        <f>'Imp Crude'!O79</f>
        <v>#REF!</v>
      </c>
      <c r="P98" s="195" t="e">
        <f>'Imp Crude'!P79</f>
        <v>#REF!</v>
      </c>
      <c r="Q98" s="195" t="e">
        <f>'Imp Crude'!Q79</f>
        <v>#REF!</v>
      </c>
      <c r="R98" s="195" t="e">
        <f>'Imp Crude'!R79</f>
        <v>#REF!</v>
      </c>
      <c r="S98" s="195" t="e">
        <f>'Imp Crude'!S79</f>
        <v>#REF!</v>
      </c>
      <c r="T98" s="195" t="e">
        <f>'Imp Crude'!T79</f>
        <v>#REF!</v>
      </c>
      <c r="U98" s="195" t="e">
        <f>'Imp Crude'!U79</f>
        <v>#REF!</v>
      </c>
      <c r="V98" s="187"/>
      <c r="W98" s="187"/>
      <c r="X98" s="187">
        <f>'Imp Crude'!AE79</f>
        <v>477.56508959127223</v>
      </c>
      <c r="Y98" s="187">
        <f>'Imp Crude'!AF79</f>
        <v>485.07837490702241</v>
      </c>
      <c r="Z98" s="187"/>
      <c r="AA98" s="187"/>
      <c r="AB98" s="187"/>
      <c r="AC98" s="187"/>
      <c r="AD98" s="187"/>
      <c r="AE98" s="187"/>
      <c r="AF98" s="187"/>
      <c r="AG98" s="187"/>
      <c r="AH98" s="187"/>
      <c r="AI98" s="197"/>
      <c r="AJ98" s="197"/>
      <c r="BC98" s="147"/>
      <c r="BD98" s="147"/>
      <c r="BE98" s="147"/>
      <c r="BF98" s="147"/>
      <c r="BG98" s="147"/>
    </row>
    <row r="99" spans="2:59">
      <c r="B99" s="158" t="str">
        <f>Technologies!B92</f>
        <v>R1</v>
      </c>
      <c r="C99" s="158" t="str">
        <f>'Imp Crude'!B80</f>
        <v>IMPOILLL33</v>
      </c>
      <c r="D99" s="158" t="str">
        <f>'Imp Crude'!C80</f>
        <v>Imported Imported Oil-Low Sulfur, Low G, PADD 3, Step 3</v>
      </c>
      <c r="E99" s="197" t="str">
        <f>'Imp Crude'!D80</f>
        <v>OILLL3</v>
      </c>
      <c r="F99" s="197">
        <v>1</v>
      </c>
      <c r="G99" s="197"/>
      <c r="H99" s="187"/>
      <c r="I99" s="197"/>
      <c r="J99" s="197">
        <v>1.0049999999999999</v>
      </c>
      <c r="K99" s="197">
        <v>1.0049999999999999</v>
      </c>
      <c r="L99" s="195">
        <f>'Imp Crude'!L80</f>
        <v>14.669714698535982</v>
      </c>
      <c r="M99" s="195" t="e">
        <f>'Imp Crude'!M80</f>
        <v>#REF!</v>
      </c>
      <c r="N99" s="195" t="e">
        <f>'Imp Crude'!N80</f>
        <v>#REF!</v>
      </c>
      <c r="O99" s="195" t="e">
        <f>'Imp Crude'!O80</f>
        <v>#REF!</v>
      </c>
      <c r="P99" s="195" t="e">
        <f>'Imp Crude'!P80</f>
        <v>#REF!</v>
      </c>
      <c r="Q99" s="195" t="e">
        <f>'Imp Crude'!Q80</f>
        <v>#REF!</v>
      </c>
      <c r="R99" s="195" t="e">
        <f>'Imp Crude'!R80</f>
        <v>#REF!</v>
      </c>
      <c r="S99" s="195" t="e">
        <f>'Imp Crude'!S80</f>
        <v>#REF!</v>
      </c>
      <c r="T99" s="195" t="e">
        <f>'Imp Crude'!T80</f>
        <v>#REF!</v>
      </c>
      <c r="U99" s="195" t="e">
        <f>'Imp Crude'!U80</f>
        <v>#REF!</v>
      </c>
      <c r="V99" s="187"/>
      <c r="W99" s="187"/>
      <c r="X99" s="187">
        <f>'Imp Crude'!AE80</f>
        <v>2472.9069432440897</v>
      </c>
      <c r="Y99" s="187">
        <f>'Imp Crude'!AF80</f>
        <v>2440.5534840722007</v>
      </c>
      <c r="Z99" s="187"/>
      <c r="AA99" s="187"/>
      <c r="AB99" s="187"/>
      <c r="AC99" s="187"/>
      <c r="AD99" s="187"/>
      <c r="AE99" s="187"/>
      <c r="AF99" s="187"/>
      <c r="AG99" s="187"/>
      <c r="AH99" s="187"/>
      <c r="AI99" s="197"/>
      <c r="AJ99" s="197"/>
      <c r="BC99" s="147"/>
      <c r="BD99" s="147"/>
      <c r="BE99" s="147"/>
      <c r="BF99" s="147"/>
      <c r="BG99" s="147"/>
    </row>
    <row r="100" spans="2:59">
      <c r="B100" s="158" t="str">
        <f>Technologies!B93</f>
        <v>R1</v>
      </c>
      <c r="C100" s="158" t="str">
        <f>'Imp Crude'!B81</f>
        <v>IMPOILLL31</v>
      </c>
      <c r="D100" s="158" t="str">
        <f>'Imp Crude'!C81</f>
        <v>Imported Imported Oil-Low Sulfur, Low G, PADD 3, Step 1</v>
      </c>
      <c r="E100" s="197" t="str">
        <f>'Imp Crude'!D81</f>
        <v>OILLL3</v>
      </c>
      <c r="F100" s="197">
        <v>1</v>
      </c>
      <c r="G100" s="197"/>
      <c r="H100" s="187"/>
      <c r="I100" s="197"/>
      <c r="J100" s="197">
        <v>1.0049999999999999</v>
      </c>
      <c r="K100" s="197">
        <v>1.0049999999999999</v>
      </c>
      <c r="L100" s="195">
        <f>'Imp Crude'!L81</f>
        <v>13.202743228682387</v>
      </c>
      <c r="M100" s="195" t="e">
        <f>'Imp Crude'!M81</f>
        <v>#REF!</v>
      </c>
      <c r="N100" s="195" t="e">
        <f>'Imp Crude'!N81</f>
        <v>#REF!</v>
      </c>
      <c r="O100" s="195" t="e">
        <f>'Imp Crude'!O81</f>
        <v>#REF!</v>
      </c>
      <c r="P100" s="195" t="e">
        <f>'Imp Crude'!P81</f>
        <v>#REF!</v>
      </c>
      <c r="Q100" s="195" t="e">
        <f>'Imp Crude'!Q81</f>
        <v>#REF!</v>
      </c>
      <c r="R100" s="195" t="e">
        <f>'Imp Crude'!R81</f>
        <v>#REF!</v>
      </c>
      <c r="S100" s="195" t="e">
        <f>'Imp Crude'!S81</f>
        <v>#REF!</v>
      </c>
      <c r="T100" s="195" t="e">
        <f>'Imp Crude'!T81</f>
        <v>#REF!</v>
      </c>
      <c r="U100" s="195" t="e">
        <f>'Imp Crude'!U81</f>
        <v>#REF!</v>
      </c>
      <c r="V100" s="187"/>
      <c r="W100" s="187"/>
      <c r="X100" s="187">
        <f>'Imp Crude'!AE81</f>
        <v>309.11336790551127</v>
      </c>
      <c r="Y100" s="187">
        <f>'Imp Crude'!AF81</f>
        <v>305.06918550902515</v>
      </c>
      <c r="Z100" s="187"/>
      <c r="AA100" s="187"/>
      <c r="AB100" s="187"/>
      <c r="AC100" s="187"/>
      <c r="AD100" s="187"/>
      <c r="AE100" s="187"/>
      <c r="AF100" s="187"/>
      <c r="AG100" s="187"/>
      <c r="AH100" s="187"/>
      <c r="AI100" s="197"/>
      <c r="AJ100" s="197"/>
      <c r="BC100" s="147"/>
      <c r="BD100" s="147"/>
      <c r="BE100" s="147"/>
      <c r="BF100" s="147"/>
      <c r="BG100" s="147"/>
    </row>
    <row r="101" spans="2:59">
      <c r="B101" s="158" t="str">
        <f>Technologies!B94</f>
        <v>R1</v>
      </c>
      <c r="C101" s="158" t="str">
        <f>'Imp Crude'!B82</f>
        <v>IMPOILLL32</v>
      </c>
      <c r="D101" s="158" t="str">
        <f>'Imp Crude'!C82</f>
        <v>Imported Imported Oil-Low Sulfur, Low G, PADD 3, Step 2</v>
      </c>
      <c r="E101" s="197" t="str">
        <f>'Imp Crude'!D82</f>
        <v>OILLL3</v>
      </c>
      <c r="F101" s="197">
        <v>1</v>
      </c>
      <c r="G101" s="197"/>
      <c r="H101" s="187"/>
      <c r="I101" s="197"/>
      <c r="J101" s="197">
        <v>1.0049999999999999</v>
      </c>
      <c r="K101" s="197">
        <v>1.0049999999999999</v>
      </c>
      <c r="L101" s="195">
        <f>'Imp Crude'!L82</f>
        <v>13.936228963609183</v>
      </c>
      <c r="M101" s="195" t="e">
        <f>'Imp Crude'!M82</f>
        <v>#REF!</v>
      </c>
      <c r="N101" s="195" t="e">
        <f>'Imp Crude'!N82</f>
        <v>#REF!</v>
      </c>
      <c r="O101" s="195" t="e">
        <f>'Imp Crude'!O82</f>
        <v>#REF!</v>
      </c>
      <c r="P101" s="195" t="e">
        <f>'Imp Crude'!P82</f>
        <v>#REF!</v>
      </c>
      <c r="Q101" s="195" t="e">
        <f>'Imp Crude'!Q82</f>
        <v>#REF!</v>
      </c>
      <c r="R101" s="195" t="e">
        <f>'Imp Crude'!R82</f>
        <v>#REF!</v>
      </c>
      <c r="S101" s="195" t="e">
        <f>'Imp Crude'!S82</f>
        <v>#REF!</v>
      </c>
      <c r="T101" s="195" t="e">
        <f>'Imp Crude'!T82</f>
        <v>#REF!</v>
      </c>
      <c r="U101" s="195" t="e">
        <f>'Imp Crude'!U82</f>
        <v>#REF!</v>
      </c>
      <c r="V101" s="187"/>
      <c r="W101" s="187"/>
      <c r="X101" s="187">
        <f>'Imp Crude'!AE82</f>
        <v>309.11336790551127</v>
      </c>
      <c r="Y101" s="187">
        <f>'Imp Crude'!AF82</f>
        <v>305.06918550902515</v>
      </c>
      <c r="Z101" s="187"/>
      <c r="AA101" s="187"/>
      <c r="AB101" s="187"/>
      <c r="AC101" s="187"/>
      <c r="AD101" s="187"/>
      <c r="AE101" s="187"/>
      <c r="AF101" s="187"/>
      <c r="AG101" s="187"/>
      <c r="AH101" s="187"/>
      <c r="AI101" s="197"/>
      <c r="AJ101" s="197"/>
      <c r="BC101" s="147"/>
      <c r="BD101" s="147"/>
      <c r="BE101" s="147"/>
      <c r="BF101" s="147"/>
      <c r="BG101" s="147"/>
    </row>
    <row r="102" spans="2:59">
      <c r="B102" s="158" t="str">
        <f>Technologies!B95</f>
        <v>R1</v>
      </c>
      <c r="C102" s="158" t="str">
        <f>'Imp Crude'!B83</f>
        <v>IMPOILLL34</v>
      </c>
      <c r="D102" s="158" t="str">
        <f>'Imp Crude'!C83</f>
        <v>Imported Imported Oil-Low Sulfur, Low G, PADD 3, Step 4</v>
      </c>
      <c r="E102" s="197" t="str">
        <f>'Imp Crude'!D83</f>
        <v>OILLL3</v>
      </c>
      <c r="F102" s="197">
        <v>1</v>
      </c>
      <c r="G102" s="197"/>
      <c r="H102" s="187"/>
      <c r="I102" s="197"/>
      <c r="J102" s="197">
        <v>1.0049999999999999</v>
      </c>
      <c r="K102" s="197">
        <v>1.0049999999999999</v>
      </c>
      <c r="L102" s="195">
        <f>'Imp Crude'!L83</f>
        <v>15.403200433462786</v>
      </c>
      <c r="M102" s="195" t="e">
        <f>'Imp Crude'!M83</f>
        <v>#REF!</v>
      </c>
      <c r="N102" s="195" t="e">
        <f>'Imp Crude'!N83</f>
        <v>#REF!</v>
      </c>
      <c r="O102" s="195" t="e">
        <f>'Imp Crude'!O83</f>
        <v>#REF!</v>
      </c>
      <c r="P102" s="195" t="e">
        <f>'Imp Crude'!P83</f>
        <v>#REF!</v>
      </c>
      <c r="Q102" s="195" t="e">
        <f>'Imp Crude'!Q83</f>
        <v>#REF!</v>
      </c>
      <c r="R102" s="195" t="e">
        <f>'Imp Crude'!R83</f>
        <v>#REF!</v>
      </c>
      <c r="S102" s="195" t="e">
        <f>'Imp Crude'!S83</f>
        <v>#REF!</v>
      </c>
      <c r="T102" s="195" t="e">
        <f>'Imp Crude'!T83</f>
        <v>#REF!</v>
      </c>
      <c r="U102" s="195" t="e">
        <f>'Imp Crude'!U83</f>
        <v>#REF!</v>
      </c>
      <c r="V102" s="187"/>
      <c r="W102" s="187"/>
      <c r="X102" s="187">
        <f>'Imp Crude'!AE83</f>
        <v>618.22673581102254</v>
      </c>
      <c r="Y102" s="187">
        <f>'Imp Crude'!AF83</f>
        <v>610.13837101805029</v>
      </c>
      <c r="Z102" s="187"/>
      <c r="AA102" s="187"/>
      <c r="AB102" s="187"/>
      <c r="AC102" s="187"/>
      <c r="AD102" s="187"/>
      <c r="AE102" s="187"/>
      <c r="AF102" s="187"/>
      <c r="AG102" s="187"/>
      <c r="AH102" s="187"/>
      <c r="AI102" s="197"/>
      <c r="AJ102" s="197"/>
      <c r="BC102" s="147"/>
      <c r="BD102" s="147"/>
      <c r="BE102" s="147"/>
      <c r="BF102" s="147"/>
      <c r="BG102" s="147"/>
    </row>
    <row r="103" spans="2:59">
      <c r="B103" s="158" t="str">
        <f>Technologies!B96</f>
        <v>R1</v>
      </c>
      <c r="C103" s="158" t="str">
        <f>'Imp Crude'!B84</f>
        <v>IMPOILLL35</v>
      </c>
      <c r="D103" s="158" t="str">
        <f>'Imp Crude'!C84</f>
        <v>Imported Imported Oil-Low Sulfur, Low G, PADD 3, Step 5</v>
      </c>
      <c r="E103" s="197" t="str">
        <f>'Imp Crude'!D84</f>
        <v>OILLL3</v>
      </c>
      <c r="F103" s="197">
        <v>1</v>
      </c>
      <c r="G103" s="197"/>
      <c r="H103" s="187"/>
      <c r="I103" s="197"/>
      <c r="J103" s="197">
        <v>1.0049999999999999</v>
      </c>
      <c r="K103" s="197">
        <v>1.0049999999999999</v>
      </c>
      <c r="L103" s="195">
        <f>'Imp Crude'!L84</f>
        <v>19.070629108096782</v>
      </c>
      <c r="M103" s="195" t="e">
        <f>'Imp Crude'!M84</f>
        <v>#REF!</v>
      </c>
      <c r="N103" s="195" t="e">
        <f>'Imp Crude'!N84</f>
        <v>#REF!</v>
      </c>
      <c r="O103" s="195" t="e">
        <f>'Imp Crude'!O84</f>
        <v>#REF!</v>
      </c>
      <c r="P103" s="195" t="e">
        <f>'Imp Crude'!P84</f>
        <v>#REF!</v>
      </c>
      <c r="Q103" s="195" t="e">
        <f>'Imp Crude'!Q84</f>
        <v>#REF!</v>
      </c>
      <c r="R103" s="195" t="e">
        <f>'Imp Crude'!R84</f>
        <v>#REF!</v>
      </c>
      <c r="S103" s="195" t="e">
        <f>'Imp Crude'!S84</f>
        <v>#REF!</v>
      </c>
      <c r="T103" s="195" t="e">
        <f>'Imp Crude'!T84</f>
        <v>#REF!</v>
      </c>
      <c r="U103" s="195" t="e">
        <f>'Imp Crude'!U84</f>
        <v>#REF!</v>
      </c>
      <c r="V103" s="187"/>
      <c r="W103" s="187"/>
      <c r="X103" s="187">
        <f>'Imp Crude'!AE84</f>
        <v>309.1133679055115</v>
      </c>
      <c r="Y103" s="187">
        <f>'Imp Crude'!AF84</f>
        <v>305.06918550902537</v>
      </c>
      <c r="Z103" s="187"/>
      <c r="AA103" s="187"/>
      <c r="AB103" s="187"/>
      <c r="AC103" s="187"/>
      <c r="AD103" s="187"/>
      <c r="AE103" s="187"/>
      <c r="AF103" s="187"/>
      <c r="AG103" s="187"/>
      <c r="AH103" s="187"/>
      <c r="AI103" s="197"/>
      <c r="AJ103" s="197"/>
      <c r="BC103" s="147"/>
      <c r="BD103" s="147"/>
      <c r="BE103" s="147"/>
      <c r="BF103" s="147"/>
      <c r="BG103" s="147"/>
    </row>
    <row r="104" spans="2:59">
      <c r="B104" s="158" t="str">
        <f>Technologies!B97</f>
        <v>R1</v>
      </c>
      <c r="C104" s="158" t="str">
        <f>'Imp Crude'!B85</f>
        <v>IMPOILMH33</v>
      </c>
      <c r="D104" s="158" t="str">
        <f>'Imp Crude'!C85</f>
        <v>Imported Imported Oil-Medium Sulfur, HG, PADD 3, Step 3</v>
      </c>
      <c r="E104" s="197" t="str">
        <f>'Imp Crude'!D85</f>
        <v>OILMH3</v>
      </c>
      <c r="F104" s="197">
        <v>1</v>
      </c>
      <c r="G104" s="197"/>
      <c r="H104" s="187"/>
      <c r="I104" s="197"/>
      <c r="J104" s="197">
        <v>1.0049999999999999</v>
      </c>
      <c r="K104" s="197">
        <v>1.0049999999999999</v>
      </c>
      <c r="L104" s="195">
        <f>'Imp Crude'!L85</f>
        <v>12.053312370116149</v>
      </c>
      <c r="M104" s="195" t="e">
        <f>'Imp Crude'!M85</f>
        <v>#REF!</v>
      </c>
      <c r="N104" s="195" t="e">
        <f>'Imp Crude'!N85</f>
        <v>#REF!</v>
      </c>
      <c r="O104" s="195" t="e">
        <f>'Imp Crude'!O85</f>
        <v>#REF!</v>
      </c>
      <c r="P104" s="195" t="e">
        <f>'Imp Crude'!P85</f>
        <v>#REF!</v>
      </c>
      <c r="Q104" s="195" t="e">
        <f>'Imp Crude'!Q85</f>
        <v>#REF!</v>
      </c>
      <c r="R104" s="195" t="e">
        <f>'Imp Crude'!R85</f>
        <v>#REF!</v>
      </c>
      <c r="S104" s="195" t="e">
        <f>'Imp Crude'!S85</f>
        <v>#REF!</v>
      </c>
      <c r="T104" s="195" t="e">
        <f>'Imp Crude'!T85</f>
        <v>#REF!</v>
      </c>
      <c r="U104" s="195" t="e">
        <f>'Imp Crude'!U85</f>
        <v>#REF!</v>
      </c>
      <c r="V104" s="187"/>
      <c r="W104" s="187"/>
      <c r="X104" s="187">
        <f>'Imp Crude'!AE85</f>
        <v>1016.4983769986512</v>
      </c>
      <c r="Y104" s="187">
        <f>'Imp Crude'!AF85</f>
        <v>791.8308902218397</v>
      </c>
      <c r="Z104" s="187"/>
      <c r="AA104" s="187"/>
      <c r="AB104" s="187"/>
      <c r="AC104" s="187"/>
      <c r="AD104" s="187"/>
      <c r="AE104" s="187"/>
      <c r="AF104" s="187"/>
      <c r="AG104" s="187"/>
      <c r="AH104" s="187"/>
      <c r="AI104" s="197"/>
      <c r="AJ104" s="197"/>
      <c r="BC104" s="147"/>
      <c r="BD104" s="147"/>
      <c r="BE104" s="147"/>
      <c r="BF104" s="147"/>
      <c r="BG104" s="147"/>
    </row>
    <row r="105" spans="2:59">
      <c r="B105" s="158" t="str">
        <f>Technologies!B98</f>
        <v>R1</v>
      </c>
      <c r="C105" s="158" t="str">
        <f>'Imp Crude'!B86</f>
        <v>IMPOILMH31</v>
      </c>
      <c r="D105" s="158" t="str">
        <f>'Imp Crude'!C86</f>
        <v>Imported Imported Oil-Medium Sulfur, HG, PADD 3, Step 1</v>
      </c>
      <c r="E105" s="197" t="str">
        <f>'Imp Crude'!D86</f>
        <v>OILMH3</v>
      </c>
      <c r="F105" s="197">
        <v>1</v>
      </c>
      <c r="G105" s="197"/>
      <c r="H105" s="187"/>
      <c r="I105" s="197"/>
      <c r="J105" s="197">
        <v>1.0049999999999999</v>
      </c>
      <c r="K105" s="197">
        <v>1.0049999999999999</v>
      </c>
      <c r="L105" s="195">
        <f>'Imp Crude'!L86</f>
        <v>10.847981133104536</v>
      </c>
      <c r="M105" s="195" t="e">
        <f>'Imp Crude'!M86</f>
        <v>#REF!</v>
      </c>
      <c r="N105" s="195" t="e">
        <f>'Imp Crude'!N86</f>
        <v>#REF!</v>
      </c>
      <c r="O105" s="195" t="e">
        <f>'Imp Crude'!O86</f>
        <v>#REF!</v>
      </c>
      <c r="P105" s="195" t="e">
        <f>'Imp Crude'!P86</f>
        <v>#REF!</v>
      </c>
      <c r="Q105" s="195" t="e">
        <f>'Imp Crude'!Q86</f>
        <v>#REF!</v>
      </c>
      <c r="R105" s="195" t="e">
        <f>'Imp Crude'!R86</f>
        <v>#REF!</v>
      </c>
      <c r="S105" s="195" t="e">
        <f>'Imp Crude'!S86</f>
        <v>#REF!</v>
      </c>
      <c r="T105" s="195" t="e">
        <f>'Imp Crude'!T86</f>
        <v>#REF!</v>
      </c>
      <c r="U105" s="195" t="e">
        <f>'Imp Crude'!U86</f>
        <v>#REF!</v>
      </c>
      <c r="V105" s="187"/>
      <c r="W105" s="187"/>
      <c r="X105" s="187">
        <f>'Imp Crude'!AE86</f>
        <v>127.06229712483145</v>
      </c>
      <c r="Y105" s="187">
        <f>'Imp Crude'!AF86</f>
        <v>98.978861277729933</v>
      </c>
      <c r="Z105" s="187"/>
      <c r="AA105" s="187"/>
      <c r="AB105" s="187"/>
      <c r="AC105" s="187"/>
      <c r="AD105" s="187"/>
      <c r="AE105" s="187"/>
      <c r="AF105" s="187"/>
      <c r="AG105" s="187"/>
      <c r="AH105" s="187"/>
      <c r="AI105" s="197"/>
      <c r="AJ105" s="197"/>
      <c r="BC105" s="147"/>
      <c r="BD105" s="147"/>
      <c r="BE105" s="147"/>
      <c r="BF105" s="147"/>
      <c r="BG105" s="147"/>
    </row>
    <row r="106" spans="2:59">
      <c r="B106" s="158" t="str">
        <f>Technologies!B99</f>
        <v>R1</v>
      </c>
      <c r="C106" s="158" t="str">
        <f>'Imp Crude'!B87</f>
        <v>IMPOILMH32</v>
      </c>
      <c r="D106" s="158" t="str">
        <f>'Imp Crude'!C87</f>
        <v>Imported Imported Oil-Medium Sulfur, HG, PADD 3, Step 2</v>
      </c>
      <c r="E106" s="197" t="str">
        <f>'Imp Crude'!D87</f>
        <v>OILMH3</v>
      </c>
      <c r="F106" s="197">
        <v>1</v>
      </c>
      <c r="G106" s="197"/>
      <c r="H106" s="187"/>
      <c r="I106" s="197"/>
      <c r="J106" s="197">
        <v>1.0049999999999999</v>
      </c>
      <c r="K106" s="197">
        <v>1.0049999999999999</v>
      </c>
      <c r="L106" s="195">
        <f>'Imp Crude'!L87</f>
        <v>11.450646751610343</v>
      </c>
      <c r="M106" s="195" t="e">
        <f>'Imp Crude'!M87</f>
        <v>#REF!</v>
      </c>
      <c r="N106" s="195" t="e">
        <f>'Imp Crude'!N87</f>
        <v>#REF!</v>
      </c>
      <c r="O106" s="195" t="e">
        <f>'Imp Crude'!O87</f>
        <v>#REF!</v>
      </c>
      <c r="P106" s="195" t="e">
        <f>'Imp Crude'!P87</f>
        <v>#REF!</v>
      </c>
      <c r="Q106" s="195" t="e">
        <f>'Imp Crude'!Q87</f>
        <v>#REF!</v>
      </c>
      <c r="R106" s="195" t="e">
        <f>'Imp Crude'!R87</f>
        <v>#REF!</v>
      </c>
      <c r="S106" s="195" t="e">
        <f>'Imp Crude'!S87</f>
        <v>#REF!</v>
      </c>
      <c r="T106" s="195" t="e">
        <f>'Imp Crude'!T87</f>
        <v>#REF!</v>
      </c>
      <c r="U106" s="195" t="e">
        <f>'Imp Crude'!U87</f>
        <v>#REF!</v>
      </c>
      <c r="V106" s="187"/>
      <c r="W106" s="187"/>
      <c r="X106" s="187">
        <f>'Imp Crude'!AE87</f>
        <v>127.06229712483145</v>
      </c>
      <c r="Y106" s="187">
        <f>'Imp Crude'!AF87</f>
        <v>98.978861277729933</v>
      </c>
      <c r="Z106" s="187"/>
      <c r="AA106" s="187"/>
      <c r="AB106" s="187"/>
      <c r="AC106" s="187"/>
      <c r="AD106" s="187"/>
      <c r="AE106" s="187"/>
      <c r="AF106" s="187"/>
      <c r="AG106" s="187"/>
      <c r="AH106" s="187"/>
      <c r="AI106" s="197"/>
      <c r="AJ106" s="197"/>
      <c r="BC106" s="147"/>
      <c r="BD106" s="147"/>
      <c r="BE106" s="147"/>
      <c r="BF106" s="147"/>
      <c r="BG106" s="147"/>
    </row>
    <row r="107" spans="2:59">
      <c r="B107" s="158" t="str">
        <f>Technologies!B100</f>
        <v>R1</v>
      </c>
      <c r="C107" s="158" t="str">
        <f>'Imp Crude'!B88</f>
        <v>IMPOILMH34</v>
      </c>
      <c r="D107" s="158" t="str">
        <f>'Imp Crude'!C88</f>
        <v>Imported Imported Oil-Medium Sulfur, HG, PADD 3, Step 4</v>
      </c>
      <c r="E107" s="197" t="str">
        <f>'Imp Crude'!D88</f>
        <v>OILMH3</v>
      </c>
      <c r="F107" s="197">
        <v>1</v>
      </c>
      <c r="G107" s="197"/>
      <c r="H107" s="187"/>
      <c r="I107" s="197"/>
      <c r="J107" s="197">
        <v>1.0049999999999999</v>
      </c>
      <c r="K107" s="197">
        <v>1.0049999999999999</v>
      </c>
      <c r="L107" s="195">
        <f>'Imp Crude'!L88</f>
        <v>12.655977988621959</v>
      </c>
      <c r="M107" s="195" t="e">
        <f>'Imp Crude'!M88</f>
        <v>#REF!</v>
      </c>
      <c r="N107" s="195" t="e">
        <f>'Imp Crude'!N88</f>
        <v>#REF!</v>
      </c>
      <c r="O107" s="195" t="e">
        <f>'Imp Crude'!O88</f>
        <v>#REF!</v>
      </c>
      <c r="P107" s="195" t="e">
        <f>'Imp Crude'!P88</f>
        <v>#REF!</v>
      </c>
      <c r="Q107" s="195" t="e">
        <f>'Imp Crude'!Q88</f>
        <v>#REF!</v>
      </c>
      <c r="R107" s="195" t="e">
        <f>'Imp Crude'!R88</f>
        <v>#REF!</v>
      </c>
      <c r="S107" s="195" t="e">
        <f>'Imp Crude'!S88</f>
        <v>#REF!</v>
      </c>
      <c r="T107" s="195" t="e">
        <f>'Imp Crude'!T88</f>
        <v>#REF!</v>
      </c>
      <c r="U107" s="195" t="e">
        <f>'Imp Crude'!U88</f>
        <v>#REF!</v>
      </c>
      <c r="V107" s="187"/>
      <c r="W107" s="187"/>
      <c r="X107" s="187">
        <f>'Imp Crude'!AE88</f>
        <v>254.12459424966301</v>
      </c>
      <c r="Y107" s="187">
        <f>'Imp Crude'!AF88</f>
        <v>197.95772255545978</v>
      </c>
      <c r="Z107" s="187"/>
      <c r="AA107" s="187"/>
      <c r="AB107" s="187"/>
      <c r="AC107" s="187"/>
      <c r="AD107" s="187"/>
      <c r="AE107" s="187"/>
      <c r="AF107" s="187"/>
      <c r="AG107" s="187"/>
      <c r="AH107" s="187"/>
      <c r="AI107" s="197"/>
      <c r="AJ107" s="197"/>
      <c r="BC107" s="147"/>
      <c r="BD107" s="147"/>
      <c r="BE107" s="147"/>
      <c r="BF107" s="147"/>
      <c r="BG107" s="147"/>
    </row>
    <row r="108" spans="2:59">
      <c r="B108" s="158" t="str">
        <f>Technologies!B101</f>
        <v>R1</v>
      </c>
      <c r="C108" s="158" t="str">
        <f>'Imp Crude'!B89</f>
        <v>IMPOILMH35</v>
      </c>
      <c r="D108" s="158" t="str">
        <f>'Imp Crude'!C89</f>
        <v>Imported Imported Oil-Medium Sulfur, HG, PADD 3, Step 5</v>
      </c>
      <c r="E108" s="197" t="str">
        <f>'Imp Crude'!D89</f>
        <v>OILMH3</v>
      </c>
      <c r="F108" s="197">
        <v>1</v>
      </c>
      <c r="G108" s="197"/>
      <c r="H108" s="187"/>
      <c r="I108" s="197"/>
      <c r="J108" s="197">
        <v>1.0049999999999999</v>
      </c>
      <c r="K108" s="197">
        <v>1.0049999999999999</v>
      </c>
      <c r="L108" s="195">
        <f>'Imp Crude'!L89</f>
        <v>15.669306081150996</v>
      </c>
      <c r="M108" s="195" t="e">
        <f>'Imp Crude'!M89</f>
        <v>#REF!</v>
      </c>
      <c r="N108" s="195" t="e">
        <f>'Imp Crude'!N89</f>
        <v>#REF!</v>
      </c>
      <c r="O108" s="195" t="e">
        <f>'Imp Crude'!O89</f>
        <v>#REF!</v>
      </c>
      <c r="P108" s="195" t="e">
        <f>'Imp Crude'!P89</f>
        <v>#REF!</v>
      </c>
      <c r="Q108" s="195" t="e">
        <f>'Imp Crude'!Q89</f>
        <v>#REF!</v>
      </c>
      <c r="R108" s="195" t="e">
        <f>'Imp Crude'!R89</f>
        <v>#REF!</v>
      </c>
      <c r="S108" s="195" t="e">
        <f>'Imp Crude'!S89</f>
        <v>#REF!</v>
      </c>
      <c r="T108" s="195" t="e">
        <f>'Imp Crude'!T89</f>
        <v>#REF!</v>
      </c>
      <c r="U108" s="195" t="e">
        <f>'Imp Crude'!U89</f>
        <v>#REF!</v>
      </c>
      <c r="V108" s="187"/>
      <c r="W108" s="187"/>
      <c r="X108" s="187">
        <f>'Imp Crude'!AE89</f>
        <v>127.0622971248315</v>
      </c>
      <c r="Y108" s="187">
        <f>'Imp Crude'!AF89</f>
        <v>98.978861277729948</v>
      </c>
      <c r="Z108" s="187"/>
      <c r="AA108" s="187"/>
      <c r="AB108" s="187"/>
      <c r="AC108" s="187"/>
      <c r="AD108" s="187"/>
      <c r="AE108" s="187"/>
      <c r="AF108" s="187"/>
      <c r="AG108" s="187"/>
      <c r="AH108" s="187"/>
      <c r="AI108" s="197"/>
      <c r="AJ108" s="197"/>
      <c r="BC108" s="147"/>
      <c r="BD108" s="147"/>
      <c r="BE108" s="147"/>
      <c r="BF108" s="147"/>
      <c r="BG108" s="147"/>
    </row>
    <row r="109" spans="2:59">
      <c r="B109" s="158" t="s">
        <v>398</v>
      </c>
      <c r="C109" s="158"/>
      <c r="D109" s="158"/>
      <c r="E109" s="197"/>
      <c r="F109" s="197"/>
      <c r="G109" s="197"/>
      <c r="H109" s="187"/>
      <c r="I109" s="197"/>
      <c r="J109" s="197"/>
      <c r="K109" s="197"/>
      <c r="L109" s="195"/>
      <c r="M109" s="195"/>
      <c r="N109" s="195"/>
      <c r="O109" s="195"/>
      <c r="P109" s="195"/>
      <c r="Q109" s="195"/>
      <c r="R109" s="195"/>
      <c r="S109" s="195"/>
      <c r="T109" s="195"/>
      <c r="U109" s="195"/>
      <c r="V109" s="187"/>
      <c r="W109" s="187"/>
      <c r="X109" s="187"/>
      <c r="Y109" s="187"/>
      <c r="Z109" s="187"/>
      <c r="AA109" s="187"/>
      <c r="AB109" s="187"/>
      <c r="AC109" s="187"/>
      <c r="AD109" s="187"/>
      <c r="AE109" s="187"/>
      <c r="AF109" s="187"/>
      <c r="AG109" s="187"/>
      <c r="AH109" s="187"/>
      <c r="AI109" s="197"/>
      <c r="AJ109" s="197"/>
      <c r="BC109" s="147"/>
      <c r="BD109" s="147"/>
      <c r="BE109" s="147"/>
      <c r="BF109" s="147"/>
      <c r="BG109" s="147"/>
    </row>
    <row r="110" spans="2:59">
      <c r="B110" s="158" t="s">
        <v>398</v>
      </c>
      <c r="C110" s="158" t="str">
        <f>'Imp Crude'!B91</f>
        <v>IMPOILHH43</v>
      </c>
      <c r="D110" s="158" t="str">
        <f>'Imp Crude'!C91</f>
        <v>Imported Imported Oil-High Sulfur, Heavy G, PADD 4, Step 3</v>
      </c>
      <c r="E110" s="197" t="str">
        <f>'Imp Crude'!D91</f>
        <v>OILHH4</v>
      </c>
      <c r="F110" s="197">
        <v>1</v>
      </c>
      <c r="G110" s="197"/>
      <c r="H110" s="187"/>
      <c r="I110" s="197"/>
      <c r="J110" s="197">
        <v>1.0049999999999999</v>
      </c>
      <c r="K110" s="197">
        <v>1.0049999999999999</v>
      </c>
      <c r="L110" s="195">
        <f>'Imp Crude'!L91</f>
        <v>11.163537115571355</v>
      </c>
      <c r="M110" s="195" t="e">
        <f>'Imp Crude'!M91</f>
        <v>#REF!</v>
      </c>
      <c r="N110" s="195" t="e">
        <f>'Imp Crude'!N91</f>
        <v>#REF!</v>
      </c>
      <c r="O110" s="195" t="e">
        <f>'Imp Crude'!O91</f>
        <v>#REF!</v>
      </c>
      <c r="P110" s="195" t="e">
        <f>'Imp Crude'!P91</f>
        <v>#REF!</v>
      </c>
      <c r="Q110" s="195" t="e">
        <f>'Imp Crude'!Q91</f>
        <v>#REF!</v>
      </c>
      <c r="R110" s="195" t="e">
        <f>'Imp Crude'!R91</f>
        <v>#REF!</v>
      </c>
      <c r="S110" s="195" t="e">
        <f>'Imp Crude'!S91</f>
        <v>#REF!</v>
      </c>
      <c r="T110" s="195" t="e">
        <f>'Imp Crude'!T91</f>
        <v>#REF!</v>
      </c>
      <c r="U110" s="195" t="e">
        <f>'Imp Crude'!U91</f>
        <v>#REF!</v>
      </c>
      <c r="V110" s="187"/>
      <c r="W110" s="187"/>
      <c r="X110" s="187">
        <f>'Imp Crude'!AE91</f>
        <v>36.674704150517549</v>
      </c>
      <c r="Y110" s="187">
        <f>'Imp Crude'!AF91</f>
        <v>80.706700398269462</v>
      </c>
      <c r="Z110" s="187"/>
      <c r="AA110" s="187"/>
      <c r="AB110" s="187"/>
      <c r="AC110" s="187"/>
      <c r="AD110" s="187"/>
      <c r="AE110" s="187"/>
      <c r="AF110" s="187"/>
      <c r="AG110" s="187"/>
      <c r="AH110" s="187"/>
      <c r="AI110" s="197"/>
      <c r="AJ110" s="197"/>
      <c r="BC110" s="147"/>
      <c r="BD110" s="147"/>
      <c r="BE110" s="147"/>
      <c r="BF110" s="147"/>
      <c r="BG110" s="147"/>
    </row>
    <row r="111" spans="2:59">
      <c r="B111" s="158" t="s">
        <v>398</v>
      </c>
      <c r="C111" s="158" t="str">
        <f>'Imp Crude'!B92</f>
        <v>IMPOILHH41</v>
      </c>
      <c r="D111" s="158" t="str">
        <f>'Imp Crude'!C92</f>
        <v>Imported Imported Oil-High Sulfur, Heavy G, PADD 4, Step 1</v>
      </c>
      <c r="E111" s="197" t="str">
        <f>'Imp Crude'!D92</f>
        <v>OILHH4</v>
      </c>
      <c r="F111" s="197">
        <v>1</v>
      </c>
      <c r="G111" s="197"/>
      <c r="H111" s="187"/>
      <c r="I111" s="197"/>
      <c r="J111" s="197">
        <v>1.0049999999999999</v>
      </c>
      <c r="K111" s="197">
        <v>1.0049999999999999</v>
      </c>
      <c r="L111" s="195">
        <f>'Imp Crude'!L92</f>
        <v>10.04718340401422</v>
      </c>
      <c r="M111" s="195" t="e">
        <f>'Imp Crude'!M92</f>
        <v>#REF!</v>
      </c>
      <c r="N111" s="195" t="e">
        <f>'Imp Crude'!N92</f>
        <v>#REF!</v>
      </c>
      <c r="O111" s="195" t="e">
        <f>'Imp Crude'!O92</f>
        <v>#REF!</v>
      </c>
      <c r="P111" s="195" t="e">
        <f>'Imp Crude'!P92</f>
        <v>#REF!</v>
      </c>
      <c r="Q111" s="195" t="e">
        <f>'Imp Crude'!Q92</f>
        <v>#REF!</v>
      </c>
      <c r="R111" s="195" t="e">
        <f>'Imp Crude'!R92</f>
        <v>#REF!</v>
      </c>
      <c r="S111" s="195" t="e">
        <f>'Imp Crude'!S92</f>
        <v>#REF!</v>
      </c>
      <c r="T111" s="195" t="e">
        <f>'Imp Crude'!T92</f>
        <v>#REF!</v>
      </c>
      <c r="U111" s="195" t="e">
        <f>'Imp Crude'!U92</f>
        <v>#REF!</v>
      </c>
      <c r="V111" s="187"/>
      <c r="W111" s="187"/>
      <c r="X111" s="187">
        <f>'Imp Crude'!AE92</f>
        <v>4.5843380188146945</v>
      </c>
      <c r="Y111" s="187">
        <f>'Imp Crude'!AF92</f>
        <v>10.088337549783681</v>
      </c>
      <c r="Z111" s="187"/>
      <c r="AA111" s="187"/>
      <c r="AB111" s="187"/>
      <c r="AC111" s="187"/>
      <c r="AD111" s="187"/>
      <c r="AE111" s="187"/>
      <c r="AF111" s="187"/>
      <c r="AG111" s="187"/>
      <c r="AH111" s="187"/>
      <c r="AI111" s="197"/>
      <c r="AJ111" s="197"/>
      <c r="BC111" s="147"/>
      <c r="BD111" s="147"/>
      <c r="BE111" s="147"/>
      <c r="BF111" s="147"/>
      <c r="BG111" s="147"/>
    </row>
    <row r="112" spans="2:59">
      <c r="B112" s="158" t="s">
        <v>398</v>
      </c>
      <c r="C112" s="158" t="str">
        <f>'Imp Crude'!B93</f>
        <v>IMPOILHH42</v>
      </c>
      <c r="D112" s="158" t="str">
        <f>'Imp Crude'!C93</f>
        <v>Imported Imported Oil-High Sulfur, Heavy G, PADD 4, Step 2</v>
      </c>
      <c r="E112" s="197" t="str">
        <f>'Imp Crude'!D93</f>
        <v>OILHH4</v>
      </c>
      <c r="F112" s="197">
        <v>1</v>
      </c>
      <c r="G112" s="197"/>
      <c r="H112" s="187"/>
      <c r="I112" s="197"/>
      <c r="J112" s="197">
        <v>1.0049999999999999</v>
      </c>
      <c r="K112" s="197">
        <v>1.0049999999999999</v>
      </c>
      <c r="L112" s="195">
        <f>'Imp Crude'!L93</f>
        <v>10.605360259792784</v>
      </c>
      <c r="M112" s="195" t="e">
        <f>'Imp Crude'!M93</f>
        <v>#REF!</v>
      </c>
      <c r="N112" s="195" t="e">
        <f>'Imp Crude'!N93</f>
        <v>#REF!</v>
      </c>
      <c r="O112" s="195" t="e">
        <f>'Imp Crude'!O93</f>
        <v>#REF!</v>
      </c>
      <c r="P112" s="195" t="e">
        <f>'Imp Crude'!P93</f>
        <v>#REF!</v>
      </c>
      <c r="Q112" s="195" t="e">
        <f>'Imp Crude'!Q93</f>
        <v>#REF!</v>
      </c>
      <c r="R112" s="195" t="e">
        <f>'Imp Crude'!R93</f>
        <v>#REF!</v>
      </c>
      <c r="S112" s="195" t="e">
        <f>'Imp Crude'!S93</f>
        <v>#REF!</v>
      </c>
      <c r="T112" s="195" t="e">
        <f>'Imp Crude'!T93</f>
        <v>#REF!</v>
      </c>
      <c r="U112" s="195" t="e">
        <f>'Imp Crude'!U93</f>
        <v>#REF!</v>
      </c>
      <c r="V112" s="187"/>
      <c r="W112" s="187"/>
      <c r="X112" s="187">
        <f>'Imp Crude'!AE93</f>
        <v>4.5843380188146945</v>
      </c>
      <c r="Y112" s="187">
        <f>'Imp Crude'!AF93</f>
        <v>10.088337549783681</v>
      </c>
      <c r="Z112" s="187"/>
      <c r="AA112" s="187"/>
      <c r="AB112" s="187"/>
      <c r="AC112" s="187"/>
      <c r="AD112" s="187"/>
      <c r="AE112" s="187"/>
      <c r="AF112" s="187"/>
      <c r="AG112" s="187"/>
      <c r="AH112" s="187"/>
      <c r="AI112" s="197"/>
      <c r="AJ112" s="197"/>
      <c r="BC112" s="147"/>
      <c r="BD112" s="147"/>
      <c r="BE112" s="147"/>
      <c r="BF112" s="147"/>
      <c r="BG112" s="147"/>
    </row>
    <row r="113" spans="2:59">
      <c r="B113" s="158" t="s">
        <v>398</v>
      </c>
      <c r="C113" s="158" t="str">
        <f>'Imp Crude'!B94</f>
        <v>IMPOILHH44</v>
      </c>
      <c r="D113" s="158" t="str">
        <f>'Imp Crude'!C94</f>
        <v>Imported Imported Oil-High Sulfur, Heavy G, PADD 4, Step 4</v>
      </c>
      <c r="E113" s="197" t="str">
        <f>'Imp Crude'!D94</f>
        <v>OILHH4</v>
      </c>
      <c r="F113" s="197">
        <v>1</v>
      </c>
      <c r="G113" s="197"/>
      <c r="H113" s="187"/>
      <c r="I113" s="197"/>
      <c r="J113" s="197">
        <v>1.0049999999999999</v>
      </c>
      <c r="K113" s="197">
        <v>1.0049999999999999</v>
      </c>
      <c r="L113" s="195">
        <f>'Imp Crude'!L94</f>
        <v>11.721713971349921</v>
      </c>
      <c r="M113" s="195" t="e">
        <f>'Imp Crude'!M94</f>
        <v>#REF!</v>
      </c>
      <c r="N113" s="195" t="e">
        <f>'Imp Crude'!N94</f>
        <v>#REF!</v>
      </c>
      <c r="O113" s="195" t="e">
        <f>'Imp Crude'!O94</f>
        <v>#REF!</v>
      </c>
      <c r="P113" s="195" t="e">
        <f>'Imp Crude'!P94</f>
        <v>#REF!</v>
      </c>
      <c r="Q113" s="195" t="e">
        <f>'Imp Crude'!Q94</f>
        <v>#REF!</v>
      </c>
      <c r="R113" s="195" t="e">
        <f>'Imp Crude'!R94</f>
        <v>#REF!</v>
      </c>
      <c r="S113" s="195" t="e">
        <f>'Imp Crude'!S94</f>
        <v>#REF!</v>
      </c>
      <c r="T113" s="195" t="e">
        <f>'Imp Crude'!T94</f>
        <v>#REF!</v>
      </c>
      <c r="U113" s="195" t="e">
        <f>'Imp Crude'!U94</f>
        <v>#REF!</v>
      </c>
      <c r="V113" s="187"/>
      <c r="W113" s="187"/>
      <c r="X113" s="187">
        <f>'Imp Crude'!AE94</f>
        <v>9.168676037629389</v>
      </c>
      <c r="Y113" s="187">
        <f>'Imp Crude'!AF94</f>
        <v>20.176675099567333</v>
      </c>
      <c r="Z113" s="187"/>
      <c r="AA113" s="187"/>
      <c r="AB113" s="187"/>
      <c r="AC113" s="187"/>
      <c r="AD113" s="187"/>
      <c r="AE113" s="187"/>
      <c r="AF113" s="187"/>
      <c r="AG113" s="187"/>
      <c r="AH113" s="187"/>
      <c r="AI113" s="197"/>
      <c r="AJ113" s="197"/>
      <c r="BC113" s="147"/>
      <c r="BD113" s="147"/>
      <c r="BE113" s="147"/>
      <c r="BF113" s="147"/>
      <c r="BG113" s="147"/>
    </row>
    <row r="114" spans="2:59">
      <c r="B114" s="158" t="s">
        <v>398</v>
      </c>
      <c r="C114" s="158" t="str">
        <f>'Imp Crude'!B95</f>
        <v>IMPOILHH45</v>
      </c>
      <c r="D114" s="158" t="str">
        <f>'Imp Crude'!C95</f>
        <v>Imported Imported Oil-High Sulfur, Heavy G, PADD 4, Step 5</v>
      </c>
      <c r="E114" s="197" t="str">
        <f>'Imp Crude'!D95</f>
        <v>OILHH4</v>
      </c>
      <c r="F114" s="197">
        <v>1</v>
      </c>
      <c r="G114" s="197"/>
      <c r="H114" s="187"/>
      <c r="I114" s="197"/>
      <c r="J114" s="197">
        <v>1.0049999999999999</v>
      </c>
      <c r="K114" s="197">
        <v>1.0049999999999999</v>
      </c>
      <c r="L114" s="195">
        <f>'Imp Crude'!L95</f>
        <v>14.512598250242762</v>
      </c>
      <c r="M114" s="195" t="e">
        <f>'Imp Crude'!M95</f>
        <v>#REF!</v>
      </c>
      <c r="N114" s="195" t="e">
        <f>'Imp Crude'!N95</f>
        <v>#REF!</v>
      </c>
      <c r="O114" s="195" t="e">
        <f>'Imp Crude'!O95</f>
        <v>#REF!</v>
      </c>
      <c r="P114" s="195" t="e">
        <f>'Imp Crude'!P95</f>
        <v>#REF!</v>
      </c>
      <c r="Q114" s="195" t="e">
        <f>'Imp Crude'!Q95</f>
        <v>#REF!</v>
      </c>
      <c r="R114" s="195" t="e">
        <f>'Imp Crude'!R95</f>
        <v>#REF!</v>
      </c>
      <c r="S114" s="195" t="e">
        <f>'Imp Crude'!S95</f>
        <v>#REF!</v>
      </c>
      <c r="T114" s="195" t="e">
        <f>'Imp Crude'!T95</f>
        <v>#REF!</v>
      </c>
      <c r="U114" s="195" t="e">
        <f>'Imp Crude'!U95</f>
        <v>#REF!</v>
      </c>
      <c r="V114" s="187"/>
      <c r="W114" s="187"/>
      <c r="X114" s="187">
        <f>'Imp Crude'!AE95</f>
        <v>4.5843380188146909</v>
      </c>
      <c r="Y114" s="187">
        <f>'Imp Crude'!AF95</f>
        <v>10.088337549783674</v>
      </c>
      <c r="Z114" s="187"/>
      <c r="AA114" s="187"/>
      <c r="AB114" s="187"/>
      <c r="AC114" s="187"/>
      <c r="AD114" s="187"/>
      <c r="AE114" s="187"/>
      <c r="AF114" s="187"/>
      <c r="AG114" s="187"/>
      <c r="AH114" s="187"/>
      <c r="AI114" s="197"/>
      <c r="AJ114" s="197"/>
      <c r="BC114" s="147"/>
      <c r="BD114" s="147"/>
      <c r="BE114" s="147"/>
      <c r="BF114" s="147"/>
      <c r="BG114" s="147"/>
    </row>
    <row r="115" spans="2:59">
      <c r="B115" s="158" t="s">
        <v>398</v>
      </c>
      <c r="C115" s="158" t="str">
        <f>'Imp Crude'!B96</f>
        <v>IMPOILHL43</v>
      </c>
      <c r="D115" s="158" t="str">
        <f>'Imp Crude'!C96</f>
        <v>Imported Imported Oil-High Sulfur, Low G, PADD 4, Step 3</v>
      </c>
      <c r="E115" s="197" t="str">
        <f>'Imp Crude'!D96</f>
        <v>OILHL4</v>
      </c>
      <c r="F115" s="197">
        <v>1</v>
      </c>
      <c r="G115" s="197"/>
      <c r="H115" s="187"/>
      <c r="I115" s="197"/>
      <c r="J115" s="197">
        <v>1.0049999999999999</v>
      </c>
      <c r="K115" s="197">
        <v>1.0049999999999999</v>
      </c>
      <c r="L115" s="195">
        <f>'Imp Crude'!L96</f>
        <v>12.073158658321612</v>
      </c>
      <c r="M115" s="195" t="e">
        <f>'Imp Crude'!M96</f>
        <v>#REF!</v>
      </c>
      <c r="N115" s="195" t="e">
        <f>'Imp Crude'!N96</f>
        <v>#REF!</v>
      </c>
      <c r="O115" s="195" t="e">
        <f>'Imp Crude'!O96</f>
        <v>#REF!</v>
      </c>
      <c r="P115" s="195" t="e">
        <f>'Imp Crude'!P96</f>
        <v>#REF!</v>
      </c>
      <c r="Q115" s="195" t="e">
        <f>'Imp Crude'!Q96</f>
        <v>#REF!</v>
      </c>
      <c r="R115" s="195" t="e">
        <f>'Imp Crude'!R96</f>
        <v>#REF!</v>
      </c>
      <c r="S115" s="195" t="e">
        <f>'Imp Crude'!S96</f>
        <v>#REF!</v>
      </c>
      <c r="T115" s="195" t="e">
        <f>'Imp Crude'!T96</f>
        <v>#REF!</v>
      </c>
      <c r="U115" s="195" t="e">
        <f>'Imp Crude'!U96</f>
        <v>#REF!</v>
      </c>
      <c r="V115" s="187"/>
      <c r="W115" s="187"/>
      <c r="X115" s="187">
        <f>'Imp Crude'!AE96</f>
        <v>4.5633837058795326</v>
      </c>
      <c r="Y115" s="187">
        <f>'Imp Crude'!AF96</f>
        <v>2.4027612165651417</v>
      </c>
      <c r="Z115" s="187"/>
      <c r="AA115" s="187"/>
      <c r="AB115" s="187"/>
      <c r="AC115" s="187"/>
      <c r="AD115" s="187"/>
      <c r="AE115" s="187"/>
      <c r="AF115" s="187"/>
      <c r="AG115" s="187"/>
      <c r="AH115" s="187"/>
      <c r="AI115" s="197"/>
      <c r="AJ115" s="197"/>
      <c r="BC115" s="147"/>
      <c r="BD115" s="147"/>
      <c r="BE115" s="147"/>
      <c r="BF115" s="147"/>
      <c r="BG115" s="147"/>
    </row>
    <row r="116" spans="2:59">
      <c r="B116" s="158" t="s">
        <v>398</v>
      </c>
      <c r="C116" s="158" t="str">
        <f>'Imp Crude'!B97</f>
        <v>IMPOILHL41</v>
      </c>
      <c r="D116" s="158" t="str">
        <f>'Imp Crude'!C97</f>
        <v>Imported Imported Oil-High Sulfur, Low G, PADD 4, Step 1</v>
      </c>
      <c r="E116" s="197" t="str">
        <f>'Imp Crude'!D97</f>
        <v>OILHL4</v>
      </c>
      <c r="F116" s="197">
        <v>1</v>
      </c>
      <c r="G116" s="197"/>
      <c r="H116" s="187"/>
      <c r="I116" s="197"/>
      <c r="J116" s="197">
        <v>1.0049999999999999</v>
      </c>
      <c r="K116" s="197">
        <v>1.0049999999999999</v>
      </c>
      <c r="L116" s="195">
        <f>'Imp Crude'!L97</f>
        <v>10.865842792489451</v>
      </c>
      <c r="M116" s="195" t="e">
        <f>'Imp Crude'!M97</f>
        <v>#REF!</v>
      </c>
      <c r="N116" s="195" t="e">
        <f>'Imp Crude'!N97</f>
        <v>#REF!</v>
      </c>
      <c r="O116" s="195" t="e">
        <f>'Imp Crude'!O97</f>
        <v>#REF!</v>
      </c>
      <c r="P116" s="195" t="e">
        <f>'Imp Crude'!P97</f>
        <v>#REF!</v>
      </c>
      <c r="Q116" s="195" t="e">
        <f>'Imp Crude'!Q97</f>
        <v>#REF!</v>
      </c>
      <c r="R116" s="195" t="e">
        <f>'Imp Crude'!R97</f>
        <v>#REF!</v>
      </c>
      <c r="S116" s="195" t="e">
        <f>'Imp Crude'!S97</f>
        <v>#REF!</v>
      </c>
      <c r="T116" s="195" t="e">
        <f>'Imp Crude'!T97</f>
        <v>#REF!</v>
      </c>
      <c r="U116" s="195" t="e">
        <f>'Imp Crude'!U97</f>
        <v>#REF!</v>
      </c>
      <c r="V116" s="187"/>
      <c r="W116" s="187"/>
      <c r="X116" s="187">
        <f>'Imp Crude'!AE97</f>
        <v>0.57042296323494157</v>
      </c>
      <c r="Y116" s="187">
        <f>'Imp Crude'!AF97</f>
        <v>0.30034515207064266</v>
      </c>
      <c r="Z116" s="187"/>
      <c r="AA116" s="187"/>
      <c r="AB116" s="187"/>
      <c r="AC116" s="187"/>
      <c r="AD116" s="187"/>
      <c r="AE116" s="187"/>
      <c r="AF116" s="187"/>
      <c r="AG116" s="187"/>
      <c r="AH116" s="187"/>
      <c r="AI116" s="197"/>
      <c r="AJ116" s="197"/>
      <c r="BC116" s="147"/>
      <c r="BD116" s="147"/>
      <c r="BE116" s="147"/>
      <c r="BF116" s="147"/>
      <c r="BG116" s="147"/>
    </row>
    <row r="117" spans="2:59">
      <c r="B117" s="158" t="s">
        <v>398</v>
      </c>
      <c r="C117" s="158" t="str">
        <f>'Imp Crude'!B98</f>
        <v>IMPOILHL42</v>
      </c>
      <c r="D117" s="158" t="str">
        <f>'Imp Crude'!C98</f>
        <v>Imported Imported Oil-High Sulfur, Low G, PADD 4, Step 2</v>
      </c>
      <c r="E117" s="197" t="str">
        <f>'Imp Crude'!D98</f>
        <v>OILHL4</v>
      </c>
      <c r="F117" s="197">
        <v>1</v>
      </c>
      <c r="G117" s="197"/>
      <c r="H117" s="187"/>
      <c r="I117" s="197"/>
      <c r="J117" s="197">
        <v>1.0049999999999999</v>
      </c>
      <c r="K117" s="197">
        <v>1.0049999999999999</v>
      </c>
      <c r="L117" s="195">
        <f>'Imp Crude'!L98</f>
        <v>11.469500725405531</v>
      </c>
      <c r="M117" s="195" t="e">
        <f>'Imp Crude'!M98</f>
        <v>#REF!</v>
      </c>
      <c r="N117" s="195" t="e">
        <f>'Imp Crude'!N98</f>
        <v>#REF!</v>
      </c>
      <c r="O117" s="195" t="e">
        <f>'Imp Crude'!O98</f>
        <v>#REF!</v>
      </c>
      <c r="P117" s="195" t="e">
        <f>'Imp Crude'!P98</f>
        <v>#REF!</v>
      </c>
      <c r="Q117" s="195" t="e">
        <f>'Imp Crude'!Q98</f>
        <v>#REF!</v>
      </c>
      <c r="R117" s="195" t="e">
        <f>'Imp Crude'!R98</f>
        <v>#REF!</v>
      </c>
      <c r="S117" s="195" t="e">
        <f>'Imp Crude'!S98</f>
        <v>#REF!</v>
      </c>
      <c r="T117" s="195" t="e">
        <f>'Imp Crude'!T98</f>
        <v>#REF!</v>
      </c>
      <c r="U117" s="195" t="e">
        <f>'Imp Crude'!U98</f>
        <v>#REF!</v>
      </c>
      <c r="V117" s="187"/>
      <c r="W117" s="187"/>
      <c r="X117" s="187">
        <f>'Imp Crude'!AE98</f>
        <v>0.57042296323494157</v>
      </c>
      <c r="Y117" s="187">
        <f>'Imp Crude'!AF98</f>
        <v>0.30034515207064266</v>
      </c>
      <c r="Z117" s="187"/>
      <c r="AA117" s="187"/>
      <c r="AB117" s="187"/>
      <c r="AC117" s="187"/>
      <c r="AD117" s="187"/>
      <c r="AE117" s="187"/>
      <c r="AF117" s="187"/>
      <c r="AG117" s="187"/>
      <c r="AH117" s="187"/>
      <c r="AI117" s="197"/>
      <c r="AJ117" s="197"/>
      <c r="BC117" s="147"/>
      <c r="BD117" s="147"/>
      <c r="BE117" s="147"/>
      <c r="BF117" s="147"/>
      <c r="BG117" s="147"/>
    </row>
    <row r="118" spans="2:59">
      <c r="B118" s="158" t="s">
        <v>398</v>
      </c>
      <c r="C118" s="158" t="str">
        <f>'Imp Crude'!B99</f>
        <v>IMPOILHL44</v>
      </c>
      <c r="D118" s="158" t="str">
        <f>'Imp Crude'!C99</f>
        <v>Imported Imported Oil-High Sulfur, Low G, PADD 4, Step 4</v>
      </c>
      <c r="E118" s="197" t="str">
        <f>'Imp Crude'!D99</f>
        <v>OILHL4</v>
      </c>
      <c r="F118" s="197">
        <v>1</v>
      </c>
      <c r="G118" s="197"/>
      <c r="H118" s="187"/>
      <c r="I118" s="197"/>
      <c r="J118" s="197">
        <v>1.0049999999999999</v>
      </c>
      <c r="K118" s="197">
        <v>1.0049999999999999</v>
      </c>
      <c r="L118" s="195">
        <f>'Imp Crude'!L99</f>
        <v>12.676816591237694</v>
      </c>
      <c r="M118" s="195" t="e">
        <f>'Imp Crude'!M99</f>
        <v>#REF!</v>
      </c>
      <c r="N118" s="195" t="e">
        <f>'Imp Crude'!N99</f>
        <v>#REF!</v>
      </c>
      <c r="O118" s="195" t="e">
        <f>'Imp Crude'!O99</f>
        <v>#REF!</v>
      </c>
      <c r="P118" s="195" t="e">
        <f>'Imp Crude'!P99</f>
        <v>#REF!</v>
      </c>
      <c r="Q118" s="195" t="e">
        <f>'Imp Crude'!Q99</f>
        <v>#REF!</v>
      </c>
      <c r="R118" s="195" t="e">
        <f>'Imp Crude'!R99</f>
        <v>#REF!</v>
      </c>
      <c r="S118" s="195" t="e">
        <f>'Imp Crude'!S99</f>
        <v>#REF!</v>
      </c>
      <c r="T118" s="195" t="e">
        <f>'Imp Crude'!T99</f>
        <v>#REF!</v>
      </c>
      <c r="U118" s="195" t="e">
        <f>'Imp Crude'!U99</f>
        <v>#REF!</v>
      </c>
      <c r="V118" s="187"/>
      <c r="W118" s="187"/>
      <c r="X118" s="187">
        <f>'Imp Crude'!AE99</f>
        <v>1.1408459264698836</v>
      </c>
      <c r="Y118" s="187">
        <f>'Imp Crude'!AF99</f>
        <v>0.60069030414128521</v>
      </c>
      <c r="Z118" s="187"/>
      <c r="AA118" s="187"/>
      <c r="AB118" s="187"/>
      <c r="AC118" s="187"/>
      <c r="AD118" s="187"/>
      <c r="AE118" s="187"/>
      <c r="AF118" s="187"/>
      <c r="AG118" s="187"/>
      <c r="AH118" s="187"/>
      <c r="AI118" s="197"/>
      <c r="AJ118" s="197"/>
      <c r="BC118" s="147"/>
      <c r="BD118" s="147"/>
      <c r="BE118" s="147"/>
      <c r="BF118" s="147"/>
      <c r="BG118" s="147"/>
    </row>
    <row r="119" spans="2:59">
      <c r="B119" s="158" t="s">
        <v>398</v>
      </c>
      <c r="C119" s="158" t="str">
        <f>'Imp Crude'!B100</f>
        <v>IMPOILHL45</v>
      </c>
      <c r="D119" s="158" t="str">
        <f>'Imp Crude'!C100</f>
        <v>Imported Imported Oil-High Sulfur, Low G, PADD 4, Step 5</v>
      </c>
      <c r="E119" s="197" t="str">
        <f>'Imp Crude'!D100</f>
        <v>OILHL4</v>
      </c>
      <c r="F119" s="197">
        <v>1</v>
      </c>
      <c r="G119" s="197"/>
      <c r="H119" s="187"/>
      <c r="I119" s="197"/>
      <c r="J119" s="197">
        <v>1.0049999999999999</v>
      </c>
      <c r="K119" s="197">
        <v>1.0049999999999999</v>
      </c>
      <c r="L119" s="195">
        <f>'Imp Crude'!L100</f>
        <v>15.695106255818095</v>
      </c>
      <c r="M119" s="195" t="e">
        <f>'Imp Crude'!M100</f>
        <v>#REF!</v>
      </c>
      <c r="N119" s="195" t="e">
        <f>'Imp Crude'!N100</f>
        <v>#REF!</v>
      </c>
      <c r="O119" s="195" t="e">
        <f>'Imp Crude'!O100</f>
        <v>#REF!</v>
      </c>
      <c r="P119" s="195" t="e">
        <f>'Imp Crude'!P100</f>
        <v>#REF!</v>
      </c>
      <c r="Q119" s="195" t="e">
        <f>'Imp Crude'!Q100</f>
        <v>#REF!</v>
      </c>
      <c r="R119" s="195" t="e">
        <f>'Imp Crude'!R100</f>
        <v>#REF!</v>
      </c>
      <c r="S119" s="195" t="e">
        <f>'Imp Crude'!S100</f>
        <v>#REF!</v>
      </c>
      <c r="T119" s="195" t="e">
        <f>'Imp Crude'!T100</f>
        <v>#REF!</v>
      </c>
      <c r="U119" s="195" t="e">
        <f>'Imp Crude'!U100</f>
        <v>#REF!</v>
      </c>
      <c r="V119" s="187"/>
      <c r="W119" s="187"/>
      <c r="X119" s="187">
        <f>'Imp Crude'!AE100</f>
        <v>0.57042296323494224</v>
      </c>
      <c r="Y119" s="187">
        <f>'Imp Crude'!AF100</f>
        <v>0.30034515207064283</v>
      </c>
      <c r="Z119" s="187"/>
      <c r="AA119" s="187"/>
      <c r="AB119" s="187"/>
      <c r="AC119" s="187"/>
      <c r="AD119" s="187"/>
      <c r="AE119" s="187"/>
      <c r="AF119" s="187"/>
      <c r="AG119" s="187"/>
      <c r="AH119" s="187"/>
      <c r="AI119" s="197"/>
      <c r="AJ119" s="197"/>
      <c r="BC119" s="147"/>
      <c r="BD119" s="147"/>
      <c r="BE119" s="147"/>
      <c r="BF119" s="147"/>
      <c r="BG119" s="147"/>
    </row>
    <row r="120" spans="2:59">
      <c r="B120" s="158" t="s">
        <v>398</v>
      </c>
      <c r="C120" s="158" t="str">
        <f>'Imp Crude'!B101</f>
        <v>IMPOILHV43</v>
      </c>
      <c r="D120" s="158" t="str">
        <f>'Imp Crude'!C101</f>
        <v>Imported Imported Oil-High Sulfur, Very HG, PADD 4, Step 3</v>
      </c>
      <c r="E120" s="197" t="str">
        <f>'Imp Crude'!D101</f>
        <v>OILHV4</v>
      </c>
      <c r="F120" s="197">
        <v>1</v>
      </c>
      <c r="G120" s="197"/>
      <c r="H120" s="187"/>
      <c r="I120" s="197"/>
      <c r="J120" s="197">
        <v>1.0049999999999999</v>
      </c>
      <c r="K120" s="197">
        <v>1.0049999999999999</v>
      </c>
      <c r="L120" s="195">
        <f>'Imp Crude'!L101</f>
        <v>11.064305674544054</v>
      </c>
      <c r="M120" s="195" t="e">
        <f>'Imp Crude'!M101</f>
        <v>#REF!</v>
      </c>
      <c r="N120" s="195" t="e">
        <f>'Imp Crude'!N101</f>
        <v>#REF!</v>
      </c>
      <c r="O120" s="195" t="e">
        <f>'Imp Crude'!O101</f>
        <v>#REF!</v>
      </c>
      <c r="P120" s="195" t="e">
        <f>'Imp Crude'!P101</f>
        <v>#REF!</v>
      </c>
      <c r="Q120" s="195" t="e">
        <f>'Imp Crude'!Q101</f>
        <v>#REF!</v>
      </c>
      <c r="R120" s="195" t="e">
        <f>'Imp Crude'!R101</f>
        <v>#REF!</v>
      </c>
      <c r="S120" s="195" t="e">
        <f>'Imp Crude'!S101</f>
        <v>#REF!</v>
      </c>
      <c r="T120" s="195" t="e">
        <f>'Imp Crude'!T101</f>
        <v>#REF!</v>
      </c>
      <c r="U120" s="195" t="e">
        <f>'Imp Crude'!U101</f>
        <v>#REF!</v>
      </c>
      <c r="V120" s="187"/>
      <c r="W120" s="187"/>
      <c r="X120" s="187">
        <f>'Imp Crude'!AE101</f>
        <v>252.02916295614671</v>
      </c>
      <c r="Y120" s="187">
        <f>'Imp Crude'!AF101</f>
        <v>215.65247570070704</v>
      </c>
      <c r="Z120" s="187"/>
      <c r="AA120" s="187"/>
      <c r="AB120" s="187"/>
      <c r="AC120" s="187"/>
      <c r="AD120" s="187"/>
      <c r="AE120" s="187"/>
      <c r="AF120" s="187"/>
      <c r="AG120" s="187"/>
      <c r="AH120" s="187"/>
      <c r="AI120" s="197"/>
      <c r="AJ120" s="197"/>
      <c r="BC120" s="147"/>
      <c r="BD120" s="147"/>
      <c r="BE120" s="147"/>
      <c r="BF120" s="147"/>
      <c r="BG120" s="147"/>
    </row>
    <row r="121" spans="2:59">
      <c r="B121" s="158" t="s">
        <v>398</v>
      </c>
      <c r="C121" s="158" t="str">
        <f>'Imp Crude'!B102</f>
        <v>IMPOILHV41</v>
      </c>
      <c r="D121" s="158" t="str">
        <f>'Imp Crude'!C102</f>
        <v>Imported Imported Oil-High Sulfur, Very HG, PADD 4, Step 1</v>
      </c>
      <c r="E121" s="197" t="str">
        <f>'Imp Crude'!D102</f>
        <v>OILHV4</v>
      </c>
      <c r="F121" s="197">
        <v>1</v>
      </c>
      <c r="G121" s="197"/>
      <c r="H121" s="187"/>
      <c r="I121" s="197"/>
      <c r="J121" s="197">
        <v>1.0049999999999999</v>
      </c>
      <c r="K121" s="197">
        <v>1.0049999999999999</v>
      </c>
      <c r="L121" s="195">
        <f>'Imp Crude'!L102</f>
        <v>9.9578751070896452</v>
      </c>
      <c r="M121" s="195" t="e">
        <f>'Imp Crude'!M102</f>
        <v>#REF!</v>
      </c>
      <c r="N121" s="195" t="e">
        <f>'Imp Crude'!N102</f>
        <v>#REF!</v>
      </c>
      <c r="O121" s="195" t="e">
        <f>'Imp Crude'!O102</f>
        <v>#REF!</v>
      </c>
      <c r="P121" s="195" t="e">
        <f>'Imp Crude'!P102</f>
        <v>#REF!</v>
      </c>
      <c r="Q121" s="195" t="e">
        <f>'Imp Crude'!Q102</f>
        <v>#REF!</v>
      </c>
      <c r="R121" s="195" t="e">
        <f>'Imp Crude'!R102</f>
        <v>#REF!</v>
      </c>
      <c r="S121" s="195" t="e">
        <f>'Imp Crude'!S102</f>
        <v>#REF!</v>
      </c>
      <c r="T121" s="195" t="e">
        <f>'Imp Crude'!T102</f>
        <v>#REF!</v>
      </c>
      <c r="U121" s="195" t="e">
        <f>'Imp Crude'!U102</f>
        <v>#REF!</v>
      </c>
      <c r="V121" s="187"/>
      <c r="W121" s="187"/>
      <c r="X121" s="187">
        <f>'Imp Crude'!AE102</f>
        <v>31.503645369518349</v>
      </c>
      <c r="Y121" s="187">
        <f>'Imp Crude'!AF102</f>
        <v>26.95655946258838</v>
      </c>
      <c r="Z121" s="187"/>
      <c r="AA121" s="187"/>
      <c r="AB121" s="187"/>
      <c r="AC121" s="187"/>
      <c r="AD121" s="187"/>
      <c r="AE121" s="187"/>
      <c r="AF121" s="187"/>
      <c r="AG121" s="187"/>
      <c r="AH121" s="187"/>
      <c r="AI121" s="197"/>
      <c r="AJ121" s="197"/>
      <c r="BC121" s="147"/>
      <c r="BD121" s="147"/>
      <c r="BE121" s="147"/>
      <c r="BF121" s="147"/>
      <c r="BG121" s="147"/>
    </row>
    <row r="122" spans="2:59">
      <c r="B122" s="158" t="s">
        <v>398</v>
      </c>
      <c r="C122" s="158" t="str">
        <f>'Imp Crude'!B103</f>
        <v>IMPOILHV42</v>
      </c>
      <c r="D122" s="158" t="str">
        <f>'Imp Crude'!C103</f>
        <v>Imported Imported Oil-High Sulfur, Very HG, PADD 4, Step 2</v>
      </c>
      <c r="E122" s="197" t="str">
        <f>'Imp Crude'!D103</f>
        <v>OILHV4</v>
      </c>
      <c r="F122" s="197">
        <v>1</v>
      </c>
      <c r="G122" s="197"/>
      <c r="H122" s="187"/>
      <c r="I122" s="197"/>
      <c r="J122" s="197">
        <v>1.0049999999999999</v>
      </c>
      <c r="K122" s="197">
        <v>1.0049999999999999</v>
      </c>
      <c r="L122" s="195">
        <f>'Imp Crude'!L103</f>
        <v>10.511090390816848</v>
      </c>
      <c r="M122" s="195" t="e">
        <f>'Imp Crude'!M103</f>
        <v>#REF!</v>
      </c>
      <c r="N122" s="195" t="e">
        <f>'Imp Crude'!N103</f>
        <v>#REF!</v>
      </c>
      <c r="O122" s="195" t="e">
        <f>'Imp Crude'!O103</f>
        <v>#REF!</v>
      </c>
      <c r="P122" s="195" t="e">
        <f>'Imp Crude'!P103</f>
        <v>#REF!</v>
      </c>
      <c r="Q122" s="195" t="e">
        <f>'Imp Crude'!Q103</f>
        <v>#REF!</v>
      </c>
      <c r="R122" s="195" t="e">
        <f>'Imp Crude'!R103</f>
        <v>#REF!</v>
      </c>
      <c r="S122" s="195" t="e">
        <f>'Imp Crude'!S103</f>
        <v>#REF!</v>
      </c>
      <c r="T122" s="195" t="e">
        <f>'Imp Crude'!T103</f>
        <v>#REF!</v>
      </c>
      <c r="U122" s="195" t="e">
        <f>'Imp Crude'!U103</f>
        <v>#REF!</v>
      </c>
      <c r="V122" s="187"/>
      <c r="W122" s="187"/>
      <c r="X122" s="187">
        <f>'Imp Crude'!AE103</f>
        <v>31.503645369518349</v>
      </c>
      <c r="Y122" s="187">
        <f>'Imp Crude'!AF103</f>
        <v>26.95655946258838</v>
      </c>
      <c r="Z122" s="187"/>
      <c r="AA122" s="187"/>
      <c r="AB122" s="187"/>
      <c r="AC122" s="187"/>
      <c r="AD122" s="187"/>
      <c r="AE122" s="187"/>
      <c r="AF122" s="187"/>
      <c r="AG122" s="187"/>
      <c r="AH122" s="187"/>
      <c r="AI122" s="197"/>
      <c r="AJ122" s="197"/>
      <c r="BC122" s="147"/>
      <c r="BD122" s="147"/>
      <c r="BE122" s="147"/>
      <c r="BF122" s="147"/>
      <c r="BG122" s="147"/>
    </row>
    <row r="123" spans="2:59">
      <c r="B123" s="158" t="s">
        <v>398</v>
      </c>
      <c r="C123" s="158" t="str">
        <f>'Imp Crude'!B104</f>
        <v>IMPOILHV44</v>
      </c>
      <c r="D123" s="158" t="str">
        <f>'Imp Crude'!C104</f>
        <v>Imported Imported Oil-High Sulfur, Very HG, PADD 4, Step 4</v>
      </c>
      <c r="E123" s="197" t="str">
        <f>'Imp Crude'!D104</f>
        <v>OILHV4</v>
      </c>
      <c r="F123" s="197">
        <v>1</v>
      </c>
      <c r="G123" s="197"/>
      <c r="H123" s="187"/>
      <c r="I123" s="197"/>
      <c r="J123" s="197">
        <v>1.0049999999999999</v>
      </c>
      <c r="K123" s="197">
        <v>1.0049999999999999</v>
      </c>
      <c r="L123" s="195">
        <f>'Imp Crude'!L104</f>
        <v>11.617520958271253</v>
      </c>
      <c r="M123" s="195" t="e">
        <f>'Imp Crude'!M104</f>
        <v>#REF!</v>
      </c>
      <c r="N123" s="195" t="e">
        <f>'Imp Crude'!N104</f>
        <v>#REF!</v>
      </c>
      <c r="O123" s="195" t="e">
        <f>'Imp Crude'!O104</f>
        <v>#REF!</v>
      </c>
      <c r="P123" s="195" t="e">
        <f>'Imp Crude'!P104</f>
        <v>#REF!</v>
      </c>
      <c r="Q123" s="195" t="e">
        <f>'Imp Crude'!Q104</f>
        <v>#REF!</v>
      </c>
      <c r="R123" s="195" t="e">
        <f>'Imp Crude'!R104</f>
        <v>#REF!</v>
      </c>
      <c r="S123" s="195" t="e">
        <f>'Imp Crude'!S104</f>
        <v>#REF!</v>
      </c>
      <c r="T123" s="195" t="e">
        <f>'Imp Crude'!T104</f>
        <v>#REF!</v>
      </c>
      <c r="U123" s="195" t="e">
        <f>'Imp Crude'!U104</f>
        <v>#REF!</v>
      </c>
      <c r="V123" s="187"/>
      <c r="W123" s="187"/>
      <c r="X123" s="187">
        <f>'Imp Crude'!AE104</f>
        <v>63.007290739036591</v>
      </c>
      <c r="Y123" s="187">
        <f>'Imp Crude'!AF104</f>
        <v>53.913118925176775</v>
      </c>
      <c r="Z123" s="187"/>
      <c r="AA123" s="187"/>
      <c r="AB123" s="187"/>
      <c r="AC123" s="187"/>
      <c r="AD123" s="187"/>
      <c r="AE123" s="187"/>
      <c r="AF123" s="187"/>
      <c r="AG123" s="187"/>
      <c r="AH123" s="187"/>
      <c r="AI123" s="197"/>
      <c r="AJ123" s="197"/>
      <c r="BC123" s="147"/>
      <c r="BD123" s="147"/>
      <c r="BE123" s="147"/>
      <c r="BF123" s="147"/>
      <c r="BG123" s="147"/>
    </row>
    <row r="124" spans="2:59">
      <c r="B124" s="158" t="s">
        <v>398</v>
      </c>
      <c r="C124" s="158" t="str">
        <f>'Imp Crude'!B105</f>
        <v>IMPOILHV45</v>
      </c>
      <c r="D124" s="158" t="str">
        <f>'Imp Crude'!C105</f>
        <v>Imported Imported Oil-High Sulfur, Very HG, PADD 4, Step 5</v>
      </c>
      <c r="E124" s="197" t="str">
        <f>'Imp Crude'!D105</f>
        <v>OILHV4</v>
      </c>
      <c r="F124" s="197">
        <v>1</v>
      </c>
      <c r="G124" s="197"/>
      <c r="H124" s="187"/>
      <c r="I124" s="197"/>
      <c r="J124" s="197">
        <v>1.0049999999999999</v>
      </c>
      <c r="K124" s="197">
        <v>1.0049999999999999</v>
      </c>
      <c r="L124" s="195">
        <f>'Imp Crude'!L105</f>
        <v>14.383597376907268</v>
      </c>
      <c r="M124" s="195" t="e">
        <f>'Imp Crude'!M105</f>
        <v>#REF!</v>
      </c>
      <c r="N124" s="195" t="e">
        <f>'Imp Crude'!N105</f>
        <v>#REF!</v>
      </c>
      <c r="O124" s="195" t="e">
        <f>'Imp Crude'!O105</f>
        <v>#REF!</v>
      </c>
      <c r="P124" s="195" t="e">
        <f>'Imp Crude'!P105</f>
        <v>#REF!</v>
      </c>
      <c r="Q124" s="195" t="e">
        <f>'Imp Crude'!Q105</f>
        <v>#REF!</v>
      </c>
      <c r="R124" s="195" t="e">
        <f>'Imp Crude'!R105</f>
        <v>#REF!</v>
      </c>
      <c r="S124" s="195" t="e">
        <f>'Imp Crude'!S105</f>
        <v>#REF!</v>
      </c>
      <c r="T124" s="195" t="e">
        <f>'Imp Crude'!T105</f>
        <v>#REF!</v>
      </c>
      <c r="U124" s="195" t="e">
        <f>'Imp Crude'!U105</f>
        <v>#REF!</v>
      </c>
      <c r="V124" s="187"/>
      <c r="W124" s="187"/>
      <c r="X124" s="187">
        <f>'Imp Crude'!AE105</f>
        <v>31.503645369518551</v>
      </c>
      <c r="Y124" s="187">
        <f>'Imp Crude'!AF105</f>
        <v>26.956559462588416</v>
      </c>
      <c r="Z124" s="187"/>
      <c r="AA124" s="187"/>
      <c r="AB124" s="187"/>
      <c r="AC124" s="187"/>
      <c r="AD124" s="187"/>
      <c r="AE124" s="187"/>
      <c r="AF124" s="187"/>
      <c r="AG124" s="187"/>
      <c r="AH124" s="187"/>
      <c r="AI124" s="197"/>
      <c r="AJ124" s="197"/>
      <c r="BC124" s="147"/>
      <c r="BD124" s="147"/>
      <c r="BE124" s="147"/>
      <c r="BF124" s="147"/>
      <c r="BG124" s="147"/>
    </row>
    <row r="125" spans="2:59">
      <c r="B125" s="158" t="s">
        <v>398</v>
      </c>
      <c r="C125" s="158" t="str">
        <f>'Imp Crude'!B106</f>
        <v>IMPOILLL43</v>
      </c>
      <c r="D125" s="158" t="str">
        <f>'Imp Crude'!C106</f>
        <v>Imported Imported Oil-Low Sulfur, Low G, PADD 4, Step 3</v>
      </c>
      <c r="E125" s="197" t="str">
        <f>'Imp Crude'!D106</f>
        <v>OILLL4</v>
      </c>
      <c r="F125" s="197">
        <v>1</v>
      </c>
      <c r="G125" s="197"/>
      <c r="H125" s="187"/>
      <c r="I125" s="197"/>
      <c r="J125" s="197">
        <v>1.0049999999999999</v>
      </c>
      <c r="K125" s="197">
        <v>1.0049999999999999</v>
      </c>
      <c r="L125" s="195">
        <f>'Imp Crude'!L106</f>
        <v>14.669714698535982</v>
      </c>
      <c r="M125" s="195" t="e">
        <f>'Imp Crude'!M106</f>
        <v>#REF!</v>
      </c>
      <c r="N125" s="195" t="e">
        <f>'Imp Crude'!N106</f>
        <v>#REF!</v>
      </c>
      <c r="O125" s="195" t="e">
        <f>'Imp Crude'!O106</f>
        <v>#REF!</v>
      </c>
      <c r="P125" s="195" t="e">
        <f>'Imp Crude'!P106</f>
        <v>#REF!</v>
      </c>
      <c r="Q125" s="195" t="e">
        <f>'Imp Crude'!Q106</f>
        <v>#REF!</v>
      </c>
      <c r="R125" s="195" t="e">
        <f>'Imp Crude'!R106</f>
        <v>#REF!</v>
      </c>
      <c r="S125" s="195" t="e">
        <f>'Imp Crude'!S106</f>
        <v>#REF!</v>
      </c>
      <c r="T125" s="195" t="e">
        <f>'Imp Crude'!T106</f>
        <v>#REF!</v>
      </c>
      <c r="U125" s="195" t="e">
        <f>'Imp Crude'!U106</f>
        <v>#REF!</v>
      </c>
      <c r="V125" s="187"/>
      <c r="W125" s="187"/>
      <c r="X125" s="187">
        <f>'Imp Crude'!AE106</f>
        <v>159.941942377092</v>
      </c>
      <c r="Y125" s="187">
        <f>'Imp Crude'!AF106</f>
        <v>72.45535761580156</v>
      </c>
      <c r="Z125" s="187"/>
      <c r="AA125" s="187"/>
      <c r="AB125" s="187"/>
      <c r="AC125" s="187"/>
      <c r="AD125" s="187"/>
      <c r="AE125" s="187"/>
      <c r="AF125" s="187"/>
      <c r="AG125" s="187"/>
      <c r="AH125" s="187"/>
      <c r="AI125" s="197"/>
      <c r="AJ125" s="197"/>
      <c r="BC125" s="147"/>
      <c r="BD125" s="147"/>
      <c r="BE125" s="147"/>
      <c r="BF125" s="147"/>
      <c r="BG125" s="147"/>
    </row>
    <row r="126" spans="2:59">
      <c r="B126" s="158" t="s">
        <v>398</v>
      </c>
      <c r="C126" s="158" t="str">
        <f>'Imp Crude'!B107</f>
        <v>IMPOILLL41</v>
      </c>
      <c r="D126" s="158" t="str">
        <f>'Imp Crude'!C107</f>
        <v>Imported Imported Oil-Low Sulfur, Low G, PADD 4, Step 1</v>
      </c>
      <c r="E126" s="197" t="str">
        <f>'Imp Crude'!D107</f>
        <v>OILLL4</v>
      </c>
      <c r="F126" s="197">
        <v>1</v>
      </c>
      <c r="G126" s="197"/>
      <c r="H126" s="187"/>
      <c r="I126" s="197"/>
      <c r="J126" s="197">
        <v>1.0049999999999999</v>
      </c>
      <c r="K126" s="197">
        <v>1.0049999999999999</v>
      </c>
      <c r="L126" s="195">
        <f>'Imp Crude'!L107</f>
        <v>13.202743228682387</v>
      </c>
      <c r="M126" s="195" t="e">
        <f>'Imp Crude'!M107</f>
        <v>#REF!</v>
      </c>
      <c r="N126" s="195" t="e">
        <f>'Imp Crude'!N107</f>
        <v>#REF!</v>
      </c>
      <c r="O126" s="195" t="e">
        <f>'Imp Crude'!O107</f>
        <v>#REF!</v>
      </c>
      <c r="P126" s="195" t="e">
        <f>'Imp Crude'!P107</f>
        <v>#REF!</v>
      </c>
      <c r="Q126" s="195" t="e">
        <f>'Imp Crude'!Q107</f>
        <v>#REF!</v>
      </c>
      <c r="R126" s="195" t="e">
        <f>'Imp Crude'!R107</f>
        <v>#REF!</v>
      </c>
      <c r="S126" s="195" t="e">
        <f>'Imp Crude'!S107</f>
        <v>#REF!</v>
      </c>
      <c r="T126" s="195" t="e">
        <f>'Imp Crude'!T107</f>
        <v>#REF!</v>
      </c>
      <c r="U126" s="195" t="e">
        <f>'Imp Crude'!U107</f>
        <v>#REF!</v>
      </c>
      <c r="V126" s="187"/>
      <c r="W126" s="187"/>
      <c r="X126" s="187">
        <f>'Imp Crude'!AE107</f>
        <v>19.992742797136504</v>
      </c>
      <c r="Y126" s="187">
        <f>'Imp Crude'!AF107</f>
        <v>9.056919701975195</v>
      </c>
      <c r="Z126" s="187"/>
      <c r="AA126" s="187"/>
      <c r="AB126" s="187"/>
      <c r="AC126" s="187"/>
      <c r="AD126" s="187"/>
      <c r="AE126" s="187"/>
      <c r="AF126" s="187"/>
      <c r="AG126" s="187"/>
      <c r="AH126" s="187"/>
      <c r="AI126" s="197"/>
      <c r="AJ126" s="197"/>
      <c r="BC126" s="147"/>
      <c r="BD126" s="147"/>
      <c r="BE126" s="147"/>
      <c r="BF126" s="147"/>
      <c r="BG126" s="147"/>
    </row>
    <row r="127" spans="2:59">
      <c r="B127" s="158" t="s">
        <v>398</v>
      </c>
      <c r="C127" s="158" t="str">
        <f>'Imp Crude'!B108</f>
        <v>IMPOILLL42</v>
      </c>
      <c r="D127" s="158" t="str">
        <f>'Imp Crude'!C108</f>
        <v>Imported Imported Oil-Low Sulfur, Low G, PADD 4, Step 2</v>
      </c>
      <c r="E127" s="197" t="str">
        <f>'Imp Crude'!D108</f>
        <v>OILLL4</v>
      </c>
      <c r="F127" s="197">
        <v>1</v>
      </c>
      <c r="G127" s="197"/>
      <c r="H127" s="187"/>
      <c r="I127" s="197"/>
      <c r="J127" s="197">
        <v>1.0049999999999999</v>
      </c>
      <c r="K127" s="197">
        <v>1.0049999999999999</v>
      </c>
      <c r="L127" s="195">
        <f>'Imp Crude'!L108</f>
        <v>13.936228963609183</v>
      </c>
      <c r="M127" s="195" t="e">
        <f>'Imp Crude'!M108</f>
        <v>#REF!</v>
      </c>
      <c r="N127" s="195" t="e">
        <f>'Imp Crude'!N108</f>
        <v>#REF!</v>
      </c>
      <c r="O127" s="195" t="e">
        <f>'Imp Crude'!O108</f>
        <v>#REF!</v>
      </c>
      <c r="P127" s="195" t="e">
        <f>'Imp Crude'!P108</f>
        <v>#REF!</v>
      </c>
      <c r="Q127" s="195" t="e">
        <f>'Imp Crude'!Q108</f>
        <v>#REF!</v>
      </c>
      <c r="R127" s="195" t="e">
        <f>'Imp Crude'!R108</f>
        <v>#REF!</v>
      </c>
      <c r="S127" s="195" t="e">
        <f>'Imp Crude'!S108</f>
        <v>#REF!</v>
      </c>
      <c r="T127" s="195" t="e">
        <f>'Imp Crude'!T108</f>
        <v>#REF!</v>
      </c>
      <c r="U127" s="195" t="e">
        <f>'Imp Crude'!U108</f>
        <v>#REF!</v>
      </c>
      <c r="V127" s="187"/>
      <c r="W127" s="187"/>
      <c r="X127" s="187">
        <f>'Imp Crude'!AE108</f>
        <v>19.992742797136504</v>
      </c>
      <c r="Y127" s="187">
        <f>'Imp Crude'!AF108</f>
        <v>9.056919701975195</v>
      </c>
      <c r="Z127" s="187"/>
      <c r="AA127" s="187"/>
      <c r="AB127" s="187"/>
      <c r="AC127" s="187"/>
      <c r="AD127" s="187"/>
      <c r="AE127" s="187"/>
      <c r="AF127" s="187"/>
      <c r="AG127" s="187"/>
      <c r="AH127" s="187"/>
      <c r="AI127" s="197"/>
      <c r="AJ127" s="197"/>
      <c r="BC127" s="147"/>
      <c r="BD127" s="147"/>
      <c r="BE127" s="147"/>
      <c r="BF127" s="147"/>
      <c r="BG127" s="147"/>
    </row>
    <row r="128" spans="2:59">
      <c r="B128" s="158" t="s">
        <v>398</v>
      </c>
      <c r="C128" s="158" t="str">
        <f>'Imp Crude'!B109</f>
        <v>IMPOILLL44</v>
      </c>
      <c r="D128" s="158" t="str">
        <f>'Imp Crude'!C109</f>
        <v>Imported Imported Oil-Low Sulfur, Low G, PADD 4, Step 4</v>
      </c>
      <c r="E128" s="197" t="str">
        <f>'Imp Crude'!D109</f>
        <v>OILLL4</v>
      </c>
      <c r="F128" s="197">
        <v>1</v>
      </c>
      <c r="G128" s="197"/>
      <c r="H128" s="187"/>
      <c r="I128" s="197"/>
      <c r="J128" s="197">
        <v>1.0049999999999999</v>
      </c>
      <c r="K128" s="197">
        <v>1.0049999999999999</v>
      </c>
      <c r="L128" s="195">
        <f>'Imp Crude'!L109</f>
        <v>15.403200433462786</v>
      </c>
      <c r="M128" s="195" t="e">
        <f>'Imp Crude'!M109</f>
        <v>#REF!</v>
      </c>
      <c r="N128" s="195" t="e">
        <f>'Imp Crude'!N109</f>
        <v>#REF!</v>
      </c>
      <c r="O128" s="195" t="e">
        <f>'Imp Crude'!O109</f>
        <v>#REF!</v>
      </c>
      <c r="P128" s="195" t="e">
        <f>'Imp Crude'!P109</f>
        <v>#REF!</v>
      </c>
      <c r="Q128" s="195" t="e">
        <f>'Imp Crude'!Q109</f>
        <v>#REF!</v>
      </c>
      <c r="R128" s="195" t="e">
        <f>'Imp Crude'!R109</f>
        <v>#REF!</v>
      </c>
      <c r="S128" s="195" t="e">
        <f>'Imp Crude'!S109</f>
        <v>#REF!</v>
      </c>
      <c r="T128" s="195" t="e">
        <f>'Imp Crude'!T109</f>
        <v>#REF!</v>
      </c>
      <c r="U128" s="195" t="e">
        <f>'Imp Crude'!U109</f>
        <v>#REF!</v>
      </c>
      <c r="V128" s="187"/>
      <c r="W128" s="187"/>
      <c r="X128" s="187">
        <f>'Imp Crude'!AE109</f>
        <v>39.985485594273058</v>
      </c>
      <c r="Y128" s="187">
        <f>'Imp Crude'!AF109</f>
        <v>18.113839403950379</v>
      </c>
      <c r="Z128" s="187"/>
      <c r="AA128" s="187"/>
      <c r="AB128" s="187"/>
      <c r="AC128" s="187"/>
      <c r="AD128" s="187"/>
      <c r="AE128" s="187"/>
      <c r="AF128" s="187"/>
      <c r="AG128" s="187"/>
      <c r="AH128" s="187"/>
      <c r="AI128" s="197"/>
      <c r="AJ128" s="197"/>
      <c r="BC128" s="147"/>
      <c r="BD128" s="147"/>
      <c r="BE128" s="147"/>
      <c r="BF128" s="147"/>
      <c r="BG128" s="147"/>
    </row>
    <row r="129" spans="2:59">
      <c r="B129" s="158" t="s">
        <v>398</v>
      </c>
      <c r="C129" s="158" t="str">
        <f>'Imp Crude'!B110</f>
        <v>IMPOILLL45</v>
      </c>
      <c r="D129" s="158" t="str">
        <f>'Imp Crude'!C110</f>
        <v>Imported Imported Oil-Low Sulfur, Low G, PADD 4, Step 5</v>
      </c>
      <c r="E129" s="197" t="str">
        <f>'Imp Crude'!D110</f>
        <v>OILLL4</v>
      </c>
      <c r="F129" s="197">
        <v>1</v>
      </c>
      <c r="G129" s="197"/>
      <c r="H129" s="187"/>
      <c r="I129" s="197"/>
      <c r="J129" s="197">
        <v>1.0049999999999999</v>
      </c>
      <c r="K129" s="197">
        <v>1.0049999999999999</v>
      </c>
      <c r="L129" s="195">
        <f>'Imp Crude'!L110</f>
        <v>19.070629108096782</v>
      </c>
      <c r="M129" s="195" t="e">
        <f>'Imp Crude'!M110</f>
        <v>#REF!</v>
      </c>
      <c r="N129" s="195" t="e">
        <f>'Imp Crude'!N110</f>
        <v>#REF!</v>
      </c>
      <c r="O129" s="195" t="e">
        <f>'Imp Crude'!O110</f>
        <v>#REF!</v>
      </c>
      <c r="P129" s="195" t="e">
        <f>'Imp Crude'!P110</f>
        <v>#REF!</v>
      </c>
      <c r="Q129" s="195" t="e">
        <f>'Imp Crude'!Q110</f>
        <v>#REF!</v>
      </c>
      <c r="R129" s="195" t="e">
        <f>'Imp Crude'!R110</f>
        <v>#REF!</v>
      </c>
      <c r="S129" s="195" t="e">
        <f>'Imp Crude'!S110</f>
        <v>#REF!</v>
      </c>
      <c r="T129" s="195" t="e">
        <f>'Imp Crude'!T110</f>
        <v>#REF!</v>
      </c>
      <c r="U129" s="195" t="e">
        <f>'Imp Crude'!U110</f>
        <v>#REF!</v>
      </c>
      <c r="V129" s="187"/>
      <c r="W129" s="187"/>
      <c r="X129" s="187">
        <f>'Imp Crude'!AE110</f>
        <v>19.992742797136486</v>
      </c>
      <c r="Y129" s="187">
        <f>'Imp Crude'!AF110</f>
        <v>9.0569197019751897</v>
      </c>
      <c r="Z129" s="187"/>
      <c r="AA129" s="187"/>
      <c r="AB129" s="187"/>
      <c r="AC129" s="187"/>
      <c r="AD129" s="187"/>
      <c r="AE129" s="187"/>
      <c r="AF129" s="187"/>
      <c r="AG129" s="187"/>
      <c r="AH129" s="187"/>
      <c r="AI129" s="197"/>
      <c r="AJ129" s="197"/>
      <c r="BC129" s="147"/>
      <c r="BD129" s="147"/>
      <c r="BE129" s="147"/>
      <c r="BF129" s="147"/>
      <c r="BG129" s="147"/>
    </row>
    <row r="130" spans="2:59">
      <c r="B130" s="158" t="s">
        <v>398</v>
      </c>
      <c r="C130" s="158" t="str">
        <f>'Imp Crude'!B111</f>
        <v>IMPOILMH43</v>
      </c>
      <c r="D130" s="158" t="str">
        <f>'Imp Crude'!C111</f>
        <v>Imported Imported Oil-Medium Sulfur, HG, PADD 4, Step 3</v>
      </c>
      <c r="E130" s="197" t="str">
        <f>'Imp Crude'!D111</f>
        <v>OILMH4</v>
      </c>
      <c r="F130" s="197">
        <v>1</v>
      </c>
      <c r="G130" s="197"/>
      <c r="H130" s="187"/>
      <c r="I130" s="197"/>
      <c r="J130" s="197">
        <v>1.0049999999999999</v>
      </c>
      <c r="K130" s="197">
        <v>1.0049999999999999</v>
      </c>
      <c r="L130" s="195">
        <f>'Imp Crude'!L111</f>
        <v>12.053312370116149</v>
      </c>
      <c r="M130" s="195" t="e">
        <f>'Imp Crude'!M111</f>
        <v>#REF!</v>
      </c>
      <c r="N130" s="195" t="e">
        <f>'Imp Crude'!N111</f>
        <v>#REF!</v>
      </c>
      <c r="O130" s="195" t="e">
        <f>'Imp Crude'!O111</f>
        <v>#REF!</v>
      </c>
      <c r="P130" s="195" t="e">
        <f>'Imp Crude'!P111</f>
        <v>#REF!</v>
      </c>
      <c r="Q130" s="195" t="e">
        <f>'Imp Crude'!Q111</f>
        <v>#REF!</v>
      </c>
      <c r="R130" s="195" t="e">
        <f>'Imp Crude'!R111</f>
        <v>#REF!</v>
      </c>
      <c r="S130" s="195" t="e">
        <f>'Imp Crude'!S111</f>
        <v>#REF!</v>
      </c>
      <c r="T130" s="195" t="e">
        <f>'Imp Crude'!T111</f>
        <v>#REF!</v>
      </c>
      <c r="U130" s="195" t="e">
        <f>'Imp Crude'!U111</f>
        <v>#REF!</v>
      </c>
      <c r="V130" s="187"/>
      <c r="W130" s="187"/>
      <c r="X130" s="187">
        <f>'Imp Crude'!AE111</f>
        <v>94.918381082294275</v>
      </c>
      <c r="Y130" s="187">
        <f>'Imp Crude'!AF111</f>
        <v>46.788652527221984</v>
      </c>
      <c r="Z130" s="187"/>
      <c r="AA130" s="187"/>
      <c r="AB130" s="187"/>
      <c r="AC130" s="187"/>
      <c r="AD130" s="187"/>
      <c r="AE130" s="187"/>
      <c r="AF130" s="187"/>
      <c r="AG130" s="187"/>
      <c r="AH130" s="187"/>
      <c r="AI130" s="197"/>
      <c r="AJ130" s="197"/>
      <c r="BC130" s="147"/>
      <c r="BD130" s="147"/>
      <c r="BE130" s="147"/>
      <c r="BF130" s="147"/>
      <c r="BG130" s="147"/>
    </row>
    <row r="131" spans="2:59">
      <c r="B131" s="158" t="s">
        <v>398</v>
      </c>
      <c r="C131" s="158" t="str">
        <f>'Imp Crude'!B112</f>
        <v>IMPOILMH41</v>
      </c>
      <c r="D131" s="158" t="str">
        <f>'Imp Crude'!C112</f>
        <v>Imported Imported Oil-Medium Sulfur, HG, PADD 4, Step 1</v>
      </c>
      <c r="E131" s="197" t="str">
        <f>'Imp Crude'!D112</f>
        <v>OILMH4</v>
      </c>
      <c r="F131" s="197">
        <v>1</v>
      </c>
      <c r="G131" s="197"/>
      <c r="H131" s="187"/>
      <c r="I131" s="197"/>
      <c r="J131" s="197">
        <v>1.0049999999999999</v>
      </c>
      <c r="K131" s="197">
        <v>1.0049999999999999</v>
      </c>
      <c r="L131" s="195">
        <f>'Imp Crude'!L112</f>
        <v>10.847981133104536</v>
      </c>
      <c r="M131" s="195" t="e">
        <f>'Imp Crude'!M112</f>
        <v>#REF!</v>
      </c>
      <c r="N131" s="195" t="e">
        <f>'Imp Crude'!N112</f>
        <v>#REF!</v>
      </c>
      <c r="O131" s="195" t="e">
        <f>'Imp Crude'!O112</f>
        <v>#REF!</v>
      </c>
      <c r="P131" s="195" t="e">
        <f>'Imp Crude'!P112</f>
        <v>#REF!</v>
      </c>
      <c r="Q131" s="195" t="e">
        <f>'Imp Crude'!Q112</f>
        <v>#REF!</v>
      </c>
      <c r="R131" s="195" t="e">
        <f>'Imp Crude'!R112</f>
        <v>#REF!</v>
      </c>
      <c r="S131" s="195" t="e">
        <f>'Imp Crude'!S112</f>
        <v>#REF!</v>
      </c>
      <c r="T131" s="195" t="e">
        <f>'Imp Crude'!T112</f>
        <v>#REF!</v>
      </c>
      <c r="U131" s="195" t="e">
        <f>'Imp Crude'!U112</f>
        <v>#REF!</v>
      </c>
      <c r="V131" s="187"/>
      <c r="W131" s="187"/>
      <c r="X131" s="187">
        <f>'Imp Crude'!AE112</f>
        <v>11.864797635286784</v>
      </c>
      <c r="Y131" s="187">
        <f>'Imp Crude'!AF112</f>
        <v>5.8485815659027489</v>
      </c>
      <c r="Z131" s="187"/>
      <c r="AA131" s="187"/>
      <c r="AB131" s="187"/>
      <c r="AC131" s="187"/>
      <c r="AD131" s="187"/>
      <c r="AE131" s="187"/>
      <c r="AF131" s="187"/>
      <c r="AG131" s="187"/>
      <c r="AH131" s="187"/>
      <c r="AI131" s="197"/>
      <c r="AJ131" s="197"/>
      <c r="BC131" s="147"/>
      <c r="BD131" s="147"/>
      <c r="BE131" s="147"/>
      <c r="BF131" s="147"/>
      <c r="BG131" s="147"/>
    </row>
    <row r="132" spans="2:59">
      <c r="B132" s="158" t="s">
        <v>398</v>
      </c>
      <c r="C132" s="158" t="str">
        <f>'Imp Crude'!B113</f>
        <v>IMPOILMH42</v>
      </c>
      <c r="D132" s="158" t="str">
        <f>'Imp Crude'!C113</f>
        <v>Imported Imported Oil-Medium Sulfur, HG, PADD 4, Step 2</v>
      </c>
      <c r="E132" s="197" t="str">
        <f>'Imp Crude'!D113</f>
        <v>OILMH4</v>
      </c>
      <c r="F132" s="197">
        <v>1</v>
      </c>
      <c r="G132" s="197"/>
      <c r="H132" s="187"/>
      <c r="I132" s="197"/>
      <c r="J132" s="197">
        <v>1.0049999999999999</v>
      </c>
      <c r="K132" s="197">
        <v>1.0049999999999999</v>
      </c>
      <c r="L132" s="195">
        <f>'Imp Crude'!L113</f>
        <v>11.450646751610343</v>
      </c>
      <c r="M132" s="195" t="e">
        <f>'Imp Crude'!M113</f>
        <v>#REF!</v>
      </c>
      <c r="N132" s="195" t="e">
        <f>'Imp Crude'!N113</f>
        <v>#REF!</v>
      </c>
      <c r="O132" s="195" t="e">
        <f>'Imp Crude'!O113</f>
        <v>#REF!</v>
      </c>
      <c r="P132" s="195" t="e">
        <f>'Imp Crude'!P113</f>
        <v>#REF!</v>
      </c>
      <c r="Q132" s="195" t="e">
        <f>'Imp Crude'!Q113</f>
        <v>#REF!</v>
      </c>
      <c r="R132" s="195" t="e">
        <f>'Imp Crude'!R113</f>
        <v>#REF!</v>
      </c>
      <c r="S132" s="195" t="e">
        <f>'Imp Crude'!S113</f>
        <v>#REF!</v>
      </c>
      <c r="T132" s="195" t="e">
        <f>'Imp Crude'!T113</f>
        <v>#REF!</v>
      </c>
      <c r="U132" s="195" t="e">
        <f>'Imp Crude'!U113</f>
        <v>#REF!</v>
      </c>
      <c r="V132" s="187"/>
      <c r="W132" s="187"/>
      <c r="X132" s="187">
        <f>'Imp Crude'!AE113</f>
        <v>11.864797635286784</v>
      </c>
      <c r="Y132" s="187">
        <f>'Imp Crude'!AF113</f>
        <v>5.8485815659027489</v>
      </c>
      <c r="Z132" s="187"/>
      <c r="AA132" s="187"/>
      <c r="AB132" s="187"/>
      <c r="AC132" s="187"/>
      <c r="AD132" s="187"/>
      <c r="AE132" s="187"/>
      <c r="AF132" s="187"/>
      <c r="AG132" s="187"/>
      <c r="AH132" s="187"/>
      <c r="AI132" s="197"/>
      <c r="AJ132" s="197"/>
      <c r="BC132" s="147"/>
      <c r="BD132" s="147"/>
      <c r="BE132" s="147"/>
      <c r="BF132" s="147"/>
      <c r="BG132" s="147"/>
    </row>
    <row r="133" spans="2:59">
      <c r="B133" s="158" t="s">
        <v>398</v>
      </c>
      <c r="C133" s="158" t="str">
        <f>'Imp Crude'!B114</f>
        <v>IMPOILMH44</v>
      </c>
      <c r="D133" s="158" t="str">
        <f>'Imp Crude'!C114</f>
        <v>Imported Imported Oil-Medium Sulfur, HG, PADD 4, Step 4</v>
      </c>
      <c r="E133" s="197" t="str">
        <f>'Imp Crude'!D114</f>
        <v>OILMH4</v>
      </c>
      <c r="F133" s="197">
        <v>1</v>
      </c>
      <c r="G133" s="197"/>
      <c r="H133" s="187"/>
      <c r="I133" s="197"/>
      <c r="J133" s="197">
        <v>1.0049999999999999</v>
      </c>
      <c r="K133" s="197">
        <v>1.0049999999999999</v>
      </c>
      <c r="L133" s="195">
        <f>'Imp Crude'!L114</f>
        <v>12.655977988621959</v>
      </c>
      <c r="M133" s="195" t="e">
        <f>'Imp Crude'!M114</f>
        <v>#REF!</v>
      </c>
      <c r="N133" s="195" t="e">
        <f>'Imp Crude'!N114</f>
        <v>#REF!</v>
      </c>
      <c r="O133" s="195" t="e">
        <f>'Imp Crude'!O114</f>
        <v>#REF!</v>
      </c>
      <c r="P133" s="195" t="e">
        <f>'Imp Crude'!P114</f>
        <v>#REF!</v>
      </c>
      <c r="Q133" s="195" t="e">
        <f>'Imp Crude'!Q114</f>
        <v>#REF!</v>
      </c>
      <c r="R133" s="195" t="e">
        <f>'Imp Crude'!R114</f>
        <v>#REF!</v>
      </c>
      <c r="S133" s="195" t="e">
        <f>'Imp Crude'!S114</f>
        <v>#REF!</v>
      </c>
      <c r="T133" s="195" t="e">
        <f>'Imp Crude'!T114</f>
        <v>#REF!</v>
      </c>
      <c r="U133" s="195" t="e">
        <f>'Imp Crude'!U114</f>
        <v>#REF!</v>
      </c>
      <c r="V133" s="187"/>
      <c r="W133" s="187"/>
      <c r="X133" s="187">
        <f>'Imp Crude'!AE114</f>
        <v>23.729595270573569</v>
      </c>
      <c r="Y133" s="187">
        <f>'Imp Crude'!AF114</f>
        <v>11.697163131805496</v>
      </c>
      <c r="Z133" s="187"/>
      <c r="AA133" s="187"/>
      <c r="AB133" s="187"/>
      <c r="AC133" s="187"/>
      <c r="AD133" s="187"/>
      <c r="AE133" s="187"/>
      <c r="AF133" s="187"/>
      <c r="AG133" s="187"/>
      <c r="AH133" s="187"/>
      <c r="AI133" s="197"/>
      <c r="AJ133" s="197"/>
      <c r="BC133" s="147"/>
      <c r="BD133" s="147"/>
      <c r="BE133" s="147"/>
      <c r="BF133" s="147"/>
      <c r="BG133" s="147"/>
    </row>
    <row r="134" spans="2:59">
      <c r="B134" s="158" t="s">
        <v>398</v>
      </c>
      <c r="C134" s="158" t="str">
        <f>'Imp Crude'!B115</f>
        <v>IMPOILMH45</v>
      </c>
      <c r="D134" s="158" t="str">
        <f>'Imp Crude'!C115</f>
        <v>Imported Imported Oil-Medium Sulfur, HG, PADD 4, Step 5</v>
      </c>
      <c r="E134" s="197" t="str">
        <f>'Imp Crude'!D115</f>
        <v>OILMH4</v>
      </c>
      <c r="F134" s="197">
        <v>1</v>
      </c>
      <c r="G134" s="197"/>
      <c r="H134" s="187"/>
      <c r="I134" s="197"/>
      <c r="J134" s="197">
        <v>1.0049999999999999</v>
      </c>
      <c r="K134" s="197">
        <v>1.0049999999999999</v>
      </c>
      <c r="L134" s="195">
        <f>'Imp Crude'!L115</f>
        <v>15.669306081150996</v>
      </c>
      <c r="M134" s="195" t="e">
        <f>'Imp Crude'!M115</f>
        <v>#REF!</v>
      </c>
      <c r="N134" s="195" t="e">
        <f>'Imp Crude'!N115</f>
        <v>#REF!</v>
      </c>
      <c r="O134" s="195" t="e">
        <f>'Imp Crude'!O115</f>
        <v>#REF!</v>
      </c>
      <c r="P134" s="195" t="e">
        <f>'Imp Crude'!P115</f>
        <v>#REF!</v>
      </c>
      <c r="Q134" s="195" t="e">
        <f>'Imp Crude'!Q115</f>
        <v>#REF!</v>
      </c>
      <c r="R134" s="195" t="e">
        <f>'Imp Crude'!R115</f>
        <v>#REF!</v>
      </c>
      <c r="S134" s="195" t="e">
        <f>'Imp Crude'!S115</f>
        <v>#REF!</v>
      </c>
      <c r="T134" s="195" t="e">
        <f>'Imp Crude'!T115</f>
        <v>#REF!</v>
      </c>
      <c r="U134" s="195" t="e">
        <f>'Imp Crude'!U115</f>
        <v>#REF!</v>
      </c>
      <c r="V134" s="187"/>
      <c r="W134" s="187"/>
      <c r="X134" s="187">
        <f>'Imp Crude'!AE115</f>
        <v>11.864797635286806</v>
      </c>
      <c r="Y134" s="187">
        <f>'Imp Crude'!AF115</f>
        <v>5.8485815659027622</v>
      </c>
      <c r="Z134" s="187"/>
      <c r="AA134" s="187"/>
      <c r="AB134" s="187"/>
      <c r="AC134" s="187"/>
      <c r="AD134" s="187"/>
      <c r="AE134" s="187"/>
      <c r="AF134" s="187"/>
      <c r="AG134" s="187"/>
      <c r="AH134" s="187"/>
      <c r="AI134" s="197"/>
      <c r="AJ134" s="197"/>
      <c r="BC134" s="147"/>
      <c r="BD134" s="147"/>
      <c r="BE134" s="147"/>
      <c r="BF134" s="147"/>
      <c r="BG134" s="147"/>
    </row>
    <row r="135" spans="2:59">
      <c r="B135" s="158" t="s">
        <v>398</v>
      </c>
      <c r="C135" s="158"/>
      <c r="D135" s="158"/>
      <c r="E135" s="197"/>
      <c r="F135" s="197"/>
      <c r="G135" s="197"/>
      <c r="H135" s="187"/>
      <c r="I135" s="197"/>
      <c r="J135" s="197"/>
      <c r="K135" s="197"/>
      <c r="L135" s="195"/>
      <c r="M135" s="195"/>
      <c r="N135" s="195"/>
      <c r="O135" s="195"/>
      <c r="P135" s="195"/>
      <c r="Q135" s="195"/>
      <c r="R135" s="195"/>
      <c r="S135" s="195"/>
      <c r="T135" s="195"/>
      <c r="U135" s="195"/>
      <c r="V135" s="187"/>
      <c r="W135" s="187"/>
      <c r="X135" s="187"/>
      <c r="Y135" s="187"/>
      <c r="Z135" s="187"/>
      <c r="AA135" s="187"/>
      <c r="AB135" s="187"/>
      <c r="AC135" s="187"/>
      <c r="AD135" s="187"/>
      <c r="AE135" s="187"/>
      <c r="AF135" s="187"/>
      <c r="AG135" s="187"/>
      <c r="AH135" s="187"/>
      <c r="AI135" s="197"/>
      <c r="AJ135" s="197"/>
      <c r="BC135" s="147"/>
      <c r="BD135" s="147"/>
      <c r="BE135" s="147"/>
      <c r="BF135" s="147"/>
      <c r="BG135" s="147"/>
    </row>
    <row r="136" spans="2:59">
      <c r="B136" s="158" t="s">
        <v>398</v>
      </c>
      <c r="C136" s="158" t="str">
        <f>'Imp Crude'!B117</f>
        <v>IMPOILHH53</v>
      </c>
      <c r="D136" s="158" t="str">
        <f>'Imp Crude'!C117</f>
        <v>Imported Imported Oil-High Sulfur, Heavy G, PADD 5, Step 3</v>
      </c>
      <c r="E136" s="197" t="str">
        <f>'Imp Crude'!D117</f>
        <v>OILHH5</v>
      </c>
      <c r="F136" s="197">
        <v>1</v>
      </c>
      <c r="G136" s="197"/>
      <c r="H136" s="187"/>
      <c r="I136" s="197"/>
      <c r="J136" s="197">
        <v>1.0049999999999999</v>
      </c>
      <c r="K136" s="197">
        <v>1.0049999999999999</v>
      </c>
      <c r="L136" s="195">
        <f>'Imp Crude'!L117</f>
        <v>11.163537115571355</v>
      </c>
      <c r="M136" s="195" t="e">
        <f>'Imp Crude'!M117</f>
        <v>#REF!</v>
      </c>
      <c r="N136" s="195" t="e">
        <f>'Imp Crude'!N117</f>
        <v>#REF!</v>
      </c>
      <c r="O136" s="195" t="e">
        <f>'Imp Crude'!O117</f>
        <v>#REF!</v>
      </c>
      <c r="P136" s="195" t="e">
        <f>'Imp Crude'!P117</f>
        <v>#REF!</v>
      </c>
      <c r="Q136" s="195" t="e">
        <f>'Imp Crude'!Q117</f>
        <v>#REF!</v>
      </c>
      <c r="R136" s="195" t="e">
        <f>'Imp Crude'!R117</f>
        <v>#REF!</v>
      </c>
      <c r="S136" s="195" t="e">
        <f>'Imp Crude'!S117</f>
        <v>#REF!</v>
      </c>
      <c r="T136" s="195" t="e">
        <f>'Imp Crude'!T117</f>
        <v>#REF!</v>
      </c>
      <c r="U136" s="195" t="e">
        <f>'Imp Crude'!U117</f>
        <v>#REF!</v>
      </c>
      <c r="V136" s="187"/>
      <c r="W136" s="187"/>
      <c r="X136" s="187">
        <f>'Imp Crude'!AE117</f>
        <v>627.38144230669502</v>
      </c>
      <c r="Y136" s="187">
        <f>'Imp Crude'!AF117</f>
        <v>457.02753465782081</v>
      </c>
      <c r="Z136" s="187"/>
      <c r="AA136" s="187"/>
      <c r="AB136" s="187"/>
      <c r="AC136" s="187"/>
      <c r="AD136" s="187"/>
      <c r="AE136" s="187"/>
      <c r="AF136" s="187"/>
      <c r="AG136" s="187"/>
      <c r="AH136" s="187"/>
      <c r="AI136" s="197"/>
      <c r="AJ136" s="197"/>
      <c r="BC136" s="147"/>
      <c r="BD136" s="147"/>
      <c r="BE136" s="147"/>
      <c r="BF136" s="147"/>
      <c r="BG136" s="147"/>
    </row>
    <row r="137" spans="2:59">
      <c r="B137" s="158" t="s">
        <v>398</v>
      </c>
      <c r="C137" s="158" t="str">
        <f>'Imp Crude'!B118</f>
        <v>IMPOILHH51</v>
      </c>
      <c r="D137" s="158" t="str">
        <f>'Imp Crude'!C118</f>
        <v>Imported Imported Oil-High Sulfur, Heavy G, PADD 5, Step 1</v>
      </c>
      <c r="E137" s="197" t="str">
        <f>'Imp Crude'!D118</f>
        <v>OILHH5</v>
      </c>
      <c r="F137" s="197">
        <v>1</v>
      </c>
      <c r="G137" s="197"/>
      <c r="H137" s="187"/>
      <c r="I137" s="197"/>
      <c r="J137" s="197">
        <v>1.0049999999999999</v>
      </c>
      <c r="K137" s="197">
        <v>1.0049999999999999</v>
      </c>
      <c r="L137" s="195">
        <f>'Imp Crude'!L118</f>
        <v>10.04718340401422</v>
      </c>
      <c r="M137" s="195" t="e">
        <f>'Imp Crude'!M118</f>
        <v>#REF!</v>
      </c>
      <c r="N137" s="195" t="e">
        <f>'Imp Crude'!N118</f>
        <v>#REF!</v>
      </c>
      <c r="O137" s="195" t="e">
        <f>'Imp Crude'!O118</f>
        <v>#REF!</v>
      </c>
      <c r="P137" s="195" t="e">
        <f>'Imp Crude'!P118</f>
        <v>#REF!</v>
      </c>
      <c r="Q137" s="195" t="e">
        <f>'Imp Crude'!Q118</f>
        <v>#REF!</v>
      </c>
      <c r="R137" s="195" t="e">
        <f>'Imp Crude'!R118</f>
        <v>#REF!</v>
      </c>
      <c r="S137" s="195" t="e">
        <f>'Imp Crude'!S118</f>
        <v>#REF!</v>
      </c>
      <c r="T137" s="195" t="e">
        <f>'Imp Crude'!T118</f>
        <v>#REF!</v>
      </c>
      <c r="U137" s="195" t="e">
        <f>'Imp Crude'!U118</f>
        <v>#REF!</v>
      </c>
      <c r="V137" s="187"/>
      <c r="W137" s="187"/>
      <c r="X137" s="187">
        <f>'Imp Crude'!AE118</f>
        <v>78.422680288336878</v>
      </c>
      <c r="Y137" s="187">
        <f>'Imp Crude'!AF118</f>
        <v>57.128441832227601</v>
      </c>
      <c r="Z137" s="187"/>
      <c r="AA137" s="187"/>
      <c r="AB137" s="187"/>
      <c r="AC137" s="187"/>
      <c r="AD137" s="187"/>
      <c r="AE137" s="187"/>
      <c r="AF137" s="187"/>
      <c r="AG137" s="187"/>
      <c r="AH137" s="187"/>
      <c r="AI137" s="197"/>
      <c r="AJ137" s="197"/>
      <c r="BC137" s="147"/>
      <c r="BD137" s="147"/>
      <c r="BE137" s="147"/>
      <c r="BF137" s="147"/>
      <c r="BG137" s="147"/>
    </row>
    <row r="138" spans="2:59">
      <c r="B138" s="158" t="s">
        <v>398</v>
      </c>
      <c r="C138" s="158" t="str">
        <f>'Imp Crude'!B119</f>
        <v>IMPOILHH52</v>
      </c>
      <c r="D138" s="158" t="str">
        <f>'Imp Crude'!C119</f>
        <v>Imported Imported Oil-High Sulfur, Heavy G, PADD 5, Step 2</v>
      </c>
      <c r="E138" s="197" t="str">
        <f>'Imp Crude'!D119</f>
        <v>OILHH5</v>
      </c>
      <c r="F138" s="197">
        <v>1</v>
      </c>
      <c r="G138" s="197"/>
      <c r="H138" s="187"/>
      <c r="I138" s="197"/>
      <c r="J138" s="197">
        <v>1.0049999999999999</v>
      </c>
      <c r="K138" s="197">
        <v>1.0049999999999999</v>
      </c>
      <c r="L138" s="195">
        <f>'Imp Crude'!L119</f>
        <v>10.605360259792784</v>
      </c>
      <c r="M138" s="195" t="e">
        <f>'Imp Crude'!M119</f>
        <v>#REF!</v>
      </c>
      <c r="N138" s="195" t="e">
        <f>'Imp Crude'!N119</f>
        <v>#REF!</v>
      </c>
      <c r="O138" s="195" t="e">
        <f>'Imp Crude'!O119</f>
        <v>#REF!</v>
      </c>
      <c r="P138" s="195" t="e">
        <f>'Imp Crude'!P119</f>
        <v>#REF!</v>
      </c>
      <c r="Q138" s="195" t="e">
        <f>'Imp Crude'!Q119</f>
        <v>#REF!</v>
      </c>
      <c r="R138" s="195" t="e">
        <f>'Imp Crude'!R119</f>
        <v>#REF!</v>
      </c>
      <c r="S138" s="195" t="e">
        <f>'Imp Crude'!S119</f>
        <v>#REF!</v>
      </c>
      <c r="T138" s="195" t="e">
        <f>'Imp Crude'!T119</f>
        <v>#REF!</v>
      </c>
      <c r="U138" s="195" t="e">
        <f>'Imp Crude'!U119</f>
        <v>#REF!</v>
      </c>
      <c r="V138" s="187"/>
      <c r="W138" s="187"/>
      <c r="X138" s="187">
        <f>'Imp Crude'!AE119</f>
        <v>78.422680288336878</v>
      </c>
      <c r="Y138" s="187">
        <f>'Imp Crude'!AF119</f>
        <v>57.128441832227601</v>
      </c>
      <c r="Z138" s="187"/>
      <c r="AA138" s="187"/>
      <c r="AB138" s="187"/>
      <c r="AC138" s="187"/>
      <c r="AD138" s="187"/>
      <c r="AE138" s="187"/>
      <c r="AF138" s="187"/>
      <c r="AG138" s="187"/>
      <c r="AH138" s="187"/>
      <c r="AI138" s="197"/>
      <c r="AJ138" s="197"/>
      <c r="BC138" s="147"/>
      <c r="BD138" s="147"/>
      <c r="BE138" s="147"/>
      <c r="BF138" s="147"/>
      <c r="BG138" s="147"/>
    </row>
    <row r="139" spans="2:59">
      <c r="B139" s="158" t="s">
        <v>398</v>
      </c>
      <c r="C139" s="158" t="str">
        <f>'Imp Crude'!B120</f>
        <v>IMPOILHH54</v>
      </c>
      <c r="D139" s="158" t="str">
        <f>'Imp Crude'!C120</f>
        <v>Imported Imported Oil-High Sulfur, Heavy G, PADD 5, Step 4</v>
      </c>
      <c r="E139" s="197" t="str">
        <f>'Imp Crude'!D120</f>
        <v>OILHH5</v>
      </c>
      <c r="F139" s="197">
        <v>1</v>
      </c>
      <c r="G139" s="197"/>
      <c r="H139" s="187"/>
      <c r="I139" s="197"/>
      <c r="J139" s="197">
        <v>1.0049999999999999</v>
      </c>
      <c r="K139" s="197">
        <v>1.0049999999999999</v>
      </c>
      <c r="L139" s="195">
        <f>'Imp Crude'!L120</f>
        <v>11.721713971349921</v>
      </c>
      <c r="M139" s="195" t="e">
        <f>'Imp Crude'!M120</f>
        <v>#REF!</v>
      </c>
      <c r="N139" s="195" t="e">
        <f>'Imp Crude'!N120</f>
        <v>#REF!</v>
      </c>
      <c r="O139" s="195" t="e">
        <f>'Imp Crude'!O120</f>
        <v>#REF!</v>
      </c>
      <c r="P139" s="195" t="e">
        <f>'Imp Crude'!P120</f>
        <v>#REF!</v>
      </c>
      <c r="Q139" s="195" t="e">
        <f>'Imp Crude'!Q120</f>
        <v>#REF!</v>
      </c>
      <c r="R139" s="195" t="e">
        <f>'Imp Crude'!R120</f>
        <v>#REF!</v>
      </c>
      <c r="S139" s="195" t="e">
        <f>'Imp Crude'!S120</f>
        <v>#REF!</v>
      </c>
      <c r="T139" s="195" t="e">
        <f>'Imp Crude'!T120</f>
        <v>#REF!</v>
      </c>
      <c r="U139" s="195" t="e">
        <f>'Imp Crude'!U120</f>
        <v>#REF!</v>
      </c>
      <c r="V139" s="187"/>
      <c r="W139" s="187"/>
      <c r="X139" s="187">
        <f>'Imp Crude'!AE120</f>
        <v>156.84536057667378</v>
      </c>
      <c r="Y139" s="187">
        <f>'Imp Crude'!AF120</f>
        <v>114.25688366445513</v>
      </c>
      <c r="Z139" s="187"/>
      <c r="AA139" s="187"/>
      <c r="AB139" s="187"/>
      <c r="AC139" s="187"/>
      <c r="AD139" s="187"/>
      <c r="AE139" s="187"/>
      <c r="AF139" s="187"/>
      <c r="AG139" s="187"/>
      <c r="AH139" s="187"/>
      <c r="AI139" s="197"/>
      <c r="AJ139" s="197"/>
      <c r="BC139" s="147"/>
      <c r="BD139" s="147"/>
      <c r="BE139" s="147"/>
      <c r="BF139" s="147"/>
      <c r="BG139" s="147"/>
    </row>
    <row r="140" spans="2:59">
      <c r="B140" s="158" t="s">
        <v>398</v>
      </c>
      <c r="C140" s="158" t="str">
        <f>'Imp Crude'!B121</f>
        <v>IMPOILHH55</v>
      </c>
      <c r="D140" s="158" t="str">
        <f>'Imp Crude'!C121</f>
        <v>Imported Imported Oil-High Sulfur, Heavy G, PADD 5, Step 5</v>
      </c>
      <c r="E140" s="197" t="str">
        <f>'Imp Crude'!D121</f>
        <v>OILHH5</v>
      </c>
      <c r="F140" s="197">
        <v>1</v>
      </c>
      <c r="G140" s="197"/>
      <c r="H140" s="187"/>
      <c r="I140" s="197"/>
      <c r="J140" s="197">
        <v>1.0049999999999999</v>
      </c>
      <c r="K140" s="197">
        <v>1.0049999999999999</v>
      </c>
      <c r="L140" s="195">
        <f>'Imp Crude'!L121</f>
        <v>14.512598250242762</v>
      </c>
      <c r="M140" s="195" t="e">
        <f>'Imp Crude'!M121</f>
        <v>#REF!</v>
      </c>
      <c r="N140" s="195" t="e">
        <f>'Imp Crude'!N121</f>
        <v>#REF!</v>
      </c>
      <c r="O140" s="195" t="e">
        <f>'Imp Crude'!O121</f>
        <v>#REF!</v>
      </c>
      <c r="P140" s="195" t="e">
        <f>'Imp Crude'!P121</f>
        <v>#REF!</v>
      </c>
      <c r="Q140" s="195" t="e">
        <f>'Imp Crude'!Q121</f>
        <v>#REF!</v>
      </c>
      <c r="R140" s="195" t="e">
        <f>'Imp Crude'!R121</f>
        <v>#REF!</v>
      </c>
      <c r="S140" s="195" t="e">
        <f>'Imp Crude'!S121</f>
        <v>#REF!</v>
      </c>
      <c r="T140" s="195" t="e">
        <f>'Imp Crude'!T121</f>
        <v>#REF!</v>
      </c>
      <c r="U140" s="195" t="e">
        <f>'Imp Crude'!U121</f>
        <v>#REF!</v>
      </c>
      <c r="V140" s="187"/>
      <c r="W140" s="187"/>
      <c r="X140" s="187">
        <f>'Imp Crude'!AE121</f>
        <v>78.422680288337006</v>
      </c>
      <c r="Y140" s="187">
        <f>'Imp Crude'!AF121</f>
        <v>57.128441832227622</v>
      </c>
      <c r="Z140" s="187"/>
      <c r="AA140" s="187"/>
      <c r="AB140" s="187"/>
      <c r="AC140" s="187"/>
      <c r="AD140" s="187"/>
      <c r="AE140" s="187"/>
      <c r="AF140" s="187"/>
      <c r="AG140" s="187"/>
      <c r="AH140" s="187"/>
      <c r="AI140" s="197"/>
      <c r="AJ140" s="197"/>
      <c r="BC140" s="147"/>
      <c r="BD140" s="147"/>
      <c r="BE140" s="147"/>
      <c r="BF140" s="147"/>
      <c r="BG140" s="147"/>
    </row>
    <row r="141" spans="2:59">
      <c r="B141" s="158" t="s">
        <v>398</v>
      </c>
      <c r="C141" s="158" t="str">
        <f>'Imp Crude'!B122</f>
        <v>IMPOILHL53</v>
      </c>
      <c r="D141" s="158" t="str">
        <f>'Imp Crude'!C122</f>
        <v>Imported Imported Oil-High Sulfur, Low G, PADD 5, Step 3</v>
      </c>
      <c r="E141" s="197" t="str">
        <f>'Imp Crude'!D122</f>
        <v>OILHL5</v>
      </c>
      <c r="F141" s="197">
        <v>1</v>
      </c>
      <c r="G141" s="197"/>
      <c r="H141" s="187"/>
      <c r="I141" s="197"/>
      <c r="J141" s="197">
        <v>1.0049999999999999</v>
      </c>
      <c r="K141" s="197">
        <v>1.0049999999999999</v>
      </c>
      <c r="L141" s="195">
        <f>'Imp Crude'!L122</f>
        <v>12.073158658321612</v>
      </c>
      <c r="M141" s="195" t="e">
        <f>'Imp Crude'!M122</f>
        <v>#REF!</v>
      </c>
      <c r="N141" s="195" t="e">
        <f>'Imp Crude'!N122</f>
        <v>#REF!</v>
      </c>
      <c r="O141" s="195" t="e">
        <f>'Imp Crude'!O122</f>
        <v>#REF!</v>
      </c>
      <c r="P141" s="195" t="e">
        <f>'Imp Crude'!P122</f>
        <v>#REF!</v>
      </c>
      <c r="Q141" s="195" t="e">
        <f>'Imp Crude'!Q122</f>
        <v>#REF!</v>
      </c>
      <c r="R141" s="195" t="e">
        <f>'Imp Crude'!R122</f>
        <v>#REF!</v>
      </c>
      <c r="S141" s="195" t="e">
        <f>'Imp Crude'!S122</f>
        <v>#REF!</v>
      </c>
      <c r="T141" s="195" t="e">
        <f>'Imp Crude'!T122</f>
        <v>#REF!</v>
      </c>
      <c r="U141" s="195" t="e">
        <f>'Imp Crude'!U122</f>
        <v>#REF!</v>
      </c>
      <c r="V141" s="187"/>
      <c r="W141" s="187"/>
      <c r="X141" s="187">
        <f>'Imp Crude'!AE122</f>
        <v>222.04121288893839</v>
      </c>
      <c r="Y141" s="187">
        <f>'Imp Crude'!AF122</f>
        <v>381.20086091645106</v>
      </c>
      <c r="Z141" s="187"/>
      <c r="AA141" s="187"/>
      <c r="AB141" s="187"/>
      <c r="AC141" s="187"/>
      <c r="AD141" s="187"/>
      <c r="AE141" s="187"/>
      <c r="AF141" s="187"/>
      <c r="AG141" s="187"/>
      <c r="AH141" s="187"/>
      <c r="AI141" s="197"/>
      <c r="AJ141" s="197"/>
      <c r="BC141" s="147"/>
      <c r="BD141" s="147"/>
      <c r="BE141" s="147"/>
      <c r="BF141" s="147"/>
      <c r="BG141" s="147"/>
    </row>
    <row r="142" spans="2:59">
      <c r="B142" s="158" t="s">
        <v>398</v>
      </c>
      <c r="C142" s="158" t="str">
        <f>'Imp Crude'!B123</f>
        <v>IMPOILHL51</v>
      </c>
      <c r="D142" s="158" t="str">
        <f>'Imp Crude'!C123</f>
        <v>Imported Imported Oil-High Sulfur, Low G, PADD 5, Step 1</v>
      </c>
      <c r="E142" s="197" t="str">
        <f>'Imp Crude'!D123</f>
        <v>OILHL5</v>
      </c>
      <c r="F142" s="197">
        <v>1</v>
      </c>
      <c r="G142" s="197"/>
      <c r="H142" s="187"/>
      <c r="I142" s="197"/>
      <c r="J142" s="197">
        <v>1.0049999999999999</v>
      </c>
      <c r="K142" s="197">
        <v>1.0049999999999999</v>
      </c>
      <c r="L142" s="195">
        <f>'Imp Crude'!L123</f>
        <v>10.865842792489451</v>
      </c>
      <c r="M142" s="195" t="e">
        <f>'Imp Crude'!M123</f>
        <v>#REF!</v>
      </c>
      <c r="N142" s="195" t="e">
        <f>'Imp Crude'!N123</f>
        <v>#REF!</v>
      </c>
      <c r="O142" s="195" t="e">
        <f>'Imp Crude'!O123</f>
        <v>#REF!</v>
      </c>
      <c r="P142" s="195" t="e">
        <f>'Imp Crude'!P123</f>
        <v>#REF!</v>
      </c>
      <c r="Q142" s="195" t="e">
        <f>'Imp Crude'!Q123</f>
        <v>#REF!</v>
      </c>
      <c r="R142" s="195" t="e">
        <f>'Imp Crude'!R123</f>
        <v>#REF!</v>
      </c>
      <c r="S142" s="195" t="e">
        <f>'Imp Crude'!S123</f>
        <v>#REF!</v>
      </c>
      <c r="T142" s="195" t="e">
        <f>'Imp Crude'!T123</f>
        <v>#REF!</v>
      </c>
      <c r="U142" s="195" t="e">
        <f>'Imp Crude'!U123</f>
        <v>#REF!</v>
      </c>
      <c r="V142" s="187"/>
      <c r="W142" s="187"/>
      <c r="X142" s="187">
        <f>'Imp Crude'!AE123</f>
        <v>27.755151611117295</v>
      </c>
      <c r="Y142" s="187">
        <f>'Imp Crude'!AF123</f>
        <v>47.65010761455639</v>
      </c>
      <c r="Z142" s="187"/>
      <c r="AA142" s="187"/>
      <c r="AB142" s="187"/>
      <c r="AC142" s="187"/>
      <c r="AD142" s="187"/>
      <c r="AE142" s="187"/>
      <c r="AF142" s="187"/>
      <c r="AG142" s="187"/>
      <c r="AH142" s="187"/>
      <c r="AI142" s="197"/>
      <c r="AJ142" s="197"/>
      <c r="BC142" s="147"/>
      <c r="BD142" s="147"/>
      <c r="BE142" s="147"/>
      <c r="BF142" s="147"/>
      <c r="BG142" s="147"/>
    </row>
    <row r="143" spans="2:59">
      <c r="B143" s="158" t="s">
        <v>398</v>
      </c>
      <c r="C143" s="158" t="str">
        <f>'Imp Crude'!B124</f>
        <v>IMPOILHL52</v>
      </c>
      <c r="D143" s="158" t="str">
        <f>'Imp Crude'!C124</f>
        <v>Imported Imported Oil-High Sulfur, Low G, PADD 5, Step 2</v>
      </c>
      <c r="E143" s="197" t="str">
        <f>'Imp Crude'!D124</f>
        <v>OILHL5</v>
      </c>
      <c r="F143" s="197">
        <v>1</v>
      </c>
      <c r="G143" s="197"/>
      <c r="H143" s="187"/>
      <c r="I143" s="197"/>
      <c r="J143" s="197">
        <v>1.0049999999999999</v>
      </c>
      <c r="K143" s="197">
        <v>1.0049999999999999</v>
      </c>
      <c r="L143" s="195">
        <f>'Imp Crude'!L124</f>
        <v>11.469500725405531</v>
      </c>
      <c r="M143" s="195" t="e">
        <f>'Imp Crude'!M124</f>
        <v>#REF!</v>
      </c>
      <c r="N143" s="195" t="e">
        <f>'Imp Crude'!N124</f>
        <v>#REF!</v>
      </c>
      <c r="O143" s="195" t="e">
        <f>'Imp Crude'!O124</f>
        <v>#REF!</v>
      </c>
      <c r="P143" s="195" t="e">
        <f>'Imp Crude'!P124</f>
        <v>#REF!</v>
      </c>
      <c r="Q143" s="195" t="e">
        <f>'Imp Crude'!Q124</f>
        <v>#REF!</v>
      </c>
      <c r="R143" s="195" t="e">
        <f>'Imp Crude'!R124</f>
        <v>#REF!</v>
      </c>
      <c r="S143" s="195" t="e">
        <f>'Imp Crude'!S124</f>
        <v>#REF!</v>
      </c>
      <c r="T143" s="195" t="e">
        <f>'Imp Crude'!T124</f>
        <v>#REF!</v>
      </c>
      <c r="U143" s="195" t="e">
        <f>'Imp Crude'!U124</f>
        <v>#REF!</v>
      </c>
      <c r="V143" s="187"/>
      <c r="W143" s="187"/>
      <c r="X143" s="187">
        <f>'Imp Crude'!AE124</f>
        <v>27.755151611117295</v>
      </c>
      <c r="Y143" s="187">
        <f>'Imp Crude'!AF124</f>
        <v>47.65010761455639</v>
      </c>
      <c r="Z143" s="187"/>
      <c r="AA143" s="187"/>
      <c r="AB143" s="187"/>
      <c r="AC143" s="187"/>
      <c r="AD143" s="187"/>
      <c r="AE143" s="187"/>
      <c r="AF143" s="187"/>
      <c r="AG143" s="187"/>
      <c r="AH143" s="187"/>
      <c r="AI143" s="197"/>
      <c r="AJ143" s="197"/>
      <c r="BC143" s="147"/>
      <c r="BD143" s="147"/>
      <c r="BE143" s="147"/>
      <c r="BF143" s="147"/>
      <c r="BG143" s="147"/>
    </row>
    <row r="144" spans="2:59">
      <c r="B144" s="158" t="s">
        <v>398</v>
      </c>
      <c r="C144" s="158" t="str">
        <f>'Imp Crude'!B125</f>
        <v>IMPOILHL54</v>
      </c>
      <c r="D144" s="158" t="str">
        <f>'Imp Crude'!C125</f>
        <v>Imported Imported Oil-High Sulfur, Low G, PADD 5, Step 4</v>
      </c>
      <c r="E144" s="197" t="str">
        <f>'Imp Crude'!D125</f>
        <v>OILHL5</v>
      </c>
      <c r="F144" s="197">
        <v>1</v>
      </c>
      <c r="G144" s="197"/>
      <c r="H144" s="187"/>
      <c r="I144" s="197"/>
      <c r="J144" s="197">
        <v>1.0049999999999999</v>
      </c>
      <c r="K144" s="197">
        <v>1.0049999999999999</v>
      </c>
      <c r="L144" s="195">
        <f>'Imp Crude'!L125</f>
        <v>12.676816591237694</v>
      </c>
      <c r="M144" s="195" t="e">
        <f>'Imp Crude'!M125</f>
        <v>#REF!</v>
      </c>
      <c r="N144" s="195" t="e">
        <f>'Imp Crude'!N125</f>
        <v>#REF!</v>
      </c>
      <c r="O144" s="195" t="e">
        <f>'Imp Crude'!O125</f>
        <v>#REF!</v>
      </c>
      <c r="P144" s="195" t="e">
        <f>'Imp Crude'!P125</f>
        <v>#REF!</v>
      </c>
      <c r="Q144" s="195" t="e">
        <f>'Imp Crude'!Q125</f>
        <v>#REF!</v>
      </c>
      <c r="R144" s="195" t="e">
        <f>'Imp Crude'!R125</f>
        <v>#REF!</v>
      </c>
      <c r="S144" s="195" t="e">
        <f>'Imp Crude'!S125</f>
        <v>#REF!</v>
      </c>
      <c r="T144" s="195" t="e">
        <f>'Imp Crude'!T125</f>
        <v>#REF!</v>
      </c>
      <c r="U144" s="195" t="e">
        <f>'Imp Crude'!U125</f>
        <v>#REF!</v>
      </c>
      <c r="V144" s="187"/>
      <c r="W144" s="187"/>
      <c r="X144" s="187">
        <f>'Imp Crude'!AE125</f>
        <v>55.510303222234597</v>
      </c>
      <c r="Y144" s="187">
        <f>'Imp Crude'!AF125</f>
        <v>95.300215229112723</v>
      </c>
      <c r="Z144" s="187"/>
      <c r="AA144" s="187"/>
      <c r="AB144" s="187"/>
      <c r="AC144" s="187"/>
      <c r="AD144" s="187"/>
      <c r="AE144" s="187"/>
      <c r="AF144" s="187"/>
      <c r="AG144" s="187"/>
      <c r="AH144" s="187"/>
      <c r="AI144" s="197"/>
      <c r="AJ144" s="197"/>
      <c r="BC144" s="147"/>
      <c r="BD144" s="147"/>
      <c r="BE144" s="147"/>
      <c r="BF144" s="147"/>
      <c r="BG144" s="147"/>
    </row>
    <row r="145" spans="2:59">
      <c r="B145" s="158" t="s">
        <v>398</v>
      </c>
      <c r="C145" s="158" t="str">
        <f>'Imp Crude'!B126</f>
        <v>IMPOILHL55</v>
      </c>
      <c r="D145" s="158" t="str">
        <f>'Imp Crude'!C126</f>
        <v>Imported Imported Oil-High Sulfur, Low G, PADD 5, Step 5</v>
      </c>
      <c r="E145" s="197" t="str">
        <f>'Imp Crude'!D126</f>
        <v>OILHL5</v>
      </c>
      <c r="F145" s="197">
        <v>1</v>
      </c>
      <c r="G145" s="197"/>
      <c r="H145" s="187"/>
      <c r="I145" s="197"/>
      <c r="J145" s="197">
        <v>1.0049999999999999</v>
      </c>
      <c r="K145" s="197">
        <v>1.0049999999999999</v>
      </c>
      <c r="L145" s="195">
        <f>'Imp Crude'!L126</f>
        <v>15.695106255818095</v>
      </c>
      <c r="M145" s="195" t="e">
        <f>'Imp Crude'!M126</f>
        <v>#REF!</v>
      </c>
      <c r="N145" s="195" t="e">
        <f>'Imp Crude'!N126</f>
        <v>#REF!</v>
      </c>
      <c r="O145" s="195" t="e">
        <f>'Imp Crude'!O126</f>
        <v>#REF!</v>
      </c>
      <c r="P145" s="195" t="e">
        <f>'Imp Crude'!P126</f>
        <v>#REF!</v>
      </c>
      <c r="Q145" s="195" t="e">
        <f>'Imp Crude'!Q126</f>
        <v>#REF!</v>
      </c>
      <c r="R145" s="195" t="e">
        <f>'Imp Crude'!R126</f>
        <v>#REF!</v>
      </c>
      <c r="S145" s="195" t="e">
        <f>'Imp Crude'!S126</f>
        <v>#REF!</v>
      </c>
      <c r="T145" s="195" t="e">
        <f>'Imp Crude'!T126</f>
        <v>#REF!</v>
      </c>
      <c r="U145" s="195" t="e">
        <f>'Imp Crude'!U126</f>
        <v>#REF!</v>
      </c>
      <c r="V145" s="187"/>
      <c r="W145" s="187"/>
      <c r="X145" s="187">
        <f>'Imp Crude'!AE126</f>
        <v>27.755151611117242</v>
      </c>
      <c r="Y145" s="187">
        <f>'Imp Crude'!AF126</f>
        <v>47.650107614556418</v>
      </c>
      <c r="Z145" s="187"/>
      <c r="AA145" s="187"/>
      <c r="AB145" s="187"/>
      <c r="AC145" s="187"/>
      <c r="AD145" s="187"/>
      <c r="AE145" s="187"/>
      <c r="AF145" s="187"/>
      <c r="AG145" s="187"/>
      <c r="AH145" s="187"/>
      <c r="AI145" s="197"/>
      <c r="AJ145" s="197"/>
      <c r="BC145" s="147"/>
      <c r="BD145" s="147"/>
      <c r="BE145" s="147"/>
      <c r="BF145" s="147"/>
      <c r="BG145" s="147"/>
    </row>
    <row r="146" spans="2:59">
      <c r="B146" s="158" t="s">
        <v>398</v>
      </c>
      <c r="C146" s="158" t="str">
        <f>'Imp Crude'!B127</f>
        <v>IMPOILHV53</v>
      </c>
      <c r="D146" s="158" t="str">
        <f>'Imp Crude'!C127</f>
        <v>Imported Imported Oil-High Sulfur, Very HG, PADD 5, Step 3</v>
      </c>
      <c r="E146" s="197" t="str">
        <f>'Imp Crude'!D127</f>
        <v>OILHV5</v>
      </c>
      <c r="F146" s="197">
        <v>1</v>
      </c>
      <c r="G146" s="197"/>
      <c r="H146" s="187"/>
      <c r="I146" s="197"/>
      <c r="J146" s="197">
        <v>1.0049999999999999</v>
      </c>
      <c r="K146" s="197">
        <v>1.0049999999999999</v>
      </c>
      <c r="L146" s="195">
        <f>'Imp Crude'!L127</f>
        <v>11.064305674544054</v>
      </c>
      <c r="M146" s="195" t="e">
        <f>'Imp Crude'!M127</f>
        <v>#REF!</v>
      </c>
      <c r="N146" s="195" t="e">
        <f>'Imp Crude'!N127</f>
        <v>#REF!</v>
      </c>
      <c r="O146" s="195" t="e">
        <f>'Imp Crude'!O127</f>
        <v>#REF!</v>
      </c>
      <c r="P146" s="195" t="e">
        <f>'Imp Crude'!P127</f>
        <v>#REF!</v>
      </c>
      <c r="Q146" s="195" t="e">
        <f>'Imp Crude'!Q127</f>
        <v>#REF!</v>
      </c>
      <c r="R146" s="195" t="e">
        <f>'Imp Crude'!R127</f>
        <v>#REF!</v>
      </c>
      <c r="S146" s="195" t="e">
        <f>'Imp Crude'!S127</f>
        <v>#REF!</v>
      </c>
      <c r="T146" s="195" t="e">
        <f>'Imp Crude'!T127</f>
        <v>#REF!</v>
      </c>
      <c r="U146" s="195" t="e">
        <f>'Imp Crude'!U127</f>
        <v>#REF!</v>
      </c>
      <c r="V146" s="187"/>
      <c r="W146" s="187"/>
      <c r="X146" s="187">
        <f>'Imp Crude'!AE127</f>
        <v>335.23175485069311</v>
      </c>
      <c r="Y146" s="187">
        <f>'Imp Crude'!AF127</f>
        <v>345.08493844420451</v>
      </c>
      <c r="Z146" s="187"/>
      <c r="AA146" s="187"/>
      <c r="AB146" s="187"/>
      <c r="AC146" s="187"/>
      <c r="AD146" s="187"/>
      <c r="AE146" s="187"/>
      <c r="AF146" s="187"/>
      <c r="AG146" s="187"/>
      <c r="AH146" s="187"/>
      <c r="AI146" s="197"/>
      <c r="AJ146" s="197"/>
      <c r="BC146" s="147"/>
      <c r="BD146" s="147"/>
      <c r="BE146" s="147"/>
      <c r="BF146" s="147"/>
      <c r="BG146" s="147"/>
    </row>
    <row r="147" spans="2:59">
      <c r="B147" s="158" t="s">
        <v>398</v>
      </c>
      <c r="C147" s="158" t="str">
        <f>'Imp Crude'!B128</f>
        <v>IMPOILHV51</v>
      </c>
      <c r="D147" s="158" t="str">
        <f>'Imp Crude'!C128</f>
        <v>Imported Imported Oil-High Sulfur, Very HG, PADD 5, Step 1</v>
      </c>
      <c r="E147" s="197" t="str">
        <f>'Imp Crude'!D128</f>
        <v>OILHV5</v>
      </c>
      <c r="F147" s="197">
        <v>1</v>
      </c>
      <c r="G147" s="197"/>
      <c r="H147" s="187"/>
      <c r="I147" s="197"/>
      <c r="J147" s="197">
        <v>1.0049999999999999</v>
      </c>
      <c r="K147" s="197">
        <v>1.0049999999999999</v>
      </c>
      <c r="L147" s="195">
        <f>'Imp Crude'!L128</f>
        <v>9.9578751070896452</v>
      </c>
      <c r="M147" s="195" t="e">
        <f>'Imp Crude'!M128</f>
        <v>#REF!</v>
      </c>
      <c r="N147" s="195" t="e">
        <f>'Imp Crude'!N128</f>
        <v>#REF!</v>
      </c>
      <c r="O147" s="195" t="e">
        <f>'Imp Crude'!O128</f>
        <v>#REF!</v>
      </c>
      <c r="P147" s="195" t="e">
        <f>'Imp Crude'!P128</f>
        <v>#REF!</v>
      </c>
      <c r="Q147" s="195" t="e">
        <f>'Imp Crude'!Q128</f>
        <v>#REF!</v>
      </c>
      <c r="R147" s="195" t="e">
        <f>'Imp Crude'!R128</f>
        <v>#REF!</v>
      </c>
      <c r="S147" s="195" t="e">
        <f>'Imp Crude'!S128</f>
        <v>#REF!</v>
      </c>
      <c r="T147" s="195" t="e">
        <f>'Imp Crude'!T128</f>
        <v>#REF!</v>
      </c>
      <c r="U147" s="195" t="e">
        <f>'Imp Crude'!U128</f>
        <v>#REF!</v>
      </c>
      <c r="V147" s="187"/>
      <c r="W147" s="187"/>
      <c r="X147" s="187">
        <f>'Imp Crude'!AE128</f>
        <v>41.903969356336653</v>
      </c>
      <c r="Y147" s="187">
        <f>'Imp Crude'!AF128</f>
        <v>43.135617305525564</v>
      </c>
      <c r="Z147" s="187"/>
      <c r="AA147" s="187"/>
      <c r="AB147" s="187"/>
      <c r="AC147" s="187"/>
      <c r="AD147" s="187"/>
      <c r="AE147" s="187"/>
      <c r="AF147" s="187"/>
      <c r="AG147" s="187"/>
      <c r="AH147" s="187"/>
      <c r="AI147" s="197"/>
      <c r="AJ147" s="197"/>
      <c r="BC147" s="147"/>
      <c r="BD147" s="147"/>
      <c r="BE147" s="147"/>
      <c r="BF147" s="147"/>
      <c r="BG147" s="147"/>
    </row>
    <row r="148" spans="2:59">
      <c r="B148" s="158" t="s">
        <v>398</v>
      </c>
      <c r="C148" s="158" t="str">
        <f>'Imp Crude'!B129</f>
        <v>IMPOILHV52</v>
      </c>
      <c r="D148" s="158" t="str">
        <f>'Imp Crude'!C129</f>
        <v>Imported Imported Oil-High Sulfur, Very HG, PADD 5, Step 2</v>
      </c>
      <c r="E148" s="197" t="str">
        <f>'Imp Crude'!D129</f>
        <v>OILHV5</v>
      </c>
      <c r="F148" s="197">
        <v>1</v>
      </c>
      <c r="G148" s="197"/>
      <c r="H148" s="187"/>
      <c r="I148" s="197"/>
      <c r="J148" s="197">
        <v>1.0049999999999999</v>
      </c>
      <c r="K148" s="197">
        <v>1.0049999999999999</v>
      </c>
      <c r="L148" s="195">
        <f>'Imp Crude'!L129</f>
        <v>10.511090390816848</v>
      </c>
      <c r="M148" s="195" t="e">
        <f>'Imp Crude'!M129</f>
        <v>#REF!</v>
      </c>
      <c r="N148" s="195" t="e">
        <f>'Imp Crude'!N129</f>
        <v>#REF!</v>
      </c>
      <c r="O148" s="195" t="e">
        <f>'Imp Crude'!O129</f>
        <v>#REF!</v>
      </c>
      <c r="P148" s="195" t="e">
        <f>'Imp Crude'!P129</f>
        <v>#REF!</v>
      </c>
      <c r="Q148" s="195" t="e">
        <f>'Imp Crude'!Q129</f>
        <v>#REF!</v>
      </c>
      <c r="R148" s="195" t="e">
        <f>'Imp Crude'!R129</f>
        <v>#REF!</v>
      </c>
      <c r="S148" s="195" t="e">
        <f>'Imp Crude'!S129</f>
        <v>#REF!</v>
      </c>
      <c r="T148" s="195" t="e">
        <f>'Imp Crude'!T129</f>
        <v>#REF!</v>
      </c>
      <c r="U148" s="195" t="e">
        <f>'Imp Crude'!U129</f>
        <v>#REF!</v>
      </c>
      <c r="V148" s="187"/>
      <c r="W148" s="187"/>
      <c r="X148" s="187">
        <f>'Imp Crude'!AE129</f>
        <v>41.903969356336653</v>
      </c>
      <c r="Y148" s="187">
        <f>'Imp Crude'!AF129</f>
        <v>43.135617305525564</v>
      </c>
      <c r="Z148" s="187"/>
      <c r="AA148" s="187"/>
      <c r="AB148" s="187"/>
      <c r="AC148" s="187"/>
      <c r="AD148" s="187"/>
      <c r="AE148" s="187"/>
      <c r="AF148" s="187"/>
      <c r="AG148" s="187"/>
      <c r="AH148" s="187"/>
      <c r="AI148" s="197"/>
      <c r="AJ148" s="197"/>
      <c r="BC148" s="147"/>
      <c r="BD148" s="147"/>
      <c r="BE148" s="147"/>
      <c r="BF148" s="147"/>
      <c r="BG148" s="147"/>
    </row>
    <row r="149" spans="2:59">
      <c r="B149" s="158" t="s">
        <v>398</v>
      </c>
      <c r="C149" s="158" t="str">
        <f>'Imp Crude'!B130</f>
        <v>IMPOILHV54</v>
      </c>
      <c r="D149" s="158" t="str">
        <f>'Imp Crude'!C130</f>
        <v>Imported Imported Oil-High Sulfur, Very HG, PADD 5, Step 4</v>
      </c>
      <c r="E149" s="197" t="str">
        <f>'Imp Crude'!D130</f>
        <v>OILHV5</v>
      </c>
      <c r="F149" s="197">
        <v>1</v>
      </c>
      <c r="G149" s="197"/>
      <c r="H149" s="187"/>
      <c r="I149" s="197"/>
      <c r="J149" s="197">
        <v>1.0049999999999999</v>
      </c>
      <c r="K149" s="197">
        <v>1.0049999999999999</v>
      </c>
      <c r="L149" s="195">
        <f>'Imp Crude'!L130</f>
        <v>11.617520958271253</v>
      </c>
      <c r="M149" s="195" t="e">
        <f>'Imp Crude'!M130</f>
        <v>#REF!</v>
      </c>
      <c r="N149" s="195" t="e">
        <f>'Imp Crude'!N130</f>
        <v>#REF!</v>
      </c>
      <c r="O149" s="195" t="e">
        <f>'Imp Crude'!O130</f>
        <v>#REF!</v>
      </c>
      <c r="P149" s="195" t="e">
        <f>'Imp Crude'!P130</f>
        <v>#REF!</v>
      </c>
      <c r="Q149" s="195" t="e">
        <f>'Imp Crude'!Q130</f>
        <v>#REF!</v>
      </c>
      <c r="R149" s="195" t="e">
        <f>'Imp Crude'!R130</f>
        <v>#REF!</v>
      </c>
      <c r="S149" s="195" t="e">
        <f>'Imp Crude'!S130</f>
        <v>#REF!</v>
      </c>
      <c r="T149" s="195" t="e">
        <f>'Imp Crude'!T130</f>
        <v>#REF!</v>
      </c>
      <c r="U149" s="195" t="e">
        <f>'Imp Crude'!U130</f>
        <v>#REF!</v>
      </c>
      <c r="V149" s="187"/>
      <c r="W149" s="187"/>
      <c r="X149" s="187">
        <f>'Imp Crude'!AE130</f>
        <v>83.807938712673206</v>
      </c>
      <c r="Y149" s="187">
        <f>'Imp Crude'!AF130</f>
        <v>86.271234611051057</v>
      </c>
      <c r="Z149" s="187"/>
      <c r="AA149" s="187"/>
      <c r="AB149" s="187"/>
      <c r="AC149" s="187"/>
      <c r="AD149" s="187"/>
      <c r="AE149" s="187"/>
      <c r="AF149" s="187"/>
      <c r="AG149" s="187"/>
      <c r="AH149" s="187"/>
      <c r="AI149" s="197"/>
      <c r="AJ149" s="197"/>
      <c r="BC149" s="147"/>
      <c r="BD149" s="147"/>
      <c r="BE149" s="147"/>
      <c r="BF149" s="147"/>
      <c r="BG149" s="147"/>
    </row>
    <row r="150" spans="2:59">
      <c r="B150" s="158" t="s">
        <v>398</v>
      </c>
      <c r="C150" s="158" t="str">
        <f>'Imp Crude'!B131</f>
        <v>IMPOILHV55</v>
      </c>
      <c r="D150" s="158" t="str">
        <f>'Imp Crude'!C131</f>
        <v>Imported Imported Oil-High Sulfur, Very HG, PADD 5, Step 5</v>
      </c>
      <c r="E150" s="197" t="str">
        <f>'Imp Crude'!D131</f>
        <v>OILHV5</v>
      </c>
      <c r="F150" s="197">
        <v>1</v>
      </c>
      <c r="G150" s="197"/>
      <c r="H150" s="187"/>
      <c r="I150" s="197"/>
      <c r="J150" s="197">
        <v>1.0049999999999999</v>
      </c>
      <c r="K150" s="197">
        <v>1.0049999999999999</v>
      </c>
      <c r="L150" s="195">
        <f>'Imp Crude'!L131</f>
        <v>14.383597376907268</v>
      </c>
      <c r="M150" s="195" t="e">
        <f>'Imp Crude'!M131</f>
        <v>#REF!</v>
      </c>
      <c r="N150" s="195" t="e">
        <f>'Imp Crude'!N131</f>
        <v>#REF!</v>
      </c>
      <c r="O150" s="195" t="e">
        <f>'Imp Crude'!O131</f>
        <v>#REF!</v>
      </c>
      <c r="P150" s="195" t="e">
        <f>'Imp Crude'!P131</f>
        <v>#REF!</v>
      </c>
      <c r="Q150" s="195" t="e">
        <f>'Imp Crude'!Q131</f>
        <v>#REF!</v>
      </c>
      <c r="R150" s="195" t="e">
        <f>'Imp Crude'!R131</f>
        <v>#REF!</v>
      </c>
      <c r="S150" s="195" t="e">
        <f>'Imp Crude'!S131</f>
        <v>#REF!</v>
      </c>
      <c r="T150" s="195" t="e">
        <f>'Imp Crude'!T131</f>
        <v>#REF!</v>
      </c>
      <c r="U150" s="195" t="e">
        <f>'Imp Crude'!U131</f>
        <v>#REF!</v>
      </c>
      <c r="V150" s="187"/>
      <c r="W150" s="187"/>
      <c r="X150" s="187">
        <f>'Imp Crude'!AE131</f>
        <v>41.903969356336745</v>
      </c>
      <c r="Y150" s="187">
        <f>'Imp Crude'!AF131</f>
        <v>43.135617305525557</v>
      </c>
      <c r="Z150" s="187"/>
      <c r="AA150" s="187"/>
      <c r="AB150" s="187"/>
      <c r="AC150" s="187"/>
      <c r="AD150" s="187"/>
      <c r="AE150" s="187"/>
      <c r="AF150" s="187"/>
      <c r="AG150" s="187"/>
      <c r="AH150" s="187"/>
      <c r="AI150" s="197"/>
      <c r="AJ150" s="197"/>
      <c r="BC150" s="147"/>
      <c r="BD150" s="147"/>
      <c r="BE150" s="147"/>
      <c r="BF150" s="147"/>
      <c r="BG150" s="147"/>
    </row>
    <row r="151" spans="2:59">
      <c r="B151" s="158" t="s">
        <v>398</v>
      </c>
      <c r="C151" s="158" t="str">
        <f>'Imp Crude'!B132</f>
        <v>IMPOILLL53</v>
      </c>
      <c r="D151" s="158" t="str">
        <f>'Imp Crude'!C132</f>
        <v>Imported Imported Oil-Low Sulfur, Low G, PADD 5, Step 3</v>
      </c>
      <c r="E151" s="197" t="str">
        <f>'Imp Crude'!D132</f>
        <v>OILLL5</v>
      </c>
      <c r="F151" s="197">
        <v>1</v>
      </c>
      <c r="G151" s="197"/>
      <c r="H151" s="187"/>
      <c r="I151" s="197"/>
      <c r="J151" s="197">
        <v>1.0049999999999999</v>
      </c>
      <c r="K151" s="197">
        <v>1.0049999999999999</v>
      </c>
      <c r="L151" s="195">
        <f>'Imp Crude'!L132</f>
        <v>14.669714698535982</v>
      </c>
      <c r="M151" s="195" t="e">
        <f>'Imp Crude'!M132</f>
        <v>#REF!</v>
      </c>
      <c r="N151" s="195" t="e">
        <f>'Imp Crude'!N132</f>
        <v>#REF!</v>
      </c>
      <c r="O151" s="195" t="e">
        <f>'Imp Crude'!O132</f>
        <v>#REF!</v>
      </c>
      <c r="P151" s="195" t="e">
        <f>'Imp Crude'!P132</f>
        <v>#REF!</v>
      </c>
      <c r="Q151" s="195" t="e">
        <f>'Imp Crude'!Q132</f>
        <v>#REF!</v>
      </c>
      <c r="R151" s="195" t="e">
        <f>'Imp Crude'!R132</f>
        <v>#REF!</v>
      </c>
      <c r="S151" s="195" t="e">
        <f>'Imp Crude'!S132</f>
        <v>#REF!</v>
      </c>
      <c r="T151" s="195" t="e">
        <f>'Imp Crude'!T132</f>
        <v>#REF!</v>
      </c>
      <c r="U151" s="195" t="e">
        <f>'Imp Crude'!U132</f>
        <v>#REF!</v>
      </c>
      <c r="V151" s="187"/>
      <c r="W151" s="187"/>
      <c r="X151" s="187">
        <f>'Imp Crude'!AE132</f>
        <v>288.6107368269524</v>
      </c>
      <c r="Y151" s="187">
        <f>'Imp Crude'!AF132</f>
        <v>491.50436420713913</v>
      </c>
      <c r="Z151" s="187"/>
      <c r="AA151" s="187"/>
      <c r="AB151" s="187"/>
      <c r="AC151" s="187"/>
      <c r="AD151" s="187"/>
      <c r="AE151" s="187"/>
      <c r="AF151" s="187"/>
      <c r="AG151" s="187"/>
      <c r="AH151" s="187"/>
      <c r="AI151" s="197"/>
      <c r="AJ151" s="197"/>
      <c r="BC151" s="147"/>
      <c r="BD151" s="147"/>
      <c r="BE151" s="147"/>
      <c r="BF151" s="147"/>
      <c r="BG151" s="147"/>
    </row>
    <row r="152" spans="2:59">
      <c r="B152" s="158" t="s">
        <v>398</v>
      </c>
      <c r="C152" s="158" t="str">
        <f>'Imp Crude'!B133</f>
        <v>IMPOILLL51</v>
      </c>
      <c r="D152" s="158" t="str">
        <f>'Imp Crude'!C133</f>
        <v>Imported Imported Oil-Low Sulfur, Low G, PADD 5, Step 1</v>
      </c>
      <c r="E152" s="197" t="str">
        <f>'Imp Crude'!D133</f>
        <v>OILLL5</v>
      </c>
      <c r="F152" s="197">
        <v>1</v>
      </c>
      <c r="G152" s="197"/>
      <c r="H152" s="187"/>
      <c r="I152" s="197"/>
      <c r="J152" s="197">
        <v>1.0049999999999999</v>
      </c>
      <c r="K152" s="197">
        <v>1.0049999999999999</v>
      </c>
      <c r="L152" s="195">
        <f>'Imp Crude'!L133</f>
        <v>13.202743228682387</v>
      </c>
      <c r="M152" s="195" t="e">
        <f>'Imp Crude'!M133</f>
        <v>#REF!</v>
      </c>
      <c r="N152" s="195" t="e">
        <f>'Imp Crude'!N133</f>
        <v>#REF!</v>
      </c>
      <c r="O152" s="195" t="e">
        <f>'Imp Crude'!O133</f>
        <v>#REF!</v>
      </c>
      <c r="P152" s="195" t="e">
        <f>'Imp Crude'!P133</f>
        <v>#REF!</v>
      </c>
      <c r="Q152" s="195" t="e">
        <f>'Imp Crude'!Q133</f>
        <v>#REF!</v>
      </c>
      <c r="R152" s="195" t="e">
        <f>'Imp Crude'!R133</f>
        <v>#REF!</v>
      </c>
      <c r="S152" s="195" t="e">
        <f>'Imp Crude'!S133</f>
        <v>#REF!</v>
      </c>
      <c r="T152" s="195" t="e">
        <f>'Imp Crude'!T133</f>
        <v>#REF!</v>
      </c>
      <c r="U152" s="195" t="e">
        <f>'Imp Crude'!U133</f>
        <v>#REF!</v>
      </c>
      <c r="V152" s="187"/>
      <c r="W152" s="187"/>
      <c r="X152" s="187">
        <f>'Imp Crude'!AE133</f>
        <v>36.076342103369058</v>
      </c>
      <c r="Y152" s="187">
        <f>'Imp Crude'!AF133</f>
        <v>61.438045525892406</v>
      </c>
      <c r="Z152" s="187"/>
      <c r="AA152" s="187"/>
      <c r="AB152" s="187"/>
      <c r="AC152" s="187"/>
      <c r="AD152" s="187"/>
      <c r="AE152" s="187"/>
      <c r="AF152" s="187"/>
      <c r="AG152" s="187"/>
      <c r="AH152" s="187"/>
      <c r="AI152" s="197"/>
      <c r="AJ152" s="197"/>
      <c r="BC152" s="147"/>
      <c r="BD152" s="147"/>
      <c r="BE152" s="147"/>
      <c r="BF152" s="147"/>
      <c r="BG152" s="147"/>
    </row>
    <row r="153" spans="2:59">
      <c r="B153" s="158" t="s">
        <v>398</v>
      </c>
      <c r="C153" s="158" t="str">
        <f>'Imp Crude'!B134</f>
        <v>IMPOILLL52</v>
      </c>
      <c r="D153" s="158" t="str">
        <f>'Imp Crude'!C134</f>
        <v>Imported Imported Oil-Low Sulfur, Low G, PADD 5, Step 2</v>
      </c>
      <c r="E153" s="197" t="str">
        <f>'Imp Crude'!D134</f>
        <v>OILLL5</v>
      </c>
      <c r="F153" s="197">
        <v>1</v>
      </c>
      <c r="G153" s="197"/>
      <c r="H153" s="187"/>
      <c r="I153" s="197"/>
      <c r="J153" s="197">
        <v>1.0049999999999999</v>
      </c>
      <c r="K153" s="197">
        <v>1.0049999999999999</v>
      </c>
      <c r="L153" s="195">
        <f>'Imp Crude'!L134</f>
        <v>13.936228963609183</v>
      </c>
      <c r="M153" s="195" t="e">
        <f>'Imp Crude'!M134</f>
        <v>#REF!</v>
      </c>
      <c r="N153" s="195" t="e">
        <f>'Imp Crude'!N134</f>
        <v>#REF!</v>
      </c>
      <c r="O153" s="195" t="e">
        <f>'Imp Crude'!O134</f>
        <v>#REF!</v>
      </c>
      <c r="P153" s="195" t="e">
        <f>'Imp Crude'!P134</f>
        <v>#REF!</v>
      </c>
      <c r="Q153" s="195" t="e">
        <f>'Imp Crude'!Q134</f>
        <v>#REF!</v>
      </c>
      <c r="R153" s="195" t="e">
        <f>'Imp Crude'!R134</f>
        <v>#REF!</v>
      </c>
      <c r="S153" s="195" t="e">
        <f>'Imp Crude'!S134</f>
        <v>#REF!</v>
      </c>
      <c r="T153" s="195" t="e">
        <f>'Imp Crude'!T134</f>
        <v>#REF!</v>
      </c>
      <c r="U153" s="195" t="e">
        <f>'Imp Crude'!U134</f>
        <v>#REF!</v>
      </c>
      <c r="V153" s="187"/>
      <c r="W153" s="187"/>
      <c r="X153" s="187">
        <f>'Imp Crude'!AE134</f>
        <v>36.076342103369058</v>
      </c>
      <c r="Y153" s="187">
        <f>'Imp Crude'!AF134</f>
        <v>61.438045525892406</v>
      </c>
      <c r="Z153" s="187"/>
      <c r="AA153" s="187"/>
      <c r="AB153" s="187"/>
      <c r="AC153" s="187"/>
      <c r="AD153" s="187"/>
      <c r="AE153" s="187"/>
      <c r="AF153" s="187"/>
      <c r="AG153" s="187"/>
      <c r="AH153" s="187"/>
      <c r="AI153" s="197"/>
      <c r="AJ153" s="197"/>
      <c r="BC153" s="147"/>
      <c r="BD153" s="147"/>
      <c r="BE153" s="147"/>
      <c r="BF153" s="147"/>
      <c r="BG153" s="147"/>
    </row>
    <row r="154" spans="2:59">
      <c r="B154" s="158" t="s">
        <v>398</v>
      </c>
      <c r="C154" s="158" t="str">
        <f>'Imp Crude'!B135</f>
        <v>IMPOILLL54</v>
      </c>
      <c r="D154" s="158" t="str">
        <f>'Imp Crude'!C135</f>
        <v>Imported Imported Oil-Low Sulfur, Low G, PADD 5, Step 4</v>
      </c>
      <c r="E154" s="197" t="str">
        <f>'Imp Crude'!D135</f>
        <v>OILLL5</v>
      </c>
      <c r="F154" s="197">
        <v>1</v>
      </c>
      <c r="G154" s="197"/>
      <c r="H154" s="187"/>
      <c r="I154" s="197"/>
      <c r="J154" s="197">
        <v>1.0049999999999999</v>
      </c>
      <c r="K154" s="197">
        <v>1.0049999999999999</v>
      </c>
      <c r="L154" s="195">
        <f>'Imp Crude'!L135</f>
        <v>15.403200433462786</v>
      </c>
      <c r="M154" s="195" t="e">
        <f>'Imp Crude'!M135</f>
        <v>#REF!</v>
      </c>
      <c r="N154" s="195" t="e">
        <f>'Imp Crude'!N135</f>
        <v>#REF!</v>
      </c>
      <c r="O154" s="195" t="e">
        <f>'Imp Crude'!O135</f>
        <v>#REF!</v>
      </c>
      <c r="P154" s="195" t="e">
        <f>'Imp Crude'!P135</f>
        <v>#REF!</v>
      </c>
      <c r="Q154" s="195" t="e">
        <f>'Imp Crude'!Q135</f>
        <v>#REF!</v>
      </c>
      <c r="R154" s="195" t="e">
        <f>'Imp Crude'!R135</f>
        <v>#REF!</v>
      </c>
      <c r="S154" s="195" t="e">
        <f>'Imp Crude'!S135</f>
        <v>#REF!</v>
      </c>
      <c r="T154" s="195" t="e">
        <f>'Imp Crude'!T135</f>
        <v>#REF!</v>
      </c>
      <c r="U154" s="195" t="e">
        <f>'Imp Crude'!U135</f>
        <v>#REF!</v>
      </c>
      <c r="V154" s="187"/>
      <c r="W154" s="187"/>
      <c r="X154" s="187">
        <f>'Imp Crude'!AE135</f>
        <v>72.152684206738172</v>
      </c>
      <c r="Y154" s="187">
        <f>'Imp Crude'!AF135</f>
        <v>122.8760910517849</v>
      </c>
      <c r="Z154" s="187"/>
      <c r="AA154" s="187"/>
      <c r="AB154" s="187"/>
      <c r="AC154" s="187"/>
      <c r="AD154" s="187"/>
      <c r="AE154" s="187"/>
      <c r="AF154" s="187"/>
      <c r="AG154" s="187"/>
      <c r="AH154" s="187"/>
      <c r="AI154" s="197"/>
      <c r="AJ154" s="197"/>
      <c r="BC154" s="147"/>
      <c r="BD154" s="147"/>
      <c r="BE154" s="147"/>
      <c r="BF154" s="147"/>
      <c r="BG154" s="147"/>
    </row>
    <row r="155" spans="2:59">
      <c r="B155" s="158" t="s">
        <v>398</v>
      </c>
      <c r="C155" s="158" t="str">
        <f>'Imp Crude'!B136</f>
        <v>IMPOILLL55</v>
      </c>
      <c r="D155" s="158" t="str">
        <f>'Imp Crude'!C136</f>
        <v>Imported Imported Oil-Low Sulfur, Low G, PADD 5, Step 5</v>
      </c>
      <c r="E155" s="197" t="str">
        <f>'Imp Crude'!D136</f>
        <v>OILLL5</v>
      </c>
      <c r="F155" s="197">
        <v>1</v>
      </c>
      <c r="G155" s="197"/>
      <c r="H155" s="187"/>
      <c r="I155" s="197"/>
      <c r="J155" s="197">
        <v>1.0049999999999999</v>
      </c>
      <c r="K155" s="197">
        <v>1.0049999999999999</v>
      </c>
      <c r="L155" s="195">
        <f>'Imp Crude'!L136</f>
        <v>19.070629108096782</v>
      </c>
      <c r="M155" s="195" t="e">
        <f>'Imp Crude'!M136</f>
        <v>#REF!</v>
      </c>
      <c r="N155" s="195" t="e">
        <f>'Imp Crude'!N136</f>
        <v>#REF!</v>
      </c>
      <c r="O155" s="195" t="e">
        <f>'Imp Crude'!O136</f>
        <v>#REF!</v>
      </c>
      <c r="P155" s="195" t="e">
        <f>'Imp Crude'!P136</f>
        <v>#REF!</v>
      </c>
      <c r="Q155" s="195" t="e">
        <f>'Imp Crude'!Q136</f>
        <v>#REF!</v>
      </c>
      <c r="R155" s="195" t="e">
        <f>'Imp Crude'!R136</f>
        <v>#REF!</v>
      </c>
      <c r="S155" s="195" t="e">
        <f>'Imp Crude'!S136</f>
        <v>#REF!</v>
      </c>
      <c r="T155" s="195" t="e">
        <f>'Imp Crude'!T136</f>
        <v>#REF!</v>
      </c>
      <c r="U155" s="195" t="e">
        <f>'Imp Crude'!U136</f>
        <v>#REF!</v>
      </c>
      <c r="V155" s="187"/>
      <c r="W155" s="187"/>
      <c r="X155" s="187">
        <f>'Imp Crude'!AE136</f>
        <v>36.076342103369086</v>
      </c>
      <c r="Y155" s="187">
        <f>'Imp Crude'!AF136</f>
        <v>61.438045525892107</v>
      </c>
      <c r="Z155" s="187"/>
      <c r="AA155" s="187"/>
      <c r="AB155" s="187"/>
      <c r="AC155" s="187"/>
      <c r="AD155" s="187"/>
      <c r="AE155" s="187"/>
      <c r="AF155" s="187"/>
      <c r="AG155" s="187"/>
      <c r="AH155" s="187"/>
      <c r="AI155" s="197"/>
      <c r="AJ155" s="197"/>
      <c r="BC155" s="147"/>
      <c r="BD155" s="147"/>
      <c r="BE155" s="147"/>
      <c r="BF155" s="147"/>
      <c r="BG155" s="147"/>
    </row>
    <row r="156" spans="2:59">
      <c r="B156" s="158" t="s">
        <v>398</v>
      </c>
      <c r="C156" s="158" t="str">
        <f>'Imp Crude'!B137</f>
        <v>IMPOILMH53</v>
      </c>
      <c r="D156" s="158" t="str">
        <f>'Imp Crude'!C137</f>
        <v>Imported Imported Oil-Medium Sulfur, HG, PADD 5, Step 3</v>
      </c>
      <c r="E156" s="197" t="str">
        <f>'Imp Crude'!D137</f>
        <v>OILMH5</v>
      </c>
      <c r="F156" s="197">
        <v>1</v>
      </c>
      <c r="G156" s="197"/>
      <c r="H156" s="187"/>
      <c r="I156" s="197"/>
      <c r="J156" s="197">
        <v>1.0049999999999999</v>
      </c>
      <c r="K156" s="197">
        <v>1.0049999999999999</v>
      </c>
      <c r="L156" s="195">
        <f>'Imp Crude'!L137</f>
        <v>12.053312370116149</v>
      </c>
      <c r="M156" s="195" t="e">
        <f>'Imp Crude'!M137</f>
        <v>#REF!</v>
      </c>
      <c r="N156" s="195" t="e">
        <f>'Imp Crude'!N137</f>
        <v>#REF!</v>
      </c>
      <c r="O156" s="195" t="e">
        <f>'Imp Crude'!O137</f>
        <v>#REF!</v>
      </c>
      <c r="P156" s="195" t="e">
        <f>'Imp Crude'!P137</f>
        <v>#REF!</v>
      </c>
      <c r="Q156" s="195" t="e">
        <f>'Imp Crude'!Q137</f>
        <v>#REF!</v>
      </c>
      <c r="R156" s="195" t="e">
        <f>'Imp Crude'!R137</f>
        <v>#REF!</v>
      </c>
      <c r="S156" s="195" t="e">
        <f>'Imp Crude'!S137</f>
        <v>#REF!</v>
      </c>
      <c r="T156" s="195" t="e">
        <f>'Imp Crude'!T137</f>
        <v>#REF!</v>
      </c>
      <c r="U156" s="195" t="e">
        <f>'Imp Crude'!U137</f>
        <v>#REF!</v>
      </c>
      <c r="V156" s="187"/>
      <c r="W156" s="187"/>
      <c r="X156" s="187">
        <f>'Imp Crude'!AE137</f>
        <v>317.2017326984834</v>
      </c>
      <c r="Y156" s="187">
        <f>'Imp Crude'!AF137</f>
        <v>229.00735781138303</v>
      </c>
      <c r="Z156" s="187"/>
      <c r="AA156" s="187"/>
      <c r="AB156" s="187"/>
      <c r="AC156" s="187"/>
      <c r="AD156" s="187"/>
      <c r="AE156" s="187"/>
      <c r="AF156" s="187"/>
      <c r="AG156" s="187"/>
      <c r="AH156" s="187"/>
      <c r="AI156" s="197"/>
      <c r="AJ156" s="197"/>
      <c r="BC156" s="147"/>
      <c r="BD156" s="147"/>
      <c r="BE156" s="147"/>
      <c r="BF156" s="147"/>
      <c r="BG156" s="147"/>
    </row>
    <row r="157" spans="2:59">
      <c r="B157" s="158" t="s">
        <v>398</v>
      </c>
      <c r="C157" s="158" t="str">
        <f>'Imp Crude'!B138</f>
        <v>IMPOILMH51</v>
      </c>
      <c r="D157" s="158" t="str">
        <f>'Imp Crude'!C138</f>
        <v>Imported Imported Oil-Medium Sulfur, HG, PADD 5, Step 1</v>
      </c>
      <c r="E157" s="197" t="str">
        <f>'Imp Crude'!D138</f>
        <v>OILMH5</v>
      </c>
      <c r="F157" s="197">
        <v>1</v>
      </c>
      <c r="G157" s="197"/>
      <c r="H157" s="187"/>
      <c r="I157" s="197"/>
      <c r="J157" s="197">
        <v>1.0049999999999999</v>
      </c>
      <c r="K157" s="197">
        <v>1.0049999999999999</v>
      </c>
      <c r="L157" s="195">
        <f>'Imp Crude'!L138</f>
        <v>10.847981133104536</v>
      </c>
      <c r="M157" s="195" t="e">
        <f>'Imp Crude'!M138</f>
        <v>#REF!</v>
      </c>
      <c r="N157" s="195" t="e">
        <f>'Imp Crude'!N138</f>
        <v>#REF!</v>
      </c>
      <c r="O157" s="195" t="e">
        <f>'Imp Crude'!O138</f>
        <v>#REF!</v>
      </c>
      <c r="P157" s="195" t="e">
        <f>'Imp Crude'!P138</f>
        <v>#REF!</v>
      </c>
      <c r="Q157" s="195" t="e">
        <f>'Imp Crude'!Q138</f>
        <v>#REF!</v>
      </c>
      <c r="R157" s="195" t="e">
        <f>'Imp Crude'!R138</f>
        <v>#REF!</v>
      </c>
      <c r="S157" s="195" t="e">
        <f>'Imp Crude'!S138</f>
        <v>#REF!</v>
      </c>
      <c r="T157" s="195" t="e">
        <f>'Imp Crude'!T138</f>
        <v>#REF!</v>
      </c>
      <c r="U157" s="195" t="e">
        <f>'Imp Crude'!U138</f>
        <v>#REF!</v>
      </c>
      <c r="V157" s="187"/>
      <c r="W157" s="187"/>
      <c r="X157" s="187">
        <f>'Imp Crude'!AE138</f>
        <v>39.650216587310425</v>
      </c>
      <c r="Y157" s="187">
        <f>'Imp Crude'!AF138</f>
        <v>28.62591972642289</v>
      </c>
      <c r="Z157" s="187"/>
      <c r="AA157" s="187"/>
      <c r="AB157" s="187"/>
      <c r="AC157" s="187"/>
      <c r="AD157" s="187"/>
      <c r="AE157" s="187"/>
      <c r="AF157" s="187"/>
      <c r="AG157" s="187"/>
      <c r="AH157" s="187"/>
      <c r="AI157" s="197"/>
      <c r="AJ157" s="197"/>
      <c r="BC157" s="147"/>
      <c r="BD157" s="147"/>
      <c r="BE157" s="147"/>
      <c r="BF157" s="147"/>
      <c r="BG157" s="147"/>
    </row>
    <row r="158" spans="2:59">
      <c r="B158" s="158" t="s">
        <v>398</v>
      </c>
      <c r="C158" s="158" t="str">
        <f>'Imp Crude'!B139</f>
        <v>IMPOILMH52</v>
      </c>
      <c r="D158" s="158" t="str">
        <f>'Imp Crude'!C139</f>
        <v>Imported Imported Oil-Medium Sulfur, HG, PADD 5, Step 2</v>
      </c>
      <c r="E158" s="197" t="str">
        <f>'Imp Crude'!D139</f>
        <v>OILMH5</v>
      </c>
      <c r="F158" s="197">
        <v>1</v>
      </c>
      <c r="G158" s="197"/>
      <c r="H158" s="187"/>
      <c r="I158" s="197"/>
      <c r="J158" s="197">
        <v>1.0049999999999999</v>
      </c>
      <c r="K158" s="197">
        <v>1.0049999999999999</v>
      </c>
      <c r="L158" s="195">
        <f>'Imp Crude'!L139</f>
        <v>11.450646751610343</v>
      </c>
      <c r="M158" s="195" t="e">
        <f>'Imp Crude'!M139</f>
        <v>#REF!</v>
      </c>
      <c r="N158" s="195" t="e">
        <f>'Imp Crude'!N139</f>
        <v>#REF!</v>
      </c>
      <c r="O158" s="195" t="e">
        <f>'Imp Crude'!O139</f>
        <v>#REF!</v>
      </c>
      <c r="P158" s="195" t="e">
        <f>'Imp Crude'!P139</f>
        <v>#REF!</v>
      </c>
      <c r="Q158" s="195" t="e">
        <f>'Imp Crude'!Q139</f>
        <v>#REF!</v>
      </c>
      <c r="R158" s="195" t="e">
        <f>'Imp Crude'!R139</f>
        <v>#REF!</v>
      </c>
      <c r="S158" s="195" t="e">
        <f>'Imp Crude'!S139</f>
        <v>#REF!</v>
      </c>
      <c r="T158" s="195" t="e">
        <f>'Imp Crude'!T139</f>
        <v>#REF!</v>
      </c>
      <c r="U158" s="195" t="e">
        <f>'Imp Crude'!U139</f>
        <v>#REF!</v>
      </c>
      <c r="V158" s="187"/>
      <c r="W158" s="187"/>
      <c r="X158" s="187">
        <f>'Imp Crude'!AE139</f>
        <v>39.650216587310425</v>
      </c>
      <c r="Y158" s="187">
        <f>'Imp Crude'!AF139</f>
        <v>28.62591972642289</v>
      </c>
      <c r="Z158" s="187"/>
      <c r="AA158" s="187"/>
      <c r="AB158" s="187"/>
      <c r="AC158" s="187"/>
      <c r="AD158" s="187"/>
      <c r="AE158" s="187"/>
      <c r="AF158" s="187"/>
      <c r="AG158" s="187"/>
      <c r="AH158" s="187"/>
      <c r="AI158" s="197"/>
      <c r="AJ158" s="197"/>
      <c r="BC158" s="147"/>
      <c r="BD158" s="147"/>
      <c r="BE158" s="147"/>
      <c r="BF158" s="147"/>
      <c r="BG158" s="147"/>
    </row>
    <row r="159" spans="2:59">
      <c r="B159" s="158" t="s">
        <v>398</v>
      </c>
      <c r="C159" s="158" t="str">
        <f>'Imp Crude'!B140</f>
        <v>IMPOILMH54</v>
      </c>
      <c r="D159" s="158" t="str">
        <f>'Imp Crude'!C140</f>
        <v>Imported Imported Oil-Medium Sulfur, HG, PADD 5, Step 4</v>
      </c>
      <c r="E159" s="197" t="str">
        <f>'Imp Crude'!D140</f>
        <v>OILMH5</v>
      </c>
      <c r="F159" s="197">
        <v>1</v>
      </c>
      <c r="G159" s="197"/>
      <c r="H159" s="187"/>
      <c r="I159" s="197"/>
      <c r="J159" s="197">
        <v>1.0049999999999999</v>
      </c>
      <c r="K159" s="197">
        <v>1.0049999999999999</v>
      </c>
      <c r="L159" s="195">
        <f>'Imp Crude'!L140</f>
        <v>12.655977988621959</v>
      </c>
      <c r="M159" s="195" t="e">
        <f>'Imp Crude'!M140</f>
        <v>#REF!</v>
      </c>
      <c r="N159" s="195" t="e">
        <f>'Imp Crude'!N140</f>
        <v>#REF!</v>
      </c>
      <c r="O159" s="195" t="e">
        <f>'Imp Crude'!O140</f>
        <v>#REF!</v>
      </c>
      <c r="P159" s="195" t="e">
        <f>'Imp Crude'!P140</f>
        <v>#REF!</v>
      </c>
      <c r="Q159" s="195" t="e">
        <f>'Imp Crude'!Q140</f>
        <v>#REF!</v>
      </c>
      <c r="R159" s="195" t="e">
        <f>'Imp Crude'!R140</f>
        <v>#REF!</v>
      </c>
      <c r="S159" s="195" t="e">
        <f>'Imp Crude'!S140</f>
        <v>#REF!</v>
      </c>
      <c r="T159" s="195" t="e">
        <f>'Imp Crude'!T140</f>
        <v>#REF!</v>
      </c>
      <c r="U159" s="195" t="e">
        <f>'Imp Crude'!U140</f>
        <v>#REF!</v>
      </c>
      <c r="V159" s="187"/>
      <c r="W159" s="187"/>
      <c r="X159" s="187">
        <f>'Imp Crude'!AE140</f>
        <v>79.300433174620878</v>
      </c>
      <c r="Y159" s="187">
        <f>'Imp Crude'!AF140</f>
        <v>57.251839452845786</v>
      </c>
      <c r="Z159" s="187"/>
      <c r="AA159" s="187"/>
      <c r="AB159" s="187"/>
      <c r="AC159" s="187"/>
      <c r="AD159" s="187"/>
      <c r="AE159" s="187"/>
      <c r="AF159" s="187"/>
      <c r="AG159" s="187"/>
      <c r="AH159" s="187"/>
      <c r="AI159" s="197"/>
      <c r="AJ159" s="197"/>
      <c r="BC159" s="147"/>
      <c r="BD159" s="147"/>
      <c r="BE159" s="147"/>
      <c r="BF159" s="147"/>
      <c r="BG159" s="147"/>
    </row>
    <row r="160" spans="2:59">
      <c r="B160" s="158" t="s">
        <v>398</v>
      </c>
      <c r="C160" s="158" t="str">
        <f>'Imp Crude'!B141</f>
        <v>IMPOILMH55</v>
      </c>
      <c r="D160" s="158" t="str">
        <f>'Imp Crude'!C141</f>
        <v>Imported Imported Oil-Medium Sulfur, HG, PADD 5, Step 5</v>
      </c>
      <c r="E160" s="197" t="str">
        <f>'Imp Crude'!D141</f>
        <v>OILMH5</v>
      </c>
      <c r="F160" s="197">
        <v>1</v>
      </c>
      <c r="G160" s="197"/>
      <c r="H160" s="187"/>
      <c r="I160" s="197"/>
      <c r="J160" s="197">
        <v>1.0049999999999999</v>
      </c>
      <c r="K160" s="197">
        <v>1.0049999999999999</v>
      </c>
      <c r="L160" s="195">
        <f>'Imp Crude'!L141</f>
        <v>15.669306081150996</v>
      </c>
      <c r="M160" s="195" t="e">
        <f>'Imp Crude'!M141</f>
        <v>#REF!</v>
      </c>
      <c r="N160" s="195" t="e">
        <f>'Imp Crude'!N141</f>
        <v>#REF!</v>
      </c>
      <c r="O160" s="195" t="e">
        <f>'Imp Crude'!O141</f>
        <v>#REF!</v>
      </c>
      <c r="P160" s="195" t="e">
        <f>'Imp Crude'!P141</f>
        <v>#REF!</v>
      </c>
      <c r="Q160" s="195" t="e">
        <f>'Imp Crude'!Q141</f>
        <v>#REF!</v>
      </c>
      <c r="R160" s="195" t="e">
        <f>'Imp Crude'!R141</f>
        <v>#REF!</v>
      </c>
      <c r="S160" s="195" t="e">
        <f>'Imp Crude'!S141</f>
        <v>#REF!</v>
      </c>
      <c r="T160" s="195" t="e">
        <f>'Imp Crude'!T141</f>
        <v>#REF!</v>
      </c>
      <c r="U160" s="195" t="e">
        <f>'Imp Crude'!U141</f>
        <v>#REF!</v>
      </c>
      <c r="V160" s="187"/>
      <c r="W160" s="187"/>
      <c r="X160" s="187">
        <f>'Imp Crude'!AE141</f>
        <v>39.65021658731041</v>
      </c>
      <c r="Y160" s="187">
        <f>'Imp Crude'!AF141</f>
        <v>28.625919726422865</v>
      </c>
      <c r="Z160" s="187"/>
      <c r="AA160" s="187"/>
      <c r="AB160" s="187"/>
      <c r="AC160" s="187"/>
      <c r="AD160" s="187"/>
      <c r="AE160" s="187"/>
      <c r="AF160" s="187"/>
      <c r="AG160" s="187"/>
      <c r="AH160" s="187"/>
      <c r="AI160" s="197"/>
      <c r="AJ160" s="197"/>
      <c r="BC160" s="147"/>
      <c r="BD160" s="147"/>
      <c r="BE160" s="147"/>
      <c r="BF160" s="147"/>
      <c r="BG160" s="147"/>
    </row>
    <row r="161" spans="2:59">
      <c r="O161" s="171"/>
      <c r="P161" s="171"/>
      <c r="Q161" s="171"/>
      <c r="R161" s="171"/>
      <c r="S161" s="171"/>
      <c r="T161" s="171"/>
      <c r="U161" s="171"/>
      <c r="V161" s="171"/>
      <c r="W161" s="171"/>
      <c r="X161" s="171"/>
      <c r="Y161" s="172"/>
      <c r="Z161" s="173"/>
      <c r="BF161" s="147"/>
      <c r="BG161" s="147"/>
    </row>
    <row r="162" spans="2:59">
      <c r="O162" s="171"/>
      <c r="P162" s="171"/>
      <c r="Q162" s="171"/>
      <c r="R162" s="171"/>
      <c r="S162" s="171"/>
      <c r="T162" s="171"/>
      <c r="U162" s="171"/>
      <c r="V162" s="171"/>
      <c r="W162" s="171"/>
      <c r="X162" s="171"/>
      <c r="Y162" s="172"/>
      <c r="Z162" s="173"/>
      <c r="BF162" s="147"/>
      <c r="BG162" s="147"/>
    </row>
    <row r="163" spans="2:59">
      <c r="O163" s="171"/>
      <c r="P163" s="171"/>
      <c r="Q163" s="171"/>
      <c r="R163" s="171"/>
      <c r="S163" s="171"/>
      <c r="T163" s="171"/>
      <c r="U163" s="171"/>
      <c r="V163" s="171"/>
      <c r="W163" s="171"/>
      <c r="X163" s="171"/>
      <c r="Y163" s="172"/>
      <c r="Z163" s="173"/>
      <c r="BF163" s="147"/>
      <c r="BG163" s="147"/>
    </row>
    <row r="164" spans="2:59" ht="17.25" customHeight="1">
      <c r="F164" s="192"/>
      <c r="AW164" s="169"/>
      <c r="AX164" s="169"/>
      <c r="AY164" s="169"/>
      <c r="AZ164" s="169"/>
      <c r="BA164" s="169"/>
      <c r="BB164" s="169"/>
      <c r="BC164" s="169"/>
      <c r="BD164" s="169"/>
      <c r="BE164" s="169"/>
      <c r="BF164" s="170"/>
      <c r="BG164" s="170"/>
    </row>
    <row r="165" spans="2:59" ht="15.75" customHeight="1">
      <c r="B165" s="153" t="s">
        <v>541</v>
      </c>
      <c r="C165" s="153" t="s">
        <v>187</v>
      </c>
      <c r="D165" s="153" t="s">
        <v>188</v>
      </c>
      <c r="E165" s="153" t="s">
        <v>190</v>
      </c>
      <c r="F165" s="153" t="s">
        <v>191</v>
      </c>
      <c r="G165" s="153" t="s">
        <v>1139</v>
      </c>
      <c r="H165" s="153" t="s">
        <v>1157</v>
      </c>
      <c r="I165" s="153" t="s">
        <v>1140</v>
      </c>
      <c r="J165" s="176"/>
      <c r="K165" s="176"/>
      <c r="L165" s="176"/>
      <c r="M165" s="176"/>
      <c r="N165" s="176"/>
      <c r="O165" s="176"/>
      <c r="P165" s="147"/>
      <c r="Q165" s="147"/>
      <c r="R165" s="147"/>
      <c r="S165" s="147"/>
      <c r="T165" s="147"/>
      <c r="U165" s="147"/>
      <c r="V165" s="147"/>
      <c r="W165" s="147"/>
      <c r="X165" s="147"/>
      <c r="Y165" s="147"/>
      <c r="Z165" s="147"/>
      <c r="AA165" s="147"/>
      <c r="AB165" s="147"/>
      <c r="AC165" s="147"/>
      <c r="AD165" s="147"/>
      <c r="AE165" s="147"/>
      <c r="AF165" s="147"/>
      <c r="AG165" s="147"/>
      <c r="AH165" s="147"/>
      <c r="AI165" s="147"/>
      <c r="AJ165" s="147"/>
      <c r="AK165" s="147"/>
      <c r="AL165" s="147"/>
      <c r="AM165" s="147"/>
      <c r="AN165" s="147"/>
      <c r="AO165" s="147"/>
      <c r="AP165" s="147"/>
      <c r="AQ165" s="147"/>
      <c r="AR165" s="147"/>
      <c r="AS165" s="147"/>
      <c r="AT165" s="147"/>
      <c r="AU165" s="147"/>
      <c r="AV165" s="147"/>
      <c r="AW165" s="147"/>
      <c r="AX165" s="147"/>
      <c r="AY165" s="147"/>
      <c r="AZ165" s="147"/>
      <c r="BA165" s="147"/>
      <c r="BB165" s="147"/>
      <c r="BC165" s="147"/>
      <c r="BD165" s="147"/>
      <c r="BE165" s="147"/>
      <c r="BF165" s="147"/>
      <c r="BG165" s="147"/>
    </row>
    <row r="166" spans="2:59">
      <c r="B166" s="154" t="s">
        <v>337</v>
      </c>
      <c r="C166" s="154"/>
      <c r="D166" s="154"/>
      <c r="E166" s="154"/>
      <c r="F166" s="194"/>
      <c r="G166" s="196"/>
      <c r="H166" s="196"/>
      <c r="I166" s="196"/>
      <c r="P166" s="147"/>
      <c r="Q166" s="147"/>
      <c r="R166" s="147"/>
      <c r="S166" s="147"/>
      <c r="T166" s="147"/>
      <c r="U166" s="147"/>
      <c r="V166" s="147"/>
      <c r="W166" s="147"/>
      <c r="X166" s="147"/>
      <c r="Y166" s="147"/>
      <c r="Z166" s="147"/>
      <c r="AA166" s="147"/>
      <c r="AB166" s="147"/>
      <c r="AC166" s="147"/>
      <c r="AD166" s="147"/>
      <c r="AE166" s="147"/>
      <c r="AF166" s="147"/>
      <c r="AG166" s="147"/>
      <c r="AH166" s="147"/>
      <c r="AI166" s="147"/>
      <c r="AJ166" s="147"/>
      <c r="AK166" s="147"/>
      <c r="AL166" s="147"/>
      <c r="AM166" s="147"/>
      <c r="AN166" s="147"/>
      <c r="AO166" s="147"/>
      <c r="AP166" s="147"/>
      <c r="AQ166" s="147"/>
      <c r="AR166" s="147"/>
      <c r="AS166" s="147"/>
      <c r="AT166" s="147"/>
      <c r="AU166" s="147"/>
      <c r="AV166" s="147"/>
      <c r="AW166" s="147"/>
      <c r="AX166" s="147"/>
      <c r="AY166" s="147"/>
      <c r="AZ166" s="147"/>
      <c r="BA166" s="147"/>
      <c r="BB166" s="147"/>
      <c r="BC166" s="147"/>
      <c r="BD166" s="147"/>
      <c r="BE166" s="147"/>
      <c r="BF166" s="147"/>
      <c r="BG166" s="147"/>
    </row>
    <row r="167" spans="2:59">
      <c r="B167" s="158" t="str">
        <f>Technologies!B155</f>
        <v>R1</v>
      </c>
      <c r="C167" s="158" t="str">
        <f>Technologies!C155</f>
        <v>XOILHH1</v>
      </c>
      <c r="D167" s="158" t="str">
        <f>Technologies!D155</f>
        <v>Convert OILHH1 to OILIP1</v>
      </c>
      <c r="E167" s="158" t="str">
        <f>Commodities!C22</f>
        <v>OILHH1</v>
      </c>
      <c r="F167" s="197" t="str">
        <f>Commodities!C17</f>
        <v>OILIP1</v>
      </c>
      <c r="G167" s="197">
        <v>1</v>
      </c>
      <c r="H167" s="197">
        <v>1</v>
      </c>
      <c r="I167" s="197">
        <v>50</v>
      </c>
      <c r="P167" s="147"/>
      <c r="Q167" s="147"/>
      <c r="R167" s="147"/>
      <c r="S167" s="147"/>
      <c r="T167" s="147"/>
      <c r="U167" s="147"/>
      <c r="V167" s="147"/>
      <c r="W167" s="147"/>
      <c r="X167" s="147"/>
      <c r="Y167" s="147"/>
      <c r="Z167" s="147"/>
      <c r="AA167" s="147"/>
      <c r="AB167" s="147"/>
      <c r="AC167" s="147"/>
      <c r="AD167" s="147"/>
      <c r="AE167" s="147"/>
      <c r="AF167" s="147"/>
      <c r="AG167" s="147"/>
      <c r="AH167" s="147"/>
      <c r="AI167" s="147"/>
      <c r="AJ167" s="147"/>
      <c r="AK167" s="147"/>
      <c r="AL167" s="147"/>
      <c r="AM167" s="147"/>
      <c r="AN167" s="147"/>
      <c r="AO167" s="147"/>
      <c r="AP167" s="147"/>
      <c r="AQ167" s="147"/>
      <c r="AR167" s="147"/>
      <c r="AS167" s="147"/>
      <c r="AT167" s="147"/>
      <c r="AU167" s="147"/>
      <c r="AV167" s="147"/>
      <c r="AW167" s="147"/>
      <c r="AX167" s="147"/>
      <c r="AY167" s="147"/>
      <c r="AZ167" s="147"/>
      <c r="BA167" s="147"/>
      <c r="BB167" s="147"/>
      <c r="BC167" s="147"/>
      <c r="BD167" s="147"/>
      <c r="BE167" s="147"/>
      <c r="BF167" s="147"/>
      <c r="BG167" s="147"/>
    </row>
    <row r="168" spans="2:59">
      <c r="B168" s="158" t="str">
        <f>Technologies!B156</f>
        <v>R1</v>
      </c>
      <c r="C168" s="158" t="str">
        <f>Technologies!C156</f>
        <v>XOILHH2</v>
      </c>
      <c r="D168" s="158" t="str">
        <f>Technologies!D156</f>
        <v>Convert OILHH2 to OILIP2</v>
      </c>
      <c r="E168" s="158" t="str">
        <f>Commodities!C23</f>
        <v>OILHH2</v>
      </c>
      <c r="F168" s="197" t="str">
        <f>Commodities!C18</f>
        <v>OILIP2</v>
      </c>
      <c r="G168" s="197">
        <v>1</v>
      </c>
      <c r="H168" s="197">
        <v>1</v>
      </c>
      <c r="I168" s="197">
        <v>50</v>
      </c>
      <c r="P168" s="147"/>
      <c r="Q168" s="147"/>
      <c r="R168" s="147"/>
      <c r="S168" s="147"/>
      <c r="T168" s="147"/>
      <c r="U168" s="147"/>
      <c r="V168" s="147"/>
      <c r="W168" s="147"/>
      <c r="X168" s="147"/>
      <c r="Y168" s="147"/>
      <c r="Z168" s="147"/>
      <c r="AA168" s="147"/>
      <c r="AB168" s="147"/>
      <c r="AC168" s="147"/>
      <c r="AD168" s="147"/>
      <c r="AE168" s="147"/>
      <c r="AF168" s="147"/>
      <c r="AG168" s="147"/>
      <c r="AH168" s="147"/>
      <c r="AI168" s="147"/>
      <c r="AJ168" s="147"/>
      <c r="AK168" s="147"/>
      <c r="AL168" s="147"/>
      <c r="AM168" s="147"/>
      <c r="AN168" s="147"/>
      <c r="AO168" s="147"/>
      <c r="AP168" s="147"/>
      <c r="AQ168" s="147"/>
      <c r="AR168" s="147"/>
      <c r="AS168" s="147"/>
      <c r="AT168" s="147"/>
      <c r="AU168" s="147"/>
      <c r="AV168" s="147"/>
      <c r="AW168" s="147"/>
      <c r="AX168" s="147"/>
      <c r="AY168" s="147"/>
      <c r="AZ168" s="147"/>
      <c r="BA168" s="147"/>
      <c r="BB168" s="147"/>
      <c r="BC168" s="147"/>
      <c r="BD168" s="147"/>
      <c r="BE168" s="147"/>
      <c r="BF168" s="147"/>
      <c r="BG168" s="147"/>
    </row>
    <row r="169" spans="2:59">
      <c r="B169" s="158" t="str">
        <f>Technologies!B157</f>
        <v>R1</v>
      </c>
      <c r="C169" s="158" t="str">
        <f>Technologies!C157</f>
        <v>XOILHH3</v>
      </c>
      <c r="D169" s="158" t="str">
        <f>Technologies!D157</f>
        <v>Convert OILHH3 to OILIP3</v>
      </c>
      <c r="E169" s="158" t="str">
        <f>Commodities!C24</f>
        <v>OILHH3</v>
      </c>
      <c r="F169" s="197" t="str">
        <f>Commodities!C19</f>
        <v>OILIP3</v>
      </c>
      <c r="G169" s="197">
        <v>1</v>
      </c>
      <c r="H169" s="197">
        <v>1</v>
      </c>
      <c r="I169" s="197">
        <v>50</v>
      </c>
      <c r="P169" s="147"/>
      <c r="Q169" s="147"/>
      <c r="R169" s="147"/>
      <c r="S169" s="147"/>
      <c r="T169" s="147"/>
      <c r="U169" s="147"/>
      <c r="V169" s="147"/>
      <c r="W169" s="147"/>
      <c r="X169" s="147"/>
      <c r="Y169" s="147"/>
      <c r="Z169" s="147"/>
      <c r="AA169" s="147"/>
      <c r="AB169" s="147"/>
      <c r="AC169" s="147"/>
      <c r="AD169" s="147"/>
      <c r="AE169" s="147"/>
      <c r="AF169" s="147"/>
      <c r="AG169" s="147"/>
      <c r="AH169" s="147"/>
      <c r="AI169" s="147"/>
      <c r="AJ169" s="147"/>
      <c r="AK169" s="147"/>
      <c r="AL169" s="147"/>
      <c r="AM169" s="147"/>
      <c r="AN169" s="147"/>
      <c r="AO169" s="147"/>
      <c r="AP169" s="147"/>
      <c r="AQ169" s="147"/>
      <c r="AR169" s="147"/>
      <c r="AS169" s="147"/>
      <c r="AT169" s="147"/>
      <c r="AU169" s="147"/>
      <c r="AV169" s="147"/>
      <c r="AW169" s="147"/>
      <c r="AX169" s="147"/>
      <c r="AY169" s="147"/>
      <c r="AZ169" s="147"/>
      <c r="BA169" s="147"/>
      <c r="BB169" s="147"/>
      <c r="BC169" s="147"/>
      <c r="BD169" s="147"/>
      <c r="BE169" s="147"/>
      <c r="BF169" s="147"/>
      <c r="BG169" s="147"/>
    </row>
    <row r="170" spans="2:59">
      <c r="B170" s="158" t="str">
        <f>Technologies!B158</f>
        <v>*</v>
      </c>
      <c r="C170" s="158" t="str">
        <f>Technologies!C158</f>
        <v>XOILHH4</v>
      </c>
      <c r="D170" s="158" t="str">
        <f>Technologies!D158</f>
        <v>Convert OILHH4 to OILIP4</v>
      </c>
      <c r="E170" s="158" t="str">
        <f>Commodities!C25</f>
        <v>OILHH4</v>
      </c>
      <c r="F170" s="197" t="str">
        <f>RIGHT(Technologies!D158,6)</f>
        <v>OILIP4</v>
      </c>
      <c r="G170" s="197">
        <v>1</v>
      </c>
      <c r="H170" s="197">
        <v>1</v>
      </c>
      <c r="I170" s="197">
        <v>50</v>
      </c>
      <c r="P170" s="147"/>
      <c r="Q170" s="147"/>
      <c r="R170" s="147"/>
      <c r="S170" s="147"/>
      <c r="T170" s="147"/>
      <c r="U170" s="147"/>
      <c r="V170" s="147"/>
      <c r="W170" s="147"/>
      <c r="X170" s="147"/>
      <c r="Y170" s="147"/>
      <c r="Z170" s="147"/>
      <c r="AA170" s="147"/>
      <c r="AB170" s="147"/>
      <c r="AC170" s="147"/>
      <c r="AD170" s="147"/>
      <c r="AE170" s="147"/>
      <c r="AF170" s="147"/>
      <c r="AG170" s="147"/>
      <c r="AH170" s="147"/>
      <c r="AI170" s="147"/>
      <c r="AJ170" s="147"/>
      <c r="AK170" s="147"/>
      <c r="AL170" s="147"/>
      <c r="AM170" s="147"/>
      <c r="AN170" s="147"/>
      <c r="AO170" s="147"/>
      <c r="AP170" s="147"/>
      <c r="AQ170" s="147"/>
      <c r="AR170" s="147"/>
      <c r="AS170" s="147"/>
      <c r="AT170" s="147"/>
      <c r="AU170" s="147"/>
      <c r="AV170" s="147"/>
      <c r="AW170" s="147"/>
      <c r="AX170" s="147"/>
      <c r="AY170" s="147"/>
      <c r="AZ170" s="147"/>
      <c r="BA170" s="147"/>
      <c r="BB170" s="147"/>
      <c r="BC170" s="147"/>
      <c r="BD170" s="147"/>
      <c r="BE170" s="147"/>
      <c r="BF170" s="147"/>
      <c r="BG170" s="147"/>
    </row>
    <row r="171" spans="2:59">
      <c r="B171" s="158" t="str">
        <f>Technologies!B159</f>
        <v>*</v>
      </c>
      <c r="C171" s="158" t="str">
        <f>Technologies!C159</f>
        <v>XOILHH5</v>
      </c>
      <c r="D171" s="158" t="str">
        <f>Technologies!D159</f>
        <v>Convert OILHH5 to OILIP5</v>
      </c>
      <c r="E171" s="158" t="str">
        <f>Commodities!C26</f>
        <v>OILHH5</v>
      </c>
      <c r="F171" s="197" t="str">
        <f>RIGHT(Technologies!D159,6)</f>
        <v>OILIP5</v>
      </c>
      <c r="G171" s="197">
        <v>1</v>
      </c>
      <c r="H171" s="197">
        <v>1</v>
      </c>
      <c r="I171" s="197">
        <v>50</v>
      </c>
      <c r="P171" s="147"/>
      <c r="Q171" s="147"/>
      <c r="R171" s="147"/>
      <c r="S171" s="147"/>
      <c r="T171" s="147"/>
      <c r="U171" s="147"/>
      <c r="V171" s="147"/>
      <c r="W171" s="147"/>
      <c r="X171" s="147"/>
      <c r="Y171" s="147"/>
      <c r="Z171" s="147"/>
      <c r="AA171" s="147"/>
      <c r="AB171" s="147"/>
      <c r="AC171" s="147"/>
      <c r="AD171" s="147"/>
      <c r="AE171" s="147"/>
      <c r="AF171" s="147"/>
      <c r="AG171" s="147"/>
      <c r="AH171" s="147"/>
      <c r="AI171" s="147"/>
      <c r="AJ171" s="147"/>
      <c r="AK171" s="147"/>
      <c r="AL171" s="147"/>
      <c r="AM171" s="147"/>
      <c r="AN171" s="147"/>
      <c r="AO171" s="147"/>
      <c r="AP171" s="147"/>
      <c r="AQ171" s="147"/>
      <c r="AR171" s="147"/>
      <c r="AS171" s="147"/>
      <c r="AT171" s="147"/>
      <c r="AU171" s="147"/>
      <c r="AV171" s="147"/>
      <c r="AW171" s="147"/>
      <c r="AX171" s="147"/>
      <c r="AY171" s="147"/>
      <c r="AZ171" s="147"/>
      <c r="BA171" s="147"/>
      <c r="BB171" s="147"/>
      <c r="BC171" s="147"/>
      <c r="BD171" s="147"/>
      <c r="BE171" s="147"/>
      <c r="BF171" s="147"/>
      <c r="BG171" s="147"/>
    </row>
    <row r="172" spans="2:59">
      <c r="B172" s="158" t="str">
        <f>Technologies!B160</f>
        <v>R1</v>
      </c>
      <c r="C172" s="158" t="str">
        <f>Technologies!C160</f>
        <v>XOILHL1</v>
      </c>
      <c r="D172" s="158" t="str">
        <f>Technologies!D160</f>
        <v>Convert OILHL1 to OILIP1</v>
      </c>
      <c r="E172" s="158" t="str">
        <f>Commodities!C27</f>
        <v>OILHL1</v>
      </c>
      <c r="F172" s="197" t="str">
        <f>F167</f>
        <v>OILIP1</v>
      </c>
      <c r="G172" s="197">
        <v>1</v>
      </c>
      <c r="H172" s="197">
        <v>1</v>
      </c>
      <c r="I172" s="197">
        <v>50</v>
      </c>
      <c r="P172" s="147"/>
      <c r="Q172" s="147"/>
      <c r="R172" s="147"/>
      <c r="S172" s="147"/>
      <c r="T172" s="147"/>
      <c r="U172" s="147"/>
      <c r="V172" s="147"/>
      <c r="W172" s="147"/>
      <c r="X172" s="147"/>
      <c r="Y172" s="147"/>
      <c r="Z172" s="147"/>
      <c r="AA172" s="147"/>
      <c r="AB172" s="147"/>
      <c r="AC172" s="147"/>
      <c r="AD172" s="147"/>
      <c r="AE172" s="147"/>
      <c r="AF172" s="147"/>
      <c r="AG172" s="147"/>
      <c r="AH172" s="147"/>
      <c r="AI172" s="147"/>
      <c r="AJ172" s="147"/>
      <c r="AK172" s="147"/>
      <c r="AL172" s="147"/>
      <c r="AM172" s="147"/>
      <c r="AN172" s="147"/>
      <c r="AO172" s="147"/>
      <c r="AP172" s="147"/>
      <c r="AQ172" s="147"/>
      <c r="AR172" s="147"/>
      <c r="AS172" s="147"/>
      <c r="AT172" s="147"/>
      <c r="AU172" s="147"/>
      <c r="AV172" s="147"/>
      <c r="AW172" s="147"/>
      <c r="AX172" s="147"/>
      <c r="AY172" s="147"/>
      <c r="AZ172" s="147"/>
      <c r="BA172" s="147"/>
      <c r="BB172" s="147"/>
      <c r="BC172" s="147"/>
      <c r="BD172" s="147"/>
      <c r="BE172" s="147"/>
      <c r="BF172" s="147"/>
      <c r="BG172" s="147"/>
    </row>
    <row r="173" spans="2:59">
      <c r="B173" s="158" t="str">
        <f>Technologies!B161</f>
        <v>R1</v>
      </c>
      <c r="C173" s="158" t="str">
        <f>Technologies!C161</f>
        <v>XOILHL2</v>
      </c>
      <c r="D173" s="158" t="str">
        <f>Technologies!D161</f>
        <v>Convert OILHL2 to OILIP2</v>
      </c>
      <c r="E173" s="158" t="str">
        <f>Commodities!C28</f>
        <v>OILHL2</v>
      </c>
      <c r="F173" s="197" t="str">
        <f>F168</f>
        <v>OILIP2</v>
      </c>
      <c r="G173" s="197">
        <v>1</v>
      </c>
      <c r="H173" s="197">
        <v>1</v>
      </c>
      <c r="I173" s="197">
        <v>50</v>
      </c>
      <c r="P173" s="147"/>
      <c r="Q173" s="147"/>
      <c r="R173" s="147"/>
      <c r="S173" s="147"/>
      <c r="T173" s="147"/>
      <c r="U173" s="147"/>
      <c r="V173" s="147"/>
      <c r="W173" s="147"/>
      <c r="X173" s="147"/>
      <c r="Y173" s="147"/>
      <c r="Z173" s="147"/>
      <c r="AA173" s="147"/>
      <c r="AB173" s="147"/>
      <c r="AC173" s="147"/>
      <c r="AD173" s="147"/>
      <c r="AE173" s="147"/>
      <c r="AF173" s="147"/>
      <c r="AG173" s="147"/>
      <c r="AH173" s="147"/>
      <c r="AI173" s="147"/>
      <c r="AJ173" s="147"/>
      <c r="AK173" s="147"/>
      <c r="AL173" s="147"/>
      <c r="AM173" s="147"/>
      <c r="AN173" s="147"/>
      <c r="AO173" s="147"/>
      <c r="AP173" s="147"/>
      <c r="AQ173" s="147"/>
      <c r="AR173" s="147"/>
      <c r="AS173" s="147"/>
      <c r="AT173" s="147"/>
      <c r="AU173" s="147"/>
      <c r="AV173" s="147"/>
      <c r="AW173" s="147"/>
      <c r="AX173" s="147"/>
      <c r="AY173" s="147"/>
      <c r="AZ173" s="147"/>
      <c r="BA173" s="147"/>
      <c r="BB173" s="147"/>
      <c r="BC173" s="147"/>
      <c r="BD173" s="147"/>
      <c r="BE173" s="147"/>
      <c r="BF173" s="147"/>
      <c r="BG173" s="147"/>
    </row>
    <row r="174" spans="2:59">
      <c r="B174" s="158" t="str">
        <f>Technologies!B162</f>
        <v>R1</v>
      </c>
      <c r="C174" s="158" t="str">
        <f>Technologies!C162</f>
        <v>XOILHL3</v>
      </c>
      <c r="D174" s="158" t="str">
        <f>Technologies!D162</f>
        <v>Convert OILHL3 to OILIP3</v>
      </c>
      <c r="E174" s="158" t="str">
        <f>Commodities!C29</f>
        <v>OILHL3</v>
      </c>
      <c r="F174" s="197" t="str">
        <f>F169</f>
        <v>OILIP3</v>
      </c>
      <c r="G174" s="197">
        <v>1</v>
      </c>
      <c r="H174" s="197">
        <v>1</v>
      </c>
      <c r="I174" s="197">
        <v>50</v>
      </c>
      <c r="P174" s="147"/>
      <c r="Q174" s="147"/>
      <c r="R174" s="147"/>
      <c r="S174" s="147"/>
      <c r="T174" s="147"/>
      <c r="U174" s="147"/>
      <c r="V174" s="147"/>
      <c r="W174" s="147"/>
      <c r="X174" s="147"/>
      <c r="Y174" s="147"/>
      <c r="Z174" s="147"/>
      <c r="AA174" s="147"/>
      <c r="AB174" s="147"/>
      <c r="AC174" s="147"/>
      <c r="AD174" s="147"/>
      <c r="AE174" s="147"/>
      <c r="AF174" s="147"/>
      <c r="AG174" s="147"/>
      <c r="AH174" s="147"/>
      <c r="AI174" s="147"/>
      <c r="AJ174" s="147"/>
      <c r="AK174" s="147"/>
      <c r="AL174" s="147"/>
      <c r="AM174" s="147"/>
      <c r="AN174" s="147"/>
      <c r="AO174" s="147"/>
      <c r="AP174" s="147"/>
      <c r="AQ174" s="147"/>
      <c r="AR174" s="147"/>
      <c r="AS174" s="147"/>
      <c r="AT174" s="147"/>
      <c r="AU174" s="147"/>
      <c r="AV174" s="147"/>
      <c r="AW174" s="147"/>
      <c r="AX174" s="147"/>
      <c r="AY174" s="147"/>
      <c r="AZ174" s="147"/>
      <c r="BA174" s="147"/>
      <c r="BB174" s="147"/>
      <c r="BC174" s="147"/>
      <c r="BD174" s="147"/>
      <c r="BE174" s="147"/>
      <c r="BF174" s="147"/>
      <c r="BG174" s="147"/>
    </row>
    <row r="175" spans="2:59">
      <c r="B175" s="158" t="str">
        <f>Technologies!B163</f>
        <v>*</v>
      </c>
      <c r="C175" s="158" t="str">
        <f>Technologies!C163</f>
        <v>XOILHL4</v>
      </c>
      <c r="D175" s="158" t="str">
        <f>Technologies!D163</f>
        <v>Convert OILHL4 to OILIP4</v>
      </c>
      <c r="E175" s="158" t="str">
        <f>Commodities!C30</f>
        <v>OILHL4</v>
      </c>
      <c r="F175" s="197" t="str">
        <f>RIGHT(Technologies!D163,6)</f>
        <v>OILIP4</v>
      </c>
      <c r="G175" s="197">
        <v>1</v>
      </c>
      <c r="H175" s="197">
        <v>1</v>
      </c>
      <c r="I175" s="197">
        <v>50</v>
      </c>
      <c r="P175" s="147"/>
      <c r="Q175" s="147"/>
      <c r="R175" s="147"/>
      <c r="S175" s="147"/>
      <c r="T175" s="147"/>
      <c r="U175" s="147"/>
      <c r="V175" s="147"/>
      <c r="W175" s="147"/>
      <c r="X175" s="147"/>
      <c r="Y175" s="147"/>
      <c r="Z175" s="147"/>
      <c r="AA175" s="147"/>
      <c r="AB175" s="147"/>
      <c r="AC175" s="147"/>
      <c r="AD175" s="147"/>
      <c r="AE175" s="147"/>
      <c r="AF175" s="147"/>
      <c r="AG175" s="147"/>
      <c r="AH175" s="147"/>
      <c r="AI175" s="147"/>
      <c r="AJ175" s="147"/>
      <c r="AK175" s="147"/>
      <c r="AL175" s="147"/>
      <c r="AM175" s="147"/>
      <c r="AN175" s="147"/>
      <c r="AO175" s="147"/>
      <c r="AP175" s="147"/>
      <c r="AQ175" s="147"/>
      <c r="AR175" s="147"/>
      <c r="AS175" s="147"/>
      <c r="AT175" s="147"/>
      <c r="AU175" s="147"/>
      <c r="AV175" s="147"/>
      <c r="AW175" s="147"/>
      <c r="AX175" s="147"/>
      <c r="AY175" s="147"/>
      <c r="AZ175" s="147"/>
      <c r="BA175" s="147"/>
      <c r="BB175" s="147"/>
      <c r="BC175" s="147"/>
      <c r="BD175" s="147"/>
      <c r="BE175" s="147"/>
      <c r="BF175" s="147"/>
      <c r="BG175" s="147"/>
    </row>
    <row r="176" spans="2:59">
      <c r="B176" s="158" t="str">
        <f>Technologies!B164</f>
        <v>*</v>
      </c>
      <c r="C176" s="158" t="str">
        <f>Technologies!C164</f>
        <v>XOILHL5</v>
      </c>
      <c r="D176" s="158" t="str">
        <f>Technologies!D164</f>
        <v>Convert OILHL5 to OILIP5</v>
      </c>
      <c r="E176" s="158" t="str">
        <f>Commodities!C31</f>
        <v>OILHL5</v>
      </c>
      <c r="F176" s="197" t="str">
        <f>RIGHT(Technologies!D164,6)</f>
        <v>OILIP5</v>
      </c>
      <c r="G176" s="197">
        <v>1</v>
      </c>
      <c r="H176" s="197">
        <v>1</v>
      </c>
      <c r="I176" s="197">
        <v>50</v>
      </c>
      <c r="P176" s="147"/>
      <c r="Q176" s="147"/>
      <c r="R176" s="147"/>
      <c r="S176" s="147"/>
      <c r="T176" s="147"/>
      <c r="U176" s="147"/>
      <c r="V176" s="147"/>
      <c r="W176" s="147"/>
      <c r="X176" s="147"/>
      <c r="Y176" s="147"/>
      <c r="Z176" s="147"/>
      <c r="AA176" s="147"/>
      <c r="AB176" s="147"/>
      <c r="AC176" s="147"/>
      <c r="AD176" s="147"/>
      <c r="AE176" s="147"/>
      <c r="AF176" s="147"/>
      <c r="AG176" s="147"/>
      <c r="AH176" s="147"/>
      <c r="AI176" s="147"/>
      <c r="AJ176" s="147"/>
      <c r="AK176" s="147"/>
      <c r="AL176" s="147"/>
      <c r="AM176" s="147"/>
      <c r="AN176" s="147"/>
      <c r="AO176" s="147"/>
      <c r="AP176" s="147"/>
      <c r="AQ176" s="147"/>
      <c r="AR176" s="147"/>
      <c r="AS176" s="147"/>
      <c r="AT176" s="147"/>
      <c r="AU176" s="147"/>
      <c r="AV176" s="147"/>
      <c r="AW176" s="147"/>
      <c r="AX176" s="147"/>
      <c r="AY176" s="147"/>
      <c r="AZ176" s="147"/>
      <c r="BA176" s="147"/>
      <c r="BB176" s="147"/>
      <c r="BC176" s="147"/>
      <c r="BD176" s="147"/>
      <c r="BE176" s="147"/>
      <c r="BF176" s="147"/>
      <c r="BG176" s="147"/>
    </row>
    <row r="177" spans="2:59">
      <c r="B177" s="158" t="str">
        <f>Technologies!B165</f>
        <v>R1</v>
      </c>
      <c r="C177" s="158" t="str">
        <f>Technologies!C165</f>
        <v>XOILHV1</v>
      </c>
      <c r="D177" s="158" t="str">
        <f>Technologies!D165</f>
        <v>Convert OILHV1 to OILIP1</v>
      </c>
      <c r="E177" s="158" t="str">
        <f>Commodities!C32</f>
        <v>OILHV1</v>
      </c>
      <c r="F177" s="197" t="str">
        <f>F172</f>
        <v>OILIP1</v>
      </c>
      <c r="G177" s="197">
        <v>1</v>
      </c>
      <c r="H177" s="197">
        <v>1</v>
      </c>
      <c r="I177" s="197">
        <v>50</v>
      </c>
      <c r="P177" s="147"/>
      <c r="Q177" s="147"/>
      <c r="R177" s="147"/>
      <c r="S177" s="147"/>
      <c r="T177" s="147"/>
      <c r="U177" s="147"/>
      <c r="V177" s="147"/>
      <c r="W177" s="147"/>
      <c r="X177" s="147"/>
      <c r="Y177" s="147"/>
      <c r="Z177" s="147"/>
      <c r="AA177" s="147"/>
      <c r="AB177" s="147"/>
      <c r="AC177" s="147"/>
      <c r="AD177" s="147"/>
      <c r="AE177" s="147"/>
      <c r="AF177" s="147"/>
      <c r="AG177" s="147"/>
      <c r="AH177" s="147"/>
      <c r="AI177" s="147"/>
      <c r="AJ177" s="147"/>
      <c r="AK177" s="147"/>
      <c r="AL177" s="147"/>
      <c r="AM177" s="147"/>
      <c r="AN177" s="147"/>
      <c r="AO177" s="147"/>
      <c r="AP177" s="147"/>
      <c r="AQ177" s="147"/>
      <c r="AR177" s="147"/>
      <c r="AS177" s="147"/>
      <c r="AT177" s="147"/>
      <c r="AU177" s="147"/>
      <c r="AV177" s="147"/>
      <c r="AW177" s="147"/>
      <c r="AX177" s="147"/>
      <c r="AY177" s="147"/>
      <c r="AZ177" s="147"/>
      <c r="BA177" s="147"/>
      <c r="BB177" s="147"/>
      <c r="BC177" s="147"/>
      <c r="BD177" s="147"/>
      <c r="BE177" s="147"/>
      <c r="BF177" s="147"/>
      <c r="BG177" s="147"/>
    </row>
    <row r="178" spans="2:59">
      <c r="B178" s="158" t="str">
        <f>Technologies!B166</f>
        <v>R1</v>
      </c>
      <c r="C178" s="158" t="str">
        <f>Technologies!C166</f>
        <v>XOILHV2</v>
      </c>
      <c r="D178" s="158" t="str">
        <f>Technologies!D166</f>
        <v>Convert OILHV2 to OILIP2</v>
      </c>
      <c r="E178" s="158" t="str">
        <f>Commodities!C33</f>
        <v>OILHV2</v>
      </c>
      <c r="F178" s="197" t="str">
        <f>F173</f>
        <v>OILIP2</v>
      </c>
      <c r="G178" s="197">
        <v>1</v>
      </c>
      <c r="H178" s="197">
        <v>1</v>
      </c>
      <c r="I178" s="197">
        <v>50</v>
      </c>
      <c r="P178" s="147"/>
      <c r="Q178" s="147"/>
      <c r="R178" s="147"/>
      <c r="S178" s="147"/>
      <c r="T178" s="147"/>
      <c r="U178" s="147"/>
      <c r="V178" s="147"/>
      <c r="W178" s="147"/>
      <c r="X178" s="147"/>
      <c r="Y178" s="147"/>
      <c r="Z178" s="147"/>
      <c r="AA178" s="147"/>
      <c r="AB178" s="147"/>
      <c r="AC178" s="147"/>
      <c r="AD178" s="147"/>
      <c r="AE178" s="147"/>
      <c r="AF178" s="147"/>
      <c r="AG178" s="147"/>
      <c r="AH178" s="147"/>
      <c r="AI178" s="147"/>
      <c r="AJ178" s="147"/>
      <c r="AK178" s="147"/>
      <c r="AL178" s="147"/>
      <c r="AM178" s="147"/>
      <c r="AN178" s="147"/>
      <c r="AO178" s="147"/>
      <c r="AP178" s="147"/>
      <c r="AQ178" s="147"/>
      <c r="AR178" s="147"/>
      <c r="AS178" s="147"/>
      <c r="AT178" s="147"/>
      <c r="AU178" s="147"/>
      <c r="AV178" s="147"/>
      <c r="AW178" s="147"/>
      <c r="AX178" s="147"/>
      <c r="AY178" s="147"/>
      <c r="AZ178" s="147"/>
      <c r="BA178" s="147"/>
      <c r="BB178" s="147"/>
      <c r="BC178" s="147"/>
      <c r="BD178" s="147"/>
      <c r="BE178" s="147"/>
      <c r="BF178" s="147"/>
      <c r="BG178" s="147"/>
    </row>
    <row r="179" spans="2:59">
      <c r="B179" s="158" t="str">
        <f>Technologies!B167</f>
        <v>R1</v>
      </c>
      <c r="C179" s="158" t="str">
        <f>Technologies!C167</f>
        <v>XOILHV3</v>
      </c>
      <c r="D179" s="158" t="str">
        <f>Technologies!D167</f>
        <v>Convert OILHV3 to OILIP3</v>
      </c>
      <c r="E179" s="158" t="str">
        <f>Commodities!C34</f>
        <v>OILHV3</v>
      </c>
      <c r="F179" s="197" t="str">
        <f>F174</f>
        <v>OILIP3</v>
      </c>
      <c r="G179" s="197">
        <v>1</v>
      </c>
      <c r="H179" s="197">
        <v>1</v>
      </c>
      <c r="I179" s="197">
        <v>50</v>
      </c>
      <c r="P179" s="147"/>
      <c r="Q179" s="147"/>
      <c r="R179" s="147"/>
      <c r="S179" s="147"/>
      <c r="T179" s="147"/>
      <c r="U179" s="147"/>
      <c r="V179" s="147"/>
      <c r="W179" s="147"/>
      <c r="X179" s="147"/>
      <c r="Y179" s="147"/>
      <c r="Z179" s="147"/>
      <c r="AA179" s="147"/>
      <c r="AB179" s="147"/>
      <c r="AC179" s="147"/>
      <c r="AD179" s="147"/>
      <c r="AE179" s="147"/>
      <c r="AF179" s="147"/>
      <c r="AG179" s="147"/>
      <c r="AH179" s="147"/>
      <c r="AI179" s="147"/>
      <c r="AJ179" s="147"/>
      <c r="AK179" s="147"/>
      <c r="AL179" s="147"/>
      <c r="AM179" s="147"/>
      <c r="AN179" s="147"/>
      <c r="AO179" s="147"/>
      <c r="AP179" s="147"/>
      <c r="AQ179" s="147"/>
      <c r="AR179" s="147"/>
      <c r="AS179" s="147"/>
      <c r="AT179" s="147"/>
      <c r="AU179" s="147"/>
      <c r="AV179" s="147"/>
      <c r="AW179" s="147"/>
      <c r="AX179" s="147"/>
      <c r="AY179" s="147"/>
      <c r="AZ179" s="147"/>
      <c r="BA179" s="147"/>
      <c r="BB179" s="147"/>
      <c r="BC179" s="147"/>
      <c r="BD179" s="147"/>
      <c r="BE179" s="147"/>
      <c r="BF179" s="147"/>
      <c r="BG179" s="147"/>
    </row>
    <row r="180" spans="2:59">
      <c r="B180" s="158" t="str">
        <f>Technologies!B168</f>
        <v>*</v>
      </c>
      <c r="C180" s="158" t="str">
        <f>Technologies!C168</f>
        <v>XOILHV4</v>
      </c>
      <c r="D180" s="158" t="str">
        <f>Technologies!D168</f>
        <v>Convert OILHV4 to OILIP4</v>
      </c>
      <c r="E180" s="158" t="str">
        <f>Commodities!C35</f>
        <v>OILHV4</v>
      </c>
      <c r="F180" s="197" t="str">
        <f>RIGHT(Technologies!D168,6)</f>
        <v>OILIP4</v>
      </c>
      <c r="G180" s="197">
        <v>1</v>
      </c>
      <c r="H180" s="197">
        <v>1</v>
      </c>
      <c r="I180" s="197">
        <v>50</v>
      </c>
      <c r="P180" s="147"/>
      <c r="Q180" s="147"/>
      <c r="R180" s="147"/>
      <c r="S180" s="147"/>
      <c r="T180" s="147"/>
      <c r="U180" s="147"/>
      <c r="V180" s="147"/>
      <c r="W180" s="147"/>
      <c r="X180" s="147"/>
      <c r="Y180" s="147"/>
      <c r="Z180" s="147"/>
      <c r="AA180" s="147"/>
      <c r="AB180" s="147"/>
      <c r="AC180" s="147"/>
      <c r="AD180" s="147"/>
      <c r="AE180" s="147"/>
      <c r="AF180" s="147"/>
      <c r="AG180" s="147"/>
      <c r="AH180" s="147"/>
      <c r="AI180" s="147"/>
      <c r="AJ180" s="147"/>
      <c r="AK180" s="147"/>
      <c r="AL180" s="147"/>
      <c r="AM180" s="147"/>
      <c r="AN180" s="147"/>
      <c r="AO180" s="147"/>
      <c r="AP180" s="147"/>
      <c r="AQ180" s="147"/>
      <c r="AR180" s="147"/>
      <c r="AS180" s="147"/>
      <c r="AT180" s="147"/>
      <c r="AU180" s="147"/>
      <c r="AV180" s="147"/>
      <c r="AW180" s="147"/>
      <c r="AX180" s="147"/>
      <c r="AY180" s="147"/>
      <c r="AZ180" s="147"/>
      <c r="BA180" s="147"/>
      <c r="BB180" s="147"/>
      <c r="BC180" s="147"/>
      <c r="BD180" s="147"/>
      <c r="BE180" s="147"/>
      <c r="BF180" s="147"/>
      <c r="BG180" s="147"/>
    </row>
    <row r="181" spans="2:59">
      <c r="B181" s="158" t="str">
        <f>Technologies!B169</f>
        <v>*</v>
      </c>
      <c r="C181" s="158" t="str">
        <f>Technologies!C169</f>
        <v>XOILHV5</v>
      </c>
      <c r="D181" s="158" t="str">
        <f>Technologies!D169</f>
        <v>Convert OILHV5 to OILIP5</v>
      </c>
      <c r="E181" s="158" t="str">
        <f>Commodities!C36</f>
        <v>OILHV5</v>
      </c>
      <c r="F181" s="197" t="str">
        <f>RIGHT(Technologies!D169,6)</f>
        <v>OILIP5</v>
      </c>
      <c r="G181" s="197">
        <v>1</v>
      </c>
      <c r="H181" s="197">
        <v>1</v>
      </c>
      <c r="I181" s="197">
        <v>50</v>
      </c>
      <c r="P181" s="147"/>
      <c r="Q181" s="147"/>
      <c r="R181" s="147"/>
      <c r="S181" s="147"/>
      <c r="T181" s="147"/>
      <c r="U181" s="147"/>
      <c r="V181" s="147"/>
      <c r="W181" s="147"/>
      <c r="X181" s="147"/>
      <c r="Y181" s="147"/>
      <c r="Z181" s="147"/>
      <c r="AA181" s="147"/>
      <c r="AB181" s="147"/>
      <c r="AC181" s="147"/>
      <c r="AD181" s="147"/>
      <c r="AE181" s="147"/>
      <c r="AF181" s="147"/>
      <c r="AG181" s="147"/>
      <c r="AH181" s="147"/>
      <c r="AI181" s="147"/>
      <c r="AJ181" s="147"/>
      <c r="AK181" s="147"/>
      <c r="AL181" s="147"/>
      <c r="AM181" s="147"/>
      <c r="AN181" s="147"/>
      <c r="AO181" s="147"/>
      <c r="AP181" s="147"/>
      <c r="AQ181" s="147"/>
      <c r="AR181" s="147"/>
      <c r="AS181" s="147"/>
      <c r="AT181" s="147"/>
      <c r="AU181" s="147"/>
      <c r="AV181" s="147"/>
      <c r="AW181" s="147"/>
      <c r="AX181" s="147"/>
      <c r="AY181" s="147"/>
      <c r="AZ181" s="147"/>
      <c r="BA181" s="147"/>
      <c r="BB181" s="147"/>
      <c r="BC181" s="147"/>
      <c r="BD181" s="147"/>
      <c r="BE181" s="147"/>
      <c r="BF181" s="147"/>
      <c r="BG181" s="147"/>
    </row>
    <row r="182" spans="2:59" ht="13.5" customHeight="1">
      <c r="B182" s="158" t="str">
        <f>Technologies!B170</f>
        <v>R1</v>
      </c>
      <c r="C182" s="158" t="str">
        <f>Technologies!C170</f>
        <v>XOILLL1</v>
      </c>
      <c r="D182" s="158" t="str">
        <f>Technologies!D170</f>
        <v>Convert OILLL1 to OILIP1</v>
      </c>
      <c r="E182" s="158" t="str">
        <f>Commodities!C37</f>
        <v>OILLL1</v>
      </c>
      <c r="F182" s="197" t="str">
        <f>F177</f>
        <v>OILIP1</v>
      </c>
      <c r="G182" s="197">
        <v>1</v>
      </c>
      <c r="H182" s="197">
        <v>1</v>
      </c>
      <c r="I182" s="197">
        <v>50</v>
      </c>
      <c r="P182" s="147"/>
      <c r="Q182" s="147"/>
      <c r="R182" s="147"/>
      <c r="S182" s="147"/>
      <c r="T182" s="147"/>
      <c r="U182" s="147"/>
      <c r="V182" s="147"/>
      <c r="W182" s="147"/>
      <c r="X182" s="147"/>
      <c r="Y182" s="147"/>
      <c r="Z182" s="147"/>
      <c r="AA182" s="147"/>
      <c r="AB182" s="147"/>
      <c r="AC182" s="147"/>
      <c r="AD182" s="147"/>
      <c r="AE182" s="147"/>
      <c r="AF182" s="147"/>
      <c r="AG182" s="147"/>
      <c r="AH182" s="147"/>
      <c r="AI182" s="147"/>
      <c r="AJ182" s="147"/>
      <c r="AK182" s="147"/>
      <c r="AL182" s="147"/>
      <c r="AM182" s="147"/>
      <c r="AN182" s="147"/>
      <c r="AO182" s="147"/>
      <c r="AP182" s="147"/>
      <c r="AQ182" s="147"/>
      <c r="AR182" s="147"/>
      <c r="AS182" s="147"/>
      <c r="AT182" s="147"/>
      <c r="AU182" s="147"/>
      <c r="AV182" s="147"/>
      <c r="AW182" s="147"/>
      <c r="AX182" s="147"/>
      <c r="AY182" s="147"/>
      <c r="AZ182" s="147"/>
      <c r="BA182" s="147"/>
      <c r="BB182" s="147"/>
      <c r="BC182" s="147"/>
      <c r="BD182" s="147"/>
      <c r="BE182" s="147"/>
      <c r="BF182" s="147"/>
      <c r="BG182" s="147"/>
    </row>
    <row r="183" spans="2:59">
      <c r="B183" s="158" t="str">
        <f>Technologies!B171</f>
        <v>R1</v>
      </c>
      <c r="C183" s="158" t="str">
        <f>Technologies!C171</f>
        <v>XOILLL2</v>
      </c>
      <c r="D183" s="158" t="str">
        <f>Technologies!D171</f>
        <v>Convert OILLL2 to OILIP2</v>
      </c>
      <c r="E183" s="158" t="str">
        <f>Commodities!C38</f>
        <v>OILLL2</v>
      </c>
      <c r="F183" s="197" t="str">
        <f>F178</f>
        <v>OILIP2</v>
      </c>
      <c r="G183" s="197">
        <v>1</v>
      </c>
      <c r="H183" s="197">
        <v>1</v>
      </c>
      <c r="I183" s="197">
        <v>50</v>
      </c>
      <c r="P183" s="147"/>
      <c r="Q183" s="147"/>
      <c r="R183" s="147"/>
      <c r="S183" s="147"/>
      <c r="T183" s="147"/>
      <c r="U183" s="147"/>
      <c r="V183" s="147"/>
      <c r="W183" s="147"/>
      <c r="X183" s="147"/>
      <c r="Y183" s="147"/>
      <c r="Z183" s="147"/>
      <c r="AA183" s="147"/>
      <c r="AB183" s="147"/>
      <c r="AC183" s="147"/>
      <c r="AD183" s="147"/>
      <c r="AE183" s="147"/>
      <c r="AF183" s="147"/>
      <c r="AG183" s="147"/>
      <c r="AH183" s="147"/>
      <c r="AI183" s="147"/>
      <c r="AJ183" s="147"/>
      <c r="AK183" s="147"/>
      <c r="AL183" s="147"/>
      <c r="AM183" s="147"/>
      <c r="AN183" s="147"/>
      <c r="AO183" s="147"/>
      <c r="AP183" s="147"/>
      <c r="AQ183" s="147"/>
      <c r="AR183" s="147"/>
      <c r="AS183" s="147"/>
      <c r="AT183" s="147"/>
      <c r="AU183" s="147"/>
      <c r="AV183" s="147"/>
      <c r="AW183" s="147"/>
      <c r="AX183" s="147"/>
      <c r="AY183" s="147"/>
      <c r="AZ183" s="147"/>
      <c r="BA183" s="147"/>
      <c r="BB183" s="147"/>
      <c r="BC183" s="147"/>
      <c r="BD183" s="147"/>
      <c r="BE183" s="147"/>
      <c r="BF183" s="147"/>
      <c r="BG183" s="147"/>
    </row>
    <row r="184" spans="2:59">
      <c r="B184" s="158" t="str">
        <f>Technologies!B172</f>
        <v>R1</v>
      </c>
      <c r="C184" s="158" t="str">
        <f>Technologies!C172</f>
        <v>XOILLL3</v>
      </c>
      <c r="D184" s="158" t="str">
        <f>Technologies!D172</f>
        <v>Convert OILLL3 to OILIP3</v>
      </c>
      <c r="E184" s="158" t="str">
        <f>Commodities!C39</f>
        <v>OILLL3</v>
      </c>
      <c r="F184" s="197" t="str">
        <f>F179</f>
        <v>OILIP3</v>
      </c>
      <c r="G184" s="197">
        <v>1</v>
      </c>
      <c r="H184" s="197">
        <v>1</v>
      </c>
      <c r="I184" s="197">
        <v>50</v>
      </c>
      <c r="P184" s="147"/>
      <c r="Q184" s="147"/>
      <c r="R184" s="147"/>
      <c r="S184" s="147"/>
      <c r="T184" s="147"/>
      <c r="U184" s="147"/>
      <c r="V184" s="147"/>
      <c r="W184" s="147"/>
      <c r="X184" s="147"/>
      <c r="Y184" s="147"/>
      <c r="Z184" s="147"/>
      <c r="AA184" s="147"/>
      <c r="AB184" s="147"/>
      <c r="AC184" s="147"/>
      <c r="AD184" s="147"/>
      <c r="AE184" s="147"/>
      <c r="AF184" s="147"/>
      <c r="AG184" s="147"/>
      <c r="AH184" s="147"/>
      <c r="AI184" s="147"/>
      <c r="AJ184" s="147"/>
      <c r="AK184" s="147"/>
      <c r="AL184" s="147"/>
      <c r="AM184" s="147"/>
      <c r="AN184" s="147"/>
      <c r="AO184" s="147"/>
      <c r="AP184" s="147"/>
      <c r="AQ184" s="147"/>
      <c r="AR184" s="147"/>
      <c r="AS184" s="147"/>
      <c r="AT184" s="147"/>
      <c r="AU184" s="147"/>
      <c r="AV184" s="147"/>
      <c r="AW184" s="147"/>
      <c r="AX184" s="147"/>
      <c r="AY184" s="147"/>
      <c r="AZ184" s="147"/>
      <c r="BA184" s="147"/>
      <c r="BB184" s="147"/>
      <c r="BC184" s="147"/>
      <c r="BD184" s="147"/>
      <c r="BE184" s="147"/>
      <c r="BF184" s="147"/>
      <c r="BG184" s="147"/>
    </row>
    <row r="185" spans="2:59">
      <c r="B185" s="158" t="str">
        <f>Technologies!B173</f>
        <v>*</v>
      </c>
      <c r="C185" s="158" t="str">
        <f>Technologies!C173</f>
        <v>XOILLL4</v>
      </c>
      <c r="D185" s="158" t="str">
        <f>Technologies!D173</f>
        <v>Convert OILLL4 to OILIP4</v>
      </c>
      <c r="E185" s="158" t="str">
        <f>Commodities!C40</f>
        <v>OILLL4</v>
      </c>
      <c r="F185" s="197" t="str">
        <f>RIGHT(Technologies!D173,6)</f>
        <v>OILIP4</v>
      </c>
      <c r="G185" s="197">
        <v>1</v>
      </c>
      <c r="H185" s="197">
        <v>1</v>
      </c>
      <c r="I185" s="197">
        <v>50</v>
      </c>
      <c r="P185" s="147"/>
      <c r="Q185" s="147"/>
      <c r="R185" s="147"/>
      <c r="S185" s="147"/>
      <c r="T185" s="147"/>
      <c r="U185" s="147"/>
      <c r="V185" s="147"/>
      <c r="W185" s="147"/>
      <c r="X185" s="147"/>
      <c r="Y185" s="147"/>
      <c r="Z185" s="147"/>
      <c r="AA185" s="147"/>
      <c r="AB185" s="147"/>
      <c r="AC185" s="147"/>
      <c r="AD185" s="147"/>
      <c r="AE185" s="147"/>
      <c r="AF185" s="147"/>
      <c r="AG185" s="147"/>
      <c r="AH185" s="147"/>
      <c r="AI185" s="147"/>
      <c r="AJ185" s="147"/>
      <c r="AK185" s="147"/>
      <c r="AL185" s="147"/>
      <c r="AM185" s="147"/>
      <c r="AN185" s="147"/>
      <c r="AO185" s="147"/>
      <c r="AP185" s="147"/>
      <c r="AQ185" s="147"/>
      <c r="AR185" s="147"/>
      <c r="AS185" s="147"/>
      <c r="AT185" s="147"/>
      <c r="AU185" s="147"/>
      <c r="AV185" s="147"/>
      <c r="AW185" s="147"/>
      <c r="AX185" s="147"/>
      <c r="AY185" s="147"/>
      <c r="AZ185" s="147"/>
      <c r="BA185" s="147"/>
      <c r="BB185" s="147"/>
      <c r="BC185" s="147"/>
      <c r="BD185" s="147"/>
      <c r="BE185" s="147"/>
      <c r="BF185" s="147"/>
      <c r="BG185" s="147"/>
    </row>
    <row r="186" spans="2:59">
      <c r="B186" s="158" t="str">
        <f>Technologies!B174</f>
        <v>*</v>
      </c>
      <c r="C186" s="158" t="str">
        <f>Technologies!C174</f>
        <v>XOILLL5</v>
      </c>
      <c r="D186" s="158" t="str">
        <f>Technologies!D174</f>
        <v>Convert OILLL5 to OILIP5</v>
      </c>
      <c r="E186" s="158" t="str">
        <f>Commodities!C41</f>
        <v>OILLL5</v>
      </c>
      <c r="F186" s="197" t="str">
        <f>RIGHT(Technologies!D174,6)</f>
        <v>OILIP5</v>
      </c>
      <c r="G186" s="197">
        <v>1</v>
      </c>
      <c r="H186" s="197">
        <v>1</v>
      </c>
      <c r="I186" s="197">
        <v>50</v>
      </c>
      <c r="P186" s="147"/>
      <c r="Q186" s="147"/>
      <c r="R186" s="147"/>
      <c r="S186" s="147"/>
      <c r="T186" s="147"/>
      <c r="U186" s="147"/>
      <c r="V186" s="147"/>
      <c r="W186" s="147"/>
      <c r="X186" s="147"/>
      <c r="Y186" s="147"/>
      <c r="Z186" s="147"/>
      <c r="AA186" s="147"/>
      <c r="AB186" s="147"/>
      <c r="AC186" s="147"/>
      <c r="AD186" s="147"/>
      <c r="AE186" s="147"/>
      <c r="AF186" s="147"/>
      <c r="AG186" s="147"/>
      <c r="AH186" s="147"/>
      <c r="AI186" s="147"/>
      <c r="AJ186" s="147"/>
      <c r="AK186" s="147"/>
      <c r="AL186" s="147"/>
      <c r="AM186" s="147"/>
      <c r="AN186" s="147"/>
      <c r="AO186" s="147"/>
      <c r="AP186" s="147"/>
      <c r="AQ186" s="147"/>
      <c r="AR186" s="147"/>
      <c r="AS186" s="147"/>
      <c r="AT186" s="147"/>
      <c r="AU186" s="147"/>
      <c r="AV186" s="147"/>
      <c r="AW186" s="147"/>
      <c r="AX186" s="147"/>
      <c r="AY186" s="147"/>
      <c r="AZ186" s="147"/>
      <c r="BA186" s="147"/>
      <c r="BB186" s="147"/>
      <c r="BC186" s="147"/>
      <c r="BD186" s="147"/>
      <c r="BE186" s="147"/>
      <c r="BF186" s="147"/>
      <c r="BG186" s="147"/>
    </row>
    <row r="187" spans="2:59">
      <c r="B187" s="158" t="str">
        <f>Technologies!B175</f>
        <v>R1</v>
      </c>
      <c r="C187" s="158" t="str">
        <f>Technologies!C175</f>
        <v>XOILMH1</v>
      </c>
      <c r="D187" s="158" t="str">
        <f>Technologies!D175</f>
        <v>Convert OILMH1 to OILIP1</v>
      </c>
      <c r="E187" s="158" t="str">
        <f>Commodities!C42</f>
        <v>OILMH1</v>
      </c>
      <c r="F187" s="197" t="str">
        <f>F182</f>
        <v>OILIP1</v>
      </c>
      <c r="G187" s="197">
        <v>1</v>
      </c>
      <c r="H187" s="197">
        <v>1</v>
      </c>
      <c r="I187" s="197">
        <v>50</v>
      </c>
      <c r="P187" s="147"/>
      <c r="Q187" s="147"/>
      <c r="R187" s="147"/>
      <c r="S187" s="147"/>
      <c r="T187" s="147"/>
      <c r="U187" s="147"/>
      <c r="V187" s="147"/>
      <c r="W187" s="147"/>
      <c r="X187" s="147"/>
      <c r="Y187" s="147"/>
      <c r="Z187" s="147"/>
      <c r="AA187" s="147"/>
      <c r="AB187" s="147"/>
      <c r="AC187" s="147"/>
      <c r="AD187" s="147"/>
      <c r="AE187" s="147"/>
      <c r="AF187" s="147"/>
      <c r="AG187" s="147"/>
      <c r="AH187" s="147"/>
      <c r="AI187" s="147"/>
      <c r="AJ187" s="147"/>
      <c r="AK187" s="147"/>
      <c r="AL187" s="147"/>
      <c r="AM187" s="147"/>
      <c r="AN187" s="147"/>
      <c r="AO187" s="147"/>
      <c r="AP187" s="147"/>
      <c r="AQ187" s="147"/>
      <c r="AR187" s="147"/>
      <c r="AS187" s="147"/>
      <c r="AT187" s="147"/>
      <c r="AU187" s="147"/>
      <c r="AV187" s="147"/>
      <c r="AW187" s="147"/>
      <c r="AX187" s="147"/>
      <c r="AY187" s="147"/>
      <c r="AZ187" s="147"/>
      <c r="BA187" s="147"/>
      <c r="BB187" s="147"/>
      <c r="BC187" s="147"/>
      <c r="BD187" s="147"/>
      <c r="BE187" s="147"/>
      <c r="BF187" s="147"/>
      <c r="BG187" s="147"/>
    </row>
    <row r="188" spans="2:59">
      <c r="B188" s="158" t="str">
        <f>Technologies!B176</f>
        <v>R1</v>
      </c>
      <c r="C188" s="158" t="str">
        <f>Technologies!C176</f>
        <v>XOILMH2</v>
      </c>
      <c r="D188" s="158" t="str">
        <f>Technologies!D176</f>
        <v>Convert OILMH2 to OILIP2</v>
      </c>
      <c r="E188" s="158" t="str">
        <f>Commodities!C43</f>
        <v>OILMH2</v>
      </c>
      <c r="F188" s="197" t="str">
        <f>F183</f>
        <v>OILIP2</v>
      </c>
      <c r="G188" s="197">
        <v>1</v>
      </c>
      <c r="H188" s="197">
        <v>1</v>
      </c>
      <c r="I188" s="197">
        <v>50</v>
      </c>
      <c r="P188" s="147"/>
      <c r="Q188" s="147"/>
      <c r="R188" s="147"/>
      <c r="S188" s="147"/>
      <c r="T188" s="147"/>
      <c r="U188" s="147"/>
      <c r="V188" s="147"/>
      <c r="W188" s="147"/>
      <c r="X188" s="147"/>
      <c r="Y188" s="147"/>
      <c r="Z188" s="147"/>
      <c r="AA188" s="147"/>
      <c r="AB188" s="147"/>
      <c r="AC188" s="147"/>
      <c r="AD188" s="147"/>
      <c r="AE188" s="147"/>
      <c r="AF188" s="147"/>
      <c r="AG188" s="147"/>
      <c r="AH188" s="147"/>
      <c r="AI188" s="147"/>
      <c r="AJ188" s="147"/>
      <c r="AK188" s="147"/>
      <c r="AL188" s="147"/>
      <c r="AM188" s="147"/>
      <c r="AN188" s="147"/>
      <c r="AO188" s="147"/>
      <c r="AP188" s="147"/>
      <c r="AQ188" s="147"/>
      <c r="AR188" s="147"/>
      <c r="AS188" s="147"/>
      <c r="AT188" s="147"/>
      <c r="AU188" s="147"/>
      <c r="AV188" s="147"/>
      <c r="AW188" s="147"/>
      <c r="AX188" s="147"/>
      <c r="AY188" s="147"/>
      <c r="AZ188" s="147"/>
      <c r="BA188" s="147"/>
      <c r="BB188" s="147"/>
      <c r="BC188" s="147"/>
      <c r="BD188" s="147"/>
      <c r="BE188" s="147"/>
      <c r="BF188" s="147"/>
      <c r="BG188" s="147"/>
    </row>
    <row r="189" spans="2:59">
      <c r="B189" s="158" t="str">
        <f>Technologies!B177</f>
        <v>R1</v>
      </c>
      <c r="C189" s="158" t="str">
        <f>Technologies!C177</f>
        <v>XOILMH3</v>
      </c>
      <c r="D189" s="158" t="str">
        <f>Technologies!D177</f>
        <v>Convert OILMH3 to OILIP3</v>
      </c>
      <c r="E189" s="158" t="str">
        <f>Commodities!C44</f>
        <v>OILMH3</v>
      </c>
      <c r="F189" s="197" t="str">
        <f>F184</f>
        <v>OILIP3</v>
      </c>
      <c r="G189" s="197">
        <v>1</v>
      </c>
      <c r="H189" s="197">
        <v>1</v>
      </c>
      <c r="I189" s="197">
        <v>50</v>
      </c>
      <c r="P189" s="147"/>
      <c r="Q189" s="147"/>
      <c r="R189" s="147"/>
      <c r="S189" s="147"/>
      <c r="T189" s="147"/>
      <c r="U189" s="147"/>
      <c r="V189" s="147"/>
      <c r="W189" s="147"/>
      <c r="X189" s="147"/>
      <c r="Y189" s="147"/>
      <c r="Z189" s="147"/>
      <c r="AA189" s="147"/>
      <c r="AB189" s="147"/>
      <c r="AC189" s="147"/>
      <c r="AD189" s="147"/>
      <c r="AE189" s="147"/>
      <c r="AF189" s="147"/>
      <c r="AG189" s="147"/>
      <c r="AH189" s="147"/>
      <c r="AI189" s="147"/>
      <c r="AJ189" s="147"/>
      <c r="AK189" s="147"/>
      <c r="AL189" s="147"/>
      <c r="AM189" s="147"/>
      <c r="AN189" s="147"/>
      <c r="AO189" s="147"/>
      <c r="AP189" s="147"/>
      <c r="AQ189" s="147"/>
      <c r="AR189" s="147"/>
      <c r="AS189" s="147"/>
      <c r="AT189" s="147"/>
      <c r="AU189" s="147"/>
      <c r="AV189" s="147"/>
      <c r="AW189" s="147"/>
      <c r="AX189" s="147"/>
      <c r="AY189" s="147"/>
      <c r="AZ189" s="147"/>
      <c r="BA189" s="147"/>
      <c r="BB189" s="147"/>
      <c r="BC189" s="147"/>
      <c r="BD189" s="147"/>
      <c r="BE189" s="147"/>
      <c r="BF189" s="147"/>
      <c r="BG189" s="147"/>
    </row>
    <row r="190" spans="2:59">
      <c r="B190" s="158" t="str">
        <f>Technologies!B178</f>
        <v>*</v>
      </c>
      <c r="C190" s="158" t="str">
        <f>Technologies!C178</f>
        <v>XOILMH4</v>
      </c>
      <c r="D190" s="158" t="str">
        <f>Technologies!D178</f>
        <v>Convert OILMH4 to OILIP4</v>
      </c>
      <c r="E190" s="158" t="str">
        <f>Commodities!C45</f>
        <v>OILMH4</v>
      </c>
      <c r="F190" s="197" t="str">
        <f>RIGHT(Technologies!D178,6)</f>
        <v>OILIP4</v>
      </c>
      <c r="G190" s="197">
        <v>1</v>
      </c>
      <c r="H190" s="197">
        <v>1</v>
      </c>
      <c r="I190" s="197">
        <v>50</v>
      </c>
      <c r="P190" s="147"/>
      <c r="Q190" s="147"/>
      <c r="R190" s="147"/>
      <c r="S190" s="147"/>
      <c r="T190" s="147"/>
      <c r="U190" s="147"/>
      <c r="V190" s="147"/>
      <c r="W190" s="147"/>
      <c r="X190" s="147"/>
      <c r="Y190" s="147"/>
      <c r="Z190" s="147"/>
      <c r="AA190" s="147"/>
      <c r="AB190" s="147"/>
      <c r="AC190" s="147"/>
      <c r="AD190" s="147"/>
      <c r="AE190" s="147"/>
      <c r="AF190" s="147"/>
      <c r="AG190" s="147"/>
      <c r="AH190" s="147"/>
      <c r="AI190" s="147"/>
      <c r="AJ190" s="147"/>
      <c r="AK190" s="147"/>
      <c r="AL190" s="147"/>
      <c r="AM190" s="147"/>
      <c r="AN190" s="147"/>
      <c r="AO190" s="147"/>
      <c r="AP190" s="147"/>
      <c r="AQ190" s="147"/>
      <c r="AR190" s="147"/>
      <c r="AS190" s="147"/>
      <c r="AT190" s="147"/>
      <c r="AU190" s="147"/>
      <c r="AV190" s="147"/>
      <c r="AW190" s="147"/>
      <c r="AX190" s="147"/>
      <c r="AY190" s="147"/>
      <c r="AZ190" s="147"/>
      <c r="BA190" s="147"/>
      <c r="BB190" s="147"/>
      <c r="BC190" s="147"/>
      <c r="BD190" s="147"/>
      <c r="BE190" s="147"/>
      <c r="BF190" s="147"/>
      <c r="BG190" s="147"/>
    </row>
    <row r="191" spans="2:59">
      <c r="B191" s="158" t="str">
        <f>Technologies!B179</f>
        <v>*</v>
      </c>
      <c r="C191" s="158" t="str">
        <f>Technologies!C179</f>
        <v>XOILMH5</v>
      </c>
      <c r="D191" s="158" t="str">
        <f>Technologies!D179</f>
        <v>Convert OILMH5 to OILIP5</v>
      </c>
      <c r="E191" s="158" t="str">
        <f>Commodities!C46</f>
        <v>OILMH5</v>
      </c>
      <c r="F191" s="197" t="str">
        <f>RIGHT(Technologies!D179,6)</f>
        <v>OILIP5</v>
      </c>
      <c r="G191" s="197">
        <v>1</v>
      </c>
      <c r="H191" s="197">
        <v>1</v>
      </c>
      <c r="I191" s="197">
        <v>50</v>
      </c>
      <c r="AB191" s="147"/>
      <c r="AC191" s="147"/>
      <c r="AD191" s="147"/>
      <c r="AE191" s="147"/>
      <c r="AF191" s="147"/>
      <c r="AG191" s="147"/>
      <c r="AH191" s="147"/>
      <c r="AI191" s="147"/>
      <c r="AJ191" s="147"/>
      <c r="AK191" s="147"/>
      <c r="AL191" s="147"/>
      <c r="AM191" s="147"/>
      <c r="AN191" s="147"/>
      <c r="AO191" s="147"/>
      <c r="AP191" s="147"/>
      <c r="AQ191" s="147"/>
      <c r="AR191" s="147"/>
      <c r="AS191" s="147"/>
      <c r="AT191" s="147"/>
      <c r="AU191" s="147"/>
      <c r="AV191" s="147"/>
      <c r="AW191" s="147"/>
      <c r="AX191" s="147"/>
      <c r="AY191" s="147"/>
      <c r="AZ191" s="147"/>
      <c r="BA191" s="147"/>
      <c r="BB191" s="147"/>
      <c r="BC191" s="147"/>
      <c r="BD191" s="147"/>
      <c r="BE191" s="147"/>
      <c r="BF191" s="147"/>
      <c r="BG191" s="147"/>
    </row>
    <row r="192" spans="2:59">
      <c r="N192" s="171"/>
      <c r="O192" s="171"/>
      <c r="P192" s="171"/>
      <c r="Q192" s="171"/>
      <c r="R192" s="171"/>
      <c r="S192" s="171"/>
      <c r="T192" s="171"/>
      <c r="U192" s="171"/>
      <c r="V192" s="171"/>
      <c r="W192" s="171"/>
      <c r="X192" s="172"/>
      <c r="Y192" s="173"/>
      <c r="BG192" s="147"/>
    </row>
    <row r="193" spans="2:59">
      <c r="O193" s="171"/>
      <c r="P193" s="171"/>
      <c r="Q193" s="171"/>
      <c r="R193" s="171"/>
      <c r="S193" s="171"/>
      <c r="T193" s="171"/>
      <c r="U193" s="171"/>
      <c r="V193" s="171"/>
      <c r="W193" s="171"/>
      <c r="X193" s="171"/>
      <c r="Y193" s="172"/>
      <c r="Z193" s="173"/>
    </row>
    <row r="194" spans="2:59">
      <c r="O194" s="171"/>
      <c r="P194" s="171"/>
      <c r="Q194" s="171"/>
      <c r="R194" s="171"/>
      <c r="S194" s="171"/>
      <c r="T194" s="171"/>
      <c r="U194" s="171"/>
      <c r="V194" s="171"/>
      <c r="W194" s="171"/>
      <c r="X194" s="171"/>
      <c r="Y194" s="172"/>
      <c r="Z194" s="173"/>
    </row>
    <row r="195" spans="2:59" ht="17.25" customHeight="1">
      <c r="E195" s="192"/>
      <c r="AU195" s="169"/>
      <c r="AV195" s="169"/>
      <c r="AW195" s="169"/>
      <c r="AX195" s="169"/>
      <c r="AY195" s="169"/>
      <c r="AZ195" s="169"/>
      <c r="BA195" s="169"/>
      <c r="BB195" s="169"/>
      <c r="BC195" s="169"/>
      <c r="BD195" s="170"/>
      <c r="BE195" s="170"/>
      <c r="BF195" s="147"/>
      <c r="BG195" s="147"/>
    </row>
    <row r="196" spans="2:59" ht="15.75" customHeight="1">
      <c r="B196" s="153" t="s">
        <v>541</v>
      </c>
      <c r="C196" s="153" t="s">
        <v>187</v>
      </c>
      <c r="D196" s="153" t="s">
        <v>188</v>
      </c>
      <c r="E196" s="153" t="s">
        <v>191</v>
      </c>
      <c r="F196" s="193" t="s">
        <v>1124</v>
      </c>
      <c r="G196" s="193" t="s">
        <v>1125</v>
      </c>
      <c r="H196" s="193" t="s">
        <v>1126</v>
      </c>
      <c r="I196" s="193" t="s">
        <v>1127</v>
      </c>
      <c r="J196" s="193" t="s">
        <v>1128</v>
      </c>
      <c r="K196" s="153" t="s">
        <v>1129</v>
      </c>
      <c r="L196" s="153" t="s">
        <v>1130</v>
      </c>
      <c r="M196" s="153" t="s">
        <v>1131</v>
      </c>
      <c r="N196" s="153" t="s">
        <v>1132</v>
      </c>
      <c r="O196" s="153" t="s">
        <v>1133</v>
      </c>
      <c r="P196" s="153" t="s">
        <v>1134</v>
      </c>
      <c r="Q196" s="153" t="s">
        <v>1135</v>
      </c>
      <c r="R196" s="153" t="s">
        <v>1136</v>
      </c>
      <c r="S196" s="153" t="s">
        <v>1137</v>
      </c>
      <c r="T196" s="153" t="s">
        <v>1138</v>
      </c>
      <c r="U196" s="153" t="s">
        <v>1174</v>
      </c>
      <c r="V196" s="153" t="s">
        <v>1175</v>
      </c>
      <c r="W196" s="153" t="s">
        <v>1176</v>
      </c>
      <c r="X196" s="153" t="s">
        <v>1177</v>
      </c>
      <c r="Y196" s="153" t="s">
        <v>1178</v>
      </c>
      <c r="Z196" s="153" t="s">
        <v>1179</v>
      </c>
      <c r="AA196" s="153" t="s">
        <v>1180</v>
      </c>
      <c r="AB196" s="153" t="s">
        <v>1181</v>
      </c>
      <c r="AC196" s="153" t="s">
        <v>1182</v>
      </c>
      <c r="AD196" s="153" t="s">
        <v>1183</v>
      </c>
      <c r="AE196" s="153" t="s">
        <v>1184</v>
      </c>
      <c r="AF196" s="153" t="s">
        <v>1185</v>
      </c>
      <c r="AG196" s="153" t="s">
        <v>1139</v>
      </c>
      <c r="AH196" s="153" t="s">
        <v>1140</v>
      </c>
      <c r="AI196" s="176"/>
      <c r="AJ196" s="176"/>
      <c r="AK196" s="176"/>
      <c r="AL196" s="176"/>
      <c r="AM196" s="176"/>
      <c r="AN196" s="176"/>
      <c r="AO196" s="176"/>
      <c r="AP196" s="147"/>
      <c r="AQ196" s="147"/>
      <c r="AR196" s="147"/>
      <c r="AS196" s="147"/>
      <c r="AT196" s="147"/>
      <c r="AU196" s="147"/>
      <c r="AV196" s="147"/>
      <c r="AW196" s="147"/>
      <c r="AX196" s="147"/>
      <c r="AY196" s="147"/>
      <c r="AZ196" s="147"/>
      <c r="BA196" s="147"/>
      <c r="BB196" s="147"/>
      <c r="BC196" s="147"/>
      <c r="BD196" s="147"/>
      <c r="BE196" s="147"/>
      <c r="BF196" s="147"/>
      <c r="BG196" s="147"/>
    </row>
    <row r="197" spans="2:59">
      <c r="B197" s="154" t="s">
        <v>346</v>
      </c>
      <c r="C197" s="154"/>
      <c r="D197" s="154"/>
      <c r="E197" s="194"/>
      <c r="F197" s="182"/>
      <c r="G197" s="182"/>
      <c r="H197" s="182"/>
      <c r="I197" s="182"/>
      <c r="J197" s="182"/>
      <c r="K197" s="199"/>
      <c r="L197" s="199"/>
      <c r="M197" s="199"/>
      <c r="N197" s="199"/>
      <c r="O197" s="199"/>
      <c r="P197" s="199"/>
      <c r="Q197" s="199"/>
      <c r="R197" s="199"/>
      <c r="S197" s="199"/>
      <c r="T197" s="199"/>
      <c r="U197" s="196"/>
      <c r="V197" s="196"/>
      <c r="W197" s="196"/>
      <c r="X197" s="196"/>
      <c r="Y197" s="196"/>
      <c r="Z197" s="196"/>
      <c r="AA197" s="196"/>
      <c r="AB197" s="196"/>
      <c r="AC197" s="196"/>
      <c r="AD197" s="196"/>
      <c r="AE197" s="196"/>
      <c r="AF197" s="196"/>
      <c r="AG197" s="196"/>
      <c r="AH197" s="196"/>
      <c r="AP197" s="147"/>
      <c r="AQ197" s="147"/>
      <c r="AR197" s="147"/>
      <c r="AS197" s="147"/>
      <c r="AT197" s="147"/>
      <c r="AU197" s="147"/>
      <c r="AV197" s="147"/>
      <c r="AW197" s="147"/>
      <c r="AX197" s="147"/>
      <c r="AY197" s="147"/>
      <c r="AZ197" s="147"/>
      <c r="BA197" s="147"/>
      <c r="BB197" s="147"/>
      <c r="BC197" s="147"/>
      <c r="BD197" s="147"/>
      <c r="BE197" s="147"/>
      <c r="BF197" s="147"/>
      <c r="BG197" s="147"/>
    </row>
    <row r="198" spans="2:59">
      <c r="B198" s="158" t="s">
        <v>251</v>
      </c>
      <c r="C198" s="158" t="str">
        <f>'Imp Refined NYC'!E43</f>
        <v>IMPJTFP13</v>
      </c>
      <c r="D198" s="158" t="str">
        <f>'Imp Refined NYC'!F43</f>
        <v>Imported Jet Fuel, PADD 1, Step 3</v>
      </c>
      <c r="E198" s="197" t="str">
        <f>'Imp Refined NYC'!G43</f>
        <v>JTFP1</v>
      </c>
      <c r="F198" s="197"/>
      <c r="G198" s="187"/>
      <c r="H198" s="197"/>
      <c r="I198" s="197">
        <v>1.0049999999999999</v>
      </c>
      <c r="J198" s="197">
        <v>1.0049999999999999</v>
      </c>
      <c r="K198" s="195">
        <f>'Imp Refined NYC'!M43</f>
        <v>11.128443309395978</v>
      </c>
      <c r="L198" s="195" t="e">
        <f>'Imp Refined NYC'!N43</f>
        <v>#REF!</v>
      </c>
      <c r="M198" s="195" t="e">
        <f>'Imp Refined NYC'!O43</f>
        <v>#REF!</v>
      </c>
      <c r="N198" s="195" t="e">
        <f>'Imp Refined NYC'!P43</f>
        <v>#REF!</v>
      </c>
      <c r="O198" s="195" t="e">
        <f>'Imp Refined NYC'!Q43</f>
        <v>#REF!</v>
      </c>
      <c r="P198" s="195" t="e">
        <f>'Imp Refined NYC'!R43</f>
        <v>#REF!</v>
      </c>
      <c r="Q198" s="195" t="e">
        <f>'Imp Refined NYC'!S43</f>
        <v>#REF!</v>
      </c>
      <c r="R198" s="195" t="e">
        <f>'Imp Refined NYC'!T43</f>
        <v>#REF!</v>
      </c>
      <c r="S198" s="195" t="e">
        <f>'Imp Refined NYC'!U43</f>
        <v>#REF!</v>
      </c>
      <c r="T198" s="195" t="e">
        <f>'Imp Refined NYC'!V43</f>
        <v>#REF!</v>
      </c>
      <c r="U198" s="187"/>
      <c r="V198" s="187">
        <f>'Imp Refined NYC'!AF43</f>
        <v>218348.8961308857</v>
      </c>
      <c r="W198" s="187">
        <f>'Imp Refined NYC'!AG43</f>
        <v>218348.8961308857</v>
      </c>
      <c r="X198" s="187">
        <f>'Imp Refined NYC'!AH43</f>
        <v>218348.8961308857</v>
      </c>
      <c r="Y198" s="187">
        <f>'Imp Refined NYC'!AI43</f>
        <v>218348.8961308857</v>
      </c>
      <c r="Z198" s="187"/>
      <c r="AA198" s="187"/>
      <c r="AB198" s="187"/>
      <c r="AC198" s="195"/>
      <c r="AD198" s="195"/>
      <c r="AE198" s="195"/>
      <c r="AF198" s="195"/>
      <c r="AG198" s="197"/>
      <c r="AH198" s="197"/>
      <c r="BC198" s="147"/>
      <c r="BD198" s="147"/>
      <c r="BE198" s="147"/>
      <c r="BF198" s="147"/>
      <c r="BG198" s="147"/>
    </row>
    <row r="199" spans="2:59">
      <c r="B199" s="158" t="s">
        <v>251</v>
      </c>
      <c r="C199" s="158" t="str">
        <f>'Imp Refined NYC'!E44</f>
        <v>IMPJTFP11</v>
      </c>
      <c r="D199" s="158" t="str">
        <f>'Imp Refined NYC'!F44</f>
        <v>Imported Jet Fuel, PADD 1, Step 1</v>
      </c>
      <c r="E199" s="197" t="str">
        <f>'Imp Refined NYC'!G44</f>
        <v>JTFP1</v>
      </c>
      <c r="F199" s="197"/>
      <c r="G199" s="187"/>
      <c r="H199" s="197"/>
      <c r="I199" s="197">
        <v>1.0049999999999999</v>
      </c>
      <c r="J199" s="197">
        <v>1.0049999999999999</v>
      </c>
      <c r="K199" s="195">
        <f>'Imp Refined NYC'!M44</f>
        <v>10.572021143926175</v>
      </c>
      <c r="L199" s="195" t="e">
        <f>'Imp Refined NYC'!N44</f>
        <v>#REF!</v>
      </c>
      <c r="M199" s="195" t="e">
        <f>'Imp Refined NYC'!O44</f>
        <v>#REF!</v>
      </c>
      <c r="N199" s="195" t="e">
        <f>'Imp Refined NYC'!P44</f>
        <v>#REF!</v>
      </c>
      <c r="O199" s="195" t="e">
        <f>'Imp Refined NYC'!Q44</f>
        <v>#REF!</v>
      </c>
      <c r="P199" s="195" t="e">
        <f>'Imp Refined NYC'!R44</f>
        <v>#REF!</v>
      </c>
      <c r="Q199" s="195" t="e">
        <f>'Imp Refined NYC'!S44</f>
        <v>#REF!</v>
      </c>
      <c r="R199" s="195" t="e">
        <f>'Imp Refined NYC'!T44</f>
        <v>#REF!</v>
      </c>
      <c r="S199" s="195" t="e">
        <f>'Imp Refined NYC'!U44</f>
        <v>#REF!</v>
      </c>
      <c r="T199" s="195" t="e">
        <f>'Imp Refined NYC'!V44</f>
        <v>#REF!</v>
      </c>
      <c r="U199" s="187"/>
      <c r="V199" s="187">
        <f>'Imp Refined NYC'!AF44</f>
        <v>1746791.1690470844</v>
      </c>
      <c r="W199" s="187">
        <f>'Imp Refined NYC'!AG44</f>
        <v>1746791.1690470844</v>
      </c>
      <c r="X199" s="187">
        <f>'Imp Refined NYC'!AH44</f>
        <v>1746791.1690470844</v>
      </c>
      <c r="Y199" s="187">
        <f>'Imp Refined NYC'!AI44</f>
        <v>1746791.1690470844</v>
      </c>
      <c r="Z199" s="187"/>
      <c r="AA199" s="187"/>
      <c r="AB199" s="187"/>
      <c r="AC199" s="195"/>
      <c r="AD199" s="195"/>
      <c r="AE199" s="195"/>
      <c r="AF199" s="195"/>
      <c r="AG199" s="197"/>
      <c r="AH199" s="197"/>
      <c r="BC199" s="147"/>
      <c r="BD199" s="147"/>
      <c r="BE199" s="147"/>
      <c r="BF199" s="147"/>
      <c r="BG199" s="147"/>
    </row>
    <row r="200" spans="2:59">
      <c r="B200" s="158" t="s">
        <v>251</v>
      </c>
      <c r="C200" s="158" t="str">
        <f>'Imp Refined NYC'!E45</f>
        <v>IMPJTFP12</v>
      </c>
      <c r="D200" s="158" t="str">
        <f>'Imp Refined NYC'!F45</f>
        <v>Imported Jet Fuel, PADD 1, Step 2</v>
      </c>
      <c r="E200" s="197" t="str">
        <f>'Imp Refined NYC'!G45</f>
        <v>JTFP1</v>
      </c>
      <c r="F200" s="197"/>
      <c r="G200" s="187"/>
      <c r="H200" s="197"/>
      <c r="I200" s="197">
        <v>1.0049999999999999</v>
      </c>
      <c r="J200" s="197">
        <v>1.0049999999999999</v>
      </c>
      <c r="K200" s="195">
        <f>'Imp Refined NYC'!M45</f>
        <v>10.905874443208058</v>
      </c>
      <c r="L200" s="195" t="e">
        <f>'Imp Refined NYC'!N45</f>
        <v>#REF!</v>
      </c>
      <c r="M200" s="195" t="e">
        <f>'Imp Refined NYC'!O45</f>
        <v>#REF!</v>
      </c>
      <c r="N200" s="195" t="e">
        <f>'Imp Refined NYC'!P45</f>
        <v>#REF!</v>
      </c>
      <c r="O200" s="195" t="e">
        <f>'Imp Refined NYC'!Q45</f>
        <v>#REF!</v>
      </c>
      <c r="P200" s="195" t="e">
        <f>'Imp Refined NYC'!R45</f>
        <v>#REF!</v>
      </c>
      <c r="Q200" s="195" t="e">
        <f>'Imp Refined NYC'!S45</f>
        <v>#REF!</v>
      </c>
      <c r="R200" s="195" t="e">
        <f>'Imp Refined NYC'!T45</f>
        <v>#REF!</v>
      </c>
      <c r="S200" s="195" t="e">
        <f>'Imp Refined NYC'!U45</f>
        <v>#REF!</v>
      </c>
      <c r="T200" s="195" t="e">
        <f>'Imp Refined NYC'!V45</f>
        <v>#REF!</v>
      </c>
      <c r="U200" s="187"/>
      <c r="V200" s="187">
        <f>'Imp Refined NYC'!AF45</f>
        <v>218348.896130885</v>
      </c>
      <c r="W200" s="187">
        <f>'Imp Refined NYC'!AG45</f>
        <v>218348.896130885</v>
      </c>
      <c r="X200" s="187">
        <f>'Imp Refined NYC'!AH45</f>
        <v>218348.896130885</v>
      </c>
      <c r="Y200" s="187">
        <f>'Imp Refined NYC'!AI45</f>
        <v>218348.896130885</v>
      </c>
      <c r="Z200" s="187"/>
      <c r="AA200" s="187"/>
      <c r="AB200" s="187"/>
      <c r="AC200" s="195"/>
      <c r="AD200" s="195"/>
      <c r="AE200" s="195"/>
      <c r="AF200" s="195"/>
      <c r="AG200" s="197"/>
      <c r="AH200" s="197"/>
      <c r="BC200" s="147"/>
      <c r="BD200" s="147"/>
      <c r="BE200" s="147"/>
      <c r="BF200" s="147"/>
      <c r="BG200" s="147"/>
    </row>
    <row r="201" spans="2:59">
      <c r="B201" s="158" t="s">
        <v>251</v>
      </c>
      <c r="C201" s="158" t="str">
        <f>'Imp Refined NYC'!E46</f>
        <v>IMPJTFP14</v>
      </c>
      <c r="D201" s="158" t="str">
        <f>'Imp Refined NYC'!F46</f>
        <v>Imported Jet Fuel, PADD 1, Step 4</v>
      </c>
      <c r="E201" s="197" t="str">
        <f>'Imp Refined NYC'!G46</f>
        <v>JTFP1</v>
      </c>
      <c r="F201" s="197"/>
      <c r="G201" s="187"/>
      <c r="H201" s="197"/>
      <c r="I201" s="197">
        <v>1.0049999999999999</v>
      </c>
      <c r="J201" s="197">
        <v>1.0049999999999999</v>
      </c>
      <c r="K201" s="195">
        <f>'Imp Refined NYC'!M46</f>
        <v>12.130003207241614</v>
      </c>
      <c r="L201" s="195" t="e">
        <f>'Imp Refined NYC'!N46</f>
        <v>#REF!</v>
      </c>
      <c r="M201" s="195" t="e">
        <f>'Imp Refined NYC'!O46</f>
        <v>#REF!</v>
      </c>
      <c r="N201" s="195" t="e">
        <f>'Imp Refined NYC'!P46</f>
        <v>#REF!</v>
      </c>
      <c r="O201" s="195" t="e">
        <f>'Imp Refined NYC'!Q46</f>
        <v>#REF!</v>
      </c>
      <c r="P201" s="195" t="e">
        <f>'Imp Refined NYC'!R46</f>
        <v>#REF!</v>
      </c>
      <c r="Q201" s="195" t="e">
        <f>'Imp Refined NYC'!S46</f>
        <v>#REF!</v>
      </c>
      <c r="R201" s="195" t="e">
        <f>'Imp Refined NYC'!T46</f>
        <v>#REF!</v>
      </c>
      <c r="S201" s="195" t="e">
        <f>'Imp Refined NYC'!U46</f>
        <v>#REF!</v>
      </c>
      <c r="T201" s="195" t="e">
        <f>'Imp Refined NYC'!V46</f>
        <v>#REF!</v>
      </c>
      <c r="U201" s="187"/>
      <c r="V201" s="187">
        <f>'Imp Refined NYC'!AF46</f>
        <v>436697.79226177093</v>
      </c>
      <c r="W201" s="187">
        <f>'Imp Refined NYC'!AG46</f>
        <v>436697.79226177093</v>
      </c>
      <c r="X201" s="187">
        <f>'Imp Refined NYC'!AH46</f>
        <v>436697.79226177093</v>
      </c>
      <c r="Y201" s="187">
        <f>'Imp Refined NYC'!AI46</f>
        <v>436697.79226177093</v>
      </c>
      <c r="Z201" s="187"/>
      <c r="AA201" s="187"/>
      <c r="AB201" s="187"/>
      <c r="AC201" s="195"/>
      <c r="AD201" s="195"/>
      <c r="AE201" s="195"/>
      <c r="AF201" s="195"/>
      <c r="AG201" s="197"/>
      <c r="AH201" s="197"/>
      <c r="BC201" s="147"/>
      <c r="BD201" s="147"/>
      <c r="BE201" s="147"/>
      <c r="BF201" s="147"/>
      <c r="BG201" s="147"/>
    </row>
    <row r="202" spans="2:59">
      <c r="B202" s="158" t="s">
        <v>251</v>
      </c>
      <c r="C202" s="158" t="str">
        <f>'Imp Refined NYC'!E47</f>
        <v>IMPJTFP15</v>
      </c>
      <c r="D202" s="158" t="str">
        <f>'Imp Refined NYC'!F47</f>
        <v>Imported Jet Fuel, PADD 1, Step 5</v>
      </c>
      <c r="E202" s="197" t="str">
        <f>'Imp Refined NYC'!G47</f>
        <v>JTFP1</v>
      </c>
      <c r="F202" s="197"/>
      <c r="G202" s="187"/>
      <c r="H202" s="197"/>
      <c r="I202" s="197">
        <v>1.0049999999999999</v>
      </c>
      <c r="J202" s="197">
        <v>1.0049999999999999</v>
      </c>
      <c r="K202" s="195">
        <f>'Imp Refined NYC'!M47</f>
        <v>14.466976302214771</v>
      </c>
      <c r="L202" s="195" t="e">
        <f>'Imp Refined NYC'!N47</f>
        <v>#REF!</v>
      </c>
      <c r="M202" s="195" t="e">
        <f>'Imp Refined NYC'!O47</f>
        <v>#REF!</v>
      </c>
      <c r="N202" s="195" t="e">
        <f>'Imp Refined NYC'!P47</f>
        <v>#REF!</v>
      </c>
      <c r="O202" s="195" t="e">
        <f>'Imp Refined NYC'!Q47</f>
        <v>#REF!</v>
      </c>
      <c r="P202" s="195" t="e">
        <f>'Imp Refined NYC'!R47</f>
        <v>#REF!</v>
      </c>
      <c r="Q202" s="195" t="e">
        <f>'Imp Refined NYC'!S47</f>
        <v>#REF!</v>
      </c>
      <c r="R202" s="195" t="e">
        <f>'Imp Refined NYC'!T47</f>
        <v>#REF!</v>
      </c>
      <c r="S202" s="195" t="e">
        <f>'Imp Refined NYC'!U47</f>
        <v>#REF!</v>
      </c>
      <c r="T202" s="195" t="e">
        <f>'Imp Refined NYC'!V47</f>
        <v>#REF!</v>
      </c>
      <c r="U202" s="187"/>
      <c r="V202" s="187">
        <f>'Imp Refined NYC'!AF47</f>
        <v>1746791.1690470842</v>
      </c>
      <c r="W202" s="187">
        <f>'Imp Refined NYC'!AG47</f>
        <v>1746791.1690470842</v>
      </c>
      <c r="X202" s="187">
        <f>'Imp Refined NYC'!AH47</f>
        <v>1746791.1690470842</v>
      </c>
      <c r="Y202" s="187">
        <f>'Imp Refined NYC'!AI47</f>
        <v>1746791.1690470842</v>
      </c>
      <c r="Z202" s="187"/>
      <c r="AA202" s="187"/>
      <c r="AB202" s="187"/>
      <c r="AC202" s="195"/>
      <c r="AD202" s="195"/>
      <c r="AE202" s="195"/>
      <c r="AF202" s="195"/>
      <c r="AG202" s="197"/>
      <c r="AH202" s="197"/>
      <c r="BC202" s="147"/>
      <c r="BD202" s="147"/>
      <c r="BE202" s="147"/>
      <c r="BF202" s="147"/>
      <c r="BG202" s="147"/>
    </row>
    <row r="203" spans="2:59">
      <c r="B203" s="158" t="str">
        <f>Technologies!B$204</f>
        <v>R0,R1,R2,R3,R4,R5,R6</v>
      </c>
      <c r="C203" s="158" t="str">
        <f>'Imp Refined NYC'!E23</f>
        <v>IMPDSHP13</v>
      </c>
      <c r="D203" s="158" t="str">
        <f>'Imp Refined NYC'!F23</f>
        <v>Imported Distillate-Heating Oil No. 2, PADD 1, Step 3</v>
      </c>
      <c r="E203" s="197" t="str">
        <f>'Imp Refined NYC'!G23</f>
        <v>DSHP1</v>
      </c>
      <c r="F203" s="197"/>
      <c r="G203" s="187"/>
      <c r="H203" s="197"/>
      <c r="I203" s="197">
        <v>1.0049999999999999</v>
      </c>
      <c r="J203" s="197">
        <v>1.0049999999999999</v>
      </c>
      <c r="K203" s="195">
        <f>'Imp Refined NYC'!M23</f>
        <v>12.491226883246286</v>
      </c>
      <c r="L203" s="195" t="e">
        <f>'Imp Refined NYC'!N23</f>
        <v>#REF!</v>
      </c>
      <c r="M203" s="195" t="e">
        <f>'Imp Refined NYC'!O23</f>
        <v>#REF!</v>
      </c>
      <c r="N203" s="195" t="e">
        <f>'Imp Refined NYC'!P23</f>
        <v>#REF!</v>
      </c>
      <c r="O203" s="195" t="e">
        <f>'Imp Refined NYC'!Q23</f>
        <v>#REF!</v>
      </c>
      <c r="P203" s="195" t="e">
        <f>'Imp Refined NYC'!R23</f>
        <v>#REF!</v>
      </c>
      <c r="Q203" s="195" t="e">
        <f>'Imp Refined NYC'!S23</f>
        <v>#REF!</v>
      </c>
      <c r="R203" s="195" t="e">
        <f>'Imp Refined NYC'!T23</f>
        <v>#REF!</v>
      </c>
      <c r="S203" s="195" t="e">
        <f>'Imp Refined NYC'!U23</f>
        <v>#REF!</v>
      </c>
      <c r="T203" s="195" t="e">
        <f>'Imp Refined NYC'!V23</f>
        <v>#REF!</v>
      </c>
      <c r="U203" s="187"/>
      <c r="V203" s="187">
        <f>'Imp Refined NYC'!AF23</f>
        <v>224317.86948190606</v>
      </c>
      <c r="W203" s="187">
        <f>'Imp Refined NYC'!AG23</f>
        <v>224317.86948190606</v>
      </c>
      <c r="X203" s="187">
        <f>'Imp Refined NYC'!AH23</f>
        <v>224317.86948190606</v>
      </c>
      <c r="Y203" s="187">
        <f>'Imp Refined NYC'!AI23</f>
        <v>224317.86948190606</v>
      </c>
      <c r="Z203" s="187"/>
      <c r="AA203" s="187"/>
      <c r="AB203" s="187"/>
      <c r="AC203" s="195"/>
      <c r="AD203" s="195"/>
      <c r="AE203" s="195"/>
      <c r="AF203" s="195"/>
      <c r="AG203" s="197"/>
      <c r="AH203" s="197"/>
      <c r="BC203" s="147"/>
      <c r="BD203" s="147"/>
      <c r="BE203" s="147"/>
      <c r="BF203" s="147"/>
      <c r="BG203" s="147"/>
    </row>
    <row r="204" spans="2:59">
      <c r="B204" s="158" t="str">
        <f>Technologies!B$205</f>
        <v>R0,R1,R2,R3,R4,R5,R6</v>
      </c>
      <c r="C204" s="158" t="str">
        <f>'Imp Refined NYC'!E24</f>
        <v>IMPDSHP11</v>
      </c>
      <c r="D204" s="158" t="str">
        <f>'Imp Refined NYC'!F24</f>
        <v>Imported Distillate-Heating Oil No. 2, PADD 1, Step 1</v>
      </c>
      <c r="E204" s="197" t="str">
        <f>'Imp Refined NYC'!G24</f>
        <v>DSHP1</v>
      </c>
      <c r="F204" s="197"/>
      <c r="G204" s="187"/>
      <c r="H204" s="197"/>
      <c r="I204" s="197">
        <v>1.0049999999999999</v>
      </c>
      <c r="J204" s="197">
        <v>1.0049999999999999</v>
      </c>
      <c r="K204" s="195">
        <f>'Imp Refined NYC'!M24</f>
        <v>11.86666553908397</v>
      </c>
      <c r="L204" s="195" t="e">
        <f>'Imp Refined NYC'!N24</f>
        <v>#REF!</v>
      </c>
      <c r="M204" s="195" t="e">
        <f>'Imp Refined NYC'!O24</f>
        <v>#REF!</v>
      </c>
      <c r="N204" s="195" t="e">
        <f>'Imp Refined NYC'!P24</f>
        <v>#REF!</v>
      </c>
      <c r="O204" s="195" t="e">
        <f>'Imp Refined NYC'!Q24</f>
        <v>#REF!</v>
      </c>
      <c r="P204" s="195" t="e">
        <f>'Imp Refined NYC'!R24</f>
        <v>#REF!</v>
      </c>
      <c r="Q204" s="195" t="e">
        <f>'Imp Refined NYC'!S24</f>
        <v>#REF!</v>
      </c>
      <c r="R204" s="195" t="e">
        <f>'Imp Refined NYC'!T24</f>
        <v>#REF!</v>
      </c>
      <c r="S204" s="195" t="e">
        <f>'Imp Refined NYC'!U24</f>
        <v>#REF!</v>
      </c>
      <c r="T204" s="195" t="e">
        <f>'Imp Refined NYC'!V24</f>
        <v>#REF!</v>
      </c>
      <c r="U204" s="187"/>
      <c r="V204" s="187">
        <f>'Imp Refined NYC'!AF24</f>
        <v>1794542.9558552499</v>
      </c>
      <c r="W204" s="187">
        <f>'Imp Refined NYC'!AG24</f>
        <v>1794542.9558552499</v>
      </c>
      <c r="X204" s="187">
        <f>'Imp Refined NYC'!AH24</f>
        <v>1794542.9558552499</v>
      </c>
      <c r="Y204" s="187">
        <f>'Imp Refined NYC'!AI24</f>
        <v>1794542.9558552499</v>
      </c>
      <c r="Z204" s="187"/>
      <c r="AA204" s="187"/>
      <c r="AB204" s="187"/>
      <c r="AC204" s="195"/>
      <c r="AD204" s="195"/>
      <c r="AE204" s="195"/>
      <c r="AF204" s="195"/>
      <c r="AG204" s="197"/>
      <c r="AH204" s="197"/>
      <c r="BC204" s="147"/>
      <c r="BD204" s="147"/>
      <c r="BE204" s="147"/>
      <c r="BF204" s="147"/>
      <c r="BG204" s="147"/>
    </row>
    <row r="205" spans="2:59">
      <c r="B205" s="158" t="str">
        <f>Technologies!B$206</f>
        <v>R0,R1,R2,R3,R4,R5,R6</v>
      </c>
      <c r="C205" s="158" t="str">
        <f>'Imp Refined NYC'!E25</f>
        <v>IMPDSHP12</v>
      </c>
      <c r="D205" s="158" t="str">
        <f>'Imp Refined NYC'!F25</f>
        <v>Imported Distillate-Heating Oil No. 2, PADD 1, Step 2</v>
      </c>
      <c r="E205" s="197" t="str">
        <f>'Imp Refined NYC'!G25</f>
        <v>DSHP1</v>
      </c>
      <c r="F205" s="197"/>
      <c r="G205" s="187"/>
      <c r="H205" s="197"/>
      <c r="I205" s="197">
        <v>1.0049999999999999</v>
      </c>
      <c r="J205" s="197">
        <v>1.0049999999999999</v>
      </c>
      <c r="K205" s="195">
        <f>'Imp Refined NYC'!M25</f>
        <v>12.24140234558136</v>
      </c>
      <c r="L205" s="195" t="e">
        <f>'Imp Refined NYC'!N25</f>
        <v>#REF!</v>
      </c>
      <c r="M205" s="195" t="e">
        <f>'Imp Refined NYC'!O25</f>
        <v>#REF!</v>
      </c>
      <c r="N205" s="195" t="e">
        <f>'Imp Refined NYC'!P25</f>
        <v>#REF!</v>
      </c>
      <c r="O205" s="195" t="e">
        <f>'Imp Refined NYC'!Q25</f>
        <v>#REF!</v>
      </c>
      <c r="P205" s="195" t="e">
        <f>'Imp Refined NYC'!R25</f>
        <v>#REF!</v>
      </c>
      <c r="Q205" s="195" t="e">
        <f>'Imp Refined NYC'!S25</f>
        <v>#REF!</v>
      </c>
      <c r="R205" s="195" t="e">
        <f>'Imp Refined NYC'!T25</f>
        <v>#REF!</v>
      </c>
      <c r="S205" s="195" t="e">
        <f>'Imp Refined NYC'!U25</f>
        <v>#REF!</v>
      </c>
      <c r="T205" s="195" t="e">
        <f>'Imp Refined NYC'!V25</f>
        <v>#REF!</v>
      </c>
      <c r="U205" s="187"/>
      <c r="V205" s="187">
        <f>'Imp Refined NYC'!AF25</f>
        <v>224317.8694819056</v>
      </c>
      <c r="W205" s="187">
        <f>'Imp Refined NYC'!AG25</f>
        <v>224317.8694819056</v>
      </c>
      <c r="X205" s="187">
        <f>'Imp Refined NYC'!AH25</f>
        <v>224317.8694819056</v>
      </c>
      <c r="Y205" s="187">
        <f>'Imp Refined NYC'!AI25</f>
        <v>224317.8694819056</v>
      </c>
      <c r="Z205" s="187"/>
      <c r="AA205" s="187"/>
      <c r="AB205" s="187"/>
      <c r="AC205" s="195"/>
      <c r="AD205" s="195"/>
      <c r="AE205" s="195"/>
      <c r="AF205" s="195"/>
      <c r="AG205" s="197"/>
      <c r="AH205" s="197"/>
      <c r="BC205" s="147"/>
      <c r="BD205" s="147"/>
      <c r="BE205" s="147"/>
      <c r="BF205" s="147"/>
      <c r="BG205" s="147"/>
    </row>
    <row r="206" spans="2:59">
      <c r="B206" s="158" t="str">
        <f>Technologies!B$207</f>
        <v>R0,R1,R2,R3,R4,R5,R6</v>
      </c>
      <c r="C206" s="158" t="str">
        <f>'Imp Refined NYC'!E26</f>
        <v>IMPDSHP14</v>
      </c>
      <c r="D206" s="158" t="str">
        <f>'Imp Refined NYC'!F26</f>
        <v>Imported Distillate-Heating Oil No. 2, PADD 1, Step 4</v>
      </c>
      <c r="E206" s="197" t="str">
        <f>'Imp Refined NYC'!G26</f>
        <v>DSHP1</v>
      </c>
      <c r="F206" s="197"/>
      <c r="G206" s="187"/>
      <c r="H206" s="197"/>
      <c r="I206" s="197">
        <v>1.0049999999999999</v>
      </c>
      <c r="J206" s="197">
        <v>1.0049999999999999</v>
      </c>
      <c r="K206" s="195">
        <f>'Imp Refined NYC'!M26</f>
        <v>13.615437302738453</v>
      </c>
      <c r="L206" s="195" t="e">
        <f>'Imp Refined NYC'!N26</f>
        <v>#REF!</v>
      </c>
      <c r="M206" s="195" t="e">
        <f>'Imp Refined NYC'!O26</f>
        <v>#REF!</v>
      </c>
      <c r="N206" s="195" t="e">
        <f>'Imp Refined NYC'!P26</f>
        <v>#REF!</v>
      </c>
      <c r="O206" s="195" t="e">
        <f>'Imp Refined NYC'!Q26</f>
        <v>#REF!</v>
      </c>
      <c r="P206" s="195" t="e">
        <f>'Imp Refined NYC'!R26</f>
        <v>#REF!</v>
      </c>
      <c r="Q206" s="195" t="e">
        <f>'Imp Refined NYC'!S26</f>
        <v>#REF!</v>
      </c>
      <c r="R206" s="195" t="e">
        <f>'Imp Refined NYC'!T26</f>
        <v>#REF!</v>
      </c>
      <c r="S206" s="195" t="e">
        <f>'Imp Refined NYC'!U26</f>
        <v>#REF!</v>
      </c>
      <c r="T206" s="195" t="e">
        <f>'Imp Refined NYC'!V26</f>
        <v>#REF!</v>
      </c>
      <c r="U206" s="187"/>
      <c r="V206" s="187">
        <f>'Imp Refined NYC'!AF26</f>
        <v>448635.73896381306</v>
      </c>
      <c r="W206" s="187">
        <f>'Imp Refined NYC'!AG26</f>
        <v>448635.73896381306</v>
      </c>
      <c r="X206" s="187">
        <f>'Imp Refined NYC'!AH26</f>
        <v>448635.73896381306</v>
      </c>
      <c r="Y206" s="187">
        <f>'Imp Refined NYC'!AI26</f>
        <v>448635.73896381306</v>
      </c>
      <c r="Z206" s="187"/>
      <c r="AA206" s="187"/>
      <c r="AB206" s="187"/>
      <c r="AC206" s="195"/>
      <c r="AD206" s="195"/>
      <c r="AE206" s="195"/>
      <c r="AF206" s="195"/>
      <c r="AG206" s="197"/>
      <c r="AH206" s="197"/>
      <c r="BC206" s="147"/>
      <c r="BD206" s="147"/>
      <c r="BE206" s="147"/>
      <c r="BF206" s="147"/>
      <c r="BG206" s="147"/>
    </row>
    <row r="207" spans="2:59">
      <c r="B207" s="158" t="str">
        <f>Technologies!B$208</f>
        <v>R0,R1,R2,R3,R4,R5,R6</v>
      </c>
      <c r="C207" s="158" t="str">
        <f>'Imp Refined NYC'!E27</f>
        <v>IMPDSHP15</v>
      </c>
      <c r="D207" s="158" t="str">
        <f>'Imp Refined NYC'!F27</f>
        <v>Imported Distillate-Heating Oil No. 2, PADD 1, Step 5</v>
      </c>
      <c r="E207" s="197" t="str">
        <f>'Imp Refined NYC'!G27</f>
        <v>DSHP1</v>
      </c>
      <c r="F207" s="197"/>
      <c r="G207" s="187"/>
      <c r="H207" s="197"/>
      <c r="I207" s="197">
        <v>1.0049999999999999</v>
      </c>
      <c r="J207" s="197">
        <v>1.0049999999999999</v>
      </c>
      <c r="K207" s="195">
        <f>'Imp Refined NYC'!M27</f>
        <v>16.238594948220172</v>
      </c>
      <c r="L207" s="195" t="e">
        <f>'Imp Refined NYC'!N27</f>
        <v>#REF!</v>
      </c>
      <c r="M207" s="195" t="e">
        <f>'Imp Refined NYC'!O27</f>
        <v>#REF!</v>
      </c>
      <c r="N207" s="195" t="e">
        <f>'Imp Refined NYC'!P27</f>
        <v>#REF!</v>
      </c>
      <c r="O207" s="195" t="e">
        <f>'Imp Refined NYC'!Q27</f>
        <v>#REF!</v>
      </c>
      <c r="P207" s="195" t="e">
        <f>'Imp Refined NYC'!R27</f>
        <v>#REF!</v>
      </c>
      <c r="Q207" s="195" t="e">
        <f>'Imp Refined NYC'!S27</f>
        <v>#REF!</v>
      </c>
      <c r="R207" s="195" t="e">
        <f>'Imp Refined NYC'!T27</f>
        <v>#REF!</v>
      </c>
      <c r="S207" s="195" t="e">
        <f>'Imp Refined NYC'!U27</f>
        <v>#REF!</v>
      </c>
      <c r="T207" s="195" t="e">
        <f>'Imp Refined NYC'!V27</f>
        <v>#REF!</v>
      </c>
      <c r="U207" s="187"/>
      <c r="V207" s="187">
        <f>'Imp Refined NYC'!AF27</f>
        <v>1794542.9558552485</v>
      </c>
      <c r="W207" s="187">
        <f>'Imp Refined NYC'!AG27</f>
        <v>1794542.9558552485</v>
      </c>
      <c r="X207" s="187">
        <f>'Imp Refined NYC'!AH27</f>
        <v>1794542.9558552485</v>
      </c>
      <c r="Y207" s="187">
        <f>'Imp Refined NYC'!AI27</f>
        <v>1794542.9558552485</v>
      </c>
      <c r="Z207" s="187"/>
      <c r="AA207" s="187"/>
      <c r="AB207" s="187"/>
      <c r="AC207" s="195"/>
      <c r="AD207" s="195"/>
      <c r="AE207" s="195"/>
      <c r="AF207" s="195"/>
      <c r="AG207" s="197"/>
      <c r="AH207" s="197"/>
      <c r="BC207" s="147"/>
      <c r="BD207" s="147"/>
      <c r="BE207" s="147"/>
      <c r="BF207" s="147"/>
      <c r="BG207" s="147"/>
    </row>
    <row r="208" spans="2:59">
      <c r="B208" s="158" t="s">
        <v>251</v>
      </c>
      <c r="C208" s="158" t="str">
        <f>'Imp Refined NYC'!E105</f>
        <v>IMPJTFP23</v>
      </c>
      <c r="D208" s="158" t="str">
        <f>'Imp Refined NYC'!F105</f>
        <v>Imported Jet Fuel, PADD 2, Step 3</v>
      </c>
      <c r="E208" s="197" t="str">
        <f>'Imp Refined NYC'!G105</f>
        <v>JTFP2</v>
      </c>
      <c r="F208" s="197"/>
      <c r="G208" s="187"/>
      <c r="H208" s="197"/>
      <c r="I208" s="197">
        <v>1.0049999999999999</v>
      </c>
      <c r="J208" s="197">
        <v>1.0049999999999999</v>
      </c>
      <c r="K208" s="195">
        <v>0</v>
      </c>
      <c r="L208" s="195">
        <v>0</v>
      </c>
      <c r="M208" s="195">
        <v>0</v>
      </c>
      <c r="N208" s="195">
        <v>0</v>
      </c>
      <c r="O208" s="195">
        <v>0</v>
      </c>
      <c r="P208" s="195">
        <v>0</v>
      </c>
      <c r="Q208" s="195">
        <v>0</v>
      </c>
      <c r="R208" s="195">
        <v>0</v>
      </c>
      <c r="S208" s="195">
        <v>0</v>
      </c>
      <c r="T208" s="195">
        <v>0</v>
      </c>
      <c r="U208" s="187"/>
      <c r="V208" s="187">
        <f>'Imp Refined NYC'!AF105</f>
        <v>218348.8961308857</v>
      </c>
      <c r="W208" s="187">
        <f>'Imp Refined NYC'!AG105</f>
        <v>218348.8961308857</v>
      </c>
      <c r="X208" s="187">
        <f>'Imp Refined NYC'!AH105</f>
        <v>218348.8961308857</v>
      </c>
      <c r="Y208" s="187">
        <f>'Imp Refined NYC'!AI105</f>
        <v>218348.8961308857</v>
      </c>
      <c r="Z208" s="187">
        <f>'Imp Refined NYC'!AF105</f>
        <v>218348.8961308857</v>
      </c>
      <c r="AA208" s="187">
        <f>'Imp Refined NYC'!AG105</f>
        <v>218348.8961308857</v>
      </c>
      <c r="AB208" s="187">
        <f>'Imp Refined NYC'!AH105</f>
        <v>218348.8961308857</v>
      </c>
      <c r="AC208" s="187">
        <f>'Imp Refined NYC'!AI105</f>
        <v>218348.8961308857</v>
      </c>
      <c r="AD208" s="187">
        <f>'Imp Refined NYC'!AJ105</f>
        <v>0</v>
      </c>
      <c r="AE208" s="187">
        <f>'Imp Refined NYC'!AK105</f>
        <v>0</v>
      </c>
      <c r="AF208" s="187">
        <f>'Imp Refined NYC'!AL105</f>
        <v>0</v>
      </c>
      <c r="AG208" s="197"/>
      <c r="AH208" s="197"/>
      <c r="BC208" s="147"/>
      <c r="BD208" s="147"/>
      <c r="BE208" s="147"/>
      <c r="BF208" s="147"/>
      <c r="BG208" s="147"/>
    </row>
    <row r="209" spans="2:59">
      <c r="B209" s="158" t="s">
        <v>251</v>
      </c>
      <c r="C209" s="158" t="str">
        <f>'Imp Refined NYC'!E106</f>
        <v>IMPJTFP21</v>
      </c>
      <c r="D209" s="158" t="str">
        <f>'Imp Refined NYC'!F106</f>
        <v>Imported Jet Fuel, PADD 2, Step 1</v>
      </c>
      <c r="E209" s="197" t="str">
        <f>'Imp Refined NYC'!G106</f>
        <v>JTFP2</v>
      </c>
      <c r="F209" s="197"/>
      <c r="G209" s="187"/>
      <c r="H209" s="197"/>
      <c r="I209" s="197">
        <v>1.0049999999999999</v>
      </c>
      <c r="J209" s="197">
        <v>1.0049999999999999</v>
      </c>
      <c r="K209" s="195">
        <v>0</v>
      </c>
      <c r="L209" s="195">
        <v>0</v>
      </c>
      <c r="M209" s="195">
        <v>0</v>
      </c>
      <c r="N209" s="195">
        <v>0</v>
      </c>
      <c r="O209" s="195">
        <v>0</v>
      </c>
      <c r="P209" s="195">
        <v>0</v>
      </c>
      <c r="Q209" s="195">
        <v>0</v>
      </c>
      <c r="R209" s="195">
        <v>0</v>
      </c>
      <c r="S209" s="195">
        <v>0</v>
      </c>
      <c r="T209" s="195">
        <v>0</v>
      </c>
      <c r="U209" s="187"/>
      <c r="V209" s="187">
        <f>'Imp Refined NYC'!AF106</f>
        <v>1746791.1690470844</v>
      </c>
      <c r="W209" s="187">
        <f>'Imp Refined NYC'!AG106</f>
        <v>1746791.1690470844</v>
      </c>
      <c r="X209" s="187">
        <f>'Imp Refined NYC'!AH106</f>
        <v>1746791.1690470844</v>
      </c>
      <c r="Y209" s="187">
        <f>'Imp Refined NYC'!AI106</f>
        <v>1746791.1690470844</v>
      </c>
      <c r="Z209" s="187">
        <f>'Imp Refined NYC'!AF106</f>
        <v>1746791.1690470844</v>
      </c>
      <c r="AA209" s="187">
        <f>'Imp Refined NYC'!AG106</f>
        <v>1746791.1690470844</v>
      </c>
      <c r="AB209" s="187">
        <f>'Imp Refined NYC'!AH106</f>
        <v>1746791.1690470844</v>
      </c>
      <c r="AC209" s="187">
        <f>'Imp Refined NYC'!AI106</f>
        <v>1746791.1690470844</v>
      </c>
      <c r="AD209" s="187">
        <f>'Imp Refined NYC'!AJ106</f>
        <v>0</v>
      </c>
      <c r="AE209" s="187">
        <f>'Imp Refined NYC'!AK106</f>
        <v>0</v>
      </c>
      <c r="AF209" s="187">
        <f>'Imp Refined NYC'!AL106</f>
        <v>0</v>
      </c>
      <c r="AG209" s="197"/>
      <c r="AH209" s="197"/>
      <c r="BC209" s="147"/>
      <c r="BD209" s="147"/>
      <c r="BE209" s="147"/>
      <c r="BF209" s="147"/>
      <c r="BG209" s="147"/>
    </row>
    <row r="210" spans="2:59">
      <c r="B210" s="158" t="s">
        <v>251</v>
      </c>
      <c r="C210" s="158" t="str">
        <f>'Imp Refined NYC'!E107</f>
        <v>IMPJTFP22</v>
      </c>
      <c r="D210" s="158" t="str">
        <f>'Imp Refined NYC'!F107</f>
        <v>Imported Jet Fuel, PADD 2, Step 2</v>
      </c>
      <c r="E210" s="197" t="str">
        <f>'Imp Refined NYC'!G107</f>
        <v>JTFP2</v>
      </c>
      <c r="F210" s="197"/>
      <c r="G210" s="187"/>
      <c r="H210" s="197"/>
      <c r="I210" s="197">
        <v>1.0049999999999999</v>
      </c>
      <c r="J210" s="197">
        <v>1.0049999999999999</v>
      </c>
      <c r="K210" s="195">
        <v>0</v>
      </c>
      <c r="L210" s="195">
        <v>0</v>
      </c>
      <c r="M210" s="195">
        <v>0</v>
      </c>
      <c r="N210" s="195">
        <v>0</v>
      </c>
      <c r="O210" s="195">
        <v>0</v>
      </c>
      <c r="P210" s="195">
        <v>0</v>
      </c>
      <c r="Q210" s="195">
        <v>0</v>
      </c>
      <c r="R210" s="195">
        <v>0</v>
      </c>
      <c r="S210" s="195">
        <v>0</v>
      </c>
      <c r="T210" s="195">
        <v>0</v>
      </c>
      <c r="U210" s="187"/>
      <c r="V210" s="187">
        <f>'Imp Refined NYC'!AF107</f>
        <v>218348.896130885</v>
      </c>
      <c r="W210" s="187">
        <f>'Imp Refined NYC'!AG107</f>
        <v>218348.896130885</v>
      </c>
      <c r="X210" s="187">
        <f>'Imp Refined NYC'!AH107</f>
        <v>218348.896130885</v>
      </c>
      <c r="Y210" s="187">
        <f>'Imp Refined NYC'!AI107</f>
        <v>218348.896130885</v>
      </c>
      <c r="Z210" s="187">
        <f>'Imp Refined NYC'!AF107</f>
        <v>218348.896130885</v>
      </c>
      <c r="AA210" s="187">
        <f>'Imp Refined NYC'!AG107</f>
        <v>218348.896130885</v>
      </c>
      <c r="AB210" s="187">
        <f>'Imp Refined NYC'!AH107</f>
        <v>218348.896130885</v>
      </c>
      <c r="AC210" s="187">
        <f>'Imp Refined NYC'!AI107</f>
        <v>218348.896130885</v>
      </c>
      <c r="AD210" s="187">
        <f>'Imp Refined NYC'!AJ107</f>
        <v>0</v>
      </c>
      <c r="AE210" s="187">
        <f>'Imp Refined NYC'!AK107</f>
        <v>0</v>
      </c>
      <c r="AF210" s="187">
        <f>'Imp Refined NYC'!AL107</f>
        <v>0</v>
      </c>
      <c r="AG210" s="197"/>
      <c r="AH210" s="197"/>
      <c r="BC210" s="147"/>
      <c r="BD210" s="147"/>
      <c r="BE210" s="147"/>
      <c r="BF210" s="147"/>
      <c r="BG210" s="147"/>
    </row>
    <row r="211" spans="2:59">
      <c r="B211" s="158" t="s">
        <v>251</v>
      </c>
      <c r="C211" s="158" t="str">
        <f>'Imp Refined NYC'!E108</f>
        <v>IMPJTFP24</v>
      </c>
      <c r="D211" s="158" t="str">
        <f>'Imp Refined NYC'!F108</f>
        <v>Imported Jet Fuel, PADD 2, Step 4</v>
      </c>
      <c r="E211" s="197" t="str">
        <f>'Imp Refined NYC'!G108</f>
        <v>JTFP2</v>
      </c>
      <c r="F211" s="197"/>
      <c r="G211" s="187"/>
      <c r="H211" s="197"/>
      <c r="I211" s="197">
        <v>1.0049999999999999</v>
      </c>
      <c r="J211" s="197">
        <v>1.0049999999999999</v>
      </c>
      <c r="K211" s="195">
        <v>0</v>
      </c>
      <c r="L211" s="195">
        <v>0</v>
      </c>
      <c r="M211" s="195">
        <v>0</v>
      </c>
      <c r="N211" s="195">
        <v>0</v>
      </c>
      <c r="O211" s="195">
        <v>0</v>
      </c>
      <c r="P211" s="195">
        <v>0</v>
      </c>
      <c r="Q211" s="195">
        <v>0</v>
      </c>
      <c r="R211" s="195">
        <v>0</v>
      </c>
      <c r="S211" s="195">
        <v>0</v>
      </c>
      <c r="T211" s="195">
        <v>0</v>
      </c>
      <c r="U211" s="187"/>
      <c r="V211" s="187">
        <f>'Imp Refined NYC'!AF108</f>
        <v>436697.79226177093</v>
      </c>
      <c r="W211" s="187">
        <f>'Imp Refined NYC'!AG108</f>
        <v>436697.79226177093</v>
      </c>
      <c r="X211" s="187">
        <f>'Imp Refined NYC'!AH108</f>
        <v>436697.79226177093</v>
      </c>
      <c r="Y211" s="187">
        <f>'Imp Refined NYC'!AI108</f>
        <v>436697.79226177093</v>
      </c>
      <c r="Z211" s="187">
        <f>'Imp Refined NYC'!AF108</f>
        <v>436697.79226177093</v>
      </c>
      <c r="AA211" s="187">
        <f>'Imp Refined NYC'!AG108</f>
        <v>436697.79226177093</v>
      </c>
      <c r="AB211" s="187">
        <f>'Imp Refined NYC'!AH108</f>
        <v>436697.79226177093</v>
      </c>
      <c r="AC211" s="187">
        <f>'Imp Refined NYC'!AI108</f>
        <v>436697.79226177093</v>
      </c>
      <c r="AD211" s="187">
        <f>'Imp Refined NYC'!AJ108</f>
        <v>0</v>
      </c>
      <c r="AE211" s="187">
        <f>'Imp Refined NYC'!AK108</f>
        <v>0</v>
      </c>
      <c r="AF211" s="187">
        <f>'Imp Refined NYC'!AL108</f>
        <v>0</v>
      </c>
      <c r="AG211" s="197"/>
      <c r="AH211" s="197"/>
      <c r="BC211" s="147"/>
      <c r="BD211" s="147"/>
      <c r="BE211" s="147"/>
      <c r="BF211" s="147"/>
      <c r="BG211" s="147"/>
    </row>
    <row r="212" spans="2:59">
      <c r="B212" s="158" t="s">
        <v>251</v>
      </c>
      <c r="C212" s="158" t="str">
        <f>'Imp Refined NYC'!E109</f>
        <v>IMPJTFP25</v>
      </c>
      <c r="D212" s="158" t="str">
        <f>'Imp Refined NYC'!F109</f>
        <v>Imported Jet Fuel, PADD 2, Step 5</v>
      </c>
      <c r="E212" s="197" t="str">
        <f>'Imp Refined NYC'!G109</f>
        <v>JTFP2</v>
      </c>
      <c r="F212" s="197"/>
      <c r="G212" s="187"/>
      <c r="H212" s="197"/>
      <c r="I212" s="197">
        <v>1.0049999999999999</v>
      </c>
      <c r="J212" s="197">
        <v>1.0049999999999999</v>
      </c>
      <c r="K212" s="195">
        <v>0</v>
      </c>
      <c r="L212" s="195">
        <v>0</v>
      </c>
      <c r="M212" s="195">
        <v>0</v>
      </c>
      <c r="N212" s="195">
        <v>0</v>
      </c>
      <c r="O212" s="195">
        <v>0</v>
      </c>
      <c r="P212" s="195">
        <v>0</v>
      </c>
      <c r="Q212" s="195">
        <v>0</v>
      </c>
      <c r="R212" s="195">
        <v>0</v>
      </c>
      <c r="S212" s="195">
        <v>0</v>
      </c>
      <c r="T212" s="195">
        <v>0</v>
      </c>
      <c r="U212" s="187"/>
      <c r="V212" s="187">
        <f>'Imp Refined NYC'!AF109</f>
        <v>1746791.1690470842</v>
      </c>
      <c r="W212" s="187">
        <f>'Imp Refined NYC'!AG109</f>
        <v>1746791.1690470842</v>
      </c>
      <c r="X212" s="187">
        <f>'Imp Refined NYC'!AH109</f>
        <v>1746791.1690470842</v>
      </c>
      <c r="Y212" s="187">
        <f>'Imp Refined NYC'!AI109</f>
        <v>1746791.1690470842</v>
      </c>
      <c r="Z212" s="187">
        <f>'Imp Refined NYC'!AF109</f>
        <v>1746791.1690470842</v>
      </c>
      <c r="AA212" s="187">
        <f>'Imp Refined NYC'!AG109</f>
        <v>1746791.1690470842</v>
      </c>
      <c r="AB212" s="187">
        <f>'Imp Refined NYC'!AH109</f>
        <v>1746791.1690470842</v>
      </c>
      <c r="AC212" s="187">
        <f>'Imp Refined NYC'!AI109</f>
        <v>1746791.1690470842</v>
      </c>
      <c r="AD212" s="187">
        <f>'Imp Refined NYC'!AJ109</f>
        <v>0</v>
      </c>
      <c r="AE212" s="187">
        <f>'Imp Refined NYC'!AK109</f>
        <v>0</v>
      </c>
      <c r="AF212" s="187">
        <f>'Imp Refined NYC'!AL109</f>
        <v>0</v>
      </c>
      <c r="AG212" s="197"/>
      <c r="AH212" s="197"/>
      <c r="BC212" s="147"/>
      <c r="BD212" s="147"/>
      <c r="BE212" s="147"/>
      <c r="BF212" s="147"/>
      <c r="BG212" s="147"/>
    </row>
    <row r="213" spans="2:59">
      <c r="B213" s="158" t="str">
        <f>Technologies!B$266</f>
        <v>R0,R1,R2,R3,R4,R5,R6</v>
      </c>
      <c r="C213" s="158" t="str">
        <f>'Imp Refined NYC'!E85</f>
        <v>IMPDSHP23</v>
      </c>
      <c r="D213" s="158" t="str">
        <f>'Imp Refined NYC'!F85</f>
        <v>Imported Distillate-Heating Oil No. 2, PADD 2, Step 3</v>
      </c>
      <c r="E213" s="197" t="str">
        <f>'Imp Refined NYC'!G85</f>
        <v>DSHP2</v>
      </c>
      <c r="F213" s="197"/>
      <c r="G213" s="187"/>
      <c r="H213" s="197"/>
      <c r="I213" s="197">
        <v>1.0049999999999999</v>
      </c>
      <c r="J213" s="197">
        <v>1.0049999999999999</v>
      </c>
      <c r="K213" s="195">
        <f>'Imp Refined NYC'!M85</f>
        <v>13.633784135539704</v>
      </c>
      <c r="L213" s="195" t="e">
        <f>'Imp Refined NYC'!N85</f>
        <v>#REF!</v>
      </c>
      <c r="M213" s="195" t="e">
        <f>'Imp Refined NYC'!O85</f>
        <v>#REF!</v>
      </c>
      <c r="N213" s="195" t="e">
        <f>'Imp Refined NYC'!P85</f>
        <v>#REF!</v>
      </c>
      <c r="O213" s="195" t="e">
        <f>'Imp Refined NYC'!Q85</f>
        <v>#REF!</v>
      </c>
      <c r="P213" s="195" t="e">
        <f>'Imp Refined NYC'!R85</f>
        <v>#REF!</v>
      </c>
      <c r="Q213" s="195" t="e">
        <f>'Imp Refined NYC'!S85</f>
        <v>#REF!</v>
      </c>
      <c r="R213" s="195" t="e">
        <f>'Imp Refined NYC'!T85</f>
        <v>#REF!</v>
      </c>
      <c r="S213" s="195" t="e">
        <f>'Imp Refined NYC'!U85</f>
        <v>#REF!</v>
      </c>
      <c r="T213" s="195" t="e">
        <f>'Imp Refined NYC'!V85</f>
        <v>#REF!</v>
      </c>
      <c r="U213" s="187"/>
      <c r="V213" s="187">
        <f>'Imp Refined NYC'!AF85</f>
        <v>224317.86948190606</v>
      </c>
      <c r="W213" s="187">
        <f>'Imp Refined NYC'!AG85</f>
        <v>224317.86948190606</v>
      </c>
      <c r="X213" s="187">
        <f>'Imp Refined NYC'!AH85</f>
        <v>224317.86948190606</v>
      </c>
      <c r="Y213" s="187">
        <f>'Imp Refined NYC'!AI85</f>
        <v>224317.86948190606</v>
      </c>
      <c r="Z213" s="187"/>
      <c r="AA213" s="187"/>
      <c r="AB213" s="187"/>
      <c r="AC213" s="187"/>
      <c r="AD213" s="187"/>
      <c r="AE213" s="187"/>
      <c r="AF213" s="195"/>
      <c r="AG213" s="197"/>
      <c r="AH213" s="197"/>
      <c r="BC213" s="147"/>
      <c r="BD213" s="147"/>
      <c r="BE213" s="147"/>
      <c r="BF213" s="147"/>
      <c r="BG213" s="147"/>
    </row>
    <row r="214" spans="2:59">
      <c r="B214" s="158" t="str">
        <f>Technologies!B$267</f>
        <v>R0,R1,R2,R3,R4,R5,R6</v>
      </c>
      <c r="C214" s="158" t="str">
        <f>'Imp Refined NYC'!E86</f>
        <v>IMPDSHP21</v>
      </c>
      <c r="D214" s="158" t="str">
        <f>'Imp Refined NYC'!F86</f>
        <v>Imported Distillate-Heating Oil No. 2, PADD 2, Step 1</v>
      </c>
      <c r="E214" s="197" t="str">
        <f>'Imp Refined NYC'!G86</f>
        <v>DSHP2</v>
      </c>
      <c r="F214" s="197"/>
      <c r="G214" s="187"/>
      <c r="H214" s="197"/>
      <c r="I214" s="197">
        <v>1.0049999999999999</v>
      </c>
      <c r="J214" s="197">
        <v>1.0049999999999999</v>
      </c>
      <c r="K214" s="195">
        <f>'Imp Refined NYC'!M86</f>
        <v>12.952094928762721</v>
      </c>
      <c r="L214" s="195" t="e">
        <f>'Imp Refined NYC'!N86</f>
        <v>#REF!</v>
      </c>
      <c r="M214" s="195" t="e">
        <f>'Imp Refined NYC'!O86</f>
        <v>#REF!</v>
      </c>
      <c r="N214" s="195" t="e">
        <f>'Imp Refined NYC'!P86</f>
        <v>#REF!</v>
      </c>
      <c r="O214" s="195" t="e">
        <f>'Imp Refined NYC'!Q86</f>
        <v>#REF!</v>
      </c>
      <c r="P214" s="195" t="e">
        <f>'Imp Refined NYC'!R86</f>
        <v>#REF!</v>
      </c>
      <c r="Q214" s="195" t="e">
        <f>'Imp Refined NYC'!S86</f>
        <v>#REF!</v>
      </c>
      <c r="R214" s="195" t="e">
        <f>'Imp Refined NYC'!T86</f>
        <v>#REF!</v>
      </c>
      <c r="S214" s="195" t="e">
        <f>'Imp Refined NYC'!U86</f>
        <v>#REF!</v>
      </c>
      <c r="T214" s="195" t="e">
        <f>'Imp Refined NYC'!V86</f>
        <v>#REF!</v>
      </c>
      <c r="U214" s="187"/>
      <c r="V214" s="187">
        <f>'Imp Refined NYC'!AF86</f>
        <v>1794542.9558552499</v>
      </c>
      <c r="W214" s="187">
        <f>'Imp Refined NYC'!AG86</f>
        <v>1794542.9558552499</v>
      </c>
      <c r="X214" s="187">
        <f>'Imp Refined NYC'!AH86</f>
        <v>1794542.9558552499</v>
      </c>
      <c r="Y214" s="187">
        <f>'Imp Refined NYC'!AI86</f>
        <v>1794542.9558552499</v>
      </c>
      <c r="Z214" s="187"/>
      <c r="AA214" s="187"/>
      <c r="AB214" s="187"/>
      <c r="AC214" s="187"/>
      <c r="AD214" s="187"/>
      <c r="AE214" s="187"/>
      <c r="AF214" s="195"/>
      <c r="AG214" s="197"/>
      <c r="AH214" s="197"/>
      <c r="BC214" s="147"/>
      <c r="BD214" s="147"/>
      <c r="BE214" s="147"/>
      <c r="BF214" s="147"/>
      <c r="BG214" s="147"/>
    </row>
    <row r="215" spans="2:59">
      <c r="B215" s="158" t="str">
        <f>Technologies!B$268</f>
        <v>R0,R1,R2,R3,R4,R5,R6</v>
      </c>
      <c r="C215" s="158" t="str">
        <f>'Imp Refined NYC'!E87</f>
        <v>IMPDSHP22</v>
      </c>
      <c r="D215" s="158" t="str">
        <f>'Imp Refined NYC'!F87</f>
        <v>Imported Distillate-Heating Oil No. 2, PADD 2, Step 2</v>
      </c>
      <c r="E215" s="197" t="str">
        <f>'Imp Refined NYC'!G87</f>
        <v>DSHP2</v>
      </c>
      <c r="F215" s="197"/>
      <c r="G215" s="187"/>
      <c r="H215" s="197"/>
      <c r="I215" s="197">
        <v>1.0049999999999999</v>
      </c>
      <c r="J215" s="197">
        <v>1.0049999999999999</v>
      </c>
      <c r="K215" s="195">
        <f>'Imp Refined NYC'!M87</f>
        <v>13.361108452828908</v>
      </c>
      <c r="L215" s="195" t="e">
        <f>'Imp Refined NYC'!N87</f>
        <v>#REF!</v>
      </c>
      <c r="M215" s="195" t="e">
        <f>'Imp Refined NYC'!O87</f>
        <v>#REF!</v>
      </c>
      <c r="N215" s="195" t="e">
        <f>'Imp Refined NYC'!P87</f>
        <v>#REF!</v>
      </c>
      <c r="O215" s="195" t="e">
        <f>'Imp Refined NYC'!Q87</f>
        <v>#REF!</v>
      </c>
      <c r="P215" s="195" t="e">
        <f>'Imp Refined NYC'!R87</f>
        <v>#REF!</v>
      </c>
      <c r="Q215" s="195" t="e">
        <f>'Imp Refined NYC'!S87</f>
        <v>#REF!</v>
      </c>
      <c r="R215" s="195" t="e">
        <f>'Imp Refined NYC'!T87</f>
        <v>#REF!</v>
      </c>
      <c r="S215" s="195" t="e">
        <f>'Imp Refined NYC'!U87</f>
        <v>#REF!</v>
      </c>
      <c r="T215" s="195" t="e">
        <f>'Imp Refined NYC'!V87</f>
        <v>#REF!</v>
      </c>
      <c r="U215" s="187"/>
      <c r="V215" s="187">
        <f>'Imp Refined NYC'!AF87</f>
        <v>224317.8694819056</v>
      </c>
      <c r="W215" s="187">
        <f>'Imp Refined NYC'!AG87</f>
        <v>224317.8694819056</v>
      </c>
      <c r="X215" s="187">
        <f>'Imp Refined NYC'!AH87</f>
        <v>224317.8694819056</v>
      </c>
      <c r="Y215" s="187">
        <f>'Imp Refined NYC'!AI87</f>
        <v>224317.8694819056</v>
      </c>
      <c r="Z215" s="187"/>
      <c r="AA215" s="187"/>
      <c r="AB215" s="187"/>
      <c r="AC215" s="187"/>
      <c r="AD215" s="187"/>
      <c r="AE215" s="187"/>
      <c r="AF215" s="195"/>
      <c r="AG215" s="197"/>
      <c r="AH215" s="197"/>
      <c r="BC215" s="147"/>
      <c r="BD215" s="147"/>
      <c r="BE215" s="147"/>
      <c r="BF215" s="147"/>
      <c r="BG215" s="147"/>
    </row>
    <row r="216" spans="2:59">
      <c r="B216" s="158" t="str">
        <f>Technologies!B$269</f>
        <v>R0,R1,R2,R3,R4,R5,R6</v>
      </c>
      <c r="C216" s="158" t="str">
        <f>'Imp Refined NYC'!E88</f>
        <v>IMPDSHP24</v>
      </c>
      <c r="D216" s="158" t="str">
        <f>'Imp Refined NYC'!F88</f>
        <v>Imported Distillate-Heating Oil No. 2, PADD 2, Step 4</v>
      </c>
      <c r="E216" s="197" t="str">
        <f>'Imp Refined NYC'!G88</f>
        <v>DSHP2</v>
      </c>
      <c r="F216" s="197"/>
      <c r="G216" s="187"/>
      <c r="H216" s="197"/>
      <c r="I216" s="197">
        <v>1.0049999999999999</v>
      </c>
      <c r="J216" s="197">
        <v>1.0049999999999999</v>
      </c>
      <c r="K216" s="195">
        <f>'Imp Refined NYC'!M88</f>
        <v>14.860824707738278</v>
      </c>
      <c r="L216" s="195" t="e">
        <f>'Imp Refined NYC'!N88</f>
        <v>#REF!</v>
      </c>
      <c r="M216" s="195" t="e">
        <f>'Imp Refined NYC'!O88</f>
        <v>#REF!</v>
      </c>
      <c r="N216" s="195" t="e">
        <f>'Imp Refined NYC'!P88</f>
        <v>#REF!</v>
      </c>
      <c r="O216" s="195" t="e">
        <f>'Imp Refined NYC'!Q88</f>
        <v>#REF!</v>
      </c>
      <c r="P216" s="195" t="e">
        <f>'Imp Refined NYC'!R88</f>
        <v>#REF!</v>
      </c>
      <c r="Q216" s="195" t="e">
        <f>'Imp Refined NYC'!S88</f>
        <v>#REF!</v>
      </c>
      <c r="R216" s="195" t="e">
        <f>'Imp Refined NYC'!T88</f>
        <v>#REF!</v>
      </c>
      <c r="S216" s="195" t="e">
        <f>'Imp Refined NYC'!U88</f>
        <v>#REF!</v>
      </c>
      <c r="T216" s="195" t="e">
        <f>'Imp Refined NYC'!V88</f>
        <v>#REF!</v>
      </c>
      <c r="U216" s="187"/>
      <c r="V216" s="187">
        <f>'Imp Refined NYC'!AF88</f>
        <v>448635.73896381306</v>
      </c>
      <c r="W216" s="187">
        <f>'Imp Refined NYC'!AG88</f>
        <v>448635.73896381306</v>
      </c>
      <c r="X216" s="187">
        <f>'Imp Refined NYC'!AH88</f>
        <v>448635.73896381306</v>
      </c>
      <c r="Y216" s="187">
        <f>'Imp Refined NYC'!AI88</f>
        <v>448635.73896381306</v>
      </c>
      <c r="Z216" s="187"/>
      <c r="AA216" s="187"/>
      <c r="AB216" s="187"/>
      <c r="AC216" s="187"/>
      <c r="AD216" s="187"/>
      <c r="AE216" s="187"/>
      <c r="AF216" s="195"/>
      <c r="AG216" s="197"/>
      <c r="AH216" s="197"/>
      <c r="BC216" s="147"/>
      <c r="BD216" s="147"/>
      <c r="BE216" s="147"/>
      <c r="BF216" s="147"/>
      <c r="BG216" s="147"/>
    </row>
    <row r="217" spans="2:59">
      <c r="B217" s="158" t="str">
        <f>Technologies!B$270</f>
        <v>R0,R1,R2,R3,R4,R5,R6</v>
      </c>
      <c r="C217" s="158" t="str">
        <f>'Imp Refined NYC'!E89</f>
        <v>IMPDSHP25</v>
      </c>
      <c r="D217" s="158" t="str">
        <f>'Imp Refined NYC'!F89</f>
        <v>Imported Distillate-Heating Oil No. 2, PADD 2, Step 5</v>
      </c>
      <c r="E217" s="197" t="str">
        <f>'Imp Refined NYC'!G89</f>
        <v>DSHP2</v>
      </c>
      <c r="F217" s="197"/>
      <c r="G217" s="187"/>
      <c r="H217" s="197"/>
      <c r="I217" s="197">
        <v>1.0049999999999999</v>
      </c>
      <c r="J217" s="197">
        <v>1.0049999999999999</v>
      </c>
      <c r="K217" s="195">
        <f>'Imp Refined NYC'!M89</f>
        <v>17.723919376201614</v>
      </c>
      <c r="L217" s="195" t="e">
        <f>'Imp Refined NYC'!N89</f>
        <v>#REF!</v>
      </c>
      <c r="M217" s="195" t="e">
        <f>'Imp Refined NYC'!O89</f>
        <v>#REF!</v>
      </c>
      <c r="N217" s="195" t="e">
        <f>'Imp Refined NYC'!P89</f>
        <v>#REF!</v>
      </c>
      <c r="O217" s="195" t="e">
        <f>'Imp Refined NYC'!Q89</f>
        <v>#REF!</v>
      </c>
      <c r="P217" s="195" t="e">
        <f>'Imp Refined NYC'!R89</f>
        <v>#REF!</v>
      </c>
      <c r="Q217" s="195" t="e">
        <f>'Imp Refined NYC'!S89</f>
        <v>#REF!</v>
      </c>
      <c r="R217" s="195" t="e">
        <f>'Imp Refined NYC'!T89</f>
        <v>#REF!</v>
      </c>
      <c r="S217" s="195" t="e">
        <f>'Imp Refined NYC'!U89</f>
        <v>#REF!</v>
      </c>
      <c r="T217" s="195" t="e">
        <f>'Imp Refined NYC'!V89</f>
        <v>#REF!</v>
      </c>
      <c r="U217" s="187"/>
      <c r="V217" s="187">
        <f>'Imp Refined NYC'!AF89</f>
        <v>1794542.9558552485</v>
      </c>
      <c r="W217" s="187">
        <f>'Imp Refined NYC'!AG89</f>
        <v>1794542.9558552485</v>
      </c>
      <c r="X217" s="187">
        <f>'Imp Refined NYC'!AH89</f>
        <v>1794542.9558552485</v>
      </c>
      <c r="Y217" s="187">
        <f>'Imp Refined NYC'!AI89</f>
        <v>1794542.9558552485</v>
      </c>
      <c r="Z217" s="187"/>
      <c r="AA217" s="187"/>
      <c r="AB217" s="187"/>
      <c r="AC217" s="187"/>
      <c r="AD217" s="187"/>
      <c r="AE217" s="187"/>
      <c r="AF217" s="195"/>
      <c r="AG217" s="197"/>
      <c r="AH217" s="197"/>
      <c r="BC217" s="147"/>
      <c r="BD217" s="147"/>
      <c r="BE217" s="147"/>
      <c r="BF217" s="147"/>
      <c r="BG217" s="147"/>
    </row>
    <row r="218" spans="2:59">
      <c r="B218" s="158" t="s">
        <v>251</v>
      </c>
      <c r="C218" s="158" t="str">
        <f>'Imp Refined NYC'!E167</f>
        <v>IMPJTFP33</v>
      </c>
      <c r="D218" s="158" t="str">
        <f>'Imp Refined NYC'!F167</f>
        <v>Imported Jet Fuel, PADD 3, Step 3</v>
      </c>
      <c r="E218" s="197" t="str">
        <f>'Imp Refined NYC'!G167</f>
        <v>JTFP3</v>
      </c>
      <c r="F218" s="197"/>
      <c r="G218" s="187"/>
      <c r="H218" s="197"/>
      <c r="I218" s="197">
        <v>1.0049999999999999</v>
      </c>
      <c r="J218" s="197">
        <v>1.0049999999999999</v>
      </c>
      <c r="K218" s="195">
        <f>'Imp Refined NYC'!M167</f>
        <v>10.922465530089204</v>
      </c>
      <c r="L218" s="195" t="e">
        <f>'Imp Refined NYC'!N167</f>
        <v>#REF!</v>
      </c>
      <c r="M218" s="195" t="e">
        <f>'Imp Refined NYC'!O167</f>
        <v>#REF!</v>
      </c>
      <c r="N218" s="195" t="e">
        <f>'Imp Refined NYC'!P167</f>
        <v>#REF!</v>
      </c>
      <c r="O218" s="195" t="e">
        <f>'Imp Refined NYC'!Q167</f>
        <v>#REF!</v>
      </c>
      <c r="P218" s="195" t="e">
        <f>'Imp Refined NYC'!R167</f>
        <v>#REF!</v>
      </c>
      <c r="Q218" s="195" t="e">
        <f>'Imp Refined NYC'!S167</f>
        <v>#REF!</v>
      </c>
      <c r="R218" s="195" t="e">
        <f>'Imp Refined NYC'!T167</f>
        <v>#REF!</v>
      </c>
      <c r="S218" s="195" t="e">
        <f>'Imp Refined NYC'!U167</f>
        <v>#REF!</v>
      </c>
      <c r="T218" s="195" t="e">
        <f>'Imp Refined NYC'!V167</f>
        <v>#REF!</v>
      </c>
      <c r="U218" s="187"/>
      <c r="V218" s="187">
        <f>'Imp Refined NYC'!AF167</f>
        <v>218348.8961308857</v>
      </c>
      <c r="W218" s="187">
        <f>'Imp Refined NYC'!AG167</f>
        <v>218348.8961308857</v>
      </c>
      <c r="X218" s="187">
        <f>'Imp Refined NYC'!AH167</f>
        <v>218348.8961308857</v>
      </c>
      <c r="Y218" s="187">
        <f>'Imp Refined NYC'!AI167</f>
        <v>218348.8961308857</v>
      </c>
      <c r="Z218" s="187"/>
      <c r="AA218" s="187"/>
      <c r="AB218" s="187"/>
      <c r="AC218" s="187"/>
      <c r="AD218" s="187"/>
      <c r="AE218" s="187"/>
      <c r="AF218" s="195"/>
      <c r="AG218" s="197"/>
      <c r="AH218" s="197"/>
      <c r="BC218" s="147"/>
      <c r="BD218" s="147"/>
      <c r="BE218" s="147"/>
      <c r="BF218" s="147"/>
      <c r="BG218" s="147"/>
    </row>
    <row r="219" spans="2:59">
      <c r="B219" s="158" t="s">
        <v>251</v>
      </c>
      <c r="C219" s="158" t="str">
        <f>'Imp Refined NYC'!E168</f>
        <v>IMPJTFP31</v>
      </c>
      <c r="D219" s="158" t="str">
        <f>'Imp Refined NYC'!F168</f>
        <v>Imported Jet Fuel, PADD 3, Step 1</v>
      </c>
      <c r="E219" s="197" t="str">
        <f>'Imp Refined NYC'!G168</f>
        <v>JTFP3</v>
      </c>
      <c r="F219" s="197"/>
      <c r="G219" s="187"/>
      <c r="H219" s="197"/>
      <c r="I219" s="197">
        <v>1.0049999999999999</v>
      </c>
      <c r="J219" s="197">
        <v>1.0049999999999999</v>
      </c>
      <c r="K219" s="195">
        <f>'Imp Refined NYC'!M168</f>
        <v>10.376342253584745</v>
      </c>
      <c r="L219" s="195" t="e">
        <f>'Imp Refined NYC'!N168</f>
        <v>#REF!</v>
      </c>
      <c r="M219" s="195" t="e">
        <f>'Imp Refined NYC'!O168</f>
        <v>#REF!</v>
      </c>
      <c r="N219" s="195" t="e">
        <f>'Imp Refined NYC'!P168</f>
        <v>#REF!</v>
      </c>
      <c r="O219" s="195" t="e">
        <f>'Imp Refined NYC'!Q168</f>
        <v>#REF!</v>
      </c>
      <c r="P219" s="195" t="e">
        <f>'Imp Refined NYC'!R168</f>
        <v>#REF!</v>
      </c>
      <c r="Q219" s="195" t="e">
        <f>'Imp Refined NYC'!S168</f>
        <v>#REF!</v>
      </c>
      <c r="R219" s="195" t="e">
        <f>'Imp Refined NYC'!T168</f>
        <v>#REF!</v>
      </c>
      <c r="S219" s="195" t="e">
        <f>'Imp Refined NYC'!U168</f>
        <v>#REF!</v>
      </c>
      <c r="T219" s="195" t="e">
        <f>'Imp Refined NYC'!V168</f>
        <v>#REF!</v>
      </c>
      <c r="U219" s="187"/>
      <c r="V219" s="187">
        <f>'Imp Refined NYC'!AF168</f>
        <v>1746791.1690470844</v>
      </c>
      <c r="W219" s="187">
        <f>'Imp Refined NYC'!AG168</f>
        <v>1746791.1690470844</v>
      </c>
      <c r="X219" s="187">
        <f>'Imp Refined NYC'!AH168</f>
        <v>1746791.1690470844</v>
      </c>
      <c r="Y219" s="187">
        <f>'Imp Refined NYC'!AI168</f>
        <v>1746791.1690470844</v>
      </c>
      <c r="Z219" s="187"/>
      <c r="AA219" s="187"/>
      <c r="AB219" s="187"/>
      <c r="AC219" s="187"/>
      <c r="AD219" s="187"/>
      <c r="AE219" s="187"/>
      <c r="AF219" s="195"/>
      <c r="AG219" s="197"/>
      <c r="AH219" s="197"/>
      <c r="BC219" s="147"/>
      <c r="BD219" s="147"/>
      <c r="BE219" s="147"/>
      <c r="BF219" s="147"/>
      <c r="BG219" s="147"/>
    </row>
    <row r="220" spans="2:59">
      <c r="B220" s="158" t="s">
        <v>251</v>
      </c>
      <c r="C220" s="158" t="str">
        <f>'Imp Refined NYC'!E169</f>
        <v>IMPJTFP32</v>
      </c>
      <c r="D220" s="158" t="str">
        <f>'Imp Refined NYC'!F169</f>
        <v>Imported Jet Fuel, PADD 3, Step 2</v>
      </c>
      <c r="E220" s="197" t="str">
        <f>'Imp Refined NYC'!G169</f>
        <v>JTFP3</v>
      </c>
      <c r="F220" s="197"/>
      <c r="G220" s="187"/>
      <c r="H220" s="197"/>
      <c r="I220" s="197">
        <v>1.0049999999999999</v>
      </c>
      <c r="J220" s="197">
        <v>1.0049999999999999</v>
      </c>
      <c r="K220" s="195">
        <f>'Imp Refined NYC'!M169</f>
        <v>10.704016219487421</v>
      </c>
      <c r="L220" s="195" t="e">
        <f>'Imp Refined NYC'!N169</f>
        <v>#REF!</v>
      </c>
      <c r="M220" s="195" t="e">
        <f>'Imp Refined NYC'!O169</f>
        <v>#REF!</v>
      </c>
      <c r="N220" s="195" t="e">
        <f>'Imp Refined NYC'!P169</f>
        <v>#REF!</v>
      </c>
      <c r="O220" s="195" t="e">
        <f>'Imp Refined NYC'!Q169</f>
        <v>#REF!</v>
      </c>
      <c r="P220" s="195" t="e">
        <f>'Imp Refined NYC'!R169</f>
        <v>#REF!</v>
      </c>
      <c r="Q220" s="195" t="e">
        <f>'Imp Refined NYC'!S169</f>
        <v>#REF!</v>
      </c>
      <c r="R220" s="195" t="e">
        <f>'Imp Refined NYC'!T169</f>
        <v>#REF!</v>
      </c>
      <c r="S220" s="195" t="e">
        <f>'Imp Refined NYC'!U169</f>
        <v>#REF!</v>
      </c>
      <c r="T220" s="195" t="e">
        <f>'Imp Refined NYC'!V169</f>
        <v>#REF!</v>
      </c>
      <c r="U220" s="187"/>
      <c r="V220" s="187">
        <f>'Imp Refined NYC'!AF169</f>
        <v>218348.896130885</v>
      </c>
      <c r="W220" s="187">
        <f>'Imp Refined NYC'!AG169</f>
        <v>218348.896130885</v>
      </c>
      <c r="X220" s="187">
        <f>'Imp Refined NYC'!AH169</f>
        <v>218348.896130885</v>
      </c>
      <c r="Y220" s="187">
        <f>'Imp Refined NYC'!AI169</f>
        <v>218348.896130885</v>
      </c>
      <c r="Z220" s="187"/>
      <c r="AA220" s="187"/>
      <c r="AB220" s="187"/>
      <c r="AC220" s="187"/>
      <c r="AD220" s="187"/>
      <c r="AE220" s="187"/>
      <c r="AF220" s="195"/>
      <c r="AG220" s="197"/>
      <c r="AH220" s="197"/>
      <c r="BC220" s="147"/>
      <c r="BD220" s="147"/>
      <c r="BE220" s="147"/>
      <c r="BF220" s="147"/>
      <c r="BG220" s="147"/>
    </row>
    <row r="221" spans="2:59">
      <c r="B221" s="158" t="s">
        <v>251</v>
      </c>
      <c r="C221" s="158" t="str">
        <f>'Imp Refined NYC'!E170</f>
        <v>IMPJTFP34</v>
      </c>
      <c r="D221" s="158" t="str">
        <f>'Imp Refined NYC'!F170</f>
        <v>Imported Jet Fuel, PADD 3, Step 4</v>
      </c>
      <c r="E221" s="197" t="str">
        <f>'Imp Refined NYC'!G170</f>
        <v>JTFP3</v>
      </c>
      <c r="F221" s="197"/>
      <c r="G221" s="187"/>
      <c r="H221" s="197"/>
      <c r="I221" s="197">
        <v>1.0049999999999999</v>
      </c>
      <c r="J221" s="197">
        <v>1.0049999999999999</v>
      </c>
      <c r="K221" s="195">
        <f>'Imp Refined NYC'!M170</f>
        <v>11.905487427797235</v>
      </c>
      <c r="L221" s="195" t="e">
        <f>'Imp Refined NYC'!N170</f>
        <v>#REF!</v>
      </c>
      <c r="M221" s="195" t="e">
        <f>'Imp Refined NYC'!O170</f>
        <v>#REF!</v>
      </c>
      <c r="N221" s="195" t="e">
        <f>'Imp Refined NYC'!P170</f>
        <v>#REF!</v>
      </c>
      <c r="O221" s="195" t="e">
        <f>'Imp Refined NYC'!Q170</f>
        <v>#REF!</v>
      </c>
      <c r="P221" s="195" t="e">
        <f>'Imp Refined NYC'!R170</f>
        <v>#REF!</v>
      </c>
      <c r="Q221" s="195" t="e">
        <f>'Imp Refined NYC'!S170</f>
        <v>#REF!</v>
      </c>
      <c r="R221" s="195" t="e">
        <f>'Imp Refined NYC'!T170</f>
        <v>#REF!</v>
      </c>
      <c r="S221" s="195" t="e">
        <f>'Imp Refined NYC'!U170</f>
        <v>#REF!</v>
      </c>
      <c r="T221" s="195" t="e">
        <f>'Imp Refined NYC'!V170</f>
        <v>#REF!</v>
      </c>
      <c r="U221" s="187"/>
      <c r="V221" s="187">
        <f>'Imp Refined NYC'!AF170</f>
        <v>436697.79226177093</v>
      </c>
      <c r="W221" s="187">
        <f>'Imp Refined NYC'!AG170</f>
        <v>436697.79226177093</v>
      </c>
      <c r="X221" s="187">
        <f>'Imp Refined NYC'!AH170</f>
        <v>436697.79226177093</v>
      </c>
      <c r="Y221" s="187">
        <f>'Imp Refined NYC'!AI170</f>
        <v>436697.79226177093</v>
      </c>
      <c r="Z221" s="187"/>
      <c r="AA221" s="187"/>
      <c r="AB221" s="187"/>
      <c r="AC221" s="187"/>
      <c r="AD221" s="187"/>
      <c r="AE221" s="187"/>
      <c r="AF221" s="195"/>
      <c r="AG221" s="197"/>
      <c r="AH221" s="197"/>
      <c r="BC221" s="147"/>
      <c r="BD221" s="147"/>
      <c r="BE221" s="147"/>
      <c r="BF221" s="147"/>
      <c r="BG221" s="147"/>
    </row>
    <row r="222" spans="2:59">
      <c r="B222" s="158" t="s">
        <v>251</v>
      </c>
      <c r="C222" s="158" t="str">
        <f>'Imp Refined NYC'!E171</f>
        <v>IMPJTFP35</v>
      </c>
      <c r="D222" s="158" t="str">
        <f>'Imp Refined NYC'!F171</f>
        <v>Imported Jet Fuel, PADD 3, Step 5</v>
      </c>
      <c r="E222" s="197" t="str">
        <f>'Imp Refined NYC'!G171</f>
        <v>JTFP3</v>
      </c>
      <c r="F222" s="197"/>
      <c r="G222" s="187"/>
      <c r="H222" s="197"/>
      <c r="I222" s="197">
        <v>1.0049999999999999</v>
      </c>
      <c r="J222" s="197">
        <v>1.0049999999999999</v>
      </c>
      <c r="K222" s="195">
        <f>'Imp Refined NYC'!M171</f>
        <v>14.199205189115967</v>
      </c>
      <c r="L222" s="195" t="e">
        <f>'Imp Refined NYC'!N171</f>
        <v>#REF!</v>
      </c>
      <c r="M222" s="195" t="e">
        <f>'Imp Refined NYC'!O171</f>
        <v>#REF!</v>
      </c>
      <c r="N222" s="195" t="e">
        <f>'Imp Refined NYC'!P171</f>
        <v>#REF!</v>
      </c>
      <c r="O222" s="195" t="e">
        <f>'Imp Refined NYC'!Q171</f>
        <v>#REF!</v>
      </c>
      <c r="P222" s="195" t="e">
        <f>'Imp Refined NYC'!R171</f>
        <v>#REF!</v>
      </c>
      <c r="Q222" s="195" t="e">
        <f>'Imp Refined NYC'!S171</f>
        <v>#REF!</v>
      </c>
      <c r="R222" s="195" t="e">
        <f>'Imp Refined NYC'!T171</f>
        <v>#REF!</v>
      </c>
      <c r="S222" s="195" t="e">
        <f>'Imp Refined NYC'!U171</f>
        <v>#REF!</v>
      </c>
      <c r="T222" s="195" t="e">
        <f>'Imp Refined NYC'!V171</f>
        <v>#REF!</v>
      </c>
      <c r="U222" s="187"/>
      <c r="V222" s="187">
        <f>'Imp Refined NYC'!AF171</f>
        <v>1746791.1690470842</v>
      </c>
      <c r="W222" s="187">
        <f>'Imp Refined NYC'!AG171</f>
        <v>1746791.1690470842</v>
      </c>
      <c r="X222" s="187">
        <f>'Imp Refined NYC'!AH171</f>
        <v>1746791.1690470842</v>
      </c>
      <c r="Y222" s="187">
        <f>'Imp Refined NYC'!AI171</f>
        <v>1746791.1690470842</v>
      </c>
      <c r="Z222" s="187"/>
      <c r="AA222" s="187"/>
      <c r="AB222" s="187"/>
      <c r="AC222" s="187"/>
      <c r="AD222" s="187"/>
      <c r="AE222" s="187"/>
      <c r="AF222" s="195"/>
      <c r="AG222" s="197"/>
      <c r="AH222" s="197"/>
      <c r="BC222" s="147"/>
      <c r="BD222" s="147"/>
      <c r="BE222" s="147"/>
      <c r="BF222" s="147"/>
      <c r="BG222" s="147"/>
    </row>
    <row r="223" spans="2:59">
      <c r="B223" s="158" t="str">
        <f>Technologies!B$328</f>
        <v>R0,R1,R2,R3,R4,R5,R6</v>
      </c>
      <c r="C223" s="158" t="str">
        <f>'Imp Refined NYC'!E147</f>
        <v>IMPDSHP33</v>
      </c>
      <c r="D223" s="158" t="str">
        <f>'Imp Refined NYC'!F147</f>
        <v>Imported Distillate-Heating Oil No. 2, PADD 3, Step 3</v>
      </c>
      <c r="E223" s="197" t="str">
        <f>'Imp Refined NYC'!G147</f>
        <v>DSHP3</v>
      </c>
      <c r="F223" s="197"/>
      <c r="G223" s="187"/>
      <c r="H223" s="197"/>
      <c r="I223" s="197">
        <v>1.0049999999999999</v>
      </c>
      <c r="J223" s="197">
        <v>1.0049999999999999</v>
      </c>
      <c r="K223" s="195">
        <f>'Imp Refined NYC'!M147</f>
        <v>13.367370545461673</v>
      </c>
      <c r="L223" s="195" t="e">
        <f>'Imp Refined NYC'!N147</f>
        <v>#REF!</v>
      </c>
      <c r="M223" s="195" t="e">
        <f>'Imp Refined NYC'!O147</f>
        <v>#REF!</v>
      </c>
      <c r="N223" s="195" t="e">
        <f>'Imp Refined NYC'!P147</f>
        <v>#REF!</v>
      </c>
      <c r="O223" s="195" t="e">
        <f>'Imp Refined NYC'!Q147</f>
        <v>#REF!</v>
      </c>
      <c r="P223" s="195" t="e">
        <f>'Imp Refined NYC'!R147</f>
        <v>#REF!</v>
      </c>
      <c r="Q223" s="195" t="e">
        <f>'Imp Refined NYC'!S147</f>
        <v>#REF!</v>
      </c>
      <c r="R223" s="195" t="e">
        <f>'Imp Refined NYC'!T147</f>
        <v>#REF!</v>
      </c>
      <c r="S223" s="195" t="e">
        <f>'Imp Refined NYC'!U147</f>
        <v>#REF!</v>
      </c>
      <c r="T223" s="195" t="e">
        <f>'Imp Refined NYC'!V147</f>
        <v>#REF!</v>
      </c>
      <c r="U223" s="187"/>
      <c r="V223" s="187">
        <f>'Imp Refined NYC'!AF147</f>
        <v>224317.86948190606</v>
      </c>
      <c r="W223" s="187">
        <f>'Imp Refined NYC'!AG147</f>
        <v>224317.86948190606</v>
      </c>
      <c r="X223" s="187">
        <f>'Imp Refined NYC'!AH147</f>
        <v>224317.86948190606</v>
      </c>
      <c r="Y223" s="187">
        <f>'Imp Refined NYC'!AI147</f>
        <v>224317.86948190606</v>
      </c>
      <c r="Z223" s="187"/>
      <c r="AA223" s="187"/>
      <c r="AB223" s="187"/>
      <c r="AC223" s="187"/>
      <c r="AD223" s="187"/>
      <c r="AE223" s="187"/>
      <c r="AF223" s="195"/>
      <c r="AG223" s="197"/>
      <c r="AH223" s="197"/>
      <c r="BC223" s="147"/>
      <c r="BD223" s="147"/>
      <c r="BE223" s="147"/>
      <c r="BF223" s="147"/>
      <c r="BG223" s="147"/>
    </row>
    <row r="224" spans="2:59">
      <c r="B224" s="158" t="str">
        <f>Technologies!B$329</f>
        <v>R0,R1,R2,R3,R4,R5,R6</v>
      </c>
      <c r="C224" s="158" t="str">
        <f>'Imp Refined NYC'!E148</f>
        <v>IMPDSHP31</v>
      </c>
      <c r="D224" s="158" t="str">
        <f>'Imp Refined NYC'!F148</f>
        <v>Imported Distillate-Heating Oil No. 2, PADD 3, Step 1</v>
      </c>
      <c r="E224" s="197" t="str">
        <f>'Imp Refined NYC'!G148</f>
        <v>DSHP3</v>
      </c>
      <c r="F224" s="197"/>
      <c r="G224" s="187"/>
      <c r="H224" s="197"/>
      <c r="I224" s="197">
        <v>1.0049999999999999</v>
      </c>
      <c r="J224" s="197">
        <v>1.0049999999999999</v>
      </c>
      <c r="K224" s="195">
        <f>'Imp Refined NYC'!M148</f>
        <v>12.699002018188589</v>
      </c>
      <c r="L224" s="195" t="e">
        <f>'Imp Refined NYC'!N148</f>
        <v>#REF!</v>
      </c>
      <c r="M224" s="195" t="e">
        <f>'Imp Refined NYC'!O148</f>
        <v>#REF!</v>
      </c>
      <c r="N224" s="195" t="e">
        <f>'Imp Refined NYC'!P148</f>
        <v>#REF!</v>
      </c>
      <c r="O224" s="195" t="e">
        <f>'Imp Refined NYC'!Q148</f>
        <v>#REF!</v>
      </c>
      <c r="P224" s="195" t="e">
        <f>'Imp Refined NYC'!R148</f>
        <v>#REF!</v>
      </c>
      <c r="Q224" s="195" t="e">
        <f>'Imp Refined NYC'!S148</f>
        <v>#REF!</v>
      </c>
      <c r="R224" s="195" t="e">
        <f>'Imp Refined NYC'!T148</f>
        <v>#REF!</v>
      </c>
      <c r="S224" s="195" t="e">
        <f>'Imp Refined NYC'!U148</f>
        <v>#REF!</v>
      </c>
      <c r="T224" s="195" t="e">
        <f>'Imp Refined NYC'!V148</f>
        <v>#REF!</v>
      </c>
      <c r="U224" s="187"/>
      <c r="V224" s="187">
        <f>'Imp Refined NYC'!AF148</f>
        <v>1794542.9558552499</v>
      </c>
      <c r="W224" s="187">
        <f>'Imp Refined NYC'!AG148</f>
        <v>1794542.9558552499</v>
      </c>
      <c r="X224" s="187">
        <f>'Imp Refined NYC'!AH148</f>
        <v>1794542.9558552499</v>
      </c>
      <c r="Y224" s="187">
        <f>'Imp Refined NYC'!AI148</f>
        <v>1794542.9558552499</v>
      </c>
      <c r="Z224" s="187"/>
      <c r="AA224" s="187"/>
      <c r="AB224" s="187"/>
      <c r="AC224" s="187"/>
      <c r="AD224" s="187"/>
      <c r="AE224" s="187"/>
      <c r="AF224" s="195"/>
      <c r="AG224" s="197"/>
      <c r="AH224" s="197"/>
      <c r="BC224" s="147"/>
      <c r="BD224" s="147"/>
      <c r="BE224" s="147"/>
      <c r="BF224" s="147"/>
      <c r="BG224" s="147"/>
    </row>
    <row r="225" spans="2:59">
      <c r="B225" s="158" t="str">
        <f>Technologies!B$330</f>
        <v>R0,R1,R2,R3,R4,R5,R6</v>
      </c>
      <c r="C225" s="158" t="str">
        <f>'Imp Refined NYC'!E149</f>
        <v>IMPDSHP32</v>
      </c>
      <c r="D225" s="158" t="str">
        <f>'Imp Refined NYC'!F149</f>
        <v>Imported Distillate-Heating Oil No. 2, PADD 3, Step 2</v>
      </c>
      <c r="E225" s="197" t="str">
        <f>'Imp Refined NYC'!G149</f>
        <v>DSHP3</v>
      </c>
      <c r="F225" s="197"/>
      <c r="G225" s="187"/>
      <c r="H225" s="197"/>
      <c r="I225" s="197">
        <v>1.0049999999999999</v>
      </c>
      <c r="J225" s="197">
        <v>1.0049999999999999</v>
      </c>
      <c r="K225" s="195">
        <f>'Imp Refined NYC'!M149</f>
        <v>13.100023134552437</v>
      </c>
      <c r="L225" s="195" t="e">
        <f>'Imp Refined NYC'!N149</f>
        <v>#REF!</v>
      </c>
      <c r="M225" s="195" t="e">
        <f>'Imp Refined NYC'!O149</f>
        <v>#REF!</v>
      </c>
      <c r="N225" s="195" t="e">
        <f>'Imp Refined NYC'!P149</f>
        <v>#REF!</v>
      </c>
      <c r="O225" s="195" t="e">
        <f>'Imp Refined NYC'!Q149</f>
        <v>#REF!</v>
      </c>
      <c r="P225" s="195" t="e">
        <f>'Imp Refined NYC'!R149</f>
        <v>#REF!</v>
      </c>
      <c r="Q225" s="195" t="e">
        <f>'Imp Refined NYC'!S149</f>
        <v>#REF!</v>
      </c>
      <c r="R225" s="195" t="e">
        <f>'Imp Refined NYC'!T149</f>
        <v>#REF!</v>
      </c>
      <c r="S225" s="195" t="e">
        <f>'Imp Refined NYC'!U149</f>
        <v>#REF!</v>
      </c>
      <c r="T225" s="195" t="e">
        <f>'Imp Refined NYC'!V149</f>
        <v>#REF!</v>
      </c>
      <c r="U225" s="187"/>
      <c r="V225" s="187">
        <f>'Imp Refined NYC'!AF149</f>
        <v>224317.8694819056</v>
      </c>
      <c r="W225" s="187">
        <f>'Imp Refined NYC'!AG149</f>
        <v>224317.8694819056</v>
      </c>
      <c r="X225" s="187">
        <f>'Imp Refined NYC'!AH149</f>
        <v>224317.8694819056</v>
      </c>
      <c r="Y225" s="187">
        <f>'Imp Refined NYC'!AI149</f>
        <v>224317.8694819056</v>
      </c>
      <c r="Z225" s="187"/>
      <c r="AA225" s="187"/>
      <c r="AB225" s="187"/>
      <c r="AC225" s="187"/>
      <c r="AD225" s="187"/>
      <c r="AE225" s="187"/>
      <c r="AF225" s="195"/>
      <c r="AG225" s="197"/>
      <c r="AH225" s="197"/>
      <c r="BC225" s="147"/>
      <c r="BD225" s="147"/>
      <c r="BE225" s="147"/>
      <c r="BF225" s="147"/>
      <c r="BG225" s="147"/>
    </row>
    <row r="226" spans="2:59">
      <c r="B226" s="158" t="str">
        <f>Technologies!B$331</f>
        <v>R0,R1,R2,R3,R4,R5,R6</v>
      </c>
      <c r="C226" s="158" t="str">
        <f>'Imp Refined NYC'!E150</f>
        <v>IMPDSHP34</v>
      </c>
      <c r="D226" s="158" t="str">
        <f>'Imp Refined NYC'!F150</f>
        <v>Imported Distillate-Heating Oil No. 2, PADD 3, Step 4</v>
      </c>
      <c r="E226" s="197" t="str">
        <f>'Imp Refined NYC'!G150</f>
        <v>DSHP3</v>
      </c>
      <c r="F226" s="197"/>
      <c r="G226" s="187"/>
      <c r="H226" s="197"/>
      <c r="I226" s="197">
        <v>1.0049999999999999</v>
      </c>
      <c r="J226" s="197">
        <v>1.0049999999999999</v>
      </c>
      <c r="K226" s="195">
        <f>'Imp Refined NYC'!M150</f>
        <v>14.570433894553224</v>
      </c>
      <c r="L226" s="195" t="e">
        <f>'Imp Refined NYC'!N150</f>
        <v>#REF!</v>
      </c>
      <c r="M226" s="195" t="e">
        <f>'Imp Refined NYC'!O150</f>
        <v>#REF!</v>
      </c>
      <c r="N226" s="195" t="e">
        <f>'Imp Refined NYC'!P150</f>
        <v>#REF!</v>
      </c>
      <c r="O226" s="195" t="e">
        <f>'Imp Refined NYC'!Q150</f>
        <v>#REF!</v>
      </c>
      <c r="P226" s="195" t="e">
        <f>'Imp Refined NYC'!R150</f>
        <v>#REF!</v>
      </c>
      <c r="Q226" s="195" t="e">
        <f>'Imp Refined NYC'!S150</f>
        <v>#REF!</v>
      </c>
      <c r="R226" s="195" t="e">
        <f>'Imp Refined NYC'!T150</f>
        <v>#REF!</v>
      </c>
      <c r="S226" s="195" t="e">
        <f>'Imp Refined NYC'!U150</f>
        <v>#REF!</v>
      </c>
      <c r="T226" s="195" t="e">
        <f>'Imp Refined NYC'!V150</f>
        <v>#REF!</v>
      </c>
      <c r="U226" s="187"/>
      <c r="V226" s="187">
        <f>'Imp Refined NYC'!AF150</f>
        <v>448635.73896381306</v>
      </c>
      <c r="W226" s="187">
        <f>'Imp Refined NYC'!AG150</f>
        <v>448635.73896381306</v>
      </c>
      <c r="X226" s="187">
        <f>'Imp Refined NYC'!AH150</f>
        <v>448635.73896381306</v>
      </c>
      <c r="Y226" s="187">
        <f>'Imp Refined NYC'!AI150</f>
        <v>448635.73896381306</v>
      </c>
      <c r="Z226" s="187"/>
      <c r="AA226" s="187"/>
      <c r="AB226" s="187"/>
      <c r="AC226" s="187"/>
      <c r="AD226" s="187"/>
      <c r="AE226" s="187"/>
      <c r="AF226" s="195"/>
      <c r="AG226" s="197"/>
      <c r="AH226" s="197"/>
      <c r="BC226" s="147"/>
      <c r="BD226" s="147"/>
      <c r="BE226" s="147"/>
      <c r="BF226" s="147"/>
      <c r="BG226" s="147"/>
    </row>
    <row r="227" spans="2:59">
      <c r="B227" s="158" t="str">
        <f>Technologies!B$332</f>
        <v>R0,R1,R2,R3,R4,R5,R6</v>
      </c>
      <c r="C227" s="158" t="str">
        <f>'Imp Refined NYC'!E151</f>
        <v>IMPDSHP35</v>
      </c>
      <c r="D227" s="158" t="str">
        <f>'Imp Refined NYC'!F151</f>
        <v>Imported Distillate-Heating Oil No. 2, PADD 3, Step 5</v>
      </c>
      <c r="E227" s="197" t="str">
        <f>'Imp Refined NYC'!G151</f>
        <v>DSHP3</v>
      </c>
      <c r="F227" s="197"/>
      <c r="G227" s="187"/>
      <c r="H227" s="197"/>
      <c r="I227" s="197">
        <v>1.0049999999999999</v>
      </c>
      <c r="J227" s="197">
        <v>1.0049999999999999</v>
      </c>
      <c r="K227" s="195">
        <f>'Imp Refined NYC'!M151</f>
        <v>17.377581709100177</v>
      </c>
      <c r="L227" s="195" t="e">
        <f>'Imp Refined NYC'!N151</f>
        <v>#REF!</v>
      </c>
      <c r="M227" s="195" t="e">
        <f>'Imp Refined NYC'!O151</f>
        <v>#REF!</v>
      </c>
      <c r="N227" s="195" t="e">
        <f>'Imp Refined NYC'!P151</f>
        <v>#REF!</v>
      </c>
      <c r="O227" s="195" t="e">
        <f>'Imp Refined NYC'!Q151</f>
        <v>#REF!</v>
      </c>
      <c r="P227" s="195" t="e">
        <f>'Imp Refined NYC'!R151</f>
        <v>#REF!</v>
      </c>
      <c r="Q227" s="195" t="e">
        <f>'Imp Refined NYC'!S151</f>
        <v>#REF!</v>
      </c>
      <c r="R227" s="195" t="e">
        <f>'Imp Refined NYC'!T151</f>
        <v>#REF!</v>
      </c>
      <c r="S227" s="195" t="e">
        <f>'Imp Refined NYC'!U151</f>
        <v>#REF!</v>
      </c>
      <c r="T227" s="195" t="e">
        <f>'Imp Refined NYC'!V151</f>
        <v>#REF!</v>
      </c>
      <c r="U227" s="187"/>
      <c r="V227" s="187">
        <f>'Imp Refined NYC'!AF151</f>
        <v>1794542.9558552485</v>
      </c>
      <c r="W227" s="187">
        <f>'Imp Refined NYC'!AG151</f>
        <v>1794542.9558552485</v>
      </c>
      <c r="X227" s="187">
        <f>'Imp Refined NYC'!AH151</f>
        <v>1794542.9558552485</v>
      </c>
      <c r="Y227" s="187">
        <f>'Imp Refined NYC'!AI151</f>
        <v>1794542.9558552485</v>
      </c>
      <c r="Z227" s="187"/>
      <c r="AA227" s="187"/>
      <c r="AB227" s="187"/>
      <c r="AC227" s="187"/>
      <c r="AD227" s="187"/>
      <c r="AE227" s="187"/>
      <c r="AF227" s="195"/>
      <c r="AG227" s="197"/>
      <c r="AH227" s="197"/>
      <c r="BC227" s="147"/>
      <c r="BD227" s="147"/>
      <c r="BE227" s="147"/>
      <c r="BF227" s="147"/>
      <c r="BG227" s="147"/>
    </row>
    <row r="228" spans="2:59">
      <c r="B228" s="146"/>
      <c r="C228" s="146"/>
      <c r="D228" s="146"/>
      <c r="E228" s="164"/>
      <c r="K228" s="244"/>
      <c r="L228" s="244"/>
      <c r="M228" s="244"/>
      <c r="N228" s="244"/>
      <c r="O228" s="244"/>
      <c r="P228" s="244"/>
      <c r="Q228" s="244"/>
      <c r="R228" s="244"/>
      <c r="S228" s="244"/>
      <c r="T228" s="244"/>
      <c r="AP228" s="147"/>
      <c r="AQ228" s="147"/>
      <c r="AR228" s="147"/>
      <c r="AS228" s="147"/>
      <c r="AT228" s="147"/>
      <c r="AU228" s="147"/>
      <c r="AV228" s="147"/>
      <c r="AW228" s="147"/>
      <c r="AX228" s="147"/>
      <c r="AY228" s="147"/>
      <c r="AZ228" s="147"/>
      <c r="BA228" s="147"/>
      <c r="BB228" s="147"/>
      <c r="BC228" s="147"/>
      <c r="BD228" s="147"/>
      <c r="BE228" s="147"/>
      <c r="BF228" s="147"/>
      <c r="BG228" s="147"/>
    </row>
    <row r="229" spans="2:59">
      <c r="B229" s="146"/>
      <c r="C229" s="146"/>
      <c r="D229" s="146"/>
      <c r="E229" s="164"/>
      <c r="K229" s="244"/>
      <c r="L229" s="244"/>
      <c r="M229" s="244"/>
      <c r="N229" s="244"/>
      <c r="O229" s="244"/>
      <c r="P229" s="244"/>
      <c r="Q229" s="244"/>
      <c r="R229" s="244"/>
      <c r="S229" s="244"/>
      <c r="T229" s="244"/>
      <c r="AP229" s="147"/>
      <c r="AQ229" s="147"/>
      <c r="AR229" s="147"/>
      <c r="AS229" s="147"/>
      <c r="AT229" s="147"/>
      <c r="AU229" s="147"/>
      <c r="AV229" s="147"/>
      <c r="AW229" s="147"/>
      <c r="AX229" s="147"/>
      <c r="AY229" s="147"/>
      <c r="AZ229" s="147"/>
      <c r="BA229" s="147"/>
      <c r="BB229" s="147"/>
      <c r="BC229" s="147"/>
      <c r="BD229" s="147"/>
      <c r="BE229" s="147"/>
      <c r="BF229" s="147"/>
      <c r="BG229" s="147"/>
    </row>
    <row r="230" spans="2:59">
      <c r="B230" s="146"/>
      <c r="C230" s="146"/>
      <c r="D230" s="146"/>
      <c r="E230" s="164"/>
      <c r="K230" s="244"/>
      <c r="L230" s="244"/>
      <c r="M230" s="244"/>
      <c r="N230" s="244"/>
      <c r="O230" s="244"/>
      <c r="P230" s="244"/>
      <c r="Q230" s="244"/>
      <c r="R230" s="244"/>
      <c r="S230" s="244"/>
      <c r="T230" s="244"/>
      <c r="AP230" s="147"/>
      <c r="AQ230" s="147"/>
      <c r="AR230" s="147"/>
      <c r="AS230" s="147"/>
      <c r="AT230" s="147"/>
      <c r="AU230" s="147"/>
      <c r="AV230" s="147"/>
      <c r="AW230" s="147"/>
      <c r="AX230" s="147"/>
      <c r="AY230" s="147"/>
      <c r="AZ230" s="147"/>
      <c r="BA230" s="147"/>
      <c r="BB230" s="147"/>
      <c r="BC230" s="147"/>
      <c r="BD230" s="147"/>
      <c r="BE230" s="147"/>
      <c r="BF230" s="147"/>
      <c r="BG230" s="147"/>
    </row>
    <row r="231" spans="2:59">
      <c r="B231" s="146"/>
      <c r="C231" s="146"/>
      <c r="D231" s="146"/>
      <c r="E231" s="164"/>
      <c r="K231" s="244"/>
      <c r="L231" s="244"/>
      <c r="M231" s="244"/>
      <c r="N231" s="244"/>
      <c r="O231" s="244"/>
      <c r="P231" s="244"/>
      <c r="Q231" s="244"/>
      <c r="R231" s="244"/>
      <c r="S231" s="244"/>
      <c r="T231" s="244"/>
      <c r="AP231" s="147"/>
      <c r="AQ231" s="147"/>
      <c r="AR231" s="147"/>
      <c r="AS231" s="147"/>
      <c r="AT231" s="147"/>
      <c r="AU231" s="147"/>
      <c r="AV231" s="147"/>
      <c r="AW231" s="147"/>
      <c r="AX231" s="147"/>
      <c r="AY231" s="147"/>
      <c r="AZ231" s="147"/>
      <c r="BA231" s="147"/>
      <c r="BB231" s="147"/>
      <c r="BC231" s="147"/>
      <c r="BD231" s="147"/>
      <c r="BE231" s="147"/>
      <c r="BF231" s="147"/>
      <c r="BG231" s="147"/>
    </row>
    <row r="232" spans="2:59">
      <c r="B232" s="146"/>
      <c r="C232" s="146"/>
      <c r="D232" s="146"/>
      <c r="E232" s="164"/>
      <c r="K232" s="244"/>
      <c r="L232" s="244"/>
      <c r="M232" s="244"/>
      <c r="N232" s="244"/>
      <c r="O232" s="244"/>
      <c r="P232" s="244"/>
      <c r="Q232" s="244"/>
      <c r="R232" s="244"/>
      <c r="S232" s="244"/>
      <c r="T232" s="244"/>
      <c r="AP232" s="147"/>
      <c r="AQ232" s="147"/>
      <c r="AR232" s="147"/>
      <c r="AS232" s="147"/>
      <c r="AT232" s="147"/>
      <c r="AU232" s="147"/>
      <c r="AV232" s="147"/>
      <c r="AW232" s="147"/>
      <c r="AX232" s="147"/>
      <c r="AY232" s="147"/>
      <c r="AZ232" s="147"/>
      <c r="BA232" s="147"/>
      <c r="BB232" s="147"/>
      <c r="BC232" s="147"/>
      <c r="BD232" s="147"/>
      <c r="BE232" s="147"/>
      <c r="BF232" s="147"/>
      <c r="BG232" s="147"/>
    </row>
    <row r="233" spans="2:59">
      <c r="B233" s="146"/>
      <c r="C233" s="146"/>
      <c r="D233" s="146"/>
      <c r="E233" s="164"/>
      <c r="K233" s="244"/>
      <c r="L233" s="244"/>
      <c r="M233" s="244"/>
      <c r="N233" s="244"/>
      <c r="O233" s="244"/>
      <c r="P233" s="244"/>
      <c r="Q233" s="244"/>
      <c r="R233" s="244"/>
      <c r="S233" s="244"/>
      <c r="T233" s="244"/>
      <c r="AP233" s="147"/>
      <c r="AQ233" s="147"/>
      <c r="AR233" s="147"/>
      <c r="AS233" s="147"/>
      <c r="AT233" s="147"/>
      <c r="AU233" s="147"/>
      <c r="AV233" s="147"/>
      <c r="AW233" s="147"/>
      <c r="AX233" s="147"/>
      <c r="AY233" s="147"/>
      <c r="AZ233" s="147"/>
      <c r="BA233" s="147"/>
      <c r="BB233" s="147"/>
      <c r="BC233" s="147"/>
      <c r="BD233" s="147"/>
      <c r="BE233" s="147"/>
      <c r="BF233" s="147"/>
      <c r="BG233" s="147"/>
    </row>
    <row r="234" spans="2:59">
      <c r="B234" s="146"/>
      <c r="C234" s="146"/>
      <c r="D234" s="146"/>
      <c r="E234" s="164"/>
      <c r="K234" s="244"/>
      <c r="L234" s="244"/>
      <c r="M234" s="244"/>
      <c r="N234" s="244"/>
      <c r="O234" s="244"/>
      <c r="P234" s="244"/>
      <c r="Q234" s="244"/>
      <c r="R234" s="244"/>
      <c r="S234" s="244"/>
      <c r="T234" s="244"/>
      <c r="AP234" s="147"/>
      <c r="AQ234" s="147"/>
      <c r="AR234" s="147"/>
      <c r="AS234" s="147"/>
      <c r="AT234" s="147"/>
      <c r="AU234" s="147"/>
      <c r="AV234" s="147"/>
      <c r="AW234" s="147"/>
      <c r="AX234" s="147"/>
      <c r="AY234" s="147"/>
      <c r="AZ234" s="147"/>
      <c r="BA234" s="147"/>
      <c r="BB234" s="147"/>
      <c r="BC234" s="147"/>
      <c r="BD234" s="147"/>
      <c r="BE234" s="147"/>
      <c r="BF234" s="147"/>
      <c r="BG234" s="147"/>
    </row>
    <row r="235" spans="2:59">
      <c r="B235" s="146"/>
      <c r="C235" s="146"/>
      <c r="D235" s="146"/>
      <c r="E235" s="164"/>
      <c r="K235" s="244"/>
      <c r="L235" s="244"/>
      <c r="M235" s="244"/>
      <c r="N235" s="244"/>
      <c r="O235" s="244"/>
      <c r="P235" s="244"/>
      <c r="Q235" s="244"/>
      <c r="R235" s="244"/>
      <c r="S235" s="244"/>
      <c r="T235" s="244"/>
      <c r="AP235" s="147"/>
      <c r="AQ235" s="147"/>
      <c r="AR235" s="147"/>
      <c r="AS235" s="147"/>
      <c r="AT235" s="147"/>
      <c r="AU235" s="147"/>
      <c r="AV235" s="147"/>
      <c r="AW235" s="147"/>
      <c r="AX235" s="147"/>
      <c r="AY235" s="147"/>
      <c r="AZ235" s="147"/>
      <c r="BA235" s="147"/>
      <c r="BB235" s="147"/>
      <c r="BC235" s="147"/>
      <c r="BD235" s="147"/>
      <c r="BE235" s="147"/>
      <c r="BF235" s="147"/>
      <c r="BG235" s="147"/>
    </row>
    <row r="236" spans="2:59">
      <c r="B236" s="146"/>
      <c r="C236" s="146"/>
      <c r="D236" s="146"/>
      <c r="E236" s="164"/>
      <c r="K236" s="244"/>
      <c r="L236" s="244"/>
      <c r="M236" s="244"/>
      <c r="N236" s="244"/>
      <c r="O236" s="244"/>
      <c r="P236" s="244"/>
      <c r="Q236" s="244"/>
      <c r="R236" s="244"/>
      <c r="S236" s="244"/>
      <c r="T236" s="244"/>
      <c r="AP236" s="147"/>
      <c r="AQ236" s="147"/>
      <c r="AR236" s="147"/>
      <c r="AS236" s="147"/>
      <c r="AT236" s="147"/>
      <c r="AU236" s="147"/>
      <c r="AV236" s="147"/>
      <c r="AW236" s="147"/>
      <c r="AX236" s="147"/>
      <c r="AY236" s="147"/>
      <c r="AZ236" s="147"/>
      <c r="BA236" s="147"/>
      <c r="BB236" s="147"/>
      <c r="BC236" s="147"/>
      <c r="BD236" s="147"/>
      <c r="BE236" s="147"/>
      <c r="BF236" s="147"/>
      <c r="BG236" s="147"/>
    </row>
    <row r="237" spans="2:59">
      <c r="B237" s="146"/>
      <c r="C237" s="146"/>
      <c r="D237" s="146"/>
      <c r="E237" s="164"/>
      <c r="K237" s="244"/>
      <c r="L237" s="244"/>
      <c r="M237" s="244"/>
      <c r="N237" s="244"/>
      <c r="O237" s="244"/>
      <c r="P237" s="244"/>
      <c r="Q237" s="244"/>
      <c r="R237" s="244"/>
      <c r="S237" s="244"/>
      <c r="T237" s="244"/>
      <c r="AP237" s="147"/>
      <c r="AQ237" s="147"/>
      <c r="AR237" s="147"/>
      <c r="AS237" s="147"/>
      <c r="AT237" s="147"/>
      <c r="AU237" s="147"/>
      <c r="AV237" s="147"/>
      <c r="AW237" s="147"/>
      <c r="AX237" s="147"/>
      <c r="AY237" s="147"/>
      <c r="AZ237" s="147"/>
      <c r="BA237" s="147"/>
      <c r="BB237" s="147"/>
      <c r="BC237" s="147"/>
      <c r="BD237" s="147"/>
      <c r="BE237" s="147"/>
      <c r="BF237" s="147"/>
      <c r="BG237" s="147"/>
    </row>
    <row r="238" spans="2:59">
      <c r="B238" s="146"/>
      <c r="C238" s="146"/>
      <c r="D238" s="146"/>
      <c r="E238" s="164"/>
      <c r="K238" s="244"/>
      <c r="L238" s="244"/>
      <c r="M238" s="244"/>
      <c r="N238" s="244"/>
      <c r="O238" s="244"/>
      <c r="P238" s="244"/>
      <c r="Q238" s="244"/>
      <c r="R238" s="244"/>
      <c r="S238" s="244"/>
      <c r="T238" s="244"/>
      <c r="AP238" s="147"/>
      <c r="AQ238" s="147"/>
      <c r="AR238" s="147"/>
      <c r="AS238" s="147"/>
      <c r="AT238" s="147"/>
      <c r="AU238" s="147"/>
      <c r="AV238" s="147"/>
      <c r="AW238" s="147"/>
      <c r="AX238" s="147"/>
      <c r="AY238" s="147"/>
      <c r="AZ238" s="147"/>
      <c r="BA238" s="147"/>
      <c r="BB238" s="147"/>
      <c r="BC238" s="147"/>
      <c r="BD238" s="147"/>
      <c r="BE238" s="147"/>
      <c r="BF238" s="147"/>
      <c r="BG238" s="147"/>
    </row>
    <row r="239" spans="2:59">
      <c r="B239" s="146"/>
      <c r="C239" s="146"/>
      <c r="D239" s="146"/>
      <c r="E239" s="164"/>
      <c r="K239" s="244"/>
      <c r="L239" s="244"/>
      <c r="M239" s="244"/>
      <c r="N239" s="244"/>
      <c r="O239" s="244"/>
      <c r="P239" s="244"/>
      <c r="Q239" s="244"/>
      <c r="R239" s="244"/>
      <c r="S239" s="244"/>
      <c r="T239" s="244"/>
      <c r="AP239" s="147"/>
      <c r="AQ239" s="147"/>
      <c r="AR239" s="147"/>
      <c r="AS239" s="147"/>
      <c r="AT239" s="147"/>
      <c r="AU239" s="147"/>
      <c r="AV239" s="147"/>
      <c r="AW239" s="147"/>
      <c r="AX239" s="147"/>
      <c r="AY239" s="147"/>
      <c r="AZ239" s="147"/>
      <c r="BA239" s="147"/>
      <c r="BB239" s="147"/>
      <c r="BC239" s="147"/>
      <c r="BD239" s="147"/>
      <c r="BE239" s="147"/>
      <c r="BF239" s="147"/>
      <c r="BG239" s="147"/>
    </row>
    <row r="240" spans="2:59">
      <c r="B240" s="146"/>
      <c r="C240" s="146"/>
      <c r="D240" s="146"/>
      <c r="E240" s="164"/>
      <c r="K240" s="244"/>
      <c r="L240" s="244"/>
      <c r="M240" s="244"/>
      <c r="N240" s="244"/>
      <c r="O240" s="244"/>
      <c r="P240" s="244"/>
      <c r="Q240" s="244"/>
      <c r="R240" s="244"/>
      <c r="S240" s="244"/>
      <c r="T240" s="244"/>
      <c r="AP240" s="147"/>
      <c r="AQ240" s="147"/>
      <c r="AR240" s="147"/>
      <c r="AS240" s="147"/>
      <c r="AT240" s="147"/>
      <c r="AU240" s="147"/>
      <c r="AV240" s="147"/>
      <c r="AW240" s="147"/>
      <c r="AX240" s="147"/>
      <c r="AY240" s="147"/>
      <c r="AZ240" s="147"/>
      <c r="BA240" s="147"/>
      <c r="BB240" s="147"/>
      <c r="BC240" s="147"/>
      <c r="BD240" s="147"/>
      <c r="BE240" s="147"/>
      <c r="BF240" s="147"/>
      <c r="BG240" s="147"/>
    </row>
    <row r="241" spans="2:59">
      <c r="B241" s="158" t="str">
        <f>Technologies!B$194</f>
        <v>R0,R1,R2,R3,R4,R5,R6</v>
      </c>
      <c r="C241" s="158" t="str">
        <f>'Imp Refined NYC'!E13</f>
        <v>IMPGSRP13</v>
      </c>
      <c r="D241" s="158" t="str">
        <f>'Imp Refined NYC'!F13</f>
        <v>Imported Reformulated Gasoline, PADD 1, Step 3</v>
      </c>
      <c r="E241" s="197" t="str">
        <f>'Imp Refined NYC'!G13</f>
        <v>GSRP1</v>
      </c>
      <c r="F241" s="197"/>
      <c r="G241" s="187"/>
      <c r="H241" s="197"/>
      <c r="I241" s="197">
        <v>1.0049999999999999</v>
      </c>
      <c r="J241" s="197">
        <v>1.0049999999999999</v>
      </c>
      <c r="K241" s="195">
        <v>0</v>
      </c>
      <c r="L241" s="195">
        <v>0</v>
      </c>
      <c r="M241" s="195">
        <v>0</v>
      </c>
      <c r="N241" s="195">
        <v>0</v>
      </c>
      <c r="O241" s="195">
        <v>0</v>
      </c>
      <c r="P241" s="195">
        <v>0</v>
      </c>
      <c r="Q241" s="195">
        <v>0</v>
      </c>
      <c r="R241" s="195">
        <v>0</v>
      </c>
      <c r="S241" s="195">
        <v>0</v>
      </c>
      <c r="T241" s="195">
        <v>0</v>
      </c>
      <c r="U241" s="187"/>
      <c r="V241" s="187">
        <f>'Imp Refined NYC'!AF13</f>
        <v>198323.95327584841</v>
      </c>
      <c r="W241" s="187">
        <f>'Imp Refined NYC'!AG13</f>
        <v>198323.95327584841</v>
      </c>
      <c r="X241" s="187">
        <f>'Imp Refined NYC'!AH13</f>
        <v>198323.95327584841</v>
      </c>
      <c r="Y241" s="187">
        <f>'Imp Refined NYC'!AI13</f>
        <v>198323.95327584841</v>
      </c>
      <c r="Z241" s="187">
        <f>'Imp Refined NYC'!AJ13</f>
        <v>0</v>
      </c>
      <c r="AA241" s="187">
        <f>'Imp Refined NYC'!AG13</f>
        <v>198323.95327584841</v>
      </c>
      <c r="AB241" s="187">
        <f>'Imp Refined NYC'!AH13</f>
        <v>198323.95327584841</v>
      </c>
      <c r="AC241" s="187">
        <f>'Imp Refined NYC'!AI13</f>
        <v>198323.95327584841</v>
      </c>
      <c r="AD241" s="187">
        <f>'Imp Refined NYC'!AJ13</f>
        <v>0</v>
      </c>
      <c r="AE241" s="187">
        <f>'Imp Refined NYC'!AK13</f>
        <v>0</v>
      </c>
      <c r="AF241" s="187">
        <f>'Imp Refined NYC'!AL13</f>
        <v>0</v>
      </c>
      <c r="AG241" s="197"/>
      <c r="AH241" s="197"/>
      <c r="AP241" s="147"/>
      <c r="AQ241" s="147"/>
      <c r="AR241" s="147"/>
      <c r="AS241" s="147"/>
      <c r="AT241" s="147"/>
      <c r="AU241" s="147"/>
      <c r="AV241" s="147"/>
      <c r="AW241" s="147"/>
      <c r="AX241" s="147"/>
      <c r="AY241" s="147"/>
      <c r="AZ241" s="147"/>
      <c r="BA241" s="147"/>
      <c r="BB241" s="147"/>
      <c r="BC241" s="147"/>
      <c r="BD241" s="147"/>
      <c r="BE241" s="147"/>
      <c r="BF241" s="147"/>
      <c r="BG241" s="147"/>
    </row>
    <row r="242" spans="2:59">
      <c r="B242" s="158" t="str">
        <f>Technologies!B$195</f>
        <v>R0,R1,R2,R3,R4,R5,R6</v>
      </c>
      <c r="C242" s="158" t="str">
        <f>'Imp Refined NYC'!E14</f>
        <v>IMPGSRP11</v>
      </c>
      <c r="D242" s="158" t="str">
        <f>'Imp Refined NYC'!F14</f>
        <v>Imported Reformulated Gasoline, PADD 1, Step 1</v>
      </c>
      <c r="E242" s="197" t="str">
        <f>'Imp Refined NYC'!G14</f>
        <v>GSRP1</v>
      </c>
      <c r="F242" s="197"/>
      <c r="G242" s="187"/>
      <c r="H242" s="197"/>
      <c r="I242" s="197">
        <v>1.0049999999999999</v>
      </c>
      <c r="J242" s="197">
        <v>1.0049999999999999</v>
      </c>
      <c r="K242" s="195">
        <v>0</v>
      </c>
      <c r="L242" s="195">
        <v>0</v>
      </c>
      <c r="M242" s="195">
        <v>0</v>
      </c>
      <c r="N242" s="195">
        <v>0</v>
      </c>
      <c r="O242" s="195">
        <v>0</v>
      </c>
      <c r="P242" s="195">
        <v>0</v>
      </c>
      <c r="Q242" s="195">
        <v>0</v>
      </c>
      <c r="R242" s="195">
        <v>0</v>
      </c>
      <c r="S242" s="195">
        <v>0</v>
      </c>
      <c r="T242" s="195">
        <v>0</v>
      </c>
      <c r="U242" s="187"/>
      <c r="V242" s="187">
        <f>'Imp Refined NYC'!AF14</f>
        <v>1586591.6262067873</v>
      </c>
      <c r="W242" s="187">
        <f>'Imp Refined NYC'!AG14</f>
        <v>1586591.6262067873</v>
      </c>
      <c r="X242" s="187">
        <f>'Imp Refined NYC'!AH14</f>
        <v>1586591.6262067873</v>
      </c>
      <c r="Y242" s="187">
        <f>'Imp Refined NYC'!AI14</f>
        <v>1586591.6262067873</v>
      </c>
      <c r="Z242" s="187">
        <f>'Imp Refined NYC'!AJ14</f>
        <v>0</v>
      </c>
      <c r="AA242" s="187">
        <f>'Imp Refined NYC'!AG14</f>
        <v>1586591.6262067873</v>
      </c>
      <c r="AB242" s="187">
        <f>'Imp Refined NYC'!AH14</f>
        <v>1586591.6262067873</v>
      </c>
      <c r="AC242" s="187">
        <f>'Imp Refined NYC'!AI14</f>
        <v>1586591.6262067873</v>
      </c>
      <c r="AD242" s="187">
        <f>'Imp Refined NYC'!AJ14</f>
        <v>0</v>
      </c>
      <c r="AE242" s="187">
        <f>'Imp Refined NYC'!AK14</f>
        <v>0</v>
      </c>
      <c r="AF242" s="187">
        <f>'Imp Refined NYC'!AL14</f>
        <v>0</v>
      </c>
      <c r="AG242" s="197"/>
      <c r="AH242" s="197"/>
      <c r="AP242" s="147"/>
      <c r="AQ242" s="147"/>
      <c r="AR242" s="147"/>
      <c r="AS242" s="147"/>
      <c r="AT242" s="147"/>
      <c r="AU242" s="147"/>
      <c r="AV242" s="147"/>
      <c r="AW242" s="147"/>
      <c r="AX242" s="147"/>
      <c r="AY242" s="147"/>
      <c r="AZ242" s="147"/>
      <c r="BA242" s="147"/>
      <c r="BB242" s="147"/>
      <c r="BC242" s="147"/>
      <c r="BD242" s="147"/>
      <c r="BE242" s="147"/>
      <c r="BF242" s="147"/>
      <c r="BG242" s="147"/>
    </row>
    <row r="243" spans="2:59">
      <c r="B243" s="158" t="str">
        <f>Technologies!B$196</f>
        <v>R0,R1,R2,R3,R4,R5,R6</v>
      </c>
      <c r="C243" s="158" t="str">
        <f>'Imp Refined NYC'!E15</f>
        <v>IMPGSRP12</v>
      </c>
      <c r="D243" s="158" t="str">
        <f>'Imp Refined NYC'!F15</f>
        <v>Imported Reformulated Gasoline, PADD 1, Step 2</v>
      </c>
      <c r="E243" s="197" t="str">
        <f>'Imp Refined NYC'!G15</f>
        <v>GSRP1</v>
      </c>
      <c r="F243" s="197"/>
      <c r="G243" s="187"/>
      <c r="H243" s="197"/>
      <c r="I243" s="197">
        <v>1.0049999999999999</v>
      </c>
      <c r="J243" s="197">
        <v>1.0049999999999999</v>
      </c>
      <c r="K243" s="195">
        <v>0</v>
      </c>
      <c r="L243" s="195">
        <v>0</v>
      </c>
      <c r="M243" s="195">
        <v>0</v>
      </c>
      <c r="N243" s="195">
        <v>0</v>
      </c>
      <c r="O243" s="195">
        <v>0</v>
      </c>
      <c r="P243" s="195">
        <v>0</v>
      </c>
      <c r="Q243" s="195">
        <v>0</v>
      </c>
      <c r="R243" s="195">
        <v>0</v>
      </c>
      <c r="S243" s="195">
        <v>0</v>
      </c>
      <c r="T243" s="195">
        <v>0</v>
      </c>
      <c r="U243" s="187"/>
      <c r="V243" s="187">
        <f>'Imp Refined NYC'!AF15</f>
        <v>198323.95327584841</v>
      </c>
      <c r="W243" s="187">
        <f>'Imp Refined NYC'!AG15</f>
        <v>198323.95327584841</v>
      </c>
      <c r="X243" s="187">
        <f>'Imp Refined NYC'!AH15</f>
        <v>198323.95327584841</v>
      </c>
      <c r="Y243" s="187">
        <f>'Imp Refined NYC'!AI15</f>
        <v>198323.95327584841</v>
      </c>
      <c r="Z243" s="187">
        <f>'Imp Refined NYC'!AJ15</f>
        <v>0</v>
      </c>
      <c r="AA243" s="187">
        <f>'Imp Refined NYC'!AG15</f>
        <v>198323.95327584841</v>
      </c>
      <c r="AB243" s="187">
        <f>'Imp Refined NYC'!AH15</f>
        <v>198323.95327584841</v>
      </c>
      <c r="AC243" s="187">
        <f>'Imp Refined NYC'!AI15</f>
        <v>198323.95327584841</v>
      </c>
      <c r="AD243" s="187">
        <f>'Imp Refined NYC'!AJ15</f>
        <v>0</v>
      </c>
      <c r="AE243" s="187">
        <f>'Imp Refined NYC'!AK15</f>
        <v>0</v>
      </c>
      <c r="AF243" s="187">
        <f>'Imp Refined NYC'!AL15</f>
        <v>0</v>
      </c>
      <c r="AG243" s="197"/>
      <c r="AH243" s="197"/>
      <c r="AP243" s="147"/>
      <c r="AQ243" s="147"/>
      <c r="AR243" s="147"/>
      <c r="AS243" s="147"/>
      <c r="AT243" s="147"/>
      <c r="AU243" s="147"/>
      <c r="AV243" s="147"/>
      <c r="AW243" s="147"/>
      <c r="AX243" s="147"/>
      <c r="AY243" s="147"/>
      <c r="AZ243" s="147"/>
      <c r="BA243" s="147"/>
      <c r="BB243" s="147"/>
      <c r="BC243" s="147"/>
      <c r="BD243" s="147"/>
      <c r="BE243" s="147"/>
      <c r="BF243" s="147"/>
      <c r="BG243" s="147"/>
    </row>
    <row r="244" spans="2:59">
      <c r="B244" s="158" t="str">
        <f>Technologies!B$197</f>
        <v>R0,R1,R2,R3,R4,R5,R6</v>
      </c>
      <c r="C244" s="158" t="str">
        <f>'Imp Refined NYC'!E16</f>
        <v>IMPGSRP14</v>
      </c>
      <c r="D244" s="158" t="str">
        <f>'Imp Refined NYC'!F16</f>
        <v>Imported Reformulated Gasoline, PADD 1, Step 4</v>
      </c>
      <c r="E244" s="197" t="str">
        <f>'Imp Refined NYC'!G16</f>
        <v>GSRP1</v>
      </c>
      <c r="F244" s="197"/>
      <c r="G244" s="187"/>
      <c r="H244" s="197"/>
      <c r="I244" s="197">
        <v>1.0049999999999999</v>
      </c>
      <c r="J244" s="197">
        <v>1.0049999999999999</v>
      </c>
      <c r="K244" s="195">
        <v>0</v>
      </c>
      <c r="L244" s="195">
        <v>0</v>
      </c>
      <c r="M244" s="195">
        <v>0</v>
      </c>
      <c r="N244" s="195">
        <v>0</v>
      </c>
      <c r="O244" s="195">
        <v>0</v>
      </c>
      <c r="P244" s="195">
        <v>0</v>
      </c>
      <c r="Q244" s="195">
        <v>0</v>
      </c>
      <c r="R244" s="195">
        <v>0</v>
      </c>
      <c r="S244" s="195">
        <v>0</v>
      </c>
      <c r="T244" s="195">
        <v>0</v>
      </c>
      <c r="U244" s="187"/>
      <c r="V244" s="187">
        <f>'Imp Refined NYC'!AF16</f>
        <v>396647.90655169683</v>
      </c>
      <c r="W244" s="187">
        <f>'Imp Refined NYC'!AG16</f>
        <v>396647.90655169683</v>
      </c>
      <c r="X244" s="187">
        <f>'Imp Refined NYC'!AH16</f>
        <v>396647.90655169683</v>
      </c>
      <c r="Y244" s="187">
        <f>'Imp Refined NYC'!AI16</f>
        <v>396647.90655169683</v>
      </c>
      <c r="Z244" s="187">
        <f>'Imp Refined NYC'!AJ16</f>
        <v>0</v>
      </c>
      <c r="AA244" s="187">
        <f>'Imp Refined NYC'!AG16</f>
        <v>396647.90655169683</v>
      </c>
      <c r="AB244" s="187">
        <f>'Imp Refined NYC'!AH16</f>
        <v>396647.90655169683</v>
      </c>
      <c r="AC244" s="187">
        <f>'Imp Refined NYC'!AI16</f>
        <v>396647.90655169683</v>
      </c>
      <c r="AD244" s="187">
        <f>'Imp Refined NYC'!AJ16</f>
        <v>0</v>
      </c>
      <c r="AE244" s="187">
        <f>'Imp Refined NYC'!AK16</f>
        <v>0</v>
      </c>
      <c r="AF244" s="187">
        <f>'Imp Refined NYC'!AL16</f>
        <v>0</v>
      </c>
      <c r="AG244" s="197"/>
      <c r="AH244" s="197"/>
      <c r="AP244" s="147"/>
      <c r="AQ244" s="147"/>
      <c r="AR244" s="147"/>
      <c r="AS244" s="147"/>
      <c r="AT244" s="147"/>
      <c r="AU244" s="147"/>
      <c r="AV244" s="147"/>
      <c r="AW244" s="147"/>
      <c r="AX244" s="147"/>
      <c r="AY244" s="147"/>
      <c r="AZ244" s="147"/>
      <c r="BA244" s="147"/>
      <c r="BB244" s="147"/>
      <c r="BC244" s="147"/>
      <c r="BD244" s="147"/>
      <c r="BE244" s="147"/>
      <c r="BF244" s="147"/>
      <c r="BG244" s="147"/>
    </row>
    <row r="245" spans="2:59">
      <c r="B245" s="158" t="str">
        <f>Technologies!B$198</f>
        <v>R0,R1,R2,R3,R4,R5,R6</v>
      </c>
      <c r="C245" s="158" t="str">
        <f>'Imp Refined NYC'!E17</f>
        <v>IMPGSRP15</v>
      </c>
      <c r="D245" s="158" t="str">
        <f>'Imp Refined NYC'!F17</f>
        <v>Imported Reformulated Gasoline, PADD 1, Step 5</v>
      </c>
      <c r="E245" s="197" t="str">
        <f>'Imp Refined NYC'!G17</f>
        <v>GSRP1</v>
      </c>
      <c r="F245" s="197"/>
      <c r="G245" s="187"/>
      <c r="H245" s="197"/>
      <c r="I245" s="197">
        <v>1.0049999999999999</v>
      </c>
      <c r="J245" s="197">
        <v>1.0049999999999999</v>
      </c>
      <c r="K245" s="195">
        <v>0</v>
      </c>
      <c r="L245" s="195">
        <v>0</v>
      </c>
      <c r="M245" s="195">
        <v>0</v>
      </c>
      <c r="N245" s="195">
        <v>0</v>
      </c>
      <c r="O245" s="195">
        <v>0</v>
      </c>
      <c r="P245" s="195">
        <v>0</v>
      </c>
      <c r="Q245" s="195">
        <v>0</v>
      </c>
      <c r="R245" s="195">
        <v>0</v>
      </c>
      <c r="S245" s="195">
        <v>0</v>
      </c>
      <c r="T245" s="195">
        <v>0</v>
      </c>
      <c r="U245" s="187"/>
      <c r="V245" s="187">
        <f>'Imp Refined NYC'!AF17</f>
        <v>1586591.6262067873</v>
      </c>
      <c r="W245" s="187">
        <f>'Imp Refined NYC'!AG17</f>
        <v>1586591.6262067873</v>
      </c>
      <c r="X245" s="187">
        <f>'Imp Refined NYC'!AH17</f>
        <v>1586591.6262067873</v>
      </c>
      <c r="Y245" s="187">
        <f>'Imp Refined NYC'!AI17</f>
        <v>1586591.6262067873</v>
      </c>
      <c r="Z245" s="187">
        <f>'Imp Refined NYC'!AJ17</f>
        <v>0</v>
      </c>
      <c r="AA245" s="187">
        <f>'Imp Refined NYC'!AG17</f>
        <v>1586591.6262067873</v>
      </c>
      <c r="AB245" s="187">
        <f>'Imp Refined NYC'!AH17</f>
        <v>1586591.6262067873</v>
      </c>
      <c r="AC245" s="187">
        <f>'Imp Refined NYC'!AI17</f>
        <v>1586591.6262067873</v>
      </c>
      <c r="AD245" s="187">
        <f>'Imp Refined NYC'!AJ17</f>
        <v>0</v>
      </c>
      <c r="AE245" s="187">
        <f>'Imp Refined NYC'!AK17</f>
        <v>0</v>
      </c>
      <c r="AF245" s="187">
        <f>'Imp Refined NYC'!AL17</f>
        <v>0</v>
      </c>
      <c r="AG245" s="197"/>
      <c r="AH245" s="197"/>
      <c r="AP245" s="147"/>
      <c r="AQ245" s="147"/>
      <c r="AR245" s="147"/>
      <c r="AS245" s="147"/>
      <c r="AT245" s="147"/>
      <c r="AU245" s="147"/>
      <c r="AV245" s="147"/>
      <c r="AW245" s="147"/>
      <c r="AX245" s="147"/>
      <c r="AY245" s="147"/>
      <c r="AZ245" s="147"/>
      <c r="BA245" s="147"/>
      <c r="BB245" s="147"/>
      <c r="BC245" s="147"/>
      <c r="BD245" s="147"/>
      <c r="BE245" s="147"/>
      <c r="BF245" s="147"/>
      <c r="BG245" s="147"/>
    </row>
    <row r="246" spans="2:59">
      <c r="B246" s="158" t="str">
        <f>Technologies!B$199</f>
        <v>R0,R1,R2,R3,R4,R5,R6</v>
      </c>
      <c r="C246" s="158" t="str">
        <f>'Imp Refined NYC'!E18</f>
        <v>IMPGSCP13</v>
      </c>
      <c r="D246" s="158" t="str">
        <f>'Imp Refined NYC'!F18</f>
        <v>Imported Conventional Gasoline, PADD 1, Step 3</v>
      </c>
      <c r="E246" s="197" t="str">
        <f>'Imp Refined NYC'!G18</f>
        <v>GSCP1</v>
      </c>
      <c r="F246" s="197"/>
      <c r="G246" s="187"/>
      <c r="H246" s="197"/>
      <c r="I246" s="197">
        <v>1.0049999999999999</v>
      </c>
      <c r="J246" s="197">
        <v>1.0049999999999999</v>
      </c>
      <c r="K246" s="195">
        <f>'Imp Refined NYC'!M18</f>
        <v>15.148825065706914</v>
      </c>
      <c r="L246" s="195" t="e">
        <f>'Imp Refined NYC'!N18</f>
        <v>#REF!</v>
      </c>
      <c r="M246" s="195" t="e">
        <f>'Imp Refined NYC'!O18</f>
        <v>#REF!</v>
      </c>
      <c r="N246" s="195" t="e">
        <f>'Imp Refined NYC'!P18</f>
        <v>#REF!</v>
      </c>
      <c r="O246" s="195" t="e">
        <f>'Imp Refined NYC'!Q18</f>
        <v>#REF!</v>
      </c>
      <c r="P246" s="195" t="e">
        <f>'Imp Refined NYC'!R18</f>
        <v>#REF!</v>
      </c>
      <c r="Q246" s="195" t="e">
        <f>'Imp Refined NYC'!S18</f>
        <v>#REF!</v>
      </c>
      <c r="R246" s="195" t="e">
        <f>'Imp Refined NYC'!T18</f>
        <v>#REF!</v>
      </c>
      <c r="S246" s="195" t="e">
        <f>'Imp Refined NYC'!U18</f>
        <v>#REF!</v>
      </c>
      <c r="T246" s="195" t="e">
        <f>'Imp Refined NYC'!V18</f>
        <v>#REF!</v>
      </c>
      <c r="U246" s="187"/>
      <c r="V246" s="187">
        <f>'Imp Refined NYC'!AF18</f>
        <v>202290.43234136514</v>
      </c>
      <c r="W246" s="187">
        <f>'Imp Refined NYC'!AG18</f>
        <v>202290.43234136514</v>
      </c>
      <c r="X246" s="187">
        <f>'Imp Refined NYC'!AH18</f>
        <v>202290.43234136514</v>
      </c>
      <c r="Y246" s="187">
        <f>'Imp Refined NYC'!AI18</f>
        <v>202290.43234136514</v>
      </c>
      <c r="Z246" s="187"/>
      <c r="AA246" s="187"/>
      <c r="AB246" s="187"/>
      <c r="AC246" s="195"/>
      <c r="AD246" s="195"/>
      <c r="AE246" s="195"/>
      <c r="AF246" s="195"/>
      <c r="AG246" s="197"/>
      <c r="AH246" s="197"/>
      <c r="AP246" s="147"/>
      <c r="AQ246" s="147"/>
      <c r="AR246" s="147"/>
      <c r="AS246" s="147"/>
      <c r="AT246" s="147"/>
      <c r="AU246" s="147"/>
      <c r="AV246" s="147"/>
      <c r="AW246" s="147"/>
      <c r="AX246" s="147"/>
      <c r="AY246" s="147"/>
      <c r="AZ246" s="147"/>
      <c r="BA246" s="147"/>
      <c r="BB246" s="147"/>
      <c r="BC246" s="147"/>
      <c r="BD246" s="147"/>
      <c r="BE246" s="147"/>
      <c r="BF246" s="147"/>
      <c r="BG246" s="147"/>
    </row>
    <row r="247" spans="2:59">
      <c r="B247" s="158" t="str">
        <f>Technologies!B$200</f>
        <v>R0,R1,R2,R3,R4,R5,R6</v>
      </c>
      <c r="C247" s="158" t="str">
        <f>'Imp Refined NYC'!E19</f>
        <v>IMPGSCP11</v>
      </c>
      <c r="D247" s="158" t="str">
        <f>'Imp Refined NYC'!F19</f>
        <v>Imported Conventional Gasoline, PADD 1, Step 1</v>
      </c>
      <c r="E247" s="197" t="str">
        <f>'Imp Refined NYC'!G19</f>
        <v>GSCP1</v>
      </c>
      <c r="F247" s="197"/>
      <c r="G247" s="187"/>
      <c r="H247" s="197"/>
      <c r="I247" s="197">
        <v>1.0049999999999999</v>
      </c>
      <c r="J247" s="197">
        <v>1.0049999999999999</v>
      </c>
      <c r="K247" s="195">
        <f>'Imp Refined NYC'!M19</f>
        <v>14.391383812421568</v>
      </c>
      <c r="L247" s="195" t="e">
        <f>'Imp Refined NYC'!N19</f>
        <v>#REF!</v>
      </c>
      <c r="M247" s="195" t="e">
        <f>'Imp Refined NYC'!O19</f>
        <v>#REF!</v>
      </c>
      <c r="N247" s="195" t="e">
        <f>'Imp Refined NYC'!P19</f>
        <v>#REF!</v>
      </c>
      <c r="O247" s="195" t="e">
        <f>'Imp Refined NYC'!Q19</f>
        <v>#REF!</v>
      </c>
      <c r="P247" s="195" t="e">
        <f>'Imp Refined NYC'!R19</f>
        <v>#REF!</v>
      </c>
      <c r="Q247" s="195" t="e">
        <f>'Imp Refined NYC'!S19</f>
        <v>#REF!</v>
      </c>
      <c r="R247" s="195" t="e">
        <f>'Imp Refined NYC'!T19</f>
        <v>#REF!</v>
      </c>
      <c r="S247" s="195" t="e">
        <f>'Imp Refined NYC'!U19</f>
        <v>#REF!</v>
      </c>
      <c r="T247" s="195" t="e">
        <f>'Imp Refined NYC'!V19</f>
        <v>#REF!</v>
      </c>
      <c r="U247" s="187"/>
      <c r="V247" s="187">
        <f>'Imp Refined NYC'!AF19</f>
        <v>1618323.4587309228</v>
      </c>
      <c r="W247" s="187">
        <f>'Imp Refined NYC'!AG19</f>
        <v>1618323.4587309228</v>
      </c>
      <c r="X247" s="187">
        <f>'Imp Refined NYC'!AH19</f>
        <v>1618323.4587309228</v>
      </c>
      <c r="Y247" s="187">
        <f>'Imp Refined NYC'!AI19</f>
        <v>1618323.4587309228</v>
      </c>
      <c r="Z247" s="187"/>
      <c r="AA247" s="187"/>
      <c r="AB247" s="187"/>
      <c r="AC247" s="195"/>
      <c r="AD247" s="195"/>
      <c r="AE247" s="195"/>
      <c r="AF247" s="195"/>
      <c r="AG247" s="197"/>
      <c r="AH247" s="197"/>
      <c r="AP247" s="147"/>
      <c r="AQ247" s="147"/>
      <c r="AR247" s="147"/>
      <c r="AS247" s="147"/>
      <c r="AT247" s="147"/>
      <c r="AU247" s="147"/>
      <c r="AV247" s="147"/>
      <c r="AW247" s="147"/>
      <c r="AX247" s="147"/>
      <c r="AY247" s="147"/>
      <c r="AZ247" s="147"/>
      <c r="BA247" s="147"/>
      <c r="BB247" s="147"/>
      <c r="BC247" s="147"/>
      <c r="BD247" s="147"/>
      <c r="BE247" s="147"/>
      <c r="BF247" s="147"/>
      <c r="BG247" s="147"/>
    </row>
    <row r="248" spans="2:59">
      <c r="B248" s="158" t="str">
        <f>Technologies!B$201</f>
        <v>R0,R1,R2,R3,R4,R5,R6</v>
      </c>
      <c r="C248" s="158" t="str">
        <f>'Imp Refined NYC'!E20</f>
        <v>IMPGSCP12</v>
      </c>
      <c r="D248" s="158" t="str">
        <f>'Imp Refined NYC'!F20</f>
        <v>Imported Conventional Gasoline, PADD 1, Step 2</v>
      </c>
      <c r="E248" s="197" t="str">
        <f>'Imp Refined NYC'!G20</f>
        <v>GSCP1</v>
      </c>
      <c r="F248" s="197"/>
      <c r="G248" s="187"/>
      <c r="H248" s="197"/>
      <c r="I248" s="197">
        <v>1.0049999999999999</v>
      </c>
      <c r="J248" s="197">
        <v>1.0049999999999999</v>
      </c>
      <c r="K248" s="195">
        <f>'Imp Refined NYC'!M20</f>
        <v>14.845848564392778</v>
      </c>
      <c r="L248" s="195" t="e">
        <f>'Imp Refined NYC'!N20</f>
        <v>#REF!</v>
      </c>
      <c r="M248" s="195" t="e">
        <f>'Imp Refined NYC'!O20</f>
        <v>#REF!</v>
      </c>
      <c r="N248" s="195" t="e">
        <f>'Imp Refined NYC'!P20</f>
        <v>#REF!</v>
      </c>
      <c r="O248" s="195" t="e">
        <f>'Imp Refined NYC'!Q20</f>
        <v>#REF!</v>
      </c>
      <c r="P248" s="195" t="e">
        <f>'Imp Refined NYC'!R20</f>
        <v>#REF!</v>
      </c>
      <c r="Q248" s="195" t="e">
        <f>'Imp Refined NYC'!S20</f>
        <v>#REF!</v>
      </c>
      <c r="R248" s="195" t="e">
        <f>'Imp Refined NYC'!T20</f>
        <v>#REF!</v>
      </c>
      <c r="S248" s="195" t="e">
        <f>'Imp Refined NYC'!U20</f>
        <v>#REF!</v>
      </c>
      <c r="T248" s="195" t="e">
        <f>'Imp Refined NYC'!V20</f>
        <v>#REF!</v>
      </c>
      <c r="U248" s="187"/>
      <c r="V248" s="187">
        <f>'Imp Refined NYC'!AF20</f>
        <v>202290.43234136584</v>
      </c>
      <c r="W248" s="187">
        <f>'Imp Refined NYC'!AG20</f>
        <v>202290.43234136584</v>
      </c>
      <c r="X248" s="187">
        <f>'Imp Refined NYC'!AH20</f>
        <v>202290.43234136584</v>
      </c>
      <c r="Y248" s="187">
        <f>'Imp Refined NYC'!AI20</f>
        <v>202290.43234136584</v>
      </c>
      <c r="Z248" s="187"/>
      <c r="AA248" s="187"/>
      <c r="AB248" s="187"/>
      <c r="AC248" s="195"/>
      <c r="AD248" s="195"/>
      <c r="AE248" s="195"/>
      <c r="AF248" s="195"/>
      <c r="AG248" s="197"/>
      <c r="AH248" s="197"/>
      <c r="AP248" s="147"/>
      <c r="AQ248" s="147"/>
      <c r="AR248" s="147"/>
      <c r="AS248" s="147"/>
      <c r="AT248" s="147"/>
      <c r="AU248" s="147"/>
      <c r="AV248" s="147"/>
      <c r="AW248" s="147"/>
      <c r="AX248" s="147"/>
      <c r="AY248" s="147"/>
      <c r="AZ248" s="147"/>
      <c r="BA248" s="147"/>
      <c r="BB248" s="147"/>
      <c r="BC248" s="147"/>
      <c r="BD248" s="147"/>
      <c r="BE248" s="147"/>
      <c r="BF248" s="147"/>
      <c r="BG248" s="147"/>
    </row>
    <row r="249" spans="2:59">
      <c r="B249" s="158" t="str">
        <f>Technologies!B$202</f>
        <v>R0,R1,R2,R3,R4,R5,R6</v>
      </c>
      <c r="C249" s="158" t="str">
        <f>'Imp Refined NYC'!E21</f>
        <v>IMPGSCP14</v>
      </c>
      <c r="D249" s="158" t="str">
        <f>'Imp Refined NYC'!F21</f>
        <v>Imported Conventional Gasoline, PADD 1, Step 4</v>
      </c>
      <c r="E249" s="197" t="str">
        <f>'Imp Refined NYC'!G21</f>
        <v>GSCP1</v>
      </c>
      <c r="F249" s="197"/>
      <c r="G249" s="187"/>
      <c r="H249" s="197"/>
      <c r="I249" s="197">
        <v>1.0049999999999999</v>
      </c>
      <c r="J249" s="197">
        <v>1.0049999999999999</v>
      </c>
      <c r="K249" s="195">
        <f>'Imp Refined NYC'!M21</f>
        <v>16.512219321620538</v>
      </c>
      <c r="L249" s="195" t="e">
        <f>'Imp Refined NYC'!N21</f>
        <v>#REF!</v>
      </c>
      <c r="M249" s="195" t="e">
        <f>'Imp Refined NYC'!O21</f>
        <v>#REF!</v>
      </c>
      <c r="N249" s="195" t="e">
        <f>'Imp Refined NYC'!P21</f>
        <v>#REF!</v>
      </c>
      <c r="O249" s="195" t="e">
        <f>'Imp Refined NYC'!Q21</f>
        <v>#REF!</v>
      </c>
      <c r="P249" s="195" t="e">
        <f>'Imp Refined NYC'!R21</f>
        <v>#REF!</v>
      </c>
      <c r="Q249" s="195" t="e">
        <f>'Imp Refined NYC'!S21</f>
        <v>#REF!</v>
      </c>
      <c r="R249" s="195" t="e">
        <f>'Imp Refined NYC'!T21</f>
        <v>#REF!</v>
      </c>
      <c r="S249" s="195" t="e">
        <f>'Imp Refined NYC'!U21</f>
        <v>#REF!</v>
      </c>
      <c r="T249" s="195" t="e">
        <f>'Imp Refined NYC'!V21</f>
        <v>#REF!</v>
      </c>
      <c r="U249" s="187"/>
      <c r="V249" s="187">
        <f>'Imp Refined NYC'!AF21</f>
        <v>404580.86468273075</v>
      </c>
      <c r="W249" s="187">
        <f>'Imp Refined NYC'!AG21</f>
        <v>404580.86468273075</v>
      </c>
      <c r="X249" s="187">
        <f>'Imp Refined NYC'!AH21</f>
        <v>404580.86468273075</v>
      </c>
      <c r="Y249" s="187">
        <f>'Imp Refined NYC'!AI21</f>
        <v>404580.86468273075</v>
      </c>
      <c r="Z249" s="187"/>
      <c r="AA249" s="187"/>
      <c r="AB249" s="187"/>
      <c r="AC249" s="195"/>
      <c r="AD249" s="195"/>
      <c r="AE249" s="195"/>
      <c r="AF249" s="195"/>
      <c r="AG249" s="197"/>
      <c r="AH249" s="197"/>
      <c r="AP249" s="147"/>
      <c r="AQ249" s="147"/>
      <c r="AR249" s="147"/>
      <c r="AS249" s="147"/>
      <c r="AT249" s="147"/>
      <c r="AU249" s="147"/>
      <c r="AV249" s="147"/>
      <c r="AW249" s="147"/>
      <c r="AX249" s="147"/>
      <c r="AY249" s="147"/>
      <c r="AZ249" s="147"/>
      <c r="BA249" s="147"/>
      <c r="BB249" s="147"/>
      <c r="BC249" s="147"/>
      <c r="BD249" s="147"/>
      <c r="BE249" s="147"/>
      <c r="BF249" s="147"/>
      <c r="BG249" s="147"/>
    </row>
    <row r="250" spans="2:59">
      <c r="B250" s="158" t="str">
        <f>Technologies!B$203</f>
        <v>R0,R1,R2,R3,R4,R5,R6</v>
      </c>
      <c r="C250" s="158" t="str">
        <f>'Imp Refined NYC'!E22</f>
        <v>IMPGSCP15</v>
      </c>
      <c r="D250" s="158" t="str">
        <f>'Imp Refined NYC'!F22</f>
        <v>Imported Conventional Gasoline, PADD 1, Step 5</v>
      </c>
      <c r="E250" s="197" t="str">
        <f>'Imp Refined NYC'!G22</f>
        <v>GSCP1</v>
      </c>
      <c r="F250" s="197"/>
      <c r="G250" s="187"/>
      <c r="H250" s="197"/>
      <c r="I250" s="197">
        <v>1.0049999999999999</v>
      </c>
      <c r="J250" s="197">
        <v>1.0049999999999999</v>
      </c>
      <c r="K250" s="195">
        <f>'Imp Refined NYC'!M22</f>
        <v>19.693472585418988</v>
      </c>
      <c r="L250" s="195" t="e">
        <f>'Imp Refined NYC'!N22</f>
        <v>#REF!</v>
      </c>
      <c r="M250" s="195" t="e">
        <f>'Imp Refined NYC'!O22</f>
        <v>#REF!</v>
      </c>
      <c r="N250" s="195" t="e">
        <f>'Imp Refined NYC'!P22</f>
        <v>#REF!</v>
      </c>
      <c r="O250" s="195" t="e">
        <f>'Imp Refined NYC'!Q22</f>
        <v>#REF!</v>
      </c>
      <c r="P250" s="195" t="e">
        <f>'Imp Refined NYC'!R22</f>
        <v>#REF!</v>
      </c>
      <c r="Q250" s="195" t="e">
        <f>'Imp Refined NYC'!S22</f>
        <v>#REF!</v>
      </c>
      <c r="R250" s="195" t="e">
        <f>'Imp Refined NYC'!T22</f>
        <v>#REF!</v>
      </c>
      <c r="S250" s="195" t="e">
        <f>'Imp Refined NYC'!U22</f>
        <v>#REF!</v>
      </c>
      <c r="T250" s="195" t="e">
        <f>'Imp Refined NYC'!V22</f>
        <v>#REF!</v>
      </c>
      <c r="U250" s="187"/>
      <c r="V250" s="187">
        <f>'Imp Refined NYC'!AF22</f>
        <v>1618323.458730923</v>
      </c>
      <c r="W250" s="187">
        <f>'Imp Refined NYC'!AG22</f>
        <v>1618323.458730923</v>
      </c>
      <c r="X250" s="187">
        <f>'Imp Refined NYC'!AH22</f>
        <v>1618323.458730923</v>
      </c>
      <c r="Y250" s="187">
        <f>'Imp Refined NYC'!AI22</f>
        <v>1618323.458730923</v>
      </c>
      <c r="Z250" s="187"/>
      <c r="AA250" s="187"/>
      <c r="AB250" s="187"/>
      <c r="AC250" s="195"/>
      <c r="AD250" s="195"/>
      <c r="AE250" s="195"/>
      <c r="AF250" s="195"/>
      <c r="AG250" s="197"/>
      <c r="AH250" s="197"/>
      <c r="BA250" s="147"/>
      <c r="BB250" s="147"/>
      <c r="BC250" s="147"/>
      <c r="BD250" s="147"/>
      <c r="BE250" s="147"/>
      <c r="BF250" s="147"/>
      <c r="BG250" s="147"/>
    </row>
    <row r="251" spans="2:59">
      <c r="B251" s="158" t="str">
        <f>Technologies!B$209</f>
        <v>R0,R1,R2,R3,R4,R5,R6</v>
      </c>
      <c r="C251" s="158" t="str">
        <f>'Imp Refined NYC'!E28</f>
        <v>IMPDSLP13</v>
      </c>
      <c r="D251" s="158" t="str">
        <f>'Imp Refined NYC'!F28</f>
        <v>Imported Distillate-Low Sulfur Highway Diesel (500 ppm), PADD 1, Step 3</v>
      </c>
      <c r="E251" s="197" t="str">
        <f>'Imp Refined NYC'!G28</f>
        <v>DSLP1</v>
      </c>
      <c r="F251" s="197"/>
      <c r="G251" s="187"/>
      <c r="H251" s="197"/>
      <c r="I251" s="197">
        <v>1.0049999999999999</v>
      </c>
      <c r="J251" s="197">
        <v>1.0049999999999999</v>
      </c>
      <c r="K251" s="195">
        <f>'Imp Refined NYC'!M28</f>
        <v>12.705456368051301</v>
      </c>
      <c r="L251" s="195" t="e">
        <f>'Imp Refined NYC'!N28</f>
        <v>#REF!</v>
      </c>
      <c r="M251" s="195" t="e">
        <f>'Imp Refined NYC'!O28</f>
        <v>#REF!</v>
      </c>
      <c r="N251" s="195" t="e">
        <f>'Imp Refined NYC'!P28</f>
        <v>#REF!</v>
      </c>
      <c r="O251" s="195" t="e">
        <f>'Imp Refined NYC'!Q28</f>
        <v>#REF!</v>
      </c>
      <c r="P251" s="195" t="e">
        <f>'Imp Refined NYC'!R28</f>
        <v>#REF!</v>
      </c>
      <c r="Q251" s="195" t="e">
        <f>'Imp Refined NYC'!S28</f>
        <v>#REF!</v>
      </c>
      <c r="R251" s="195" t="e">
        <f>'Imp Refined NYC'!T28</f>
        <v>#REF!</v>
      </c>
      <c r="S251" s="195" t="e">
        <f>'Imp Refined NYC'!U28</f>
        <v>#REF!</v>
      </c>
      <c r="T251" s="195" t="e">
        <f>'Imp Refined NYC'!V28</f>
        <v>#REF!</v>
      </c>
      <c r="U251" s="187"/>
      <c r="V251" s="187">
        <f>'Imp Refined NYC'!AF28</f>
        <v>224317.86948190606</v>
      </c>
      <c r="W251" s="187">
        <f>'Imp Refined NYC'!AG28</f>
        <v>224317.86948190606</v>
      </c>
      <c r="X251" s="187">
        <f>'Imp Refined NYC'!AH28</f>
        <v>224317.86948190606</v>
      </c>
      <c r="Y251" s="187">
        <f>'Imp Refined NYC'!AI28</f>
        <v>224317.86948190606</v>
      </c>
      <c r="Z251" s="187"/>
      <c r="AA251" s="187"/>
      <c r="AB251" s="187"/>
      <c r="AC251" s="195"/>
      <c r="AD251" s="195"/>
      <c r="AE251" s="195"/>
      <c r="AF251" s="195"/>
      <c r="AG251" s="197"/>
      <c r="AH251" s="197"/>
      <c r="BC251" s="147"/>
      <c r="BD251" s="147"/>
      <c r="BE251" s="147"/>
      <c r="BF251" s="147"/>
      <c r="BG251" s="147"/>
    </row>
    <row r="252" spans="2:59">
      <c r="B252" s="158" t="str">
        <f>Technologies!B$210</f>
        <v>R0,R1,R2,R3,R4,R5,R6</v>
      </c>
      <c r="C252" s="158" t="str">
        <f>'Imp Refined NYC'!E29</f>
        <v>IMPDSLP11</v>
      </c>
      <c r="D252" s="158" t="str">
        <f>'Imp Refined NYC'!F29</f>
        <v>Imported Distillate-Low Sulfur Highway Diesel (500 ppm), PADD 1, Step 1</v>
      </c>
      <c r="E252" s="197" t="str">
        <f>'Imp Refined NYC'!G29</f>
        <v>DSLP1</v>
      </c>
      <c r="F252" s="197"/>
      <c r="G252" s="187"/>
      <c r="H252" s="197"/>
      <c r="I252" s="197">
        <v>1.0049999999999999</v>
      </c>
      <c r="J252" s="197">
        <v>1.0049999999999999</v>
      </c>
      <c r="K252" s="195">
        <f>'Imp Refined NYC'!M29</f>
        <v>12.070183549648739</v>
      </c>
      <c r="L252" s="195" t="e">
        <f>'Imp Refined NYC'!N29</f>
        <v>#REF!</v>
      </c>
      <c r="M252" s="195" t="e">
        <f>'Imp Refined NYC'!O29</f>
        <v>#REF!</v>
      </c>
      <c r="N252" s="195" t="e">
        <f>'Imp Refined NYC'!P29</f>
        <v>#REF!</v>
      </c>
      <c r="O252" s="195" t="e">
        <f>'Imp Refined NYC'!Q29</f>
        <v>#REF!</v>
      </c>
      <c r="P252" s="195" t="e">
        <f>'Imp Refined NYC'!R29</f>
        <v>#REF!</v>
      </c>
      <c r="Q252" s="195" t="e">
        <f>'Imp Refined NYC'!S29</f>
        <v>#REF!</v>
      </c>
      <c r="R252" s="195" t="e">
        <f>'Imp Refined NYC'!T29</f>
        <v>#REF!</v>
      </c>
      <c r="S252" s="195" t="e">
        <f>'Imp Refined NYC'!U29</f>
        <v>#REF!</v>
      </c>
      <c r="T252" s="195" t="e">
        <f>'Imp Refined NYC'!V29</f>
        <v>#REF!</v>
      </c>
      <c r="U252" s="187"/>
      <c r="V252" s="187">
        <f>'Imp Refined NYC'!AF29</f>
        <v>1794542.9558552499</v>
      </c>
      <c r="W252" s="187">
        <f>'Imp Refined NYC'!AG29</f>
        <v>1794542.9558552499</v>
      </c>
      <c r="X252" s="187">
        <f>'Imp Refined NYC'!AH29</f>
        <v>1794542.9558552499</v>
      </c>
      <c r="Y252" s="187">
        <f>'Imp Refined NYC'!AI29</f>
        <v>1794542.9558552499</v>
      </c>
      <c r="Z252" s="187"/>
      <c r="AA252" s="187"/>
      <c r="AB252" s="187"/>
      <c r="AC252" s="195"/>
      <c r="AD252" s="195"/>
      <c r="AE252" s="195"/>
      <c r="AF252" s="195"/>
      <c r="AG252" s="197"/>
      <c r="AH252" s="197"/>
      <c r="BC252" s="147"/>
      <c r="BD252" s="147"/>
      <c r="BE252" s="147"/>
      <c r="BF252" s="147"/>
      <c r="BG252" s="147"/>
    </row>
    <row r="253" spans="2:59">
      <c r="B253" s="158" t="str">
        <f>Technologies!B$211</f>
        <v>R0,R1,R2,R3,R4,R5,R6</v>
      </c>
      <c r="C253" s="158" t="str">
        <f>'Imp Refined NYC'!E30</f>
        <v>IMPDSLP12</v>
      </c>
      <c r="D253" s="158" t="str">
        <f>'Imp Refined NYC'!F30</f>
        <v>Imported Distillate-Low Sulfur Highway Diesel (500 ppm), PADD 1, Step 2</v>
      </c>
      <c r="E253" s="197" t="str">
        <f>'Imp Refined NYC'!G30</f>
        <v>DSLP1</v>
      </c>
      <c r="F253" s="197"/>
      <c r="G253" s="187"/>
      <c r="H253" s="197"/>
      <c r="I253" s="197">
        <v>1.0049999999999999</v>
      </c>
      <c r="J253" s="197">
        <v>1.0049999999999999</v>
      </c>
      <c r="K253" s="195">
        <f>'Imp Refined NYC'!M30</f>
        <v>12.451347240690277</v>
      </c>
      <c r="L253" s="195" t="e">
        <f>'Imp Refined NYC'!N30</f>
        <v>#REF!</v>
      </c>
      <c r="M253" s="195" t="e">
        <f>'Imp Refined NYC'!O30</f>
        <v>#REF!</v>
      </c>
      <c r="N253" s="195" t="e">
        <f>'Imp Refined NYC'!P30</f>
        <v>#REF!</v>
      </c>
      <c r="O253" s="195" t="e">
        <f>'Imp Refined NYC'!Q30</f>
        <v>#REF!</v>
      </c>
      <c r="P253" s="195" t="e">
        <f>'Imp Refined NYC'!R30</f>
        <v>#REF!</v>
      </c>
      <c r="Q253" s="195" t="e">
        <f>'Imp Refined NYC'!S30</f>
        <v>#REF!</v>
      </c>
      <c r="R253" s="195" t="e">
        <f>'Imp Refined NYC'!T30</f>
        <v>#REF!</v>
      </c>
      <c r="S253" s="195" t="e">
        <f>'Imp Refined NYC'!U30</f>
        <v>#REF!</v>
      </c>
      <c r="T253" s="195" t="e">
        <f>'Imp Refined NYC'!V30</f>
        <v>#REF!</v>
      </c>
      <c r="U253" s="187"/>
      <c r="V253" s="187">
        <f>'Imp Refined NYC'!AF30</f>
        <v>224317.8694819056</v>
      </c>
      <c r="W253" s="187">
        <f>'Imp Refined NYC'!AG30</f>
        <v>224317.8694819056</v>
      </c>
      <c r="X253" s="187">
        <f>'Imp Refined NYC'!AH30</f>
        <v>224317.8694819056</v>
      </c>
      <c r="Y253" s="187">
        <f>'Imp Refined NYC'!AI30</f>
        <v>224317.8694819056</v>
      </c>
      <c r="Z253" s="187"/>
      <c r="AA253" s="187"/>
      <c r="AB253" s="187"/>
      <c r="AC253" s="195"/>
      <c r="AD253" s="195"/>
      <c r="AE253" s="195"/>
      <c r="AF253" s="195"/>
      <c r="AG253" s="197"/>
      <c r="AH253" s="197"/>
      <c r="BC253" s="147"/>
      <c r="BD253" s="147"/>
      <c r="BE253" s="147"/>
      <c r="BF253" s="147"/>
      <c r="BG253" s="147"/>
    </row>
    <row r="254" spans="2:59">
      <c r="B254" s="158" t="str">
        <f>Technologies!B$212</f>
        <v>R0,R1,R2,R3,R4,R5,R6</v>
      </c>
      <c r="C254" s="158" t="str">
        <f>'Imp Refined NYC'!E31</f>
        <v>IMPDSLP14</v>
      </c>
      <c r="D254" s="158" t="str">
        <f>'Imp Refined NYC'!F31</f>
        <v>Imported Distillate-Low Sulfur Highway Diesel (500 ppm), PADD 1, Step 4</v>
      </c>
      <c r="E254" s="197" t="str">
        <f>'Imp Refined NYC'!G31</f>
        <v>DSLP1</v>
      </c>
      <c r="F254" s="197"/>
      <c r="G254" s="187"/>
      <c r="H254" s="197"/>
      <c r="I254" s="197">
        <v>1.0049999999999999</v>
      </c>
      <c r="J254" s="197">
        <v>1.0049999999999999</v>
      </c>
      <c r="K254" s="195">
        <f>'Imp Refined NYC'!M31</f>
        <v>13.848947441175921</v>
      </c>
      <c r="L254" s="195" t="e">
        <f>'Imp Refined NYC'!N31</f>
        <v>#REF!</v>
      </c>
      <c r="M254" s="195" t="e">
        <f>'Imp Refined NYC'!O31</f>
        <v>#REF!</v>
      </c>
      <c r="N254" s="195" t="e">
        <f>'Imp Refined NYC'!P31</f>
        <v>#REF!</v>
      </c>
      <c r="O254" s="195" t="e">
        <f>'Imp Refined NYC'!Q31</f>
        <v>#REF!</v>
      </c>
      <c r="P254" s="195" t="e">
        <f>'Imp Refined NYC'!R31</f>
        <v>#REF!</v>
      </c>
      <c r="Q254" s="195" t="e">
        <f>'Imp Refined NYC'!S31</f>
        <v>#REF!</v>
      </c>
      <c r="R254" s="195" t="e">
        <f>'Imp Refined NYC'!T31</f>
        <v>#REF!</v>
      </c>
      <c r="S254" s="195" t="e">
        <f>'Imp Refined NYC'!U31</f>
        <v>#REF!</v>
      </c>
      <c r="T254" s="195" t="e">
        <f>'Imp Refined NYC'!V31</f>
        <v>#REF!</v>
      </c>
      <c r="U254" s="187"/>
      <c r="V254" s="187">
        <f>'Imp Refined NYC'!AF31</f>
        <v>448635.73896381306</v>
      </c>
      <c r="W254" s="187">
        <f>'Imp Refined NYC'!AG31</f>
        <v>448635.73896381306</v>
      </c>
      <c r="X254" s="187">
        <f>'Imp Refined NYC'!AH31</f>
        <v>448635.73896381306</v>
      </c>
      <c r="Y254" s="187">
        <f>'Imp Refined NYC'!AI31</f>
        <v>448635.73896381306</v>
      </c>
      <c r="Z254" s="187"/>
      <c r="AA254" s="187"/>
      <c r="AB254" s="187"/>
      <c r="AC254" s="195"/>
      <c r="AD254" s="195"/>
      <c r="AE254" s="195"/>
      <c r="AF254" s="195"/>
      <c r="AG254" s="197"/>
      <c r="AH254" s="197"/>
      <c r="BC254" s="147"/>
      <c r="BD254" s="147"/>
      <c r="BE254" s="147"/>
      <c r="BF254" s="147"/>
      <c r="BG254" s="147"/>
    </row>
    <row r="255" spans="2:59">
      <c r="B255" s="158" t="str">
        <f>Technologies!B$213</f>
        <v>R0,R1,R2,R3,R4,R5,R6</v>
      </c>
      <c r="C255" s="158" t="str">
        <f>'Imp Refined NYC'!E32</f>
        <v>IMPDSLP15</v>
      </c>
      <c r="D255" s="158" t="str">
        <f>'Imp Refined NYC'!F32</f>
        <v>Imported Distillate-Low Sulfur Highway Diesel (500 ppm), PADD 1, Step 5</v>
      </c>
      <c r="E255" s="197" t="str">
        <f>'Imp Refined NYC'!G32</f>
        <v>DSLP1</v>
      </c>
      <c r="F255" s="197"/>
      <c r="G255" s="187"/>
      <c r="H255" s="197"/>
      <c r="I255" s="197">
        <v>1.0049999999999999</v>
      </c>
      <c r="J255" s="197">
        <v>1.0049999999999999</v>
      </c>
      <c r="K255" s="195">
        <f>'Imp Refined NYC'!M32</f>
        <v>16.517093278466696</v>
      </c>
      <c r="L255" s="195" t="e">
        <f>'Imp Refined NYC'!N32</f>
        <v>#REF!</v>
      </c>
      <c r="M255" s="195" t="e">
        <f>'Imp Refined NYC'!O32</f>
        <v>#REF!</v>
      </c>
      <c r="N255" s="195" t="e">
        <f>'Imp Refined NYC'!P32</f>
        <v>#REF!</v>
      </c>
      <c r="O255" s="195" t="e">
        <f>'Imp Refined NYC'!Q32</f>
        <v>#REF!</v>
      </c>
      <c r="P255" s="195" t="e">
        <f>'Imp Refined NYC'!R32</f>
        <v>#REF!</v>
      </c>
      <c r="Q255" s="195" t="e">
        <f>'Imp Refined NYC'!S32</f>
        <v>#REF!</v>
      </c>
      <c r="R255" s="195" t="e">
        <f>'Imp Refined NYC'!T32</f>
        <v>#REF!</v>
      </c>
      <c r="S255" s="195" t="e">
        <f>'Imp Refined NYC'!U32</f>
        <v>#REF!</v>
      </c>
      <c r="T255" s="195" t="e">
        <f>'Imp Refined NYC'!V32</f>
        <v>#REF!</v>
      </c>
      <c r="U255" s="187"/>
      <c r="V255" s="187">
        <f>'Imp Refined NYC'!AF32</f>
        <v>1794542.9558552485</v>
      </c>
      <c r="W255" s="187">
        <f>'Imp Refined NYC'!AG32</f>
        <v>1794542.9558552485</v>
      </c>
      <c r="X255" s="187">
        <f>'Imp Refined NYC'!AH32</f>
        <v>1794542.9558552485</v>
      </c>
      <c r="Y255" s="187">
        <f>'Imp Refined NYC'!AI32</f>
        <v>1794542.9558552485</v>
      </c>
      <c r="Z255" s="187"/>
      <c r="AA255" s="187"/>
      <c r="AB255" s="187"/>
      <c r="AC255" s="195"/>
      <c r="AD255" s="195"/>
      <c r="AE255" s="195"/>
      <c r="AF255" s="195"/>
      <c r="AG255" s="197"/>
      <c r="AH255" s="197"/>
      <c r="BC255" s="147"/>
      <c r="BD255" s="147"/>
      <c r="BE255" s="147"/>
      <c r="BF255" s="147"/>
      <c r="BG255" s="147"/>
    </row>
    <row r="256" spans="2:59">
      <c r="B256" s="158" t="str">
        <f>Technologies!B$214</f>
        <v>R0,R1,R2,R3,R4,R5,R6</v>
      </c>
      <c r="C256" s="158" t="str">
        <f>'Imp Refined NYC'!E33</f>
        <v>IMPRFLP13</v>
      </c>
      <c r="D256" s="158" t="str">
        <f>'Imp Refined NYC'!F33</f>
        <v>Imported Low Sulfur Residual Fuel Oil, PADD 1, Step 3</v>
      </c>
      <c r="E256" s="197" t="str">
        <f>'Imp Refined NYC'!G33</f>
        <v>RFLP1</v>
      </c>
      <c r="F256" s="197"/>
      <c r="G256" s="187"/>
      <c r="H256" s="197"/>
      <c r="I256" s="197">
        <v>1.0049999999999999</v>
      </c>
      <c r="J256" s="197">
        <v>1.0049999999999999</v>
      </c>
      <c r="K256" s="195">
        <f>'Imp Refined NYC'!M33</f>
        <v>8.7232420491919225</v>
      </c>
      <c r="L256" s="195" t="e">
        <f>'Imp Refined NYC'!N33</f>
        <v>#REF!</v>
      </c>
      <c r="M256" s="195" t="e">
        <f>'Imp Refined NYC'!O33</f>
        <v>#REF!</v>
      </c>
      <c r="N256" s="195" t="e">
        <f>'Imp Refined NYC'!P33</f>
        <v>#REF!</v>
      </c>
      <c r="O256" s="195" t="e">
        <f>'Imp Refined NYC'!Q33</f>
        <v>#REF!</v>
      </c>
      <c r="P256" s="195" t="e">
        <f>'Imp Refined NYC'!R33</f>
        <v>#REF!</v>
      </c>
      <c r="Q256" s="195" t="e">
        <f>'Imp Refined NYC'!S33</f>
        <v>#REF!</v>
      </c>
      <c r="R256" s="195" t="e">
        <f>'Imp Refined NYC'!T33</f>
        <v>#REF!</v>
      </c>
      <c r="S256" s="195" t="e">
        <f>'Imp Refined NYC'!U33</f>
        <v>#REF!</v>
      </c>
      <c r="T256" s="195" t="e">
        <f>'Imp Refined NYC'!V33</f>
        <v>#REF!</v>
      </c>
      <c r="U256" s="187"/>
      <c r="V256" s="187">
        <f>'Imp Refined NYC'!AF33</f>
        <v>242109.26101849694</v>
      </c>
      <c r="W256" s="187">
        <f>'Imp Refined NYC'!AG33</f>
        <v>242109.26101849694</v>
      </c>
      <c r="X256" s="187">
        <f>'Imp Refined NYC'!AH33</f>
        <v>242109.26101849694</v>
      </c>
      <c r="Y256" s="187">
        <f>'Imp Refined NYC'!AI33</f>
        <v>242109.26101849694</v>
      </c>
      <c r="Z256" s="187"/>
      <c r="AA256" s="187"/>
      <c r="AB256" s="187"/>
      <c r="AC256" s="195"/>
      <c r="AD256" s="195"/>
      <c r="AE256" s="195"/>
      <c r="AF256" s="195"/>
      <c r="AG256" s="197"/>
      <c r="AH256" s="197"/>
      <c r="BC256" s="147"/>
      <c r="BD256" s="147"/>
      <c r="BE256" s="147"/>
      <c r="BF256" s="147"/>
      <c r="BG256" s="147"/>
    </row>
    <row r="257" spans="2:59">
      <c r="B257" s="158" t="str">
        <f>Technologies!B$215</f>
        <v>R0,R1,R2,R3,R4,R5,R6</v>
      </c>
      <c r="C257" s="158" t="str">
        <f>'Imp Refined NYC'!E34</f>
        <v>IMPRFLP11</v>
      </c>
      <c r="D257" s="158" t="str">
        <f>'Imp Refined NYC'!F34</f>
        <v>Imported Low Sulfur Residual Fuel Oil, PADD 1, Step 1</v>
      </c>
      <c r="E257" s="197" t="str">
        <f>'Imp Refined NYC'!G34</f>
        <v>RFLP1</v>
      </c>
      <c r="F257" s="197"/>
      <c r="G257" s="187"/>
      <c r="H257" s="197"/>
      <c r="I257" s="197">
        <v>1.0049999999999999</v>
      </c>
      <c r="J257" s="197">
        <v>1.0049999999999999</v>
      </c>
      <c r="K257" s="195">
        <f>'Imp Refined NYC'!M34</f>
        <v>8.2870799467323266</v>
      </c>
      <c r="L257" s="195" t="e">
        <f>'Imp Refined NYC'!N34</f>
        <v>#REF!</v>
      </c>
      <c r="M257" s="195" t="e">
        <f>'Imp Refined NYC'!O34</f>
        <v>#REF!</v>
      </c>
      <c r="N257" s="195" t="e">
        <f>'Imp Refined NYC'!P34</f>
        <v>#REF!</v>
      </c>
      <c r="O257" s="195" t="e">
        <f>'Imp Refined NYC'!Q34</f>
        <v>#REF!</v>
      </c>
      <c r="P257" s="195" t="e">
        <f>'Imp Refined NYC'!R34</f>
        <v>#REF!</v>
      </c>
      <c r="Q257" s="195" t="e">
        <f>'Imp Refined NYC'!S34</f>
        <v>#REF!</v>
      </c>
      <c r="R257" s="195" t="e">
        <f>'Imp Refined NYC'!T34</f>
        <v>#REF!</v>
      </c>
      <c r="S257" s="195" t="e">
        <f>'Imp Refined NYC'!U34</f>
        <v>#REF!</v>
      </c>
      <c r="T257" s="195" t="e">
        <f>'Imp Refined NYC'!V34</f>
        <v>#REF!</v>
      </c>
      <c r="U257" s="187"/>
      <c r="V257" s="187">
        <f>'Imp Refined NYC'!AF34</f>
        <v>1936874.088147975</v>
      </c>
      <c r="W257" s="187">
        <f>'Imp Refined NYC'!AG34</f>
        <v>1936874.088147975</v>
      </c>
      <c r="X257" s="187">
        <f>'Imp Refined NYC'!AH34</f>
        <v>1936874.088147975</v>
      </c>
      <c r="Y257" s="187">
        <f>'Imp Refined NYC'!AI34</f>
        <v>1936874.088147975</v>
      </c>
      <c r="Z257" s="187"/>
      <c r="AA257" s="187"/>
      <c r="AB257" s="187"/>
      <c r="AC257" s="195"/>
      <c r="AD257" s="195"/>
      <c r="AE257" s="195"/>
      <c r="AF257" s="195"/>
      <c r="AG257" s="197"/>
      <c r="AH257" s="197"/>
      <c r="BC257" s="147"/>
      <c r="BD257" s="147"/>
      <c r="BE257" s="147"/>
      <c r="BF257" s="147"/>
      <c r="BG257" s="147"/>
    </row>
    <row r="258" spans="2:59">
      <c r="B258" s="158" t="str">
        <f>Technologies!B$216</f>
        <v>R0,R1,R2,R3,R4,R5,R6</v>
      </c>
      <c r="C258" s="158" t="str">
        <f>'Imp Refined NYC'!E35</f>
        <v>IMPRFLP12</v>
      </c>
      <c r="D258" s="158" t="str">
        <f>'Imp Refined NYC'!F35</f>
        <v>Imported Low Sulfur Residual Fuel Oil, PADD 1, Step 2</v>
      </c>
      <c r="E258" s="197" t="str">
        <f>'Imp Refined NYC'!G35</f>
        <v>RFLP1</v>
      </c>
      <c r="F258" s="197"/>
      <c r="G258" s="187"/>
      <c r="H258" s="197"/>
      <c r="I258" s="197">
        <v>1.0049999999999999</v>
      </c>
      <c r="J258" s="197">
        <v>1.0049999999999999</v>
      </c>
      <c r="K258" s="195">
        <f>'Imp Refined NYC'!M35</f>
        <v>8.5487772082080831</v>
      </c>
      <c r="L258" s="195" t="e">
        <f>'Imp Refined NYC'!N35</f>
        <v>#REF!</v>
      </c>
      <c r="M258" s="195" t="e">
        <f>'Imp Refined NYC'!O35</f>
        <v>#REF!</v>
      </c>
      <c r="N258" s="195" t="e">
        <f>'Imp Refined NYC'!P35</f>
        <v>#REF!</v>
      </c>
      <c r="O258" s="195" t="e">
        <f>'Imp Refined NYC'!Q35</f>
        <v>#REF!</v>
      </c>
      <c r="P258" s="195" t="e">
        <f>'Imp Refined NYC'!R35</f>
        <v>#REF!</v>
      </c>
      <c r="Q258" s="195" t="e">
        <f>'Imp Refined NYC'!S35</f>
        <v>#REF!</v>
      </c>
      <c r="R258" s="195" t="e">
        <f>'Imp Refined NYC'!T35</f>
        <v>#REF!</v>
      </c>
      <c r="S258" s="195" t="e">
        <f>'Imp Refined NYC'!U35</f>
        <v>#REF!</v>
      </c>
      <c r="T258" s="195" t="e">
        <f>'Imp Refined NYC'!V35</f>
        <v>#REF!</v>
      </c>
      <c r="U258" s="187"/>
      <c r="V258" s="187">
        <f>'Imp Refined NYC'!AF35</f>
        <v>242109.26101849647</v>
      </c>
      <c r="W258" s="187">
        <f>'Imp Refined NYC'!AG35</f>
        <v>242109.26101849647</v>
      </c>
      <c r="X258" s="187">
        <f>'Imp Refined NYC'!AH35</f>
        <v>242109.26101849647</v>
      </c>
      <c r="Y258" s="187">
        <f>'Imp Refined NYC'!AI35</f>
        <v>242109.26101849647</v>
      </c>
      <c r="Z258" s="187"/>
      <c r="AA258" s="187"/>
      <c r="AB258" s="187"/>
      <c r="AC258" s="195"/>
      <c r="AD258" s="195"/>
      <c r="AE258" s="195"/>
      <c r="AF258" s="195"/>
      <c r="AG258" s="197"/>
      <c r="AH258" s="197"/>
      <c r="BC258" s="147"/>
      <c r="BD258" s="147"/>
      <c r="BE258" s="147"/>
      <c r="BF258" s="147"/>
      <c r="BG258" s="147"/>
    </row>
    <row r="259" spans="2:59">
      <c r="B259" s="158" t="str">
        <f>Technologies!B$217</f>
        <v>R0,R1,R2,R3,R4,R5,R6</v>
      </c>
      <c r="C259" s="158" t="str">
        <f>'Imp Refined NYC'!E36</f>
        <v>IMPRFLP14</v>
      </c>
      <c r="D259" s="158" t="str">
        <f>'Imp Refined NYC'!F36</f>
        <v>Imported Low Sulfur Residual Fuel Oil, PADD 1, Step 4</v>
      </c>
      <c r="E259" s="197" t="str">
        <f>'Imp Refined NYC'!G36</f>
        <v>RFLP1</v>
      </c>
      <c r="F259" s="197"/>
      <c r="G259" s="187"/>
      <c r="H259" s="197"/>
      <c r="I259" s="197">
        <v>1.0049999999999999</v>
      </c>
      <c r="J259" s="197">
        <v>1.0049999999999999</v>
      </c>
      <c r="K259" s="195">
        <f>'Imp Refined NYC'!M36</f>
        <v>9.5083338336191972</v>
      </c>
      <c r="L259" s="195" t="e">
        <f>'Imp Refined NYC'!N36</f>
        <v>#REF!</v>
      </c>
      <c r="M259" s="195" t="e">
        <f>'Imp Refined NYC'!O36</f>
        <v>#REF!</v>
      </c>
      <c r="N259" s="195" t="e">
        <f>'Imp Refined NYC'!P36</f>
        <v>#REF!</v>
      </c>
      <c r="O259" s="195" t="e">
        <f>'Imp Refined NYC'!Q36</f>
        <v>#REF!</v>
      </c>
      <c r="P259" s="195" t="e">
        <f>'Imp Refined NYC'!R36</f>
        <v>#REF!</v>
      </c>
      <c r="Q259" s="195" t="e">
        <f>'Imp Refined NYC'!S36</f>
        <v>#REF!</v>
      </c>
      <c r="R259" s="195" t="e">
        <f>'Imp Refined NYC'!T36</f>
        <v>#REF!</v>
      </c>
      <c r="S259" s="195" t="e">
        <f>'Imp Refined NYC'!U36</f>
        <v>#REF!</v>
      </c>
      <c r="T259" s="195" t="e">
        <f>'Imp Refined NYC'!V36</f>
        <v>#REF!</v>
      </c>
      <c r="U259" s="187"/>
      <c r="V259" s="187">
        <f>'Imp Refined NYC'!AF36</f>
        <v>484218.52203699341</v>
      </c>
      <c r="W259" s="187">
        <f>'Imp Refined NYC'!AG36</f>
        <v>484218.52203699341</v>
      </c>
      <c r="X259" s="187">
        <f>'Imp Refined NYC'!AH36</f>
        <v>484218.52203699341</v>
      </c>
      <c r="Y259" s="187">
        <f>'Imp Refined NYC'!AI36</f>
        <v>484218.52203699341</v>
      </c>
      <c r="Z259" s="187"/>
      <c r="AA259" s="187"/>
      <c r="AB259" s="187"/>
      <c r="AC259" s="195"/>
      <c r="AD259" s="195"/>
      <c r="AE259" s="195"/>
      <c r="AF259" s="195"/>
      <c r="AG259" s="197"/>
      <c r="AH259" s="197"/>
      <c r="BC259" s="147"/>
      <c r="BD259" s="147"/>
      <c r="BE259" s="147"/>
      <c r="BF259" s="147"/>
      <c r="BG259" s="147"/>
    </row>
    <row r="260" spans="2:59">
      <c r="B260" s="158" t="str">
        <f>Technologies!B$218</f>
        <v>R0,R1,R2,R3,R4,R5,R6</v>
      </c>
      <c r="C260" s="158" t="str">
        <f>'Imp Refined NYC'!E37</f>
        <v>IMPRFLP15</v>
      </c>
      <c r="D260" s="158" t="str">
        <f>'Imp Refined NYC'!F37</f>
        <v>Imported Low Sulfur Residual Fuel Oil, PADD 1, Step 5</v>
      </c>
      <c r="E260" s="197" t="str">
        <f>'Imp Refined NYC'!G37</f>
        <v>RFLP1</v>
      </c>
      <c r="F260" s="197"/>
      <c r="G260" s="187"/>
      <c r="H260" s="197"/>
      <c r="I260" s="197">
        <v>1.0049999999999999</v>
      </c>
      <c r="J260" s="197">
        <v>1.0049999999999999</v>
      </c>
      <c r="K260" s="195">
        <f>'Imp Refined NYC'!M37</f>
        <v>11.340214663949503</v>
      </c>
      <c r="L260" s="195" t="e">
        <f>'Imp Refined NYC'!N37</f>
        <v>#REF!</v>
      </c>
      <c r="M260" s="195" t="e">
        <f>'Imp Refined NYC'!O37</f>
        <v>#REF!</v>
      </c>
      <c r="N260" s="195" t="e">
        <f>'Imp Refined NYC'!P37</f>
        <v>#REF!</v>
      </c>
      <c r="O260" s="195" t="e">
        <f>'Imp Refined NYC'!Q37</f>
        <v>#REF!</v>
      </c>
      <c r="P260" s="195" t="e">
        <f>'Imp Refined NYC'!R37</f>
        <v>#REF!</v>
      </c>
      <c r="Q260" s="195" t="e">
        <f>'Imp Refined NYC'!S37</f>
        <v>#REF!</v>
      </c>
      <c r="R260" s="195" t="e">
        <f>'Imp Refined NYC'!T37</f>
        <v>#REF!</v>
      </c>
      <c r="S260" s="195" t="e">
        <f>'Imp Refined NYC'!U37</f>
        <v>#REF!</v>
      </c>
      <c r="T260" s="195" t="e">
        <f>'Imp Refined NYC'!V37</f>
        <v>#REF!</v>
      </c>
      <c r="U260" s="187"/>
      <c r="V260" s="187">
        <f>'Imp Refined NYC'!AF37</f>
        <v>1936874.088147975</v>
      </c>
      <c r="W260" s="187">
        <f>'Imp Refined NYC'!AG37</f>
        <v>1936874.088147975</v>
      </c>
      <c r="X260" s="187">
        <f>'Imp Refined NYC'!AH37</f>
        <v>1936874.088147975</v>
      </c>
      <c r="Y260" s="187">
        <f>'Imp Refined NYC'!AI37</f>
        <v>1936874.088147975</v>
      </c>
      <c r="Z260" s="187"/>
      <c r="AA260" s="187"/>
      <c r="AB260" s="187"/>
      <c r="AC260" s="195"/>
      <c r="AD260" s="195"/>
      <c r="AE260" s="195"/>
      <c r="AF260" s="195"/>
      <c r="AG260" s="197"/>
      <c r="AH260" s="197"/>
      <c r="BC260" s="147"/>
      <c r="BD260" s="147"/>
      <c r="BE260" s="147"/>
      <c r="BF260" s="147"/>
      <c r="BG260" s="147"/>
    </row>
    <row r="261" spans="2:59">
      <c r="B261" s="158" t="str">
        <f>Technologies!B$219</f>
        <v>*R0,R1,R2,R3,R4,R5,R6</v>
      </c>
      <c r="C261" s="158" t="str">
        <f>'Imp Refined NYC'!E38</f>
        <v>IMPRFHP13</v>
      </c>
      <c r="D261" s="158" t="str">
        <f>'Imp Refined NYC'!F38</f>
        <v>Imported High Sulfur Residual Fuel Oil, PADD 1, Step 3</v>
      </c>
      <c r="E261" s="197" t="str">
        <f>'Imp Refined NYC'!G38</f>
        <v>RFHP1</v>
      </c>
      <c r="F261" s="197"/>
      <c r="G261" s="187"/>
      <c r="H261" s="197"/>
      <c r="I261" s="197">
        <v>1.0049999999999999</v>
      </c>
      <c r="J261" s="197">
        <v>1.0049999999999999</v>
      </c>
      <c r="K261" s="195">
        <f>'Imp Refined NYC'!M38</f>
        <v>7.2524036873386741</v>
      </c>
      <c r="L261" s="195" t="e">
        <f>'Imp Refined NYC'!N38</f>
        <v>#REF!</v>
      </c>
      <c r="M261" s="195" t="e">
        <f>'Imp Refined NYC'!O38</f>
        <v>#REF!</v>
      </c>
      <c r="N261" s="195" t="e">
        <f>'Imp Refined NYC'!P38</f>
        <v>#REF!</v>
      </c>
      <c r="O261" s="195" t="e">
        <f>'Imp Refined NYC'!Q38</f>
        <v>#REF!</v>
      </c>
      <c r="P261" s="195" t="e">
        <f>'Imp Refined NYC'!R38</f>
        <v>#REF!</v>
      </c>
      <c r="Q261" s="195" t="e">
        <f>'Imp Refined NYC'!S38</f>
        <v>#REF!</v>
      </c>
      <c r="R261" s="195" t="e">
        <f>'Imp Refined NYC'!T38</f>
        <v>#REF!</v>
      </c>
      <c r="S261" s="195" t="e">
        <f>'Imp Refined NYC'!U38</f>
        <v>#REF!</v>
      </c>
      <c r="T261" s="195" t="e">
        <f>'Imp Refined NYC'!V38</f>
        <v>#REF!</v>
      </c>
      <c r="U261" s="187"/>
      <c r="V261" s="187">
        <f>'Imp Refined NYC'!AF38</f>
        <v>242109.26101849694</v>
      </c>
      <c r="W261" s="187">
        <f>'Imp Refined NYC'!AG38</f>
        <v>242109.26101849694</v>
      </c>
      <c r="X261" s="187">
        <f>'Imp Refined NYC'!AH38</f>
        <v>242109.26101849694</v>
      </c>
      <c r="Y261" s="187">
        <f>'Imp Refined NYC'!AI38</f>
        <v>242109.26101849694</v>
      </c>
      <c r="Z261" s="187"/>
      <c r="AA261" s="187"/>
      <c r="AB261" s="187"/>
      <c r="AC261" s="195"/>
      <c r="AD261" s="195"/>
      <c r="AE261" s="195"/>
      <c r="AF261" s="195"/>
      <c r="AG261" s="197"/>
      <c r="AH261" s="197"/>
      <c r="BC261" s="147"/>
      <c r="BD261" s="147"/>
      <c r="BE261" s="147"/>
      <c r="BF261" s="147"/>
      <c r="BG261" s="147"/>
    </row>
    <row r="262" spans="2:59">
      <c r="B262" s="158" t="str">
        <f>Technologies!B$220</f>
        <v>*R0,R1,R2,R3,R4,R5,R6</v>
      </c>
      <c r="C262" s="158" t="str">
        <f>'Imp Refined NYC'!E39</f>
        <v>IMPRFHP11</v>
      </c>
      <c r="D262" s="158" t="str">
        <f>'Imp Refined NYC'!F39</f>
        <v>Imported High Sulfur Residual Fuel Oil, PADD 1, Step 1</v>
      </c>
      <c r="E262" s="197" t="str">
        <f>'Imp Refined NYC'!G39</f>
        <v>RFHP1</v>
      </c>
      <c r="F262" s="197"/>
      <c r="G262" s="187"/>
      <c r="H262" s="197"/>
      <c r="I262" s="197">
        <v>1.0049999999999999</v>
      </c>
      <c r="J262" s="197">
        <v>1.0049999999999999</v>
      </c>
      <c r="K262" s="195">
        <f>'Imp Refined NYC'!M39</f>
        <v>6.8897835029717411</v>
      </c>
      <c r="L262" s="195" t="e">
        <f>'Imp Refined NYC'!N39</f>
        <v>#REF!</v>
      </c>
      <c r="M262" s="195" t="e">
        <f>'Imp Refined NYC'!O39</f>
        <v>#REF!</v>
      </c>
      <c r="N262" s="195" t="e">
        <f>'Imp Refined NYC'!P39</f>
        <v>#REF!</v>
      </c>
      <c r="O262" s="195" t="e">
        <f>'Imp Refined NYC'!Q39</f>
        <v>#REF!</v>
      </c>
      <c r="P262" s="195" t="e">
        <f>'Imp Refined NYC'!R39</f>
        <v>#REF!</v>
      </c>
      <c r="Q262" s="195" t="e">
        <f>'Imp Refined NYC'!S39</f>
        <v>#REF!</v>
      </c>
      <c r="R262" s="195" t="e">
        <f>'Imp Refined NYC'!T39</f>
        <v>#REF!</v>
      </c>
      <c r="S262" s="195" t="e">
        <f>'Imp Refined NYC'!U39</f>
        <v>#REF!</v>
      </c>
      <c r="T262" s="195" t="e">
        <f>'Imp Refined NYC'!V39</f>
        <v>#REF!</v>
      </c>
      <c r="U262" s="187"/>
      <c r="V262" s="187">
        <f>'Imp Refined NYC'!AF39</f>
        <v>1936874.088147975</v>
      </c>
      <c r="W262" s="187">
        <f>'Imp Refined NYC'!AG39</f>
        <v>1936874.088147975</v>
      </c>
      <c r="X262" s="187">
        <f>'Imp Refined NYC'!AH39</f>
        <v>1936874.088147975</v>
      </c>
      <c r="Y262" s="187">
        <f>'Imp Refined NYC'!AI39</f>
        <v>1936874.088147975</v>
      </c>
      <c r="Z262" s="187"/>
      <c r="AA262" s="187"/>
      <c r="AB262" s="187"/>
      <c r="AC262" s="195"/>
      <c r="AD262" s="195"/>
      <c r="AE262" s="195"/>
      <c r="AF262" s="195"/>
      <c r="AG262" s="197"/>
      <c r="AH262" s="197"/>
      <c r="BC262" s="147"/>
      <c r="BD262" s="147"/>
      <c r="BE262" s="147"/>
      <c r="BF262" s="147"/>
      <c r="BG262" s="147"/>
    </row>
    <row r="263" spans="2:59">
      <c r="B263" s="158" t="str">
        <f>Technologies!B$221</f>
        <v>*R0,R1,R2,R3,R4,R5,R6</v>
      </c>
      <c r="C263" s="158" t="str">
        <f>'Imp Refined NYC'!E40</f>
        <v>IMPRFHP12</v>
      </c>
      <c r="D263" s="158" t="str">
        <f>'Imp Refined NYC'!F40</f>
        <v>Imported High Sulfur Residual Fuel Oil, PADD 1, Step 2</v>
      </c>
      <c r="E263" s="197" t="str">
        <f>'Imp Refined NYC'!G40</f>
        <v>RFHP1</v>
      </c>
      <c r="F263" s="197"/>
      <c r="G263" s="187"/>
      <c r="H263" s="197"/>
      <c r="I263" s="197">
        <v>1.0049999999999999</v>
      </c>
      <c r="J263" s="197">
        <v>1.0049999999999999</v>
      </c>
      <c r="K263" s="195">
        <f>'Imp Refined NYC'!M40</f>
        <v>7.1073556135919027</v>
      </c>
      <c r="L263" s="195" t="e">
        <f>'Imp Refined NYC'!N40</f>
        <v>#REF!</v>
      </c>
      <c r="M263" s="195" t="e">
        <f>'Imp Refined NYC'!O40</f>
        <v>#REF!</v>
      </c>
      <c r="N263" s="195" t="e">
        <f>'Imp Refined NYC'!P40</f>
        <v>#REF!</v>
      </c>
      <c r="O263" s="195" t="e">
        <f>'Imp Refined NYC'!Q40</f>
        <v>#REF!</v>
      </c>
      <c r="P263" s="195" t="e">
        <f>'Imp Refined NYC'!R40</f>
        <v>#REF!</v>
      </c>
      <c r="Q263" s="195" t="e">
        <f>'Imp Refined NYC'!S40</f>
        <v>#REF!</v>
      </c>
      <c r="R263" s="195" t="e">
        <f>'Imp Refined NYC'!T40</f>
        <v>#REF!</v>
      </c>
      <c r="S263" s="195" t="e">
        <f>'Imp Refined NYC'!U40</f>
        <v>#REF!</v>
      </c>
      <c r="T263" s="195" t="e">
        <f>'Imp Refined NYC'!V40</f>
        <v>#REF!</v>
      </c>
      <c r="U263" s="187"/>
      <c r="V263" s="187">
        <f>'Imp Refined NYC'!AF40</f>
        <v>242109.26101849647</v>
      </c>
      <c r="W263" s="187">
        <f>'Imp Refined NYC'!AG40</f>
        <v>242109.26101849647</v>
      </c>
      <c r="X263" s="187">
        <f>'Imp Refined NYC'!AH40</f>
        <v>242109.26101849647</v>
      </c>
      <c r="Y263" s="187">
        <f>'Imp Refined NYC'!AI40</f>
        <v>242109.26101849647</v>
      </c>
      <c r="Z263" s="187"/>
      <c r="AA263" s="187"/>
      <c r="AB263" s="187"/>
      <c r="AC263" s="195"/>
      <c r="AD263" s="195"/>
      <c r="AE263" s="195"/>
      <c r="AF263" s="195"/>
      <c r="AG263" s="197"/>
      <c r="AH263" s="197"/>
      <c r="BC263" s="147"/>
      <c r="BD263" s="147"/>
      <c r="BE263" s="147"/>
      <c r="BF263" s="147"/>
      <c r="BG263" s="147"/>
    </row>
    <row r="264" spans="2:59">
      <c r="B264" s="158" t="str">
        <f>Technologies!B$222</f>
        <v>*R0,R1,R2,R3,R4,R5,R6</v>
      </c>
      <c r="C264" s="158" t="str">
        <f>'Imp Refined NYC'!E41</f>
        <v>IMPRFHP14</v>
      </c>
      <c r="D264" s="158" t="str">
        <f>'Imp Refined NYC'!F41</f>
        <v>Imported High Sulfur Residual Fuel Oil, PADD 1, Step 4</v>
      </c>
      <c r="E264" s="197" t="str">
        <f>'Imp Refined NYC'!G41</f>
        <v>RFHP1</v>
      </c>
      <c r="F264" s="197"/>
      <c r="G264" s="187"/>
      <c r="H264" s="197"/>
      <c r="I264" s="197">
        <v>1.0049999999999999</v>
      </c>
      <c r="J264" s="197">
        <v>1.0049999999999999</v>
      </c>
      <c r="K264" s="195">
        <f>'Imp Refined NYC'!M41</f>
        <v>7.9051200191991562</v>
      </c>
      <c r="L264" s="195" t="e">
        <f>'Imp Refined NYC'!N41</f>
        <v>#REF!</v>
      </c>
      <c r="M264" s="195" t="e">
        <f>'Imp Refined NYC'!O41</f>
        <v>#REF!</v>
      </c>
      <c r="N264" s="195" t="e">
        <f>'Imp Refined NYC'!P41</f>
        <v>#REF!</v>
      </c>
      <c r="O264" s="195" t="e">
        <f>'Imp Refined NYC'!Q41</f>
        <v>#REF!</v>
      </c>
      <c r="P264" s="195" t="e">
        <f>'Imp Refined NYC'!R41</f>
        <v>#REF!</v>
      </c>
      <c r="Q264" s="195" t="e">
        <f>'Imp Refined NYC'!S41</f>
        <v>#REF!</v>
      </c>
      <c r="R264" s="195" t="e">
        <f>'Imp Refined NYC'!T41</f>
        <v>#REF!</v>
      </c>
      <c r="S264" s="195" t="e">
        <f>'Imp Refined NYC'!U41</f>
        <v>#REF!</v>
      </c>
      <c r="T264" s="195" t="e">
        <f>'Imp Refined NYC'!V41</f>
        <v>#REF!</v>
      </c>
      <c r="U264" s="187"/>
      <c r="V264" s="187">
        <f>'Imp Refined NYC'!AF41</f>
        <v>484218.52203699341</v>
      </c>
      <c r="W264" s="187">
        <f>'Imp Refined NYC'!AG41</f>
        <v>484218.52203699341</v>
      </c>
      <c r="X264" s="187">
        <f>'Imp Refined NYC'!AH41</f>
        <v>484218.52203699341</v>
      </c>
      <c r="Y264" s="187">
        <f>'Imp Refined NYC'!AI41</f>
        <v>484218.52203699341</v>
      </c>
      <c r="Z264" s="187"/>
      <c r="AA264" s="187"/>
      <c r="AB264" s="187"/>
      <c r="AC264" s="195"/>
      <c r="AD264" s="195"/>
      <c r="AE264" s="195"/>
      <c r="AF264" s="195"/>
      <c r="AG264" s="197"/>
      <c r="AH264" s="197"/>
      <c r="BC264" s="147"/>
      <c r="BD264" s="147"/>
      <c r="BE264" s="147"/>
      <c r="BF264" s="147"/>
      <c r="BG264" s="147"/>
    </row>
    <row r="265" spans="2:59">
      <c r="B265" s="158" t="str">
        <f>Technologies!B$223</f>
        <v>*R0,R1,R2,R3,R4,R5,R6</v>
      </c>
      <c r="C265" s="158" t="str">
        <f>'Imp Refined NYC'!E42</f>
        <v>IMPRFHP15</v>
      </c>
      <c r="D265" s="158" t="str">
        <f>'Imp Refined NYC'!F42</f>
        <v>Imported High Sulfur Residual Fuel Oil, PADD 1, Step 5</v>
      </c>
      <c r="E265" s="197" t="str">
        <f>'Imp Refined NYC'!G42</f>
        <v>RFHP1</v>
      </c>
      <c r="F265" s="197"/>
      <c r="G265" s="187"/>
      <c r="H265" s="197"/>
      <c r="I265" s="197">
        <v>1.0049999999999999</v>
      </c>
      <c r="J265" s="197">
        <v>1.0049999999999999</v>
      </c>
      <c r="K265" s="195">
        <f>'Imp Refined NYC'!M42</f>
        <v>9.4281247935402774</v>
      </c>
      <c r="L265" s="195" t="e">
        <f>'Imp Refined NYC'!N42</f>
        <v>#REF!</v>
      </c>
      <c r="M265" s="195" t="e">
        <f>'Imp Refined NYC'!O42</f>
        <v>#REF!</v>
      </c>
      <c r="N265" s="195" t="e">
        <f>'Imp Refined NYC'!P42</f>
        <v>#REF!</v>
      </c>
      <c r="O265" s="195" t="e">
        <f>'Imp Refined NYC'!Q42</f>
        <v>#REF!</v>
      </c>
      <c r="P265" s="195" t="e">
        <f>'Imp Refined NYC'!R42</f>
        <v>#REF!</v>
      </c>
      <c r="Q265" s="195" t="e">
        <f>'Imp Refined NYC'!S42</f>
        <v>#REF!</v>
      </c>
      <c r="R265" s="195" t="e">
        <f>'Imp Refined NYC'!T42</f>
        <v>#REF!</v>
      </c>
      <c r="S265" s="195" t="e">
        <f>'Imp Refined NYC'!U42</f>
        <v>#REF!</v>
      </c>
      <c r="T265" s="195" t="e">
        <f>'Imp Refined NYC'!V42</f>
        <v>#REF!</v>
      </c>
      <c r="U265" s="187"/>
      <c r="V265" s="187">
        <f>'Imp Refined NYC'!AF42</f>
        <v>1936874.088147975</v>
      </c>
      <c r="W265" s="187">
        <f>'Imp Refined NYC'!AG42</f>
        <v>1936874.088147975</v>
      </c>
      <c r="X265" s="187">
        <f>'Imp Refined NYC'!AH42</f>
        <v>1936874.088147975</v>
      </c>
      <c r="Y265" s="187">
        <f>'Imp Refined NYC'!AI42</f>
        <v>1936874.088147975</v>
      </c>
      <c r="Z265" s="187"/>
      <c r="AA265" s="187"/>
      <c r="AB265" s="187"/>
      <c r="AC265" s="195"/>
      <c r="AD265" s="195"/>
      <c r="AE265" s="195"/>
      <c r="AF265" s="195"/>
      <c r="AG265" s="197"/>
      <c r="AH265" s="197"/>
      <c r="BC265" s="147"/>
      <c r="BD265" s="147"/>
      <c r="BE265" s="147"/>
      <c r="BF265" s="147"/>
      <c r="BG265" s="147"/>
    </row>
    <row r="266" spans="2:59">
      <c r="B266" s="158" t="str">
        <f>Technologies!B$229</f>
        <v>*R0,R1,R2,R3,R4,R5,R6</v>
      </c>
      <c r="C266" s="158" t="str">
        <f>'Imp Refined NYC'!E48</f>
        <v>IMPLPGP13</v>
      </c>
      <c r="D266" s="158" t="str">
        <f>'Imp Refined NYC'!F48</f>
        <v>Imported LPG, PADD 1, Step 3</v>
      </c>
      <c r="E266" s="197" t="str">
        <f>'Imp Refined NYC'!G48</f>
        <v>LPGP1</v>
      </c>
      <c r="F266" s="197"/>
      <c r="G266" s="187"/>
      <c r="H266" s="197"/>
      <c r="I266" s="197">
        <v>1.0049999999999999</v>
      </c>
      <c r="J266" s="197">
        <v>1.0049999999999999</v>
      </c>
      <c r="K266" s="195">
        <f>'Imp Refined NYC'!M48</f>
        <v>12.818628614646682</v>
      </c>
      <c r="L266" s="195" t="e">
        <f>'Imp Refined NYC'!N48</f>
        <v>#REF!</v>
      </c>
      <c r="M266" s="195" t="e">
        <f>'Imp Refined NYC'!O48</f>
        <v>#REF!</v>
      </c>
      <c r="N266" s="195" t="e">
        <f>'Imp Refined NYC'!P48</f>
        <v>#REF!</v>
      </c>
      <c r="O266" s="195" t="e">
        <f>'Imp Refined NYC'!Q48</f>
        <v>#REF!</v>
      </c>
      <c r="P266" s="195" t="e">
        <f>'Imp Refined NYC'!R48</f>
        <v>#REF!</v>
      </c>
      <c r="Q266" s="195" t="e">
        <f>'Imp Refined NYC'!S48</f>
        <v>#REF!</v>
      </c>
      <c r="R266" s="195" t="e">
        <f>'Imp Refined NYC'!T48</f>
        <v>#REF!</v>
      </c>
      <c r="S266" s="195" t="e">
        <f>'Imp Refined NYC'!U48</f>
        <v>#REF!</v>
      </c>
      <c r="T266" s="195" t="e">
        <f>'Imp Refined NYC'!V48</f>
        <v>#REF!</v>
      </c>
      <c r="U266" s="187"/>
      <c r="V266" s="187">
        <f>'Imp Refined NYC'!AF48</f>
        <v>136978.31102955202</v>
      </c>
      <c r="W266" s="187">
        <f>'Imp Refined NYC'!AG48</f>
        <v>136978.31102955202</v>
      </c>
      <c r="X266" s="187">
        <f>'Imp Refined NYC'!AH48</f>
        <v>136978.31102955202</v>
      </c>
      <c r="Y266" s="187">
        <f>'Imp Refined NYC'!AI48</f>
        <v>136978.31102955202</v>
      </c>
      <c r="Z266" s="187"/>
      <c r="AA266" s="187"/>
      <c r="AB266" s="187"/>
      <c r="AC266" s="195"/>
      <c r="AD266" s="195"/>
      <c r="AE266" s="195"/>
      <c r="AF266" s="195"/>
      <c r="AG266" s="197"/>
      <c r="AH266" s="197"/>
      <c r="BC266" s="147"/>
      <c r="BD266" s="147"/>
      <c r="BE266" s="147"/>
      <c r="BF266" s="147"/>
      <c r="BG266" s="147"/>
    </row>
    <row r="267" spans="2:59">
      <c r="B267" s="158" t="str">
        <f>Technologies!B$230</f>
        <v>*R0,R1,R2,R3,R4,R5,R6</v>
      </c>
      <c r="C267" s="158" t="str">
        <f>'Imp Refined NYC'!E49</f>
        <v>IMPLPGP11</v>
      </c>
      <c r="D267" s="158" t="str">
        <f>'Imp Refined NYC'!F49</f>
        <v>Imported LPG, PADD 1, Step 1</v>
      </c>
      <c r="E267" s="197" t="str">
        <f>'Imp Refined NYC'!G49</f>
        <v>LPGP1</v>
      </c>
      <c r="F267" s="197"/>
      <c r="G267" s="187"/>
      <c r="H267" s="197"/>
      <c r="I267" s="197">
        <v>1.0049999999999999</v>
      </c>
      <c r="J267" s="197">
        <v>1.0049999999999999</v>
      </c>
      <c r="K267" s="195">
        <f>'Imp Refined NYC'!M49</f>
        <v>12.177697183914349</v>
      </c>
      <c r="L267" s="195" t="e">
        <f>'Imp Refined NYC'!N49</f>
        <v>#REF!</v>
      </c>
      <c r="M267" s="195" t="e">
        <f>'Imp Refined NYC'!O49</f>
        <v>#REF!</v>
      </c>
      <c r="N267" s="195" t="e">
        <f>'Imp Refined NYC'!P49</f>
        <v>#REF!</v>
      </c>
      <c r="O267" s="195" t="e">
        <f>'Imp Refined NYC'!Q49</f>
        <v>#REF!</v>
      </c>
      <c r="P267" s="195" t="e">
        <f>'Imp Refined NYC'!R49</f>
        <v>#REF!</v>
      </c>
      <c r="Q267" s="195" t="e">
        <f>'Imp Refined NYC'!S49</f>
        <v>#REF!</v>
      </c>
      <c r="R267" s="195" t="e">
        <f>'Imp Refined NYC'!T49</f>
        <v>#REF!</v>
      </c>
      <c r="S267" s="195" t="e">
        <f>'Imp Refined NYC'!U49</f>
        <v>#REF!</v>
      </c>
      <c r="T267" s="195" t="e">
        <f>'Imp Refined NYC'!V49</f>
        <v>#REF!</v>
      </c>
      <c r="U267" s="187"/>
      <c r="V267" s="187">
        <f>'Imp Refined NYC'!AF49</f>
        <v>1095826.4882364159</v>
      </c>
      <c r="W267" s="187">
        <f>'Imp Refined NYC'!AG49</f>
        <v>1095826.4882364159</v>
      </c>
      <c r="X267" s="187">
        <f>'Imp Refined NYC'!AH49</f>
        <v>1095826.4882364159</v>
      </c>
      <c r="Y267" s="187">
        <f>'Imp Refined NYC'!AI49</f>
        <v>1095826.4882364159</v>
      </c>
      <c r="Z267" s="187"/>
      <c r="AA267" s="187"/>
      <c r="AB267" s="187"/>
      <c r="AC267" s="195"/>
      <c r="AD267" s="195"/>
      <c r="AE267" s="195"/>
      <c r="AF267" s="195"/>
      <c r="AG267" s="197"/>
      <c r="AH267" s="197"/>
      <c r="BC267" s="147"/>
      <c r="BD267" s="147"/>
      <c r="BE267" s="147"/>
      <c r="BF267" s="147"/>
      <c r="BG267" s="147"/>
    </row>
    <row r="268" spans="2:59">
      <c r="B268" s="158" t="str">
        <f>Technologies!B$231</f>
        <v>*R0,R1,R2,R3,R4,R5,R6</v>
      </c>
      <c r="C268" s="158" t="str">
        <f>'Imp Refined NYC'!E50</f>
        <v>IMPLPGP12</v>
      </c>
      <c r="D268" s="158" t="str">
        <f>'Imp Refined NYC'!F50</f>
        <v>Imported LPG, PADD 1, Step 2</v>
      </c>
      <c r="E268" s="197" t="str">
        <f>'Imp Refined NYC'!G50</f>
        <v>LPGP1</v>
      </c>
      <c r="F268" s="197"/>
      <c r="G268" s="187"/>
      <c r="H268" s="197"/>
      <c r="I268" s="197">
        <v>1.0049999999999999</v>
      </c>
      <c r="J268" s="197">
        <v>1.0049999999999999</v>
      </c>
      <c r="K268" s="195">
        <f>'Imp Refined NYC'!M50</f>
        <v>12.56225604235375</v>
      </c>
      <c r="L268" s="195" t="e">
        <f>'Imp Refined NYC'!N50</f>
        <v>#REF!</v>
      </c>
      <c r="M268" s="195" t="e">
        <f>'Imp Refined NYC'!O50</f>
        <v>#REF!</v>
      </c>
      <c r="N268" s="195" t="e">
        <f>'Imp Refined NYC'!P50</f>
        <v>#REF!</v>
      </c>
      <c r="O268" s="195" t="e">
        <f>'Imp Refined NYC'!Q50</f>
        <v>#REF!</v>
      </c>
      <c r="P268" s="195" t="e">
        <f>'Imp Refined NYC'!R50</f>
        <v>#REF!</v>
      </c>
      <c r="Q268" s="195" t="e">
        <f>'Imp Refined NYC'!S50</f>
        <v>#REF!</v>
      </c>
      <c r="R268" s="195" t="e">
        <f>'Imp Refined NYC'!T50</f>
        <v>#REF!</v>
      </c>
      <c r="S268" s="195" t="e">
        <f>'Imp Refined NYC'!U50</f>
        <v>#REF!</v>
      </c>
      <c r="T268" s="195" t="e">
        <f>'Imp Refined NYC'!V50</f>
        <v>#REF!</v>
      </c>
      <c r="U268" s="187"/>
      <c r="V268" s="187">
        <f>'Imp Refined NYC'!AF50</f>
        <v>136978.31102955178</v>
      </c>
      <c r="W268" s="187">
        <f>'Imp Refined NYC'!AG50</f>
        <v>136978.31102955178</v>
      </c>
      <c r="X268" s="187">
        <f>'Imp Refined NYC'!AH50</f>
        <v>136978.31102955178</v>
      </c>
      <c r="Y268" s="187">
        <f>'Imp Refined NYC'!AI50</f>
        <v>136978.31102955178</v>
      </c>
      <c r="Z268" s="187"/>
      <c r="AA268" s="187"/>
      <c r="AB268" s="187"/>
      <c r="AC268" s="195"/>
      <c r="AD268" s="195"/>
      <c r="AE268" s="195"/>
      <c r="AF268" s="195"/>
      <c r="AG268" s="197"/>
      <c r="AH268" s="197"/>
      <c r="BC268" s="147"/>
      <c r="BD268" s="147"/>
      <c r="BE268" s="147"/>
      <c r="BF268" s="147"/>
      <c r="BG268" s="147"/>
    </row>
    <row r="269" spans="2:59">
      <c r="B269" s="158" t="str">
        <f>Technologies!B$232</f>
        <v>*R0,R1,R2,R3,R4,R5,R6</v>
      </c>
      <c r="C269" s="158" t="str">
        <f>'Imp Refined NYC'!E51</f>
        <v>IMPLPGP14</v>
      </c>
      <c r="D269" s="158" t="str">
        <f>'Imp Refined NYC'!F51</f>
        <v>Imported LPG, PADD 1, Step 4</v>
      </c>
      <c r="E269" s="197" t="str">
        <f>'Imp Refined NYC'!G51</f>
        <v>LPGP1</v>
      </c>
      <c r="F269" s="197"/>
      <c r="G269" s="187"/>
      <c r="H269" s="197"/>
      <c r="I269" s="197">
        <v>1.0049999999999999</v>
      </c>
      <c r="J269" s="197">
        <v>1.0049999999999999</v>
      </c>
      <c r="K269" s="195">
        <f>'Imp Refined NYC'!M51</f>
        <v>13.972305189964885</v>
      </c>
      <c r="L269" s="195" t="e">
        <f>'Imp Refined NYC'!N51</f>
        <v>#REF!</v>
      </c>
      <c r="M269" s="195" t="e">
        <f>'Imp Refined NYC'!O51</f>
        <v>#REF!</v>
      </c>
      <c r="N269" s="195" t="e">
        <f>'Imp Refined NYC'!P51</f>
        <v>#REF!</v>
      </c>
      <c r="O269" s="195" t="e">
        <f>'Imp Refined NYC'!Q51</f>
        <v>#REF!</v>
      </c>
      <c r="P269" s="195" t="e">
        <f>'Imp Refined NYC'!R51</f>
        <v>#REF!</v>
      </c>
      <c r="Q269" s="195" t="e">
        <f>'Imp Refined NYC'!S51</f>
        <v>#REF!</v>
      </c>
      <c r="R269" s="195" t="e">
        <f>'Imp Refined NYC'!T51</f>
        <v>#REF!</v>
      </c>
      <c r="S269" s="195" t="e">
        <f>'Imp Refined NYC'!U51</f>
        <v>#REF!</v>
      </c>
      <c r="T269" s="195" t="e">
        <f>'Imp Refined NYC'!V51</f>
        <v>#REF!</v>
      </c>
      <c r="U269" s="187"/>
      <c r="V269" s="187">
        <f>'Imp Refined NYC'!AF51</f>
        <v>273956.6220591045</v>
      </c>
      <c r="W269" s="187">
        <f>'Imp Refined NYC'!AG51</f>
        <v>273956.6220591045</v>
      </c>
      <c r="X269" s="187">
        <f>'Imp Refined NYC'!AH51</f>
        <v>273956.6220591045</v>
      </c>
      <c r="Y269" s="187">
        <f>'Imp Refined NYC'!AI51</f>
        <v>273956.6220591045</v>
      </c>
      <c r="Z269" s="187"/>
      <c r="AA269" s="187"/>
      <c r="AB269" s="187"/>
      <c r="AC269" s="195"/>
      <c r="AD269" s="195"/>
      <c r="AE269" s="195"/>
      <c r="AF269" s="195"/>
      <c r="AG269" s="197"/>
      <c r="AH269" s="197"/>
      <c r="BC269" s="147"/>
      <c r="BD269" s="147"/>
      <c r="BE269" s="147"/>
      <c r="BF269" s="147"/>
      <c r="BG269" s="147"/>
    </row>
    <row r="270" spans="2:59">
      <c r="B270" s="158" t="str">
        <f>Technologies!B$233</f>
        <v>*R0,R1,R2,R3,R4,R5,R6</v>
      </c>
      <c r="C270" s="158" t="str">
        <f>'Imp Refined NYC'!E52</f>
        <v>IMPLPGP15</v>
      </c>
      <c r="D270" s="158" t="str">
        <f>'Imp Refined NYC'!F52</f>
        <v>Imported LPG, PADD 1, Step 5</v>
      </c>
      <c r="E270" s="197" t="str">
        <f>'Imp Refined NYC'!G52</f>
        <v>LPGP1</v>
      </c>
      <c r="F270" s="197"/>
      <c r="G270" s="187"/>
      <c r="H270" s="197"/>
      <c r="I270" s="197">
        <v>1.0049999999999999</v>
      </c>
      <c r="J270" s="197">
        <v>1.0049999999999999</v>
      </c>
      <c r="K270" s="195">
        <f>'Imp Refined NYC'!M52</f>
        <v>16.664217199040689</v>
      </c>
      <c r="L270" s="195" t="e">
        <f>'Imp Refined NYC'!N52</f>
        <v>#REF!</v>
      </c>
      <c r="M270" s="195" t="e">
        <f>'Imp Refined NYC'!O52</f>
        <v>#REF!</v>
      </c>
      <c r="N270" s="195" t="e">
        <f>'Imp Refined NYC'!P52</f>
        <v>#REF!</v>
      </c>
      <c r="O270" s="195" t="e">
        <f>'Imp Refined NYC'!Q52</f>
        <v>#REF!</v>
      </c>
      <c r="P270" s="195" t="e">
        <f>'Imp Refined NYC'!R52</f>
        <v>#REF!</v>
      </c>
      <c r="Q270" s="195" t="e">
        <f>'Imp Refined NYC'!S52</f>
        <v>#REF!</v>
      </c>
      <c r="R270" s="195" t="e">
        <f>'Imp Refined NYC'!T52</f>
        <v>#REF!</v>
      </c>
      <c r="S270" s="195" t="e">
        <f>'Imp Refined NYC'!U52</f>
        <v>#REF!</v>
      </c>
      <c r="T270" s="195" t="e">
        <f>'Imp Refined NYC'!V52</f>
        <v>#REF!</v>
      </c>
      <c r="U270" s="187"/>
      <c r="V270" s="187">
        <f>'Imp Refined NYC'!AF52</f>
        <v>1095826.4882364152</v>
      </c>
      <c r="W270" s="187">
        <f>'Imp Refined NYC'!AG52</f>
        <v>1095826.4882364152</v>
      </c>
      <c r="X270" s="187">
        <f>'Imp Refined NYC'!AH52</f>
        <v>1095826.4882364152</v>
      </c>
      <c r="Y270" s="187">
        <f>'Imp Refined NYC'!AI52</f>
        <v>1095826.4882364152</v>
      </c>
      <c r="Z270" s="187"/>
      <c r="AA270" s="187"/>
      <c r="AB270" s="187"/>
      <c r="AC270" s="195"/>
      <c r="AD270" s="195"/>
      <c r="AE270" s="195"/>
      <c r="AF270" s="195"/>
      <c r="AG270" s="197"/>
      <c r="AH270" s="197"/>
      <c r="BC270" s="147"/>
      <c r="BD270" s="147"/>
      <c r="BE270" s="147"/>
      <c r="BF270" s="147"/>
      <c r="BG270" s="147"/>
    </row>
    <row r="271" spans="2:59">
      <c r="B271" s="158" t="str">
        <f>Technologies!B$234</f>
        <v>*R0,R1,R2,R3,R4,R5,R6</v>
      </c>
      <c r="C271" s="158" t="str">
        <f>'Imp Refined NYC'!E53</f>
        <v>IMPPFSP13</v>
      </c>
      <c r="D271" s="158" t="str">
        <f>'Imp Refined NYC'!F53</f>
        <v>Imported Petrochemical Feedstocks, PADD 1, Step 3</v>
      </c>
      <c r="E271" s="197" t="str">
        <f>'Imp Refined NYC'!G53</f>
        <v>PFSP1</v>
      </c>
      <c r="F271" s="197"/>
      <c r="G271" s="187"/>
      <c r="H271" s="197"/>
      <c r="I271" s="197">
        <v>1.0049999999999999</v>
      </c>
      <c r="J271" s="197">
        <v>1.0049999999999999</v>
      </c>
      <c r="K271" s="195">
        <f>'Imp Refined NYC'!M53</f>
        <v>6.4601411792285983</v>
      </c>
      <c r="L271" s="195" t="e">
        <f>'Imp Refined NYC'!N53</f>
        <v>#REF!</v>
      </c>
      <c r="M271" s="195" t="e">
        <f>'Imp Refined NYC'!O53</f>
        <v>#REF!</v>
      </c>
      <c r="N271" s="195" t="e">
        <f>'Imp Refined NYC'!P53</f>
        <v>#REF!</v>
      </c>
      <c r="O271" s="195" t="e">
        <f>'Imp Refined NYC'!Q53</f>
        <v>#REF!</v>
      </c>
      <c r="P271" s="195" t="e">
        <f>'Imp Refined NYC'!R53</f>
        <v>#REF!</v>
      </c>
      <c r="Q271" s="195" t="e">
        <f>'Imp Refined NYC'!S53</f>
        <v>#REF!</v>
      </c>
      <c r="R271" s="195" t="e">
        <f>'Imp Refined NYC'!T53</f>
        <v>#REF!</v>
      </c>
      <c r="S271" s="195" t="e">
        <f>'Imp Refined NYC'!U53</f>
        <v>#REF!</v>
      </c>
      <c r="T271" s="195" t="e">
        <f>'Imp Refined NYC'!V53</f>
        <v>#REF!</v>
      </c>
      <c r="U271" s="187"/>
      <c r="V271" s="187">
        <f>'Imp Refined NYC'!AF53</f>
        <v>219157.59574618516</v>
      </c>
      <c r="W271" s="187">
        <f>'Imp Refined NYC'!AG53</f>
        <v>219157.59574618516</v>
      </c>
      <c r="X271" s="187">
        <f>'Imp Refined NYC'!AH53</f>
        <v>219157.59574618516</v>
      </c>
      <c r="Y271" s="187">
        <f>'Imp Refined NYC'!AI53</f>
        <v>219157.59574618516</v>
      </c>
      <c r="Z271" s="187"/>
      <c r="AA271" s="187"/>
      <c r="AB271" s="187"/>
      <c r="AC271" s="195"/>
      <c r="AD271" s="195"/>
      <c r="AE271" s="195"/>
      <c r="AF271" s="195"/>
      <c r="AG271" s="197"/>
      <c r="AH271" s="197"/>
      <c r="BC271" s="147"/>
      <c r="BD271" s="147"/>
      <c r="BE271" s="147"/>
      <c r="BF271" s="147"/>
      <c r="BG271" s="147"/>
    </row>
    <row r="272" spans="2:59">
      <c r="B272" s="158" t="str">
        <f>Technologies!B$235</f>
        <v>*R0,R1,R2,R3,R4,R5,R6</v>
      </c>
      <c r="C272" s="158" t="str">
        <f>'Imp Refined NYC'!E54</f>
        <v>IMPPFSP11</v>
      </c>
      <c r="D272" s="158" t="str">
        <f>'Imp Refined NYC'!F54</f>
        <v>Imported Petrochemical Feedstocks, PADD 1, Step 1</v>
      </c>
      <c r="E272" s="197" t="str">
        <f>'Imp Refined NYC'!G54</f>
        <v>PFSP1</v>
      </c>
      <c r="F272" s="197"/>
      <c r="G272" s="187"/>
      <c r="H272" s="197"/>
      <c r="I272" s="197">
        <v>1.0049999999999999</v>
      </c>
      <c r="J272" s="197">
        <v>1.0049999999999999</v>
      </c>
      <c r="K272" s="195">
        <f>'Imp Refined NYC'!M54</f>
        <v>6.1371341202671683</v>
      </c>
      <c r="L272" s="195" t="e">
        <f>'Imp Refined NYC'!N54</f>
        <v>#REF!</v>
      </c>
      <c r="M272" s="195" t="e">
        <f>'Imp Refined NYC'!O54</f>
        <v>#REF!</v>
      </c>
      <c r="N272" s="195" t="e">
        <f>'Imp Refined NYC'!P54</f>
        <v>#REF!</v>
      </c>
      <c r="O272" s="195" t="e">
        <f>'Imp Refined NYC'!Q54</f>
        <v>#REF!</v>
      </c>
      <c r="P272" s="195" t="e">
        <f>'Imp Refined NYC'!R54</f>
        <v>#REF!</v>
      </c>
      <c r="Q272" s="195" t="e">
        <f>'Imp Refined NYC'!S54</f>
        <v>#REF!</v>
      </c>
      <c r="R272" s="195" t="e">
        <f>'Imp Refined NYC'!T54</f>
        <v>#REF!</v>
      </c>
      <c r="S272" s="195" t="e">
        <f>'Imp Refined NYC'!U54</f>
        <v>#REF!</v>
      </c>
      <c r="T272" s="195" t="e">
        <f>'Imp Refined NYC'!V54</f>
        <v>#REF!</v>
      </c>
      <c r="U272" s="187"/>
      <c r="V272" s="187">
        <f>'Imp Refined NYC'!AF54</f>
        <v>1753260.7659694806</v>
      </c>
      <c r="W272" s="187">
        <f>'Imp Refined NYC'!AG54</f>
        <v>1753260.7659694806</v>
      </c>
      <c r="X272" s="187">
        <f>'Imp Refined NYC'!AH54</f>
        <v>1753260.7659694806</v>
      </c>
      <c r="Y272" s="187">
        <f>'Imp Refined NYC'!AI54</f>
        <v>1753260.7659694806</v>
      </c>
      <c r="Z272" s="187"/>
      <c r="AA272" s="187"/>
      <c r="AB272" s="187"/>
      <c r="AC272" s="195"/>
      <c r="AD272" s="195"/>
      <c r="AE272" s="195"/>
      <c r="AF272" s="195"/>
      <c r="AG272" s="197"/>
      <c r="AH272" s="197"/>
      <c r="BC272" s="147"/>
      <c r="BD272" s="147"/>
      <c r="BE272" s="147"/>
      <c r="BF272" s="147"/>
      <c r="BG272" s="147"/>
    </row>
    <row r="273" spans="2:59">
      <c r="B273" s="158" t="str">
        <f>Technologies!B$236</f>
        <v>*R0,R1,R2,R3,R4,R5,R6</v>
      </c>
      <c r="C273" s="158" t="str">
        <f>'Imp Refined NYC'!E55</f>
        <v>IMPPFSP12</v>
      </c>
      <c r="D273" s="158" t="str">
        <f>'Imp Refined NYC'!F55</f>
        <v>Imported Petrochemical Feedstocks, PADD 1, Step 2</v>
      </c>
      <c r="E273" s="197" t="str">
        <f>'Imp Refined NYC'!G55</f>
        <v>PFSP1</v>
      </c>
      <c r="F273" s="197"/>
      <c r="G273" s="187"/>
      <c r="H273" s="197"/>
      <c r="I273" s="197">
        <v>1.0049999999999999</v>
      </c>
      <c r="J273" s="197">
        <v>1.0049999999999999</v>
      </c>
      <c r="K273" s="195">
        <f>'Imp Refined NYC'!M55</f>
        <v>6.3309383556440268</v>
      </c>
      <c r="L273" s="195" t="e">
        <f>'Imp Refined NYC'!N55</f>
        <v>#REF!</v>
      </c>
      <c r="M273" s="195" t="e">
        <f>'Imp Refined NYC'!O55</f>
        <v>#REF!</v>
      </c>
      <c r="N273" s="195" t="e">
        <f>'Imp Refined NYC'!P55</f>
        <v>#REF!</v>
      </c>
      <c r="O273" s="195" t="e">
        <f>'Imp Refined NYC'!Q55</f>
        <v>#REF!</v>
      </c>
      <c r="P273" s="195" t="e">
        <f>'Imp Refined NYC'!R55</f>
        <v>#REF!</v>
      </c>
      <c r="Q273" s="195" t="e">
        <f>'Imp Refined NYC'!S55</f>
        <v>#REF!</v>
      </c>
      <c r="R273" s="195" t="e">
        <f>'Imp Refined NYC'!T55</f>
        <v>#REF!</v>
      </c>
      <c r="S273" s="195" t="e">
        <f>'Imp Refined NYC'!U55</f>
        <v>#REF!</v>
      </c>
      <c r="T273" s="195" t="e">
        <f>'Imp Refined NYC'!V55</f>
        <v>#REF!</v>
      </c>
      <c r="U273" s="187"/>
      <c r="V273" s="187">
        <f>'Imp Refined NYC'!AF55</f>
        <v>219157.59574618493</v>
      </c>
      <c r="W273" s="187">
        <f>'Imp Refined NYC'!AG55</f>
        <v>219157.59574618493</v>
      </c>
      <c r="X273" s="187">
        <f>'Imp Refined NYC'!AH55</f>
        <v>219157.59574618493</v>
      </c>
      <c r="Y273" s="187">
        <f>'Imp Refined NYC'!AI55</f>
        <v>219157.59574618493</v>
      </c>
      <c r="Z273" s="187"/>
      <c r="AA273" s="187"/>
      <c r="AB273" s="187"/>
      <c r="AC273" s="195"/>
      <c r="AD273" s="195"/>
      <c r="AE273" s="195"/>
      <c r="AF273" s="195"/>
      <c r="AG273" s="197"/>
      <c r="AH273" s="197"/>
      <c r="BC273" s="147"/>
      <c r="BD273" s="147"/>
      <c r="BE273" s="147"/>
      <c r="BF273" s="147"/>
      <c r="BG273" s="147"/>
    </row>
    <row r="274" spans="2:59">
      <c r="B274" s="158" t="str">
        <f>Technologies!B$237</f>
        <v>*R0,R1,R2,R3,R4,R5,R6</v>
      </c>
      <c r="C274" s="158" t="str">
        <f>'Imp Refined NYC'!E56</f>
        <v>IMPPFSP14</v>
      </c>
      <c r="D274" s="158" t="str">
        <f>'Imp Refined NYC'!F56</f>
        <v>Imported Petrochemical Feedstocks, PADD 1, Step 4</v>
      </c>
      <c r="E274" s="197" t="str">
        <f>'Imp Refined NYC'!G56</f>
        <v>PFSP1</v>
      </c>
      <c r="F274" s="197"/>
      <c r="G274" s="187"/>
      <c r="H274" s="197"/>
      <c r="I274" s="197">
        <v>1.0049999999999999</v>
      </c>
      <c r="J274" s="197">
        <v>1.0049999999999999</v>
      </c>
      <c r="K274" s="195">
        <f>'Imp Refined NYC'!M56</f>
        <v>7.041553885359173</v>
      </c>
      <c r="L274" s="195" t="e">
        <f>'Imp Refined NYC'!N56</f>
        <v>#REF!</v>
      </c>
      <c r="M274" s="195" t="e">
        <f>'Imp Refined NYC'!O56</f>
        <v>#REF!</v>
      </c>
      <c r="N274" s="195" t="e">
        <f>'Imp Refined NYC'!P56</f>
        <v>#REF!</v>
      </c>
      <c r="O274" s="195" t="e">
        <f>'Imp Refined NYC'!Q56</f>
        <v>#REF!</v>
      </c>
      <c r="P274" s="195" t="e">
        <f>'Imp Refined NYC'!R56</f>
        <v>#REF!</v>
      </c>
      <c r="Q274" s="195" t="e">
        <f>'Imp Refined NYC'!S56</f>
        <v>#REF!</v>
      </c>
      <c r="R274" s="195" t="e">
        <f>'Imp Refined NYC'!T56</f>
        <v>#REF!</v>
      </c>
      <c r="S274" s="195" t="e">
        <f>'Imp Refined NYC'!U56</f>
        <v>#REF!</v>
      </c>
      <c r="T274" s="195" t="e">
        <f>'Imp Refined NYC'!V56</f>
        <v>#REF!</v>
      </c>
      <c r="U274" s="187"/>
      <c r="V274" s="187">
        <f>'Imp Refined NYC'!AF56</f>
        <v>438315.1914923708</v>
      </c>
      <c r="W274" s="187">
        <f>'Imp Refined NYC'!AG56</f>
        <v>438315.1914923708</v>
      </c>
      <c r="X274" s="187">
        <f>'Imp Refined NYC'!AH56</f>
        <v>438315.1914923708</v>
      </c>
      <c r="Y274" s="187">
        <f>'Imp Refined NYC'!AI56</f>
        <v>438315.1914923708</v>
      </c>
      <c r="Z274" s="187"/>
      <c r="AA274" s="187"/>
      <c r="AB274" s="187"/>
      <c r="AC274" s="195"/>
      <c r="AD274" s="195"/>
      <c r="AE274" s="195"/>
      <c r="AF274" s="195"/>
      <c r="AG274" s="197"/>
      <c r="AH274" s="197"/>
      <c r="BC274" s="147"/>
      <c r="BD274" s="147"/>
      <c r="BE274" s="147"/>
      <c r="BF274" s="147"/>
      <c r="BG274" s="147"/>
    </row>
    <row r="275" spans="2:59">
      <c r="B275" s="158" t="str">
        <f>Technologies!B$238</f>
        <v>*R0,R1,R2,R3,R4,R5,R6</v>
      </c>
      <c r="C275" s="158" t="str">
        <f>'Imp Refined NYC'!E57</f>
        <v>IMPPFSP15</v>
      </c>
      <c r="D275" s="158" t="str">
        <f>'Imp Refined NYC'!F57</f>
        <v>Imported Petrochemical Feedstocks, PADD 1, Step 5</v>
      </c>
      <c r="E275" s="197" t="str">
        <f>'Imp Refined NYC'!G57</f>
        <v>PFSP1</v>
      </c>
      <c r="F275" s="197"/>
      <c r="G275" s="187"/>
      <c r="H275" s="197"/>
      <c r="I275" s="197">
        <v>1.0049999999999999</v>
      </c>
      <c r="J275" s="197">
        <v>1.0049999999999999</v>
      </c>
      <c r="K275" s="195">
        <f>'Imp Refined NYC'!M57</f>
        <v>8.3981835329971783</v>
      </c>
      <c r="L275" s="195" t="e">
        <f>'Imp Refined NYC'!N57</f>
        <v>#REF!</v>
      </c>
      <c r="M275" s="195" t="e">
        <f>'Imp Refined NYC'!O57</f>
        <v>#REF!</v>
      </c>
      <c r="N275" s="195" t="e">
        <f>'Imp Refined NYC'!P57</f>
        <v>#REF!</v>
      </c>
      <c r="O275" s="195" t="e">
        <f>'Imp Refined NYC'!Q57</f>
        <v>#REF!</v>
      </c>
      <c r="P275" s="195" t="e">
        <f>'Imp Refined NYC'!R57</f>
        <v>#REF!</v>
      </c>
      <c r="Q275" s="195" t="e">
        <f>'Imp Refined NYC'!S57</f>
        <v>#REF!</v>
      </c>
      <c r="R275" s="195" t="e">
        <f>'Imp Refined NYC'!T57</f>
        <v>#REF!</v>
      </c>
      <c r="S275" s="195" t="e">
        <f>'Imp Refined NYC'!U57</f>
        <v>#REF!</v>
      </c>
      <c r="T275" s="195" t="e">
        <f>'Imp Refined NYC'!V57</f>
        <v>#REF!</v>
      </c>
      <c r="U275" s="187"/>
      <c r="V275" s="187">
        <f>'Imp Refined NYC'!AF57</f>
        <v>1753260.7659694799</v>
      </c>
      <c r="W275" s="187">
        <f>'Imp Refined NYC'!AG57</f>
        <v>1753260.7659694799</v>
      </c>
      <c r="X275" s="187">
        <f>'Imp Refined NYC'!AH57</f>
        <v>1753260.7659694799</v>
      </c>
      <c r="Y275" s="187">
        <f>'Imp Refined NYC'!AI57</f>
        <v>1753260.7659694799</v>
      </c>
      <c r="Z275" s="187"/>
      <c r="AA275" s="187"/>
      <c r="AB275" s="187"/>
      <c r="AC275" s="195"/>
      <c r="AD275" s="195"/>
      <c r="AE275" s="195"/>
      <c r="AF275" s="195"/>
      <c r="AG275" s="197"/>
      <c r="AH275" s="197"/>
      <c r="BC275" s="147"/>
      <c r="BD275" s="147"/>
      <c r="BE275" s="147"/>
      <c r="BF275" s="147"/>
      <c r="BG275" s="147"/>
    </row>
    <row r="276" spans="2:59">
      <c r="B276" s="158" t="str">
        <f>Technologies!B$239</f>
        <v>*R0,R1,R2,R3,R4,R5,R6</v>
      </c>
      <c r="C276" s="158" t="str">
        <f>'Imp Refined NYC'!E58</f>
        <v>IMPKERP13</v>
      </c>
      <c r="D276" s="158" t="str">
        <f>'Imp Refined NYC'!F58</f>
        <v>Imported Kerosene and Other Refined Products, PADD 1, Step 3</v>
      </c>
      <c r="E276" s="197" t="str">
        <f>'Imp Refined NYC'!G58</f>
        <v>KERP1</v>
      </c>
      <c r="F276" s="197"/>
      <c r="G276" s="187"/>
      <c r="H276" s="197"/>
      <c r="I276" s="197">
        <v>1.0049999999999999</v>
      </c>
      <c r="J276" s="197">
        <v>1.0049999999999999</v>
      </c>
      <c r="K276" s="195">
        <f>'Imp Refined NYC'!M58</f>
        <v>10.276316058017279</v>
      </c>
      <c r="L276" s="195" t="e">
        <f>'Imp Refined NYC'!N58</f>
        <v>#REF!</v>
      </c>
      <c r="M276" s="195" t="e">
        <f>'Imp Refined NYC'!O58</f>
        <v>#REF!</v>
      </c>
      <c r="N276" s="195" t="e">
        <f>'Imp Refined NYC'!P58</f>
        <v>#REF!</v>
      </c>
      <c r="O276" s="195" t="e">
        <f>'Imp Refined NYC'!Q58</f>
        <v>#REF!</v>
      </c>
      <c r="P276" s="195" t="e">
        <f>'Imp Refined NYC'!R58</f>
        <v>#REF!</v>
      </c>
      <c r="Q276" s="195" t="e">
        <f>'Imp Refined NYC'!S58</f>
        <v>#REF!</v>
      </c>
      <c r="R276" s="195" t="e">
        <f>'Imp Refined NYC'!T58</f>
        <v>#REF!</v>
      </c>
      <c r="S276" s="195" t="e">
        <f>'Imp Refined NYC'!U58</f>
        <v>#REF!</v>
      </c>
      <c r="T276" s="195" t="e">
        <f>'Imp Refined NYC'!V58</f>
        <v>#REF!</v>
      </c>
      <c r="U276" s="187"/>
      <c r="V276" s="187">
        <f>'Imp Refined NYC'!AF58</f>
        <v>218348.8961308857</v>
      </c>
      <c r="W276" s="187">
        <f>'Imp Refined NYC'!AG58</f>
        <v>218348.8961308857</v>
      </c>
      <c r="X276" s="187">
        <f>'Imp Refined NYC'!AH58</f>
        <v>218348.8961308857</v>
      </c>
      <c r="Y276" s="187">
        <f>'Imp Refined NYC'!AI58</f>
        <v>218348.8961308857</v>
      </c>
      <c r="Z276" s="187"/>
      <c r="AA276" s="187"/>
      <c r="AB276" s="187"/>
      <c r="AC276" s="195"/>
      <c r="AD276" s="195"/>
      <c r="AE276" s="195"/>
      <c r="AF276" s="195"/>
      <c r="AG276" s="197"/>
      <c r="AH276" s="197"/>
      <c r="BC276" s="147"/>
      <c r="BD276" s="147"/>
      <c r="BE276" s="147"/>
      <c r="BF276" s="147"/>
      <c r="BG276" s="147"/>
    </row>
    <row r="277" spans="2:59">
      <c r="B277" s="158" t="str">
        <f>Technologies!B$240</f>
        <v>*R0,R1,R2,R3,R4,R5,R6</v>
      </c>
      <c r="C277" s="158" t="str">
        <f>'Imp Refined NYC'!E59</f>
        <v>IMPKERP11</v>
      </c>
      <c r="D277" s="158" t="str">
        <f>'Imp Refined NYC'!F59</f>
        <v>Imported Kerosene and Other Refined Products, PADD 1, Step 1</v>
      </c>
      <c r="E277" s="197" t="str">
        <f>'Imp Refined NYC'!G59</f>
        <v>KERP1</v>
      </c>
      <c r="F277" s="197"/>
      <c r="G277" s="187"/>
      <c r="H277" s="197"/>
      <c r="I277" s="197">
        <v>1.0049999999999999</v>
      </c>
      <c r="J277" s="197">
        <v>1.0049999999999999</v>
      </c>
      <c r="K277" s="195">
        <f>'Imp Refined NYC'!M59</f>
        <v>9.7625002551164162</v>
      </c>
      <c r="L277" s="195" t="e">
        <f>'Imp Refined NYC'!N59</f>
        <v>#REF!</v>
      </c>
      <c r="M277" s="195" t="e">
        <f>'Imp Refined NYC'!O59</f>
        <v>#REF!</v>
      </c>
      <c r="N277" s="195" t="e">
        <f>'Imp Refined NYC'!P59</f>
        <v>#REF!</v>
      </c>
      <c r="O277" s="195" t="e">
        <f>'Imp Refined NYC'!Q59</f>
        <v>#REF!</v>
      </c>
      <c r="P277" s="195" t="e">
        <f>'Imp Refined NYC'!R59</f>
        <v>#REF!</v>
      </c>
      <c r="Q277" s="195" t="e">
        <f>'Imp Refined NYC'!S59</f>
        <v>#REF!</v>
      </c>
      <c r="R277" s="195" t="e">
        <f>'Imp Refined NYC'!T59</f>
        <v>#REF!</v>
      </c>
      <c r="S277" s="195" t="e">
        <f>'Imp Refined NYC'!U59</f>
        <v>#REF!</v>
      </c>
      <c r="T277" s="195" t="e">
        <f>'Imp Refined NYC'!V59</f>
        <v>#REF!</v>
      </c>
      <c r="U277" s="187"/>
      <c r="V277" s="187">
        <f>'Imp Refined NYC'!AF59</f>
        <v>1746791.1690470844</v>
      </c>
      <c r="W277" s="187">
        <f>'Imp Refined NYC'!AG59</f>
        <v>1746791.1690470844</v>
      </c>
      <c r="X277" s="187">
        <f>'Imp Refined NYC'!AH59</f>
        <v>1746791.1690470844</v>
      </c>
      <c r="Y277" s="187">
        <f>'Imp Refined NYC'!AI59</f>
        <v>1746791.1690470844</v>
      </c>
      <c r="Z277" s="187"/>
      <c r="AA277" s="187"/>
      <c r="AB277" s="187"/>
      <c r="AC277" s="195"/>
      <c r="AD277" s="195"/>
      <c r="AE277" s="195"/>
      <c r="AF277" s="195"/>
      <c r="AG277" s="197"/>
      <c r="AH277" s="197"/>
      <c r="BC277" s="147"/>
      <c r="BD277" s="147"/>
      <c r="BE277" s="147"/>
      <c r="BF277" s="147"/>
      <c r="BG277" s="147"/>
    </row>
    <row r="278" spans="2:59">
      <c r="B278" s="158" t="str">
        <f>Technologies!B$241</f>
        <v>*R0,R1,R2,R3,R4,R5,R6</v>
      </c>
      <c r="C278" s="158" t="str">
        <f>'Imp Refined NYC'!E60</f>
        <v>IMPKERP12</v>
      </c>
      <c r="D278" s="158" t="str">
        <f>'Imp Refined NYC'!F60</f>
        <v>Imported Kerosene and Other Refined Products, PADD 1, Step 2</v>
      </c>
      <c r="E278" s="197" t="str">
        <f>'Imp Refined NYC'!G60</f>
        <v>KERP1</v>
      </c>
      <c r="F278" s="197"/>
      <c r="G278" s="187"/>
      <c r="H278" s="197"/>
      <c r="I278" s="197">
        <v>1.0049999999999999</v>
      </c>
      <c r="J278" s="197">
        <v>1.0049999999999999</v>
      </c>
      <c r="K278" s="195">
        <f>'Imp Refined NYC'!M60</f>
        <v>10.070789736856934</v>
      </c>
      <c r="L278" s="195" t="e">
        <f>'Imp Refined NYC'!N60</f>
        <v>#REF!</v>
      </c>
      <c r="M278" s="195" t="e">
        <f>'Imp Refined NYC'!O60</f>
        <v>#REF!</v>
      </c>
      <c r="N278" s="195" t="e">
        <f>'Imp Refined NYC'!P60</f>
        <v>#REF!</v>
      </c>
      <c r="O278" s="195" t="e">
        <f>'Imp Refined NYC'!Q60</f>
        <v>#REF!</v>
      </c>
      <c r="P278" s="195" t="e">
        <f>'Imp Refined NYC'!R60</f>
        <v>#REF!</v>
      </c>
      <c r="Q278" s="195" t="e">
        <f>'Imp Refined NYC'!S60</f>
        <v>#REF!</v>
      </c>
      <c r="R278" s="195" t="e">
        <f>'Imp Refined NYC'!T60</f>
        <v>#REF!</v>
      </c>
      <c r="S278" s="195" t="e">
        <f>'Imp Refined NYC'!U60</f>
        <v>#REF!</v>
      </c>
      <c r="T278" s="195" t="e">
        <f>'Imp Refined NYC'!V60</f>
        <v>#REF!</v>
      </c>
      <c r="U278" s="187"/>
      <c r="V278" s="187">
        <f>'Imp Refined NYC'!AF60</f>
        <v>218348.896130885</v>
      </c>
      <c r="W278" s="187">
        <f>'Imp Refined NYC'!AG60</f>
        <v>218348.896130885</v>
      </c>
      <c r="X278" s="187">
        <f>'Imp Refined NYC'!AH60</f>
        <v>218348.896130885</v>
      </c>
      <c r="Y278" s="187">
        <f>'Imp Refined NYC'!AI60</f>
        <v>218348.896130885</v>
      </c>
      <c r="Z278" s="187"/>
      <c r="AA278" s="187"/>
      <c r="AB278" s="187"/>
      <c r="AC278" s="195"/>
      <c r="AD278" s="195"/>
      <c r="AE278" s="195"/>
      <c r="AF278" s="195"/>
      <c r="AG278" s="197"/>
      <c r="AH278" s="197"/>
      <c r="BC278" s="147"/>
      <c r="BD278" s="147"/>
      <c r="BE278" s="147"/>
      <c r="BF278" s="147"/>
      <c r="BG278" s="147"/>
    </row>
    <row r="279" spans="2:59">
      <c r="B279" s="158" t="str">
        <f>Technologies!B$242</f>
        <v>*R0,R1,R2,R3,R4,R5,R6</v>
      </c>
      <c r="C279" s="158" t="str">
        <f>'Imp Refined NYC'!E61</f>
        <v>IMPKERP14</v>
      </c>
      <c r="D279" s="158" t="str">
        <f>'Imp Refined NYC'!F61</f>
        <v>Imported Kerosene and Other Refined Products, PADD 1, Step 4</v>
      </c>
      <c r="E279" s="197" t="str">
        <f>'Imp Refined NYC'!G61</f>
        <v>KERP1</v>
      </c>
      <c r="F279" s="197"/>
      <c r="G279" s="187"/>
      <c r="H279" s="197"/>
      <c r="I279" s="197">
        <v>1.0049999999999999</v>
      </c>
      <c r="J279" s="197">
        <v>1.0049999999999999</v>
      </c>
      <c r="K279" s="195">
        <f>'Imp Refined NYC'!M61</f>
        <v>11.201184503238837</v>
      </c>
      <c r="L279" s="195" t="e">
        <f>'Imp Refined NYC'!N61</f>
        <v>#REF!</v>
      </c>
      <c r="M279" s="195" t="e">
        <f>'Imp Refined NYC'!O61</f>
        <v>#REF!</v>
      </c>
      <c r="N279" s="195" t="e">
        <f>'Imp Refined NYC'!P61</f>
        <v>#REF!</v>
      </c>
      <c r="O279" s="195" t="e">
        <f>'Imp Refined NYC'!Q61</f>
        <v>#REF!</v>
      </c>
      <c r="P279" s="195" t="e">
        <f>'Imp Refined NYC'!R61</f>
        <v>#REF!</v>
      </c>
      <c r="Q279" s="195" t="e">
        <f>'Imp Refined NYC'!S61</f>
        <v>#REF!</v>
      </c>
      <c r="R279" s="195" t="e">
        <f>'Imp Refined NYC'!T61</f>
        <v>#REF!</v>
      </c>
      <c r="S279" s="195" t="e">
        <f>'Imp Refined NYC'!U61</f>
        <v>#REF!</v>
      </c>
      <c r="T279" s="195" t="e">
        <f>'Imp Refined NYC'!V61</f>
        <v>#REF!</v>
      </c>
      <c r="U279" s="187"/>
      <c r="V279" s="187">
        <f>'Imp Refined NYC'!AF61</f>
        <v>436697.79226177093</v>
      </c>
      <c r="W279" s="187">
        <f>'Imp Refined NYC'!AG61</f>
        <v>436697.79226177093</v>
      </c>
      <c r="X279" s="187">
        <f>'Imp Refined NYC'!AH61</f>
        <v>436697.79226177093</v>
      </c>
      <c r="Y279" s="187">
        <f>'Imp Refined NYC'!AI61</f>
        <v>436697.79226177093</v>
      </c>
      <c r="Z279" s="187"/>
      <c r="AA279" s="187"/>
      <c r="AB279" s="187"/>
      <c r="AC279" s="195"/>
      <c r="AD279" s="195"/>
      <c r="AE279" s="195"/>
      <c r="AF279" s="195"/>
      <c r="AG279" s="197"/>
      <c r="AH279" s="197"/>
      <c r="BC279" s="147"/>
      <c r="BD279" s="147"/>
      <c r="BE279" s="147"/>
      <c r="BF279" s="147"/>
      <c r="BG279" s="147"/>
    </row>
    <row r="280" spans="2:59">
      <c r="B280" s="158" t="str">
        <f>Technologies!B$243</f>
        <v>*R0,R1,R2,R3,R4,R5,R6</v>
      </c>
      <c r="C280" s="158" t="str">
        <f>'Imp Refined NYC'!E62</f>
        <v>IMPKERP15</v>
      </c>
      <c r="D280" s="158" t="str">
        <f>'Imp Refined NYC'!F62</f>
        <v>Imported Kerosene and Other Refined Products, PADD 1, Step 5</v>
      </c>
      <c r="E280" s="197" t="str">
        <f>'Imp Refined NYC'!G62</f>
        <v>KERP1</v>
      </c>
      <c r="F280" s="197"/>
      <c r="G280" s="187"/>
      <c r="H280" s="197"/>
      <c r="I280" s="197">
        <v>1.0049999999999999</v>
      </c>
      <c r="J280" s="197">
        <v>1.0049999999999999</v>
      </c>
      <c r="K280" s="195">
        <f>'Imp Refined NYC'!M62</f>
        <v>13.359210875422464</v>
      </c>
      <c r="L280" s="195" t="e">
        <f>'Imp Refined NYC'!N62</f>
        <v>#REF!</v>
      </c>
      <c r="M280" s="195" t="e">
        <f>'Imp Refined NYC'!O62</f>
        <v>#REF!</v>
      </c>
      <c r="N280" s="195" t="e">
        <f>'Imp Refined NYC'!P62</f>
        <v>#REF!</v>
      </c>
      <c r="O280" s="195" t="e">
        <f>'Imp Refined NYC'!Q62</f>
        <v>#REF!</v>
      </c>
      <c r="P280" s="195" t="e">
        <f>'Imp Refined NYC'!R62</f>
        <v>#REF!</v>
      </c>
      <c r="Q280" s="195" t="e">
        <f>'Imp Refined NYC'!S62</f>
        <v>#REF!</v>
      </c>
      <c r="R280" s="195" t="e">
        <f>'Imp Refined NYC'!T62</f>
        <v>#REF!</v>
      </c>
      <c r="S280" s="195" t="e">
        <f>'Imp Refined NYC'!U62</f>
        <v>#REF!</v>
      </c>
      <c r="T280" s="195" t="e">
        <f>'Imp Refined NYC'!V62</f>
        <v>#REF!</v>
      </c>
      <c r="U280" s="187"/>
      <c r="V280" s="187">
        <f>'Imp Refined NYC'!AF62</f>
        <v>1746791.1690470842</v>
      </c>
      <c r="W280" s="187">
        <f>'Imp Refined NYC'!AG62</f>
        <v>1746791.1690470842</v>
      </c>
      <c r="X280" s="187">
        <f>'Imp Refined NYC'!AH62</f>
        <v>1746791.1690470842</v>
      </c>
      <c r="Y280" s="187">
        <f>'Imp Refined NYC'!AI62</f>
        <v>1746791.1690470842</v>
      </c>
      <c r="Z280" s="187"/>
      <c r="AA280" s="187"/>
      <c r="AB280" s="187"/>
      <c r="AC280" s="195"/>
      <c r="AD280" s="195"/>
      <c r="AE280" s="195"/>
      <c r="AF280" s="195"/>
      <c r="AG280" s="197"/>
      <c r="AH280" s="197"/>
      <c r="BC280" s="147"/>
      <c r="BD280" s="147"/>
      <c r="BE280" s="147"/>
      <c r="BF280" s="147"/>
      <c r="BG280" s="147"/>
    </row>
    <row r="281" spans="2:59">
      <c r="B281" s="158" t="str">
        <f>Technologies!B$244</f>
        <v>*R0,R1,R2,R3,R4,R5,R6</v>
      </c>
      <c r="C281" s="158" t="str">
        <f>'Imp Refined NYC'!E63</f>
        <v>IMPMTHP13</v>
      </c>
      <c r="D281" s="158" t="str">
        <f>'Imp Refined NYC'!F63</f>
        <v>Imported Methanol, PADD 1, Step 3</v>
      </c>
      <c r="E281" s="197" t="str">
        <f>'Imp Refined NYC'!G63</f>
        <v>MTHP1</v>
      </c>
      <c r="F281" s="197"/>
      <c r="G281" s="187"/>
      <c r="H281" s="197"/>
      <c r="I281" s="197">
        <v>1.0049999999999999</v>
      </c>
      <c r="J281" s="197">
        <v>1.0049999999999999</v>
      </c>
      <c r="K281" s="195">
        <f>'Imp Refined NYC'!M63</f>
        <v>27.817484182864966</v>
      </c>
      <c r="L281" s="195" t="e">
        <f>'Imp Refined NYC'!N63</f>
        <v>#REF!</v>
      </c>
      <c r="M281" s="195" t="e">
        <f>'Imp Refined NYC'!O63</f>
        <v>#REF!</v>
      </c>
      <c r="N281" s="195" t="e">
        <f>'Imp Refined NYC'!P63</f>
        <v>#REF!</v>
      </c>
      <c r="O281" s="195" t="e">
        <f>'Imp Refined NYC'!Q63</f>
        <v>#REF!</v>
      </c>
      <c r="P281" s="195" t="e">
        <f>'Imp Refined NYC'!R63</f>
        <v>#REF!</v>
      </c>
      <c r="Q281" s="195" t="e">
        <f>'Imp Refined NYC'!S63</f>
        <v>#REF!</v>
      </c>
      <c r="R281" s="195" t="e">
        <f>'Imp Refined NYC'!T63</f>
        <v>#REF!</v>
      </c>
      <c r="S281" s="195" t="e">
        <f>'Imp Refined NYC'!U63</f>
        <v>#REF!</v>
      </c>
      <c r="T281" s="195" t="e">
        <f>'Imp Refined NYC'!V63</f>
        <v>#REF!</v>
      </c>
      <c r="U281" s="187"/>
      <c r="V281" s="187">
        <f>'Imp Refined NYC'!AF63</f>
        <v>105777.90968118445</v>
      </c>
      <c r="W281" s="187">
        <f>'Imp Refined NYC'!AG63</f>
        <v>105777.90968118445</v>
      </c>
      <c r="X281" s="187">
        <f>'Imp Refined NYC'!AH63</f>
        <v>105777.90968118445</v>
      </c>
      <c r="Y281" s="187">
        <f>'Imp Refined NYC'!AI63</f>
        <v>105777.90968118445</v>
      </c>
      <c r="Z281" s="187"/>
      <c r="AA281" s="187"/>
      <c r="AB281" s="187"/>
      <c r="AC281" s="195"/>
      <c r="AD281" s="195"/>
      <c r="AE281" s="195"/>
      <c r="AF281" s="195"/>
      <c r="AG281" s="197"/>
      <c r="AH281" s="197"/>
      <c r="BC281" s="147"/>
      <c r="BD281" s="147"/>
      <c r="BE281" s="147"/>
      <c r="BF281" s="147"/>
      <c r="BG281" s="147"/>
    </row>
    <row r="282" spans="2:59">
      <c r="B282" s="158" t="str">
        <f>Technologies!B$245</f>
        <v>*R0,R1,R2,R3,R4,R5,R6</v>
      </c>
      <c r="C282" s="158" t="str">
        <f>'Imp Refined NYC'!E64</f>
        <v>IMPMTHP11</v>
      </c>
      <c r="D282" s="158" t="str">
        <f>'Imp Refined NYC'!F64</f>
        <v>Imported Methanol, PADD 1, Step 1</v>
      </c>
      <c r="E282" s="197" t="str">
        <f>'Imp Refined NYC'!G64</f>
        <v>MTHP1</v>
      </c>
      <c r="F282" s="197"/>
      <c r="G282" s="187"/>
      <c r="H282" s="197"/>
      <c r="I282" s="197">
        <v>1.0049999999999999</v>
      </c>
      <c r="J282" s="197">
        <v>1.0049999999999999</v>
      </c>
      <c r="K282" s="195">
        <f>'Imp Refined NYC'!M64</f>
        <v>26.426609973721717</v>
      </c>
      <c r="L282" s="195" t="e">
        <f>'Imp Refined NYC'!N64</f>
        <v>#REF!</v>
      </c>
      <c r="M282" s="195" t="e">
        <f>'Imp Refined NYC'!O64</f>
        <v>#REF!</v>
      </c>
      <c r="N282" s="195" t="e">
        <f>'Imp Refined NYC'!P64</f>
        <v>#REF!</v>
      </c>
      <c r="O282" s="195" t="e">
        <f>'Imp Refined NYC'!Q64</f>
        <v>#REF!</v>
      </c>
      <c r="P282" s="195" t="e">
        <f>'Imp Refined NYC'!R64</f>
        <v>#REF!</v>
      </c>
      <c r="Q282" s="195" t="e">
        <f>'Imp Refined NYC'!S64</f>
        <v>#REF!</v>
      </c>
      <c r="R282" s="195" t="e">
        <f>'Imp Refined NYC'!T64</f>
        <v>#REF!</v>
      </c>
      <c r="S282" s="195" t="e">
        <f>'Imp Refined NYC'!U64</f>
        <v>#REF!</v>
      </c>
      <c r="T282" s="195" t="e">
        <f>'Imp Refined NYC'!V64</f>
        <v>#REF!</v>
      </c>
      <c r="U282" s="187"/>
      <c r="V282" s="187">
        <f>'Imp Refined NYC'!AF64</f>
        <v>846223.27744947642</v>
      </c>
      <c r="W282" s="187">
        <f>'Imp Refined NYC'!AG64</f>
        <v>846223.27744947642</v>
      </c>
      <c r="X282" s="187">
        <f>'Imp Refined NYC'!AH64</f>
        <v>846223.27744947642</v>
      </c>
      <c r="Y282" s="187">
        <f>'Imp Refined NYC'!AI64</f>
        <v>846223.27744947642</v>
      </c>
      <c r="Z282" s="187"/>
      <c r="AA282" s="187"/>
      <c r="AB282" s="187"/>
      <c r="AC282" s="195"/>
      <c r="AD282" s="195"/>
      <c r="AE282" s="195"/>
      <c r="AF282" s="195"/>
      <c r="AG282" s="197"/>
      <c r="AH282" s="197"/>
      <c r="BC282" s="147"/>
      <c r="BD282" s="147"/>
      <c r="BE282" s="147"/>
      <c r="BF282" s="147"/>
      <c r="BG282" s="147"/>
    </row>
    <row r="283" spans="2:59">
      <c r="B283" s="158" t="str">
        <f>Technologies!B$246</f>
        <v>*R0,R1,R2,R3,R4,R5,R6</v>
      </c>
      <c r="C283" s="158" t="str">
        <f>'Imp Refined NYC'!E65</f>
        <v>IMPMTHP12</v>
      </c>
      <c r="D283" s="158" t="str">
        <f>'Imp Refined NYC'!F65</f>
        <v>Imported Methanol, PADD 1, Step 2</v>
      </c>
      <c r="E283" s="197" t="str">
        <f>'Imp Refined NYC'!G65</f>
        <v>MTHP1</v>
      </c>
      <c r="F283" s="197"/>
      <c r="G283" s="187"/>
      <c r="H283" s="197"/>
      <c r="I283" s="197">
        <v>1.0049999999999999</v>
      </c>
      <c r="J283" s="197">
        <v>1.0049999999999999</v>
      </c>
      <c r="K283" s="195">
        <f>'Imp Refined NYC'!M65</f>
        <v>27.261134499207664</v>
      </c>
      <c r="L283" s="195" t="e">
        <f>'Imp Refined NYC'!N65</f>
        <v>#REF!</v>
      </c>
      <c r="M283" s="195" t="e">
        <f>'Imp Refined NYC'!O65</f>
        <v>#REF!</v>
      </c>
      <c r="N283" s="195" t="e">
        <f>'Imp Refined NYC'!P65</f>
        <v>#REF!</v>
      </c>
      <c r="O283" s="195" t="e">
        <f>'Imp Refined NYC'!Q65</f>
        <v>#REF!</v>
      </c>
      <c r="P283" s="195" t="e">
        <f>'Imp Refined NYC'!R65</f>
        <v>#REF!</v>
      </c>
      <c r="Q283" s="195" t="e">
        <f>'Imp Refined NYC'!S65</f>
        <v>#REF!</v>
      </c>
      <c r="R283" s="195" t="e">
        <f>'Imp Refined NYC'!T65</f>
        <v>#REF!</v>
      </c>
      <c r="S283" s="195" t="e">
        <f>'Imp Refined NYC'!U65</f>
        <v>#REF!</v>
      </c>
      <c r="T283" s="195" t="e">
        <f>'Imp Refined NYC'!V65</f>
        <v>#REF!</v>
      </c>
      <c r="U283" s="187"/>
      <c r="V283" s="187">
        <f>'Imp Refined NYC'!AF65</f>
        <v>105777.90968118433</v>
      </c>
      <c r="W283" s="187">
        <f>'Imp Refined NYC'!AG65</f>
        <v>105777.90968118433</v>
      </c>
      <c r="X283" s="187">
        <f>'Imp Refined NYC'!AH65</f>
        <v>105777.90968118433</v>
      </c>
      <c r="Y283" s="187">
        <f>'Imp Refined NYC'!AI65</f>
        <v>105777.90968118433</v>
      </c>
      <c r="Z283" s="187"/>
      <c r="AA283" s="187"/>
      <c r="AB283" s="187"/>
      <c r="AC283" s="195"/>
      <c r="AD283" s="195"/>
      <c r="AE283" s="195"/>
      <c r="AF283" s="195"/>
      <c r="AG283" s="197"/>
      <c r="AH283" s="197"/>
      <c r="BC283" s="147"/>
      <c r="BD283" s="147"/>
      <c r="BE283" s="147"/>
      <c r="BF283" s="147"/>
      <c r="BG283" s="147"/>
    </row>
    <row r="284" spans="2:59">
      <c r="B284" s="158" t="str">
        <f>Technologies!B$247</f>
        <v>*R0,R1,R2,R3,R4,R5,R6</v>
      </c>
      <c r="C284" s="158" t="str">
        <f>'Imp Refined NYC'!E66</f>
        <v>IMPMTHP14</v>
      </c>
      <c r="D284" s="158" t="str">
        <f>'Imp Refined NYC'!F66</f>
        <v>Imported Methanol, PADD 1, Step 4</v>
      </c>
      <c r="E284" s="197" t="str">
        <f>'Imp Refined NYC'!G66</f>
        <v>MTHP1</v>
      </c>
      <c r="F284" s="197"/>
      <c r="G284" s="187"/>
      <c r="H284" s="197"/>
      <c r="I284" s="197">
        <v>1.0049999999999999</v>
      </c>
      <c r="J284" s="197">
        <v>1.0049999999999999</v>
      </c>
      <c r="K284" s="195">
        <f>'Imp Refined NYC'!M66</f>
        <v>30.321057759322819</v>
      </c>
      <c r="L284" s="195" t="e">
        <f>'Imp Refined NYC'!N66</f>
        <v>#REF!</v>
      </c>
      <c r="M284" s="195" t="e">
        <f>'Imp Refined NYC'!O66</f>
        <v>#REF!</v>
      </c>
      <c r="N284" s="195" t="e">
        <f>'Imp Refined NYC'!P66</f>
        <v>#REF!</v>
      </c>
      <c r="O284" s="195" t="e">
        <f>'Imp Refined NYC'!Q66</f>
        <v>#REF!</v>
      </c>
      <c r="P284" s="195" t="e">
        <f>'Imp Refined NYC'!R66</f>
        <v>#REF!</v>
      </c>
      <c r="Q284" s="195" t="e">
        <f>'Imp Refined NYC'!S66</f>
        <v>#REF!</v>
      </c>
      <c r="R284" s="195" t="e">
        <f>'Imp Refined NYC'!T66</f>
        <v>#REF!</v>
      </c>
      <c r="S284" s="195" t="e">
        <f>'Imp Refined NYC'!U66</f>
        <v>#REF!</v>
      </c>
      <c r="T284" s="195" t="e">
        <f>'Imp Refined NYC'!V66</f>
        <v>#REF!</v>
      </c>
      <c r="U284" s="187"/>
      <c r="V284" s="187">
        <f>'Imp Refined NYC'!AF66</f>
        <v>211555.81936236937</v>
      </c>
      <c r="W284" s="187">
        <f>'Imp Refined NYC'!AG66</f>
        <v>211555.81936236937</v>
      </c>
      <c r="X284" s="187">
        <f>'Imp Refined NYC'!AH66</f>
        <v>211555.81936236937</v>
      </c>
      <c r="Y284" s="187">
        <f>'Imp Refined NYC'!AI66</f>
        <v>211555.81936236937</v>
      </c>
      <c r="Z284" s="187"/>
      <c r="AA284" s="187"/>
      <c r="AB284" s="187"/>
      <c r="AC284" s="195"/>
      <c r="AD284" s="195"/>
      <c r="AE284" s="195"/>
      <c r="AF284" s="195"/>
      <c r="AG284" s="197"/>
      <c r="AH284" s="197"/>
      <c r="BC284" s="147"/>
      <c r="BD284" s="147"/>
      <c r="BE284" s="147"/>
      <c r="BF284" s="147"/>
      <c r="BG284" s="147"/>
    </row>
    <row r="285" spans="2:59">
      <c r="B285" s="158" t="str">
        <f>Technologies!B$248</f>
        <v>*R0,R1,R2,R3,R4,R5,R6</v>
      </c>
      <c r="C285" s="158" t="str">
        <f>'Imp Refined NYC'!E67</f>
        <v>IMPMTHP15</v>
      </c>
      <c r="D285" s="158" t="str">
        <f>'Imp Refined NYC'!F67</f>
        <v>Imported Methanol, PADD 1, Step 5</v>
      </c>
      <c r="E285" s="197" t="str">
        <f>'Imp Refined NYC'!G67</f>
        <v>MTHP1</v>
      </c>
      <c r="F285" s="197"/>
      <c r="G285" s="187"/>
      <c r="H285" s="197"/>
      <c r="I285" s="197">
        <v>1.0049999999999999</v>
      </c>
      <c r="J285" s="197">
        <v>1.0049999999999999</v>
      </c>
      <c r="K285" s="195">
        <f>'Imp Refined NYC'!M67</f>
        <v>36.162729437724451</v>
      </c>
      <c r="L285" s="195" t="e">
        <f>'Imp Refined NYC'!N67</f>
        <v>#REF!</v>
      </c>
      <c r="M285" s="195" t="e">
        <f>'Imp Refined NYC'!O67</f>
        <v>#REF!</v>
      </c>
      <c r="N285" s="195" t="e">
        <f>'Imp Refined NYC'!P67</f>
        <v>#REF!</v>
      </c>
      <c r="O285" s="195" t="e">
        <f>'Imp Refined NYC'!Q67</f>
        <v>#REF!</v>
      </c>
      <c r="P285" s="195" t="e">
        <f>'Imp Refined NYC'!R67</f>
        <v>#REF!</v>
      </c>
      <c r="Q285" s="195" t="e">
        <f>'Imp Refined NYC'!S67</f>
        <v>#REF!</v>
      </c>
      <c r="R285" s="195" t="e">
        <f>'Imp Refined NYC'!T67</f>
        <v>#REF!</v>
      </c>
      <c r="S285" s="195" t="e">
        <f>'Imp Refined NYC'!U67</f>
        <v>#REF!</v>
      </c>
      <c r="T285" s="195" t="e">
        <f>'Imp Refined NYC'!V67</f>
        <v>#REF!</v>
      </c>
      <c r="U285" s="187"/>
      <c r="V285" s="187">
        <f>'Imp Refined NYC'!AF67</f>
        <v>846223.27744947583</v>
      </c>
      <c r="W285" s="187">
        <f>'Imp Refined NYC'!AG67</f>
        <v>846223.27744947583</v>
      </c>
      <c r="X285" s="187">
        <f>'Imp Refined NYC'!AH67</f>
        <v>846223.27744947583</v>
      </c>
      <c r="Y285" s="187">
        <f>'Imp Refined NYC'!AI67</f>
        <v>846223.27744947583</v>
      </c>
      <c r="Z285" s="187"/>
      <c r="AA285" s="187"/>
      <c r="AB285" s="187"/>
      <c r="AC285" s="195"/>
      <c r="AD285" s="195"/>
      <c r="AE285" s="195"/>
      <c r="AF285" s="195"/>
      <c r="AG285" s="197"/>
      <c r="AH285" s="197"/>
      <c r="BC285" s="147"/>
      <c r="BD285" s="147"/>
      <c r="BE285" s="147"/>
      <c r="BF285" s="147"/>
      <c r="BG285" s="147"/>
    </row>
    <row r="286" spans="2:59">
      <c r="B286" s="158" t="str">
        <f>Technologies!B$249</f>
        <v>R0,R1,R2,R3,R4,R5,R6</v>
      </c>
      <c r="C286" s="158" t="str">
        <f>'Imp Refined NYC'!E68</f>
        <v>IMPDSUP13</v>
      </c>
      <c r="D286" s="158" t="str">
        <f>'Imp Refined NYC'!F68</f>
        <v>Imported Distillate-Ultralow Sulfur Highway Diesel (15 ppm), PADD 1, Step 3</v>
      </c>
      <c r="E286" s="197" t="str">
        <f>'Imp Refined NYC'!G68</f>
        <v>DSUP1</v>
      </c>
      <c r="F286" s="197"/>
      <c r="G286" s="187"/>
      <c r="H286" s="197"/>
      <c r="I286" s="197">
        <v>1.0049999999999999</v>
      </c>
      <c r="J286" s="197">
        <v>1.0049999999999999</v>
      </c>
      <c r="K286" s="195">
        <f>'Imp Refined NYC'!M68</f>
        <v>13.562374307271364</v>
      </c>
      <c r="L286" s="195" t="e">
        <f>'Imp Refined NYC'!N68</f>
        <v>#REF!</v>
      </c>
      <c r="M286" s="195" t="e">
        <f>'Imp Refined NYC'!O68</f>
        <v>#REF!</v>
      </c>
      <c r="N286" s="195" t="e">
        <f>'Imp Refined NYC'!P68</f>
        <v>#REF!</v>
      </c>
      <c r="O286" s="195" t="e">
        <f>'Imp Refined NYC'!Q68</f>
        <v>#REF!</v>
      </c>
      <c r="P286" s="195" t="e">
        <f>'Imp Refined NYC'!R68</f>
        <v>#REF!</v>
      </c>
      <c r="Q286" s="195" t="e">
        <f>'Imp Refined NYC'!S68</f>
        <v>#REF!</v>
      </c>
      <c r="R286" s="195" t="e">
        <f>'Imp Refined NYC'!T68</f>
        <v>#REF!</v>
      </c>
      <c r="S286" s="195" t="e">
        <f>'Imp Refined NYC'!U68</f>
        <v>#REF!</v>
      </c>
      <c r="T286" s="195" t="e">
        <f>'Imp Refined NYC'!V68</f>
        <v>#REF!</v>
      </c>
      <c r="U286" s="187"/>
      <c r="V286" s="187">
        <f>'Imp Refined NYC'!AF68</f>
        <v>224317.86948190606</v>
      </c>
      <c r="W286" s="187">
        <f>'Imp Refined NYC'!AG68</f>
        <v>224317.86948190606</v>
      </c>
      <c r="X286" s="187">
        <f>'Imp Refined NYC'!AH68</f>
        <v>224317.86948190606</v>
      </c>
      <c r="Y286" s="187">
        <f>'Imp Refined NYC'!AI68</f>
        <v>224317.86948190606</v>
      </c>
      <c r="Z286" s="187"/>
      <c r="AA286" s="187"/>
      <c r="AB286" s="187"/>
      <c r="AC286" s="195"/>
      <c r="AD286" s="195"/>
      <c r="AE286" s="195"/>
      <c r="AF286" s="195"/>
      <c r="AG286" s="197"/>
      <c r="AH286" s="197"/>
      <c r="BC286" s="147"/>
      <c r="BD286" s="147"/>
      <c r="BE286" s="147"/>
      <c r="BF286" s="147"/>
      <c r="BG286" s="147"/>
    </row>
    <row r="287" spans="2:59">
      <c r="B287" s="158" t="str">
        <f>Technologies!B$250</f>
        <v>R0,R1,R2,R3,R4,R5,R6</v>
      </c>
      <c r="C287" s="158" t="str">
        <f>'Imp Refined NYC'!E69</f>
        <v>IMPDSUP11</v>
      </c>
      <c r="D287" s="158" t="str">
        <f>'Imp Refined NYC'!F69</f>
        <v>Imported Distillate-Ultralow Sulfur Highway Diesel (15 ppm), PADD 1, Step 1</v>
      </c>
      <c r="E287" s="197" t="str">
        <f>'Imp Refined NYC'!G69</f>
        <v>DSUP1</v>
      </c>
      <c r="F287" s="197"/>
      <c r="G287" s="187"/>
      <c r="H287" s="197"/>
      <c r="I287" s="197">
        <v>1.0049999999999999</v>
      </c>
      <c r="J287" s="197">
        <v>1.0049999999999999</v>
      </c>
      <c r="K287" s="195">
        <f>'Imp Refined NYC'!M69</f>
        <v>12.884255591907797</v>
      </c>
      <c r="L287" s="195" t="e">
        <f>'Imp Refined NYC'!N69</f>
        <v>#REF!</v>
      </c>
      <c r="M287" s="195" t="e">
        <f>'Imp Refined NYC'!O69</f>
        <v>#REF!</v>
      </c>
      <c r="N287" s="195" t="e">
        <f>'Imp Refined NYC'!P69</f>
        <v>#REF!</v>
      </c>
      <c r="O287" s="195" t="e">
        <f>'Imp Refined NYC'!Q69</f>
        <v>#REF!</v>
      </c>
      <c r="P287" s="195" t="e">
        <f>'Imp Refined NYC'!R69</f>
        <v>#REF!</v>
      </c>
      <c r="Q287" s="195" t="e">
        <f>'Imp Refined NYC'!S69</f>
        <v>#REF!</v>
      </c>
      <c r="R287" s="195" t="e">
        <f>'Imp Refined NYC'!T69</f>
        <v>#REF!</v>
      </c>
      <c r="S287" s="195" t="e">
        <f>'Imp Refined NYC'!U69</f>
        <v>#REF!</v>
      </c>
      <c r="T287" s="195" t="e">
        <f>'Imp Refined NYC'!V69</f>
        <v>#REF!</v>
      </c>
      <c r="U287" s="187"/>
      <c r="V287" s="187">
        <f>'Imp Refined NYC'!AF69</f>
        <v>1794542.9558552499</v>
      </c>
      <c r="W287" s="187">
        <f>'Imp Refined NYC'!AG69</f>
        <v>1794542.9558552499</v>
      </c>
      <c r="X287" s="187">
        <f>'Imp Refined NYC'!AH69</f>
        <v>1794542.9558552499</v>
      </c>
      <c r="Y287" s="187">
        <f>'Imp Refined NYC'!AI69</f>
        <v>1794542.9558552499</v>
      </c>
      <c r="Z287" s="187"/>
      <c r="AA287" s="187"/>
      <c r="AB287" s="187"/>
      <c r="AC287" s="195"/>
      <c r="AD287" s="195"/>
      <c r="AE287" s="195"/>
      <c r="AF287" s="195"/>
      <c r="AG287" s="197"/>
      <c r="AH287" s="197"/>
      <c r="BC287" s="147"/>
      <c r="BD287" s="147"/>
      <c r="BE287" s="147"/>
      <c r="BF287" s="147"/>
      <c r="BG287" s="147"/>
    </row>
    <row r="288" spans="2:59">
      <c r="B288" s="158" t="str">
        <f>Technologies!B$251</f>
        <v>R0,R1,R2,R3,R4,R5,R6</v>
      </c>
      <c r="C288" s="158" t="str">
        <f>'Imp Refined NYC'!E70</f>
        <v>IMPDSUP12</v>
      </c>
      <c r="D288" s="158" t="str">
        <f>'Imp Refined NYC'!F70</f>
        <v>Imported Distillate-Ultralow Sulfur Highway Diesel (15 ppm), PADD 1, Step 2</v>
      </c>
      <c r="E288" s="197" t="str">
        <f>'Imp Refined NYC'!G70</f>
        <v>DSUP1</v>
      </c>
      <c r="F288" s="197"/>
      <c r="G288" s="187"/>
      <c r="H288" s="197"/>
      <c r="I288" s="197">
        <v>1.0049999999999999</v>
      </c>
      <c r="J288" s="197">
        <v>1.0049999999999999</v>
      </c>
      <c r="K288" s="195">
        <f>'Imp Refined NYC'!M70</f>
        <v>13.291126821125939</v>
      </c>
      <c r="L288" s="195" t="e">
        <f>'Imp Refined NYC'!N70</f>
        <v>#REF!</v>
      </c>
      <c r="M288" s="195" t="e">
        <f>'Imp Refined NYC'!O70</f>
        <v>#REF!</v>
      </c>
      <c r="N288" s="195" t="e">
        <f>'Imp Refined NYC'!P70</f>
        <v>#REF!</v>
      </c>
      <c r="O288" s="195" t="e">
        <f>'Imp Refined NYC'!Q70</f>
        <v>#REF!</v>
      </c>
      <c r="P288" s="195" t="e">
        <f>'Imp Refined NYC'!R70</f>
        <v>#REF!</v>
      </c>
      <c r="Q288" s="195" t="e">
        <f>'Imp Refined NYC'!S70</f>
        <v>#REF!</v>
      </c>
      <c r="R288" s="195" t="e">
        <f>'Imp Refined NYC'!T70</f>
        <v>#REF!</v>
      </c>
      <c r="S288" s="195" t="e">
        <f>'Imp Refined NYC'!U70</f>
        <v>#REF!</v>
      </c>
      <c r="T288" s="195" t="e">
        <f>'Imp Refined NYC'!V70</f>
        <v>#REF!</v>
      </c>
      <c r="U288" s="187"/>
      <c r="V288" s="187">
        <f>'Imp Refined NYC'!AF70</f>
        <v>224317.8694819056</v>
      </c>
      <c r="W288" s="187">
        <f>'Imp Refined NYC'!AG70</f>
        <v>224317.8694819056</v>
      </c>
      <c r="X288" s="187">
        <f>'Imp Refined NYC'!AH70</f>
        <v>224317.8694819056</v>
      </c>
      <c r="Y288" s="187">
        <f>'Imp Refined NYC'!AI70</f>
        <v>224317.8694819056</v>
      </c>
      <c r="Z288" s="187"/>
      <c r="AA288" s="187"/>
      <c r="AB288" s="187"/>
      <c r="AC288" s="195"/>
      <c r="AD288" s="195"/>
      <c r="AE288" s="195"/>
      <c r="AF288" s="195"/>
      <c r="AG288" s="197"/>
      <c r="AH288" s="197"/>
      <c r="BC288" s="147"/>
      <c r="BD288" s="147"/>
      <c r="BE288" s="147"/>
      <c r="BF288" s="147"/>
      <c r="BG288" s="147"/>
    </row>
    <row r="289" spans="2:59">
      <c r="B289" s="158" t="str">
        <f>Technologies!B$252</f>
        <v>R0,R1,R2,R3,R4,R5,R6</v>
      </c>
      <c r="C289" s="158" t="str">
        <f>'Imp Refined NYC'!E71</f>
        <v>IMPDSUP14</v>
      </c>
      <c r="D289" s="158" t="str">
        <f>'Imp Refined NYC'!F71</f>
        <v>Imported Distillate-Ultralow Sulfur Highway Diesel (15 ppm), PADD 1, Step 4</v>
      </c>
      <c r="E289" s="197" t="str">
        <f>'Imp Refined NYC'!G71</f>
        <v>DSUP1</v>
      </c>
      <c r="F289" s="197"/>
      <c r="G289" s="187"/>
      <c r="H289" s="197"/>
      <c r="I289" s="197">
        <v>1.0049999999999999</v>
      </c>
      <c r="J289" s="197">
        <v>1.0049999999999999</v>
      </c>
      <c r="K289" s="195">
        <f>'Imp Refined NYC'!M71</f>
        <v>14.782987994925788</v>
      </c>
      <c r="L289" s="195" t="e">
        <f>'Imp Refined NYC'!N71</f>
        <v>#REF!</v>
      </c>
      <c r="M289" s="195" t="e">
        <f>'Imp Refined NYC'!O71</f>
        <v>#REF!</v>
      </c>
      <c r="N289" s="195" t="e">
        <f>'Imp Refined NYC'!P71</f>
        <v>#REF!</v>
      </c>
      <c r="O289" s="195" t="e">
        <f>'Imp Refined NYC'!Q71</f>
        <v>#REF!</v>
      </c>
      <c r="P289" s="195" t="e">
        <f>'Imp Refined NYC'!R71</f>
        <v>#REF!</v>
      </c>
      <c r="Q289" s="195" t="e">
        <f>'Imp Refined NYC'!S71</f>
        <v>#REF!</v>
      </c>
      <c r="R289" s="195" t="e">
        <f>'Imp Refined NYC'!T71</f>
        <v>#REF!</v>
      </c>
      <c r="S289" s="195" t="e">
        <f>'Imp Refined NYC'!U71</f>
        <v>#REF!</v>
      </c>
      <c r="T289" s="195" t="e">
        <f>'Imp Refined NYC'!V71</f>
        <v>#REF!</v>
      </c>
      <c r="U289" s="187"/>
      <c r="V289" s="187">
        <f>'Imp Refined NYC'!AF71</f>
        <v>448635.73896381306</v>
      </c>
      <c r="W289" s="187">
        <f>'Imp Refined NYC'!AG71</f>
        <v>448635.73896381306</v>
      </c>
      <c r="X289" s="187">
        <f>'Imp Refined NYC'!AH71</f>
        <v>448635.73896381306</v>
      </c>
      <c r="Y289" s="187">
        <f>'Imp Refined NYC'!AI71</f>
        <v>448635.73896381306</v>
      </c>
      <c r="Z289" s="187"/>
      <c r="AA289" s="187"/>
      <c r="AB289" s="187"/>
      <c r="AC289" s="195"/>
      <c r="AD289" s="195"/>
      <c r="AE289" s="195"/>
      <c r="AF289" s="195"/>
      <c r="AG289" s="197"/>
      <c r="AH289" s="197"/>
      <c r="BC289" s="147"/>
      <c r="BD289" s="147"/>
      <c r="BE289" s="147"/>
      <c r="BF289" s="147"/>
      <c r="BG289" s="147"/>
    </row>
    <row r="290" spans="2:59">
      <c r="B290" s="158" t="str">
        <f>Technologies!B$253</f>
        <v>R0,R1,R2,R3,R4,R5,R6</v>
      </c>
      <c r="C290" s="158" t="str">
        <f>'Imp Refined NYC'!E72</f>
        <v>IMPDSUP15</v>
      </c>
      <c r="D290" s="158" t="str">
        <f>'Imp Refined NYC'!F72</f>
        <v>Imported Distillate-Ultralow Sulfur Highway Diesel (15 ppm), PADD 1, Step 5</v>
      </c>
      <c r="E290" s="197" t="str">
        <f>'Imp Refined NYC'!G72</f>
        <v>DSUP1</v>
      </c>
      <c r="F290" s="197"/>
      <c r="G290" s="187"/>
      <c r="H290" s="197"/>
      <c r="I290" s="197">
        <v>1.0049999999999999</v>
      </c>
      <c r="J290" s="197">
        <v>1.0049999999999999</v>
      </c>
      <c r="K290" s="195">
        <f>'Imp Refined NYC'!M72</f>
        <v>17.631086599452779</v>
      </c>
      <c r="L290" s="195" t="e">
        <f>'Imp Refined NYC'!N72</f>
        <v>#REF!</v>
      </c>
      <c r="M290" s="195" t="e">
        <f>'Imp Refined NYC'!O72</f>
        <v>#REF!</v>
      </c>
      <c r="N290" s="195" t="e">
        <f>'Imp Refined NYC'!P72</f>
        <v>#REF!</v>
      </c>
      <c r="O290" s="195" t="e">
        <f>'Imp Refined NYC'!Q72</f>
        <v>#REF!</v>
      </c>
      <c r="P290" s="195" t="e">
        <f>'Imp Refined NYC'!R72</f>
        <v>#REF!</v>
      </c>
      <c r="Q290" s="195" t="e">
        <f>'Imp Refined NYC'!S72</f>
        <v>#REF!</v>
      </c>
      <c r="R290" s="195" t="e">
        <f>'Imp Refined NYC'!T72</f>
        <v>#REF!</v>
      </c>
      <c r="S290" s="195" t="e">
        <f>'Imp Refined NYC'!U72</f>
        <v>#REF!</v>
      </c>
      <c r="T290" s="195" t="e">
        <f>'Imp Refined NYC'!V72</f>
        <v>#REF!</v>
      </c>
      <c r="U290" s="187"/>
      <c r="V290" s="187">
        <f>'Imp Refined NYC'!AF72</f>
        <v>1794542.9558552485</v>
      </c>
      <c r="W290" s="187">
        <f>'Imp Refined NYC'!AG72</f>
        <v>1794542.9558552485</v>
      </c>
      <c r="X290" s="187">
        <f>'Imp Refined NYC'!AH72</f>
        <v>1794542.9558552485</v>
      </c>
      <c r="Y290" s="187">
        <f>'Imp Refined NYC'!AI72</f>
        <v>1794542.9558552485</v>
      </c>
      <c r="Z290" s="187"/>
      <c r="AA290" s="187"/>
      <c r="AB290" s="187"/>
      <c r="AC290" s="195"/>
      <c r="AD290" s="195"/>
      <c r="AE290" s="195"/>
      <c r="AF290" s="195"/>
      <c r="AG290" s="197"/>
      <c r="AH290" s="197"/>
      <c r="BC290" s="147"/>
      <c r="BD290" s="147"/>
      <c r="BE290" s="147"/>
      <c r="BF290" s="147"/>
      <c r="BG290" s="147"/>
    </row>
    <row r="291" spans="2:59">
      <c r="B291" s="181" t="s">
        <v>398</v>
      </c>
      <c r="C291" s="181"/>
      <c r="D291" s="181"/>
      <c r="E291" s="180"/>
      <c r="F291" s="197"/>
      <c r="G291" s="187"/>
      <c r="H291" s="197"/>
      <c r="I291" s="197"/>
      <c r="J291" s="197"/>
      <c r="K291" s="195"/>
      <c r="L291" s="195"/>
      <c r="M291" s="195"/>
      <c r="N291" s="195"/>
      <c r="O291" s="195"/>
      <c r="P291" s="195"/>
      <c r="Q291" s="195"/>
      <c r="R291" s="195"/>
      <c r="S291" s="195"/>
      <c r="T291" s="195"/>
      <c r="U291" s="187"/>
      <c r="V291" s="187"/>
      <c r="W291" s="187"/>
      <c r="X291" s="187"/>
      <c r="Y291" s="187"/>
      <c r="Z291" s="187"/>
      <c r="AA291" s="187"/>
      <c r="AB291" s="187"/>
      <c r="AC291" s="187"/>
      <c r="AD291" s="187"/>
      <c r="AE291" s="187"/>
      <c r="AF291" s="195"/>
      <c r="AG291" s="197"/>
      <c r="AH291" s="197"/>
      <c r="BC291" s="147"/>
      <c r="BD291" s="147"/>
      <c r="BE291" s="147"/>
      <c r="BF291" s="147"/>
      <c r="BG291" s="147"/>
    </row>
    <row r="292" spans="2:59">
      <c r="B292" s="181" t="s">
        <v>398</v>
      </c>
      <c r="C292" s="181"/>
      <c r="D292" s="181"/>
      <c r="E292" s="180"/>
      <c r="F292" s="197"/>
      <c r="G292" s="187"/>
      <c r="H292" s="197"/>
      <c r="I292" s="197"/>
      <c r="J292" s="197"/>
      <c r="K292" s="195"/>
      <c r="L292" s="195"/>
      <c r="M292" s="195"/>
      <c r="N292" s="195"/>
      <c r="O292" s="195"/>
      <c r="P292" s="195"/>
      <c r="Q292" s="195"/>
      <c r="R292" s="195"/>
      <c r="S292" s="195"/>
      <c r="T292" s="195"/>
      <c r="U292" s="187"/>
      <c r="V292" s="187"/>
      <c r="W292" s="187"/>
      <c r="X292" s="187"/>
      <c r="Y292" s="187"/>
      <c r="Z292" s="187"/>
      <c r="AA292" s="187"/>
      <c r="AB292" s="187"/>
      <c r="AC292" s="187"/>
      <c r="AD292" s="187"/>
      <c r="AE292" s="187"/>
      <c r="AF292" s="195"/>
      <c r="AG292" s="197"/>
      <c r="AH292" s="197"/>
      <c r="BC292" s="147"/>
      <c r="BD292" s="147"/>
      <c r="BE292" s="147"/>
      <c r="BF292" s="147"/>
      <c r="BG292" s="147"/>
    </row>
    <row r="293" spans="2:59">
      <c r="B293" s="158" t="str">
        <f>Technologies!B$256</f>
        <v>R0,R1,R2,R3,R4,R5,R6</v>
      </c>
      <c r="C293" s="158" t="str">
        <f>'Imp Refined NYC'!E75</f>
        <v>IMPGSRP23</v>
      </c>
      <c r="D293" s="158" t="str">
        <f>'Imp Refined NYC'!F75</f>
        <v>Imported Reformulated Gasoline, PADD 2, Step 3</v>
      </c>
      <c r="E293" s="197" t="str">
        <f>'Imp Refined NYC'!G75</f>
        <v>GSRP2</v>
      </c>
      <c r="F293" s="197"/>
      <c r="G293" s="187"/>
      <c r="H293" s="197"/>
      <c r="I293" s="197">
        <v>1.0049999999999999</v>
      </c>
      <c r="J293" s="197">
        <v>1.0049999999999999</v>
      </c>
      <c r="K293" s="195">
        <f>'Imp Refined NYC'!M75</f>
        <v>35.258936024465008</v>
      </c>
      <c r="L293" s="195" t="e">
        <f>'Imp Refined NYC'!N75</f>
        <v>#REF!</v>
      </c>
      <c r="M293" s="195" t="e">
        <f>'Imp Refined NYC'!O75</f>
        <v>#REF!</v>
      </c>
      <c r="N293" s="195" t="e">
        <f>'Imp Refined NYC'!P75</f>
        <v>#REF!</v>
      </c>
      <c r="O293" s="195" t="e">
        <f>'Imp Refined NYC'!Q75</f>
        <v>#REF!</v>
      </c>
      <c r="P293" s="195" t="e">
        <f>'Imp Refined NYC'!R75</f>
        <v>#REF!</v>
      </c>
      <c r="Q293" s="195" t="e">
        <f>'Imp Refined NYC'!S75</f>
        <v>#REF!</v>
      </c>
      <c r="R293" s="195" t="e">
        <f>'Imp Refined NYC'!T75</f>
        <v>#REF!</v>
      </c>
      <c r="S293" s="195" t="e">
        <f>'Imp Refined NYC'!U75</f>
        <v>#REF!</v>
      </c>
      <c r="T293" s="195" t="e">
        <f>'Imp Refined NYC'!V75</f>
        <v>#REF!</v>
      </c>
      <c r="U293" s="187"/>
      <c r="V293" s="187">
        <f>'Imp Refined NYC'!AF75</f>
        <v>198323.95327584841</v>
      </c>
      <c r="W293" s="187">
        <f>'Imp Refined NYC'!AG75</f>
        <v>198323.95327584841</v>
      </c>
      <c r="X293" s="187">
        <f>'Imp Refined NYC'!AH75</f>
        <v>198323.95327584841</v>
      </c>
      <c r="Y293" s="187">
        <f>'Imp Refined NYC'!AI75</f>
        <v>198323.95327584841</v>
      </c>
      <c r="Z293" s="187"/>
      <c r="AA293" s="187"/>
      <c r="AB293" s="187"/>
      <c r="AC293" s="187"/>
      <c r="AD293" s="187"/>
      <c r="AE293" s="187"/>
      <c r="AF293" s="195"/>
      <c r="AG293" s="197"/>
      <c r="AH293" s="197"/>
      <c r="BC293" s="147"/>
      <c r="BD293" s="147"/>
      <c r="BE293" s="147"/>
      <c r="BF293" s="147"/>
      <c r="BG293" s="147"/>
    </row>
    <row r="294" spans="2:59">
      <c r="B294" s="158" t="str">
        <f>Technologies!B$257</f>
        <v>R0,R1,R2,R3,R4,R5,R6</v>
      </c>
      <c r="C294" s="158" t="str">
        <f>'Imp Refined NYC'!E76</f>
        <v>IMPGSRP21</v>
      </c>
      <c r="D294" s="158" t="str">
        <f>'Imp Refined NYC'!F76</f>
        <v>Imported Reformulated Gasoline, PADD 2, Step 1</v>
      </c>
      <c r="E294" s="197" t="str">
        <f>'Imp Refined NYC'!G76</f>
        <v>GSRP2</v>
      </c>
      <c r="F294" s="197"/>
      <c r="G294" s="187"/>
      <c r="H294" s="197"/>
      <c r="I294" s="197">
        <v>1.0049999999999999</v>
      </c>
      <c r="J294" s="197">
        <v>1.0049999999999999</v>
      </c>
      <c r="K294" s="195">
        <f>'Imp Refined NYC'!M76</f>
        <v>33.495989223241757</v>
      </c>
      <c r="L294" s="195" t="e">
        <f>'Imp Refined NYC'!N76</f>
        <v>#REF!</v>
      </c>
      <c r="M294" s="195" t="e">
        <f>'Imp Refined NYC'!O76</f>
        <v>#REF!</v>
      </c>
      <c r="N294" s="195" t="e">
        <f>'Imp Refined NYC'!P76</f>
        <v>#REF!</v>
      </c>
      <c r="O294" s="195" t="e">
        <f>'Imp Refined NYC'!Q76</f>
        <v>#REF!</v>
      </c>
      <c r="P294" s="195" t="e">
        <f>'Imp Refined NYC'!R76</f>
        <v>#REF!</v>
      </c>
      <c r="Q294" s="195" t="e">
        <f>'Imp Refined NYC'!S76</f>
        <v>#REF!</v>
      </c>
      <c r="R294" s="195" t="e">
        <f>'Imp Refined NYC'!T76</f>
        <v>#REF!</v>
      </c>
      <c r="S294" s="195" t="e">
        <f>'Imp Refined NYC'!U76</f>
        <v>#REF!</v>
      </c>
      <c r="T294" s="195" t="e">
        <f>'Imp Refined NYC'!V76</f>
        <v>#REF!</v>
      </c>
      <c r="U294" s="187"/>
      <c r="V294" s="187">
        <f>'Imp Refined NYC'!AF76</f>
        <v>1586591.6262067873</v>
      </c>
      <c r="W294" s="187">
        <f>'Imp Refined NYC'!AG76</f>
        <v>1586591.6262067873</v>
      </c>
      <c r="X294" s="187">
        <f>'Imp Refined NYC'!AH76</f>
        <v>1586591.6262067873</v>
      </c>
      <c r="Y294" s="187">
        <f>'Imp Refined NYC'!AI76</f>
        <v>1586591.6262067873</v>
      </c>
      <c r="Z294" s="187"/>
      <c r="AA294" s="187"/>
      <c r="AB294" s="187"/>
      <c r="AC294" s="187"/>
      <c r="AD294" s="187"/>
      <c r="AE294" s="187"/>
      <c r="AF294" s="195"/>
      <c r="AG294" s="197"/>
      <c r="AH294" s="197"/>
      <c r="BC294" s="147"/>
      <c r="BD294" s="147"/>
      <c r="BE294" s="147"/>
      <c r="BF294" s="147"/>
      <c r="BG294" s="147"/>
    </row>
    <row r="295" spans="2:59">
      <c r="B295" s="158" t="str">
        <f>Technologies!B$258</f>
        <v>R0,R1,R2,R3,R4,R5,R6</v>
      </c>
      <c r="C295" s="158" t="str">
        <f>'Imp Refined NYC'!E77</f>
        <v>IMPGSRP22</v>
      </c>
      <c r="D295" s="158" t="str">
        <f>'Imp Refined NYC'!F77</f>
        <v>Imported Reformulated Gasoline, PADD 2, Step 2</v>
      </c>
      <c r="E295" s="197" t="str">
        <f>'Imp Refined NYC'!G77</f>
        <v>GSRP2</v>
      </c>
      <c r="F295" s="197"/>
      <c r="G295" s="187"/>
      <c r="H295" s="197"/>
      <c r="I295" s="197">
        <v>1.0049999999999999</v>
      </c>
      <c r="J295" s="197">
        <v>1.0049999999999999</v>
      </c>
      <c r="K295" s="195">
        <f>'Imp Refined NYC'!M77</f>
        <v>34.553757303975701</v>
      </c>
      <c r="L295" s="195" t="e">
        <f>'Imp Refined NYC'!N77</f>
        <v>#REF!</v>
      </c>
      <c r="M295" s="195" t="e">
        <f>'Imp Refined NYC'!O77</f>
        <v>#REF!</v>
      </c>
      <c r="N295" s="195" t="e">
        <f>'Imp Refined NYC'!P77</f>
        <v>#REF!</v>
      </c>
      <c r="O295" s="195" t="e">
        <f>'Imp Refined NYC'!Q77</f>
        <v>#REF!</v>
      </c>
      <c r="P295" s="195" t="e">
        <f>'Imp Refined NYC'!R77</f>
        <v>#REF!</v>
      </c>
      <c r="Q295" s="195" t="e">
        <f>'Imp Refined NYC'!S77</f>
        <v>#REF!</v>
      </c>
      <c r="R295" s="195" t="e">
        <f>'Imp Refined NYC'!T77</f>
        <v>#REF!</v>
      </c>
      <c r="S295" s="195" t="e">
        <f>'Imp Refined NYC'!U77</f>
        <v>#REF!</v>
      </c>
      <c r="T295" s="195" t="e">
        <f>'Imp Refined NYC'!V77</f>
        <v>#REF!</v>
      </c>
      <c r="U295" s="187"/>
      <c r="V295" s="187">
        <f>'Imp Refined NYC'!AF77</f>
        <v>198323.95327584841</v>
      </c>
      <c r="W295" s="187">
        <f>'Imp Refined NYC'!AG77</f>
        <v>198323.95327584841</v>
      </c>
      <c r="X295" s="187">
        <f>'Imp Refined NYC'!AH77</f>
        <v>198323.95327584841</v>
      </c>
      <c r="Y295" s="187">
        <f>'Imp Refined NYC'!AI77</f>
        <v>198323.95327584841</v>
      </c>
      <c r="Z295" s="187"/>
      <c r="AA295" s="187"/>
      <c r="AB295" s="187"/>
      <c r="AC295" s="187"/>
      <c r="AD295" s="187"/>
      <c r="AE295" s="187"/>
      <c r="AF295" s="195"/>
      <c r="AG295" s="197"/>
      <c r="AH295" s="197"/>
      <c r="BC295" s="147"/>
      <c r="BD295" s="147"/>
      <c r="BE295" s="147"/>
      <c r="BF295" s="147"/>
      <c r="BG295" s="147"/>
    </row>
    <row r="296" spans="2:59">
      <c r="B296" s="158" t="str">
        <f>Technologies!B$259</f>
        <v>R0,R1,R2,R3,R4,R5,R6</v>
      </c>
      <c r="C296" s="158" t="str">
        <f>'Imp Refined NYC'!E78</f>
        <v>IMPGSRP24</v>
      </c>
      <c r="D296" s="158" t="str">
        <f>'Imp Refined NYC'!F78</f>
        <v>Imported Reformulated Gasoline, PADD 2, Step 4</v>
      </c>
      <c r="E296" s="197" t="str">
        <f>'Imp Refined NYC'!G78</f>
        <v>GSRP2</v>
      </c>
      <c r="F296" s="197"/>
      <c r="G296" s="187"/>
      <c r="H296" s="197"/>
      <c r="I296" s="197">
        <v>1.0049999999999999</v>
      </c>
      <c r="J296" s="197">
        <v>1.0049999999999999</v>
      </c>
      <c r="K296" s="195">
        <f>'Imp Refined NYC'!M78</f>
        <v>38.432240266666867</v>
      </c>
      <c r="L296" s="195" t="e">
        <f>'Imp Refined NYC'!N78</f>
        <v>#REF!</v>
      </c>
      <c r="M296" s="195" t="e">
        <f>'Imp Refined NYC'!O78</f>
        <v>#REF!</v>
      </c>
      <c r="N296" s="195" t="e">
        <f>'Imp Refined NYC'!P78</f>
        <v>#REF!</v>
      </c>
      <c r="O296" s="195" t="e">
        <f>'Imp Refined NYC'!Q78</f>
        <v>#REF!</v>
      </c>
      <c r="P296" s="195" t="e">
        <f>'Imp Refined NYC'!R78</f>
        <v>#REF!</v>
      </c>
      <c r="Q296" s="195" t="e">
        <f>'Imp Refined NYC'!S78</f>
        <v>#REF!</v>
      </c>
      <c r="R296" s="195" t="e">
        <f>'Imp Refined NYC'!T78</f>
        <v>#REF!</v>
      </c>
      <c r="S296" s="195" t="e">
        <f>'Imp Refined NYC'!U78</f>
        <v>#REF!</v>
      </c>
      <c r="T296" s="195" t="e">
        <f>'Imp Refined NYC'!V78</f>
        <v>#REF!</v>
      </c>
      <c r="U296" s="187"/>
      <c r="V296" s="187">
        <f>'Imp Refined NYC'!AF78</f>
        <v>396647.90655169683</v>
      </c>
      <c r="W296" s="187">
        <f>'Imp Refined NYC'!AG78</f>
        <v>396647.90655169683</v>
      </c>
      <c r="X296" s="187">
        <f>'Imp Refined NYC'!AH78</f>
        <v>396647.90655169683</v>
      </c>
      <c r="Y296" s="187">
        <f>'Imp Refined NYC'!AI78</f>
        <v>396647.90655169683</v>
      </c>
      <c r="Z296" s="187"/>
      <c r="AA296" s="187"/>
      <c r="AB296" s="187"/>
      <c r="AC296" s="187"/>
      <c r="AD296" s="187"/>
      <c r="AE296" s="187"/>
      <c r="AF296" s="195"/>
      <c r="AG296" s="197"/>
      <c r="AH296" s="197"/>
      <c r="BC296" s="147"/>
      <c r="BD296" s="147"/>
      <c r="BE296" s="147"/>
      <c r="BF296" s="147"/>
      <c r="BG296" s="147"/>
    </row>
    <row r="297" spans="2:59">
      <c r="B297" s="158" t="str">
        <f>Technologies!B$260</f>
        <v>R0,R1,R2,R3,R4,R5,R6</v>
      </c>
      <c r="C297" s="158" t="str">
        <f>'Imp Refined NYC'!E79</f>
        <v>IMPGSRP25</v>
      </c>
      <c r="D297" s="158" t="str">
        <f>'Imp Refined NYC'!F79</f>
        <v>Imported Reformulated Gasoline, PADD 2, Step 5</v>
      </c>
      <c r="E297" s="197" t="str">
        <f>'Imp Refined NYC'!G79</f>
        <v>GSRP2</v>
      </c>
      <c r="F297" s="197"/>
      <c r="G297" s="187"/>
      <c r="H297" s="197"/>
      <c r="I297" s="197">
        <v>1.0049999999999999</v>
      </c>
      <c r="J297" s="197">
        <v>1.0049999999999999</v>
      </c>
      <c r="K297" s="195">
        <f>'Imp Refined NYC'!M79</f>
        <v>45.836616831804506</v>
      </c>
      <c r="L297" s="195" t="e">
        <f>'Imp Refined NYC'!N79</f>
        <v>#REF!</v>
      </c>
      <c r="M297" s="195" t="e">
        <f>'Imp Refined NYC'!O79</f>
        <v>#REF!</v>
      </c>
      <c r="N297" s="195" t="e">
        <f>'Imp Refined NYC'!P79</f>
        <v>#REF!</v>
      </c>
      <c r="O297" s="195" t="e">
        <f>'Imp Refined NYC'!Q79</f>
        <v>#REF!</v>
      </c>
      <c r="P297" s="195" t="e">
        <f>'Imp Refined NYC'!R79</f>
        <v>#REF!</v>
      </c>
      <c r="Q297" s="195" t="e">
        <f>'Imp Refined NYC'!S79</f>
        <v>#REF!</v>
      </c>
      <c r="R297" s="195" t="e">
        <f>'Imp Refined NYC'!T79</f>
        <v>#REF!</v>
      </c>
      <c r="S297" s="195" t="e">
        <f>'Imp Refined NYC'!U79</f>
        <v>#REF!</v>
      </c>
      <c r="T297" s="195" t="e">
        <f>'Imp Refined NYC'!V79</f>
        <v>#REF!</v>
      </c>
      <c r="U297" s="187"/>
      <c r="V297" s="187">
        <f>'Imp Refined NYC'!AF79</f>
        <v>1586591.6262067873</v>
      </c>
      <c r="W297" s="187">
        <f>'Imp Refined NYC'!AG79</f>
        <v>1586591.6262067873</v>
      </c>
      <c r="X297" s="187">
        <f>'Imp Refined NYC'!AH79</f>
        <v>1586591.6262067873</v>
      </c>
      <c r="Y297" s="187">
        <f>'Imp Refined NYC'!AI79</f>
        <v>1586591.6262067873</v>
      </c>
      <c r="Z297" s="187"/>
      <c r="AA297" s="187"/>
      <c r="AB297" s="187"/>
      <c r="AC297" s="187"/>
      <c r="AD297" s="187"/>
      <c r="AE297" s="187"/>
      <c r="AF297" s="195"/>
      <c r="AG297" s="197"/>
      <c r="AH297" s="197"/>
      <c r="BC297" s="147"/>
      <c r="BD297" s="147"/>
      <c r="BE297" s="147"/>
      <c r="BF297" s="147"/>
      <c r="BG297" s="147"/>
    </row>
    <row r="298" spans="2:59">
      <c r="B298" s="158" t="str">
        <f>Technologies!B$261</f>
        <v>R0,R1,R2,R3,R4,R5,R6</v>
      </c>
      <c r="C298" s="158" t="str">
        <f>'Imp Refined NYC'!E80</f>
        <v>IMPGSCP23</v>
      </c>
      <c r="D298" s="158" t="str">
        <f>'Imp Refined NYC'!F80</f>
        <v>Imported Conventional Gasoline, PADD 2, Step 3</v>
      </c>
      <c r="E298" s="197" t="str">
        <f>'Imp Refined NYC'!G80</f>
        <v>GSCP2</v>
      </c>
      <c r="F298" s="197"/>
      <c r="G298" s="187"/>
      <c r="H298" s="197"/>
      <c r="I298" s="197">
        <v>1.0049999999999999</v>
      </c>
      <c r="J298" s="197">
        <v>1.0049999999999999</v>
      </c>
      <c r="K298" s="195">
        <f>'Imp Refined NYC'!M80</f>
        <v>15.419883656548874</v>
      </c>
      <c r="L298" s="195" t="e">
        <f>'Imp Refined NYC'!N80</f>
        <v>#REF!</v>
      </c>
      <c r="M298" s="195" t="e">
        <f>'Imp Refined NYC'!O80</f>
        <v>#REF!</v>
      </c>
      <c r="N298" s="195" t="e">
        <f>'Imp Refined NYC'!P80</f>
        <v>#REF!</v>
      </c>
      <c r="O298" s="195" t="e">
        <f>'Imp Refined NYC'!Q80</f>
        <v>#REF!</v>
      </c>
      <c r="P298" s="195" t="e">
        <f>'Imp Refined NYC'!R80</f>
        <v>#REF!</v>
      </c>
      <c r="Q298" s="195" t="e">
        <f>'Imp Refined NYC'!S80</f>
        <v>#REF!</v>
      </c>
      <c r="R298" s="195" t="e">
        <f>'Imp Refined NYC'!T80</f>
        <v>#REF!</v>
      </c>
      <c r="S298" s="195" t="e">
        <f>'Imp Refined NYC'!U80</f>
        <v>#REF!</v>
      </c>
      <c r="T298" s="195" t="e">
        <f>'Imp Refined NYC'!V80</f>
        <v>#REF!</v>
      </c>
      <c r="U298" s="187"/>
      <c r="V298" s="187">
        <f>'Imp Refined NYC'!AF80</f>
        <v>202290.43234136514</v>
      </c>
      <c r="W298" s="187">
        <f>'Imp Refined NYC'!AG80</f>
        <v>202290.43234136514</v>
      </c>
      <c r="X298" s="187">
        <f>'Imp Refined NYC'!AH80</f>
        <v>202290.43234136514</v>
      </c>
      <c r="Y298" s="187">
        <f>'Imp Refined NYC'!AI80</f>
        <v>202290.43234136514</v>
      </c>
      <c r="Z298" s="187"/>
      <c r="AA298" s="187"/>
      <c r="AB298" s="187"/>
      <c r="AC298" s="187"/>
      <c r="AD298" s="187"/>
      <c r="AE298" s="187"/>
      <c r="AF298" s="195"/>
      <c r="AG298" s="197"/>
      <c r="AH298" s="197"/>
      <c r="BC298" s="147"/>
      <c r="BD298" s="147"/>
      <c r="BE298" s="147"/>
      <c r="BF298" s="147"/>
      <c r="BG298" s="147"/>
    </row>
    <row r="299" spans="2:59">
      <c r="B299" s="158" t="str">
        <f>Technologies!B$262</f>
        <v>R0,R1,R2,R3,R4,R5,R6</v>
      </c>
      <c r="C299" s="158" t="str">
        <f>'Imp Refined NYC'!E81</f>
        <v>IMPGSCP21</v>
      </c>
      <c r="D299" s="158" t="str">
        <f>'Imp Refined NYC'!F81</f>
        <v>Imported Conventional Gasoline, PADD 2, Step 1</v>
      </c>
      <c r="E299" s="197" t="str">
        <f>'Imp Refined NYC'!G81</f>
        <v>GSCP2</v>
      </c>
      <c r="F299" s="197"/>
      <c r="G299" s="187"/>
      <c r="H299" s="197"/>
      <c r="I299" s="197">
        <v>1.0049999999999999</v>
      </c>
      <c r="J299" s="197">
        <v>1.0049999999999999</v>
      </c>
      <c r="K299" s="195">
        <f>'Imp Refined NYC'!M81</f>
        <v>14.648889473721432</v>
      </c>
      <c r="L299" s="195" t="e">
        <f>'Imp Refined NYC'!N81</f>
        <v>#REF!</v>
      </c>
      <c r="M299" s="195" t="e">
        <f>'Imp Refined NYC'!O81</f>
        <v>#REF!</v>
      </c>
      <c r="N299" s="195" t="e">
        <f>'Imp Refined NYC'!P81</f>
        <v>#REF!</v>
      </c>
      <c r="O299" s="195" t="e">
        <f>'Imp Refined NYC'!Q81</f>
        <v>#REF!</v>
      </c>
      <c r="P299" s="195" t="e">
        <f>'Imp Refined NYC'!R81</f>
        <v>#REF!</v>
      </c>
      <c r="Q299" s="195" t="e">
        <f>'Imp Refined NYC'!S81</f>
        <v>#REF!</v>
      </c>
      <c r="R299" s="195" t="e">
        <f>'Imp Refined NYC'!T81</f>
        <v>#REF!</v>
      </c>
      <c r="S299" s="195" t="e">
        <f>'Imp Refined NYC'!U81</f>
        <v>#REF!</v>
      </c>
      <c r="T299" s="195" t="e">
        <f>'Imp Refined NYC'!V81</f>
        <v>#REF!</v>
      </c>
      <c r="U299" s="187"/>
      <c r="V299" s="187">
        <f>'Imp Refined NYC'!AF81</f>
        <v>1618323.4587309228</v>
      </c>
      <c r="W299" s="187">
        <f>'Imp Refined NYC'!AG81</f>
        <v>1618323.4587309228</v>
      </c>
      <c r="X299" s="187">
        <f>'Imp Refined NYC'!AH81</f>
        <v>1618323.4587309228</v>
      </c>
      <c r="Y299" s="187">
        <f>'Imp Refined NYC'!AI81</f>
        <v>1618323.4587309228</v>
      </c>
      <c r="Z299" s="187"/>
      <c r="AA299" s="187"/>
      <c r="AB299" s="187"/>
      <c r="AC299" s="187"/>
      <c r="AD299" s="187"/>
      <c r="AE299" s="187"/>
      <c r="AF299" s="195"/>
      <c r="AG299" s="197"/>
      <c r="AH299" s="197"/>
      <c r="BC299" s="147"/>
      <c r="BD299" s="147"/>
      <c r="BE299" s="147"/>
      <c r="BF299" s="147"/>
      <c r="BG299" s="147"/>
    </row>
    <row r="300" spans="2:59">
      <c r="B300" s="158" t="str">
        <f>Technologies!B$263</f>
        <v>R0,R1,R2,R3,R4,R5,R6</v>
      </c>
      <c r="C300" s="158" t="str">
        <f>'Imp Refined NYC'!E82</f>
        <v>IMPGSCP22</v>
      </c>
      <c r="D300" s="158" t="str">
        <f>'Imp Refined NYC'!F82</f>
        <v>Imported Conventional Gasoline, PADD 2, Step 2</v>
      </c>
      <c r="E300" s="197" t="str">
        <f>'Imp Refined NYC'!G82</f>
        <v>GSCP2</v>
      </c>
      <c r="F300" s="197"/>
      <c r="G300" s="187"/>
      <c r="H300" s="197"/>
      <c r="I300" s="197">
        <v>1.0049999999999999</v>
      </c>
      <c r="J300" s="197">
        <v>1.0049999999999999</v>
      </c>
      <c r="K300" s="195">
        <f>'Imp Refined NYC'!M82</f>
        <v>15.111485983417895</v>
      </c>
      <c r="L300" s="195" t="e">
        <f>'Imp Refined NYC'!N82</f>
        <v>#REF!</v>
      </c>
      <c r="M300" s="195" t="e">
        <f>'Imp Refined NYC'!O82</f>
        <v>#REF!</v>
      </c>
      <c r="N300" s="195" t="e">
        <f>'Imp Refined NYC'!P82</f>
        <v>#REF!</v>
      </c>
      <c r="O300" s="195" t="e">
        <f>'Imp Refined NYC'!Q82</f>
        <v>#REF!</v>
      </c>
      <c r="P300" s="195" t="e">
        <f>'Imp Refined NYC'!R82</f>
        <v>#REF!</v>
      </c>
      <c r="Q300" s="195" t="e">
        <f>'Imp Refined NYC'!S82</f>
        <v>#REF!</v>
      </c>
      <c r="R300" s="195" t="e">
        <f>'Imp Refined NYC'!T82</f>
        <v>#REF!</v>
      </c>
      <c r="S300" s="195" t="e">
        <f>'Imp Refined NYC'!U82</f>
        <v>#REF!</v>
      </c>
      <c r="T300" s="195" t="e">
        <f>'Imp Refined NYC'!V82</f>
        <v>#REF!</v>
      </c>
      <c r="U300" s="187"/>
      <c r="V300" s="187">
        <f>'Imp Refined NYC'!AF82</f>
        <v>202290.43234136584</v>
      </c>
      <c r="W300" s="187">
        <f>'Imp Refined NYC'!AG82</f>
        <v>202290.43234136584</v>
      </c>
      <c r="X300" s="187">
        <f>'Imp Refined NYC'!AH82</f>
        <v>202290.43234136584</v>
      </c>
      <c r="Y300" s="187">
        <f>'Imp Refined NYC'!AI82</f>
        <v>202290.43234136584</v>
      </c>
      <c r="Z300" s="187"/>
      <c r="AA300" s="187"/>
      <c r="AB300" s="187"/>
      <c r="AC300" s="187"/>
      <c r="AD300" s="187"/>
      <c r="AE300" s="187"/>
      <c r="AF300" s="195"/>
      <c r="AG300" s="197"/>
      <c r="AH300" s="197"/>
      <c r="BC300" s="147"/>
      <c r="BD300" s="147"/>
      <c r="BE300" s="147"/>
      <c r="BF300" s="147"/>
      <c r="BG300" s="147"/>
    </row>
    <row r="301" spans="2:59">
      <c r="B301" s="158" t="str">
        <f>Technologies!B$264</f>
        <v>R0,R1,R2,R3,R4,R5,R6</v>
      </c>
      <c r="C301" s="158" t="str">
        <f>'Imp Refined NYC'!E83</f>
        <v>IMPGSCP24</v>
      </c>
      <c r="D301" s="158" t="str">
        <f>'Imp Refined NYC'!F83</f>
        <v>Imported Conventional Gasoline, PADD 2, Step 4</v>
      </c>
      <c r="E301" s="197" t="str">
        <f>'Imp Refined NYC'!G83</f>
        <v>GSCP2</v>
      </c>
      <c r="F301" s="197"/>
      <c r="G301" s="187"/>
      <c r="H301" s="197"/>
      <c r="I301" s="197">
        <v>1.0049999999999999</v>
      </c>
      <c r="J301" s="197">
        <v>1.0049999999999999</v>
      </c>
      <c r="K301" s="195">
        <f>'Imp Refined NYC'!M83</f>
        <v>16.807673185638272</v>
      </c>
      <c r="L301" s="195" t="e">
        <f>'Imp Refined NYC'!N83</f>
        <v>#REF!</v>
      </c>
      <c r="M301" s="195" t="e">
        <f>'Imp Refined NYC'!O83</f>
        <v>#REF!</v>
      </c>
      <c r="N301" s="195" t="e">
        <f>'Imp Refined NYC'!P83</f>
        <v>#REF!</v>
      </c>
      <c r="O301" s="195" t="e">
        <f>'Imp Refined NYC'!Q83</f>
        <v>#REF!</v>
      </c>
      <c r="P301" s="195" t="e">
        <f>'Imp Refined NYC'!R83</f>
        <v>#REF!</v>
      </c>
      <c r="Q301" s="195" t="e">
        <f>'Imp Refined NYC'!S83</f>
        <v>#REF!</v>
      </c>
      <c r="R301" s="195" t="e">
        <f>'Imp Refined NYC'!T83</f>
        <v>#REF!</v>
      </c>
      <c r="S301" s="195" t="e">
        <f>'Imp Refined NYC'!U83</f>
        <v>#REF!</v>
      </c>
      <c r="T301" s="195" t="e">
        <f>'Imp Refined NYC'!V83</f>
        <v>#REF!</v>
      </c>
      <c r="U301" s="187"/>
      <c r="V301" s="187">
        <f>'Imp Refined NYC'!AF83</f>
        <v>404580.86468273075</v>
      </c>
      <c r="W301" s="187">
        <f>'Imp Refined NYC'!AG83</f>
        <v>404580.86468273075</v>
      </c>
      <c r="X301" s="187">
        <f>'Imp Refined NYC'!AH83</f>
        <v>404580.86468273075</v>
      </c>
      <c r="Y301" s="187">
        <f>'Imp Refined NYC'!AI83</f>
        <v>404580.86468273075</v>
      </c>
      <c r="Z301" s="187"/>
      <c r="AA301" s="187"/>
      <c r="AB301" s="187"/>
      <c r="AC301" s="187"/>
      <c r="AD301" s="187"/>
      <c r="AE301" s="187"/>
      <c r="AF301" s="195"/>
      <c r="AG301" s="197"/>
      <c r="AH301" s="197"/>
      <c r="BC301" s="147"/>
      <c r="BD301" s="147"/>
      <c r="BE301" s="147"/>
      <c r="BF301" s="147"/>
      <c r="BG301" s="147"/>
    </row>
    <row r="302" spans="2:59">
      <c r="B302" s="158" t="str">
        <f>Technologies!B$265</f>
        <v>R0,R1,R2,R3,R4,R5,R6</v>
      </c>
      <c r="C302" s="158" t="str">
        <f>'Imp Refined NYC'!E84</f>
        <v>IMPGSCP25</v>
      </c>
      <c r="D302" s="158" t="str">
        <f>'Imp Refined NYC'!F84</f>
        <v>Imported Conventional Gasoline, PADD 2, Step 5</v>
      </c>
      <c r="E302" s="197" t="str">
        <f>'Imp Refined NYC'!G84</f>
        <v>GSCP2</v>
      </c>
      <c r="F302" s="197"/>
      <c r="G302" s="187"/>
      <c r="H302" s="197"/>
      <c r="I302" s="197">
        <v>1.0049999999999999</v>
      </c>
      <c r="J302" s="197">
        <v>1.0049999999999999</v>
      </c>
      <c r="K302" s="195">
        <f>'Imp Refined NYC'!M84</f>
        <v>20.045848753513535</v>
      </c>
      <c r="L302" s="195" t="e">
        <f>'Imp Refined NYC'!N84</f>
        <v>#REF!</v>
      </c>
      <c r="M302" s="195" t="e">
        <f>'Imp Refined NYC'!O84</f>
        <v>#REF!</v>
      </c>
      <c r="N302" s="195" t="e">
        <f>'Imp Refined NYC'!P84</f>
        <v>#REF!</v>
      </c>
      <c r="O302" s="195" t="e">
        <f>'Imp Refined NYC'!Q84</f>
        <v>#REF!</v>
      </c>
      <c r="P302" s="195" t="e">
        <f>'Imp Refined NYC'!R84</f>
        <v>#REF!</v>
      </c>
      <c r="Q302" s="195" t="e">
        <f>'Imp Refined NYC'!S84</f>
        <v>#REF!</v>
      </c>
      <c r="R302" s="195" t="e">
        <f>'Imp Refined NYC'!T84</f>
        <v>#REF!</v>
      </c>
      <c r="S302" s="195" t="e">
        <f>'Imp Refined NYC'!U84</f>
        <v>#REF!</v>
      </c>
      <c r="T302" s="195" t="e">
        <f>'Imp Refined NYC'!V84</f>
        <v>#REF!</v>
      </c>
      <c r="U302" s="187"/>
      <c r="V302" s="187">
        <f>'Imp Refined NYC'!AF84</f>
        <v>1618323.458730923</v>
      </c>
      <c r="W302" s="187">
        <f>'Imp Refined NYC'!AG84</f>
        <v>1618323.458730923</v>
      </c>
      <c r="X302" s="187">
        <f>'Imp Refined NYC'!AH84</f>
        <v>1618323.458730923</v>
      </c>
      <c r="Y302" s="187">
        <f>'Imp Refined NYC'!AI84</f>
        <v>1618323.458730923</v>
      </c>
      <c r="Z302" s="187"/>
      <c r="AA302" s="187"/>
      <c r="AB302" s="187"/>
      <c r="AC302" s="187"/>
      <c r="AD302" s="187"/>
      <c r="AE302" s="187"/>
      <c r="AF302" s="195"/>
      <c r="AG302" s="197"/>
      <c r="AH302" s="197"/>
      <c r="BC302" s="147"/>
      <c r="BD302" s="147"/>
      <c r="BE302" s="147"/>
      <c r="BF302" s="147"/>
      <c r="BG302" s="147"/>
    </row>
    <row r="303" spans="2:59">
      <c r="B303" s="158" t="str">
        <f>Technologies!B$271</f>
        <v>R0,R1,R2,R3,R4,R5,R6</v>
      </c>
      <c r="C303" s="158" t="str">
        <f>'Imp Refined NYC'!E90</f>
        <v>IMPDSLP23</v>
      </c>
      <c r="D303" s="158" t="str">
        <f>'Imp Refined NYC'!F90</f>
        <v>Imported Distillate-Low Sulfur Highway Diesel (500 ppm), PADD 2, Step 3</v>
      </c>
      <c r="E303" s="197" t="str">
        <f>'Imp Refined NYC'!G90</f>
        <v>DSLP2</v>
      </c>
      <c r="F303" s="197"/>
      <c r="G303" s="187"/>
      <c r="H303" s="197"/>
      <c r="I303" s="197">
        <v>1.0049999999999999</v>
      </c>
      <c r="J303" s="197">
        <v>1.0049999999999999</v>
      </c>
      <c r="K303" s="195">
        <f>'Imp Refined NYC'!M90</f>
        <v>12.246785548020053</v>
      </c>
      <c r="L303" s="195" t="e">
        <f>'Imp Refined NYC'!N90</f>
        <v>#REF!</v>
      </c>
      <c r="M303" s="195" t="e">
        <f>'Imp Refined NYC'!O90</f>
        <v>#REF!</v>
      </c>
      <c r="N303" s="195" t="e">
        <f>'Imp Refined NYC'!P90</f>
        <v>#REF!</v>
      </c>
      <c r="O303" s="195" t="e">
        <f>'Imp Refined NYC'!Q90</f>
        <v>#REF!</v>
      </c>
      <c r="P303" s="195" t="e">
        <f>'Imp Refined NYC'!R90</f>
        <v>#REF!</v>
      </c>
      <c r="Q303" s="195" t="e">
        <f>'Imp Refined NYC'!S90</f>
        <v>#REF!</v>
      </c>
      <c r="R303" s="195" t="e">
        <f>'Imp Refined NYC'!T90</f>
        <v>#REF!</v>
      </c>
      <c r="S303" s="195" t="e">
        <f>'Imp Refined NYC'!U90</f>
        <v>#REF!</v>
      </c>
      <c r="T303" s="195" t="e">
        <f>'Imp Refined NYC'!V90</f>
        <v>#REF!</v>
      </c>
      <c r="U303" s="187"/>
      <c r="V303" s="187">
        <f>'Imp Refined NYC'!AF90</f>
        <v>224317.86948190606</v>
      </c>
      <c r="W303" s="187">
        <f>'Imp Refined NYC'!AG90</f>
        <v>224317.86948190606</v>
      </c>
      <c r="X303" s="187">
        <f>'Imp Refined NYC'!AH90</f>
        <v>224317.86948190606</v>
      </c>
      <c r="Y303" s="187">
        <f>'Imp Refined NYC'!AI90</f>
        <v>224317.86948190606</v>
      </c>
      <c r="Z303" s="187"/>
      <c r="AA303" s="187"/>
      <c r="AB303" s="187"/>
      <c r="AC303" s="187"/>
      <c r="AD303" s="187"/>
      <c r="AE303" s="187"/>
      <c r="AF303" s="195"/>
      <c r="AG303" s="197"/>
      <c r="AH303" s="197"/>
      <c r="BC303" s="147"/>
      <c r="BD303" s="147"/>
      <c r="BE303" s="147"/>
      <c r="BF303" s="147"/>
      <c r="BG303" s="147"/>
    </row>
    <row r="304" spans="2:59">
      <c r="B304" s="158" t="str">
        <f>Technologies!B$272</f>
        <v>R0,R1,R2,R3,R4,R5,R6</v>
      </c>
      <c r="C304" s="158" t="str">
        <f>'Imp Refined NYC'!E91</f>
        <v>IMPDSLP21</v>
      </c>
      <c r="D304" s="158" t="str">
        <f>'Imp Refined NYC'!F91</f>
        <v>Imported Distillate-Low Sulfur Highway Diesel (500 ppm), PADD 2, Step 1</v>
      </c>
      <c r="E304" s="197" t="str">
        <f>'Imp Refined NYC'!G91</f>
        <v>DSLP2</v>
      </c>
      <c r="F304" s="197"/>
      <c r="G304" s="187"/>
      <c r="H304" s="197"/>
      <c r="I304" s="197">
        <v>1.0049999999999999</v>
      </c>
      <c r="J304" s="197">
        <v>1.0049999999999999</v>
      </c>
      <c r="K304" s="195">
        <f>'Imp Refined NYC'!M91</f>
        <v>11.634446270619048</v>
      </c>
      <c r="L304" s="195" t="e">
        <f>'Imp Refined NYC'!N91</f>
        <v>#REF!</v>
      </c>
      <c r="M304" s="195" t="e">
        <f>'Imp Refined NYC'!O91</f>
        <v>#REF!</v>
      </c>
      <c r="N304" s="195" t="e">
        <f>'Imp Refined NYC'!P91</f>
        <v>#REF!</v>
      </c>
      <c r="O304" s="195" t="e">
        <f>'Imp Refined NYC'!Q91</f>
        <v>#REF!</v>
      </c>
      <c r="P304" s="195" t="e">
        <f>'Imp Refined NYC'!R91</f>
        <v>#REF!</v>
      </c>
      <c r="Q304" s="195" t="e">
        <f>'Imp Refined NYC'!S91</f>
        <v>#REF!</v>
      </c>
      <c r="R304" s="195" t="e">
        <f>'Imp Refined NYC'!T91</f>
        <v>#REF!</v>
      </c>
      <c r="S304" s="195" t="e">
        <f>'Imp Refined NYC'!U91</f>
        <v>#REF!</v>
      </c>
      <c r="T304" s="195" t="e">
        <f>'Imp Refined NYC'!V91</f>
        <v>#REF!</v>
      </c>
      <c r="U304" s="187"/>
      <c r="V304" s="187">
        <f>'Imp Refined NYC'!AF91</f>
        <v>1794542.9558552499</v>
      </c>
      <c r="W304" s="187">
        <f>'Imp Refined NYC'!AG91</f>
        <v>1794542.9558552499</v>
      </c>
      <c r="X304" s="187">
        <f>'Imp Refined NYC'!AH91</f>
        <v>1794542.9558552499</v>
      </c>
      <c r="Y304" s="187">
        <f>'Imp Refined NYC'!AI91</f>
        <v>1794542.9558552499</v>
      </c>
      <c r="Z304" s="187"/>
      <c r="AA304" s="187"/>
      <c r="AB304" s="187"/>
      <c r="AC304" s="187"/>
      <c r="AD304" s="187"/>
      <c r="AE304" s="187"/>
      <c r="AF304" s="195"/>
      <c r="AG304" s="197"/>
      <c r="AH304" s="197"/>
      <c r="BC304" s="147"/>
      <c r="BD304" s="147"/>
      <c r="BE304" s="147"/>
      <c r="BF304" s="147"/>
      <c r="BG304" s="147"/>
    </row>
    <row r="305" spans="2:59">
      <c r="B305" s="158" t="str">
        <f>Technologies!B$273</f>
        <v>R0,R1,R2,R3,R4,R5,R6</v>
      </c>
      <c r="C305" s="158" t="str">
        <f>'Imp Refined NYC'!E92</f>
        <v>IMPDSLP22</v>
      </c>
      <c r="D305" s="158" t="str">
        <f>'Imp Refined NYC'!F92</f>
        <v>Imported Distillate-Low Sulfur Highway Diesel (500 ppm), PADD 2, Step 2</v>
      </c>
      <c r="E305" s="197" t="str">
        <f>'Imp Refined NYC'!G92</f>
        <v>DSLP2</v>
      </c>
      <c r="F305" s="197"/>
      <c r="G305" s="187"/>
      <c r="H305" s="197"/>
      <c r="I305" s="197">
        <v>1.0049999999999999</v>
      </c>
      <c r="J305" s="197">
        <v>1.0049999999999999</v>
      </c>
      <c r="K305" s="195">
        <f>'Imp Refined NYC'!M92</f>
        <v>12.001849837059652</v>
      </c>
      <c r="L305" s="195" t="e">
        <f>'Imp Refined NYC'!N92</f>
        <v>#REF!</v>
      </c>
      <c r="M305" s="195" t="e">
        <f>'Imp Refined NYC'!O92</f>
        <v>#REF!</v>
      </c>
      <c r="N305" s="195" t="e">
        <f>'Imp Refined NYC'!P92</f>
        <v>#REF!</v>
      </c>
      <c r="O305" s="195" t="e">
        <f>'Imp Refined NYC'!Q92</f>
        <v>#REF!</v>
      </c>
      <c r="P305" s="195" t="e">
        <f>'Imp Refined NYC'!R92</f>
        <v>#REF!</v>
      </c>
      <c r="Q305" s="195" t="e">
        <f>'Imp Refined NYC'!S92</f>
        <v>#REF!</v>
      </c>
      <c r="R305" s="195" t="e">
        <f>'Imp Refined NYC'!T92</f>
        <v>#REF!</v>
      </c>
      <c r="S305" s="195" t="e">
        <f>'Imp Refined NYC'!U92</f>
        <v>#REF!</v>
      </c>
      <c r="T305" s="195" t="e">
        <f>'Imp Refined NYC'!V92</f>
        <v>#REF!</v>
      </c>
      <c r="U305" s="187"/>
      <c r="V305" s="187">
        <f>'Imp Refined NYC'!AF92</f>
        <v>224317.8694819056</v>
      </c>
      <c r="W305" s="187">
        <f>'Imp Refined NYC'!AG92</f>
        <v>224317.8694819056</v>
      </c>
      <c r="X305" s="187">
        <f>'Imp Refined NYC'!AH92</f>
        <v>224317.8694819056</v>
      </c>
      <c r="Y305" s="187">
        <f>'Imp Refined NYC'!AI92</f>
        <v>224317.8694819056</v>
      </c>
      <c r="Z305" s="187"/>
      <c r="AA305" s="187"/>
      <c r="AB305" s="187"/>
      <c r="AC305" s="187"/>
      <c r="AD305" s="187"/>
      <c r="AE305" s="187"/>
      <c r="AF305" s="195"/>
      <c r="AG305" s="197"/>
      <c r="AH305" s="197"/>
      <c r="BC305" s="147"/>
      <c r="BD305" s="147"/>
      <c r="BE305" s="147"/>
      <c r="BF305" s="147"/>
      <c r="BG305" s="147"/>
    </row>
    <row r="306" spans="2:59">
      <c r="B306" s="158" t="str">
        <f>Technologies!B$274</f>
        <v>R0,R1,R2,R3,R4,R5,R6</v>
      </c>
      <c r="C306" s="158" t="str">
        <f>'Imp Refined NYC'!E93</f>
        <v>IMPDSLP24</v>
      </c>
      <c r="D306" s="158" t="str">
        <f>'Imp Refined NYC'!F93</f>
        <v>Imported Distillate-Low Sulfur Highway Diesel (500 ppm), PADD 2, Step 4</v>
      </c>
      <c r="E306" s="197" t="str">
        <f>'Imp Refined NYC'!G93</f>
        <v>DSLP2</v>
      </c>
      <c r="F306" s="197"/>
      <c r="G306" s="187"/>
      <c r="H306" s="197"/>
      <c r="I306" s="197">
        <v>1.0049999999999999</v>
      </c>
      <c r="J306" s="197">
        <v>1.0049999999999999</v>
      </c>
      <c r="K306" s="195">
        <f>'Imp Refined NYC'!M93</f>
        <v>13.34899624734186</v>
      </c>
      <c r="L306" s="195" t="e">
        <f>'Imp Refined NYC'!N93</f>
        <v>#REF!</v>
      </c>
      <c r="M306" s="195" t="e">
        <f>'Imp Refined NYC'!O93</f>
        <v>#REF!</v>
      </c>
      <c r="N306" s="195" t="e">
        <f>'Imp Refined NYC'!P93</f>
        <v>#REF!</v>
      </c>
      <c r="O306" s="195" t="e">
        <f>'Imp Refined NYC'!Q93</f>
        <v>#REF!</v>
      </c>
      <c r="P306" s="195" t="e">
        <f>'Imp Refined NYC'!R93</f>
        <v>#REF!</v>
      </c>
      <c r="Q306" s="195" t="e">
        <f>'Imp Refined NYC'!S93</f>
        <v>#REF!</v>
      </c>
      <c r="R306" s="195" t="e">
        <f>'Imp Refined NYC'!T93</f>
        <v>#REF!</v>
      </c>
      <c r="S306" s="195" t="e">
        <f>'Imp Refined NYC'!U93</f>
        <v>#REF!</v>
      </c>
      <c r="T306" s="195" t="e">
        <f>'Imp Refined NYC'!V93</f>
        <v>#REF!</v>
      </c>
      <c r="U306" s="187"/>
      <c r="V306" s="187">
        <f>'Imp Refined NYC'!AF93</f>
        <v>448635.73896381306</v>
      </c>
      <c r="W306" s="187">
        <f>'Imp Refined NYC'!AG93</f>
        <v>448635.73896381306</v>
      </c>
      <c r="X306" s="187">
        <f>'Imp Refined NYC'!AH93</f>
        <v>448635.73896381306</v>
      </c>
      <c r="Y306" s="187">
        <f>'Imp Refined NYC'!AI93</f>
        <v>448635.73896381306</v>
      </c>
      <c r="Z306" s="187"/>
      <c r="AA306" s="187"/>
      <c r="AB306" s="187"/>
      <c r="AC306" s="187"/>
      <c r="AD306" s="187"/>
      <c r="AE306" s="187"/>
      <c r="AF306" s="195"/>
      <c r="AG306" s="197"/>
      <c r="AH306" s="197"/>
      <c r="BC306" s="147"/>
      <c r="BD306" s="147"/>
      <c r="BE306" s="147"/>
      <c r="BF306" s="147"/>
      <c r="BG306" s="147"/>
    </row>
    <row r="307" spans="2:59">
      <c r="B307" s="158" t="str">
        <f>Technologies!B$275</f>
        <v>R0,R1,R2,R3,R4,R5,R6</v>
      </c>
      <c r="C307" s="158" t="str">
        <f>'Imp Refined NYC'!E94</f>
        <v>IMPDSLP25</v>
      </c>
      <c r="D307" s="158" t="str">
        <f>'Imp Refined NYC'!F94</f>
        <v>Imported Distillate-Low Sulfur Highway Diesel (500 ppm), PADD 2, Step 5</v>
      </c>
      <c r="E307" s="197" t="str">
        <f>'Imp Refined NYC'!G94</f>
        <v>DSLP2</v>
      </c>
      <c r="F307" s="197"/>
      <c r="G307" s="187"/>
      <c r="H307" s="197"/>
      <c r="I307" s="197">
        <v>1.0049999999999999</v>
      </c>
      <c r="J307" s="197">
        <v>1.0049999999999999</v>
      </c>
      <c r="K307" s="195">
        <f>'Imp Refined NYC'!M94</f>
        <v>15.920821212426068</v>
      </c>
      <c r="L307" s="195" t="e">
        <f>'Imp Refined NYC'!N94</f>
        <v>#REF!</v>
      </c>
      <c r="M307" s="195" t="e">
        <f>'Imp Refined NYC'!O94</f>
        <v>#REF!</v>
      </c>
      <c r="N307" s="195" t="e">
        <f>'Imp Refined NYC'!P94</f>
        <v>#REF!</v>
      </c>
      <c r="O307" s="195" t="e">
        <f>'Imp Refined NYC'!Q94</f>
        <v>#REF!</v>
      </c>
      <c r="P307" s="195" t="e">
        <f>'Imp Refined NYC'!R94</f>
        <v>#REF!</v>
      </c>
      <c r="Q307" s="195" t="e">
        <f>'Imp Refined NYC'!S94</f>
        <v>#REF!</v>
      </c>
      <c r="R307" s="195" t="e">
        <f>'Imp Refined NYC'!T94</f>
        <v>#REF!</v>
      </c>
      <c r="S307" s="195" t="e">
        <f>'Imp Refined NYC'!U94</f>
        <v>#REF!</v>
      </c>
      <c r="T307" s="195" t="e">
        <f>'Imp Refined NYC'!V94</f>
        <v>#REF!</v>
      </c>
      <c r="U307" s="187"/>
      <c r="V307" s="187">
        <f>'Imp Refined NYC'!AF94</f>
        <v>1794542.9558552485</v>
      </c>
      <c r="W307" s="187">
        <f>'Imp Refined NYC'!AG94</f>
        <v>1794542.9558552485</v>
      </c>
      <c r="X307" s="187">
        <f>'Imp Refined NYC'!AH94</f>
        <v>1794542.9558552485</v>
      </c>
      <c r="Y307" s="187">
        <f>'Imp Refined NYC'!AI94</f>
        <v>1794542.9558552485</v>
      </c>
      <c r="Z307" s="187"/>
      <c r="AA307" s="187"/>
      <c r="AB307" s="187"/>
      <c r="AC307" s="187"/>
      <c r="AD307" s="187"/>
      <c r="AE307" s="187"/>
      <c r="AF307" s="195"/>
      <c r="AG307" s="197"/>
      <c r="AH307" s="197"/>
      <c r="BC307" s="147"/>
      <c r="BD307" s="147"/>
      <c r="BE307" s="147"/>
      <c r="BF307" s="147"/>
      <c r="BG307" s="147"/>
    </row>
    <row r="308" spans="2:59">
      <c r="B308" s="158" t="str">
        <f>Technologies!B$276</f>
        <v>R0,R1,R2,R3,R4,R5,R6</v>
      </c>
      <c r="C308" s="158" t="str">
        <f>'Imp Refined NYC'!E95</f>
        <v>IMPRFLP23</v>
      </c>
      <c r="D308" s="158" t="str">
        <f>'Imp Refined NYC'!F95</f>
        <v>Imported Low Sulfur Residual Fuel Oil, PADD 2, Step 3</v>
      </c>
      <c r="E308" s="197" t="str">
        <f>'Imp Refined NYC'!G95</f>
        <v>RFLP2</v>
      </c>
      <c r="F308" s="197"/>
      <c r="G308" s="187"/>
      <c r="H308" s="197"/>
      <c r="I308" s="197">
        <v>1.0049999999999999</v>
      </c>
      <c r="J308" s="197">
        <v>1.0049999999999999</v>
      </c>
      <c r="K308" s="195">
        <f>'Imp Refined NYC'!M95</f>
        <v>8.5018528839994776</v>
      </c>
      <c r="L308" s="195" t="e">
        <f>'Imp Refined NYC'!N95</f>
        <v>#REF!</v>
      </c>
      <c r="M308" s="195" t="e">
        <f>'Imp Refined NYC'!O95</f>
        <v>#REF!</v>
      </c>
      <c r="N308" s="195" t="e">
        <f>'Imp Refined NYC'!P95</f>
        <v>#REF!</v>
      </c>
      <c r="O308" s="195" t="e">
        <f>'Imp Refined NYC'!Q95</f>
        <v>#REF!</v>
      </c>
      <c r="P308" s="195" t="e">
        <f>'Imp Refined NYC'!R95</f>
        <v>#REF!</v>
      </c>
      <c r="Q308" s="195" t="e">
        <f>'Imp Refined NYC'!S95</f>
        <v>#REF!</v>
      </c>
      <c r="R308" s="195" t="e">
        <f>'Imp Refined NYC'!T95</f>
        <v>#REF!</v>
      </c>
      <c r="S308" s="195" t="e">
        <f>'Imp Refined NYC'!U95</f>
        <v>#REF!</v>
      </c>
      <c r="T308" s="195" t="e">
        <f>'Imp Refined NYC'!V95</f>
        <v>#REF!</v>
      </c>
      <c r="U308" s="187"/>
      <c r="V308" s="187">
        <f>'Imp Refined NYC'!AF95</f>
        <v>242109.26101849694</v>
      </c>
      <c r="W308" s="187">
        <f>'Imp Refined NYC'!AG95</f>
        <v>242109.26101849694</v>
      </c>
      <c r="X308" s="187">
        <f>'Imp Refined NYC'!AH95</f>
        <v>242109.26101849694</v>
      </c>
      <c r="Y308" s="187">
        <f>'Imp Refined NYC'!AI95</f>
        <v>242109.26101849694</v>
      </c>
      <c r="Z308" s="187"/>
      <c r="AA308" s="187"/>
      <c r="AB308" s="187"/>
      <c r="AC308" s="187"/>
      <c r="AD308" s="187"/>
      <c r="AE308" s="187"/>
      <c r="AF308" s="195"/>
      <c r="AG308" s="197"/>
      <c r="AH308" s="197"/>
      <c r="BC308" s="147"/>
      <c r="BD308" s="147"/>
      <c r="BE308" s="147"/>
      <c r="BF308" s="147"/>
      <c r="BG308" s="147"/>
    </row>
    <row r="309" spans="2:59">
      <c r="B309" s="158" t="str">
        <f>Technologies!B$277</f>
        <v>R0,R1,R2,R3,R4,R5,R6</v>
      </c>
      <c r="C309" s="158" t="str">
        <f>'Imp Refined NYC'!E96</f>
        <v>IMPRFLP21</v>
      </c>
      <c r="D309" s="158" t="str">
        <f>'Imp Refined NYC'!F96</f>
        <v>Imported Low Sulfur Residual Fuel Oil, PADD 2, Step 1</v>
      </c>
      <c r="E309" s="197" t="str">
        <f>'Imp Refined NYC'!G96</f>
        <v>RFLP2</v>
      </c>
      <c r="F309" s="197"/>
      <c r="G309" s="187"/>
      <c r="H309" s="197"/>
      <c r="I309" s="197">
        <v>1.0049999999999999</v>
      </c>
      <c r="J309" s="197">
        <v>1.0049999999999999</v>
      </c>
      <c r="K309" s="195">
        <f>'Imp Refined NYC'!M96</f>
        <v>8.0767602397995031</v>
      </c>
      <c r="L309" s="195" t="e">
        <f>'Imp Refined NYC'!N96</f>
        <v>#REF!</v>
      </c>
      <c r="M309" s="195" t="e">
        <f>'Imp Refined NYC'!O96</f>
        <v>#REF!</v>
      </c>
      <c r="N309" s="195" t="e">
        <f>'Imp Refined NYC'!P96</f>
        <v>#REF!</v>
      </c>
      <c r="O309" s="195" t="e">
        <f>'Imp Refined NYC'!Q96</f>
        <v>#REF!</v>
      </c>
      <c r="P309" s="195" t="e">
        <f>'Imp Refined NYC'!R96</f>
        <v>#REF!</v>
      </c>
      <c r="Q309" s="195" t="e">
        <f>'Imp Refined NYC'!S96</f>
        <v>#REF!</v>
      </c>
      <c r="R309" s="195" t="e">
        <f>'Imp Refined NYC'!T96</f>
        <v>#REF!</v>
      </c>
      <c r="S309" s="195" t="e">
        <f>'Imp Refined NYC'!U96</f>
        <v>#REF!</v>
      </c>
      <c r="T309" s="195" t="e">
        <f>'Imp Refined NYC'!V96</f>
        <v>#REF!</v>
      </c>
      <c r="U309" s="187"/>
      <c r="V309" s="187">
        <f>'Imp Refined NYC'!AF96</f>
        <v>1936874.088147975</v>
      </c>
      <c r="W309" s="187">
        <f>'Imp Refined NYC'!AG96</f>
        <v>1936874.088147975</v>
      </c>
      <c r="X309" s="187">
        <f>'Imp Refined NYC'!AH96</f>
        <v>1936874.088147975</v>
      </c>
      <c r="Y309" s="187">
        <f>'Imp Refined NYC'!AI96</f>
        <v>1936874.088147975</v>
      </c>
      <c r="Z309" s="187"/>
      <c r="AA309" s="187"/>
      <c r="AB309" s="187"/>
      <c r="AC309" s="187"/>
      <c r="AD309" s="187"/>
      <c r="AE309" s="187"/>
      <c r="AF309" s="195"/>
      <c r="AG309" s="197"/>
      <c r="AH309" s="197"/>
      <c r="BC309" s="147"/>
      <c r="BD309" s="147"/>
      <c r="BE309" s="147"/>
      <c r="BF309" s="147"/>
      <c r="BG309" s="147"/>
    </row>
    <row r="310" spans="2:59">
      <c r="B310" s="158" t="str">
        <f>Technologies!B$278</f>
        <v>R0,R1,R2,R3,R4,R5,R6</v>
      </c>
      <c r="C310" s="158" t="str">
        <f>'Imp Refined NYC'!E97</f>
        <v>IMPRFLP22</v>
      </c>
      <c r="D310" s="158" t="str">
        <f>'Imp Refined NYC'!F97</f>
        <v>Imported Low Sulfur Residual Fuel Oil, PADD 2, Step 2</v>
      </c>
      <c r="E310" s="197" t="str">
        <f>'Imp Refined NYC'!G97</f>
        <v>RFLP2</v>
      </c>
      <c r="F310" s="197"/>
      <c r="G310" s="187"/>
      <c r="H310" s="197"/>
      <c r="I310" s="197">
        <v>1.0049999999999999</v>
      </c>
      <c r="J310" s="197">
        <v>1.0049999999999999</v>
      </c>
      <c r="K310" s="195">
        <f>'Imp Refined NYC'!M97</f>
        <v>8.3318158263194881</v>
      </c>
      <c r="L310" s="195" t="e">
        <f>'Imp Refined NYC'!N97</f>
        <v>#REF!</v>
      </c>
      <c r="M310" s="195" t="e">
        <f>'Imp Refined NYC'!O97</f>
        <v>#REF!</v>
      </c>
      <c r="N310" s="195" t="e">
        <f>'Imp Refined NYC'!P97</f>
        <v>#REF!</v>
      </c>
      <c r="O310" s="195" t="e">
        <f>'Imp Refined NYC'!Q97</f>
        <v>#REF!</v>
      </c>
      <c r="P310" s="195" t="e">
        <f>'Imp Refined NYC'!R97</f>
        <v>#REF!</v>
      </c>
      <c r="Q310" s="195" t="e">
        <f>'Imp Refined NYC'!S97</f>
        <v>#REF!</v>
      </c>
      <c r="R310" s="195" t="e">
        <f>'Imp Refined NYC'!T97</f>
        <v>#REF!</v>
      </c>
      <c r="S310" s="195" t="e">
        <f>'Imp Refined NYC'!U97</f>
        <v>#REF!</v>
      </c>
      <c r="T310" s="195" t="e">
        <f>'Imp Refined NYC'!V97</f>
        <v>#REF!</v>
      </c>
      <c r="U310" s="187"/>
      <c r="V310" s="187">
        <f>'Imp Refined NYC'!AF97</f>
        <v>242109.26101849647</v>
      </c>
      <c r="W310" s="187">
        <f>'Imp Refined NYC'!AG97</f>
        <v>242109.26101849647</v>
      </c>
      <c r="X310" s="187">
        <f>'Imp Refined NYC'!AH97</f>
        <v>242109.26101849647</v>
      </c>
      <c r="Y310" s="187">
        <f>'Imp Refined NYC'!AI97</f>
        <v>242109.26101849647</v>
      </c>
      <c r="Z310" s="187"/>
      <c r="AA310" s="187"/>
      <c r="AB310" s="187"/>
      <c r="AC310" s="187"/>
      <c r="AD310" s="187"/>
      <c r="AE310" s="187"/>
      <c r="AF310" s="195"/>
      <c r="AG310" s="197"/>
      <c r="AH310" s="197"/>
      <c r="BC310" s="147"/>
      <c r="BD310" s="147"/>
      <c r="BE310" s="147"/>
      <c r="BF310" s="147"/>
      <c r="BG310" s="147"/>
    </row>
    <row r="311" spans="2:59">
      <c r="B311" s="158" t="str">
        <f>Technologies!B$279</f>
        <v>R0,R1,R2,R3,R4,R5,R6</v>
      </c>
      <c r="C311" s="158" t="str">
        <f>'Imp Refined NYC'!E98</f>
        <v>IMPRFLP24</v>
      </c>
      <c r="D311" s="158" t="str">
        <f>'Imp Refined NYC'!F98</f>
        <v>Imported Low Sulfur Residual Fuel Oil, PADD 2, Step 4</v>
      </c>
      <c r="E311" s="197" t="str">
        <f>'Imp Refined NYC'!G98</f>
        <v>RFLP2</v>
      </c>
      <c r="F311" s="197"/>
      <c r="G311" s="187"/>
      <c r="H311" s="197"/>
      <c r="I311" s="197">
        <v>1.0049999999999999</v>
      </c>
      <c r="J311" s="197">
        <v>1.0049999999999999</v>
      </c>
      <c r="K311" s="195">
        <f>'Imp Refined NYC'!M98</f>
        <v>9.267019643559431</v>
      </c>
      <c r="L311" s="195" t="e">
        <f>'Imp Refined NYC'!N98</f>
        <v>#REF!</v>
      </c>
      <c r="M311" s="195" t="e">
        <f>'Imp Refined NYC'!O98</f>
        <v>#REF!</v>
      </c>
      <c r="N311" s="195" t="e">
        <f>'Imp Refined NYC'!P98</f>
        <v>#REF!</v>
      </c>
      <c r="O311" s="195" t="e">
        <f>'Imp Refined NYC'!Q98</f>
        <v>#REF!</v>
      </c>
      <c r="P311" s="195" t="e">
        <f>'Imp Refined NYC'!R98</f>
        <v>#REF!</v>
      </c>
      <c r="Q311" s="195" t="e">
        <f>'Imp Refined NYC'!S98</f>
        <v>#REF!</v>
      </c>
      <c r="R311" s="195" t="e">
        <f>'Imp Refined NYC'!T98</f>
        <v>#REF!</v>
      </c>
      <c r="S311" s="195" t="e">
        <f>'Imp Refined NYC'!U98</f>
        <v>#REF!</v>
      </c>
      <c r="T311" s="195" t="e">
        <f>'Imp Refined NYC'!V98</f>
        <v>#REF!</v>
      </c>
      <c r="U311" s="187"/>
      <c r="V311" s="187">
        <f>'Imp Refined NYC'!AF98</f>
        <v>484218.52203699341</v>
      </c>
      <c r="W311" s="187">
        <f>'Imp Refined NYC'!AG98</f>
        <v>484218.52203699341</v>
      </c>
      <c r="X311" s="187">
        <f>'Imp Refined NYC'!AH98</f>
        <v>484218.52203699341</v>
      </c>
      <c r="Y311" s="187">
        <f>'Imp Refined NYC'!AI98</f>
        <v>484218.52203699341</v>
      </c>
      <c r="Z311" s="187"/>
      <c r="AA311" s="187"/>
      <c r="AB311" s="187"/>
      <c r="AC311" s="187"/>
      <c r="AD311" s="187"/>
      <c r="AE311" s="187"/>
      <c r="AF311" s="195"/>
      <c r="AG311" s="197"/>
      <c r="AH311" s="197"/>
      <c r="BC311" s="147"/>
      <c r="BD311" s="147"/>
      <c r="BE311" s="147"/>
      <c r="BF311" s="147"/>
      <c r="BG311" s="147"/>
    </row>
    <row r="312" spans="2:59">
      <c r="B312" s="158" t="str">
        <f>Technologies!B$280</f>
        <v>R0,R1,R2,R3,R4,R5,R6</v>
      </c>
      <c r="C312" s="158" t="str">
        <f>'Imp Refined NYC'!E99</f>
        <v>IMPRFLP25</v>
      </c>
      <c r="D312" s="158" t="str">
        <f>'Imp Refined NYC'!F99</f>
        <v>Imported Low Sulfur Residual Fuel Oil, PADD 2, Step 5</v>
      </c>
      <c r="E312" s="197" t="str">
        <f>'Imp Refined NYC'!G99</f>
        <v>RFLP2</v>
      </c>
      <c r="F312" s="197"/>
      <c r="G312" s="187"/>
      <c r="H312" s="197"/>
      <c r="I312" s="197">
        <v>1.0049999999999999</v>
      </c>
      <c r="J312" s="197">
        <v>1.0049999999999999</v>
      </c>
      <c r="K312" s="195">
        <f>'Imp Refined NYC'!M99</f>
        <v>11.052408749199319</v>
      </c>
      <c r="L312" s="195" t="e">
        <f>'Imp Refined NYC'!N99</f>
        <v>#REF!</v>
      </c>
      <c r="M312" s="195" t="e">
        <f>'Imp Refined NYC'!O99</f>
        <v>#REF!</v>
      </c>
      <c r="N312" s="195" t="e">
        <f>'Imp Refined NYC'!P99</f>
        <v>#REF!</v>
      </c>
      <c r="O312" s="195" t="e">
        <f>'Imp Refined NYC'!Q99</f>
        <v>#REF!</v>
      </c>
      <c r="P312" s="195" t="e">
        <f>'Imp Refined NYC'!R99</f>
        <v>#REF!</v>
      </c>
      <c r="Q312" s="195" t="e">
        <f>'Imp Refined NYC'!S99</f>
        <v>#REF!</v>
      </c>
      <c r="R312" s="195" t="e">
        <f>'Imp Refined NYC'!T99</f>
        <v>#REF!</v>
      </c>
      <c r="S312" s="195" t="e">
        <f>'Imp Refined NYC'!U99</f>
        <v>#REF!</v>
      </c>
      <c r="T312" s="195" t="e">
        <f>'Imp Refined NYC'!V99</f>
        <v>#REF!</v>
      </c>
      <c r="U312" s="187"/>
      <c r="V312" s="187">
        <f>'Imp Refined NYC'!AF99</f>
        <v>1936874.088147975</v>
      </c>
      <c r="W312" s="187">
        <f>'Imp Refined NYC'!AG99</f>
        <v>1936874.088147975</v>
      </c>
      <c r="X312" s="187">
        <f>'Imp Refined NYC'!AH99</f>
        <v>1936874.088147975</v>
      </c>
      <c r="Y312" s="187">
        <f>'Imp Refined NYC'!AI99</f>
        <v>1936874.088147975</v>
      </c>
      <c r="Z312" s="187"/>
      <c r="AA312" s="187"/>
      <c r="AB312" s="187"/>
      <c r="AC312" s="187"/>
      <c r="AD312" s="187"/>
      <c r="AE312" s="187"/>
      <c r="AF312" s="195"/>
      <c r="AG312" s="197"/>
      <c r="AH312" s="197"/>
      <c r="BC312" s="147"/>
      <c r="BD312" s="147"/>
      <c r="BE312" s="147"/>
      <c r="BF312" s="147"/>
      <c r="BG312" s="147"/>
    </row>
    <row r="313" spans="2:59">
      <c r="B313" s="158" t="str">
        <f>Technologies!B$281</f>
        <v>*R0,R1,R2,R3,R4,R5,R6</v>
      </c>
      <c r="C313" s="158" t="str">
        <f>'Imp Refined NYC'!E100</f>
        <v>IMPRFHP23</v>
      </c>
      <c r="D313" s="158" t="str">
        <f>'Imp Refined NYC'!F100</f>
        <v>Imported High Sulfur Residual Fuel Oil, PADD 2, Step 3</v>
      </c>
      <c r="E313" s="197" t="str">
        <f>'Imp Refined NYC'!G100</f>
        <v>RFHP2</v>
      </c>
      <c r="F313" s="197"/>
      <c r="G313" s="187"/>
      <c r="H313" s="197"/>
      <c r="I313" s="197">
        <v>1.0049999999999999</v>
      </c>
      <c r="J313" s="197">
        <v>1.0049999999999999</v>
      </c>
      <c r="K313" s="195">
        <f>'Imp Refined NYC'!M100</f>
        <v>8.3797071376864061</v>
      </c>
      <c r="L313" s="195" t="e">
        <f>'Imp Refined NYC'!N100</f>
        <v>#REF!</v>
      </c>
      <c r="M313" s="195" t="e">
        <f>'Imp Refined NYC'!O100</f>
        <v>#REF!</v>
      </c>
      <c r="N313" s="195" t="e">
        <f>'Imp Refined NYC'!P100</f>
        <v>#REF!</v>
      </c>
      <c r="O313" s="195" t="e">
        <f>'Imp Refined NYC'!Q100</f>
        <v>#REF!</v>
      </c>
      <c r="P313" s="195" t="e">
        <f>'Imp Refined NYC'!R100</f>
        <v>#REF!</v>
      </c>
      <c r="Q313" s="195" t="e">
        <f>'Imp Refined NYC'!S100</f>
        <v>#REF!</v>
      </c>
      <c r="R313" s="195" t="e">
        <f>'Imp Refined NYC'!T100</f>
        <v>#REF!</v>
      </c>
      <c r="S313" s="195" t="e">
        <f>'Imp Refined NYC'!U100</f>
        <v>#REF!</v>
      </c>
      <c r="T313" s="195" t="e">
        <f>'Imp Refined NYC'!V100</f>
        <v>#REF!</v>
      </c>
      <c r="U313" s="187"/>
      <c r="V313" s="187">
        <f>'Imp Refined NYC'!AF100</f>
        <v>242109.26101849694</v>
      </c>
      <c r="W313" s="187">
        <f>'Imp Refined NYC'!AG100</f>
        <v>242109.26101849694</v>
      </c>
      <c r="X313" s="187">
        <f>'Imp Refined NYC'!AH100</f>
        <v>242109.26101849694</v>
      </c>
      <c r="Y313" s="187">
        <f>'Imp Refined NYC'!AI100</f>
        <v>242109.26101849694</v>
      </c>
      <c r="Z313" s="187"/>
      <c r="AA313" s="187"/>
      <c r="AB313" s="187"/>
      <c r="AC313" s="187"/>
      <c r="AD313" s="187"/>
      <c r="AE313" s="187"/>
      <c r="AF313" s="195"/>
      <c r="AG313" s="197"/>
      <c r="AH313" s="197"/>
      <c r="BC313" s="147"/>
      <c r="BD313" s="147"/>
      <c r="BE313" s="147"/>
      <c r="BF313" s="147"/>
      <c r="BG313" s="147"/>
    </row>
    <row r="314" spans="2:59">
      <c r="B314" s="158" t="str">
        <f>Technologies!B$282</f>
        <v>*R0,R1,R2,R3,R4,R5,R6</v>
      </c>
      <c r="C314" s="158" t="str">
        <f>'Imp Refined NYC'!E101</f>
        <v>IMPRFHP21</v>
      </c>
      <c r="D314" s="158" t="str">
        <f>'Imp Refined NYC'!F101</f>
        <v>Imported High Sulfur Residual Fuel Oil, PADD 2, Step 1</v>
      </c>
      <c r="E314" s="197" t="str">
        <f>'Imp Refined NYC'!G101</f>
        <v>RFHP2</v>
      </c>
      <c r="F314" s="197"/>
      <c r="G314" s="187"/>
      <c r="H314" s="197"/>
      <c r="I314" s="197">
        <v>1.0049999999999999</v>
      </c>
      <c r="J314" s="197">
        <v>1.0049999999999999</v>
      </c>
      <c r="K314" s="195">
        <f>'Imp Refined NYC'!M101</f>
        <v>7.9607217808020856</v>
      </c>
      <c r="L314" s="195" t="e">
        <f>'Imp Refined NYC'!N101</f>
        <v>#REF!</v>
      </c>
      <c r="M314" s="195" t="e">
        <f>'Imp Refined NYC'!O101</f>
        <v>#REF!</v>
      </c>
      <c r="N314" s="195" t="e">
        <f>'Imp Refined NYC'!P101</f>
        <v>#REF!</v>
      </c>
      <c r="O314" s="195" t="e">
        <f>'Imp Refined NYC'!Q101</f>
        <v>#REF!</v>
      </c>
      <c r="P314" s="195" t="e">
        <f>'Imp Refined NYC'!R101</f>
        <v>#REF!</v>
      </c>
      <c r="Q314" s="195" t="e">
        <f>'Imp Refined NYC'!S101</f>
        <v>#REF!</v>
      </c>
      <c r="R314" s="195" t="e">
        <f>'Imp Refined NYC'!T101</f>
        <v>#REF!</v>
      </c>
      <c r="S314" s="195" t="e">
        <f>'Imp Refined NYC'!U101</f>
        <v>#REF!</v>
      </c>
      <c r="T314" s="195" t="e">
        <f>'Imp Refined NYC'!V101</f>
        <v>#REF!</v>
      </c>
      <c r="U314" s="187"/>
      <c r="V314" s="187">
        <f>'Imp Refined NYC'!AF101</f>
        <v>1936874.088147975</v>
      </c>
      <c r="W314" s="187">
        <f>'Imp Refined NYC'!AG101</f>
        <v>1936874.088147975</v>
      </c>
      <c r="X314" s="187">
        <f>'Imp Refined NYC'!AH101</f>
        <v>1936874.088147975</v>
      </c>
      <c r="Y314" s="187">
        <f>'Imp Refined NYC'!AI101</f>
        <v>1936874.088147975</v>
      </c>
      <c r="Z314" s="187"/>
      <c r="AA314" s="187"/>
      <c r="AB314" s="187"/>
      <c r="AC314" s="187"/>
      <c r="AD314" s="187"/>
      <c r="AE314" s="187"/>
      <c r="AF314" s="195"/>
      <c r="AG314" s="197"/>
      <c r="AH314" s="197"/>
      <c r="BC314" s="147"/>
      <c r="BD314" s="147"/>
      <c r="BE314" s="147"/>
      <c r="BF314" s="147"/>
      <c r="BG314" s="147"/>
    </row>
    <row r="315" spans="2:59">
      <c r="B315" s="158" t="str">
        <f>Technologies!B$283</f>
        <v>*R0,R1,R2,R3,R4,R5,R6</v>
      </c>
      <c r="C315" s="158" t="str">
        <f>'Imp Refined NYC'!E102</f>
        <v>IMPRFHP22</v>
      </c>
      <c r="D315" s="158" t="str">
        <f>'Imp Refined NYC'!F102</f>
        <v>Imported High Sulfur Residual Fuel Oil, PADD 2, Step 2</v>
      </c>
      <c r="E315" s="197" t="str">
        <f>'Imp Refined NYC'!G102</f>
        <v>RFHP2</v>
      </c>
      <c r="F315" s="197"/>
      <c r="G315" s="187"/>
      <c r="H315" s="197"/>
      <c r="I315" s="197">
        <v>1.0049999999999999</v>
      </c>
      <c r="J315" s="197">
        <v>1.0049999999999999</v>
      </c>
      <c r="K315" s="195">
        <f>'Imp Refined NYC'!M102</f>
        <v>8.2121129949326779</v>
      </c>
      <c r="L315" s="195" t="e">
        <f>'Imp Refined NYC'!N102</f>
        <v>#REF!</v>
      </c>
      <c r="M315" s="195" t="e">
        <f>'Imp Refined NYC'!O102</f>
        <v>#REF!</v>
      </c>
      <c r="N315" s="195" t="e">
        <f>'Imp Refined NYC'!P102</f>
        <v>#REF!</v>
      </c>
      <c r="O315" s="195" t="e">
        <f>'Imp Refined NYC'!Q102</f>
        <v>#REF!</v>
      </c>
      <c r="P315" s="195" t="e">
        <f>'Imp Refined NYC'!R102</f>
        <v>#REF!</v>
      </c>
      <c r="Q315" s="195" t="e">
        <f>'Imp Refined NYC'!S102</f>
        <v>#REF!</v>
      </c>
      <c r="R315" s="195" t="e">
        <f>'Imp Refined NYC'!T102</f>
        <v>#REF!</v>
      </c>
      <c r="S315" s="195" t="e">
        <f>'Imp Refined NYC'!U102</f>
        <v>#REF!</v>
      </c>
      <c r="T315" s="195" t="e">
        <f>'Imp Refined NYC'!V102</f>
        <v>#REF!</v>
      </c>
      <c r="U315" s="187"/>
      <c r="V315" s="187">
        <f>'Imp Refined NYC'!AF102</f>
        <v>242109.26101849647</v>
      </c>
      <c r="W315" s="187">
        <f>'Imp Refined NYC'!AG102</f>
        <v>242109.26101849647</v>
      </c>
      <c r="X315" s="187">
        <f>'Imp Refined NYC'!AH102</f>
        <v>242109.26101849647</v>
      </c>
      <c r="Y315" s="187">
        <f>'Imp Refined NYC'!AI102</f>
        <v>242109.26101849647</v>
      </c>
      <c r="Z315" s="187"/>
      <c r="AA315" s="187"/>
      <c r="AB315" s="187"/>
      <c r="AC315" s="187"/>
      <c r="AD315" s="187"/>
      <c r="AE315" s="187"/>
      <c r="AF315" s="195"/>
      <c r="AG315" s="197"/>
      <c r="AH315" s="197"/>
      <c r="BC315" s="147"/>
      <c r="BD315" s="147"/>
      <c r="BE315" s="147"/>
      <c r="BF315" s="147"/>
      <c r="BG315" s="147"/>
    </row>
    <row r="316" spans="2:59">
      <c r="B316" s="158" t="str">
        <f>Technologies!B$284</f>
        <v>*R0,R1,R2,R3,R4,R5,R6</v>
      </c>
      <c r="C316" s="158" t="str">
        <f>'Imp Refined NYC'!E103</f>
        <v>IMPRFHP24</v>
      </c>
      <c r="D316" s="158" t="str">
        <f>'Imp Refined NYC'!F103</f>
        <v>Imported High Sulfur Residual Fuel Oil, PADD 2, Step 4</v>
      </c>
      <c r="E316" s="197" t="str">
        <f>'Imp Refined NYC'!G103</f>
        <v>RFHP2</v>
      </c>
      <c r="F316" s="197"/>
      <c r="G316" s="187"/>
      <c r="H316" s="197"/>
      <c r="I316" s="197">
        <v>1.0049999999999999</v>
      </c>
      <c r="J316" s="197">
        <v>1.0049999999999999</v>
      </c>
      <c r="K316" s="195">
        <f>'Imp Refined NYC'!M103</f>
        <v>9.1338807800781847</v>
      </c>
      <c r="L316" s="195" t="e">
        <f>'Imp Refined NYC'!N103</f>
        <v>#REF!</v>
      </c>
      <c r="M316" s="195" t="e">
        <f>'Imp Refined NYC'!O103</f>
        <v>#REF!</v>
      </c>
      <c r="N316" s="195" t="e">
        <f>'Imp Refined NYC'!P103</f>
        <v>#REF!</v>
      </c>
      <c r="O316" s="195" t="e">
        <f>'Imp Refined NYC'!Q103</f>
        <v>#REF!</v>
      </c>
      <c r="P316" s="195" t="e">
        <f>'Imp Refined NYC'!R103</f>
        <v>#REF!</v>
      </c>
      <c r="Q316" s="195" t="e">
        <f>'Imp Refined NYC'!S103</f>
        <v>#REF!</v>
      </c>
      <c r="R316" s="195" t="e">
        <f>'Imp Refined NYC'!T103</f>
        <v>#REF!</v>
      </c>
      <c r="S316" s="195" t="e">
        <f>'Imp Refined NYC'!U103</f>
        <v>#REF!</v>
      </c>
      <c r="T316" s="195" t="e">
        <f>'Imp Refined NYC'!V103</f>
        <v>#REF!</v>
      </c>
      <c r="U316" s="187"/>
      <c r="V316" s="187">
        <f>'Imp Refined NYC'!AF103</f>
        <v>484218.52203699341</v>
      </c>
      <c r="W316" s="187">
        <f>'Imp Refined NYC'!AG103</f>
        <v>484218.52203699341</v>
      </c>
      <c r="X316" s="187">
        <f>'Imp Refined NYC'!AH103</f>
        <v>484218.52203699341</v>
      </c>
      <c r="Y316" s="187">
        <f>'Imp Refined NYC'!AI103</f>
        <v>484218.52203699341</v>
      </c>
      <c r="Z316" s="187"/>
      <c r="AA316" s="187"/>
      <c r="AB316" s="187"/>
      <c r="AC316" s="187"/>
      <c r="AD316" s="187"/>
      <c r="AE316" s="187"/>
      <c r="AF316" s="195"/>
      <c r="AG316" s="197"/>
      <c r="AH316" s="197"/>
      <c r="BC316" s="147"/>
      <c r="BD316" s="147"/>
      <c r="BE316" s="147"/>
      <c r="BF316" s="147"/>
      <c r="BG316" s="147"/>
    </row>
    <row r="317" spans="2:59">
      <c r="B317" s="158" t="str">
        <f>Technologies!B$285</f>
        <v>*R0,R1,R2,R3,R4,R5,R6</v>
      </c>
      <c r="C317" s="158" t="str">
        <f>'Imp Refined NYC'!E104</f>
        <v>IMPRFHP25</v>
      </c>
      <c r="D317" s="158" t="str">
        <f>'Imp Refined NYC'!F104</f>
        <v>Imported High Sulfur Residual Fuel Oil, PADD 2, Step 5</v>
      </c>
      <c r="E317" s="197" t="str">
        <f>'Imp Refined NYC'!G104</f>
        <v>RFHP2</v>
      </c>
      <c r="F317" s="197"/>
      <c r="G317" s="187"/>
      <c r="H317" s="197"/>
      <c r="I317" s="197">
        <v>1.0049999999999999</v>
      </c>
      <c r="J317" s="197">
        <v>1.0049999999999999</v>
      </c>
      <c r="K317" s="195">
        <f>'Imp Refined NYC'!M104</f>
        <v>10.893619278992327</v>
      </c>
      <c r="L317" s="195" t="e">
        <f>'Imp Refined NYC'!N104</f>
        <v>#REF!</v>
      </c>
      <c r="M317" s="195" t="e">
        <f>'Imp Refined NYC'!O104</f>
        <v>#REF!</v>
      </c>
      <c r="N317" s="195" t="e">
        <f>'Imp Refined NYC'!P104</f>
        <v>#REF!</v>
      </c>
      <c r="O317" s="195" t="e">
        <f>'Imp Refined NYC'!Q104</f>
        <v>#REF!</v>
      </c>
      <c r="P317" s="195" t="e">
        <f>'Imp Refined NYC'!R104</f>
        <v>#REF!</v>
      </c>
      <c r="Q317" s="195" t="e">
        <f>'Imp Refined NYC'!S104</f>
        <v>#REF!</v>
      </c>
      <c r="R317" s="195" t="e">
        <f>'Imp Refined NYC'!T104</f>
        <v>#REF!</v>
      </c>
      <c r="S317" s="195" t="e">
        <f>'Imp Refined NYC'!U104</f>
        <v>#REF!</v>
      </c>
      <c r="T317" s="195" t="e">
        <f>'Imp Refined NYC'!V104</f>
        <v>#REF!</v>
      </c>
      <c r="U317" s="187"/>
      <c r="V317" s="187">
        <f>'Imp Refined NYC'!AF104</f>
        <v>1936874.088147975</v>
      </c>
      <c r="W317" s="187">
        <f>'Imp Refined NYC'!AG104</f>
        <v>1936874.088147975</v>
      </c>
      <c r="X317" s="187">
        <f>'Imp Refined NYC'!AH104</f>
        <v>1936874.088147975</v>
      </c>
      <c r="Y317" s="187">
        <f>'Imp Refined NYC'!AI104</f>
        <v>1936874.088147975</v>
      </c>
      <c r="Z317" s="187"/>
      <c r="AA317" s="187"/>
      <c r="AB317" s="187"/>
      <c r="AC317" s="187"/>
      <c r="AD317" s="187"/>
      <c r="AE317" s="187"/>
      <c r="AF317" s="195"/>
      <c r="AG317" s="197"/>
      <c r="AH317" s="197"/>
      <c r="BC317" s="147"/>
      <c r="BD317" s="147"/>
      <c r="BE317" s="147"/>
      <c r="BF317" s="147"/>
      <c r="BG317" s="147"/>
    </row>
    <row r="318" spans="2:59">
      <c r="B318" s="158" t="str">
        <f>Technologies!B$291</f>
        <v>*R0,R1,R2,R3,R4,R5,R6</v>
      </c>
      <c r="C318" s="158" t="str">
        <f>'Imp Refined NYC'!E110</f>
        <v>IMPLPGP23</v>
      </c>
      <c r="D318" s="158" t="str">
        <f>'Imp Refined NYC'!F110</f>
        <v>Imported LPG, PADD 2, Step 3</v>
      </c>
      <c r="E318" s="197" t="str">
        <f>'Imp Refined NYC'!G110</f>
        <v>LPGP2</v>
      </c>
      <c r="F318" s="197"/>
      <c r="G318" s="187"/>
      <c r="H318" s="197"/>
      <c r="I318" s="197">
        <v>1.0049999999999999</v>
      </c>
      <c r="J318" s="197">
        <v>1.0049999999999999</v>
      </c>
      <c r="K318" s="195">
        <f>'Imp Refined NYC'!M110</f>
        <v>12.818628614646682</v>
      </c>
      <c r="L318" s="195" t="e">
        <f>'Imp Refined NYC'!N110</f>
        <v>#REF!</v>
      </c>
      <c r="M318" s="195" t="e">
        <f>'Imp Refined NYC'!O110</f>
        <v>#REF!</v>
      </c>
      <c r="N318" s="195" t="e">
        <f>'Imp Refined NYC'!P110</f>
        <v>#REF!</v>
      </c>
      <c r="O318" s="195" t="e">
        <f>'Imp Refined NYC'!Q110</f>
        <v>#REF!</v>
      </c>
      <c r="P318" s="195" t="e">
        <f>'Imp Refined NYC'!R110</f>
        <v>#REF!</v>
      </c>
      <c r="Q318" s="195" t="e">
        <f>'Imp Refined NYC'!S110</f>
        <v>#REF!</v>
      </c>
      <c r="R318" s="195" t="e">
        <f>'Imp Refined NYC'!T110</f>
        <v>#REF!</v>
      </c>
      <c r="S318" s="195" t="e">
        <f>'Imp Refined NYC'!U110</f>
        <v>#REF!</v>
      </c>
      <c r="T318" s="195" t="e">
        <f>'Imp Refined NYC'!V110</f>
        <v>#REF!</v>
      </c>
      <c r="U318" s="187"/>
      <c r="V318" s="187">
        <f>'Imp Refined NYC'!AF110</f>
        <v>136978.31102955202</v>
      </c>
      <c r="W318" s="187">
        <f>'Imp Refined NYC'!AG110</f>
        <v>136978.31102955202</v>
      </c>
      <c r="X318" s="187">
        <f>'Imp Refined NYC'!AH110</f>
        <v>136978.31102955202</v>
      </c>
      <c r="Y318" s="187">
        <f>'Imp Refined NYC'!AI110</f>
        <v>136978.31102955202</v>
      </c>
      <c r="Z318" s="187"/>
      <c r="AA318" s="187"/>
      <c r="AB318" s="187"/>
      <c r="AC318" s="187"/>
      <c r="AD318" s="187"/>
      <c r="AE318" s="187"/>
      <c r="AF318" s="195"/>
      <c r="AG318" s="197"/>
      <c r="AH318" s="197"/>
      <c r="BC318" s="147"/>
      <c r="BD318" s="147"/>
      <c r="BE318" s="147"/>
      <c r="BF318" s="147"/>
      <c r="BG318" s="147"/>
    </row>
    <row r="319" spans="2:59">
      <c r="B319" s="158" t="str">
        <f>Technologies!B$292</f>
        <v>*R0,R1,R2,R3,R4,R5,R6</v>
      </c>
      <c r="C319" s="158" t="str">
        <f>'Imp Refined NYC'!E111</f>
        <v>IMPLPGP21</v>
      </c>
      <c r="D319" s="158" t="str">
        <f>'Imp Refined NYC'!F111</f>
        <v>Imported LPG, PADD 2, Step 1</v>
      </c>
      <c r="E319" s="197" t="str">
        <f>'Imp Refined NYC'!G111</f>
        <v>LPGP2</v>
      </c>
      <c r="F319" s="197"/>
      <c r="G319" s="187"/>
      <c r="H319" s="197"/>
      <c r="I319" s="197">
        <v>1.0049999999999999</v>
      </c>
      <c r="J319" s="197">
        <v>1.0049999999999999</v>
      </c>
      <c r="K319" s="195">
        <f>'Imp Refined NYC'!M111</f>
        <v>12.177697183914349</v>
      </c>
      <c r="L319" s="195" t="e">
        <f>'Imp Refined NYC'!N111</f>
        <v>#REF!</v>
      </c>
      <c r="M319" s="195" t="e">
        <f>'Imp Refined NYC'!O111</f>
        <v>#REF!</v>
      </c>
      <c r="N319" s="195" t="e">
        <f>'Imp Refined NYC'!P111</f>
        <v>#REF!</v>
      </c>
      <c r="O319" s="195" t="e">
        <f>'Imp Refined NYC'!Q111</f>
        <v>#REF!</v>
      </c>
      <c r="P319" s="195" t="e">
        <f>'Imp Refined NYC'!R111</f>
        <v>#REF!</v>
      </c>
      <c r="Q319" s="195" t="e">
        <f>'Imp Refined NYC'!S111</f>
        <v>#REF!</v>
      </c>
      <c r="R319" s="195" t="e">
        <f>'Imp Refined NYC'!T111</f>
        <v>#REF!</v>
      </c>
      <c r="S319" s="195" t="e">
        <f>'Imp Refined NYC'!U111</f>
        <v>#REF!</v>
      </c>
      <c r="T319" s="195" t="e">
        <f>'Imp Refined NYC'!V111</f>
        <v>#REF!</v>
      </c>
      <c r="U319" s="187"/>
      <c r="V319" s="187">
        <f>'Imp Refined NYC'!AF111</f>
        <v>1095826.4882364159</v>
      </c>
      <c r="W319" s="187">
        <f>'Imp Refined NYC'!AG111</f>
        <v>1095826.4882364159</v>
      </c>
      <c r="X319" s="187">
        <f>'Imp Refined NYC'!AH111</f>
        <v>1095826.4882364159</v>
      </c>
      <c r="Y319" s="187">
        <f>'Imp Refined NYC'!AI111</f>
        <v>1095826.4882364159</v>
      </c>
      <c r="Z319" s="187"/>
      <c r="AA319" s="187"/>
      <c r="AB319" s="187"/>
      <c r="AC319" s="187"/>
      <c r="AD319" s="187"/>
      <c r="AE319" s="187"/>
      <c r="AF319" s="195"/>
      <c r="AG319" s="197"/>
      <c r="AH319" s="197"/>
      <c r="BC319" s="147"/>
      <c r="BD319" s="147"/>
      <c r="BE319" s="147"/>
      <c r="BF319" s="147"/>
      <c r="BG319" s="147"/>
    </row>
    <row r="320" spans="2:59">
      <c r="B320" s="158" t="str">
        <f>Technologies!B$293</f>
        <v>*R0,R1,R2,R3,R4,R5,R6</v>
      </c>
      <c r="C320" s="158" t="str">
        <f>'Imp Refined NYC'!E112</f>
        <v>IMPLPGP22</v>
      </c>
      <c r="D320" s="158" t="str">
        <f>'Imp Refined NYC'!F112</f>
        <v>Imported LPG, PADD 2, Step 2</v>
      </c>
      <c r="E320" s="197" t="str">
        <f>'Imp Refined NYC'!G112</f>
        <v>LPGP2</v>
      </c>
      <c r="F320" s="197"/>
      <c r="G320" s="187"/>
      <c r="H320" s="197"/>
      <c r="I320" s="197">
        <v>1.0049999999999999</v>
      </c>
      <c r="J320" s="197">
        <v>1.0049999999999999</v>
      </c>
      <c r="K320" s="195">
        <f>'Imp Refined NYC'!M112</f>
        <v>12.56225604235375</v>
      </c>
      <c r="L320" s="195" t="e">
        <f>'Imp Refined NYC'!N112</f>
        <v>#REF!</v>
      </c>
      <c r="M320" s="195" t="e">
        <f>'Imp Refined NYC'!O112</f>
        <v>#REF!</v>
      </c>
      <c r="N320" s="195" t="e">
        <f>'Imp Refined NYC'!P112</f>
        <v>#REF!</v>
      </c>
      <c r="O320" s="195" t="e">
        <f>'Imp Refined NYC'!Q112</f>
        <v>#REF!</v>
      </c>
      <c r="P320" s="195" t="e">
        <f>'Imp Refined NYC'!R112</f>
        <v>#REF!</v>
      </c>
      <c r="Q320" s="195" t="e">
        <f>'Imp Refined NYC'!S112</f>
        <v>#REF!</v>
      </c>
      <c r="R320" s="195" t="e">
        <f>'Imp Refined NYC'!T112</f>
        <v>#REF!</v>
      </c>
      <c r="S320" s="195" t="e">
        <f>'Imp Refined NYC'!U112</f>
        <v>#REF!</v>
      </c>
      <c r="T320" s="195" t="e">
        <f>'Imp Refined NYC'!V112</f>
        <v>#REF!</v>
      </c>
      <c r="U320" s="187"/>
      <c r="V320" s="187">
        <f>'Imp Refined NYC'!AF112</f>
        <v>136978.31102955178</v>
      </c>
      <c r="W320" s="187">
        <f>'Imp Refined NYC'!AG112</f>
        <v>136978.31102955178</v>
      </c>
      <c r="X320" s="187">
        <f>'Imp Refined NYC'!AH112</f>
        <v>136978.31102955178</v>
      </c>
      <c r="Y320" s="187">
        <f>'Imp Refined NYC'!AI112</f>
        <v>136978.31102955178</v>
      </c>
      <c r="Z320" s="187"/>
      <c r="AA320" s="187"/>
      <c r="AB320" s="187"/>
      <c r="AC320" s="187"/>
      <c r="AD320" s="187"/>
      <c r="AE320" s="187"/>
      <c r="AF320" s="195"/>
      <c r="AG320" s="197"/>
      <c r="AH320" s="197"/>
      <c r="BC320" s="147"/>
      <c r="BD320" s="147"/>
      <c r="BE320" s="147"/>
      <c r="BF320" s="147"/>
      <c r="BG320" s="147"/>
    </row>
    <row r="321" spans="2:59">
      <c r="B321" s="158" t="str">
        <f>Technologies!B$294</f>
        <v>*R0,R1,R2,R3,R4,R5,R6</v>
      </c>
      <c r="C321" s="158" t="str">
        <f>'Imp Refined NYC'!E113</f>
        <v>IMPLPGP24</v>
      </c>
      <c r="D321" s="158" t="str">
        <f>'Imp Refined NYC'!F113</f>
        <v>Imported LPG, PADD 2, Step 4</v>
      </c>
      <c r="E321" s="197" t="str">
        <f>'Imp Refined NYC'!G113</f>
        <v>LPGP2</v>
      </c>
      <c r="F321" s="197"/>
      <c r="G321" s="187"/>
      <c r="H321" s="197"/>
      <c r="I321" s="197">
        <v>1.0049999999999999</v>
      </c>
      <c r="J321" s="197">
        <v>1.0049999999999999</v>
      </c>
      <c r="K321" s="195">
        <f>'Imp Refined NYC'!M113</f>
        <v>13.972305189964885</v>
      </c>
      <c r="L321" s="195" t="e">
        <f>'Imp Refined NYC'!N113</f>
        <v>#REF!</v>
      </c>
      <c r="M321" s="195" t="e">
        <f>'Imp Refined NYC'!O113</f>
        <v>#REF!</v>
      </c>
      <c r="N321" s="195" t="e">
        <f>'Imp Refined NYC'!P113</f>
        <v>#REF!</v>
      </c>
      <c r="O321" s="195" t="e">
        <f>'Imp Refined NYC'!Q113</f>
        <v>#REF!</v>
      </c>
      <c r="P321" s="195" t="e">
        <f>'Imp Refined NYC'!R113</f>
        <v>#REF!</v>
      </c>
      <c r="Q321" s="195" t="e">
        <f>'Imp Refined NYC'!S113</f>
        <v>#REF!</v>
      </c>
      <c r="R321" s="195" t="e">
        <f>'Imp Refined NYC'!T113</f>
        <v>#REF!</v>
      </c>
      <c r="S321" s="195" t="e">
        <f>'Imp Refined NYC'!U113</f>
        <v>#REF!</v>
      </c>
      <c r="T321" s="195" t="e">
        <f>'Imp Refined NYC'!V113</f>
        <v>#REF!</v>
      </c>
      <c r="U321" s="187"/>
      <c r="V321" s="187">
        <f>'Imp Refined NYC'!AF113</f>
        <v>273956.6220591045</v>
      </c>
      <c r="W321" s="187">
        <f>'Imp Refined NYC'!AG113</f>
        <v>273956.6220591045</v>
      </c>
      <c r="X321" s="187">
        <f>'Imp Refined NYC'!AH113</f>
        <v>273956.6220591045</v>
      </c>
      <c r="Y321" s="187">
        <f>'Imp Refined NYC'!AI113</f>
        <v>273956.6220591045</v>
      </c>
      <c r="Z321" s="187"/>
      <c r="AA321" s="187"/>
      <c r="AB321" s="187"/>
      <c r="AC321" s="187"/>
      <c r="AD321" s="187"/>
      <c r="AE321" s="187"/>
      <c r="AF321" s="195"/>
      <c r="AG321" s="197"/>
      <c r="AH321" s="197"/>
      <c r="BC321" s="147"/>
      <c r="BD321" s="147"/>
      <c r="BE321" s="147"/>
      <c r="BF321" s="147"/>
      <c r="BG321" s="147"/>
    </row>
    <row r="322" spans="2:59">
      <c r="B322" s="158" t="str">
        <f>Technologies!B$295</f>
        <v>*R0,R1,R2,R3,R4,R5,R6</v>
      </c>
      <c r="C322" s="158" t="str">
        <f>'Imp Refined NYC'!E114</f>
        <v>IMPLPGP25</v>
      </c>
      <c r="D322" s="158" t="str">
        <f>'Imp Refined NYC'!F114</f>
        <v>Imported LPG, PADD 2, Step 5</v>
      </c>
      <c r="E322" s="197" t="str">
        <f>'Imp Refined NYC'!G114</f>
        <v>LPGP2</v>
      </c>
      <c r="F322" s="197"/>
      <c r="G322" s="187"/>
      <c r="H322" s="197"/>
      <c r="I322" s="197">
        <v>1.0049999999999999</v>
      </c>
      <c r="J322" s="197">
        <v>1.0049999999999999</v>
      </c>
      <c r="K322" s="195">
        <f>'Imp Refined NYC'!M114</f>
        <v>16.664217199040689</v>
      </c>
      <c r="L322" s="195" t="e">
        <f>'Imp Refined NYC'!N114</f>
        <v>#REF!</v>
      </c>
      <c r="M322" s="195" t="e">
        <f>'Imp Refined NYC'!O114</f>
        <v>#REF!</v>
      </c>
      <c r="N322" s="195" t="e">
        <f>'Imp Refined NYC'!P114</f>
        <v>#REF!</v>
      </c>
      <c r="O322" s="195" t="e">
        <f>'Imp Refined NYC'!Q114</f>
        <v>#REF!</v>
      </c>
      <c r="P322" s="195" t="e">
        <f>'Imp Refined NYC'!R114</f>
        <v>#REF!</v>
      </c>
      <c r="Q322" s="195" t="e">
        <f>'Imp Refined NYC'!S114</f>
        <v>#REF!</v>
      </c>
      <c r="R322" s="195" t="e">
        <f>'Imp Refined NYC'!T114</f>
        <v>#REF!</v>
      </c>
      <c r="S322" s="195" t="e">
        <f>'Imp Refined NYC'!U114</f>
        <v>#REF!</v>
      </c>
      <c r="T322" s="195" t="e">
        <f>'Imp Refined NYC'!V114</f>
        <v>#REF!</v>
      </c>
      <c r="U322" s="187"/>
      <c r="V322" s="187">
        <f>'Imp Refined NYC'!AF114</f>
        <v>1095826.4882364152</v>
      </c>
      <c r="W322" s="187">
        <f>'Imp Refined NYC'!AG114</f>
        <v>1095826.4882364152</v>
      </c>
      <c r="X322" s="187">
        <f>'Imp Refined NYC'!AH114</f>
        <v>1095826.4882364152</v>
      </c>
      <c r="Y322" s="187">
        <f>'Imp Refined NYC'!AI114</f>
        <v>1095826.4882364152</v>
      </c>
      <c r="Z322" s="187"/>
      <c r="AA322" s="187"/>
      <c r="AB322" s="187"/>
      <c r="AC322" s="187"/>
      <c r="AD322" s="187"/>
      <c r="AE322" s="187"/>
      <c r="AF322" s="195"/>
      <c r="AG322" s="197"/>
      <c r="AH322" s="197"/>
      <c r="BC322" s="147"/>
      <c r="BD322" s="147"/>
      <c r="BE322" s="147"/>
      <c r="BF322" s="147"/>
      <c r="BG322" s="147"/>
    </row>
    <row r="323" spans="2:59">
      <c r="B323" s="158" t="str">
        <f>Technologies!B$296</f>
        <v>*R0,R1,R2,R3,R4,R5,R6</v>
      </c>
      <c r="C323" s="158" t="str">
        <f>'Imp Refined NYC'!E115</f>
        <v>IMPPFSP23</v>
      </c>
      <c r="D323" s="158" t="str">
        <f>'Imp Refined NYC'!F115</f>
        <v>Imported Petrochemical Feedstocks, PADD 2, Step 3</v>
      </c>
      <c r="E323" s="197" t="str">
        <f>'Imp Refined NYC'!G115</f>
        <v>PFSP2</v>
      </c>
      <c r="F323" s="197"/>
      <c r="G323" s="187"/>
      <c r="H323" s="197"/>
      <c r="I323" s="197">
        <v>1.0049999999999999</v>
      </c>
      <c r="J323" s="197">
        <v>1.0049999999999999</v>
      </c>
      <c r="K323" s="195">
        <f>'Imp Refined NYC'!M115</f>
        <v>7.7814059112727412</v>
      </c>
      <c r="L323" s="195" t="e">
        <f>'Imp Refined NYC'!N115</f>
        <v>#REF!</v>
      </c>
      <c r="M323" s="195" t="e">
        <f>'Imp Refined NYC'!O115</f>
        <v>#REF!</v>
      </c>
      <c r="N323" s="195" t="e">
        <f>'Imp Refined NYC'!P115</f>
        <v>#REF!</v>
      </c>
      <c r="O323" s="195" t="e">
        <f>'Imp Refined NYC'!Q115</f>
        <v>#REF!</v>
      </c>
      <c r="P323" s="195" t="e">
        <f>'Imp Refined NYC'!R115</f>
        <v>#REF!</v>
      </c>
      <c r="Q323" s="195" t="e">
        <f>'Imp Refined NYC'!S115</f>
        <v>#REF!</v>
      </c>
      <c r="R323" s="195" t="e">
        <f>'Imp Refined NYC'!T115</f>
        <v>#REF!</v>
      </c>
      <c r="S323" s="195" t="e">
        <f>'Imp Refined NYC'!U115</f>
        <v>#REF!</v>
      </c>
      <c r="T323" s="195" t="e">
        <f>'Imp Refined NYC'!V115</f>
        <v>#REF!</v>
      </c>
      <c r="U323" s="187"/>
      <c r="V323" s="187">
        <f>'Imp Refined NYC'!AF115</f>
        <v>219157.59574618516</v>
      </c>
      <c r="W323" s="187">
        <f>'Imp Refined NYC'!AG115</f>
        <v>219157.59574618516</v>
      </c>
      <c r="X323" s="187">
        <f>'Imp Refined NYC'!AH115</f>
        <v>219157.59574618516</v>
      </c>
      <c r="Y323" s="187">
        <f>'Imp Refined NYC'!AI115</f>
        <v>219157.59574618516</v>
      </c>
      <c r="Z323" s="187"/>
      <c r="AA323" s="187"/>
      <c r="AB323" s="187"/>
      <c r="AC323" s="187"/>
      <c r="AD323" s="187"/>
      <c r="AE323" s="187"/>
      <c r="AF323" s="195"/>
      <c r="AG323" s="197"/>
      <c r="AH323" s="197"/>
      <c r="BC323" s="147"/>
      <c r="BD323" s="147"/>
      <c r="BE323" s="147"/>
      <c r="BF323" s="147"/>
      <c r="BG323" s="147"/>
    </row>
    <row r="324" spans="2:59">
      <c r="B324" s="158" t="str">
        <f>Technologies!B$297</f>
        <v>*R0,R1,R2,R3,R4,R5,R6</v>
      </c>
      <c r="C324" s="158" t="str">
        <f>'Imp Refined NYC'!E116</f>
        <v>IMPPFSP21</v>
      </c>
      <c r="D324" s="158" t="str">
        <f>'Imp Refined NYC'!F116</f>
        <v>Imported Petrochemical Feedstocks, PADD 2, Step 1</v>
      </c>
      <c r="E324" s="197" t="str">
        <f>'Imp Refined NYC'!G116</f>
        <v>PFSP2</v>
      </c>
      <c r="F324" s="197"/>
      <c r="G324" s="187"/>
      <c r="H324" s="197"/>
      <c r="I324" s="197">
        <v>1.0049999999999999</v>
      </c>
      <c r="J324" s="197">
        <v>1.0049999999999999</v>
      </c>
      <c r="K324" s="195">
        <f>'Imp Refined NYC'!M116</f>
        <v>7.3923356157091042</v>
      </c>
      <c r="L324" s="195" t="e">
        <f>'Imp Refined NYC'!N116</f>
        <v>#REF!</v>
      </c>
      <c r="M324" s="195" t="e">
        <f>'Imp Refined NYC'!O116</f>
        <v>#REF!</v>
      </c>
      <c r="N324" s="195" t="e">
        <f>'Imp Refined NYC'!P116</f>
        <v>#REF!</v>
      </c>
      <c r="O324" s="195" t="e">
        <f>'Imp Refined NYC'!Q116</f>
        <v>#REF!</v>
      </c>
      <c r="P324" s="195" t="e">
        <f>'Imp Refined NYC'!R116</f>
        <v>#REF!</v>
      </c>
      <c r="Q324" s="195" t="e">
        <f>'Imp Refined NYC'!S116</f>
        <v>#REF!</v>
      </c>
      <c r="R324" s="195" t="e">
        <f>'Imp Refined NYC'!T116</f>
        <v>#REF!</v>
      </c>
      <c r="S324" s="195" t="e">
        <f>'Imp Refined NYC'!U116</f>
        <v>#REF!</v>
      </c>
      <c r="T324" s="195" t="e">
        <f>'Imp Refined NYC'!V116</f>
        <v>#REF!</v>
      </c>
      <c r="U324" s="187"/>
      <c r="V324" s="187">
        <f>'Imp Refined NYC'!AF116</f>
        <v>1753260.7659694806</v>
      </c>
      <c r="W324" s="187">
        <f>'Imp Refined NYC'!AG116</f>
        <v>1753260.7659694806</v>
      </c>
      <c r="X324" s="187">
        <f>'Imp Refined NYC'!AH116</f>
        <v>1753260.7659694806</v>
      </c>
      <c r="Y324" s="187">
        <f>'Imp Refined NYC'!AI116</f>
        <v>1753260.7659694806</v>
      </c>
      <c r="Z324" s="187"/>
      <c r="AA324" s="187"/>
      <c r="AB324" s="187"/>
      <c r="AC324" s="187"/>
      <c r="AD324" s="187"/>
      <c r="AE324" s="187"/>
      <c r="AF324" s="195"/>
      <c r="AG324" s="197"/>
      <c r="AH324" s="197"/>
      <c r="BC324" s="147"/>
      <c r="BD324" s="147"/>
      <c r="BE324" s="147"/>
      <c r="BF324" s="147"/>
      <c r="BG324" s="147"/>
    </row>
    <row r="325" spans="2:59">
      <c r="B325" s="158" t="str">
        <f>Technologies!B$298</f>
        <v>*R0,R1,R2,R3,R4,R5,R6</v>
      </c>
      <c r="C325" s="158" t="str">
        <f>'Imp Refined NYC'!E117</f>
        <v>IMPPFSP22</v>
      </c>
      <c r="D325" s="158" t="str">
        <f>'Imp Refined NYC'!F117</f>
        <v>Imported Petrochemical Feedstocks, PADD 2, Step 2</v>
      </c>
      <c r="E325" s="197" t="str">
        <f>'Imp Refined NYC'!G117</f>
        <v>PFSP2</v>
      </c>
      <c r="F325" s="197"/>
      <c r="G325" s="187"/>
      <c r="H325" s="197"/>
      <c r="I325" s="197">
        <v>1.0049999999999999</v>
      </c>
      <c r="J325" s="197">
        <v>1.0049999999999999</v>
      </c>
      <c r="K325" s="195">
        <f>'Imp Refined NYC'!M117</f>
        <v>7.6257777930472876</v>
      </c>
      <c r="L325" s="195" t="e">
        <f>'Imp Refined NYC'!N117</f>
        <v>#REF!</v>
      </c>
      <c r="M325" s="195" t="e">
        <f>'Imp Refined NYC'!O117</f>
        <v>#REF!</v>
      </c>
      <c r="N325" s="195" t="e">
        <f>'Imp Refined NYC'!P117</f>
        <v>#REF!</v>
      </c>
      <c r="O325" s="195" t="e">
        <f>'Imp Refined NYC'!Q117</f>
        <v>#REF!</v>
      </c>
      <c r="P325" s="195" t="e">
        <f>'Imp Refined NYC'!R117</f>
        <v>#REF!</v>
      </c>
      <c r="Q325" s="195" t="e">
        <f>'Imp Refined NYC'!S117</f>
        <v>#REF!</v>
      </c>
      <c r="R325" s="195" t="e">
        <f>'Imp Refined NYC'!T117</f>
        <v>#REF!</v>
      </c>
      <c r="S325" s="195" t="e">
        <f>'Imp Refined NYC'!U117</f>
        <v>#REF!</v>
      </c>
      <c r="T325" s="195" t="e">
        <f>'Imp Refined NYC'!V117</f>
        <v>#REF!</v>
      </c>
      <c r="U325" s="187"/>
      <c r="V325" s="187">
        <f>'Imp Refined NYC'!AF117</f>
        <v>219157.59574618493</v>
      </c>
      <c r="W325" s="187">
        <f>'Imp Refined NYC'!AG117</f>
        <v>219157.59574618493</v>
      </c>
      <c r="X325" s="187">
        <f>'Imp Refined NYC'!AH117</f>
        <v>219157.59574618493</v>
      </c>
      <c r="Y325" s="187">
        <f>'Imp Refined NYC'!AI117</f>
        <v>219157.59574618493</v>
      </c>
      <c r="Z325" s="187"/>
      <c r="AA325" s="187"/>
      <c r="AB325" s="187"/>
      <c r="AC325" s="187"/>
      <c r="AD325" s="187"/>
      <c r="AE325" s="187"/>
      <c r="AF325" s="195"/>
      <c r="AG325" s="197"/>
      <c r="AH325" s="197"/>
      <c r="BC325" s="147"/>
      <c r="BD325" s="147"/>
      <c r="BE325" s="147"/>
      <c r="BF325" s="147"/>
      <c r="BG325" s="147"/>
    </row>
    <row r="326" spans="2:59">
      <c r="B326" s="158" t="str">
        <f>Technologies!B$299</f>
        <v>*R0,R1,R2,R3,R4,R5,R6</v>
      </c>
      <c r="C326" s="158" t="str">
        <f>'Imp Refined NYC'!E118</f>
        <v>IMPPFSP24</v>
      </c>
      <c r="D326" s="158" t="str">
        <f>'Imp Refined NYC'!F118</f>
        <v>Imported Petrochemical Feedstocks, PADD 2, Step 4</v>
      </c>
      <c r="E326" s="197" t="str">
        <f>'Imp Refined NYC'!G118</f>
        <v>PFSP2</v>
      </c>
      <c r="F326" s="197"/>
      <c r="G326" s="187"/>
      <c r="H326" s="197"/>
      <c r="I326" s="197">
        <v>1.0049999999999999</v>
      </c>
      <c r="J326" s="197">
        <v>1.0049999999999999</v>
      </c>
      <c r="K326" s="195">
        <f>'Imp Refined NYC'!M118</f>
        <v>8.4817324432872905</v>
      </c>
      <c r="L326" s="195" t="e">
        <f>'Imp Refined NYC'!N118</f>
        <v>#REF!</v>
      </c>
      <c r="M326" s="195" t="e">
        <f>'Imp Refined NYC'!O118</f>
        <v>#REF!</v>
      </c>
      <c r="N326" s="195" t="e">
        <f>'Imp Refined NYC'!P118</f>
        <v>#REF!</v>
      </c>
      <c r="O326" s="195" t="e">
        <f>'Imp Refined NYC'!Q118</f>
        <v>#REF!</v>
      </c>
      <c r="P326" s="195" t="e">
        <f>'Imp Refined NYC'!R118</f>
        <v>#REF!</v>
      </c>
      <c r="Q326" s="195" t="e">
        <f>'Imp Refined NYC'!S118</f>
        <v>#REF!</v>
      </c>
      <c r="R326" s="195" t="e">
        <f>'Imp Refined NYC'!T118</f>
        <v>#REF!</v>
      </c>
      <c r="S326" s="195" t="e">
        <f>'Imp Refined NYC'!U118</f>
        <v>#REF!</v>
      </c>
      <c r="T326" s="195" t="e">
        <f>'Imp Refined NYC'!V118</f>
        <v>#REF!</v>
      </c>
      <c r="U326" s="187"/>
      <c r="V326" s="187">
        <f>'Imp Refined NYC'!AF118</f>
        <v>438315.1914923708</v>
      </c>
      <c r="W326" s="187">
        <f>'Imp Refined NYC'!AG118</f>
        <v>438315.1914923708</v>
      </c>
      <c r="X326" s="187">
        <f>'Imp Refined NYC'!AH118</f>
        <v>438315.1914923708</v>
      </c>
      <c r="Y326" s="187">
        <f>'Imp Refined NYC'!AI118</f>
        <v>438315.1914923708</v>
      </c>
      <c r="Z326" s="187"/>
      <c r="AA326" s="187"/>
      <c r="AB326" s="187"/>
      <c r="AC326" s="187"/>
      <c r="AD326" s="187"/>
      <c r="AE326" s="187"/>
      <c r="AF326" s="195"/>
      <c r="AG326" s="197"/>
      <c r="AH326" s="197"/>
      <c r="BC326" s="147"/>
      <c r="BD326" s="147"/>
      <c r="BE326" s="147"/>
      <c r="BF326" s="147"/>
      <c r="BG326" s="147"/>
    </row>
    <row r="327" spans="2:59">
      <c r="B327" s="158" t="str">
        <f>Technologies!B$300</f>
        <v>*R0,R1,R2,R3,R4,R5,R6</v>
      </c>
      <c r="C327" s="158" t="str">
        <f>'Imp Refined NYC'!E119</f>
        <v>IMPPFSP25</v>
      </c>
      <c r="D327" s="158" t="str">
        <f>'Imp Refined NYC'!F119</f>
        <v>Imported Petrochemical Feedstocks, PADD 2, Step 5</v>
      </c>
      <c r="E327" s="197" t="str">
        <f>'Imp Refined NYC'!G119</f>
        <v>PFSP2</v>
      </c>
      <c r="F327" s="197"/>
      <c r="G327" s="187"/>
      <c r="H327" s="197"/>
      <c r="I327" s="197">
        <v>1.0049999999999999</v>
      </c>
      <c r="J327" s="197">
        <v>1.0049999999999999</v>
      </c>
      <c r="K327" s="195">
        <f>'Imp Refined NYC'!M119</f>
        <v>10.115827684654564</v>
      </c>
      <c r="L327" s="195" t="e">
        <f>'Imp Refined NYC'!N119</f>
        <v>#REF!</v>
      </c>
      <c r="M327" s="195" t="e">
        <f>'Imp Refined NYC'!O119</f>
        <v>#REF!</v>
      </c>
      <c r="N327" s="195" t="e">
        <f>'Imp Refined NYC'!P119</f>
        <v>#REF!</v>
      </c>
      <c r="O327" s="195" t="e">
        <f>'Imp Refined NYC'!Q119</f>
        <v>#REF!</v>
      </c>
      <c r="P327" s="195" t="e">
        <f>'Imp Refined NYC'!R119</f>
        <v>#REF!</v>
      </c>
      <c r="Q327" s="195" t="e">
        <f>'Imp Refined NYC'!S119</f>
        <v>#REF!</v>
      </c>
      <c r="R327" s="195" t="e">
        <f>'Imp Refined NYC'!T119</f>
        <v>#REF!</v>
      </c>
      <c r="S327" s="195" t="e">
        <f>'Imp Refined NYC'!U119</f>
        <v>#REF!</v>
      </c>
      <c r="T327" s="195" t="e">
        <f>'Imp Refined NYC'!V119</f>
        <v>#REF!</v>
      </c>
      <c r="U327" s="187"/>
      <c r="V327" s="187">
        <f>'Imp Refined NYC'!AF119</f>
        <v>1753260.7659694799</v>
      </c>
      <c r="W327" s="187">
        <f>'Imp Refined NYC'!AG119</f>
        <v>1753260.7659694799</v>
      </c>
      <c r="X327" s="187">
        <f>'Imp Refined NYC'!AH119</f>
        <v>1753260.7659694799</v>
      </c>
      <c r="Y327" s="187">
        <f>'Imp Refined NYC'!AI119</f>
        <v>1753260.7659694799</v>
      </c>
      <c r="Z327" s="187"/>
      <c r="AA327" s="187"/>
      <c r="AB327" s="187"/>
      <c r="AC327" s="187"/>
      <c r="AD327" s="187"/>
      <c r="AE327" s="187"/>
      <c r="AF327" s="195"/>
      <c r="AG327" s="197"/>
      <c r="AH327" s="197"/>
      <c r="BC327" s="147"/>
      <c r="BD327" s="147"/>
      <c r="BE327" s="147"/>
      <c r="BF327" s="147"/>
      <c r="BG327" s="147"/>
    </row>
    <row r="328" spans="2:59">
      <c r="B328" s="158" t="str">
        <f>Technologies!B$301</f>
        <v>*R0,R1,R2,R3,R4,R5,R6</v>
      </c>
      <c r="C328" s="158" t="str">
        <f>'Imp Refined NYC'!E120</f>
        <v>IMPKERP23</v>
      </c>
      <c r="D328" s="158" t="str">
        <f>'Imp Refined NYC'!F120</f>
        <v>Imported Kerosene and Other Refined Products, PADD 2, Step 3</v>
      </c>
      <c r="E328" s="197" t="str">
        <f>'Imp Refined NYC'!G120</f>
        <v>KERP2</v>
      </c>
      <c r="F328" s="197"/>
      <c r="G328" s="187"/>
      <c r="H328" s="197"/>
      <c r="I328" s="197">
        <v>1.0049999999999999</v>
      </c>
      <c r="J328" s="197">
        <v>1.0049999999999999</v>
      </c>
      <c r="K328" s="195">
        <f>'Imp Refined NYC'!M120</f>
        <v>10.276316058017279</v>
      </c>
      <c r="L328" s="195" t="e">
        <f>'Imp Refined NYC'!N120</f>
        <v>#REF!</v>
      </c>
      <c r="M328" s="195" t="e">
        <f>'Imp Refined NYC'!O120</f>
        <v>#REF!</v>
      </c>
      <c r="N328" s="195" t="e">
        <f>'Imp Refined NYC'!P120</f>
        <v>#REF!</v>
      </c>
      <c r="O328" s="195" t="e">
        <f>'Imp Refined NYC'!Q120</f>
        <v>#REF!</v>
      </c>
      <c r="P328" s="195" t="e">
        <f>'Imp Refined NYC'!R120</f>
        <v>#REF!</v>
      </c>
      <c r="Q328" s="195" t="e">
        <f>'Imp Refined NYC'!S120</f>
        <v>#REF!</v>
      </c>
      <c r="R328" s="195" t="e">
        <f>'Imp Refined NYC'!T120</f>
        <v>#REF!</v>
      </c>
      <c r="S328" s="195" t="e">
        <f>'Imp Refined NYC'!U120</f>
        <v>#REF!</v>
      </c>
      <c r="T328" s="195" t="e">
        <f>'Imp Refined NYC'!V120</f>
        <v>#REF!</v>
      </c>
      <c r="U328" s="187"/>
      <c r="V328" s="187">
        <f>'Imp Refined NYC'!AF120</f>
        <v>218348.8961308857</v>
      </c>
      <c r="W328" s="187">
        <f>'Imp Refined NYC'!AG120</f>
        <v>218348.8961308857</v>
      </c>
      <c r="X328" s="187">
        <f>'Imp Refined NYC'!AH120</f>
        <v>218348.8961308857</v>
      </c>
      <c r="Y328" s="187">
        <f>'Imp Refined NYC'!AI120</f>
        <v>218348.8961308857</v>
      </c>
      <c r="Z328" s="187"/>
      <c r="AA328" s="187"/>
      <c r="AB328" s="187"/>
      <c r="AC328" s="187"/>
      <c r="AD328" s="187"/>
      <c r="AE328" s="187"/>
      <c r="AF328" s="195"/>
      <c r="AG328" s="197"/>
      <c r="AH328" s="197"/>
      <c r="BC328" s="147"/>
      <c r="BD328" s="147"/>
      <c r="BE328" s="147"/>
      <c r="BF328" s="147"/>
      <c r="BG328" s="147"/>
    </row>
    <row r="329" spans="2:59">
      <c r="B329" s="158" t="str">
        <f>Technologies!B$302</f>
        <v>*R0,R1,R2,R3,R4,R5,R6</v>
      </c>
      <c r="C329" s="158" t="str">
        <f>'Imp Refined NYC'!E121</f>
        <v>IMPKERP21</v>
      </c>
      <c r="D329" s="158" t="str">
        <f>'Imp Refined NYC'!F121</f>
        <v>Imported Kerosene and Other Refined Products, PADD 2, Step 1</v>
      </c>
      <c r="E329" s="197" t="str">
        <f>'Imp Refined NYC'!G121</f>
        <v>KERP2</v>
      </c>
      <c r="F329" s="197"/>
      <c r="G329" s="187"/>
      <c r="H329" s="197"/>
      <c r="I329" s="197">
        <v>1.0049999999999999</v>
      </c>
      <c r="J329" s="197">
        <v>1.0049999999999999</v>
      </c>
      <c r="K329" s="195">
        <f>'Imp Refined NYC'!M121</f>
        <v>9.7625002551164162</v>
      </c>
      <c r="L329" s="195" t="e">
        <f>'Imp Refined NYC'!N121</f>
        <v>#REF!</v>
      </c>
      <c r="M329" s="195" t="e">
        <f>'Imp Refined NYC'!O121</f>
        <v>#REF!</v>
      </c>
      <c r="N329" s="195" t="e">
        <f>'Imp Refined NYC'!P121</f>
        <v>#REF!</v>
      </c>
      <c r="O329" s="195" t="e">
        <f>'Imp Refined NYC'!Q121</f>
        <v>#REF!</v>
      </c>
      <c r="P329" s="195" t="e">
        <f>'Imp Refined NYC'!R121</f>
        <v>#REF!</v>
      </c>
      <c r="Q329" s="195" t="e">
        <f>'Imp Refined NYC'!S121</f>
        <v>#REF!</v>
      </c>
      <c r="R329" s="195" t="e">
        <f>'Imp Refined NYC'!T121</f>
        <v>#REF!</v>
      </c>
      <c r="S329" s="195" t="e">
        <f>'Imp Refined NYC'!U121</f>
        <v>#REF!</v>
      </c>
      <c r="T329" s="195" t="e">
        <f>'Imp Refined NYC'!V121</f>
        <v>#REF!</v>
      </c>
      <c r="U329" s="187"/>
      <c r="V329" s="187">
        <f>'Imp Refined NYC'!AF121</f>
        <v>1746791.1690470844</v>
      </c>
      <c r="W329" s="187">
        <f>'Imp Refined NYC'!AG121</f>
        <v>1746791.1690470844</v>
      </c>
      <c r="X329" s="187">
        <f>'Imp Refined NYC'!AH121</f>
        <v>1746791.1690470844</v>
      </c>
      <c r="Y329" s="187">
        <f>'Imp Refined NYC'!AI121</f>
        <v>1746791.1690470844</v>
      </c>
      <c r="Z329" s="187"/>
      <c r="AA329" s="187"/>
      <c r="AB329" s="187"/>
      <c r="AC329" s="187"/>
      <c r="AD329" s="187"/>
      <c r="AE329" s="187"/>
      <c r="AF329" s="195"/>
      <c r="AG329" s="197"/>
      <c r="AH329" s="197"/>
      <c r="BC329" s="147"/>
      <c r="BD329" s="147"/>
      <c r="BE329" s="147"/>
      <c r="BF329" s="147"/>
      <c r="BG329" s="147"/>
    </row>
    <row r="330" spans="2:59">
      <c r="B330" s="158" t="str">
        <f>Technologies!B$303</f>
        <v>*R0,R1,R2,R3,R4,R5,R6</v>
      </c>
      <c r="C330" s="158" t="str">
        <f>'Imp Refined NYC'!E122</f>
        <v>IMPKERP22</v>
      </c>
      <c r="D330" s="158" t="str">
        <f>'Imp Refined NYC'!F122</f>
        <v>Imported Kerosene and Other Refined Products, PADD 2, Step 2</v>
      </c>
      <c r="E330" s="197" t="str">
        <f>'Imp Refined NYC'!G122</f>
        <v>KERP2</v>
      </c>
      <c r="F330" s="197"/>
      <c r="G330" s="187"/>
      <c r="H330" s="197"/>
      <c r="I330" s="197">
        <v>1.0049999999999999</v>
      </c>
      <c r="J330" s="197">
        <v>1.0049999999999999</v>
      </c>
      <c r="K330" s="195">
        <f>'Imp Refined NYC'!M122</f>
        <v>10.070789736856934</v>
      </c>
      <c r="L330" s="195" t="e">
        <f>'Imp Refined NYC'!N122</f>
        <v>#REF!</v>
      </c>
      <c r="M330" s="195" t="e">
        <f>'Imp Refined NYC'!O122</f>
        <v>#REF!</v>
      </c>
      <c r="N330" s="195" t="e">
        <f>'Imp Refined NYC'!P122</f>
        <v>#REF!</v>
      </c>
      <c r="O330" s="195" t="e">
        <f>'Imp Refined NYC'!Q122</f>
        <v>#REF!</v>
      </c>
      <c r="P330" s="195" t="e">
        <f>'Imp Refined NYC'!R122</f>
        <v>#REF!</v>
      </c>
      <c r="Q330" s="195" t="e">
        <f>'Imp Refined NYC'!S122</f>
        <v>#REF!</v>
      </c>
      <c r="R330" s="195" t="e">
        <f>'Imp Refined NYC'!T122</f>
        <v>#REF!</v>
      </c>
      <c r="S330" s="195" t="e">
        <f>'Imp Refined NYC'!U122</f>
        <v>#REF!</v>
      </c>
      <c r="T330" s="195" t="e">
        <f>'Imp Refined NYC'!V122</f>
        <v>#REF!</v>
      </c>
      <c r="U330" s="187"/>
      <c r="V330" s="187">
        <f>'Imp Refined NYC'!AF122</f>
        <v>218348.896130885</v>
      </c>
      <c r="W330" s="187">
        <f>'Imp Refined NYC'!AG122</f>
        <v>218348.896130885</v>
      </c>
      <c r="X330" s="187">
        <f>'Imp Refined NYC'!AH122</f>
        <v>218348.896130885</v>
      </c>
      <c r="Y330" s="187">
        <f>'Imp Refined NYC'!AI122</f>
        <v>218348.896130885</v>
      </c>
      <c r="Z330" s="187"/>
      <c r="AA330" s="187"/>
      <c r="AB330" s="187"/>
      <c r="AC330" s="187"/>
      <c r="AD330" s="187"/>
      <c r="AE330" s="187"/>
      <c r="AF330" s="195"/>
      <c r="AG330" s="197"/>
      <c r="AH330" s="197"/>
      <c r="BC330" s="147"/>
      <c r="BD330" s="147"/>
      <c r="BE330" s="147"/>
      <c r="BF330" s="147"/>
      <c r="BG330" s="147"/>
    </row>
    <row r="331" spans="2:59">
      <c r="B331" s="158" t="str">
        <f>Technologies!B$304</f>
        <v>*R0,R1,R2,R3,R4,R5,R6</v>
      </c>
      <c r="C331" s="158" t="str">
        <f>'Imp Refined NYC'!E123</f>
        <v>IMPKERP24</v>
      </c>
      <c r="D331" s="158" t="str">
        <f>'Imp Refined NYC'!F123</f>
        <v>Imported Kerosene and Other Refined Products, PADD 2, Step 4</v>
      </c>
      <c r="E331" s="197" t="str">
        <f>'Imp Refined NYC'!G123</f>
        <v>KERP2</v>
      </c>
      <c r="F331" s="197"/>
      <c r="G331" s="187"/>
      <c r="H331" s="197"/>
      <c r="I331" s="197">
        <v>1.0049999999999999</v>
      </c>
      <c r="J331" s="197">
        <v>1.0049999999999999</v>
      </c>
      <c r="K331" s="195">
        <f>'Imp Refined NYC'!M123</f>
        <v>11.201184503238837</v>
      </c>
      <c r="L331" s="195" t="e">
        <f>'Imp Refined NYC'!N123</f>
        <v>#REF!</v>
      </c>
      <c r="M331" s="195" t="e">
        <f>'Imp Refined NYC'!O123</f>
        <v>#REF!</v>
      </c>
      <c r="N331" s="195" t="e">
        <f>'Imp Refined NYC'!P123</f>
        <v>#REF!</v>
      </c>
      <c r="O331" s="195" t="e">
        <f>'Imp Refined NYC'!Q123</f>
        <v>#REF!</v>
      </c>
      <c r="P331" s="195" t="e">
        <f>'Imp Refined NYC'!R123</f>
        <v>#REF!</v>
      </c>
      <c r="Q331" s="195" t="e">
        <f>'Imp Refined NYC'!S123</f>
        <v>#REF!</v>
      </c>
      <c r="R331" s="195" t="e">
        <f>'Imp Refined NYC'!T123</f>
        <v>#REF!</v>
      </c>
      <c r="S331" s="195" t="e">
        <f>'Imp Refined NYC'!U123</f>
        <v>#REF!</v>
      </c>
      <c r="T331" s="195" t="e">
        <f>'Imp Refined NYC'!V123</f>
        <v>#REF!</v>
      </c>
      <c r="U331" s="187"/>
      <c r="V331" s="187">
        <f>'Imp Refined NYC'!AF123</f>
        <v>436697.79226177093</v>
      </c>
      <c r="W331" s="187">
        <f>'Imp Refined NYC'!AG123</f>
        <v>436697.79226177093</v>
      </c>
      <c r="X331" s="187">
        <f>'Imp Refined NYC'!AH123</f>
        <v>436697.79226177093</v>
      </c>
      <c r="Y331" s="187">
        <f>'Imp Refined NYC'!AI123</f>
        <v>436697.79226177093</v>
      </c>
      <c r="Z331" s="187"/>
      <c r="AA331" s="187"/>
      <c r="AB331" s="187"/>
      <c r="AC331" s="187"/>
      <c r="AD331" s="187"/>
      <c r="AE331" s="187"/>
      <c r="AF331" s="195"/>
      <c r="AG331" s="197"/>
      <c r="AH331" s="197"/>
      <c r="BC331" s="147"/>
      <c r="BD331" s="147"/>
      <c r="BE331" s="147"/>
      <c r="BF331" s="147"/>
      <c r="BG331" s="147"/>
    </row>
    <row r="332" spans="2:59">
      <c r="B332" s="158" t="str">
        <f>Technologies!B$305</f>
        <v>*R0,R1,R2,R3,R4,R5,R6</v>
      </c>
      <c r="C332" s="158" t="str">
        <f>'Imp Refined NYC'!E124</f>
        <v>IMPKERP25</v>
      </c>
      <c r="D332" s="158" t="str">
        <f>'Imp Refined NYC'!F124</f>
        <v>Imported Kerosene and Other Refined Products, PADD 2, Step 5</v>
      </c>
      <c r="E332" s="197" t="str">
        <f>'Imp Refined NYC'!G124</f>
        <v>KERP2</v>
      </c>
      <c r="F332" s="197"/>
      <c r="G332" s="187"/>
      <c r="H332" s="197"/>
      <c r="I332" s="197">
        <v>1.0049999999999999</v>
      </c>
      <c r="J332" s="197">
        <v>1.0049999999999999</v>
      </c>
      <c r="K332" s="195">
        <f>'Imp Refined NYC'!M124</f>
        <v>13.359210875422464</v>
      </c>
      <c r="L332" s="195" t="e">
        <f>'Imp Refined NYC'!N124</f>
        <v>#REF!</v>
      </c>
      <c r="M332" s="195" t="e">
        <f>'Imp Refined NYC'!O124</f>
        <v>#REF!</v>
      </c>
      <c r="N332" s="195" t="e">
        <f>'Imp Refined NYC'!P124</f>
        <v>#REF!</v>
      </c>
      <c r="O332" s="195" t="e">
        <f>'Imp Refined NYC'!Q124</f>
        <v>#REF!</v>
      </c>
      <c r="P332" s="195" t="e">
        <f>'Imp Refined NYC'!R124</f>
        <v>#REF!</v>
      </c>
      <c r="Q332" s="195" t="e">
        <f>'Imp Refined NYC'!S124</f>
        <v>#REF!</v>
      </c>
      <c r="R332" s="195" t="e">
        <f>'Imp Refined NYC'!T124</f>
        <v>#REF!</v>
      </c>
      <c r="S332" s="195" t="e">
        <f>'Imp Refined NYC'!U124</f>
        <v>#REF!</v>
      </c>
      <c r="T332" s="195" t="e">
        <f>'Imp Refined NYC'!V124</f>
        <v>#REF!</v>
      </c>
      <c r="U332" s="187"/>
      <c r="V332" s="187">
        <f>'Imp Refined NYC'!AF124</f>
        <v>1746791.1690470842</v>
      </c>
      <c r="W332" s="187">
        <f>'Imp Refined NYC'!AG124</f>
        <v>1746791.1690470842</v>
      </c>
      <c r="X332" s="187">
        <f>'Imp Refined NYC'!AH124</f>
        <v>1746791.1690470842</v>
      </c>
      <c r="Y332" s="187">
        <f>'Imp Refined NYC'!AI124</f>
        <v>1746791.1690470842</v>
      </c>
      <c r="Z332" s="187"/>
      <c r="AA332" s="187"/>
      <c r="AB332" s="187"/>
      <c r="AC332" s="187"/>
      <c r="AD332" s="187"/>
      <c r="AE332" s="187"/>
      <c r="AF332" s="195"/>
      <c r="AG332" s="197"/>
      <c r="AH332" s="197"/>
      <c r="BC332" s="147"/>
      <c r="BD332" s="147"/>
      <c r="BE332" s="147"/>
      <c r="BF332" s="147"/>
      <c r="BG332" s="147"/>
    </row>
    <row r="333" spans="2:59">
      <c r="B333" s="158" t="str">
        <f>Technologies!B$306</f>
        <v>*R0,R1,R2,R3,R4,R5,R6</v>
      </c>
      <c r="C333" s="158" t="str">
        <f>'Imp Refined NYC'!E125</f>
        <v>IMPMTHP23</v>
      </c>
      <c r="D333" s="158" t="str">
        <f>'Imp Refined NYC'!F125</f>
        <v>Imported Methanol, PADD 2, Step 3</v>
      </c>
      <c r="E333" s="197" t="str">
        <f>'Imp Refined NYC'!G125</f>
        <v>MTHP2</v>
      </c>
      <c r="F333" s="197"/>
      <c r="G333" s="187"/>
      <c r="H333" s="197"/>
      <c r="I333" s="197">
        <v>1.0049999999999999</v>
      </c>
      <c r="J333" s="197">
        <v>1.0049999999999999</v>
      </c>
      <c r="K333" s="195">
        <f>'Imp Refined NYC'!M125</f>
        <v>27.339880811216108</v>
      </c>
      <c r="L333" s="195" t="e">
        <f>'Imp Refined NYC'!N125</f>
        <v>#REF!</v>
      </c>
      <c r="M333" s="195" t="e">
        <f>'Imp Refined NYC'!O125</f>
        <v>#REF!</v>
      </c>
      <c r="N333" s="195" t="e">
        <f>'Imp Refined NYC'!P125</f>
        <v>#REF!</v>
      </c>
      <c r="O333" s="195" t="e">
        <f>'Imp Refined NYC'!Q125</f>
        <v>#REF!</v>
      </c>
      <c r="P333" s="195" t="e">
        <f>'Imp Refined NYC'!R125</f>
        <v>#REF!</v>
      </c>
      <c r="Q333" s="195" t="e">
        <f>'Imp Refined NYC'!S125</f>
        <v>#REF!</v>
      </c>
      <c r="R333" s="195" t="e">
        <f>'Imp Refined NYC'!T125</f>
        <v>#REF!</v>
      </c>
      <c r="S333" s="195" t="e">
        <f>'Imp Refined NYC'!U125</f>
        <v>#REF!</v>
      </c>
      <c r="T333" s="195" t="e">
        <f>'Imp Refined NYC'!V125</f>
        <v>#REF!</v>
      </c>
      <c r="U333" s="187"/>
      <c r="V333" s="187">
        <f>'Imp Refined NYC'!AF125</f>
        <v>105777.90968118445</v>
      </c>
      <c r="W333" s="187">
        <f>'Imp Refined NYC'!AG125</f>
        <v>105777.90968118445</v>
      </c>
      <c r="X333" s="187">
        <f>'Imp Refined NYC'!AH125</f>
        <v>105777.90968118445</v>
      </c>
      <c r="Y333" s="187">
        <f>'Imp Refined NYC'!AI125</f>
        <v>105777.90968118445</v>
      </c>
      <c r="Z333" s="187"/>
      <c r="AA333" s="187"/>
      <c r="AB333" s="187"/>
      <c r="AC333" s="187"/>
      <c r="AD333" s="187"/>
      <c r="AE333" s="187"/>
      <c r="AF333" s="195"/>
      <c r="AG333" s="197"/>
      <c r="AH333" s="197"/>
      <c r="BC333" s="147"/>
      <c r="BD333" s="147"/>
      <c r="BE333" s="147"/>
      <c r="BF333" s="147"/>
      <c r="BG333" s="147"/>
    </row>
    <row r="334" spans="2:59">
      <c r="B334" s="158" t="str">
        <f>Technologies!B$307</f>
        <v>*R0,R1,R2,R3,R4,R5,R6</v>
      </c>
      <c r="C334" s="158" t="str">
        <f>'Imp Refined NYC'!E126</f>
        <v>IMPMTHP21</v>
      </c>
      <c r="D334" s="158" t="str">
        <f>'Imp Refined NYC'!F126</f>
        <v>Imported Methanol, PADD 2, Step 1</v>
      </c>
      <c r="E334" s="197" t="str">
        <f>'Imp Refined NYC'!G126</f>
        <v>MTHP2</v>
      </c>
      <c r="F334" s="197"/>
      <c r="G334" s="187"/>
      <c r="H334" s="197"/>
      <c r="I334" s="197">
        <v>1.0049999999999999</v>
      </c>
      <c r="J334" s="197">
        <v>1.0049999999999999</v>
      </c>
      <c r="K334" s="195">
        <f>'Imp Refined NYC'!M126</f>
        <v>25.972886770655304</v>
      </c>
      <c r="L334" s="195" t="e">
        <f>'Imp Refined NYC'!N126</f>
        <v>#REF!</v>
      </c>
      <c r="M334" s="195" t="e">
        <f>'Imp Refined NYC'!O126</f>
        <v>#REF!</v>
      </c>
      <c r="N334" s="195" t="e">
        <f>'Imp Refined NYC'!P126</f>
        <v>#REF!</v>
      </c>
      <c r="O334" s="195" t="e">
        <f>'Imp Refined NYC'!Q126</f>
        <v>#REF!</v>
      </c>
      <c r="P334" s="195" t="e">
        <f>'Imp Refined NYC'!R126</f>
        <v>#REF!</v>
      </c>
      <c r="Q334" s="195" t="e">
        <f>'Imp Refined NYC'!S126</f>
        <v>#REF!</v>
      </c>
      <c r="R334" s="195" t="e">
        <f>'Imp Refined NYC'!T126</f>
        <v>#REF!</v>
      </c>
      <c r="S334" s="195" t="e">
        <f>'Imp Refined NYC'!U126</f>
        <v>#REF!</v>
      </c>
      <c r="T334" s="195" t="e">
        <f>'Imp Refined NYC'!V126</f>
        <v>#REF!</v>
      </c>
      <c r="U334" s="187"/>
      <c r="V334" s="187">
        <f>'Imp Refined NYC'!AF126</f>
        <v>846223.27744947642</v>
      </c>
      <c r="W334" s="187">
        <f>'Imp Refined NYC'!AG126</f>
        <v>846223.27744947642</v>
      </c>
      <c r="X334" s="187">
        <f>'Imp Refined NYC'!AH126</f>
        <v>846223.27744947642</v>
      </c>
      <c r="Y334" s="187">
        <f>'Imp Refined NYC'!AI126</f>
        <v>846223.27744947642</v>
      </c>
      <c r="Z334" s="187"/>
      <c r="AA334" s="187"/>
      <c r="AB334" s="187"/>
      <c r="AC334" s="187"/>
      <c r="AD334" s="187"/>
      <c r="AE334" s="187"/>
      <c r="AF334" s="195"/>
      <c r="AG334" s="197"/>
      <c r="AH334" s="197"/>
      <c r="BC334" s="147"/>
      <c r="BD334" s="147"/>
      <c r="BE334" s="147"/>
      <c r="BF334" s="147"/>
      <c r="BG334" s="147"/>
    </row>
    <row r="335" spans="2:59">
      <c r="B335" s="158" t="str">
        <f>Technologies!B$308</f>
        <v>*R0,R1,R2,R3,R4,R5,R6</v>
      </c>
      <c r="C335" s="158" t="str">
        <f>'Imp Refined NYC'!E127</f>
        <v>IMPMTHP22</v>
      </c>
      <c r="D335" s="158" t="str">
        <f>'Imp Refined NYC'!F127</f>
        <v>Imported Methanol, PADD 2, Step 2</v>
      </c>
      <c r="E335" s="197" t="str">
        <f>'Imp Refined NYC'!G127</f>
        <v>MTHP2</v>
      </c>
      <c r="F335" s="197"/>
      <c r="G335" s="187"/>
      <c r="H335" s="197"/>
      <c r="I335" s="197">
        <v>1.0049999999999999</v>
      </c>
      <c r="J335" s="197">
        <v>1.0049999999999999</v>
      </c>
      <c r="K335" s="195">
        <f>'Imp Refined NYC'!M127</f>
        <v>26.793083194991791</v>
      </c>
      <c r="L335" s="195" t="e">
        <f>'Imp Refined NYC'!N127</f>
        <v>#REF!</v>
      </c>
      <c r="M335" s="195" t="e">
        <f>'Imp Refined NYC'!O127</f>
        <v>#REF!</v>
      </c>
      <c r="N335" s="195" t="e">
        <f>'Imp Refined NYC'!P127</f>
        <v>#REF!</v>
      </c>
      <c r="O335" s="195" t="e">
        <f>'Imp Refined NYC'!Q127</f>
        <v>#REF!</v>
      </c>
      <c r="P335" s="195" t="e">
        <f>'Imp Refined NYC'!R127</f>
        <v>#REF!</v>
      </c>
      <c r="Q335" s="195" t="e">
        <f>'Imp Refined NYC'!S127</f>
        <v>#REF!</v>
      </c>
      <c r="R335" s="195" t="e">
        <f>'Imp Refined NYC'!T127</f>
        <v>#REF!</v>
      </c>
      <c r="S335" s="195" t="e">
        <f>'Imp Refined NYC'!U127</f>
        <v>#REF!</v>
      </c>
      <c r="T335" s="195" t="e">
        <f>'Imp Refined NYC'!V127</f>
        <v>#REF!</v>
      </c>
      <c r="U335" s="187"/>
      <c r="V335" s="187">
        <f>'Imp Refined NYC'!AF127</f>
        <v>105777.90968118433</v>
      </c>
      <c r="W335" s="187">
        <f>'Imp Refined NYC'!AG127</f>
        <v>105777.90968118433</v>
      </c>
      <c r="X335" s="187">
        <f>'Imp Refined NYC'!AH127</f>
        <v>105777.90968118433</v>
      </c>
      <c r="Y335" s="187">
        <f>'Imp Refined NYC'!AI127</f>
        <v>105777.90968118433</v>
      </c>
      <c r="Z335" s="187"/>
      <c r="AA335" s="187"/>
      <c r="AB335" s="187"/>
      <c r="AC335" s="187"/>
      <c r="AD335" s="187"/>
      <c r="AE335" s="187"/>
      <c r="AF335" s="195"/>
      <c r="AG335" s="197"/>
      <c r="AH335" s="197"/>
      <c r="BC335" s="147"/>
      <c r="BD335" s="147"/>
      <c r="BE335" s="147"/>
      <c r="BF335" s="147"/>
      <c r="BG335" s="147"/>
    </row>
    <row r="336" spans="2:59">
      <c r="B336" s="158" t="str">
        <f>Technologies!B$309</f>
        <v>*R0,R1,R2,R3,R4,R5,R6</v>
      </c>
      <c r="C336" s="158" t="str">
        <f>'Imp Refined NYC'!E128</f>
        <v>IMPMTHP24</v>
      </c>
      <c r="D336" s="158" t="str">
        <f>'Imp Refined NYC'!F128</f>
        <v>Imported Methanol, PADD 2, Step 4</v>
      </c>
      <c r="E336" s="197" t="str">
        <f>'Imp Refined NYC'!G128</f>
        <v>MTHP2</v>
      </c>
      <c r="F336" s="197"/>
      <c r="G336" s="187"/>
      <c r="H336" s="197"/>
      <c r="I336" s="197">
        <v>1.0049999999999999</v>
      </c>
      <c r="J336" s="197">
        <v>1.0049999999999999</v>
      </c>
      <c r="K336" s="195">
        <f>'Imp Refined NYC'!M128</f>
        <v>29.800470084225566</v>
      </c>
      <c r="L336" s="195" t="e">
        <f>'Imp Refined NYC'!N128</f>
        <v>#REF!</v>
      </c>
      <c r="M336" s="195" t="e">
        <f>'Imp Refined NYC'!O128</f>
        <v>#REF!</v>
      </c>
      <c r="N336" s="195" t="e">
        <f>'Imp Refined NYC'!P128</f>
        <v>#REF!</v>
      </c>
      <c r="O336" s="195" t="e">
        <f>'Imp Refined NYC'!Q128</f>
        <v>#REF!</v>
      </c>
      <c r="P336" s="195" t="e">
        <f>'Imp Refined NYC'!R128</f>
        <v>#REF!</v>
      </c>
      <c r="Q336" s="195" t="e">
        <f>'Imp Refined NYC'!S128</f>
        <v>#REF!</v>
      </c>
      <c r="R336" s="195" t="e">
        <f>'Imp Refined NYC'!T128</f>
        <v>#REF!</v>
      </c>
      <c r="S336" s="195" t="e">
        <f>'Imp Refined NYC'!U128</f>
        <v>#REF!</v>
      </c>
      <c r="T336" s="195" t="e">
        <f>'Imp Refined NYC'!V128</f>
        <v>#REF!</v>
      </c>
      <c r="U336" s="187"/>
      <c r="V336" s="187">
        <f>'Imp Refined NYC'!AF128</f>
        <v>211555.81936236937</v>
      </c>
      <c r="W336" s="187">
        <f>'Imp Refined NYC'!AG128</f>
        <v>211555.81936236937</v>
      </c>
      <c r="X336" s="187">
        <f>'Imp Refined NYC'!AH128</f>
        <v>211555.81936236937</v>
      </c>
      <c r="Y336" s="187">
        <f>'Imp Refined NYC'!AI128</f>
        <v>211555.81936236937</v>
      </c>
      <c r="Z336" s="187"/>
      <c r="AA336" s="187"/>
      <c r="AB336" s="187"/>
      <c r="AC336" s="187"/>
      <c r="AD336" s="187"/>
      <c r="AE336" s="187"/>
      <c r="AF336" s="195"/>
      <c r="AG336" s="197"/>
      <c r="AH336" s="197"/>
      <c r="BC336" s="147"/>
      <c r="BD336" s="147"/>
      <c r="BE336" s="147"/>
      <c r="BF336" s="147"/>
      <c r="BG336" s="147"/>
    </row>
    <row r="337" spans="2:59">
      <c r="B337" s="158" t="str">
        <f>Technologies!B$310</f>
        <v>*R0,R1,R2,R3,R4,R5,R6</v>
      </c>
      <c r="C337" s="158" t="str">
        <f>'Imp Refined NYC'!E129</f>
        <v>IMPMTHP25</v>
      </c>
      <c r="D337" s="158" t="str">
        <f>'Imp Refined NYC'!F129</f>
        <v>Imported Methanol, PADD 2, Step 5</v>
      </c>
      <c r="E337" s="197" t="str">
        <f>'Imp Refined NYC'!G129</f>
        <v>MTHP2</v>
      </c>
      <c r="F337" s="197"/>
      <c r="G337" s="187"/>
      <c r="H337" s="197"/>
      <c r="I337" s="197">
        <v>1.0049999999999999</v>
      </c>
      <c r="J337" s="197">
        <v>1.0049999999999999</v>
      </c>
      <c r="K337" s="195">
        <f>'Imp Refined NYC'!M129</f>
        <v>35.541845054580939</v>
      </c>
      <c r="L337" s="195" t="e">
        <f>'Imp Refined NYC'!N129</f>
        <v>#REF!</v>
      </c>
      <c r="M337" s="195" t="e">
        <f>'Imp Refined NYC'!O129</f>
        <v>#REF!</v>
      </c>
      <c r="N337" s="195" t="e">
        <f>'Imp Refined NYC'!P129</f>
        <v>#REF!</v>
      </c>
      <c r="O337" s="195" t="e">
        <f>'Imp Refined NYC'!Q129</f>
        <v>#REF!</v>
      </c>
      <c r="P337" s="195" t="e">
        <f>'Imp Refined NYC'!R129</f>
        <v>#REF!</v>
      </c>
      <c r="Q337" s="195" t="e">
        <f>'Imp Refined NYC'!S129</f>
        <v>#REF!</v>
      </c>
      <c r="R337" s="195" t="e">
        <f>'Imp Refined NYC'!T129</f>
        <v>#REF!</v>
      </c>
      <c r="S337" s="195" t="e">
        <f>'Imp Refined NYC'!U129</f>
        <v>#REF!</v>
      </c>
      <c r="T337" s="195" t="e">
        <f>'Imp Refined NYC'!V129</f>
        <v>#REF!</v>
      </c>
      <c r="U337" s="187"/>
      <c r="V337" s="187">
        <f>'Imp Refined NYC'!AF129</f>
        <v>846223.27744947583</v>
      </c>
      <c r="W337" s="187">
        <f>'Imp Refined NYC'!AG129</f>
        <v>846223.27744947583</v>
      </c>
      <c r="X337" s="187">
        <f>'Imp Refined NYC'!AH129</f>
        <v>846223.27744947583</v>
      </c>
      <c r="Y337" s="187">
        <f>'Imp Refined NYC'!AI129</f>
        <v>846223.27744947583</v>
      </c>
      <c r="Z337" s="187"/>
      <c r="AA337" s="187"/>
      <c r="AB337" s="187"/>
      <c r="AC337" s="187"/>
      <c r="AD337" s="187"/>
      <c r="AE337" s="187"/>
      <c r="AF337" s="195"/>
      <c r="AG337" s="197"/>
      <c r="AH337" s="197"/>
      <c r="BC337" s="147"/>
      <c r="BD337" s="147"/>
      <c r="BE337" s="147"/>
      <c r="BF337" s="147"/>
      <c r="BG337" s="147"/>
    </row>
    <row r="338" spans="2:59">
      <c r="B338" s="158" t="str">
        <f>Technologies!B$311</f>
        <v>R0,R1,R2,R3,R4,R5,R6</v>
      </c>
      <c r="C338" s="158" t="str">
        <f>'Imp Refined NYC'!E130</f>
        <v>IMPDSUP23</v>
      </c>
      <c r="D338" s="158" t="str">
        <f>'Imp Refined NYC'!F130</f>
        <v>Imported Distillate-Ultralow Sulfur Highway Diesel (15 ppm), PADD 2, Step 3</v>
      </c>
      <c r="E338" s="197" t="str">
        <f>'Imp Refined NYC'!G130</f>
        <v>DSUP2</v>
      </c>
      <c r="F338" s="197"/>
      <c r="G338" s="187"/>
      <c r="H338" s="197"/>
      <c r="I338" s="197">
        <v>1.0049999999999999</v>
      </c>
      <c r="J338" s="197">
        <v>1.0049999999999999</v>
      </c>
      <c r="K338" s="195">
        <f>'Imp Refined NYC'!M130</f>
        <v>13.295960717193331</v>
      </c>
      <c r="L338" s="195" t="e">
        <f>'Imp Refined NYC'!N130</f>
        <v>#REF!</v>
      </c>
      <c r="M338" s="195" t="e">
        <f>'Imp Refined NYC'!O130</f>
        <v>#REF!</v>
      </c>
      <c r="N338" s="195" t="e">
        <f>'Imp Refined NYC'!P130</f>
        <v>#REF!</v>
      </c>
      <c r="O338" s="195" t="e">
        <f>'Imp Refined NYC'!Q130</f>
        <v>#REF!</v>
      </c>
      <c r="P338" s="195" t="e">
        <f>'Imp Refined NYC'!R130</f>
        <v>#REF!</v>
      </c>
      <c r="Q338" s="195" t="e">
        <f>'Imp Refined NYC'!S130</f>
        <v>#REF!</v>
      </c>
      <c r="R338" s="195" t="e">
        <f>'Imp Refined NYC'!T130</f>
        <v>#REF!</v>
      </c>
      <c r="S338" s="195" t="e">
        <f>'Imp Refined NYC'!U130</f>
        <v>#REF!</v>
      </c>
      <c r="T338" s="195" t="e">
        <f>'Imp Refined NYC'!V130</f>
        <v>#REF!</v>
      </c>
      <c r="U338" s="187"/>
      <c r="V338" s="187">
        <f>'Imp Refined NYC'!AF130</f>
        <v>224317.86948190606</v>
      </c>
      <c r="W338" s="187">
        <f>'Imp Refined NYC'!AG130</f>
        <v>224317.86948190606</v>
      </c>
      <c r="X338" s="187">
        <f>'Imp Refined NYC'!AH130</f>
        <v>224317.86948190606</v>
      </c>
      <c r="Y338" s="187">
        <f>'Imp Refined NYC'!AI130</f>
        <v>224317.86948190606</v>
      </c>
      <c r="Z338" s="187"/>
      <c r="AA338" s="187"/>
      <c r="AB338" s="187"/>
      <c r="AC338" s="187"/>
      <c r="AD338" s="187"/>
      <c r="AE338" s="187"/>
      <c r="AF338" s="195"/>
      <c r="AG338" s="197"/>
      <c r="AH338" s="197"/>
      <c r="BC338" s="147"/>
      <c r="BD338" s="147"/>
      <c r="BE338" s="147"/>
      <c r="BF338" s="147"/>
      <c r="BG338" s="147"/>
    </row>
    <row r="339" spans="2:59">
      <c r="B339" s="158" t="str">
        <f>Technologies!B$312</f>
        <v>R0,R1,R2,R3,R4,R5,R6</v>
      </c>
      <c r="C339" s="158" t="str">
        <f>'Imp Refined NYC'!E131</f>
        <v>IMPDSUP21</v>
      </c>
      <c r="D339" s="158" t="str">
        <f>'Imp Refined NYC'!F131</f>
        <v>Imported Distillate-Ultralow Sulfur Highway Diesel (15 ppm), PADD 2, Step 1</v>
      </c>
      <c r="E339" s="197" t="str">
        <f>'Imp Refined NYC'!G131</f>
        <v>DSUP2</v>
      </c>
      <c r="F339" s="197"/>
      <c r="G339" s="187"/>
      <c r="H339" s="197"/>
      <c r="I339" s="197">
        <v>1.0049999999999999</v>
      </c>
      <c r="J339" s="197">
        <v>1.0049999999999999</v>
      </c>
      <c r="K339" s="195">
        <f>'Imp Refined NYC'!M131</f>
        <v>12.631162681333663</v>
      </c>
      <c r="L339" s="195" t="e">
        <f>'Imp Refined NYC'!N131</f>
        <v>#REF!</v>
      </c>
      <c r="M339" s="195" t="e">
        <f>'Imp Refined NYC'!O131</f>
        <v>#REF!</v>
      </c>
      <c r="N339" s="195" t="e">
        <f>'Imp Refined NYC'!P131</f>
        <v>#REF!</v>
      </c>
      <c r="O339" s="195" t="e">
        <f>'Imp Refined NYC'!Q131</f>
        <v>#REF!</v>
      </c>
      <c r="P339" s="195" t="e">
        <f>'Imp Refined NYC'!R131</f>
        <v>#REF!</v>
      </c>
      <c r="Q339" s="195" t="e">
        <f>'Imp Refined NYC'!S131</f>
        <v>#REF!</v>
      </c>
      <c r="R339" s="195" t="e">
        <f>'Imp Refined NYC'!T131</f>
        <v>#REF!</v>
      </c>
      <c r="S339" s="195" t="e">
        <f>'Imp Refined NYC'!U131</f>
        <v>#REF!</v>
      </c>
      <c r="T339" s="195" t="e">
        <f>'Imp Refined NYC'!V131</f>
        <v>#REF!</v>
      </c>
      <c r="U339" s="187"/>
      <c r="V339" s="187">
        <f>'Imp Refined NYC'!AF131</f>
        <v>1794542.9558552499</v>
      </c>
      <c r="W339" s="187">
        <f>'Imp Refined NYC'!AG131</f>
        <v>1794542.9558552499</v>
      </c>
      <c r="X339" s="187">
        <f>'Imp Refined NYC'!AH131</f>
        <v>1794542.9558552499</v>
      </c>
      <c r="Y339" s="187">
        <f>'Imp Refined NYC'!AI131</f>
        <v>1794542.9558552499</v>
      </c>
      <c r="Z339" s="187"/>
      <c r="AA339" s="187"/>
      <c r="AB339" s="187"/>
      <c r="AC339" s="187"/>
      <c r="AD339" s="187"/>
      <c r="AE339" s="187"/>
      <c r="AF339" s="195"/>
      <c r="AG339" s="197"/>
      <c r="AH339" s="197"/>
      <c r="BC339" s="147"/>
      <c r="BD339" s="147"/>
      <c r="BE339" s="147"/>
      <c r="BF339" s="147"/>
      <c r="BG339" s="147"/>
    </row>
    <row r="340" spans="2:59">
      <c r="B340" s="158" t="str">
        <f>Technologies!B$313</f>
        <v>R0,R1,R2,R3,R4,R5,R6</v>
      </c>
      <c r="C340" s="158" t="str">
        <f>'Imp Refined NYC'!E132</f>
        <v>IMPDSUP22</v>
      </c>
      <c r="D340" s="158" t="str">
        <f>'Imp Refined NYC'!F132</f>
        <v>Imported Distillate-Ultralow Sulfur Highway Diesel (15 ppm), PADD 2, Step 2</v>
      </c>
      <c r="E340" s="197" t="str">
        <f>'Imp Refined NYC'!G132</f>
        <v>DSUP2</v>
      </c>
      <c r="F340" s="197"/>
      <c r="G340" s="187"/>
      <c r="H340" s="197"/>
      <c r="I340" s="197">
        <v>1.0049999999999999</v>
      </c>
      <c r="J340" s="197">
        <v>1.0049999999999999</v>
      </c>
      <c r="K340" s="195">
        <f>'Imp Refined NYC'!M132</f>
        <v>13.030041502849462</v>
      </c>
      <c r="L340" s="195" t="e">
        <f>'Imp Refined NYC'!N132</f>
        <v>#REF!</v>
      </c>
      <c r="M340" s="195" t="e">
        <f>'Imp Refined NYC'!O132</f>
        <v>#REF!</v>
      </c>
      <c r="N340" s="195" t="e">
        <f>'Imp Refined NYC'!P132</f>
        <v>#REF!</v>
      </c>
      <c r="O340" s="195" t="e">
        <f>'Imp Refined NYC'!Q132</f>
        <v>#REF!</v>
      </c>
      <c r="P340" s="195" t="e">
        <f>'Imp Refined NYC'!R132</f>
        <v>#REF!</v>
      </c>
      <c r="Q340" s="195" t="e">
        <f>'Imp Refined NYC'!S132</f>
        <v>#REF!</v>
      </c>
      <c r="R340" s="195" t="e">
        <f>'Imp Refined NYC'!T132</f>
        <v>#REF!</v>
      </c>
      <c r="S340" s="195" t="e">
        <f>'Imp Refined NYC'!U132</f>
        <v>#REF!</v>
      </c>
      <c r="T340" s="195" t="e">
        <f>'Imp Refined NYC'!V132</f>
        <v>#REF!</v>
      </c>
      <c r="U340" s="187"/>
      <c r="V340" s="187">
        <f>'Imp Refined NYC'!AF132</f>
        <v>224317.8694819056</v>
      </c>
      <c r="W340" s="187">
        <f>'Imp Refined NYC'!AG132</f>
        <v>224317.8694819056</v>
      </c>
      <c r="X340" s="187">
        <f>'Imp Refined NYC'!AH132</f>
        <v>224317.8694819056</v>
      </c>
      <c r="Y340" s="187">
        <f>'Imp Refined NYC'!AI132</f>
        <v>224317.8694819056</v>
      </c>
      <c r="Z340" s="187"/>
      <c r="AA340" s="187"/>
      <c r="AB340" s="187"/>
      <c r="AC340" s="187"/>
      <c r="AD340" s="187"/>
      <c r="AE340" s="187"/>
      <c r="AF340" s="195"/>
      <c r="AG340" s="197"/>
      <c r="AH340" s="197"/>
      <c r="BC340" s="147"/>
      <c r="BD340" s="147"/>
      <c r="BE340" s="147"/>
      <c r="BF340" s="147"/>
      <c r="BG340" s="147"/>
    </row>
    <row r="341" spans="2:59">
      <c r="B341" s="158" t="str">
        <f>Technologies!B$314</f>
        <v>R0,R1,R2,R3,R4,R5,R6</v>
      </c>
      <c r="C341" s="158" t="str">
        <f>'Imp Refined NYC'!E133</f>
        <v>IMPDSUP24</v>
      </c>
      <c r="D341" s="158" t="str">
        <f>'Imp Refined NYC'!F133</f>
        <v>Imported Distillate-Ultralow Sulfur Highway Diesel (15 ppm), PADD 2, Step 4</v>
      </c>
      <c r="E341" s="197" t="str">
        <f>'Imp Refined NYC'!G133</f>
        <v>DSUP2</v>
      </c>
      <c r="F341" s="197"/>
      <c r="G341" s="187"/>
      <c r="H341" s="197"/>
      <c r="I341" s="197">
        <v>1.0049999999999999</v>
      </c>
      <c r="J341" s="197">
        <v>1.0049999999999999</v>
      </c>
      <c r="K341" s="195">
        <f>'Imp Refined NYC'!M133</f>
        <v>14.492597181740731</v>
      </c>
      <c r="L341" s="195" t="e">
        <f>'Imp Refined NYC'!N133</f>
        <v>#REF!</v>
      </c>
      <c r="M341" s="195" t="e">
        <f>'Imp Refined NYC'!O133</f>
        <v>#REF!</v>
      </c>
      <c r="N341" s="195" t="e">
        <f>'Imp Refined NYC'!P133</f>
        <v>#REF!</v>
      </c>
      <c r="O341" s="195" t="e">
        <f>'Imp Refined NYC'!Q133</f>
        <v>#REF!</v>
      </c>
      <c r="P341" s="195" t="e">
        <f>'Imp Refined NYC'!R133</f>
        <v>#REF!</v>
      </c>
      <c r="Q341" s="195" t="e">
        <f>'Imp Refined NYC'!S133</f>
        <v>#REF!</v>
      </c>
      <c r="R341" s="195" t="e">
        <f>'Imp Refined NYC'!T133</f>
        <v>#REF!</v>
      </c>
      <c r="S341" s="195" t="e">
        <f>'Imp Refined NYC'!U133</f>
        <v>#REF!</v>
      </c>
      <c r="T341" s="195" t="e">
        <f>'Imp Refined NYC'!V133</f>
        <v>#REF!</v>
      </c>
      <c r="U341" s="187"/>
      <c r="V341" s="187">
        <f>'Imp Refined NYC'!AF133</f>
        <v>448635.73896381306</v>
      </c>
      <c r="W341" s="187">
        <f>'Imp Refined NYC'!AG133</f>
        <v>448635.73896381306</v>
      </c>
      <c r="X341" s="187">
        <f>'Imp Refined NYC'!AH133</f>
        <v>448635.73896381306</v>
      </c>
      <c r="Y341" s="187">
        <f>'Imp Refined NYC'!AI133</f>
        <v>448635.73896381306</v>
      </c>
      <c r="Z341" s="187"/>
      <c r="AA341" s="187"/>
      <c r="AB341" s="187"/>
      <c r="AC341" s="187"/>
      <c r="AD341" s="187"/>
      <c r="AE341" s="187"/>
      <c r="AF341" s="195"/>
      <c r="AG341" s="197"/>
      <c r="AH341" s="197"/>
      <c r="BC341" s="147"/>
      <c r="BD341" s="147"/>
      <c r="BE341" s="147"/>
      <c r="BF341" s="147"/>
      <c r="BG341" s="147"/>
    </row>
    <row r="342" spans="2:59">
      <c r="B342" s="158" t="str">
        <f>Technologies!B$315</f>
        <v>R0,R1,R2,R3,R4,R5,R6</v>
      </c>
      <c r="C342" s="158" t="str">
        <f>'Imp Refined NYC'!E134</f>
        <v>IMPDSUP25</v>
      </c>
      <c r="D342" s="158" t="str">
        <f>'Imp Refined NYC'!F134</f>
        <v>Imported Distillate-Ultralow Sulfur Highway Diesel (15 ppm), PADD 2, Step 5</v>
      </c>
      <c r="E342" s="197" t="str">
        <f>'Imp Refined NYC'!G134</f>
        <v>DSUP2</v>
      </c>
      <c r="F342" s="197"/>
      <c r="G342" s="187"/>
      <c r="H342" s="197"/>
      <c r="I342" s="197">
        <v>1.0049999999999999</v>
      </c>
      <c r="J342" s="197">
        <v>1.0049999999999999</v>
      </c>
      <c r="K342" s="195">
        <f>'Imp Refined NYC'!M134</f>
        <v>17.284748932351331</v>
      </c>
      <c r="L342" s="195" t="e">
        <f>'Imp Refined NYC'!N134</f>
        <v>#REF!</v>
      </c>
      <c r="M342" s="195" t="e">
        <f>'Imp Refined NYC'!O134</f>
        <v>#REF!</v>
      </c>
      <c r="N342" s="195" t="e">
        <f>'Imp Refined NYC'!P134</f>
        <v>#REF!</v>
      </c>
      <c r="O342" s="195" t="e">
        <f>'Imp Refined NYC'!Q134</f>
        <v>#REF!</v>
      </c>
      <c r="P342" s="195" t="e">
        <f>'Imp Refined NYC'!R134</f>
        <v>#REF!</v>
      </c>
      <c r="Q342" s="195" t="e">
        <f>'Imp Refined NYC'!S134</f>
        <v>#REF!</v>
      </c>
      <c r="R342" s="195" t="e">
        <f>'Imp Refined NYC'!T134</f>
        <v>#REF!</v>
      </c>
      <c r="S342" s="195" t="e">
        <f>'Imp Refined NYC'!U134</f>
        <v>#REF!</v>
      </c>
      <c r="T342" s="195" t="e">
        <f>'Imp Refined NYC'!V134</f>
        <v>#REF!</v>
      </c>
      <c r="U342" s="187"/>
      <c r="V342" s="187">
        <f>'Imp Refined NYC'!AF134</f>
        <v>1794542.9558552485</v>
      </c>
      <c r="W342" s="187">
        <f>'Imp Refined NYC'!AG134</f>
        <v>1794542.9558552485</v>
      </c>
      <c r="X342" s="187">
        <f>'Imp Refined NYC'!AH134</f>
        <v>1794542.9558552485</v>
      </c>
      <c r="Y342" s="187">
        <f>'Imp Refined NYC'!AI134</f>
        <v>1794542.9558552485</v>
      </c>
      <c r="Z342" s="187"/>
      <c r="AA342" s="187"/>
      <c r="AB342" s="187"/>
      <c r="AC342" s="187"/>
      <c r="AD342" s="187"/>
      <c r="AE342" s="187"/>
      <c r="AF342" s="195"/>
      <c r="AG342" s="197"/>
      <c r="AH342" s="197"/>
      <c r="BC342" s="147"/>
      <c r="BD342" s="147"/>
      <c r="BE342" s="147"/>
      <c r="BF342" s="147"/>
      <c r="BG342" s="147"/>
    </row>
    <row r="343" spans="2:59">
      <c r="B343" s="181" t="str">
        <f>Technologies!B$316</f>
        <v>*</v>
      </c>
      <c r="C343" s="181"/>
      <c r="D343" s="181"/>
      <c r="E343" s="180"/>
      <c r="F343" s="197"/>
      <c r="G343" s="187"/>
      <c r="H343" s="197"/>
      <c r="I343" s="197"/>
      <c r="J343" s="197"/>
      <c r="K343" s="195"/>
      <c r="L343" s="195"/>
      <c r="M343" s="195"/>
      <c r="N343" s="195"/>
      <c r="O343" s="195"/>
      <c r="P343" s="195"/>
      <c r="Q343" s="195"/>
      <c r="R343" s="195"/>
      <c r="S343" s="195"/>
      <c r="T343" s="195"/>
      <c r="U343" s="187"/>
      <c r="V343" s="187"/>
      <c r="W343" s="187"/>
      <c r="X343" s="187"/>
      <c r="Y343" s="187"/>
      <c r="Z343" s="187"/>
      <c r="AA343" s="187"/>
      <c r="AB343" s="187"/>
      <c r="AC343" s="187"/>
      <c r="AD343" s="187"/>
      <c r="AE343" s="187"/>
      <c r="AF343" s="195"/>
      <c r="AG343" s="197"/>
      <c r="AH343" s="197"/>
      <c r="BC343" s="147"/>
      <c r="BD343" s="147"/>
      <c r="BE343" s="147"/>
      <c r="BF343" s="147"/>
      <c r="BG343" s="147"/>
    </row>
    <row r="344" spans="2:59">
      <c r="B344" s="181" t="str">
        <f>Technologies!B$317</f>
        <v>*</v>
      </c>
      <c r="C344" s="181"/>
      <c r="D344" s="181"/>
      <c r="E344" s="180"/>
      <c r="F344" s="197"/>
      <c r="G344" s="187"/>
      <c r="H344" s="197"/>
      <c r="I344" s="197"/>
      <c r="J344" s="197"/>
      <c r="K344" s="195"/>
      <c r="L344" s="195"/>
      <c r="M344" s="195"/>
      <c r="N344" s="195"/>
      <c r="O344" s="195"/>
      <c r="P344" s="195"/>
      <c r="Q344" s="195"/>
      <c r="R344" s="195"/>
      <c r="S344" s="195"/>
      <c r="T344" s="195"/>
      <c r="U344" s="187"/>
      <c r="V344" s="187"/>
      <c r="W344" s="187"/>
      <c r="X344" s="187"/>
      <c r="Y344" s="187"/>
      <c r="Z344" s="187"/>
      <c r="AA344" s="187"/>
      <c r="AB344" s="187"/>
      <c r="AC344" s="187"/>
      <c r="AD344" s="187"/>
      <c r="AE344" s="187"/>
      <c r="AF344" s="195"/>
      <c r="AG344" s="197"/>
      <c r="AH344" s="197"/>
      <c r="BC344" s="147"/>
      <c r="BD344" s="147"/>
      <c r="BE344" s="147"/>
      <c r="BF344" s="147"/>
      <c r="BG344" s="147"/>
    </row>
    <row r="345" spans="2:59">
      <c r="B345" s="158" t="str">
        <f>Technologies!B$318</f>
        <v>R0,R1,R2,R3,R4,R5,R6</v>
      </c>
      <c r="C345" s="158" t="str">
        <f>'Imp Refined NYC'!E137</f>
        <v>IMPGSRP33</v>
      </c>
      <c r="D345" s="158" t="str">
        <f>'Imp Refined NYC'!F137</f>
        <v>Imported Reformulated Gasoline, PADD 3, Step 3</v>
      </c>
      <c r="E345" s="197" t="str">
        <f>'Imp Refined NYC'!G137</f>
        <v>GSRP3</v>
      </c>
      <c r="F345" s="197"/>
      <c r="G345" s="187"/>
      <c r="H345" s="197"/>
      <c r="I345" s="197">
        <v>1.0049999999999999</v>
      </c>
      <c r="J345" s="197">
        <v>1.0049999999999999</v>
      </c>
      <c r="K345" s="195">
        <v>0</v>
      </c>
      <c r="L345" s="195">
        <v>0</v>
      </c>
      <c r="M345" s="195">
        <v>0</v>
      </c>
      <c r="N345" s="195">
        <v>0</v>
      </c>
      <c r="O345" s="195">
        <v>0</v>
      </c>
      <c r="P345" s="195">
        <v>0</v>
      </c>
      <c r="Q345" s="195">
        <v>0</v>
      </c>
      <c r="R345" s="195">
        <v>0</v>
      </c>
      <c r="S345" s="195">
        <v>0</v>
      </c>
      <c r="T345" s="195">
        <v>0</v>
      </c>
      <c r="U345" s="187"/>
      <c r="V345" s="187">
        <f>'Imp Refined NYC'!AF137</f>
        <v>198323.95327584841</v>
      </c>
      <c r="W345" s="187">
        <f>'Imp Refined NYC'!AG137</f>
        <v>198323.95327584841</v>
      </c>
      <c r="X345" s="187">
        <f>'Imp Refined NYC'!AH137</f>
        <v>198323.95327584841</v>
      </c>
      <c r="Y345" s="187">
        <f>'Imp Refined NYC'!AI137</f>
        <v>198323.95327584841</v>
      </c>
      <c r="Z345" s="187">
        <f>'Imp Refined NYC'!AF137</f>
        <v>198323.95327584841</v>
      </c>
      <c r="AA345" s="187">
        <f>'Imp Refined NYC'!AG137</f>
        <v>198323.95327584841</v>
      </c>
      <c r="AB345" s="187">
        <f>'Imp Refined NYC'!AH137</f>
        <v>198323.95327584841</v>
      </c>
      <c r="AC345" s="187">
        <f>'Imp Refined NYC'!AI137</f>
        <v>198323.95327584841</v>
      </c>
      <c r="AD345" s="187">
        <f>'Imp Refined NYC'!AJ137</f>
        <v>0</v>
      </c>
      <c r="AE345" s="187">
        <f>'Imp Refined NYC'!AK137</f>
        <v>0</v>
      </c>
      <c r="AF345" s="187">
        <f>'Imp Refined NYC'!AL137</f>
        <v>0</v>
      </c>
      <c r="AG345" s="197"/>
      <c r="AH345" s="197"/>
      <c r="BC345" s="147"/>
      <c r="BD345" s="147"/>
      <c r="BE345" s="147"/>
      <c r="BF345" s="147"/>
      <c r="BG345" s="147"/>
    </row>
    <row r="346" spans="2:59">
      <c r="B346" s="158" t="str">
        <f>Technologies!B$319</f>
        <v>R0,R1,R2,R3,R4,R5,R6</v>
      </c>
      <c r="C346" s="158" t="str">
        <f>'Imp Refined NYC'!E138</f>
        <v>IMPGSRP31</v>
      </c>
      <c r="D346" s="158" t="str">
        <f>'Imp Refined NYC'!F138</f>
        <v>Imported Reformulated Gasoline, PADD 3, Step 1</v>
      </c>
      <c r="E346" s="197" t="str">
        <f>'Imp Refined NYC'!G138</f>
        <v>GSRP3</v>
      </c>
      <c r="F346" s="197"/>
      <c r="G346" s="187"/>
      <c r="H346" s="197"/>
      <c r="I346" s="197">
        <v>1.0049999999999999</v>
      </c>
      <c r="J346" s="197">
        <v>1.0049999999999999</v>
      </c>
      <c r="K346" s="195">
        <v>0</v>
      </c>
      <c r="L346" s="195">
        <v>0</v>
      </c>
      <c r="M346" s="195">
        <v>0</v>
      </c>
      <c r="N346" s="195">
        <v>0</v>
      </c>
      <c r="O346" s="195">
        <v>0</v>
      </c>
      <c r="P346" s="195">
        <v>0</v>
      </c>
      <c r="Q346" s="195">
        <v>0</v>
      </c>
      <c r="R346" s="195">
        <v>0</v>
      </c>
      <c r="S346" s="195">
        <v>0</v>
      </c>
      <c r="T346" s="195">
        <v>0</v>
      </c>
      <c r="U346" s="187"/>
      <c r="V346" s="187">
        <f>'Imp Refined NYC'!AF138</f>
        <v>1586591.6262067873</v>
      </c>
      <c r="W346" s="187">
        <f>'Imp Refined NYC'!AG138</f>
        <v>1586591.6262067873</v>
      </c>
      <c r="X346" s="187">
        <f>'Imp Refined NYC'!AH138</f>
        <v>1586591.6262067873</v>
      </c>
      <c r="Y346" s="187">
        <f>'Imp Refined NYC'!AI138</f>
        <v>1586591.6262067873</v>
      </c>
      <c r="Z346" s="187">
        <f>'Imp Refined NYC'!AF138</f>
        <v>1586591.6262067873</v>
      </c>
      <c r="AA346" s="187">
        <f>'Imp Refined NYC'!AG138</f>
        <v>1586591.6262067873</v>
      </c>
      <c r="AB346" s="187">
        <f>'Imp Refined NYC'!AH138</f>
        <v>1586591.6262067873</v>
      </c>
      <c r="AC346" s="187">
        <f>'Imp Refined NYC'!AI138</f>
        <v>1586591.6262067873</v>
      </c>
      <c r="AD346" s="187">
        <f>'Imp Refined NYC'!AJ138</f>
        <v>0</v>
      </c>
      <c r="AE346" s="187">
        <f>'Imp Refined NYC'!AK138</f>
        <v>0</v>
      </c>
      <c r="AF346" s="187">
        <f>'Imp Refined NYC'!AL138</f>
        <v>0</v>
      </c>
      <c r="AG346" s="197"/>
      <c r="AH346" s="197"/>
      <c r="BC346" s="147"/>
      <c r="BD346" s="147"/>
      <c r="BE346" s="147"/>
      <c r="BF346" s="147"/>
      <c r="BG346" s="147"/>
    </row>
    <row r="347" spans="2:59">
      <c r="B347" s="158" t="str">
        <f>Technologies!B$320</f>
        <v>R0,R1,R2,R3,R4,R5,R6</v>
      </c>
      <c r="C347" s="158" t="str">
        <f>'Imp Refined NYC'!E139</f>
        <v>IMPGSRP32</v>
      </c>
      <c r="D347" s="158" t="str">
        <f>'Imp Refined NYC'!F139</f>
        <v>Imported Reformulated Gasoline, PADD 3, Step 2</v>
      </c>
      <c r="E347" s="197" t="str">
        <f>'Imp Refined NYC'!G139</f>
        <v>GSRP3</v>
      </c>
      <c r="F347" s="197"/>
      <c r="G347" s="187"/>
      <c r="H347" s="197"/>
      <c r="I347" s="197">
        <v>1.0049999999999999</v>
      </c>
      <c r="J347" s="197">
        <v>1.0049999999999999</v>
      </c>
      <c r="K347" s="195">
        <v>0</v>
      </c>
      <c r="L347" s="195">
        <v>0</v>
      </c>
      <c r="M347" s="195">
        <v>0</v>
      </c>
      <c r="N347" s="195">
        <v>0</v>
      </c>
      <c r="O347" s="195">
        <v>0</v>
      </c>
      <c r="P347" s="195">
        <v>0</v>
      </c>
      <c r="Q347" s="195">
        <v>0</v>
      </c>
      <c r="R347" s="195">
        <v>0</v>
      </c>
      <c r="S347" s="195">
        <v>0</v>
      </c>
      <c r="T347" s="195">
        <v>0</v>
      </c>
      <c r="U347" s="187"/>
      <c r="V347" s="187">
        <f>'Imp Refined NYC'!AF139</f>
        <v>198323.95327584841</v>
      </c>
      <c r="W347" s="187">
        <f>'Imp Refined NYC'!AG139</f>
        <v>198323.95327584841</v>
      </c>
      <c r="X347" s="187">
        <f>'Imp Refined NYC'!AH139</f>
        <v>198323.95327584841</v>
      </c>
      <c r="Y347" s="187">
        <f>'Imp Refined NYC'!AI139</f>
        <v>198323.95327584841</v>
      </c>
      <c r="Z347" s="187">
        <f>'Imp Refined NYC'!AF139</f>
        <v>198323.95327584841</v>
      </c>
      <c r="AA347" s="187">
        <f>'Imp Refined NYC'!AG139</f>
        <v>198323.95327584841</v>
      </c>
      <c r="AB347" s="187">
        <f>'Imp Refined NYC'!AH139</f>
        <v>198323.95327584841</v>
      </c>
      <c r="AC347" s="187">
        <f>'Imp Refined NYC'!AI139</f>
        <v>198323.95327584841</v>
      </c>
      <c r="AD347" s="187">
        <f>'Imp Refined NYC'!AJ139</f>
        <v>0</v>
      </c>
      <c r="AE347" s="187">
        <f>'Imp Refined NYC'!AK139</f>
        <v>0</v>
      </c>
      <c r="AF347" s="187">
        <f>'Imp Refined NYC'!AL139</f>
        <v>0</v>
      </c>
      <c r="AG347" s="197"/>
      <c r="AH347" s="197"/>
      <c r="BC347" s="147"/>
      <c r="BD347" s="147"/>
      <c r="BE347" s="147"/>
      <c r="BF347" s="147"/>
      <c r="BG347" s="147"/>
    </row>
    <row r="348" spans="2:59">
      <c r="B348" s="158" t="str">
        <f>Technologies!B$321</f>
        <v>R0,R1,R2,R3,R4,R5,R6</v>
      </c>
      <c r="C348" s="158" t="str">
        <f>'Imp Refined NYC'!E140</f>
        <v>IMPGSRP34</v>
      </c>
      <c r="D348" s="158" t="str">
        <f>'Imp Refined NYC'!F140</f>
        <v>Imported Reformulated Gasoline, PADD 3, Step 4</v>
      </c>
      <c r="E348" s="197" t="str">
        <f>'Imp Refined NYC'!G140</f>
        <v>GSRP3</v>
      </c>
      <c r="F348" s="197"/>
      <c r="G348" s="187"/>
      <c r="H348" s="197"/>
      <c r="I348" s="197">
        <v>1.0049999999999999</v>
      </c>
      <c r="J348" s="197">
        <v>1.0049999999999999</v>
      </c>
      <c r="K348" s="195">
        <v>0</v>
      </c>
      <c r="L348" s="195">
        <v>0</v>
      </c>
      <c r="M348" s="195">
        <v>0</v>
      </c>
      <c r="N348" s="195">
        <v>0</v>
      </c>
      <c r="O348" s="195">
        <v>0</v>
      </c>
      <c r="P348" s="195">
        <v>0</v>
      </c>
      <c r="Q348" s="195">
        <v>0</v>
      </c>
      <c r="R348" s="195">
        <v>0</v>
      </c>
      <c r="S348" s="195">
        <v>0</v>
      </c>
      <c r="T348" s="195">
        <v>0</v>
      </c>
      <c r="U348" s="187"/>
      <c r="V348" s="187">
        <f>'Imp Refined NYC'!AF140</f>
        <v>396647.90655169683</v>
      </c>
      <c r="W348" s="187">
        <f>'Imp Refined NYC'!AG140</f>
        <v>396647.90655169683</v>
      </c>
      <c r="X348" s="187">
        <f>'Imp Refined NYC'!AH140</f>
        <v>396647.90655169683</v>
      </c>
      <c r="Y348" s="187">
        <f>'Imp Refined NYC'!AI140</f>
        <v>396647.90655169683</v>
      </c>
      <c r="Z348" s="187">
        <f>'Imp Refined NYC'!AF140</f>
        <v>396647.90655169683</v>
      </c>
      <c r="AA348" s="187">
        <f>'Imp Refined NYC'!AG140</f>
        <v>396647.90655169683</v>
      </c>
      <c r="AB348" s="187">
        <f>'Imp Refined NYC'!AH140</f>
        <v>396647.90655169683</v>
      </c>
      <c r="AC348" s="187">
        <f>'Imp Refined NYC'!AI140</f>
        <v>396647.90655169683</v>
      </c>
      <c r="AD348" s="187">
        <f>'Imp Refined NYC'!AJ140</f>
        <v>0</v>
      </c>
      <c r="AE348" s="187">
        <f>'Imp Refined NYC'!AK140</f>
        <v>0</v>
      </c>
      <c r="AF348" s="187">
        <f>'Imp Refined NYC'!AL140</f>
        <v>0</v>
      </c>
      <c r="AG348" s="197"/>
      <c r="AH348" s="197"/>
      <c r="BC348" s="147"/>
      <c r="BD348" s="147"/>
      <c r="BE348" s="147"/>
      <c r="BF348" s="147"/>
      <c r="BG348" s="147"/>
    </row>
    <row r="349" spans="2:59">
      <c r="B349" s="158" t="str">
        <f>Technologies!B$322</f>
        <v>R0,R1,R2,R3,R4,R5,R6</v>
      </c>
      <c r="C349" s="158" t="str">
        <f>'Imp Refined NYC'!E141</f>
        <v>IMPGSRP35</v>
      </c>
      <c r="D349" s="158" t="str">
        <f>'Imp Refined NYC'!F141</f>
        <v>Imported Reformulated Gasoline, PADD 3, Step 5</v>
      </c>
      <c r="E349" s="197" t="str">
        <f>'Imp Refined NYC'!G141</f>
        <v>GSRP3</v>
      </c>
      <c r="F349" s="197"/>
      <c r="G349" s="187"/>
      <c r="H349" s="197"/>
      <c r="I349" s="197">
        <v>1.0049999999999999</v>
      </c>
      <c r="J349" s="197">
        <v>1.0049999999999999</v>
      </c>
      <c r="K349" s="195">
        <v>0</v>
      </c>
      <c r="L349" s="195">
        <v>0</v>
      </c>
      <c r="M349" s="195">
        <v>0</v>
      </c>
      <c r="N349" s="195">
        <v>0</v>
      </c>
      <c r="O349" s="195">
        <v>0</v>
      </c>
      <c r="P349" s="195">
        <v>0</v>
      </c>
      <c r="Q349" s="195">
        <v>0</v>
      </c>
      <c r="R349" s="195">
        <v>0</v>
      </c>
      <c r="S349" s="195">
        <v>0</v>
      </c>
      <c r="T349" s="195">
        <v>0</v>
      </c>
      <c r="U349" s="187"/>
      <c r="V349" s="187">
        <f>'Imp Refined NYC'!AF141</f>
        <v>1586591.6262067873</v>
      </c>
      <c r="W349" s="187">
        <f>'Imp Refined NYC'!AG141</f>
        <v>1586591.6262067873</v>
      </c>
      <c r="X349" s="187">
        <f>'Imp Refined NYC'!AH141</f>
        <v>1586591.6262067873</v>
      </c>
      <c r="Y349" s="187">
        <f>'Imp Refined NYC'!AI141</f>
        <v>1586591.6262067873</v>
      </c>
      <c r="Z349" s="187">
        <f>'Imp Refined NYC'!AF141</f>
        <v>1586591.6262067873</v>
      </c>
      <c r="AA349" s="187">
        <f>'Imp Refined NYC'!AG141</f>
        <v>1586591.6262067873</v>
      </c>
      <c r="AB349" s="187">
        <f>'Imp Refined NYC'!AH141</f>
        <v>1586591.6262067873</v>
      </c>
      <c r="AC349" s="187">
        <f>'Imp Refined NYC'!AI141</f>
        <v>1586591.6262067873</v>
      </c>
      <c r="AD349" s="187">
        <f>'Imp Refined NYC'!AJ141</f>
        <v>0</v>
      </c>
      <c r="AE349" s="187">
        <f>'Imp Refined NYC'!AK141</f>
        <v>0</v>
      </c>
      <c r="AF349" s="187">
        <f>'Imp Refined NYC'!AL141</f>
        <v>0</v>
      </c>
      <c r="AG349" s="197"/>
      <c r="AH349" s="197"/>
      <c r="BC349" s="147"/>
      <c r="BD349" s="147"/>
      <c r="BE349" s="147"/>
      <c r="BF349" s="147"/>
      <c r="BG349" s="147"/>
    </row>
    <row r="350" spans="2:59">
      <c r="B350" s="158" t="str">
        <f>Technologies!B$323</f>
        <v>R0,R1,R2,R3,R4,R5,R6</v>
      </c>
      <c r="C350" s="158" t="str">
        <f>'Imp Refined NYC'!E142</f>
        <v>IMPGSCP33</v>
      </c>
      <c r="D350" s="158" t="str">
        <f>'Imp Refined NYC'!F142</f>
        <v>Imported Conventional Gasoline, PADD 3, Step 3</v>
      </c>
      <c r="E350" s="197" t="str">
        <f>'Imp Refined NYC'!G142</f>
        <v>GSCP3</v>
      </c>
      <c r="F350" s="197"/>
      <c r="G350" s="187"/>
      <c r="H350" s="197"/>
      <c r="I350" s="197">
        <v>1.0049999999999999</v>
      </c>
      <c r="J350" s="197">
        <v>1.0049999999999999</v>
      </c>
      <c r="K350" s="195">
        <f>'Imp Refined NYC'!M142</f>
        <v>15.167098678572664</v>
      </c>
      <c r="L350" s="195" t="e">
        <f>'Imp Refined NYC'!N142</f>
        <v>#REF!</v>
      </c>
      <c r="M350" s="195" t="e">
        <f>'Imp Refined NYC'!O142</f>
        <v>#REF!</v>
      </c>
      <c r="N350" s="195" t="e">
        <f>'Imp Refined NYC'!P142</f>
        <v>#REF!</v>
      </c>
      <c r="O350" s="195" t="e">
        <f>'Imp Refined NYC'!Q142</f>
        <v>#REF!</v>
      </c>
      <c r="P350" s="195" t="e">
        <f>'Imp Refined NYC'!R142</f>
        <v>#REF!</v>
      </c>
      <c r="Q350" s="195" t="e">
        <f>'Imp Refined NYC'!S142</f>
        <v>#REF!</v>
      </c>
      <c r="R350" s="195" t="e">
        <f>'Imp Refined NYC'!T142</f>
        <v>#REF!</v>
      </c>
      <c r="S350" s="195" t="e">
        <f>'Imp Refined NYC'!U142</f>
        <v>#REF!</v>
      </c>
      <c r="T350" s="195" t="e">
        <f>'Imp Refined NYC'!V142</f>
        <v>#REF!</v>
      </c>
      <c r="U350" s="187"/>
      <c r="V350" s="187">
        <f>'Imp Refined NYC'!AF142</f>
        <v>202290.43234136514</v>
      </c>
      <c r="W350" s="187">
        <f>'Imp Refined NYC'!AG142</f>
        <v>202290.43234136514</v>
      </c>
      <c r="X350" s="187">
        <f>'Imp Refined NYC'!AH142</f>
        <v>202290.43234136514</v>
      </c>
      <c r="Y350" s="187">
        <f>'Imp Refined NYC'!AI142</f>
        <v>202290.43234136514</v>
      </c>
      <c r="Z350" s="187"/>
      <c r="AA350" s="187"/>
      <c r="AB350" s="187"/>
      <c r="AC350" s="187"/>
      <c r="AD350" s="187"/>
      <c r="AE350" s="187"/>
      <c r="AF350" s="195"/>
      <c r="AG350" s="197"/>
      <c r="AH350" s="197"/>
      <c r="BC350" s="147"/>
      <c r="BD350" s="147"/>
      <c r="BE350" s="147"/>
      <c r="BF350" s="147"/>
      <c r="BG350" s="147"/>
    </row>
    <row r="351" spans="2:59">
      <c r="B351" s="158" t="str">
        <f>Technologies!B$324</f>
        <v>R0,R1,R2,R3,R4,R5,R6</v>
      </c>
      <c r="C351" s="158" t="str">
        <f>'Imp Refined NYC'!E143</f>
        <v>IMPGSCP31</v>
      </c>
      <c r="D351" s="158" t="str">
        <f>'Imp Refined NYC'!F143</f>
        <v>Imported Conventional Gasoline, PADD 3, Step 1</v>
      </c>
      <c r="E351" s="197" t="str">
        <f>'Imp Refined NYC'!G143</f>
        <v>GSCP3</v>
      </c>
      <c r="F351" s="197"/>
      <c r="G351" s="187"/>
      <c r="H351" s="197"/>
      <c r="I351" s="197">
        <v>1.0049999999999999</v>
      </c>
      <c r="J351" s="197">
        <v>1.0049999999999999</v>
      </c>
      <c r="K351" s="195">
        <f>'Imp Refined NYC'!M143</f>
        <v>14.408743744644029</v>
      </c>
      <c r="L351" s="195" t="e">
        <f>'Imp Refined NYC'!N143</f>
        <v>#REF!</v>
      </c>
      <c r="M351" s="195" t="e">
        <f>'Imp Refined NYC'!O143</f>
        <v>#REF!</v>
      </c>
      <c r="N351" s="195" t="e">
        <f>'Imp Refined NYC'!P143</f>
        <v>#REF!</v>
      </c>
      <c r="O351" s="195" t="e">
        <f>'Imp Refined NYC'!Q143</f>
        <v>#REF!</v>
      </c>
      <c r="P351" s="195" t="e">
        <f>'Imp Refined NYC'!R143</f>
        <v>#REF!</v>
      </c>
      <c r="Q351" s="195" t="e">
        <f>'Imp Refined NYC'!S143</f>
        <v>#REF!</v>
      </c>
      <c r="R351" s="195" t="e">
        <f>'Imp Refined NYC'!T143</f>
        <v>#REF!</v>
      </c>
      <c r="S351" s="195" t="e">
        <f>'Imp Refined NYC'!U143</f>
        <v>#REF!</v>
      </c>
      <c r="T351" s="195" t="e">
        <f>'Imp Refined NYC'!V143</f>
        <v>#REF!</v>
      </c>
      <c r="U351" s="187"/>
      <c r="V351" s="187">
        <f>'Imp Refined NYC'!AF143</f>
        <v>1618323.4587309228</v>
      </c>
      <c r="W351" s="187">
        <f>'Imp Refined NYC'!AG143</f>
        <v>1618323.4587309228</v>
      </c>
      <c r="X351" s="187">
        <f>'Imp Refined NYC'!AH143</f>
        <v>1618323.4587309228</v>
      </c>
      <c r="Y351" s="187">
        <f>'Imp Refined NYC'!AI143</f>
        <v>1618323.4587309228</v>
      </c>
      <c r="Z351" s="187"/>
      <c r="AA351" s="187"/>
      <c r="AB351" s="187"/>
      <c r="AC351" s="187"/>
      <c r="AD351" s="187"/>
      <c r="AE351" s="187"/>
      <c r="AF351" s="195"/>
      <c r="AG351" s="197"/>
      <c r="AH351" s="197"/>
      <c r="BC351" s="147"/>
      <c r="BD351" s="147"/>
      <c r="BE351" s="147"/>
      <c r="BF351" s="147"/>
      <c r="BG351" s="147"/>
    </row>
    <row r="352" spans="2:59">
      <c r="B352" s="158" t="str">
        <f>Technologies!B$325</f>
        <v>R0,R1,R2,R3,R4,R5,R6</v>
      </c>
      <c r="C352" s="158" t="str">
        <f>'Imp Refined NYC'!E144</f>
        <v>IMPGSCP32</v>
      </c>
      <c r="D352" s="158" t="str">
        <f>'Imp Refined NYC'!F144</f>
        <v>Imported Conventional Gasoline, PADD 3, Step 2</v>
      </c>
      <c r="E352" s="197" t="str">
        <f>'Imp Refined NYC'!G144</f>
        <v>GSCP3</v>
      </c>
      <c r="F352" s="197"/>
      <c r="G352" s="187"/>
      <c r="H352" s="197"/>
      <c r="I352" s="197">
        <v>1.0049999999999999</v>
      </c>
      <c r="J352" s="197">
        <v>1.0049999999999999</v>
      </c>
      <c r="K352" s="195">
        <f>'Imp Refined NYC'!M144</f>
        <v>14.863756705001212</v>
      </c>
      <c r="L352" s="195" t="e">
        <f>'Imp Refined NYC'!N144</f>
        <v>#REF!</v>
      </c>
      <c r="M352" s="195" t="e">
        <f>'Imp Refined NYC'!O144</f>
        <v>#REF!</v>
      </c>
      <c r="N352" s="195" t="e">
        <f>'Imp Refined NYC'!P144</f>
        <v>#REF!</v>
      </c>
      <c r="O352" s="195" t="e">
        <f>'Imp Refined NYC'!Q144</f>
        <v>#REF!</v>
      </c>
      <c r="P352" s="195" t="e">
        <f>'Imp Refined NYC'!R144</f>
        <v>#REF!</v>
      </c>
      <c r="Q352" s="195" t="e">
        <f>'Imp Refined NYC'!S144</f>
        <v>#REF!</v>
      </c>
      <c r="R352" s="195" t="e">
        <f>'Imp Refined NYC'!T144</f>
        <v>#REF!</v>
      </c>
      <c r="S352" s="195" t="e">
        <f>'Imp Refined NYC'!U144</f>
        <v>#REF!</v>
      </c>
      <c r="T352" s="195" t="e">
        <f>'Imp Refined NYC'!V144</f>
        <v>#REF!</v>
      </c>
      <c r="U352" s="187"/>
      <c r="V352" s="187">
        <f>'Imp Refined NYC'!AF144</f>
        <v>202290.43234136584</v>
      </c>
      <c r="W352" s="187">
        <f>'Imp Refined NYC'!AG144</f>
        <v>202290.43234136584</v>
      </c>
      <c r="X352" s="187">
        <f>'Imp Refined NYC'!AH144</f>
        <v>202290.43234136584</v>
      </c>
      <c r="Y352" s="187">
        <f>'Imp Refined NYC'!AI144</f>
        <v>202290.43234136584</v>
      </c>
      <c r="Z352" s="187"/>
      <c r="AA352" s="187"/>
      <c r="AB352" s="187"/>
      <c r="AC352" s="187"/>
      <c r="AD352" s="187"/>
      <c r="AE352" s="187"/>
      <c r="AF352" s="195"/>
      <c r="AG352" s="197"/>
      <c r="AH352" s="197"/>
      <c r="BC352" s="147"/>
      <c r="BD352" s="147"/>
      <c r="BE352" s="147"/>
      <c r="BF352" s="147"/>
      <c r="BG352" s="147"/>
    </row>
    <row r="353" spans="2:59">
      <c r="B353" s="158" t="str">
        <f>Technologies!B$326</f>
        <v>R0,R1,R2,R3,R4,R5,R6</v>
      </c>
      <c r="C353" s="158" t="str">
        <f>'Imp Refined NYC'!E145</f>
        <v>IMPGSCP34</v>
      </c>
      <c r="D353" s="158" t="str">
        <f>'Imp Refined NYC'!F145</f>
        <v>Imported Conventional Gasoline, PADD 3, Step 4</v>
      </c>
      <c r="E353" s="197" t="str">
        <f>'Imp Refined NYC'!G145</f>
        <v>GSCP3</v>
      </c>
      <c r="F353" s="197"/>
      <c r="G353" s="187"/>
      <c r="H353" s="197"/>
      <c r="I353" s="197">
        <v>1.0049999999999999</v>
      </c>
      <c r="J353" s="197">
        <v>1.0049999999999999</v>
      </c>
      <c r="K353" s="195">
        <f>'Imp Refined NYC'!M145</f>
        <v>16.532137559644205</v>
      </c>
      <c r="L353" s="195" t="e">
        <f>'Imp Refined NYC'!N145</f>
        <v>#REF!</v>
      </c>
      <c r="M353" s="195" t="e">
        <f>'Imp Refined NYC'!O145</f>
        <v>#REF!</v>
      </c>
      <c r="N353" s="195" t="e">
        <f>'Imp Refined NYC'!P145</f>
        <v>#REF!</v>
      </c>
      <c r="O353" s="195" t="e">
        <f>'Imp Refined NYC'!Q145</f>
        <v>#REF!</v>
      </c>
      <c r="P353" s="195" t="e">
        <f>'Imp Refined NYC'!R145</f>
        <v>#REF!</v>
      </c>
      <c r="Q353" s="195" t="e">
        <f>'Imp Refined NYC'!S145</f>
        <v>#REF!</v>
      </c>
      <c r="R353" s="195" t="e">
        <f>'Imp Refined NYC'!T145</f>
        <v>#REF!</v>
      </c>
      <c r="S353" s="195" t="e">
        <f>'Imp Refined NYC'!U145</f>
        <v>#REF!</v>
      </c>
      <c r="T353" s="195" t="e">
        <f>'Imp Refined NYC'!V145</f>
        <v>#REF!</v>
      </c>
      <c r="U353" s="187"/>
      <c r="V353" s="187">
        <f>'Imp Refined NYC'!AF145</f>
        <v>404580.86468273075</v>
      </c>
      <c r="W353" s="187">
        <f>'Imp Refined NYC'!AG145</f>
        <v>404580.86468273075</v>
      </c>
      <c r="X353" s="187">
        <f>'Imp Refined NYC'!AH145</f>
        <v>404580.86468273075</v>
      </c>
      <c r="Y353" s="187">
        <f>'Imp Refined NYC'!AI145</f>
        <v>404580.86468273075</v>
      </c>
      <c r="Z353" s="187"/>
      <c r="AA353" s="187"/>
      <c r="AB353" s="187"/>
      <c r="AC353" s="187"/>
      <c r="AD353" s="187"/>
      <c r="AE353" s="187"/>
      <c r="AF353" s="195"/>
      <c r="AG353" s="197"/>
      <c r="AH353" s="197"/>
      <c r="BC353" s="147"/>
      <c r="BD353" s="147"/>
      <c r="BE353" s="147"/>
      <c r="BF353" s="147"/>
      <c r="BG353" s="147"/>
    </row>
    <row r="354" spans="2:59">
      <c r="B354" s="158" t="str">
        <f>Technologies!B$327</f>
        <v>R0,R1,R2,R3,R4,R5,R6</v>
      </c>
      <c r="C354" s="158" t="str">
        <f>'Imp Refined NYC'!E146</f>
        <v>IMPGSCP35</v>
      </c>
      <c r="D354" s="158" t="str">
        <f>'Imp Refined NYC'!F146</f>
        <v>Imported Conventional Gasoline, PADD 3, Step 5</v>
      </c>
      <c r="E354" s="197" t="str">
        <f>'Imp Refined NYC'!G146</f>
        <v>GSCP3</v>
      </c>
      <c r="F354" s="197"/>
      <c r="G354" s="187"/>
      <c r="H354" s="197"/>
      <c r="I354" s="197">
        <v>1.0049999999999999</v>
      </c>
      <c r="J354" s="197">
        <v>1.0049999999999999</v>
      </c>
      <c r="K354" s="195">
        <f>'Imp Refined NYC'!M146</f>
        <v>19.717228282144461</v>
      </c>
      <c r="L354" s="195" t="e">
        <f>'Imp Refined NYC'!N146</f>
        <v>#REF!</v>
      </c>
      <c r="M354" s="195" t="e">
        <f>'Imp Refined NYC'!O146</f>
        <v>#REF!</v>
      </c>
      <c r="N354" s="195" t="e">
        <f>'Imp Refined NYC'!P146</f>
        <v>#REF!</v>
      </c>
      <c r="O354" s="195" t="e">
        <f>'Imp Refined NYC'!Q146</f>
        <v>#REF!</v>
      </c>
      <c r="P354" s="195" t="e">
        <f>'Imp Refined NYC'!R146</f>
        <v>#REF!</v>
      </c>
      <c r="Q354" s="195" t="e">
        <f>'Imp Refined NYC'!S146</f>
        <v>#REF!</v>
      </c>
      <c r="R354" s="195" t="e">
        <f>'Imp Refined NYC'!T146</f>
        <v>#REF!</v>
      </c>
      <c r="S354" s="195" t="e">
        <f>'Imp Refined NYC'!U146</f>
        <v>#REF!</v>
      </c>
      <c r="T354" s="195" t="e">
        <f>'Imp Refined NYC'!V146</f>
        <v>#REF!</v>
      </c>
      <c r="U354" s="187"/>
      <c r="V354" s="187">
        <f>'Imp Refined NYC'!AF146</f>
        <v>1618323.458730923</v>
      </c>
      <c r="W354" s="187">
        <f>'Imp Refined NYC'!AG146</f>
        <v>1618323.458730923</v>
      </c>
      <c r="X354" s="187">
        <f>'Imp Refined NYC'!AH146</f>
        <v>1618323.458730923</v>
      </c>
      <c r="Y354" s="187">
        <f>'Imp Refined NYC'!AI146</f>
        <v>1618323.458730923</v>
      </c>
      <c r="Z354" s="187"/>
      <c r="AA354" s="187"/>
      <c r="AB354" s="187"/>
      <c r="AC354" s="187"/>
      <c r="AD354" s="187"/>
      <c r="AE354" s="187"/>
      <c r="AF354" s="195"/>
      <c r="AG354" s="197"/>
      <c r="AH354" s="197"/>
      <c r="BC354" s="147"/>
      <c r="BD354" s="147"/>
      <c r="BE354" s="147"/>
      <c r="BF354" s="147"/>
      <c r="BG354" s="147"/>
    </row>
    <row r="355" spans="2:59">
      <c r="B355" s="158" t="str">
        <f>Technologies!B$333</f>
        <v>R0,R1,R2,R3,R4,R5,R6</v>
      </c>
      <c r="C355" s="158" t="str">
        <f>'Imp Refined NYC'!E152</f>
        <v>IMPDSLP33</v>
      </c>
      <c r="D355" s="158" t="str">
        <f>'Imp Refined NYC'!F152</f>
        <v>Imported Distillate-Low Sulfur Highway Diesel (500 ppm), PADD 3, Step 3</v>
      </c>
      <c r="E355" s="197" t="str">
        <f>'Imp Refined NYC'!G152</f>
        <v>DSLP3</v>
      </c>
      <c r="F355" s="197"/>
      <c r="G355" s="187"/>
      <c r="H355" s="197"/>
      <c r="I355" s="197">
        <v>1.0049999999999999</v>
      </c>
      <c r="J355" s="197">
        <v>1.0049999999999999</v>
      </c>
      <c r="K355" s="195">
        <f>'Imp Refined NYC'!M152</f>
        <v>12.334674567427236</v>
      </c>
      <c r="L355" s="195" t="e">
        <f>'Imp Refined NYC'!N152</f>
        <v>#REF!</v>
      </c>
      <c r="M355" s="195" t="e">
        <f>'Imp Refined NYC'!O152</f>
        <v>#REF!</v>
      </c>
      <c r="N355" s="195" t="e">
        <f>'Imp Refined NYC'!P152</f>
        <v>#REF!</v>
      </c>
      <c r="O355" s="195" t="e">
        <f>'Imp Refined NYC'!Q152</f>
        <v>#REF!</v>
      </c>
      <c r="P355" s="195" t="e">
        <f>'Imp Refined NYC'!R152</f>
        <v>#REF!</v>
      </c>
      <c r="Q355" s="195" t="e">
        <f>'Imp Refined NYC'!S152</f>
        <v>#REF!</v>
      </c>
      <c r="R355" s="195" t="e">
        <f>'Imp Refined NYC'!T152</f>
        <v>#REF!</v>
      </c>
      <c r="S355" s="195" t="e">
        <f>'Imp Refined NYC'!U152</f>
        <v>#REF!</v>
      </c>
      <c r="T355" s="195" t="e">
        <f>'Imp Refined NYC'!V152</f>
        <v>#REF!</v>
      </c>
      <c r="U355" s="187"/>
      <c r="V355" s="187">
        <f>'Imp Refined NYC'!AF152</f>
        <v>224317.86948190606</v>
      </c>
      <c r="W355" s="187">
        <f>'Imp Refined NYC'!AG152</f>
        <v>224317.86948190606</v>
      </c>
      <c r="X355" s="187">
        <f>'Imp Refined NYC'!AH152</f>
        <v>224317.86948190606</v>
      </c>
      <c r="Y355" s="187">
        <f>'Imp Refined NYC'!AI152</f>
        <v>224317.86948190606</v>
      </c>
      <c r="Z355" s="187"/>
      <c r="AA355" s="187"/>
      <c r="AB355" s="187"/>
      <c r="AC355" s="187"/>
      <c r="AD355" s="187"/>
      <c r="AE355" s="187"/>
      <c r="AF355" s="195"/>
      <c r="AG355" s="197"/>
      <c r="AH355" s="197"/>
      <c r="BC355" s="147"/>
      <c r="BD355" s="147"/>
      <c r="BE355" s="147"/>
      <c r="BF355" s="147"/>
      <c r="BG355" s="147"/>
    </row>
    <row r="356" spans="2:59">
      <c r="B356" s="158" t="str">
        <f>Technologies!B$334</f>
        <v>R0,R1,R2,R3,R4,R5,R6</v>
      </c>
      <c r="C356" s="158" t="str">
        <f>'Imp Refined NYC'!E153</f>
        <v>IMPDSLP31</v>
      </c>
      <c r="D356" s="158" t="str">
        <f>'Imp Refined NYC'!F153</f>
        <v>Imported Distillate-Low Sulfur Highway Diesel (500 ppm), PADD 3, Step 1</v>
      </c>
      <c r="E356" s="197" t="str">
        <f>'Imp Refined NYC'!G153</f>
        <v>DSLP3</v>
      </c>
      <c r="F356" s="197"/>
      <c r="G356" s="187"/>
      <c r="H356" s="197"/>
      <c r="I356" s="197">
        <v>1.0049999999999999</v>
      </c>
      <c r="J356" s="197">
        <v>1.0049999999999999</v>
      </c>
      <c r="K356" s="195">
        <f>'Imp Refined NYC'!M153</f>
        <v>11.717940839055876</v>
      </c>
      <c r="L356" s="195" t="e">
        <f>'Imp Refined NYC'!N153</f>
        <v>#REF!</v>
      </c>
      <c r="M356" s="195" t="e">
        <f>'Imp Refined NYC'!O153</f>
        <v>#REF!</v>
      </c>
      <c r="N356" s="195" t="e">
        <f>'Imp Refined NYC'!P153</f>
        <v>#REF!</v>
      </c>
      <c r="O356" s="195" t="e">
        <f>'Imp Refined NYC'!Q153</f>
        <v>#REF!</v>
      </c>
      <c r="P356" s="195" t="e">
        <f>'Imp Refined NYC'!R153</f>
        <v>#REF!</v>
      </c>
      <c r="Q356" s="195" t="e">
        <f>'Imp Refined NYC'!S153</f>
        <v>#REF!</v>
      </c>
      <c r="R356" s="195" t="e">
        <f>'Imp Refined NYC'!T153</f>
        <v>#REF!</v>
      </c>
      <c r="S356" s="195" t="e">
        <f>'Imp Refined NYC'!U153</f>
        <v>#REF!</v>
      </c>
      <c r="T356" s="195" t="e">
        <f>'Imp Refined NYC'!V153</f>
        <v>#REF!</v>
      </c>
      <c r="U356" s="187"/>
      <c r="V356" s="187">
        <f>'Imp Refined NYC'!AF153</f>
        <v>1794542.9558552499</v>
      </c>
      <c r="W356" s="187">
        <f>'Imp Refined NYC'!AG153</f>
        <v>1794542.9558552499</v>
      </c>
      <c r="X356" s="187">
        <f>'Imp Refined NYC'!AH153</f>
        <v>1794542.9558552499</v>
      </c>
      <c r="Y356" s="187">
        <f>'Imp Refined NYC'!AI153</f>
        <v>1794542.9558552499</v>
      </c>
      <c r="Z356" s="187"/>
      <c r="AA356" s="187"/>
      <c r="AB356" s="187"/>
      <c r="AC356" s="187"/>
      <c r="AD356" s="187"/>
      <c r="AE356" s="187"/>
      <c r="AF356" s="195"/>
      <c r="AG356" s="197"/>
      <c r="AH356" s="197"/>
      <c r="BC356" s="147"/>
      <c r="BD356" s="147"/>
      <c r="BE356" s="147"/>
      <c r="BF356" s="147"/>
      <c r="BG356" s="147"/>
    </row>
    <row r="357" spans="2:59">
      <c r="B357" s="158" t="str">
        <f>Technologies!B$335</f>
        <v>R0,R1,R2,R3,R4,R5,R6</v>
      </c>
      <c r="C357" s="158" t="str">
        <f>'Imp Refined NYC'!E154</f>
        <v>IMPDSLP32</v>
      </c>
      <c r="D357" s="158" t="str">
        <f>'Imp Refined NYC'!F154</f>
        <v>Imported Distillate-Low Sulfur Highway Diesel (500 ppm), PADD 3, Step 2</v>
      </c>
      <c r="E357" s="197" t="str">
        <f>'Imp Refined NYC'!G154</f>
        <v>DSLP3</v>
      </c>
      <c r="F357" s="197"/>
      <c r="G357" s="187"/>
      <c r="H357" s="197"/>
      <c r="I357" s="197">
        <v>1.0049999999999999</v>
      </c>
      <c r="J357" s="197">
        <v>1.0049999999999999</v>
      </c>
      <c r="K357" s="195">
        <f>'Imp Refined NYC'!M154</f>
        <v>12.087981076078693</v>
      </c>
      <c r="L357" s="195" t="e">
        <f>'Imp Refined NYC'!N154</f>
        <v>#REF!</v>
      </c>
      <c r="M357" s="195" t="e">
        <f>'Imp Refined NYC'!O154</f>
        <v>#REF!</v>
      </c>
      <c r="N357" s="195" t="e">
        <f>'Imp Refined NYC'!P154</f>
        <v>#REF!</v>
      </c>
      <c r="O357" s="195" t="e">
        <f>'Imp Refined NYC'!Q154</f>
        <v>#REF!</v>
      </c>
      <c r="P357" s="195" t="e">
        <f>'Imp Refined NYC'!R154</f>
        <v>#REF!</v>
      </c>
      <c r="Q357" s="195" t="e">
        <f>'Imp Refined NYC'!S154</f>
        <v>#REF!</v>
      </c>
      <c r="R357" s="195" t="e">
        <f>'Imp Refined NYC'!T154</f>
        <v>#REF!</v>
      </c>
      <c r="S357" s="195" t="e">
        <f>'Imp Refined NYC'!U154</f>
        <v>#REF!</v>
      </c>
      <c r="T357" s="195" t="e">
        <f>'Imp Refined NYC'!V154</f>
        <v>#REF!</v>
      </c>
      <c r="U357" s="187"/>
      <c r="V357" s="187">
        <f>'Imp Refined NYC'!AF154</f>
        <v>224317.8694819056</v>
      </c>
      <c r="W357" s="187">
        <f>'Imp Refined NYC'!AG154</f>
        <v>224317.8694819056</v>
      </c>
      <c r="X357" s="187">
        <f>'Imp Refined NYC'!AH154</f>
        <v>224317.8694819056</v>
      </c>
      <c r="Y357" s="187">
        <f>'Imp Refined NYC'!AI154</f>
        <v>224317.8694819056</v>
      </c>
      <c r="Z357" s="187"/>
      <c r="AA357" s="187"/>
      <c r="AB357" s="187"/>
      <c r="AC357" s="187"/>
      <c r="AD357" s="187"/>
      <c r="AE357" s="187"/>
      <c r="AF357" s="195"/>
      <c r="AG357" s="197"/>
      <c r="AH357" s="197"/>
      <c r="BC357" s="147"/>
      <c r="BD357" s="147"/>
      <c r="BE357" s="147"/>
      <c r="BF357" s="147"/>
      <c r="BG357" s="147"/>
    </row>
    <row r="358" spans="2:59">
      <c r="B358" s="158" t="str">
        <f>Technologies!B$336</f>
        <v>R0,R1,R2,R3,R4,R5,R6</v>
      </c>
      <c r="C358" s="158" t="str">
        <f>'Imp Refined NYC'!E155</f>
        <v>IMPDSLP34</v>
      </c>
      <c r="D358" s="158" t="str">
        <f>'Imp Refined NYC'!F155</f>
        <v>Imported Distillate-Low Sulfur Highway Diesel (500 ppm), PADD 3, Step 4</v>
      </c>
      <c r="E358" s="197" t="str">
        <f>'Imp Refined NYC'!G155</f>
        <v>DSLP3</v>
      </c>
      <c r="F358" s="197"/>
      <c r="G358" s="187"/>
      <c r="H358" s="197"/>
      <c r="I358" s="197">
        <v>1.0049999999999999</v>
      </c>
      <c r="J358" s="197">
        <v>1.0049999999999999</v>
      </c>
      <c r="K358" s="195">
        <f>'Imp Refined NYC'!M155</f>
        <v>13.44479527849569</v>
      </c>
      <c r="L358" s="195" t="e">
        <f>'Imp Refined NYC'!N155</f>
        <v>#REF!</v>
      </c>
      <c r="M358" s="195" t="e">
        <f>'Imp Refined NYC'!O155</f>
        <v>#REF!</v>
      </c>
      <c r="N358" s="195" t="e">
        <f>'Imp Refined NYC'!P155</f>
        <v>#REF!</v>
      </c>
      <c r="O358" s="195" t="e">
        <f>'Imp Refined NYC'!Q155</f>
        <v>#REF!</v>
      </c>
      <c r="P358" s="195" t="e">
        <f>'Imp Refined NYC'!R155</f>
        <v>#REF!</v>
      </c>
      <c r="Q358" s="195" t="e">
        <f>'Imp Refined NYC'!S155</f>
        <v>#REF!</v>
      </c>
      <c r="R358" s="195" t="e">
        <f>'Imp Refined NYC'!T155</f>
        <v>#REF!</v>
      </c>
      <c r="S358" s="195" t="e">
        <f>'Imp Refined NYC'!U155</f>
        <v>#REF!</v>
      </c>
      <c r="T358" s="195" t="e">
        <f>'Imp Refined NYC'!V155</f>
        <v>#REF!</v>
      </c>
      <c r="U358" s="187"/>
      <c r="V358" s="187">
        <f>'Imp Refined NYC'!AF155</f>
        <v>448635.73896381306</v>
      </c>
      <c r="W358" s="187">
        <f>'Imp Refined NYC'!AG155</f>
        <v>448635.73896381306</v>
      </c>
      <c r="X358" s="187">
        <f>'Imp Refined NYC'!AH155</f>
        <v>448635.73896381306</v>
      </c>
      <c r="Y358" s="187">
        <f>'Imp Refined NYC'!AI155</f>
        <v>448635.73896381306</v>
      </c>
      <c r="Z358" s="187"/>
      <c r="AA358" s="187"/>
      <c r="AB358" s="187"/>
      <c r="AC358" s="187"/>
      <c r="AD358" s="187"/>
      <c r="AE358" s="187"/>
      <c r="AF358" s="195"/>
      <c r="AG358" s="197"/>
      <c r="AH358" s="197"/>
      <c r="BC358" s="147"/>
      <c r="BD358" s="147"/>
      <c r="BE358" s="147"/>
      <c r="BF358" s="147"/>
      <c r="BG358" s="147"/>
    </row>
    <row r="359" spans="2:59">
      <c r="B359" s="158" t="str">
        <f>Technologies!B$337</f>
        <v>R0,R1,R2,R3,R4,R5,R6</v>
      </c>
      <c r="C359" s="158" t="str">
        <f>'Imp Refined NYC'!E156</f>
        <v>IMPDSLP35</v>
      </c>
      <c r="D359" s="158" t="str">
        <f>'Imp Refined NYC'!F156</f>
        <v>Imported Distillate-Low Sulfur Highway Diesel (500 ppm), PADD 3, Step 5</v>
      </c>
      <c r="E359" s="197" t="str">
        <f>'Imp Refined NYC'!G156</f>
        <v>DSLP3</v>
      </c>
      <c r="F359" s="197"/>
      <c r="G359" s="187"/>
      <c r="H359" s="197"/>
      <c r="I359" s="197">
        <v>1.0049999999999999</v>
      </c>
      <c r="J359" s="197">
        <v>1.0049999999999999</v>
      </c>
      <c r="K359" s="195">
        <f>'Imp Refined NYC'!M156</f>
        <v>16.035076937655411</v>
      </c>
      <c r="L359" s="195" t="e">
        <f>'Imp Refined NYC'!N156</f>
        <v>#REF!</v>
      </c>
      <c r="M359" s="195" t="e">
        <f>'Imp Refined NYC'!O156</f>
        <v>#REF!</v>
      </c>
      <c r="N359" s="195" t="e">
        <f>'Imp Refined NYC'!P156</f>
        <v>#REF!</v>
      </c>
      <c r="O359" s="195" t="e">
        <f>'Imp Refined NYC'!Q156</f>
        <v>#REF!</v>
      </c>
      <c r="P359" s="195" t="e">
        <f>'Imp Refined NYC'!R156</f>
        <v>#REF!</v>
      </c>
      <c r="Q359" s="195" t="e">
        <f>'Imp Refined NYC'!S156</f>
        <v>#REF!</v>
      </c>
      <c r="R359" s="195" t="e">
        <f>'Imp Refined NYC'!T156</f>
        <v>#REF!</v>
      </c>
      <c r="S359" s="195" t="e">
        <f>'Imp Refined NYC'!U156</f>
        <v>#REF!</v>
      </c>
      <c r="T359" s="195" t="e">
        <f>'Imp Refined NYC'!V156</f>
        <v>#REF!</v>
      </c>
      <c r="U359" s="187"/>
      <c r="V359" s="187">
        <f>'Imp Refined NYC'!AF156</f>
        <v>1794542.9558552485</v>
      </c>
      <c r="W359" s="187">
        <f>'Imp Refined NYC'!AG156</f>
        <v>1794542.9558552485</v>
      </c>
      <c r="X359" s="187">
        <f>'Imp Refined NYC'!AH156</f>
        <v>1794542.9558552485</v>
      </c>
      <c r="Y359" s="187">
        <f>'Imp Refined NYC'!AI156</f>
        <v>1794542.9558552485</v>
      </c>
      <c r="Z359" s="187"/>
      <c r="AA359" s="187"/>
      <c r="AB359" s="187"/>
      <c r="AC359" s="187"/>
      <c r="AD359" s="187"/>
      <c r="AE359" s="187"/>
      <c r="AF359" s="195"/>
      <c r="AG359" s="197"/>
      <c r="AH359" s="197"/>
      <c r="BC359" s="147"/>
      <c r="BD359" s="147"/>
      <c r="BE359" s="147"/>
      <c r="BF359" s="147"/>
      <c r="BG359" s="147"/>
    </row>
    <row r="360" spans="2:59">
      <c r="B360" s="158" t="str">
        <f>Technologies!B$338</f>
        <v>R0,R1,R2,R3,R4,R5,R6</v>
      </c>
      <c r="C360" s="158" t="str">
        <f>'Imp Refined NYC'!E157</f>
        <v>IMPRFLP33</v>
      </c>
      <c r="D360" s="158" t="str">
        <f>'Imp Refined NYC'!F157</f>
        <v>Imported Low Sulfur Residual Fuel Oil, PADD 3, Step 3</v>
      </c>
      <c r="E360" s="197" t="str">
        <f>'Imp Refined NYC'!G157</f>
        <v>RFLP3</v>
      </c>
      <c r="F360" s="197"/>
      <c r="G360" s="187"/>
      <c r="H360" s="197"/>
      <c r="I360" s="197">
        <v>1.0049999999999999</v>
      </c>
      <c r="J360" s="197">
        <v>1.0049999999999999</v>
      </c>
      <c r="K360" s="195">
        <f>'Imp Refined NYC'!M157</f>
        <v>8.5425681327705032</v>
      </c>
      <c r="L360" s="195" t="e">
        <f>'Imp Refined NYC'!N157</f>
        <v>#REF!</v>
      </c>
      <c r="M360" s="195" t="e">
        <f>'Imp Refined NYC'!O157</f>
        <v>#REF!</v>
      </c>
      <c r="N360" s="195" t="e">
        <f>'Imp Refined NYC'!P157</f>
        <v>#REF!</v>
      </c>
      <c r="O360" s="195" t="e">
        <f>'Imp Refined NYC'!Q157</f>
        <v>#REF!</v>
      </c>
      <c r="P360" s="195" t="e">
        <f>'Imp Refined NYC'!R157</f>
        <v>#REF!</v>
      </c>
      <c r="Q360" s="195" t="e">
        <f>'Imp Refined NYC'!S157</f>
        <v>#REF!</v>
      </c>
      <c r="R360" s="195" t="e">
        <f>'Imp Refined NYC'!T157</f>
        <v>#REF!</v>
      </c>
      <c r="S360" s="195" t="e">
        <f>'Imp Refined NYC'!U157</f>
        <v>#REF!</v>
      </c>
      <c r="T360" s="195" t="e">
        <f>'Imp Refined NYC'!V157</f>
        <v>#REF!</v>
      </c>
      <c r="U360" s="187"/>
      <c r="V360" s="187">
        <f>'Imp Refined NYC'!AF157</f>
        <v>242109.26101849694</v>
      </c>
      <c r="W360" s="187">
        <f>'Imp Refined NYC'!AG157</f>
        <v>242109.26101849694</v>
      </c>
      <c r="X360" s="187">
        <f>'Imp Refined NYC'!AH157</f>
        <v>242109.26101849694</v>
      </c>
      <c r="Y360" s="187">
        <f>'Imp Refined NYC'!AI157</f>
        <v>242109.26101849694</v>
      </c>
      <c r="Z360" s="187"/>
      <c r="AA360" s="187"/>
      <c r="AB360" s="187"/>
      <c r="AC360" s="187"/>
      <c r="AD360" s="187"/>
      <c r="AE360" s="187"/>
      <c r="AF360" s="195"/>
      <c r="AG360" s="197"/>
      <c r="AH360" s="197"/>
      <c r="BC360" s="147"/>
      <c r="BD360" s="147"/>
      <c r="BE360" s="147"/>
      <c r="BF360" s="147"/>
      <c r="BG360" s="147"/>
    </row>
    <row r="361" spans="2:59">
      <c r="B361" s="158" t="str">
        <f>Technologies!B$339</f>
        <v>R0,R1,R2,R3,R4,R5,R6</v>
      </c>
      <c r="C361" s="158" t="str">
        <f>'Imp Refined NYC'!E158</f>
        <v>IMPRFLP31</v>
      </c>
      <c r="D361" s="158" t="str">
        <f>'Imp Refined NYC'!F158</f>
        <v>Imported Low Sulfur Residual Fuel Oil, PADD 3, Step 1</v>
      </c>
      <c r="E361" s="197" t="str">
        <f>'Imp Refined NYC'!G158</f>
        <v>RFLP3</v>
      </c>
      <c r="F361" s="197"/>
      <c r="G361" s="187"/>
      <c r="H361" s="197"/>
      <c r="I361" s="197">
        <v>1.0049999999999999</v>
      </c>
      <c r="J361" s="197">
        <v>1.0049999999999999</v>
      </c>
      <c r="K361" s="195">
        <f>'Imp Refined NYC'!M158</f>
        <v>8.1154397261319779</v>
      </c>
      <c r="L361" s="195" t="e">
        <f>'Imp Refined NYC'!N158</f>
        <v>#REF!</v>
      </c>
      <c r="M361" s="195" t="e">
        <f>'Imp Refined NYC'!O158</f>
        <v>#REF!</v>
      </c>
      <c r="N361" s="195" t="e">
        <f>'Imp Refined NYC'!P158</f>
        <v>#REF!</v>
      </c>
      <c r="O361" s="195" t="e">
        <f>'Imp Refined NYC'!Q158</f>
        <v>#REF!</v>
      </c>
      <c r="P361" s="195" t="e">
        <f>'Imp Refined NYC'!R158</f>
        <v>#REF!</v>
      </c>
      <c r="Q361" s="195" t="e">
        <f>'Imp Refined NYC'!S158</f>
        <v>#REF!</v>
      </c>
      <c r="R361" s="195" t="e">
        <f>'Imp Refined NYC'!T158</f>
        <v>#REF!</v>
      </c>
      <c r="S361" s="195" t="e">
        <f>'Imp Refined NYC'!U158</f>
        <v>#REF!</v>
      </c>
      <c r="T361" s="195" t="e">
        <f>'Imp Refined NYC'!V158</f>
        <v>#REF!</v>
      </c>
      <c r="U361" s="187"/>
      <c r="V361" s="187">
        <f>'Imp Refined NYC'!AF158</f>
        <v>1936874.088147975</v>
      </c>
      <c r="W361" s="187">
        <f>'Imp Refined NYC'!AG158</f>
        <v>1936874.088147975</v>
      </c>
      <c r="X361" s="187">
        <f>'Imp Refined NYC'!AH158</f>
        <v>1936874.088147975</v>
      </c>
      <c r="Y361" s="187">
        <f>'Imp Refined NYC'!AI158</f>
        <v>1936874.088147975</v>
      </c>
      <c r="Z361" s="187"/>
      <c r="AA361" s="187"/>
      <c r="AB361" s="187"/>
      <c r="AC361" s="187"/>
      <c r="AD361" s="187"/>
      <c r="AE361" s="187"/>
      <c r="AF361" s="195"/>
      <c r="AG361" s="197"/>
      <c r="AH361" s="197"/>
      <c r="BC361" s="147"/>
      <c r="BD361" s="147"/>
      <c r="BE361" s="147"/>
      <c r="BF361" s="147"/>
      <c r="BG361" s="147"/>
    </row>
    <row r="362" spans="2:59">
      <c r="B362" s="158" t="str">
        <f>Technologies!B$340</f>
        <v>R0,R1,R2,R3,R4,R5,R6</v>
      </c>
      <c r="C362" s="158" t="str">
        <f>'Imp Refined NYC'!E159</f>
        <v>IMPRFLP32</v>
      </c>
      <c r="D362" s="158" t="str">
        <f>'Imp Refined NYC'!F159</f>
        <v>Imported Low Sulfur Residual Fuel Oil, PADD 3, Step 2</v>
      </c>
      <c r="E362" s="197" t="str">
        <f>'Imp Refined NYC'!G159</f>
        <v>RFLP3</v>
      </c>
      <c r="F362" s="197"/>
      <c r="G362" s="187"/>
      <c r="H362" s="197"/>
      <c r="I362" s="197">
        <v>1.0049999999999999</v>
      </c>
      <c r="J362" s="197">
        <v>1.0049999999999999</v>
      </c>
      <c r="K362" s="195">
        <f>'Imp Refined NYC'!M159</f>
        <v>8.3717167701150927</v>
      </c>
      <c r="L362" s="195" t="e">
        <f>'Imp Refined NYC'!N159</f>
        <v>#REF!</v>
      </c>
      <c r="M362" s="195" t="e">
        <f>'Imp Refined NYC'!O159</f>
        <v>#REF!</v>
      </c>
      <c r="N362" s="195" t="e">
        <f>'Imp Refined NYC'!P159</f>
        <v>#REF!</v>
      </c>
      <c r="O362" s="195" t="e">
        <f>'Imp Refined NYC'!Q159</f>
        <v>#REF!</v>
      </c>
      <c r="P362" s="195" t="e">
        <f>'Imp Refined NYC'!R159</f>
        <v>#REF!</v>
      </c>
      <c r="Q362" s="195" t="e">
        <f>'Imp Refined NYC'!S159</f>
        <v>#REF!</v>
      </c>
      <c r="R362" s="195" t="e">
        <f>'Imp Refined NYC'!T159</f>
        <v>#REF!</v>
      </c>
      <c r="S362" s="195" t="e">
        <f>'Imp Refined NYC'!U159</f>
        <v>#REF!</v>
      </c>
      <c r="T362" s="195" t="e">
        <f>'Imp Refined NYC'!V159</f>
        <v>#REF!</v>
      </c>
      <c r="U362" s="187"/>
      <c r="V362" s="187">
        <f>'Imp Refined NYC'!AF159</f>
        <v>242109.26101849647</v>
      </c>
      <c r="W362" s="187">
        <f>'Imp Refined NYC'!AG159</f>
        <v>242109.26101849647</v>
      </c>
      <c r="X362" s="187">
        <f>'Imp Refined NYC'!AH159</f>
        <v>242109.26101849647</v>
      </c>
      <c r="Y362" s="187">
        <f>'Imp Refined NYC'!AI159</f>
        <v>242109.26101849647</v>
      </c>
      <c r="Z362" s="187"/>
      <c r="AA362" s="187"/>
      <c r="AB362" s="187"/>
      <c r="AC362" s="187"/>
      <c r="AD362" s="187"/>
      <c r="AE362" s="187"/>
      <c r="AF362" s="195"/>
      <c r="AG362" s="197"/>
      <c r="AH362" s="197"/>
      <c r="BC362" s="147"/>
      <c r="BD362" s="147"/>
      <c r="BE362" s="147"/>
      <c r="BF362" s="147"/>
      <c r="BG362" s="147"/>
    </row>
    <row r="363" spans="2:59">
      <c r="B363" s="158" t="str">
        <f>Technologies!B$341</f>
        <v>R0,R1,R2,R3,R4,R5,R6</v>
      </c>
      <c r="C363" s="158" t="str">
        <f>'Imp Refined NYC'!E160</f>
        <v>IMPRFLP34</v>
      </c>
      <c r="D363" s="158" t="str">
        <f>'Imp Refined NYC'!F160</f>
        <v>Imported Low Sulfur Residual Fuel Oil, PADD 3, Step 4</v>
      </c>
      <c r="E363" s="197" t="str">
        <f>'Imp Refined NYC'!G160</f>
        <v>RFLP3</v>
      </c>
      <c r="F363" s="197"/>
      <c r="G363" s="187"/>
      <c r="H363" s="197"/>
      <c r="I363" s="197">
        <v>1.0049999999999999</v>
      </c>
      <c r="J363" s="197">
        <v>1.0049999999999999</v>
      </c>
      <c r="K363" s="195">
        <f>'Imp Refined NYC'!M160</f>
        <v>9.3113992647198476</v>
      </c>
      <c r="L363" s="195" t="e">
        <f>'Imp Refined NYC'!N160</f>
        <v>#REF!</v>
      </c>
      <c r="M363" s="195" t="e">
        <f>'Imp Refined NYC'!O160</f>
        <v>#REF!</v>
      </c>
      <c r="N363" s="195" t="e">
        <f>'Imp Refined NYC'!P160</f>
        <v>#REF!</v>
      </c>
      <c r="O363" s="195" t="e">
        <f>'Imp Refined NYC'!Q160</f>
        <v>#REF!</v>
      </c>
      <c r="P363" s="195" t="e">
        <f>'Imp Refined NYC'!R160</f>
        <v>#REF!</v>
      </c>
      <c r="Q363" s="195" t="e">
        <f>'Imp Refined NYC'!S160</f>
        <v>#REF!</v>
      </c>
      <c r="R363" s="195" t="e">
        <f>'Imp Refined NYC'!T160</f>
        <v>#REF!</v>
      </c>
      <c r="S363" s="195" t="e">
        <f>'Imp Refined NYC'!U160</f>
        <v>#REF!</v>
      </c>
      <c r="T363" s="195" t="e">
        <f>'Imp Refined NYC'!V160</f>
        <v>#REF!</v>
      </c>
      <c r="U363" s="187"/>
      <c r="V363" s="187">
        <f>'Imp Refined NYC'!AF160</f>
        <v>484218.52203699341</v>
      </c>
      <c r="W363" s="187">
        <f>'Imp Refined NYC'!AG160</f>
        <v>484218.52203699341</v>
      </c>
      <c r="X363" s="187">
        <f>'Imp Refined NYC'!AH160</f>
        <v>484218.52203699341</v>
      </c>
      <c r="Y363" s="187">
        <f>'Imp Refined NYC'!AI160</f>
        <v>484218.52203699341</v>
      </c>
      <c r="Z363" s="187"/>
      <c r="AA363" s="187"/>
      <c r="AB363" s="187"/>
      <c r="AC363" s="187"/>
      <c r="AD363" s="187"/>
      <c r="AE363" s="187"/>
      <c r="AF363" s="195"/>
      <c r="AG363" s="197"/>
      <c r="AH363" s="197"/>
      <c r="BC363" s="147"/>
      <c r="BD363" s="147"/>
      <c r="BE363" s="147"/>
      <c r="BF363" s="147"/>
      <c r="BG363" s="147"/>
    </row>
    <row r="364" spans="2:59">
      <c r="B364" s="158" t="str">
        <f>Technologies!B$342</f>
        <v>R0,R1,R2,R3,R4,R5,R6</v>
      </c>
      <c r="C364" s="158" t="str">
        <f>'Imp Refined NYC'!E161</f>
        <v>IMPRFLP35</v>
      </c>
      <c r="D364" s="158" t="str">
        <f>'Imp Refined NYC'!F161</f>
        <v>Imported Low Sulfur Residual Fuel Oil, PADD 3, Step 5</v>
      </c>
      <c r="E364" s="197" t="str">
        <f>'Imp Refined NYC'!G161</f>
        <v>RFLP3</v>
      </c>
      <c r="F364" s="197"/>
      <c r="G364" s="187"/>
      <c r="H364" s="197"/>
      <c r="I364" s="197">
        <v>1.0049999999999999</v>
      </c>
      <c r="J364" s="197">
        <v>1.0049999999999999</v>
      </c>
      <c r="K364" s="195">
        <f>'Imp Refined NYC'!M161</f>
        <v>11.105338572601656</v>
      </c>
      <c r="L364" s="195" t="e">
        <f>'Imp Refined NYC'!N161</f>
        <v>#REF!</v>
      </c>
      <c r="M364" s="195" t="e">
        <f>'Imp Refined NYC'!O161</f>
        <v>#REF!</v>
      </c>
      <c r="N364" s="195" t="e">
        <f>'Imp Refined NYC'!P161</f>
        <v>#REF!</v>
      </c>
      <c r="O364" s="195" t="e">
        <f>'Imp Refined NYC'!Q161</f>
        <v>#REF!</v>
      </c>
      <c r="P364" s="195" t="e">
        <f>'Imp Refined NYC'!R161</f>
        <v>#REF!</v>
      </c>
      <c r="Q364" s="195" t="e">
        <f>'Imp Refined NYC'!S161</f>
        <v>#REF!</v>
      </c>
      <c r="R364" s="195" t="e">
        <f>'Imp Refined NYC'!T161</f>
        <v>#REF!</v>
      </c>
      <c r="S364" s="195" t="e">
        <f>'Imp Refined NYC'!U161</f>
        <v>#REF!</v>
      </c>
      <c r="T364" s="195" t="e">
        <f>'Imp Refined NYC'!V161</f>
        <v>#REF!</v>
      </c>
      <c r="U364" s="187"/>
      <c r="V364" s="187">
        <f>'Imp Refined NYC'!AF161</f>
        <v>1936874.088147975</v>
      </c>
      <c r="W364" s="187">
        <f>'Imp Refined NYC'!AG161</f>
        <v>1936874.088147975</v>
      </c>
      <c r="X364" s="187">
        <f>'Imp Refined NYC'!AH161</f>
        <v>1936874.088147975</v>
      </c>
      <c r="Y364" s="187">
        <f>'Imp Refined NYC'!AI161</f>
        <v>1936874.088147975</v>
      </c>
      <c r="Z364" s="187"/>
      <c r="AA364" s="187"/>
      <c r="AB364" s="187"/>
      <c r="AC364" s="187"/>
      <c r="AD364" s="187"/>
      <c r="AE364" s="187"/>
      <c r="AF364" s="195"/>
      <c r="AG364" s="197"/>
      <c r="AH364" s="197"/>
      <c r="BC364" s="147"/>
      <c r="BD364" s="147"/>
      <c r="BE364" s="147"/>
      <c r="BF364" s="147"/>
      <c r="BG364" s="147"/>
    </row>
    <row r="365" spans="2:59">
      <c r="B365" s="158" t="str">
        <f>Technologies!B$343</f>
        <v>*R0,R1,R2,R3,R4,R5,R6</v>
      </c>
      <c r="C365" s="158" t="str">
        <f>'Imp Refined NYC'!E162</f>
        <v>IMPRFHP33</v>
      </c>
      <c r="D365" s="158" t="str">
        <f>'Imp Refined NYC'!F162</f>
        <v>Imported High Sulfur Residual Fuel Oil, PADD 3, Step 3</v>
      </c>
      <c r="E365" s="197" t="str">
        <f>'Imp Refined NYC'!G162</f>
        <v>RFHP3</v>
      </c>
      <c r="F365" s="197"/>
      <c r="G365" s="187"/>
      <c r="H365" s="197"/>
      <c r="I365" s="197">
        <v>1.0049999999999999</v>
      </c>
      <c r="J365" s="197">
        <v>1.0049999999999999</v>
      </c>
      <c r="K365" s="195">
        <f>'Imp Refined NYC'!M162</f>
        <v>8.5018528839994776</v>
      </c>
      <c r="L365" s="195" t="e">
        <f>'Imp Refined NYC'!N162</f>
        <v>#REF!</v>
      </c>
      <c r="M365" s="195" t="e">
        <f>'Imp Refined NYC'!O162</f>
        <v>#REF!</v>
      </c>
      <c r="N365" s="195" t="e">
        <f>'Imp Refined NYC'!P162</f>
        <v>#REF!</v>
      </c>
      <c r="O365" s="195" t="e">
        <f>'Imp Refined NYC'!Q162</f>
        <v>#REF!</v>
      </c>
      <c r="P365" s="195" t="e">
        <f>'Imp Refined NYC'!R162</f>
        <v>#REF!</v>
      </c>
      <c r="Q365" s="195" t="e">
        <f>'Imp Refined NYC'!S162</f>
        <v>#REF!</v>
      </c>
      <c r="R365" s="195" t="e">
        <f>'Imp Refined NYC'!T162</f>
        <v>#REF!</v>
      </c>
      <c r="S365" s="195" t="e">
        <f>'Imp Refined NYC'!U162</f>
        <v>#REF!</v>
      </c>
      <c r="T365" s="195" t="e">
        <f>'Imp Refined NYC'!V162</f>
        <v>#REF!</v>
      </c>
      <c r="U365" s="187"/>
      <c r="V365" s="187">
        <f>'Imp Refined NYC'!AF162</f>
        <v>242109.26101849694</v>
      </c>
      <c r="W365" s="187">
        <f>'Imp Refined NYC'!AG162</f>
        <v>242109.26101849694</v>
      </c>
      <c r="X365" s="187">
        <f>'Imp Refined NYC'!AH162</f>
        <v>242109.26101849694</v>
      </c>
      <c r="Y365" s="187">
        <f>'Imp Refined NYC'!AI162</f>
        <v>242109.26101849694</v>
      </c>
      <c r="Z365" s="187"/>
      <c r="AA365" s="187"/>
      <c r="AB365" s="187"/>
      <c r="AC365" s="187"/>
      <c r="AD365" s="187"/>
      <c r="AE365" s="187"/>
      <c r="AF365" s="195"/>
      <c r="AG365" s="197"/>
      <c r="AH365" s="197"/>
      <c r="BC365" s="147"/>
      <c r="BD365" s="147"/>
      <c r="BE365" s="147"/>
      <c r="BF365" s="147"/>
      <c r="BG365" s="147"/>
    </row>
    <row r="366" spans="2:59">
      <c r="B366" s="158" t="str">
        <f>Technologies!B$344</f>
        <v>*R0,R1,R2,R3,R4,R5,R6</v>
      </c>
      <c r="C366" s="158" t="str">
        <f>'Imp Refined NYC'!E163</f>
        <v>IMPRFHP31</v>
      </c>
      <c r="D366" s="158" t="str">
        <f>'Imp Refined NYC'!F163</f>
        <v>Imported High Sulfur Residual Fuel Oil, PADD 3, Step 1</v>
      </c>
      <c r="E366" s="197" t="str">
        <f>'Imp Refined NYC'!G163</f>
        <v>RFHP3</v>
      </c>
      <c r="F366" s="197"/>
      <c r="G366" s="187"/>
      <c r="H366" s="197"/>
      <c r="I366" s="197">
        <v>1.0049999999999999</v>
      </c>
      <c r="J366" s="197">
        <v>1.0049999999999999</v>
      </c>
      <c r="K366" s="195">
        <f>'Imp Refined NYC'!M163</f>
        <v>8.0767602397995031</v>
      </c>
      <c r="L366" s="195" t="e">
        <f>'Imp Refined NYC'!N163</f>
        <v>#REF!</v>
      </c>
      <c r="M366" s="195" t="e">
        <f>'Imp Refined NYC'!O163</f>
        <v>#REF!</v>
      </c>
      <c r="N366" s="195" t="e">
        <f>'Imp Refined NYC'!P163</f>
        <v>#REF!</v>
      </c>
      <c r="O366" s="195" t="e">
        <f>'Imp Refined NYC'!Q163</f>
        <v>#REF!</v>
      </c>
      <c r="P366" s="195" t="e">
        <f>'Imp Refined NYC'!R163</f>
        <v>#REF!</v>
      </c>
      <c r="Q366" s="195" t="e">
        <f>'Imp Refined NYC'!S163</f>
        <v>#REF!</v>
      </c>
      <c r="R366" s="195" t="e">
        <f>'Imp Refined NYC'!T163</f>
        <v>#REF!</v>
      </c>
      <c r="S366" s="195" t="e">
        <f>'Imp Refined NYC'!U163</f>
        <v>#REF!</v>
      </c>
      <c r="T366" s="195" t="e">
        <f>'Imp Refined NYC'!V163</f>
        <v>#REF!</v>
      </c>
      <c r="U366" s="187"/>
      <c r="V366" s="187">
        <f>'Imp Refined NYC'!AF163</f>
        <v>1936874.088147975</v>
      </c>
      <c r="W366" s="187">
        <f>'Imp Refined NYC'!AG163</f>
        <v>1936874.088147975</v>
      </c>
      <c r="X366" s="187">
        <f>'Imp Refined NYC'!AH163</f>
        <v>1936874.088147975</v>
      </c>
      <c r="Y366" s="187">
        <f>'Imp Refined NYC'!AI163</f>
        <v>1936874.088147975</v>
      </c>
      <c r="Z366" s="187"/>
      <c r="AA366" s="187"/>
      <c r="AB366" s="187"/>
      <c r="AC366" s="187"/>
      <c r="AD366" s="187"/>
      <c r="AE366" s="187"/>
      <c r="AF366" s="195"/>
      <c r="AG366" s="197"/>
      <c r="AH366" s="197"/>
      <c r="BC366" s="147"/>
      <c r="BD366" s="147"/>
      <c r="BE366" s="147"/>
      <c r="BF366" s="147"/>
      <c r="BG366" s="147"/>
    </row>
    <row r="367" spans="2:59">
      <c r="B367" s="158" t="str">
        <f>Technologies!B$345</f>
        <v>*R0,R1,R2,R3,R4,R5,R6</v>
      </c>
      <c r="C367" s="158" t="str">
        <f>'Imp Refined NYC'!E164</f>
        <v>IMPRFHP32</v>
      </c>
      <c r="D367" s="158" t="str">
        <f>'Imp Refined NYC'!F164</f>
        <v>Imported High Sulfur Residual Fuel Oil, PADD 3, Step 2</v>
      </c>
      <c r="E367" s="197" t="str">
        <f>'Imp Refined NYC'!G164</f>
        <v>RFHP3</v>
      </c>
      <c r="F367" s="197"/>
      <c r="G367" s="187"/>
      <c r="H367" s="197"/>
      <c r="I367" s="197">
        <v>1.0049999999999999</v>
      </c>
      <c r="J367" s="197">
        <v>1.0049999999999999</v>
      </c>
      <c r="K367" s="195">
        <f>'Imp Refined NYC'!M164</f>
        <v>8.3318158263194881</v>
      </c>
      <c r="L367" s="195" t="e">
        <f>'Imp Refined NYC'!N164</f>
        <v>#REF!</v>
      </c>
      <c r="M367" s="195" t="e">
        <f>'Imp Refined NYC'!O164</f>
        <v>#REF!</v>
      </c>
      <c r="N367" s="195" t="e">
        <f>'Imp Refined NYC'!P164</f>
        <v>#REF!</v>
      </c>
      <c r="O367" s="195" t="e">
        <f>'Imp Refined NYC'!Q164</f>
        <v>#REF!</v>
      </c>
      <c r="P367" s="195" t="e">
        <f>'Imp Refined NYC'!R164</f>
        <v>#REF!</v>
      </c>
      <c r="Q367" s="195" t="e">
        <f>'Imp Refined NYC'!S164</f>
        <v>#REF!</v>
      </c>
      <c r="R367" s="195" t="e">
        <f>'Imp Refined NYC'!T164</f>
        <v>#REF!</v>
      </c>
      <c r="S367" s="195" t="e">
        <f>'Imp Refined NYC'!U164</f>
        <v>#REF!</v>
      </c>
      <c r="T367" s="195" t="e">
        <f>'Imp Refined NYC'!V164</f>
        <v>#REF!</v>
      </c>
      <c r="U367" s="187"/>
      <c r="V367" s="187">
        <f>'Imp Refined NYC'!AF164</f>
        <v>242109.26101849647</v>
      </c>
      <c r="W367" s="187">
        <f>'Imp Refined NYC'!AG164</f>
        <v>242109.26101849647</v>
      </c>
      <c r="X367" s="187">
        <f>'Imp Refined NYC'!AH164</f>
        <v>242109.26101849647</v>
      </c>
      <c r="Y367" s="187">
        <f>'Imp Refined NYC'!AI164</f>
        <v>242109.26101849647</v>
      </c>
      <c r="Z367" s="187"/>
      <c r="AA367" s="187"/>
      <c r="AB367" s="187"/>
      <c r="AC367" s="187"/>
      <c r="AD367" s="187"/>
      <c r="AE367" s="187"/>
      <c r="AF367" s="195"/>
      <c r="AG367" s="197"/>
      <c r="AH367" s="197"/>
      <c r="BC367" s="147"/>
      <c r="BD367" s="147"/>
      <c r="BE367" s="147"/>
      <c r="BF367" s="147"/>
      <c r="BG367" s="147"/>
    </row>
    <row r="368" spans="2:59">
      <c r="B368" s="158" t="str">
        <f>Technologies!B$346</f>
        <v>*R0,R1,R2,R3,R4,R5,R6</v>
      </c>
      <c r="C368" s="158" t="str">
        <f>'Imp Refined NYC'!E165</f>
        <v>IMPRFHP34</v>
      </c>
      <c r="D368" s="158" t="str">
        <f>'Imp Refined NYC'!F165</f>
        <v>Imported High Sulfur Residual Fuel Oil, PADD 3, Step 4</v>
      </c>
      <c r="E368" s="197" t="str">
        <f>'Imp Refined NYC'!G165</f>
        <v>RFHP3</v>
      </c>
      <c r="F368" s="197"/>
      <c r="G368" s="187"/>
      <c r="H368" s="197"/>
      <c r="I368" s="197">
        <v>1.0049999999999999</v>
      </c>
      <c r="J368" s="197">
        <v>1.0049999999999999</v>
      </c>
      <c r="K368" s="195">
        <f>'Imp Refined NYC'!M165</f>
        <v>9.267019643559431</v>
      </c>
      <c r="L368" s="195" t="e">
        <f>'Imp Refined NYC'!N165</f>
        <v>#REF!</v>
      </c>
      <c r="M368" s="195" t="e">
        <f>'Imp Refined NYC'!O165</f>
        <v>#REF!</v>
      </c>
      <c r="N368" s="195" t="e">
        <f>'Imp Refined NYC'!P165</f>
        <v>#REF!</v>
      </c>
      <c r="O368" s="195" t="e">
        <f>'Imp Refined NYC'!Q165</f>
        <v>#REF!</v>
      </c>
      <c r="P368" s="195" t="e">
        <f>'Imp Refined NYC'!R165</f>
        <v>#REF!</v>
      </c>
      <c r="Q368" s="195" t="e">
        <f>'Imp Refined NYC'!S165</f>
        <v>#REF!</v>
      </c>
      <c r="R368" s="195" t="e">
        <f>'Imp Refined NYC'!T165</f>
        <v>#REF!</v>
      </c>
      <c r="S368" s="195" t="e">
        <f>'Imp Refined NYC'!U165</f>
        <v>#REF!</v>
      </c>
      <c r="T368" s="195" t="e">
        <f>'Imp Refined NYC'!V165</f>
        <v>#REF!</v>
      </c>
      <c r="U368" s="187"/>
      <c r="V368" s="187">
        <f>'Imp Refined NYC'!AF165</f>
        <v>484218.52203699341</v>
      </c>
      <c r="W368" s="187">
        <f>'Imp Refined NYC'!AG165</f>
        <v>484218.52203699341</v>
      </c>
      <c r="X368" s="187">
        <f>'Imp Refined NYC'!AH165</f>
        <v>484218.52203699341</v>
      </c>
      <c r="Y368" s="187">
        <f>'Imp Refined NYC'!AI165</f>
        <v>484218.52203699341</v>
      </c>
      <c r="Z368" s="187"/>
      <c r="AA368" s="187"/>
      <c r="AB368" s="187"/>
      <c r="AC368" s="187"/>
      <c r="AD368" s="187"/>
      <c r="AE368" s="187"/>
      <c r="AF368" s="195"/>
      <c r="AG368" s="197"/>
      <c r="AH368" s="197"/>
      <c r="BC368" s="147"/>
      <c r="BD368" s="147"/>
      <c r="BE368" s="147"/>
      <c r="BF368" s="147"/>
      <c r="BG368" s="147"/>
    </row>
    <row r="369" spans="2:59">
      <c r="B369" s="158" t="str">
        <f>Technologies!B$347</f>
        <v>*R0,R1,R2,R3,R4,R5,R6</v>
      </c>
      <c r="C369" s="158" t="str">
        <f>'Imp Refined NYC'!E166</f>
        <v>IMPRFHP35</v>
      </c>
      <c r="D369" s="158" t="str">
        <f>'Imp Refined NYC'!F166</f>
        <v>Imported High Sulfur Residual Fuel Oil, PADD 3, Step 5</v>
      </c>
      <c r="E369" s="197" t="str">
        <f>'Imp Refined NYC'!G166</f>
        <v>RFHP3</v>
      </c>
      <c r="F369" s="197"/>
      <c r="G369" s="187"/>
      <c r="H369" s="197"/>
      <c r="I369" s="197">
        <v>1.0049999999999999</v>
      </c>
      <c r="J369" s="197">
        <v>1.0049999999999999</v>
      </c>
      <c r="K369" s="195">
        <f>'Imp Refined NYC'!M166</f>
        <v>11.052408749199319</v>
      </c>
      <c r="L369" s="195" t="e">
        <f>'Imp Refined NYC'!N166</f>
        <v>#REF!</v>
      </c>
      <c r="M369" s="195" t="e">
        <f>'Imp Refined NYC'!O166</f>
        <v>#REF!</v>
      </c>
      <c r="N369" s="195" t="e">
        <f>'Imp Refined NYC'!P166</f>
        <v>#REF!</v>
      </c>
      <c r="O369" s="195" t="e">
        <f>'Imp Refined NYC'!Q166</f>
        <v>#REF!</v>
      </c>
      <c r="P369" s="195" t="e">
        <f>'Imp Refined NYC'!R166</f>
        <v>#REF!</v>
      </c>
      <c r="Q369" s="195" t="e">
        <f>'Imp Refined NYC'!S166</f>
        <v>#REF!</v>
      </c>
      <c r="R369" s="195" t="e">
        <f>'Imp Refined NYC'!T166</f>
        <v>#REF!</v>
      </c>
      <c r="S369" s="195" t="e">
        <f>'Imp Refined NYC'!U166</f>
        <v>#REF!</v>
      </c>
      <c r="T369" s="195" t="e">
        <f>'Imp Refined NYC'!V166</f>
        <v>#REF!</v>
      </c>
      <c r="U369" s="187"/>
      <c r="V369" s="187">
        <f>'Imp Refined NYC'!AF166</f>
        <v>1936874.088147975</v>
      </c>
      <c r="W369" s="187">
        <f>'Imp Refined NYC'!AG166</f>
        <v>1936874.088147975</v>
      </c>
      <c r="X369" s="187">
        <f>'Imp Refined NYC'!AH166</f>
        <v>1936874.088147975</v>
      </c>
      <c r="Y369" s="187">
        <f>'Imp Refined NYC'!AI166</f>
        <v>1936874.088147975</v>
      </c>
      <c r="Z369" s="187"/>
      <c r="AA369" s="187"/>
      <c r="AB369" s="187"/>
      <c r="AC369" s="187"/>
      <c r="AD369" s="187"/>
      <c r="AE369" s="187"/>
      <c r="AF369" s="195"/>
      <c r="AG369" s="197"/>
      <c r="AH369" s="197"/>
      <c r="BC369" s="147"/>
      <c r="BD369" s="147"/>
      <c r="BE369" s="147"/>
      <c r="BF369" s="147"/>
      <c r="BG369" s="147"/>
    </row>
    <row r="370" spans="2:59">
      <c r="B370" s="158" t="str">
        <f>Technologies!B$353</f>
        <v>*R0,R1,R2,R3,R4,R5,R6</v>
      </c>
      <c r="C370" s="158" t="str">
        <f>'Imp Refined NYC'!E172</f>
        <v>IMPLPGP33</v>
      </c>
      <c r="D370" s="158" t="str">
        <f>'Imp Refined NYC'!F172</f>
        <v>Imported LPG, PADD 3, Step 3</v>
      </c>
      <c r="E370" s="197" t="str">
        <f>'Imp Refined NYC'!G172</f>
        <v>LPGP3</v>
      </c>
      <c r="F370" s="197"/>
      <c r="G370" s="187"/>
      <c r="H370" s="197"/>
      <c r="I370" s="197">
        <v>1.0049999999999999</v>
      </c>
      <c r="J370" s="197">
        <v>1.0049999999999999</v>
      </c>
      <c r="K370" s="195">
        <f>'Imp Refined NYC'!M172</f>
        <v>12.818628614646682</v>
      </c>
      <c r="L370" s="195" t="e">
        <f>'Imp Refined NYC'!N172</f>
        <v>#REF!</v>
      </c>
      <c r="M370" s="195" t="e">
        <f>'Imp Refined NYC'!O172</f>
        <v>#REF!</v>
      </c>
      <c r="N370" s="195" t="e">
        <f>'Imp Refined NYC'!P172</f>
        <v>#REF!</v>
      </c>
      <c r="O370" s="195" t="e">
        <f>'Imp Refined NYC'!Q172</f>
        <v>#REF!</v>
      </c>
      <c r="P370" s="195" t="e">
        <f>'Imp Refined NYC'!R172</f>
        <v>#REF!</v>
      </c>
      <c r="Q370" s="195" t="e">
        <f>'Imp Refined NYC'!S172</f>
        <v>#REF!</v>
      </c>
      <c r="R370" s="195" t="e">
        <f>'Imp Refined NYC'!T172</f>
        <v>#REF!</v>
      </c>
      <c r="S370" s="195" t="e">
        <f>'Imp Refined NYC'!U172</f>
        <v>#REF!</v>
      </c>
      <c r="T370" s="195" t="e">
        <f>'Imp Refined NYC'!V172</f>
        <v>#REF!</v>
      </c>
      <c r="U370" s="187"/>
      <c r="V370" s="187">
        <f>'Imp Refined NYC'!AF172</f>
        <v>136978.31102955202</v>
      </c>
      <c r="W370" s="187">
        <f>'Imp Refined NYC'!AG172</f>
        <v>136978.31102955202</v>
      </c>
      <c r="X370" s="187">
        <f>'Imp Refined NYC'!AH172</f>
        <v>136978.31102955202</v>
      </c>
      <c r="Y370" s="187">
        <f>'Imp Refined NYC'!AI172</f>
        <v>136978.31102955202</v>
      </c>
      <c r="Z370" s="187"/>
      <c r="AA370" s="187"/>
      <c r="AB370" s="187"/>
      <c r="AC370" s="187"/>
      <c r="AD370" s="187"/>
      <c r="AE370" s="187"/>
      <c r="AF370" s="195"/>
      <c r="AG370" s="197"/>
      <c r="AH370" s="197"/>
      <c r="BC370" s="147"/>
      <c r="BD370" s="147"/>
      <c r="BE370" s="147"/>
      <c r="BF370" s="147"/>
      <c r="BG370" s="147"/>
    </row>
    <row r="371" spans="2:59">
      <c r="B371" s="158" t="str">
        <f>Technologies!B$354</f>
        <v>*R0,R1,R2,R3,R4,R5,R6</v>
      </c>
      <c r="C371" s="158" t="str">
        <f>'Imp Refined NYC'!E173</f>
        <v>IMPLPGP31</v>
      </c>
      <c r="D371" s="158" t="str">
        <f>'Imp Refined NYC'!F173</f>
        <v>Imported LPG, PADD 3, Step 1</v>
      </c>
      <c r="E371" s="197" t="str">
        <f>'Imp Refined NYC'!G173</f>
        <v>LPGP3</v>
      </c>
      <c r="F371" s="197"/>
      <c r="G371" s="187"/>
      <c r="H371" s="197"/>
      <c r="I371" s="197">
        <v>1.0049999999999999</v>
      </c>
      <c r="J371" s="197">
        <v>1.0049999999999999</v>
      </c>
      <c r="K371" s="195">
        <f>'Imp Refined NYC'!M173</f>
        <v>12.177697183914349</v>
      </c>
      <c r="L371" s="195" t="e">
        <f>'Imp Refined NYC'!N173</f>
        <v>#REF!</v>
      </c>
      <c r="M371" s="195" t="e">
        <f>'Imp Refined NYC'!O173</f>
        <v>#REF!</v>
      </c>
      <c r="N371" s="195" t="e">
        <f>'Imp Refined NYC'!P173</f>
        <v>#REF!</v>
      </c>
      <c r="O371" s="195" t="e">
        <f>'Imp Refined NYC'!Q173</f>
        <v>#REF!</v>
      </c>
      <c r="P371" s="195" t="e">
        <f>'Imp Refined NYC'!R173</f>
        <v>#REF!</v>
      </c>
      <c r="Q371" s="195" t="e">
        <f>'Imp Refined NYC'!S173</f>
        <v>#REF!</v>
      </c>
      <c r="R371" s="195" t="e">
        <f>'Imp Refined NYC'!T173</f>
        <v>#REF!</v>
      </c>
      <c r="S371" s="195" t="e">
        <f>'Imp Refined NYC'!U173</f>
        <v>#REF!</v>
      </c>
      <c r="T371" s="195" t="e">
        <f>'Imp Refined NYC'!V173</f>
        <v>#REF!</v>
      </c>
      <c r="U371" s="187"/>
      <c r="V371" s="187">
        <f>'Imp Refined NYC'!AF173</f>
        <v>1095826.4882364159</v>
      </c>
      <c r="W371" s="187">
        <f>'Imp Refined NYC'!AG173</f>
        <v>1095826.4882364159</v>
      </c>
      <c r="X371" s="187">
        <f>'Imp Refined NYC'!AH173</f>
        <v>1095826.4882364159</v>
      </c>
      <c r="Y371" s="187">
        <f>'Imp Refined NYC'!AI173</f>
        <v>1095826.4882364159</v>
      </c>
      <c r="Z371" s="187"/>
      <c r="AA371" s="187"/>
      <c r="AB371" s="187"/>
      <c r="AC371" s="187"/>
      <c r="AD371" s="187"/>
      <c r="AE371" s="187"/>
      <c r="AF371" s="195"/>
      <c r="AG371" s="197"/>
      <c r="AH371" s="197"/>
      <c r="BC371" s="147"/>
      <c r="BD371" s="147"/>
      <c r="BE371" s="147"/>
      <c r="BF371" s="147"/>
      <c r="BG371" s="147"/>
    </row>
    <row r="372" spans="2:59">
      <c r="B372" s="158" t="str">
        <f>Technologies!B$355</f>
        <v>*R0,R1,R2,R3,R4,R5,R6</v>
      </c>
      <c r="C372" s="158" t="str">
        <f>'Imp Refined NYC'!E174</f>
        <v>IMPLPGP32</v>
      </c>
      <c r="D372" s="158" t="str">
        <f>'Imp Refined NYC'!F174</f>
        <v>Imported LPG, PADD 3, Step 2</v>
      </c>
      <c r="E372" s="197" t="str">
        <f>'Imp Refined NYC'!G174</f>
        <v>LPGP3</v>
      </c>
      <c r="F372" s="197"/>
      <c r="G372" s="187"/>
      <c r="H372" s="197"/>
      <c r="I372" s="197">
        <v>1.0049999999999999</v>
      </c>
      <c r="J372" s="197">
        <v>1.0049999999999999</v>
      </c>
      <c r="K372" s="195">
        <f>'Imp Refined NYC'!M174</f>
        <v>12.56225604235375</v>
      </c>
      <c r="L372" s="195" t="e">
        <f>'Imp Refined NYC'!N174</f>
        <v>#REF!</v>
      </c>
      <c r="M372" s="195" t="e">
        <f>'Imp Refined NYC'!O174</f>
        <v>#REF!</v>
      </c>
      <c r="N372" s="195" t="e">
        <f>'Imp Refined NYC'!P174</f>
        <v>#REF!</v>
      </c>
      <c r="O372" s="195" t="e">
        <f>'Imp Refined NYC'!Q174</f>
        <v>#REF!</v>
      </c>
      <c r="P372" s="195" t="e">
        <f>'Imp Refined NYC'!R174</f>
        <v>#REF!</v>
      </c>
      <c r="Q372" s="195" t="e">
        <f>'Imp Refined NYC'!S174</f>
        <v>#REF!</v>
      </c>
      <c r="R372" s="195" t="e">
        <f>'Imp Refined NYC'!T174</f>
        <v>#REF!</v>
      </c>
      <c r="S372" s="195" t="e">
        <f>'Imp Refined NYC'!U174</f>
        <v>#REF!</v>
      </c>
      <c r="T372" s="195" t="e">
        <f>'Imp Refined NYC'!V174</f>
        <v>#REF!</v>
      </c>
      <c r="U372" s="187"/>
      <c r="V372" s="187">
        <f>'Imp Refined NYC'!AF174</f>
        <v>136978.31102955178</v>
      </c>
      <c r="W372" s="187">
        <f>'Imp Refined NYC'!AG174</f>
        <v>136978.31102955178</v>
      </c>
      <c r="X372" s="187">
        <f>'Imp Refined NYC'!AH174</f>
        <v>136978.31102955178</v>
      </c>
      <c r="Y372" s="187">
        <f>'Imp Refined NYC'!AI174</f>
        <v>136978.31102955178</v>
      </c>
      <c r="Z372" s="187"/>
      <c r="AA372" s="187"/>
      <c r="AB372" s="187"/>
      <c r="AC372" s="187"/>
      <c r="AD372" s="187"/>
      <c r="AE372" s="187"/>
      <c r="AF372" s="195"/>
      <c r="AG372" s="197"/>
      <c r="AH372" s="197"/>
      <c r="BC372" s="147"/>
      <c r="BD372" s="147"/>
      <c r="BE372" s="147"/>
      <c r="BF372" s="147"/>
      <c r="BG372" s="147"/>
    </row>
    <row r="373" spans="2:59">
      <c r="B373" s="158" t="str">
        <f>Technologies!B$356</f>
        <v>*R0,R1,R2,R3,R4,R5,R6</v>
      </c>
      <c r="C373" s="158" t="str">
        <f>'Imp Refined NYC'!E175</f>
        <v>IMPLPGP34</v>
      </c>
      <c r="D373" s="158" t="str">
        <f>'Imp Refined NYC'!F175</f>
        <v>Imported LPG, PADD 3, Step 4</v>
      </c>
      <c r="E373" s="197" t="str">
        <f>'Imp Refined NYC'!G175</f>
        <v>LPGP3</v>
      </c>
      <c r="F373" s="197"/>
      <c r="G373" s="187"/>
      <c r="H373" s="197"/>
      <c r="I373" s="197">
        <v>1.0049999999999999</v>
      </c>
      <c r="J373" s="197">
        <v>1.0049999999999999</v>
      </c>
      <c r="K373" s="195">
        <f>'Imp Refined NYC'!M175</f>
        <v>13.972305189964885</v>
      </c>
      <c r="L373" s="195" t="e">
        <f>'Imp Refined NYC'!N175</f>
        <v>#REF!</v>
      </c>
      <c r="M373" s="195" t="e">
        <f>'Imp Refined NYC'!O175</f>
        <v>#REF!</v>
      </c>
      <c r="N373" s="195" t="e">
        <f>'Imp Refined NYC'!P175</f>
        <v>#REF!</v>
      </c>
      <c r="O373" s="195" t="e">
        <f>'Imp Refined NYC'!Q175</f>
        <v>#REF!</v>
      </c>
      <c r="P373" s="195" t="e">
        <f>'Imp Refined NYC'!R175</f>
        <v>#REF!</v>
      </c>
      <c r="Q373" s="195" t="e">
        <f>'Imp Refined NYC'!S175</f>
        <v>#REF!</v>
      </c>
      <c r="R373" s="195" t="e">
        <f>'Imp Refined NYC'!T175</f>
        <v>#REF!</v>
      </c>
      <c r="S373" s="195" t="e">
        <f>'Imp Refined NYC'!U175</f>
        <v>#REF!</v>
      </c>
      <c r="T373" s="195" t="e">
        <f>'Imp Refined NYC'!V175</f>
        <v>#REF!</v>
      </c>
      <c r="U373" s="187"/>
      <c r="V373" s="187">
        <f>'Imp Refined NYC'!AF175</f>
        <v>273956.6220591045</v>
      </c>
      <c r="W373" s="187">
        <f>'Imp Refined NYC'!AG175</f>
        <v>273956.6220591045</v>
      </c>
      <c r="X373" s="187">
        <f>'Imp Refined NYC'!AH175</f>
        <v>273956.6220591045</v>
      </c>
      <c r="Y373" s="187">
        <f>'Imp Refined NYC'!AI175</f>
        <v>273956.6220591045</v>
      </c>
      <c r="Z373" s="187"/>
      <c r="AA373" s="187"/>
      <c r="AB373" s="187"/>
      <c r="AC373" s="187"/>
      <c r="AD373" s="187"/>
      <c r="AE373" s="187"/>
      <c r="AF373" s="195"/>
      <c r="AG373" s="197"/>
      <c r="AH373" s="197"/>
      <c r="BC373" s="147"/>
      <c r="BD373" s="147"/>
      <c r="BE373" s="147"/>
      <c r="BF373" s="147"/>
      <c r="BG373" s="147"/>
    </row>
    <row r="374" spans="2:59">
      <c r="B374" s="158" t="str">
        <f>Technologies!B$357</f>
        <v>*R0,R1,R2,R3,R4,R5,R6</v>
      </c>
      <c r="C374" s="158" t="str">
        <f>'Imp Refined NYC'!E176</f>
        <v>IMPLPGP35</v>
      </c>
      <c r="D374" s="158" t="str">
        <f>'Imp Refined NYC'!F176</f>
        <v>Imported LPG, PADD 3, Step 5</v>
      </c>
      <c r="E374" s="197" t="str">
        <f>'Imp Refined NYC'!G176</f>
        <v>LPGP3</v>
      </c>
      <c r="F374" s="197"/>
      <c r="G374" s="187"/>
      <c r="H374" s="197"/>
      <c r="I374" s="197">
        <v>1.0049999999999999</v>
      </c>
      <c r="J374" s="197">
        <v>1.0049999999999999</v>
      </c>
      <c r="K374" s="195">
        <f>'Imp Refined NYC'!M176</f>
        <v>16.664217199040689</v>
      </c>
      <c r="L374" s="195" t="e">
        <f>'Imp Refined NYC'!N176</f>
        <v>#REF!</v>
      </c>
      <c r="M374" s="195" t="e">
        <f>'Imp Refined NYC'!O176</f>
        <v>#REF!</v>
      </c>
      <c r="N374" s="195" t="e">
        <f>'Imp Refined NYC'!P176</f>
        <v>#REF!</v>
      </c>
      <c r="O374" s="195" t="e">
        <f>'Imp Refined NYC'!Q176</f>
        <v>#REF!</v>
      </c>
      <c r="P374" s="195" t="e">
        <f>'Imp Refined NYC'!R176</f>
        <v>#REF!</v>
      </c>
      <c r="Q374" s="195" t="e">
        <f>'Imp Refined NYC'!S176</f>
        <v>#REF!</v>
      </c>
      <c r="R374" s="195" t="e">
        <f>'Imp Refined NYC'!T176</f>
        <v>#REF!</v>
      </c>
      <c r="S374" s="195" t="e">
        <f>'Imp Refined NYC'!U176</f>
        <v>#REF!</v>
      </c>
      <c r="T374" s="195" t="e">
        <f>'Imp Refined NYC'!V176</f>
        <v>#REF!</v>
      </c>
      <c r="U374" s="187"/>
      <c r="V374" s="187">
        <f>'Imp Refined NYC'!AF176</f>
        <v>1095826.4882364152</v>
      </c>
      <c r="W374" s="187">
        <f>'Imp Refined NYC'!AG176</f>
        <v>1095826.4882364152</v>
      </c>
      <c r="X374" s="187">
        <f>'Imp Refined NYC'!AH176</f>
        <v>1095826.4882364152</v>
      </c>
      <c r="Y374" s="187">
        <f>'Imp Refined NYC'!AI176</f>
        <v>1095826.4882364152</v>
      </c>
      <c r="Z374" s="187"/>
      <c r="AA374" s="187"/>
      <c r="AB374" s="187"/>
      <c r="AC374" s="187"/>
      <c r="AD374" s="187"/>
      <c r="AE374" s="187"/>
      <c r="AF374" s="195"/>
      <c r="AG374" s="197"/>
      <c r="AH374" s="197"/>
      <c r="BC374" s="147"/>
      <c r="BD374" s="147"/>
      <c r="BE374" s="147"/>
      <c r="BF374" s="147"/>
      <c r="BG374" s="147"/>
    </row>
    <row r="375" spans="2:59">
      <c r="B375" s="158" t="str">
        <f>Technologies!B$358</f>
        <v>*R0,R1,R2,R3,R4,R5,R6</v>
      </c>
      <c r="C375" s="158" t="str">
        <f>'Imp Refined NYC'!E177</f>
        <v>IMPPFSP33</v>
      </c>
      <c r="D375" s="158" t="str">
        <f>'Imp Refined NYC'!F177</f>
        <v>Imported Petrochemical Feedstocks, PADD 3, Step 3</v>
      </c>
      <c r="E375" s="197" t="str">
        <f>'Imp Refined NYC'!G177</f>
        <v>PFSP3</v>
      </c>
      <c r="F375" s="197"/>
      <c r="G375" s="187"/>
      <c r="H375" s="197"/>
      <c r="I375" s="197">
        <v>1.0049999999999999</v>
      </c>
      <c r="J375" s="197">
        <v>1.0049999999999999</v>
      </c>
      <c r="K375" s="195">
        <f>'Imp Refined NYC'!M177</f>
        <v>7.7982731206179858</v>
      </c>
      <c r="L375" s="195" t="e">
        <f>'Imp Refined NYC'!N177</f>
        <v>#REF!</v>
      </c>
      <c r="M375" s="195" t="e">
        <f>'Imp Refined NYC'!O177</f>
        <v>#REF!</v>
      </c>
      <c r="N375" s="195" t="e">
        <f>'Imp Refined NYC'!P177</f>
        <v>#REF!</v>
      </c>
      <c r="O375" s="195" t="e">
        <f>'Imp Refined NYC'!Q177</f>
        <v>#REF!</v>
      </c>
      <c r="P375" s="195" t="e">
        <f>'Imp Refined NYC'!R177</f>
        <v>#REF!</v>
      </c>
      <c r="Q375" s="195" t="e">
        <f>'Imp Refined NYC'!S177</f>
        <v>#REF!</v>
      </c>
      <c r="R375" s="195" t="e">
        <f>'Imp Refined NYC'!T177</f>
        <v>#REF!</v>
      </c>
      <c r="S375" s="195" t="e">
        <f>'Imp Refined NYC'!U177</f>
        <v>#REF!</v>
      </c>
      <c r="T375" s="195" t="e">
        <f>'Imp Refined NYC'!V177</f>
        <v>#REF!</v>
      </c>
      <c r="U375" s="187"/>
      <c r="V375" s="187">
        <f>'Imp Refined NYC'!AF177</f>
        <v>219157.59574618516</v>
      </c>
      <c r="W375" s="187">
        <f>'Imp Refined NYC'!AG177</f>
        <v>219157.59574618516</v>
      </c>
      <c r="X375" s="187">
        <f>'Imp Refined NYC'!AH177</f>
        <v>219157.59574618516</v>
      </c>
      <c r="Y375" s="187">
        <f>'Imp Refined NYC'!AI177</f>
        <v>219157.59574618516</v>
      </c>
      <c r="Z375" s="187"/>
      <c r="AA375" s="187"/>
      <c r="AB375" s="187"/>
      <c r="AC375" s="187"/>
      <c r="AD375" s="187"/>
      <c r="AE375" s="187"/>
      <c r="AF375" s="195"/>
      <c r="AG375" s="197"/>
      <c r="AH375" s="197"/>
      <c r="BC375" s="147"/>
      <c r="BD375" s="147"/>
      <c r="BE375" s="147"/>
      <c r="BF375" s="147"/>
      <c r="BG375" s="147"/>
    </row>
    <row r="376" spans="2:59">
      <c r="B376" s="158" t="str">
        <f>Technologies!B$359</f>
        <v>*R0,R1,R2,R3,R4,R5,R6</v>
      </c>
      <c r="C376" s="158" t="str">
        <f>'Imp Refined NYC'!E178</f>
        <v>IMPPFSP31</v>
      </c>
      <c r="D376" s="158" t="str">
        <f>'Imp Refined NYC'!F178</f>
        <v>Imported Petrochemical Feedstocks, PADD 3, Step 1</v>
      </c>
      <c r="E376" s="197" t="str">
        <f>'Imp Refined NYC'!G178</f>
        <v>PFSP3</v>
      </c>
      <c r="F376" s="197"/>
      <c r="G376" s="187"/>
      <c r="H376" s="197"/>
      <c r="I376" s="197">
        <v>1.0049999999999999</v>
      </c>
      <c r="J376" s="197">
        <v>1.0049999999999999</v>
      </c>
      <c r="K376" s="195">
        <f>'Imp Refined NYC'!M178</f>
        <v>7.4083594645870861</v>
      </c>
      <c r="L376" s="195" t="e">
        <f>'Imp Refined NYC'!N178</f>
        <v>#REF!</v>
      </c>
      <c r="M376" s="195" t="e">
        <f>'Imp Refined NYC'!O178</f>
        <v>#REF!</v>
      </c>
      <c r="N376" s="195" t="e">
        <f>'Imp Refined NYC'!P178</f>
        <v>#REF!</v>
      </c>
      <c r="O376" s="195" t="e">
        <f>'Imp Refined NYC'!Q178</f>
        <v>#REF!</v>
      </c>
      <c r="P376" s="195" t="e">
        <f>'Imp Refined NYC'!R178</f>
        <v>#REF!</v>
      </c>
      <c r="Q376" s="195" t="e">
        <f>'Imp Refined NYC'!S178</f>
        <v>#REF!</v>
      </c>
      <c r="R376" s="195" t="e">
        <f>'Imp Refined NYC'!T178</f>
        <v>#REF!</v>
      </c>
      <c r="S376" s="195" t="e">
        <f>'Imp Refined NYC'!U178</f>
        <v>#REF!</v>
      </c>
      <c r="T376" s="195" t="e">
        <f>'Imp Refined NYC'!V178</f>
        <v>#REF!</v>
      </c>
      <c r="U376" s="187"/>
      <c r="V376" s="187">
        <f>'Imp Refined NYC'!AF178</f>
        <v>1753260.7659694806</v>
      </c>
      <c r="W376" s="187">
        <f>'Imp Refined NYC'!AG178</f>
        <v>1753260.7659694806</v>
      </c>
      <c r="X376" s="187">
        <f>'Imp Refined NYC'!AH178</f>
        <v>1753260.7659694806</v>
      </c>
      <c r="Y376" s="187">
        <f>'Imp Refined NYC'!AI178</f>
        <v>1753260.7659694806</v>
      </c>
      <c r="Z376" s="187"/>
      <c r="AA376" s="187"/>
      <c r="AB376" s="187"/>
      <c r="AC376" s="187"/>
      <c r="AD376" s="187"/>
      <c r="AE376" s="187"/>
      <c r="AF376" s="195"/>
      <c r="AG376" s="197"/>
      <c r="AH376" s="197"/>
      <c r="BC376" s="147"/>
      <c r="BD376" s="147"/>
      <c r="BE376" s="147"/>
      <c r="BF376" s="147"/>
      <c r="BG376" s="147"/>
    </row>
    <row r="377" spans="2:59">
      <c r="B377" s="158" t="str">
        <f>Technologies!B$360</f>
        <v>*R0,R1,R2,R3,R4,R5,R6</v>
      </c>
      <c r="C377" s="158" t="str">
        <f>'Imp Refined NYC'!E179</f>
        <v>IMPPFSP32</v>
      </c>
      <c r="D377" s="158" t="str">
        <f>'Imp Refined NYC'!F179</f>
        <v>Imported Petrochemical Feedstocks, PADD 3, Step 2</v>
      </c>
      <c r="E377" s="197" t="str">
        <f>'Imp Refined NYC'!G179</f>
        <v>PFSP3</v>
      </c>
      <c r="F377" s="197"/>
      <c r="G377" s="187"/>
      <c r="H377" s="197"/>
      <c r="I377" s="197">
        <v>1.0049999999999999</v>
      </c>
      <c r="J377" s="197">
        <v>1.0049999999999999</v>
      </c>
      <c r="K377" s="195">
        <f>'Imp Refined NYC'!M179</f>
        <v>7.6423076582056266</v>
      </c>
      <c r="L377" s="195" t="e">
        <f>'Imp Refined NYC'!N179</f>
        <v>#REF!</v>
      </c>
      <c r="M377" s="195" t="e">
        <f>'Imp Refined NYC'!O179</f>
        <v>#REF!</v>
      </c>
      <c r="N377" s="195" t="e">
        <f>'Imp Refined NYC'!P179</f>
        <v>#REF!</v>
      </c>
      <c r="O377" s="195" t="e">
        <f>'Imp Refined NYC'!Q179</f>
        <v>#REF!</v>
      </c>
      <c r="P377" s="195" t="e">
        <f>'Imp Refined NYC'!R179</f>
        <v>#REF!</v>
      </c>
      <c r="Q377" s="195" t="e">
        <f>'Imp Refined NYC'!S179</f>
        <v>#REF!</v>
      </c>
      <c r="R377" s="195" t="e">
        <f>'Imp Refined NYC'!T179</f>
        <v>#REF!</v>
      </c>
      <c r="S377" s="195" t="e">
        <f>'Imp Refined NYC'!U179</f>
        <v>#REF!</v>
      </c>
      <c r="T377" s="195" t="e">
        <f>'Imp Refined NYC'!V179</f>
        <v>#REF!</v>
      </c>
      <c r="U377" s="187"/>
      <c r="V377" s="187">
        <f>'Imp Refined NYC'!AF179</f>
        <v>219157.59574618493</v>
      </c>
      <c r="W377" s="187">
        <f>'Imp Refined NYC'!AG179</f>
        <v>219157.59574618493</v>
      </c>
      <c r="X377" s="187">
        <f>'Imp Refined NYC'!AH179</f>
        <v>219157.59574618493</v>
      </c>
      <c r="Y377" s="187">
        <f>'Imp Refined NYC'!AI179</f>
        <v>219157.59574618493</v>
      </c>
      <c r="Z377" s="187"/>
      <c r="AA377" s="187"/>
      <c r="AB377" s="187"/>
      <c r="AC377" s="187"/>
      <c r="AD377" s="187"/>
      <c r="AE377" s="187"/>
      <c r="AF377" s="195"/>
      <c r="AG377" s="197"/>
      <c r="AH377" s="197"/>
      <c r="BC377" s="147"/>
      <c r="BD377" s="147"/>
      <c r="BE377" s="147"/>
      <c r="BF377" s="147"/>
      <c r="BG377" s="147"/>
    </row>
    <row r="378" spans="2:59">
      <c r="B378" s="158" t="str">
        <f>Technologies!B$361</f>
        <v>*R0,R1,R2,R3,R4,R5,R6</v>
      </c>
      <c r="C378" s="158" t="str">
        <f>'Imp Refined NYC'!E180</f>
        <v>IMPPFSP34</v>
      </c>
      <c r="D378" s="158" t="str">
        <f>'Imp Refined NYC'!F180</f>
        <v>Imported Petrochemical Feedstocks, PADD 3, Step 4</v>
      </c>
      <c r="E378" s="197" t="str">
        <f>'Imp Refined NYC'!G180</f>
        <v>PFSP3</v>
      </c>
      <c r="F378" s="197"/>
      <c r="G378" s="187"/>
      <c r="H378" s="197"/>
      <c r="I378" s="197">
        <v>1.0049999999999999</v>
      </c>
      <c r="J378" s="197">
        <v>1.0049999999999999</v>
      </c>
      <c r="K378" s="195">
        <f>'Imp Refined NYC'!M180</f>
        <v>8.5001177014736058</v>
      </c>
      <c r="L378" s="195" t="e">
        <f>'Imp Refined NYC'!N180</f>
        <v>#REF!</v>
      </c>
      <c r="M378" s="195" t="e">
        <f>'Imp Refined NYC'!O180</f>
        <v>#REF!</v>
      </c>
      <c r="N378" s="195" t="e">
        <f>'Imp Refined NYC'!P180</f>
        <v>#REF!</v>
      </c>
      <c r="O378" s="195" t="e">
        <f>'Imp Refined NYC'!Q180</f>
        <v>#REF!</v>
      </c>
      <c r="P378" s="195" t="e">
        <f>'Imp Refined NYC'!R180</f>
        <v>#REF!</v>
      </c>
      <c r="Q378" s="195" t="e">
        <f>'Imp Refined NYC'!S180</f>
        <v>#REF!</v>
      </c>
      <c r="R378" s="195" t="e">
        <f>'Imp Refined NYC'!T180</f>
        <v>#REF!</v>
      </c>
      <c r="S378" s="195" t="e">
        <f>'Imp Refined NYC'!U180</f>
        <v>#REF!</v>
      </c>
      <c r="T378" s="195" t="e">
        <f>'Imp Refined NYC'!V180</f>
        <v>#REF!</v>
      </c>
      <c r="U378" s="187"/>
      <c r="V378" s="187">
        <f>'Imp Refined NYC'!AF180</f>
        <v>438315.1914923708</v>
      </c>
      <c r="W378" s="187">
        <f>'Imp Refined NYC'!AG180</f>
        <v>438315.1914923708</v>
      </c>
      <c r="X378" s="187">
        <f>'Imp Refined NYC'!AH180</f>
        <v>438315.1914923708</v>
      </c>
      <c r="Y378" s="187">
        <f>'Imp Refined NYC'!AI180</f>
        <v>438315.1914923708</v>
      </c>
      <c r="Z378" s="187"/>
      <c r="AA378" s="187"/>
      <c r="AB378" s="187"/>
      <c r="AC378" s="187"/>
      <c r="AD378" s="187"/>
      <c r="AE378" s="187"/>
      <c r="AF378" s="195"/>
      <c r="AG378" s="197"/>
      <c r="AH378" s="197"/>
      <c r="BC378" s="147"/>
      <c r="BD378" s="147"/>
      <c r="BE378" s="147"/>
      <c r="BF378" s="147"/>
      <c r="BG378" s="147"/>
    </row>
    <row r="379" spans="2:59">
      <c r="B379" s="158" t="str">
        <f>Technologies!B$362</f>
        <v>*R0,R1,R2,R3,R4,R5,R6</v>
      </c>
      <c r="C379" s="158" t="str">
        <f>'Imp Refined NYC'!E181</f>
        <v>IMPPFSP35</v>
      </c>
      <c r="D379" s="158" t="str">
        <f>'Imp Refined NYC'!F181</f>
        <v>Imported Petrochemical Feedstocks, PADD 3, Step 5</v>
      </c>
      <c r="E379" s="197" t="str">
        <f>'Imp Refined NYC'!G181</f>
        <v>PFSP3</v>
      </c>
      <c r="F379" s="197"/>
      <c r="G379" s="187"/>
      <c r="H379" s="197"/>
      <c r="I379" s="197">
        <v>1.0049999999999999</v>
      </c>
      <c r="J379" s="197">
        <v>1.0049999999999999</v>
      </c>
      <c r="K379" s="195">
        <f>'Imp Refined NYC'!M181</f>
        <v>10.137755056803382</v>
      </c>
      <c r="L379" s="195" t="e">
        <f>'Imp Refined NYC'!N181</f>
        <v>#REF!</v>
      </c>
      <c r="M379" s="195" t="e">
        <f>'Imp Refined NYC'!O181</f>
        <v>#REF!</v>
      </c>
      <c r="N379" s="195" t="e">
        <f>'Imp Refined NYC'!P181</f>
        <v>#REF!</v>
      </c>
      <c r="O379" s="195" t="e">
        <f>'Imp Refined NYC'!Q181</f>
        <v>#REF!</v>
      </c>
      <c r="P379" s="195" t="e">
        <f>'Imp Refined NYC'!R181</f>
        <v>#REF!</v>
      </c>
      <c r="Q379" s="195" t="e">
        <f>'Imp Refined NYC'!S181</f>
        <v>#REF!</v>
      </c>
      <c r="R379" s="195" t="e">
        <f>'Imp Refined NYC'!T181</f>
        <v>#REF!</v>
      </c>
      <c r="S379" s="195" t="e">
        <f>'Imp Refined NYC'!U181</f>
        <v>#REF!</v>
      </c>
      <c r="T379" s="195" t="e">
        <f>'Imp Refined NYC'!V181</f>
        <v>#REF!</v>
      </c>
      <c r="U379" s="187"/>
      <c r="V379" s="187">
        <f>'Imp Refined NYC'!AF181</f>
        <v>1753260.7659694799</v>
      </c>
      <c r="W379" s="187">
        <f>'Imp Refined NYC'!AG181</f>
        <v>1753260.7659694799</v>
      </c>
      <c r="X379" s="187">
        <f>'Imp Refined NYC'!AH181</f>
        <v>1753260.7659694799</v>
      </c>
      <c r="Y379" s="187">
        <f>'Imp Refined NYC'!AI181</f>
        <v>1753260.7659694799</v>
      </c>
      <c r="Z379" s="187"/>
      <c r="AA379" s="187"/>
      <c r="AB379" s="187"/>
      <c r="AC379" s="187"/>
      <c r="AD379" s="187"/>
      <c r="AE379" s="187"/>
      <c r="AF379" s="195"/>
      <c r="AG379" s="197"/>
      <c r="AH379" s="197"/>
      <c r="BC379" s="147"/>
      <c r="BD379" s="147"/>
      <c r="BE379" s="147"/>
      <c r="BF379" s="147"/>
      <c r="BG379" s="147"/>
    </row>
    <row r="380" spans="2:59">
      <c r="B380" s="158" t="str">
        <f>Technologies!B$363</f>
        <v>*R0,R1,R2,R3,R4,R5,R6</v>
      </c>
      <c r="C380" s="158" t="str">
        <f>'Imp Refined NYC'!E182</f>
        <v>IMPKERP33</v>
      </c>
      <c r="D380" s="158" t="str">
        <f>'Imp Refined NYC'!F182</f>
        <v>Imported Kerosene and Other Refined Products, PADD 3, Step 3</v>
      </c>
      <c r="E380" s="197" t="str">
        <f>'Imp Refined NYC'!G182</f>
        <v>KERP3</v>
      </c>
      <c r="F380" s="197"/>
      <c r="G380" s="187"/>
      <c r="H380" s="197"/>
      <c r="I380" s="197">
        <v>1.0049999999999999</v>
      </c>
      <c r="J380" s="197">
        <v>1.0049999999999999</v>
      </c>
      <c r="K380" s="195">
        <f>'Imp Refined NYC'!M182</f>
        <v>10.451256089757276</v>
      </c>
      <c r="L380" s="195" t="e">
        <f>'Imp Refined NYC'!N182</f>
        <v>#REF!</v>
      </c>
      <c r="M380" s="195" t="e">
        <f>'Imp Refined NYC'!O182</f>
        <v>#REF!</v>
      </c>
      <c r="N380" s="195" t="e">
        <f>'Imp Refined NYC'!P182</f>
        <v>#REF!</v>
      </c>
      <c r="O380" s="195" t="e">
        <f>'Imp Refined NYC'!Q182</f>
        <v>#REF!</v>
      </c>
      <c r="P380" s="195" t="e">
        <f>'Imp Refined NYC'!R182</f>
        <v>#REF!</v>
      </c>
      <c r="Q380" s="195" t="e">
        <f>'Imp Refined NYC'!S182</f>
        <v>#REF!</v>
      </c>
      <c r="R380" s="195" t="e">
        <f>'Imp Refined NYC'!T182</f>
        <v>#REF!</v>
      </c>
      <c r="S380" s="195" t="e">
        <f>'Imp Refined NYC'!U182</f>
        <v>#REF!</v>
      </c>
      <c r="T380" s="195" t="e">
        <f>'Imp Refined NYC'!V182</f>
        <v>#REF!</v>
      </c>
      <c r="U380" s="187"/>
      <c r="V380" s="187">
        <f>'Imp Refined NYC'!AF182</f>
        <v>218348.8961308857</v>
      </c>
      <c r="W380" s="187">
        <f>'Imp Refined NYC'!AG182</f>
        <v>218348.8961308857</v>
      </c>
      <c r="X380" s="187">
        <f>'Imp Refined NYC'!AH182</f>
        <v>218348.8961308857</v>
      </c>
      <c r="Y380" s="187">
        <f>'Imp Refined NYC'!AI182</f>
        <v>218348.8961308857</v>
      </c>
      <c r="Z380" s="187"/>
      <c r="AA380" s="187"/>
      <c r="AB380" s="187"/>
      <c r="AC380" s="187"/>
      <c r="AD380" s="187"/>
      <c r="AE380" s="187"/>
      <c r="AF380" s="195"/>
      <c r="AG380" s="197"/>
      <c r="AH380" s="197"/>
      <c r="BC380" s="147"/>
      <c r="BD380" s="147"/>
      <c r="BE380" s="147"/>
      <c r="BF380" s="147"/>
      <c r="BG380" s="147"/>
    </row>
    <row r="381" spans="2:59">
      <c r="B381" s="158" t="str">
        <f>Technologies!B$364</f>
        <v>*R0,R1,R2,R3,R4,R5,R6</v>
      </c>
      <c r="C381" s="158" t="str">
        <f>'Imp Refined NYC'!E183</f>
        <v>IMPKERP31</v>
      </c>
      <c r="D381" s="158" t="str">
        <f>'Imp Refined NYC'!F183</f>
        <v>Imported Kerosene and Other Refined Products, PADD 3, Step 1</v>
      </c>
      <c r="E381" s="197" t="str">
        <f>'Imp Refined NYC'!G183</f>
        <v>KERP3</v>
      </c>
      <c r="F381" s="197"/>
      <c r="G381" s="187"/>
      <c r="H381" s="197"/>
      <c r="I381" s="197">
        <v>1.0049999999999999</v>
      </c>
      <c r="J381" s="197">
        <v>1.0049999999999999</v>
      </c>
      <c r="K381" s="195">
        <f>'Imp Refined NYC'!M183</f>
        <v>9.9286932852694125</v>
      </c>
      <c r="L381" s="195" t="e">
        <f>'Imp Refined NYC'!N183</f>
        <v>#REF!</v>
      </c>
      <c r="M381" s="195" t="e">
        <f>'Imp Refined NYC'!O183</f>
        <v>#REF!</v>
      </c>
      <c r="N381" s="195" t="e">
        <f>'Imp Refined NYC'!P183</f>
        <v>#REF!</v>
      </c>
      <c r="O381" s="195" t="e">
        <f>'Imp Refined NYC'!Q183</f>
        <v>#REF!</v>
      </c>
      <c r="P381" s="195" t="e">
        <f>'Imp Refined NYC'!R183</f>
        <v>#REF!</v>
      </c>
      <c r="Q381" s="195" t="e">
        <f>'Imp Refined NYC'!S183</f>
        <v>#REF!</v>
      </c>
      <c r="R381" s="195" t="e">
        <f>'Imp Refined NYC'!T183</f>
        <v>#REF!</v>
      </c>
      <c r="S381" s="195" t="e">
        <f>'Imp Refined NYC'!U183</f>
        <v>#REF!</v>
      </c>
      <c r="T381" s="195" t="e">
        <f>'Imp Refined NYC'!V183</f>
        <v>#REF!</v>
      </c>
      <c r="U381" s="187"/>
      <c r="V381" s="187">
        <f>'Imp Refined NYC'!AF183</f>
        <v>1746791.1690470844</v>
      </c>
      <c r="W381" s="187">
        <f>'Imp Refined NYC'!AG183</f>
        <v>1746791.1690470844</v>
      </c>
      <c r="X381" s="187">
        <f>'Imp Refined NYC'!AH183</f>
        <v>1746791.1690470844</v>
      </c>
      <c r="Y381" s="187">
        <f>'Imp Refined NYC'!AI183</f>
        <v>1746791.1690470844</v>
      </c>
      <c r="Z381" s="187"/>
      <c r="AA381" s="187"/>
      <c r="AB381" s="187"/>
      <c r="AC381" s="187"/>
      <c r="AD381" s="187"/>
      <c r="AE381" s="187"/>
      <c r="AF381" s="195"/>
      <c r="AG381" s="197"/>
      <c r="AH381" s="197"/>
      <c r="BC381" s="147"/>
      <c r="BD381" s="147"/>
      <c r="BE381" s="147"/>
      <c r="BF381" s="147"/>
      <c r="BG381" s="147"/>
    </row>
    <row r="382" spans="2:59">
      <c r="B382" s="158" t="str">
        <f>Technologies!B$365</f>
        <v>*R0,R1,R2,R3,R4,R5,R6</v>
      </c>
      <c r="C382" s="158" t="str">
        <f>'Imp Refined NYC'!E184</f>
        <v>IMPKERP32</v>
      </c>
      <c r="D382" s="158" t="str">
        <f>'Imp Refined NYC'!F184</f>
        <v>Imported Kerosene and Other Refined Products, PADD 3, Step 2</v>
      </c>
      <c r="E382" s="197" t="str">
        <f>'Imp Refined NYC'!G184</f>
        <v>KERP3</v>
      </c>
      <c r="F382" s="197"/>
      <c r="G382" s="187"/>
      <c r="H382" s="197"/>
      <c r="I382" s="197">
        <v>1.0049999999999999</v>
      </c>
      <c r="J382" s="197">
        <v>1.0049999999999999</v>
      </c>
      <c r="K382" s="195">
        <f>'Imp Refined NYC'!M184</f>
        <v>10.242230967962131</v>
      </c>
      <c r="L382" s="195" t="e">
        <f>'Imp Refined NYC'!N184</f>
        <v>#REF!</v>
      </c>
      <c r="M382" s="195" t="e">
        <f>'Imp Refined NYC'!O184</f>
        <v>#REF!</v>
      </c>
      <c r="N382" s="195" t="e">
        <f>'Imp Refined NYC'!P184</f>
        <v>#REF!</v>
      </c>
      <c r="O382" s="195" t="e">
        <f>'Imp Refined NYC'!Q184</f>
        <v>#REF!</v>
      </c>
      <c r="P382" s="195" t="e">
        <f>'Imp Refined NYC'!R184</f>
        <v>#REF!</v>
      </c>
      <c r="Q382" s="195" t="e">
        <f>'Imp Refined NYC'!S184</f>
        <v>#REF!</v>
      </c>
      <c r="R382" s="195" t="e">
        <f>'Imp Refined NYC'!T184</f>
        <v>#REF!</v>
      </c>
      <c r="S382" s="195" t="e">
        <f>'Imp Refined NYC'!U184</f>
        <v>#REF!</v>
      </c>
      <c r="T382" s="195" t="e">
        <f>'Imp Refined NYC'!V184</f>
        <v>#REF!</v>
      </c>
      <c r="U382" s="187"/>
      <c r="V382" s="187">
        <f>'Imp Refined NYC'!AF184</f>
        <v>218348.896130885</v>
      </c>
      <c r="W382" s="187">
        <f>'Imp Refined NYC'!AG184</f>
        <v>218348.896130885</v>
      </c>
      <c r="X382" s="187">
        <f>'Imp Refined NYC'!AH184</f>
        <v>218348.896130885</v>
      </c>
      <c r="Y382" s="187">
        <f>'Imp Refined NYC'!AI184</f>
        <v>218348.896130885</v>
      </c>
      <c r="Z382" s="187"/>
      <c r="AA382" s="187"/>
      <c r="AB382" s="187"/>
      <c r="AC382" s="187"/>
      <c r="AD382" s="187"/>
      <c r="AE382" s="187"/>
      <c r="AF382" s="195"/>
      <c r="AG382" s="197"/>
      <c r="AH382" s="197"/>
      <c r="BC382" s="147"/>
      <c r="BD382" s="147"/>
      <c r="BE382" s="147"/>
      <c r="BF382" s="147"/>
      <c r="BG382" s="147"/>
    </row>
    <row r="383" spans="2:59">
      <c r="B383" s="158" t="str">
        <f>Technologies!B$366</f>
        <v>*R0,R1,R2,R3,R4,R5,R6</v>
      </c>
      <c r="C383" s="158" t="str">
        <f>'Imp Refined NYC'!E185</f>
        <v>IMPKERP34</v>
      </c>
      <c r="D383" s="158" t="str">
        <f>'Imp Refined NYC'!F185</f>
        <v>Imported Kerosene and Other Refined Products, PADD 3, Step 4</v>
      </c>
      <c r="E383" s="197" t="str">
        <f>'Imp Refined NYC'!G185</f>
        <v>KERP3</v>
      </c>
      <c r="F383" s="197"/>
      <c r="G383" s="187"/>
      <c r="H383" s="197"/>
      <c r="I383" s="197">
        <v>1.0049999999999999</v>
      </c>
      <c r="J383" s="197">
        <v>1.0049999999999999</v>
      </c>
      <c r="K383" s="195">
        <f>'Imp Refined NYC'!M185</f>
        <v>11.391869137835432</v>
      </c>
      <c r="L383" s="195" t="e">
        <f>'Imp Refined NYC'!N185</f>
        <v>#REF!</v>
      </c>
      <c r="M383" s="195" t="e">
        <f>'Imp Refined NYC'!O185</f>
        <v>#REF!</v>
      </c>
      <c r="N383" s="195" t="e">
        <f>'Imp Refined NYC'!P185</f>
        <v>#REF!</v>
      </c>
      <c r="O383" s="195" t="e">
        <f>'Imp Refined NYC'!Q185</f>
        <v>#REF!</v>
      </c>
      <c r="P383" s="195" t="e">
        <f>'Imp Refined NYC'!R185</f>
        <v>#REF!</v>
      </c>
      <c r="Q383" s="195" t="e">
        <f>'Imp Refined NYC'!S185</f>
        <v>#REF!</v>
      </c>
      <c r="R383" s="195" t="e">
        <f>'Imp Refined NYC'!T185</f>
        <v>#REF!</v>
      </c>
      <c r="S383" s="195" t="e">
        <f>'Imp Refined NYC'!U185</f>
        <v>#REF!</v>
      </c>
      <c r="T383" s="195" t="e">
        <f>'Imp Refined NYC'!V185</f>
        <v>#REF!</v>
      </c>
      <c r="U383" s="187"/>
      <c r="V383" s="187">
        <f>'Imp Refined NYC'!AF185</f>
        <v>436697.79226177093</v>
      </c>
      <c r="W383" s="187">
        <f>'Imp Refined NYC'!AG185</f>
        <v>436697.79226177093</v>
      </c>
      <c r="X383" s="187">
        <f>'Imp Refined NYC'!AH185</f>
        <v>436697.79226177093</v>
      </c>
      <c r="Y383" s="187">
        <f>'Imp Refined NYC'!AI185</f>
        <v>436697.79226177093</v>
      </c>
      <c r="Z383" s="187"/>
      <c r="AA383" s="187"/>
      <c r="AB383" s="187"/>
      <c r="AC383" s="187"/>
      <c r="AD383" s="187"/>
      <c r="AE383" s="187"/>
      <c r="AF383" s="195"/>
      <c r="AG383" s="197"/>
      <c r="AH383" s="197"/>
      <c r="BC383" s="147"/>
      <c r="BD383" s="147"/>
      <c r="BE383" s="147"/>
      <c r="BF383" s="147"/>
      <c r="BG383" s="147"/>
    </row>
    <row r="384" spans="2:59">
      <c r="B384" s="158" t="str">
        <f>Technologies!B$367</f>
        <v>*R0,R1,R2,R3,R4,R5,R6</v>
      </c>
      <c r="C384" s="158" t="str">
        <f>'Imp Refined NYC'!E186</f>
        <v>IMPKERP35</v>
      </c>
      <c r="D384" s="158" t="str">
        <f>'Imp Refined NYC'!F186</f>
        <v>Imported Kerosene and Other Refined Products, PADD 3, Step 5</v>
      </c>
      <c r="E384" s="197" t="str">
        <f>'Imp Refined NYC'!G186</f>
        <v>KERP3</v>
      </c>
      <c r="F384" s="197"/>
      <c r="G384" s="187"/>
      <c r="H384" s="197"/>
      <c r="I384" s="197">
        <v>1.0049999999999999</v>
      </c>
      <c r="J384" s="197">
        <v>1.0049999999999999</v>
      </c>
      <c r="K384" s="195">
        <f>'Imp Refined NYC'!M186</f>
        <v>13.586632916684458</v>
      </c>
      <c r="L384" s="195" t="e">
        <f>'Imp Refined NYC'!N186</f>
        <v>#REF!</v>
      </c>
      <c r="M384" s="195" t="e">
        <f>'Imp Refined NYC'!O186</f>
        <v>#REF!</v>
      </c>
      <c r="N384" s="195" t="e">
        <f>'Imp Refined NYC'!P186</f>
        <v>#REF!</v>
      </c>
      <c r="O384" s="195" t="e">
        <f>'Imp Refined NYC'!Q186</f>
        <v>#REF!</v>
      </c>
      <c r="P384" s="195" t="e">
        <f>'Imp Refined NYC'!R186</f>
        <v>#REF!</v>
      </c>
      <c r="Q384" s="195" t="e">
        <f>'Imp Refined NYC'!S186</f>
        <v>#REF!</v>
      </c>
      <c r="R384" s="195" t="e">
        <f>'Imp Refined NYC'!T186</f>
        <v>#REF!</v>
      </c>
      <c r="S384" s="195" t="e">
        <f>'Imp Refined NYC'!U186</f>
        <v>#REF!</v>
      </c>
      <c r="T384" s="195" t="e">
        <f>'Imp Refined NYC'!V186</f>
        <v>#REF!</v>
      </c>
      <c r="U384" s="187"/>
      <c r="V384" s="187">
        <f>'Imp Refined NYC'!AF186</f>
        <v>1746791.1690470842</v>
      </c>
      <c r="W384" s="187">
        <f>'Imp Refined NYC'!AG186</f>
        <v>1746791.1690470842</v>
      </c>
      <c r="X384" s="187">
        <f>'Imp Refined NYC'!AH186</f>
        <v>1746791.1690470842</v>
      </c>
      <c r="Y384" s="187">
        <f>'Imp Refined NYC'!AI186</f>
        <v>1746791.1690470842</v>
      </c>
      <c r="Z384" s="187"/>
      <c r="AA384" s="187"/>
      <c r="AB384" s="187"/>
      <c r="AC384" s="187"/>
      <c r="AD384" s="187"/>
      <c r="AE384" s="187"/>
      <c r="AF384" s="195"/>
      <c r="AG384" s="197"/>
      <c r="AH384" s="197"/>
      <c r="BC384" s="147"/>
      <c r="BD384" s="147"/>
      <c r="BE384" s="147"/>
      <c r="BF384" s="147"/>
      <c r="BG384" s="147"/>
    </row>
    <row r="385" spans="2:59">
      <c r="B385" s="158" t="str">
        <f>Technologies!B$368</f>
        <v>*R0,R1,R2,R3,R4,R5,R6</v>
      </c>
      <c r="C385" s="158" t="str">
        <f>'Imp Refined NYC'!E187</f>
        <v>IMPMTHP33</v>
      </c>
      <c r="D385" s="158" t="str">
        <f>'Imp Refined NYC'!F187</f>
        <v>Imported Methanol, PADD 3, Step 3</v>
      </c>
      <c r="E385" s="197" t="str">
        <f>'Imp Refined NYC'!G187</f>
        <v>MTHP3</v>
      </c>
      <c r="F385" s="197"/>
      <c r="G385" s="187"/>
      <c r="H385" s="197"/>
      <c r="I385" s="197">
        <v>1.0049999999999999</v>
      </c>
      <c r="J385" s="197">
        <v>1.0049999999999999</v>
      </c>
      <c r="K385" s="195">
        <f>'Imp Refined NYC'!M187</f>
        <v>27.071956968583827</v>
      </c>
      <c r="L385" s="195" t="e">
        <f>'Imp Refined NYC'!N187</f>
        <v>#REF!</v>
      </c>
      <c r="M385" s="195" t="e">
        <f>'Imp Refined NYC'!O187</f>
        <v>#REF!</v>
      </c>
      <c r="N385" s="195" t="e">
        <f>'Imp Refined NYC'!P187</f>
        <v>#REF!</v>
      </c>
      <c r="O385" s="195" t="e">
        <f>'Imp Refined NYC'!Q187</f>
        <v>#REF!</v>
      </c>
      <c r="P385" s="195" t="e">
        <f>'Imp Refined NYC'!R187</f>
        <v>#REF!</v>
      </c>
      <c r="Q385" s="195" t="e">
        <f>'Imp Refined NYC'!S187</f>
        <v>#REF!</v>
      </c>
      <c r="R385" s="195" t="e">
        <f>'Imp Refined NYC'!T187</f>
        <v>#REF!</v>
      </c>
      <c r="S385" s="195" t="e">
        <f>'Imp Refined NYC'!U187</f>
        <v>#REF!</v>
      </c>
      <c r="T385" s="195" t="e">
        <f>'Imp Refined NYC'!V187</f>
        <v>#REF!</v>
      </c>
      <c r="U385" s="187"/>
      <c r="V385" s="187">
        <f>'Imp Refined NYC'!AF187</f>
        <v>105777.90968118445</v>
      </c>
      <c r="W385" s="187">
        <f>'Imp Refined NYC'!AG187</f>
        <v>105777.90968118445</v>
      </c>
      <c r="X385" s="187">
        <f>'Imp Refined NYC'!AH187</f>
        <v>105777.90968118445</v>
      </c>
      <c r="Y385" s="187">
        <f>'Imp Refined NYC'!AI187</f>
        <v>105777.90968118445</v>
      </c>
      <c r="Z385" s="187"/>
      <c r="AA385" s="187"/>
      <c r="AB385" s="187"/>
      <c r="AC385" s="187"/>
      <c r="AD385" s="187"/>
      <c r="AE385" s="187"/>
      <c r="AF385" s="195"/>
      <c r="AG385" s="197"/>
      <c r="AH385" s="197"/>
      <c r="BC385" s="147"/>
      <c r="BD385" s="147"/>
      <c r="BE385" s="147"/>
      <c r="BF385" s="147"/>
      <c r="BG385" s="147"/>
    </row>
    <row r="386" spans="2:59">
      <c r="B386" s="158" t="str">
        <f>Technologies!B$369</f>
        <v>*R0,R1,R2,R3,R4,R5,R6</v>
      </c>
      <c r="C386" s="158" t="str">
        <f>'Imp Refined NYC'!E188</f>
        <v>IMPMTHP31</v>
      </c>
      <c r="D386" s="158" t="str">
        <f>'Imp Refined NYC'!F188</f>
        <v>Imported Methanol, PADD 3, Step 1</v>
      </c>
      <c r="E386" s="197" t="str">
        <f>'Imp Refined NYC'!G188</f>
        <v>MTHP3</v>
      </c>
      <c r="F386" s="197"/>
      <c r="G386" s="187"/>
      <c r="H386" s="197"/>
      <c r="I386" s="197">
        <v>1.0049999999999999</v>
      </c>
      <c r="J386" s="197">
        <v>1.0049999999999999</v>
      </c>
      <c r="K386" s="195">
        <f>'Imp Refined NYC'!M188</f>
        <v>25.718359120154631</v>
      </c>
      <c r="L386" s="195" t="e">
        <f>'Imp Refined NYC'!N188</f>
        <v>#REF!</v>
      </c>
      <c r="M386" s="195" t="e">
        <f>'Imp Refined NYC'!O188</f>
        <v>#REF!</v>
      </c>
      <c r="N386" s="195" t="e">
        <f>'Imp Refined NYC'!P188</f>
        <v>#REF!</v>
      </c>
      <c r="O386" s="195" t="e">
        <f>'Imp Refined NYC'!Q188</f>
        <v>#REF!</v>
      </c>
      <c r="P386" s="195" t="e">
        <f>'Imp Refined NYC'!R188</f>
        <v>#REF!</v>
      </c>
      <c r="Q386" s="195" t="e">
        <f>'Imp Refined NYC'!S188</f>
        <v>#REF!</v>
      </c>
      <c r="R386" s="195" t="e">
        <f>'Imp Refined NYC'!T188</f>
        <v>#REF!</v>
      </c>
      <c r="S386" s="195" t="e">
        <f>'Imp Refined NYC'!U188</f>
        <v>#REF!</v>
      </c>
      <c r="T386" s="195" t="e">
        <f>'Imp Refined NYC'!V188</f>
        <v>#REF!</v>
      </c>
      <c r="U386" s="187"/>
      <c r="V386" s="187">
        <f>'Imp Refined NYC'!AF188</f>
        <v>846223.27744947642</v>
      </c>
      <c r="W386" s="187">
        <f>'Imp Refined NYC'!AG188</f>
        <v>846223.27744947642</v>
      </c>
      <c r="X386" s="187">
        <f>'Imp Refined NYC'!AH188</f>
        <v>846223.27744947642</v>
      </c>
      <c r="Y386" s="187">
        <f>'Imp Refined NYC'!AI188</f>
        <v>846223.27744947642</v>
      </c>
      <c r="Z386" s="187"/>
      <c r="AA386" s="187"/>
      <c r="AB386" s="187"/>
      <c r="AC386" s="187"/>
      <c r="AD386" s="187"/>
      <c r="AE386" s="187"/>
      <c r="AF386" s="195"/>
      <c r="AG386" s="197"/>
      <c r="AH386" s="197"/>
      <c r="BC386" s="147"/>
      <c r="BD386" s="147"/>
      <c r="BE386" s="147"/>
      <c r="BF386" s="147"/>
      <c r="BG386" s="147"/>
    </row>
    <row r="387" spans="2:59">
      <c r="B387" s="158" t="str">
        <f>Technologies!B$370</f>
        <v>*R0,R1,R2,R3,R4,R5,R6</v>
      </c>
      <c r="C387" s="158" t="str">
        <f>'Imp Refined NYC'!E189</f>
        <v>IMPMTHP32</v>
      </c>
      <c r="D387" s="158" t="str">
        <f>'Imp Refined NYC'!F189</f>
        <v>Imported Methanol, PADD 3, Step 2</v>
      </c>
      <c r="E387" s="197" t="str">
        <f>'Imp Refined NYC'!G189</f>
        <v>MTHP3</v>
      </c>
      <c r="F387" s="197"/>
      <c r="G387" s="187"/>
      <c r="H387" s="197"/>
      <c r="I387" s="197">
        <v>1.0049999999999999</v>
      </c>
      <c r="J387" s="197">
        <v>1.0049999999999999</v>
      </c>
      <c r="K387" s="195">
        <f>'Imp Refined NYC'!M189</f>
        <v>26.530517829212151</v>
      </c>
      <c r="L387" s="195" t="e">
        <f>'Imp Refined NYC'!N189</f>
        <v>#REF!</v>
      </c>
      <c r="M387" s="195" t="e">
        <f>'Imp Refined NYC'!O189</f>
        <v>#REF!</v>
      </c>
      <c r="N387" s="195" t="e">
        <f>'Imp Refined NYC'!P189</f>
        <v>#REF!</v>
      </c>
      <c r="O387" s="195" t="e">
        <f>'Imp Refined NYC'!Q189</f>
        <v>#REF!</v>
      </c>
      <c r="P387" s="195" t="e">
        <f>'Imp Refined NYC'!R189</f>
        <v>#REF!</v>
      </c>
      <c r="Q387" s="195" t="e">
        <f>'Imp Refined NYC'!S189</f>
        <v>#REF!</v>
      </c>
      <c r="R387" s="195" t="e">
        <f>'Imp Refined NYC'!T189</f>
        <v>#REF!</v>
      </c>
      <c r="S387" s="195" t="e">
        <f>'Imp Refined NYC'!U189</f>
        <v>#REF!</v>
      </c>
      <c r="T387" s="195" t="e">
        <f>'Imp Refined NYC'!V189</f>
        <v>#REF!</v>
      </c>
      <c r="U387" s="187"/>
      <c r="V387" s="187">
        <f>'Imp Refined NYC'!AF189</f>
        <v>105777.90968118433</v>
      </c>
      <c r="W387" s="187">
        <f>'Imp Refined NYC'!AG189</f>
        <v>105777.90968118433</v>
      </c>
      <c r="X387" s="187">
        <f>'Imp Refined NYC'!AH189</f>
        <v>105777.90968118433</v>
      </c>
      <c r="Y387" s="187">
        <f>'Imp Refined NYC'!AI189</f>
        <v>105777.90968118433</v>
      </c>
      <c r="Z387" s="187"/>
      <c r="AA387" s="187"/>
      <c r="AB387" s="187"/>
      <c r="AC387" s="187"/>
      <c r="AD387" s="187"/>
      <c r="AE387" s="187"/>
      <c r="AF387" s="195"/>
      <c r="AG387" s="197"/>
      <c r="AH387" s="197"/>
      <c r="BC387" s="147"/>
      <c r="BD387" s="147"/>
      <c r="BE387" s="147"/>
      <c r="BF387" s="147"/>
      <c r="BG387" s="147"/>
    </row>
    <row r="388" spans="2:59">
      <c r="B388" s="158" t="str">
        <f>Technologies!B$371</f>
        <v>*R0,R1,R2,R3,R4,R5,R6</v>
      </c>
      <c r="C388" s="158" t="str">
        <f>'Imp Refined NYC'!E190</f>
        <v>IMPMTHP34</v>
      </c>
      <c r="D388" s="158" t="str">
        <f>'Imp Refined NYC'!F190</f>
        <v>Imported Methanol, PADD 3, Step 4</v>
      </c>
      <c r="E388" s="197" t="str">
        <f>'Imp Refined NYC'!G190</f>
        <v>MTHP3</v>
      </c>
      <c r="F388" s="197"/>
      <c r="G388" s="187"/>
      <c r="H388" s="197"/>
      <c r="I388" s="197">
        <v>1.0049999999999999</v>
      </c>
      <c r="J388" s="197">
        <v>1.0049999999999999</v>
      </c>
      <c r="K388" s="195">
        <f>'Imp Refined NYC'!M190</f>
        <v>29.508433095756374</v>
      </c>
      <c r="L388" s="195" t="e">
        <f>'Imp Refined NYC'!N190</f>
        <v>#REF!</v>
      </c>
      <c r="M388" s="195" t="e">
        <f>'Imp Refined NYC'!O190</f>
        <v>#REF!</v>
      </c>
      <c r="N388" s="195" t="e">
        <f>'Imp Refined NYC'!P190</f>
        <v>#REF!</v>
      </c>
      <c r="O388" s="195" t="e">
        <f>'Imp Refined NYC'!Q190</f>
        <v>#REF!</v>
      </c>
      <c r="P388" s="195" t="e">
        <f>'Imp Refined NYC'!R190</f>
        <v>#REF!</v>
      </c>
      <c r="Q388" s="195" t="e">
        <f>'Imp Refined NYC'!S190</f>
        <v>#REF!</v>
      </c>
      <c r="R388" s="195" t="e">
        <f>'Imp Refined NYC'!T190</f>
        <v>#REF!</v>
      </c>
      <c r="S388" s="195" t="e">
        <f>'Imp Refined NYC'!U190</f>
        <v>#REF!</v>
      </c>
      <c r="T388" s="195" t="e">
        <f>'Imp Refined NYC'!V190</f>
        <v>#REF!</v>
      </c>
      <c r="U388" s="187"/>
      <c r="V388" s="187">
        <f>'Imp Refined NYC'!AF190</f>
        <v>211555.81936236937</v>
      </c>
      <c r="W388" s="187">
        <f>'Imp Refined NYC'!AG190</f>
        <v>211555.81936236937</v>
      </c>
      <c r="X388" s="187">
        <f>'Imp Refined NYC'!AH190</f>
        <v>211555.81936236937</v>
      </c>
      <c r="Y388" s="187">
        <f>'Imp Refined NYC'!AI190</f>
        <v>211555.81936236937</v>
      </c>
      <c r="Z388" s="187"/>
      <c r="AA388" s="187"/>
      <c r="AB388" s="187"/>
      <c r="AC388" s="187"/>
      <c r="AD388" s="187"/>
      <c r="AE388" s="187"/>
      <c r="AF388" s="195"/>
      <c r="AG388" s="197"/>
      <c r="AH388" s="197"/>
      <c r="BC388" s="147"/>
      <c r="BD388" s="147"/>
      <c r="BE388" s="147"/>
      <c r="BF388" s="147"/>
      <c r="BG388" s="147"/>
    </row>
    <row r="389" spans="2:59">
      <c r="B389" s="158" t="str">
        <f>Technologies!B$372</f>
        <v>*R0,R1,R2,R3,R4,R5,R6</v>
      </c>
      <c r="C389" s="158" t="str">
        <f>'Imp Refined NYC'!E191</f>
        <v>IMPMTHP35</v>
      </c>
      <c r="D389" s="158" t="str">
        <f>'Imp Refined NYC'!F191</f>
        <v>Imported Methanol, PADD 3, Step 5</v>
      </c>
      <c r="E389" s="197" t="str">
        <f>'Imp Refined NYC'!G191</f>
        <v>MTHP3</v>
      </c>
      <c r="F389" s="197"/>
      <c r="G389" s="187"/>
      <c r="H389" s="197"/>
      <c r="I389" s="197">
        <v>1.0049999999999999</v>
      </c>
      <c r="J389" s="197">
        <v>1.0049999999999999</v>
      </c>
      <c r="K389" s="195">
        <f>'Imp Refined NYC'!M191</f>
        <v>35.193544059158974</v>
      </c>
      <c r="L389" s="195" t="e">
        <f>'Imp Refined NYC'!N191</f>
        <v>#REF!</v>
      </c>
      <c r="M389" s="195" t="e">
        <f>'Imp Refined NYC'!O191</f>
        <v>#REF!</v>
      </c>
      <c r="N389" s="195" t="e">
        <f>'Imp Refined NYC'!P191</f>
        <v>#REF!</v>
      </c>
      <c r="O389" s="195" t="e">
        <f>'Imp Refined NYC'!Q191</f>
        <v>#REF!</v>
      </c>
      <c r="P389" s="195" t="e">
        <f>'Imp Refined NYC'!R191</f>
        <v>#REF!</v>
      </c>
      <c r="Q389" s="195" t="e">
        <f>'Imp Refined NYC'!S191</f>
        <v>#REF!</v>
      </c>
      <c r="R389" s="195" t="e">
        <f>'Imp Refined NYC'!T191</f>
        <v>#REF!</v>
      </c>
      <c r="S389" s="195" t="e">
        <f>'Imp Refined NYC'!U191</f>
        <v>#REF!</v>
      </c>
      <c r="T389" s="195" t="e">
        <f>'Imp Refined NYC'!V191</f>
        <v>#REF!</v>
      </c>
      <c r="U389" s="187"/>
      <c r="V389" s="187">
        <f>'Imp Refined NYC'!AF191</f>
        <v>846223.27744947583</v>
      </c>
      <c r="W389" s="187">
        <f>'Imp Refined NYC'!AG191</f>
        <v>846223.27744947583</v>
      </c>
      <c r="X389" s="187">
        <f>'Imp Refined NYC'!AH191</f>
        <v>846223.27744947583</v>
      </c>
      <c r="Y389" s="187">
        <f>'Imp Refined NYC'!AI191</f>
        <v>846223.27744947583</v>
      </c>
      <c r="Z389" s="187"/>
      <c r="AA389" s="187"/>
      <c r="AB389" s="187"/>
      <c r="AC389" s="187"/>
      <c r="AD389" s="187"/>
      <c r="AE389" s="187"/>
      <c r="AF389" s="195"/>
      <c r="AG389" s="197"/>
      <c r="AH389" s="197"/>
      <c r="BC389" s="147"/>
      <c r="BD389" s="147"/>
      <c r="BE389" s="147"/>
      <c r="BF389" s="147"/>
      <c r="BG389" s="147"/>
    </row>
    <row r="390" spans="2:59">
      <c r="B390" s="158" t="str">
        <f>Technologies!B$373</f>
        <v>R0,R1,R2,R3,R4,R5,R6</v>
      </c>
      <c r="C390" s="158" t="str">
        <f>'Imp Refined NYC'!E192</f>
        <v>IMPDSUP33</v>
      </c>
      <c r="D390" s="158" t="str">
        <f>'Imp Refined NYC'!F192</f>
        <v>Imported Distillate-Ultralow Sulfur Highway Diesel (15 ppm), PADD 3, Step 3</v>
      </c>
      <c r="E390" s="197" t="str">
        <f>'Imp Refined NYC'!G192</f>
        <v>DSUP3</v>
      </c>
      <c r="F390" s="197"/>
      <c r="G390" s="187"/>
      <c r="H390" s="197"/>
      <c r="I390" s="197">
        <v>1.0049999999999999</v>
      </c>
      <c r="J390" s="197">
        <v>1.0049999999999999</v>
      </c>
      <c r="K390" s="195">
        <f>'Imp Refined NYC'!M192</f>
        <v>13.359130949892247</v>
      </c>
      <c r="L390" s="195" t="e">
        <f>'Imp Refined NYC'!N192</f>
        <v>#REF!</v>
      </c>
      <c r="M390" s="195" t="e">
        <f>'Imp Refined NYC'!O192</f>
        <v>#REF!</v>
      </c>
      <c r="N390" s="195" t="e">
        <f>'Imp Refined NYC'!P192</f>
        <v>#REF!</v>
      </c>
      <c r="O390" s="195" t="e">
        <f>'Imp Refined NYC'!Q192</f>
        <v>#REF!</v>
      </c>
      <c r="P390" s="195" t="e">
        <f>'Imp Refined NYC'!R192</f>
        <v>#REF!</v>
      </c>
      <c r="Q390" s="195" t="e">
        <f>'Imp Refined NYC'!S192</f>
        <v>#REF!</v>
      </c>
      <c r="R390" s="195" t="e">
        <f>'Imp Refined NYC'!T192</f>
        <v>#REF!</v>
      </c>
      <c r="S390" s="195" t="e">
        <f>'Imp Refined NYC'!U192</f>
        <v>#REF!</v>
      </c>
      <c r="T390" s="195" t="e">
        <f>'Imp Refined NYC'!V192</f>
        <v>#REF!</v>
      </c>
      <c r="U390" s="187"/>
      <c r="V390" s="187">
        <f>'Imp Refined NYC'!AF192</f>
        <v>224317.86948190606</v>
      </c>
      <c r="W390" s="187">
        <f>'Imp Refined NYC'!AG192</f>
        <v>224317.86948190606</v>
      </c>
      <c r="X390" s="187">
        <f>'Imp Refined NYC'!AH192</f>
        <v>224317.86948190606</v>
      </c>
      <c r="Y390" s="187">
        <f>'Imp Refined NYC'!AI192</f>
        <v>224317.86948190606</v>
      </c>
      <c r="Z390" s="187"/>
      <c r="AA390" s="187"/>
      <c r="AB390" s="187"/>
      <c r="AC390" s="187"/>
      <c r="AD390" s="187"/>
      <c r="AE390" s="187"/>
      <c r="AF390" s="195"/>
      <c r="AG390" s="197"/>
      <c r="AH390" s="197"/>
      <c r="BC390" s="147"/>
      <c r="BD390" s="147"/>
      <c r="BE390" s="147"/>
      <c r="BF390" s="147"/>
      <c r="BG390" s="147"/>
    </row>
    <row r="391" spans="2:59">
      <c r="B391" s="158" t="str">
        <f>Technologies!B$374</f>
        <v>R0,R1,R2,R3,R4,R5,R6</v>
      </c>
      <c r="C391" s="158" t="str">
        <f>'Imp Refined NYC'!E193</f>
        <v>IMPDSUP31</v>
      </c>
      <c r="D391" s="158" t="str">
        <f>'Imp Refined NYC'!F193</f>
        <v>Imported Distillate-Ultralow Sulfur Highway Diesel (15 ppm), PADD 3, Step 1</v>
      </c>
      <c r="E391" s="197" t="str">
        <f>'Imp Refined NYC'!G193</f>
        <v>DSUP3</v>
      </c>
      <c r="F391" s="197"/>
      <c r="G391" s="187"/>
      <c r="H391" s="197"/>
      <c r="I391" s="197">
        <v>1.0049999999999999</v>
      </c>
      <c r="J391" s="197">
        <v>1.0049999999999999</v>
      </c>
      <c r="K391" s="195">
        <f>'Imp Refined NYC'!M193</f>
        <v>12.691174402397635</v>
      </c>
      <c r="L391" s="195" t="e">
        <f>'Imp Refined NYC'!N193</f>
        <v>#REF!</v>
      </c>
      <c r="M391" s="195" t="e">
        <f>'Imp Refined NYC'!O193</f>
        <v>#REF!</v>
      </c>
      <c r="N391" s="195" t="e">
        <f>'Imp Refined NYC'!P193</f>
        <v>#REF!</v>
      </c>
      <c r="O391" s="195" t="e">
        <f>'Imp Refined NYC'!Q193</f>
        <v>#REF!</v>
      </c>
      <c r="P391" s="195" t="e">
        <f>'Imp Refined NYC'!R193</f>
        <v>#REF!</v>
      </c>
      <c r="Q391" s="195" t="e">
        <f>'Imp Refined NYC'!S193</f>
        <v>#REF!</v>
      </c>
      <c r="R391" s="195" t="e">
        <f>'Imp Refined NYC'!T193</f>
        <v>#REF!</v>
      </c>
      <c r="S391" s="195" t="e">
        <f>'Imp Refined NYC'!U193</f>
        <v>#REF!</v>
      </c>
      <c r="T391" s="195" t="e">
        <f>'Imp Refined NYC'!V193</f>
        <v>#REF!</v>
      </c>
      <c r="U391" s="187"/>
      <c r="V391" s="187">
        <f>'Imp Refined NYC'!AF193</f>
        <v>1794542.9558552499</v>
      </c>
      <c r="W391" s="187">
        <f>'Imp Refined NYC'!AG193</f>
        <v>1794542.9558552499</v>
      </c>
      <c r="X391" s="187">
        <f>'Imp Refined NYC'!AH193</f>
        <v>1794542.9558552499</v>
      </c>
      <c r="Y391" s="187">
        <f>'Imp Refined NYC'!AI193</f>
        <v>1794542.9558552499</v>
      </c>
      <c r="Z391" s="187"/>
      <c r="AA391" s="187"/>
      <c r="AB391" s="187"/>
      <c r="AC391" s="187"/>
      <c r="AD391" s="187"/>
      <c r="AE391" s="187"/>
      <c r="AF391" s="195"/>
      <c r="AG391" s="197"/>
      <c r="AH391" s="197"/>
      <c r="BC391" s="147"/>
      <c r="BD391" s="147"/>
      <c r="BE391" s="147"/>
      <c r="BF391" s="147"/>
      <c r="BG391" s="147"/>
    </row>
    <row r="392" spans="2:59">
      <c r="B392" s="158" t="str">
        <f>Technologies!B$375</f>
        <v>R0,R1,R2,R3,R4,R5,R6</v>
      </c>
      <c r="C392" s="158" t="str">
        <f>'Imp Refined NYC'!E194</f>
        <v>IMPDSUP32</v>
      </c>
      <c r="D392" s="158" t="str">
        <f>'Imp Refined NYC'!F194</f>
        <v>Imported Distillate-Ultralow Sulfur Highway Diesel (15 ppm), PADD 3, Step 2</v>
      </c>
      <c r="E392" s="197" t="str">
        <f>'Imp Refined NYC'!G194</f>
        <v>DSUP3</v>
      </c>
      <c r="F392" s="197"/>
      <c r="G392" s="187"/>
      <c r="H392" s="197"/>
      <c r="I392" s="197">
        <v>1.0049999999999999</v>
      </c>
      <c r="J392" s="197">
        <v>1.0049999999999999</v>
      </c>
      <c r="K392" s="195">
        <f>'Imp Refined NYC'!M194</f>
        <v>13.091948330894402</v>
      </c>
      <c r="L392" s="195" t="e">
        <f>'Imp Refined NYC'!N194</f>
        <v>#REF!</v>
      </c>
      <c r="M392" s="195" t="e">
        <f>'Imp Refined NYC'!O194</f>
        <v>#REF!</v>
      </c>
      <c r="N392" s="195" t="e">
        <f>'Imp Refined NYC'!P194</f>
        <v>#REF!</v>
      </c>
      <c r="O392" s="195" t="e">
        <f>'Imp Refined NYC'!Q194</f>
        <v>#REF!</v>
      </c>
      <c r="P392" s="195" t="e">
        <f>'Imp Refined NYC'!R194</f>
        <v>#REF!</v>
      </c>
      <c r="Q392" s="195" t="e">
        <f>'Imp Refined NYC'!S194</f>
        <v>#REF!</v>
      </c>
      <c r="R392" s="195" t="e">
        <f>'Imp Refined NYC'!T194</f>
        <v>#REF!</v>
      </c>
      <c r="S392" s="195" t="e">
        <f>'Imp Refined NYC'!U194</f>
        <v>#REF!</v>
      </c>
      <c r="T392" s="195" t="e">
        <f>'Imp Refined NYC'!V194</f>
        <v>#REF!</v>
      </c>
      <c r="U392" s="187"/>
      <c r="V392" s="187">
        <f>'Imp Refined NYC'!AF194</f>
        <v>224317.8694819056</v>
      </c>
      <c r="W392" s="187">
        <f>'Imp Refined NYC'!AG194</f>
        <v>224317.8694819056</v>
      </c>
      <c r="X392" s="187">
        <f>'Imp Refined NYC'!AH194</f>
        <v>224317.8694819056</v>
      </c>
      <c r="Y392" s="187">
        <f>'Imp Refined NYC'!AI194</f>
        <v>224317.8694819056</v>
      </c>
      <c r="Z392" s="187"/>
      <c r="AA392" s="187"/>
      <c r="AB392" s="187"/>
      <c r="AC392" s="187"/>
      <c r="AD392" s="187"/>
      <c r="AE392" s="187"/>
      <c r="AF392" s="195"/>
      <c r="AG392" s="197"/>
      <c r="AH392" s="197"/>
      <c r="BC392" s="147"/>
      <c r="BD392" s="147"/>
      <c r="BE392" s="147"/>
      <c r="BF392" s="147"/>
      <c r="BG392" s="147"/>
    </row>
    <row r="393" spans="2:59">
      <c r="B393" s="158" t="str">
        <f>Technologies!B$376</f>
        <v>R0,R1,R2,R3,R4,R5,R6</v>
      </c>
      <c r="C393" s="158" t="str">
        <f>'Imp Refined NYC'!E195</f>
        <v>IMPDSUP34</v>
      </c>
      <c r="D393" s="158" t="str">
        <f>'Imp Refined NYC'!F195</f>
        <v>Imported Distillate-Ultralow Sulfur Highway Diesel (15 ppm), PADD 3, Step 4</v>
      </c>
      <c r="E393" s="197" t="str">
        <f>'Imp Refined NYC'!G195</f>
        <v>DSUP3</v>
      </c>
      <c r="F393" s="197"/>
      <c r="G393" s="187"/>
      <c r="H393" s="197"/>
      <c r="I393" s="197">
        <v>1.0049999999999999</v>
      </c>
      <c r="J393" s="197">
        <v>1.0049999999999999</v>
      </c>
      <c r="K393" s="195">
        <f>'Imp Refined NYC'!M195</f>
        <v>14.56145273538255</v>
      </c>
      <c r="L393" s="195" t="e">
        <f>'Imp Refined NYC'!N195</f>
        <v>#REF!</v>
      </c>
      <c r="M393" s="195" t="e">
        <f>'Imp Refined NYC'!O195</f>
        <v>#REF!</v>
      </c>
      <c r="N393" s="195" t="e">
        <f>'Imp Refined NYC'!P195</f>
        <v>#REF!</v>
      </c>
      <c r="O393" s="195" t="e">
        <f>'Imp Refined NYC'!Q195</f>
        <v>#REF!</v>
      </c>
      <c r="P393" s="195" t="e">
        <f>'Imp Refined NYC'!R195</f>
        <v>#REF!</v>
      </c>
      <c r="Q393" s="195" t="e">
        <f>'Imp Refined NYC'!S195</f>
        <v>#REF!</v>
      </c>
      <c r="R393" s="195" t="e">
        <f>'Imp Refined NYC'!T195</f>
        <v>#REF!</v>
      </c>
      <c r="S393" s="195" t="e">
        <f>'Imp Refined NYC'!U195</f>
        <v>#REF!</v>
      </c>
      <c r="T393" s="195" t="e">
        <f>'Imp Refined NYC'!V195</f>
        <v>#REF!</v>
      </c>
      <c r="U393" s="187"/>
      <c r="V393" s="187">
        <f>'Imp Refined NYC'!AF195</f>
        <v>448635.73896381306</v>
      </c>
      <c r="W393" s="187">
        <f>'Imp Refined NYC'!AG195</f>
        <v>448635.73896381306</v>
      </c>
      <c r="X393" s="187">
        <f>'Imp Refined NYC'!AH195</f>
        <v>448635.73896381306</v>
      </c>
      <c r="Y393" s="187">
        <f>'Imp Refined NYC'!AI195</f>
        <v>448635.73896381306</v>
      </c>
      <c r="Z393" s="187"/>
      <c r="AA393" s="187"/>
      <c r="AB393" s="187"/>
      <c r="AC393" s="187"/>
      <c r="AD393" s="187"/>
      <c r="AE393" s="187"/>
      <c r="AF393" s="195"/>
      <c r="AG393" s="197"/>
      <c r="AH393" s="197"/>
      <c r="BC393" s="147"/>
      <c r="BD393" s="147"/>
      <c r="BE393" s="147"/>
      <c r="BF393" s="147"/>
      <c r="BG393" s="147"/>
    </row>
    <row r="394" spans="2:59">
      <c r="B394" s="158" t="str">
        <f>Technologies!B$377</f>
        <v>R0,R1,R2,R3,R4,R5,R6</v>
      </c>
      <c r="C394" s="158" t="str">
        <f>'Imp Refined NYC'!E196</f>
        <v>IMPDSUP35</v>
      </c>
      <c r="D394" s="158" t="str">
        <f>'Imp Refined NYC'!F196</f>
        <v>Imported Distillate-Ultralow Sulfur Highway Diesel (15 ppm), PADD 3, Step 5</v>
      </c>
      <c r="E394" s="197" t="str">
        <f>'Imp Refined NYC'!G196</f>
        <v>DSUP3</v>
      </c>
      <c r="F394" s="197"/>
      <c r="G394" s="187"/>
      <c r="H394" s="197"/>
      <c r="I394" s="197">
        <v>1.0049999999999999</v>
      </c>
      <c r="J394" s="197">
        <v>1.0049999999999999</v>
      </c>
      <c r="K394" s="195">
        <f>'Imp Refined NYC'!M196</f>
        <v>17.366870234859924</v>
      </c>
      <c r="L394" s="195" t="e">
        <f>'Imp Refined NYC'!N196</f>
        <v>#REF!</v>
      </c>
      <c r="M394" s="195" t="e">
        <f>'Imp Refined NYC'!O196</f>
        <v>#REF!</v>
      </c>
      <c r="N394" s="195" t="e">
        <f>'Imp Refined NYC'!P196</f>
        <v>#REF!</v>
      </c>
      <c r="O394" s="195" t="e">
        <f>'Imp Refined NYC'!Q196</f>
        <v>#REF!</v>
      </c>
      <c r="P394" s="195" t="e">
        <f>'Imp Refined NYC'!R196</f>
        <v>#REF!</v>
      </c>
      <c r="Q394" s="195" t="e">
        <f>'Imp Refined NYC'!S196</f>
        <v>#REF!</v>
      </c>
      <c r="R394" s="195" t="e">
        <f>'Imp Refined NYC'!T196</f>
        <v>#REF!</v>
      </c>
      <c r="S394" s="195" t="e">
        <f>'Imp Refined NYC'!U196</f>
        <v>#REF!</v>
      </c>
      <c r="T394" s="195" t="e">
        <f>'Imp Refined NYC'!V196</f>
        <v>#REF!</v>
      </c>
      <c r="U394" s="187"/>
      <c r="V394" s="187">
        <f>'Imp Refined NYC'!AF196</f>
        <v>1794542.9558552485</v>
      </c>
      <c r="W394" s="187">
        <f>'Imp Refined NYC'!AG196</f>
        <v>1794542.9558552485</v>
      </c>
      <c r="X394" s="187">
        <f>'Imp Refined NYC'!AH196</f>
        <v>1794542.9558552485</v>
      </c>
      <c r="Y394" s="187">
        <f>'Imp Refined NYC'!AI196</f>
        <v>1794542.9558552485</v>
      </c>
      <c r="Z394" s="187"/>
      <c r="AA394" s="187"/>
      <c r="AB394" s="187"/>
      <c r="AC394" s="187"/>
      <c r="AD394" s="187"/>
      <c r="AE394" s="187"/>
      <c r="AF394" s="195"/>
      <c r="AG394" s="197"/>
      <c r="AH394" s="197"/>
      <c r="BC394" s="147"/>
      <c r="BD394" s="147"/>
      <c r="BE394" s="147"/>
      <c r="BF394" s="147"/>
      <c r="BG394" s="147"/>
    </row>
    <row r="395" spans="2:59">
      <c r="B395" s="181" t="str">
        <f>Technologies!B$378</f>
        <v>*</v>
      </c>
      <c r="C395" s="181"/>
      <c r="D395" s="181"/>
      <c r="E395" s="180"/>
      <c r="F395" s="197"/>
      <c r="G395" s="187"/>
      <c r="H395" s="197"/>
      <c r="I395" s="197"/>
      <c r="J395" s="197"/>
      <c r="K395" s="195"/>
      <c r="L395" s="195"/>
      <c r="M395" s="195"/>
      <c r="N395" s="195"/>
      <c r="O395" s="195"/>
      <c r="P395" s="195"/>
      <c r="Q395" s="195"/>
      <c r="R395" s="195"/>
      <c r="S395" s="195"/>
      <c r="T395" s="195"/>
      <c r="U395" s="187"/>
      <c r="V395" s="187"/>
      <c r="W395" s="187"/>
      <c r="X395" s="187"/>
      <c r="Y395" s="187"/>
      <c r="Z395" s="187"/>
      <c r="AA395" s="187"/>
      <c r="AB395" s="187"/>
      <c r="AC395" s="187"/>
      <c r="AD395" s="187"/>
      <c r="AE395" s="187"/>
      <c r="AF395" s="195"/>
      <c r="AG395" s="197"/>
      <c r="AH395" s="197"/>
      <c r="BC395" s="147"/>
      <c r="BD395" s="147"/>
      <c r="BE395" s="147"/>
      <c r="BF395" s="147"/>
      <c r="BG395" s="147"/>
    </row>
    <row r="396" spans="2:59">
      <c r="B396" s="181" t="str">
        <f>Technologies!B$379</f>
        <v>*</v>
      </c>
      <c r="C396" s="181"/>
      <c r="D396" s="181"/>
      <c r="E396" s="180"/>
      <c r="F396" s="197"/>
      <c r="G396" s="187"/>
      <c r="H396" s="197"/>
      <c r="I396" s="197"/>
      <c r="J396" s="197"/>
      <c r="K396" s="195"/>
      <c r="L396" s="195"/>
      <c r="M396" s="195"/>
      <c r="N396" s="195"/>
      <c r="O396" s="195"/>
      <c r="P396" s="195"/>
      <c r="Q396" s="195"/>
      <c r="R396" s="195"/>
      <c r="S396" s="195"/>
      <c r="T396" s="195"/>
      <c r="U396" s="187"/>
      <c r="V396" s="187"/>
      <c r="W396" s="187"/>
      <c r="X396" s="187"/>
      <c r="Y396" s="187"/>
      <c r="Z396" s="187"/>
      <c r="AA396" s="187"/>
      <c r="AB396" s="187"/>
      <c r="AC396" s="187"/>
      <c r="AD396" s="187"/>
      <c r="AE396" s="187"/>
      <c r="AF396" s="195"/>
      <c r="AG396" s="197"/>
      <c r="AH396" s="197"/>
      <c r="BC396" s="147"/>
      <c r="BD396" s="147"/>
      <c r="BE396" s="147"/>
      <c r="BF396" s="147"/>
      <c r="BG396" s="147"/>
    </row>
    <row r="397" spans="2:59">
      <c r="B397" s="158" t="str">
        <f>Technologies!B$380</f>
        <v>*R0</v>
      </c>
      <c r="C397" s="158" t="str">
        <f>'Imp Refined NYC'!E199</f>
        <v>IMPGSRP43</v>
      </c>
      <c r="D397" s="158" t="str">
        <f>'Imp Refined NYC'!F199</f>
        <v>Imported Reformulated Gasoline, PADD 4, Step 3</v>
      </c>
      <c r="E397" s="197" t="str">
        <f>'Imp Refined NYC'!G199</f>
        <v>GSRP4</v>
      </c>
      <c r="F397" s="197"/>
      <c r="G397" s="187"/>
      <c r="H397" s="197"/>
      <c r="I397" s="197">
        <v>1.0049999999999999</v>
      </c>
      <c r="J397" s="197">
        <v>1.0049999999999999</v>
      </c>
      <c r="K397" s="195">
        <f>'Imp Refined NYC'!M199</f>
        <v>35.196805740721445</v>
      </c>
      <c r="L397" s="195" t="e">
        <f>'Imp Refined NYC'!N199</f>
        <v>#REF!</v>
      </c>
      <c r="M397" s="195" t="e">
        <f>'Imp Refined NYC'!O199</f>
        <v>#REF!</v>
      </c>
      <c r="N397" s="195" t="e">
        <f>'Imp Refined NYC'!P199</f>
        <v>#REF!</v>
      </c>
      <c r="O397" s="195" t="e">
        <f>'Imp Refined NYC'!Q199</f>
        <v>#REF!</v>
      </c>
      <c r="P397" s="195" t="e">
        <f>'Imp Refined NYC'!R199</f>
        <v>#REF!</v>
      </c>
      <c r="Q397" s="195" t="e">
        <f>'Imp Refined NYC'!S199</f>
        <v>#REF!</v>
      </c>
      <c r="R397" s="195" t="e">
        <f>'Imp Refined NYC'!T199</f>
        <v>#REF!</v>
      </c>
      <c r="S397" s="195" t="e">
        <f>'Imp Refined NYC'!U199</f>
        <v>#REF!</v>
      </c>
      <c r="T397" s="195" t="e">
        <f>'Imp Refined NYC'!V199</f>
        <v>#REF!</v>
      </c>
      <c r="U397" s="187"/>
      <c r="V397" s="187">
        <f>'Imp Refined NYC'!AF199</f>
        <v>0</v>
      </c>
      <c r="W397" s="187">
        <f>'Imp Refined NYC'!AG199</f>
        <v>0</v>
      </c>
      <c r="X397" s="187">
        <f>'Imp Refined NYC'!AH199</f>
        <v>0</v>
      </c>
      <c r="Y397" s="187">
        <f>'Imp Refined NYC'!AI199</f>
        <v>0</v>
      </c>
      <c r="Z397" s="187"/>
      <c r="AA397" s="187"/>
      <c r="AB397" s="187"/>
      <c r="AC397" s="187"/>
      <c r="AD397" s="187"/>
      <c r="AE397" s="187"/>
      <c r="AF397" s="195"/>
      <c r="AG397" s="197"/>
      <c r="AH397" s="197"/>
      <c r="BC397" s="147"/>
      <c r="BD397" s="147"/>
      <c r="BE397" s="147"/>
      <c r="BF397" s="147"/>
      <c r="BG397" s="147"/>
    </row>
    <row r="398" spans="2:59">
      <c r="B398" s="158" t="str">
        <f>Technologies!B$381</f>
        <v>*R0</v>
      </c>
      <c r="C398" s="158" t="str">
        <f>'Imp Refined NYC'!E200</f>
        <v>IMPGSRP41</v>
      </c>
      <c r="D398" s="158" t="str">
        <f>'Imp Refined NYC'!F200</f>
        <v>Imported Reformulated Gasoline, PADD 4, Step 1</v>
      </c>
      <c r="E398" s="197" t="str">
        <f>'Imp Refined NYC'!G200</f>
        <v>GSRP4</v>
      </c>
      <c r="F398" s="197"/>
      <c r="G398" s="187"/>
      <c r="H398" s="197"/>
      <c r="I398" s="197">
        <v>1.0049999999999999</v>
      </c>
      <c r="J398" s="197">
        <v>1.0049999999999999</v>
      </c>
      <c r="K398" s="195">
        <f>'Imp Refined NYC'!M200</f>
        <v>33.436965453685382</v>
      </c>
      <c r="L398" s="195" t="e">
        <f>'Imp Refined NYC'!N200</f>
        <v>#REF!</v>
      </c>
      <c r="M398" s="195" t="e">
        <f>'Imp Refined NYC'!O200</f>
        <v>#REF!</v>
      </c>
      <c r="N398" s="195" t="e">
        <f>'Imp Refined NYC'!P200</f>
        <v>#REF!</v>
      </c>
      <c r="O398" s="195" t="e">
        <f>'Imp Refined NYC'!Q200</f>
        <v>#REF!</v>
      </c>
      <c r="P398" s="195" t="e">
        <f>'Imp Refined NYC'!R200</f>
        <v>#REF!</v>
      </c>
      <c r="Q398" s="195" t="e">
        <f>'Imp Refined NYC'!S200</f>
        <v>#REF!</v>
      </c>
      <c r="R398" s="195" t="e">
        <f>'Imp Refined NYC'!T200</f>
        <v>#REF!</v>
      </c>
      <c r="S398" s="195" t="e">
        <f>'Imp Refined NYC'!U200</f>
        <v>#REF!</v>
      </c>
      <c r="T398" s="195" t="e">
        <f>'Imp Refined NYC'!V200</f>
        <v>#REF!</v>
      </c>
      <c r="U398" s="187"/>
      <c r="V398" s="187">
        <f>'Imp Refined NYC'!AF200</f>
        <v>0</v>
      </c>
      <c r="W398" s="187">
        <f>'Imp Refined NYC'!AG200</f>
        <v>0</v>
      </c>
      <c r="X398" s="187">
        <f>'Imp Refined NYC'!AH200</f>
        <v>0</v>
      </c>
      <c r="Y398" s="187">
        <f>'Imp Refined NYC'!AI200</f>
        <v>0</v>
      </c>
      <c r="Z398" s="187"/>
      <c r="AA398" s="187"/>
      <c r="AB398" s="187"/>
      <c r="AC398" s="187"/>
      <c r="AD398" s="187"/>
      <c r="AE398" s="187"/>
      <c r="AF398" s="195"/>
      <c r="AG398" s="197"/>
      <c r="AH398" s="197"/>
      <c r="BC398" s="147"/>
      <c r="BD398" s="147"/>
      <c r="BE398" s="147"/>
      <c r="BF398" s="147"/>
      <c r="BG398" s="147"/>
    </row>
    <row r="399" spans="2:59">
      <c r="B399" s="158" t="str">
        <f>Technologies!B$382</f>
        <v>*R0</v>
      </c>
      <c r="C399" s="158" t="str">
        <f>'Imp Refined NYC'!E201</f>
        <v>IMPGSRP42</v>
      </c>
      <c r="D399" s="158" t="str">
        <f>'Imp Refined NYC'!F201</f>
        <v>Imported Reformulated Gasoline, PADD 4, Step 2</v>
      </c>
      <c r="E399" s="197" t="str">
        <f>'Imp Refined NYC'!G201</f>
        <v>GSRP4</v>
      </c>
      <c r="F399" s="197"/>
      <c r="G399" s="187"/>
      <c r="H399" s="197"/>
      <c r="I399" s="197">
        <v>1.0049999999999999</v>
      </c>
      <c r="J399" s="197">
        <v>1.0049999999999999</v>
      </c>
      <c r="K399" s="195">
        <f>'Imp Refined NYC'!M201</f>
        <v>34.492869625907026</v>
      </c>
      <c r="L399" s="195" t="e">
        <f>'Imp Refined NYC'!N201</f>
        <v>#REF!</v>
      </c>
      <c r="M399" s="195" t="e">
        <f>'Imp Refined NYC'!O201</f>
        <v>#REF!</v>
      </c>
      <c r="N399" s="195" t="e">
        <f>'Imp Refined NYC'!P201</f>
        <v>#REF!</v>
      </c>
      <c r="O399" s="195" t="e">
        <f>'Imp Refined NYC'!Q201</f>
        <v>#REF!</v>
      </c>
      <c r="P399" s="195" t="e">
        <f>'Imp Refined NYC'!R201</f>
        <v>#REF!</v>
      </c>
      <c r="Q399" s="195" t="e">
        <f>'Imp Refined NYC'!S201</f>
        <v>#REF!</v>
      </c>
      <c r="R399" s="195" t="e">
        <f>'Imp Refined NYC'!T201</f>
        <v>#REF!</v>
      </c>
      <c r="S399" s="195" t="e">
        <f>'Imp Refined NYC'!U201</f>
        <v>#REF!</v>
      </c>
      <c r="T399" s="195" t="e">
        <f>'Imp Refined NYC'!V201</f>
        <v>#REF!</v>
      </c>
      <c r="U399" s="187"/>
      <c r="V399" s="187">
        <f>'Imp Refined NYC'!AF201</f>
        <v>0</v>
      </c>
      <c r="W399" s="187">
        <f>'Imp Refined NYC'!AG201</f>
        <v>0</v>
      </c>
      <c r="X399" s="187">
        <f>'Imp Refined NYC'!AH201</f>
        <v>0</v>
      </c>
      <c r="Y399" s="187">
        <f>'Imp Refined NYC'!AI201</f>
        <v>0</v>
      </c>
      <c r="Z399" s="187"/>
      <c r="AA399" s="187"/>
      <c r="AB399" s="187"/>
      <c r="AC399" s="187"/>
      <c r="AD399" s="187"/>
      <c r="AE399" s="187"/>
      <c r="AF399" s="195"/>
      <c r="AG399" s="197"/>
      <c r="AH399" s="197"/>
      <c r="BC399" s="147"/>
      <c r="BD399" s="147"/>
      <c r="BE399" s="147"/>
      <c r="BF399" s="147"/>
      <c r="BG399" s="147"/>
    </row>
    <row r="400" spans="2:59">
      <c r="B400" s="158" t="str">
        <f>Technologies!B$383</f>
        <v>*R0</v>
      </c>
      <c r="C400" s="158" t="str">
        <f>'Imp Refined NYC'!E202</f>
        <v>IMPGSRP44</v>
      </c>
      <c r="D400" s="158" t="str">
        <f>'Imp Refined NYC'!F202</f>
        <v>Imported Reformulated Gasoline, PADD 4, Step 4</v>
      </c>
      <c r="E400" s="197" t="str">
        <f>'Imp Refined NYC'!G202</f>
        <v>GSRP4</v>
      </c>
      <c r="F400" s="197"/>
      <c r="G400" s="187"/>
      <c r="H400" s="197"/>
      <c r="I400" s="197">
        <v>1.0049999999999999</v>
      </c>
      <c r="J400" s="197">
        <v>1.0049999999999999</v>
      </c>
      <c r="K400" s="195">
        <f>'Imp Refined NYC'!M202</f>
        <v>38.364518257386393</v>
      </c>
      <c r="L400" s="195" t="e">
        <f>'Imp Refined NYC'!N202</f>
        <v>#REF!</v>
      </c>
      <c r="M400" s="195" t="e">
        <f>'Imp Refined NYC'!O202</f>
        <v>#REF!</v>
      </c>
      <c r="N400" s="195" t="e">
        <f>'Imp Refined NYC'!P202</f>
        <v>#REF!</v>
      </c>
      <c r="O400" s="195" t="e">
        <f>'Imp Refined NYC'!Q202</f>
        <v>#REF!</v>
      </c>
      <c r="P400" s="195" t="e">
        <f>'Imp Refined NYC'!R202</f>
        <v>#REF!</v>
      </c>
      <c r="Q400" s="195" t="e">
        <f>'Imp Refined NYC'!S202</f>
        <v>#REF!</v>
      </c>
      <c r="R400" s="195" t="e">
        <f>'Imp Refined NYC'!T202</f>
        <v>#REF!</v>
      </c>
      <c r="S400" s="195" t="e">
        <f>'Imp Refined NYC'!U202</f>
        <v>#REF!</v>
      </c>
      <c r="T400" s="195" t="e">
        <f>'Imp Refined NYC'!V202</f>
        <v>#REF!</v>
      </c>
      <c r="U400" s="187"/>
      <c r="V400" s="187">
        <f>'Imp Refined NYC'!AF202</f>
        <v>0</v>
      </c>
      <c r="W400" s="187">
        <f>'Imp Refined NYC'!AG202</f>
        <v>0</v>
      </c>
      <c r="X400" s="187">
        <f>'Imp Refined NYC'!AH202</f>
        <v>0</v>
      </c>
      <c r="Y400" s="187">
        <f>'Imp Refined NYC'!AI202</f>
        <v>0</v>
      </c>
      <c r="Z400" s="187"/>
      <c r="AA400" s="187"/>
      <c r="AB400" s="187"/>
      <c r="AC400" s="187"/>
      <c r="AD400" s="187"/>
      <c r="AE400" s="187"/>
      <c r="AF400" s="195"/>
      <c r="AG400" s="197"/>
      <c r="AH400" s="197"/>
      <c r="BC400" s="147"/>
      <c r="BD400" s="147"/>
      <c r="BE400" s="147"/>
      <c r="BF400" s="147"/>
      <c r="BG400" s="147"/>
    </row>
    <row r="401" spans="2:59">
      <c r="B401" s="158" t="str">
        <f>Technologies!B$384</f>
        <v>*R0</v>
      </c>
      <c r="C401" s="158" t="str">
        <f>'Imp Refined NYC'!E203</f>
        <v>IMPGSRP45</v>
      </c>
      <c r="D401" s="158" t="str">
        <f>'Imp Refined NYC'!F203</f>
        <v>Imported Reformulated Gasoline, PADD 4, Step 5</v>
      </c>
      <c r="E401" s="197" t="str">
        <f>'Imp Refined NYC'!G203</f>
        <v>GSRP4</v>
      </c>
      <c r="F401" s="197"/>
      <c r="G401" s="187"/>
      <c r="H401" s="197"/>
      <c r="I401" s="197">
        <v>1.0049999999999999</v>
      </c>
      <c r="J401" s="197">
        <v>1.0049999999999999</v>
      </c>
      <c r="K401" s="195">
        <f>'Imp Refined NYC'!M203</f>
        <v>45.755847462937894</v>
      </c>
      <c r="L401" s="195" t="e">
        <f>'Imp Refined NYC'!N203</f>
        <v>#REF!</v>
      </c>
      <c r="M401" s="195" t="e">
        <f>'Imp Refined NYC'!O203</f>
        <v>#REF!</v>
      </c>
      <c r="N401" s="195" t="e">
        <f>'Imp Refined NYC'!P203</f>
        <v>#REF!</v>
      </c>
      <c r="O401" s="195" t="e">
        <f>'Imp Refined NYC'!Q203</f>
        <v>#REF!</v>
      </c>
      <c r="P401" s="195" t="e">
        <f>'Imp Refined NYC'!R203</f>
        <v>#REF!</v>
      </c>
      <c r="Q401" s="195" t="e">
        <f>'Imp Refined NYC'!S203</f>
        <v>#REF!</v>
      </c>
      <c r="R401" s="195" t="e">
        <f>'Imp Refined NYC'!T203</f>
        <v>#REF!</v>
      </c>
      <c r="S401" s="195" t="e">
        <f>'Imp Refined NYC'!U203</f>
        <v>#REF!</v>
      </c>
      <c r="T401" s="195" t="e">
        <f>'Imp Refined NYC'!V203</f>
        <v>#REF!</v>
      </c>
      <c r="U401" s="187"/>
      <c r="V401" s="187">
        <f>'Imp Refined NYC'!AF203</f>
        <v>0</v>
      </c>
      <c r="W401" s="187">
        <f>'Imp Refined NYC'!AG203</f>
        <v>0</v>
      </c>
      <c r="X401" s="187">
        <f>'Imp Refined NYC'!AH203</f>
        <v>0</v>
      </c>
      <c r="Y401" s="187">
        <f>'Imp Refined NYC'!AI203</f>
        <v>0</v>
      </c>
      <c r="Z401" s="187"/>
      <c r="AA401" s="187"/>
      <c r="AB401" s="187"/>
      <c r="AC401" s="187"/>
      <c r="AD401" s="187"/>
      <c r="AE401" s="187"/>
      <c r="AF401" s="198"/>
      <c r="AG401" s="197"/>
      <c r="AH401" s="197"/>
      <c r="BC401" s="147"/>
      <c r="BD401" s="147"/>
      <c r="BE401" s="147"/>
      <c r="BF401" s="147"/>
      <c r="BG401" s="147"/>
    </row>
    <row r="402" spans="2:59">
      <c r="B402" s="158" t="str">
        <f>Technologies!B$385</f>
        <v>*R0</v>
      </c>
      <c r="C402" s="158" t="str">
        <f>'Imp Refined NYC'!E204</f>
        <v>IMPGSCP43</v>
      </c>
      <c r="D402" s="158" t="str">
        <f>'Imp Refined NYC'!F204</f>
        <v>Imported Conventional Gasoline, PADD 4, Step 3</v>
      </c>
      <c r="E402" s="197" t="str">
        <f>'Imp Refined NYC'!G204</f>
        <v>GSCP4</v>
      </c>
      <c r="F402" s="197"/>
      <c r="G402" s="187"/>
      <c r="H402" s="197"/>
      <c r="I402" s="197">
        <v>1.0049999999999999</v>
      </c>
      <c r="J402" s="197">
        <v>1.0049999999999999</v>
      </c>
      <c r="K402" s="195">
        <v>0</v>
      </c>
      <c r="L402" s="195">
        <v>0</v>
      </c>
      <c r="M402" s="195">
        <v>0</v>
      </c>
      <c r="N402" s="195">
        <v>0</v>
      </c>
      <c r="O402" s="195">
        <v>0</v>
      </c>
      <c r="P402" s="195">
        <v>0</v>
      </c>
      <c r="Q402" s="195">
        <v>0</v>
      </c>
      <c r="R402" s="195">
        <v>0</v>
      </c>
      <c r="S402" s="195">
        <v>0</v>
      </c>
      <c r="T402" s="195">
        <v>0</v>
      </c>
      <c r="U402" s="187"/>
      <c r="V402" s="187">
        <f>'Imp Refined NYC'!AF204</f>
        <v>0.11125984904759978</v>
      </c>
      <c r="W402" s="187">
        <f>'Imp Refined NYC'!AG204</f>
        <v>0</v>
      </c>
      <c r="X402" s="187">
        <f>'Imp Refined NYC'!AH204</f>
        <v>0</v>
      </c>
      <c r="Y402" s="187">
        <f>'Imp Refined NYC'!AI204</f>
        <v>0</v>
      </c>
      <c r="Z402" s="187">
        <f>'Imp Refined NYC'!AF204</f>
        <v>0.11125984904759978</v>
      </c>
      <c r="AA402" s="187">
        <f>'Imp Refined NYC'!AG204</f>
        <v>0</v>
      </c>
      <c r="AB402" s="187">
        <f>'Imp Refined NYC'!AH204</f>
        <v>0</v>
      </c>
      <c r="AC402" s="187">
        <f>'Imp Refined NYC'!AI204</f>
        <v>0</v>
      </c>
      <c r="AD402" s="187">
        <f>'Imp Refined NYC'!AJ204</f>
        <v>0</v>
      </c>
      <c r="AE402" s="187">
        <f>'Imp Refined NYC'!AK204</f>
        <v>0</v>
      </c>
      <c r="AF402" s="187">
        <f>'Imp Refined NYC'!AL204</f>
        <v>0</v>
      </c>
      <c r="AG402" s="197"/>
      <c r="AH402" s="197"/>
      <c r="BC402" s="147"/>
      <c r="BD402" s="147"/>
      <c r="BE402" s="147"/>
      <c r="BF402" s="147"/>
      <c r="BG402" s="147"/>
    </row>
    <row r="403" spans="2:59">
      <c r="B403" s="158" t="str">
        <f>Technologies!B$386</f>
        <v>*R0</v>
      </c>
      <c r="C403" s="158" t="str">
        <f>'Imp Refined NYC'!E205</f>
        <v>IMPGSCP41</v>
      </c>
      <c r="D403" s="158" t="str">
        <f>'Imp Refined NYC'!F205</f>
        <v>Imported Conventional Gasoline, PADD 4, Step 1</v>
      </c>
      <c r="E403" s="197" t="str">
        <f>'Imp Refined NYC'!G205</f>
        <v>GSCP4</v>
      </c>
      <c r="F403" s="197"/>
      <c r="G403" s="187"/>
      <c r="H403" s="197"/>
      <c r="I403" s="197">
        <v>1.0049999999999999</v>
      </c>
      <c r="J403" s="197">
        <v>1.0049999999999999</v>
      </c>
      <c r="K403" s="195">
        <v>0</v>
      </c>
      <c r="L403" s="195">
        <v>0</v>
      </c>
      <c r="M403" s="195">
        <v>0</v>
      </c>
      <c r="N403" s="195">
        <v>0</v>
      </c>
      <c r="O403" s="195">
        <v>0</v>
      </c>
      <c r="P403" s="195">
        <v>0</v>
      </c>
      <c r="Q403" s="195">
        <v>0</v>
      </c>
      <c r="R403" s="195">
        <v>0</v>
      </c>
      <c r="S403" s="195">
        <v>0</v>
      </c>
      <c r="T403" s="195">
        <v>0</v>
      </c>
      <c r="U403" s="187"/>
      <c r="V403" s="187">
        <f>'Imp Refined NYC'!AF205</f>
        <v>0.89007879238080001</v>
      </c>
      <c r="W403" s="187">
        <f>'Imp Refined NYC'!AG205</f>
        <v>0</v>
      </c>
      <c r="X403" s="187">
        <f>'Imp Refined NYC'!AH205</f>
        <v>0</v>
      </c>
      <c r="Y403" s="187">
        <f>'Imp Refined NYC'!AI205</f>
        <v>0</v>
      </c>
      <c r="Z403" s="187">
        <f>'Imp Refined NYC'!AF205</f>
        <v>0.89007879238080001</v>
      </c>
      <c r="AA403" s="187">
        <f>'Imp Refined NYC'!AG205</f>
        <v>0</v>
      </c>
      <c r="AB403" s="187">
        <f>'Imp Refined NYC'!AH205</f>
        <v>0</v>
      </c>
      <c r="AC403" s="187">
        <f>'Imp Refined NYC'!AI205</f>
        <v>0</v>
      </c>
      <c r="AD403" s="187">
        <f>'Imp Refined NYC'!AJ205</f>
        <v>0</v>
      </c>
      <c r="AE403" s="187">
        <f>'Imp Refined NYC'!AK205</f>
        <v>0</v>
      </c>
      <c r="AF403" s="187">
        <f>'Imp Refined NYC'!AL205</f>
        <v>0</v>
      </c>
      <c r="AG403" s="197"/>
      <c r="AH403" s="197"/>
      <c r="BC403" s="147"/>
      <c r="BD403" s="147"/>
      <c r="BE403" s="147"/>
      <c r="BF403" s="147"/>
      <c r="BG403" s="147"/>
    </row>
    <row r="404" spans="2:59">
      <c r="B404" s="158" t="str">
        <f>Technologies!B$387</f>
        <v>*R0</v>
      </c>
      <c r="C404" s="158" t="str">
        <f>'Imp Refined NYC'!E206</f>
        <v>IMPGSCP42</v>
      </c>
      <c r="D404" s="158" t="str">
        <f>'Imp Refined NYC'!F206</f>
        <v>Imported Conventional Gasoline, PADD 4, Step 2</v>
      </c>
      <c r="E404" s="197" t="str">
        <f>'Imp Refined NYC'!G206</f>
        <v>GSCP4</v>
      </c>
      <c r="F404" s="197"/>
      <c r="G404" s="187"/>
      <c r="H404" s="197"/>
      <c r="I404" s="197">
        <v>1.0049999999999999</v>
      </c>
      <c r="J404" s="197">
        <v>1.0049999999999999</v>
      </c>
      <c r="K404" s="195">
        <v>0</v>
      </c>
      <c r="L404" s="195">
        <v>0</v>
      </c>
      <c r="M404" s="195">
        <v>0</v>
      </c>
      <c r="N404" s="195">
        <v>0</v>
      </c>
      <c r="O404" s="195">
        <v>0</v>
      </c>
      <c r="P404" s="195">
        <v>0</v>
      </c>
      <c r="Q404" s="195">
        <v>0</v>
      </c>
      <c r="R404" s="195">
        <v>0</v>
      </c>
      <c r="S404" s="195">
        <v>0</v>
      </c>
      <c r="T404" s="195">
        <v>0</v>
      </c>
      <c r="U404" s="187"/>
      <c r="V404" s="187">
        <f>'Imp Refined NYC'!AF206</f>
        <v>0.1112598490476</v>
      </c>
      <c r="W404" s="187">
        <f>'Imp Refined NYC'!AG206</f>
        <v>0</v>
      </c>
      <c r="X404" s="187">
        <f>'Imp Refined NYC'!AH206</f>
        <v>0</v>
      </c>
      <c r="Y404" s="187">
        <f>'Imp Refined NYC'!AI206</f>
        <v>0</v>
      </c>
      <c r="Z404" s="187">
        <f>'Imp Refined NYC'!AF206</f>
        <v>0.1112598490476</v>
      </c>
      <c r="AA404" s="187">
        <f>'Imp Refined NYC'!AG206</f>
        <v>0</v>
      </c>
      <c r="AB404" s="187">
        <f>'Imp Refined NYC'!AH206</f>
        <v>0</v>
      </c>
      <c r="AC404" s="187">
        <f>'Imp Refined NYC'!AI206</f>
        <v>0</v>
      </c>
      <c r="AD404" s="187">
        <f>'Imp Refined NYC'!AJ206</f>
        <v>0</v>
      </c>
      <c r="AE404" s="187">
        <f>'Imp Refined NYC'!AK206</f>
        <v>0</v>
      </c>
      <c r="AF404" s="187">
        <f>'Imp Refined NYC'!AL206</f>
        <v>0</v>
      </c>
      <c r="AG404" s="197"/>
      <c r="AH404" s="197"/>
      <c r="BC404" s="147"/>
      <c r="BD404" s="147"/>
      <c r="BE404" s="147"/>
      <c r="BF404" s="147"/>
      <c r="BG404" s="147"/>
    </row>
    <row r="405" spans="2:59">
      <c r="B405" s="158" t="str">
        <f>Technologies!B$388</f>
        <v>*R0</v>
      </c>
      <c r="C405" s="158" t="str">
        <f>'Imp Refined NYC'!E207</f>
        <v>IMPGSCP44</v>
      </c>
      <c r="D405" s="158" t="str">
        <f>'Imp Refined NYC'!F207</f>
        <v>Imported Conventional Gasoline, PADD 4, Step 4</v>
      </c>
      <c r="E405" s="197" t="str">
        <f>'Imp Refined NYC'!G207</f>
        <v>GSCP4</v>
      </c>
      <c r="F405" s="197"/>
      <c r="G405" s="187"/>
      <c r="H405" s="197"/>
      <c r="I405" s="197">
        <v>1.0049999999999999</v>
      </c>
      <c r="J405" s="197">
        <v>1.0049999999999999</v>
      </c>
      <c r="K405" s="195">
        <v>0</v>
      </c>
      <c r="L405" s="195">
        <v>0</v>
      </c>
      <c r="M405" s="195">
        <v>0</v>
      </c>
      <c r="N405" s="195">
        <v>0</v>
      </c>
      <c r="O405" s="195">
        <v>0</v>
      </c>
      <c r="P405" s="195">
        <v>0</v>
      </c>
      <c r="Q405" s="195">
        <v>0</v>
      </c>
      <c r="R405" s="195">
        <v>0</v>
      </c>
      <c r="S405" s="195">
        <v>0</v>
      </c>
      <c r="T405" s="195">
        <v>0</v>
      </c>
      <c r="U405" s="187"/>
      <c r="V405" s="187">
        <f>'Imp Refined NYC'!AF207</f>
        <v>0.22251969809520022</v>
      </c>
      <c r="W405" s="187">
        <f>'Imp Refined NYC'!AG207</f>
        <v>0</v>
      </c>
      <c r="X405" s="187">
        <f>'Imp Refined NYC'!AH207</f>
        <v>0</v>
      </c>
      <c r="Y405" s="187">
        <f>'Imp Refined NYC'!AI207</f>
        <v>0</v>
      </c>
      <c r="Z405" s="187">
        <f>'Imp Refined NYC'!AF207</f>
        <v>0.22251969809520022</v>
      </c>
      <c r="AA405" s="187">
        <f>'Imp Refined NYC'!AG207</f>
        <v>0</v>
      </c>
      <c r="AB405" s="187">
        <f>'Imp Refined NYC'!AH207</f>
        <v>0</v>
      </c>
      <c r="AC405" s="187">
        <f>'Imp Refined NYC'!AI207</f>
        <v>0</v>
      </c>
      <c r="AD405" s="187">
        <f>'Imp Refined NYC'!AJ207</f>
        <v>0</v>
      </c>
      <c r="AE405" s="187">
        <f>'Imp Refined NYC'!AK207</f>
        <v>0</v>
      </c>
      <c r="AF405" s="187">
        <f>'Imp Refined NYC'!AL207</f>
        <v>0</v>
      </c>
      <c r="AG405" s="197"/>
      <c r="AH405" s="197"/>
      <c r="BC405" s="147"/>
      <c r="BD405" s="147"/>
      <c r="BE405" s="147"/>
      <c r="BF405" s="147"/>
      <c r="BG405" s="147"/>
    </row>
    <row r="406" spans="2:59">
      <c r="B406" s="158" t="str">
        <f>Technologies!B$389</f>
        <v>*R0</v>
      </c>
      <c r="C406" s="158" t="str">
        <f>'Imp Refined NYC'!E208</f>
        <v>IMPGSCP45</v>
      </c>
      <c r="D406" s="158" t="str">
        <f>'Imp Refined NYC'!F208</f>
        <v>Imported Conventional Gasoline, PADD 4, Step 5</v>
      </c>
      <c r="E406" s="197" t="str">
        <f>'Imp Refined NYC'!G208</f>
        <v>GSCP4</v>
      </c>
      <c r="F406" s="197"/>
      <c r="G406" s="187"/>
      <c r="H406" s="197"/>
      <c r="I406" s="197">
        <v>1.0049999999999999</v>
      </c>
      <c r="J406" s="197">
        <v>1.0049999999999999</v>
      </c>
      <c r="K406" s="195">
        <v>0</v>
      </c>
      <c r="L406" s="195">
        <v>0</v>
      </c>
      <c r="M406" s="195">
        <v>0</v>
      </c>
      <c r="N406" s="195">
        <v>0</v>
      </c>
      <c r="O406" s="195">
        <v>0</v>
      </c>
      <c r="P406" s="195">
        <v>0</v>
      </c>
      <c r="Q406" s="195">
        <v>0</v>
      </c>
      <c r="R406" s="195">
        <v>0</v>
      </c>
      <c r="S406" s="195">
        <v>0</v>
      </c>
      <c r="T406" s="195">
        <v>0</v>
      </c>
      <c r="U406" s="187"/>
      <c r="V406" s="187">
        <f>'Imp Refined NYC'!AF208</f>
        <v>0.89007879238079957</v>
      </c>
      <c r="W406" s="187">
        <f>'Imp Refined NYC'!AG208</f>
        <v>0</v>
      </c>
      <c r="X406" s="187">
        <f>'Imp Refined NYC'!AH208</f>
        <v>0</v>
      </c>
      <c r="Y406" s="187">
        <f>'Imp Refined NYC'!AI208</f>
        <v>0</v>
      </c>
      <c r="Z406" s="187">
        <f>'Imp Refined NYC'!AF208</f>
        <v>0.89007879238079957</v>
      </c>
      <c r="AA406" s="187">
        <f>'Imp Refined NYC'!AG208</f>
        <v>0</v>
      </c>
      <c r="AB406" s="187">
        <f>'Imp Refined NYC'!AH208</f>
        <v>0</v>
      </c>
      <c r="AC406" s="187">
        <f>'Imp Refined NYC'!AI208</f>
        <v>0</v>
      </c>
      <c r="AD406" s="187">
        <f>'Imp Refined NYC'!AJ208</f>
        <v>0</v>
      </c>
      <c r="AE406" s="187">
        <f>'Imp Refined NYC'!AK208</f>
        <v>0</v>
      </c>
      <c r="AF406" s="187">
        <f>'Imp Refined NYC'!AL208</f>
        <v>0</v>
      </c>
      <c r="AG406" s="197"/>
      <c r="AH406" s="197"/>
      <c r="BC406" s="147"/>
      <c r="BD406" s="147"/>
      <c r="BE406" s="147"/>
      <c r="BF406" s="147"/>
      <c r="BG406" s="147"/>
    </row>
    <row r="407" spans="2:59">
      <c r="B407" s="158" t="str">
        <f>Technologies!B$390</f>
        <v>*R0</v>
      </c>
      <c r="C407" s="158" t="str">
        <f>'Imp Refined NYC'!E209</f>
        <v>IMPDSHP43</v>
      </c>
      <c r="D407" s="158" t="str">
        <f>'Imp Refined NYC'!F209</f>
        <v>Imported Distillate-Heating Oil No. 2, PADD 4, Step 3</v>
      </c>
      <c r="E407" s="197" t="str">
        <f>'Imp Refined NYC'!G209</f>
        <v>DSHP4</v>
      </c>
      <c r="F407" s="197"/>
      <c r="G407" s="187"/>
      <c r="H407" s="197"/>
      <c r="I407" s="197">
        <v>1.0049999999999999</v>
      </c>
      <c r="J407" s="197">
        <v>1.0049999999999999</v>
      </c>
      <c r="K407" s="195">
        <f>'Imp Refined NYC'!M209</f>
        <v>11.211343038129144</v>
      </c>
      <c r="L407" s="195" t="e">
        <f>'Imp Refined NYC'!N209</f>
        <v>#REF!</v>
      </c>
      <c r="M407" s="195" t="e">
        <f>'Imp Refined NYC'!O209</f>
        <v>#REF!</v>
      </c>
      <c r="N407" s="195" t="e">
        <f>'Imp Refined NYC'!P209</f>
        <v>#REF!</v>
      </c>
      <c r="O407" s="195" t="e">
        <f>'Imp Refined NYC'!Q209</f>
        <v>#REF!</v>
      </c>
      <c r="P407" s="195" t="e">
        <f>'Imp Refined NYC'!R209</f>
        <v>#REF!</v>
      </c>
      <c r="Q407" s="195" t="e">
        <f>'Imp Refined NYC'!S209</f>
        <v>#REF!</v>
      </c>
      <c r="R407" s="195" t="e">
        <f>'Imp Refined NYC'!T209</f>
        <v>#REF!</v>
      </c>
      <c r="S407" s="195" t="e">
        <f>'Imp Refined NYC'!U209</f>
        <v>#REF!</v>
      </c>
      <c r="T407" s="195" t="e">
        <f>'Imp Refined NYC'!V209</f>
        <v>#REF!</v>
      </c>
      <c r="U407" s="187"/>
      <c r="V407" s="187">
        <f>'Imp Refined NYC'!AF209</f>
        <v>0.30058624569199921</v>
      </c>
      <c r="W407" s="187">
        <f>'Imp Refined NYC'!AG209</f>
        <v>0.19515674160599983</v>
      </c>
      <c r="X407" s="187">
        <f>'Imp Refined NYC'!AH209</f>
        <v>0.21534537004799992</v>
      </c>
      <c r="Y407" s="187">
        <f>'Imp Refined NYC'!AI209</f>
        <v>0.23777717942799947</v>
      </c>
      <c r="Z407" s="187"/>
      <c r="AA407" s="187"/>
      <c r="AB407" s="187"/>
      <c r="AC407" s="187"/>
      <c r="AD407" s="187"/>
      <c r="AE407" s="187"/>
      <c r="AF407" s="195"/>
      <c r="AG407" s="197"/>
      <c r="AH407" s="197"/>
      <c r="BC407" s="147"/>
      <c r="BD407" s="147"/>
      <c r="BE407" s="147"/>
      <c r="BF407" s="147"/>
      <c r="BG407" s="147"/>
    </row>
    <row r="408" spans="2:59">
      <c r="B408" s="158" t="str">
        <f>Technologies!B$391</f>
        <v>*R0</v>
      </c>
      <c r="C408" s="158" t="str">
        <f>'Imp Refined NYC'!E210</f>
        <v>IMPDSHP41</v>
      </c>
      <c r="D408" s="158" t="str">
        <f>'Imp Refined NYC'!F210</f>
        <v>Imported Distillate-Heating Oil No. 2, PADD 4, Step 1</v>
      </c>
      <c r="E408" s="197" t="str">
        <f>'Imp Refined NYC'!G210</f>
        <v>DSHP4</v>
      </c>
      <c r="F408" s="197"/>
      <c r="G408" s="187"/>
      <c r="H408" s="197"/>
      <c r="I408" s="197">
        <v>1.0049999999999999</v>
      </c>
      <c r="J408" s="197">
        <v>1.0049999999999999</v>
      </c>
      <c r="K408" s="195">
        <f>'Imp Refined NYC'!M210</f>
        <v>10.650775886222686</v>
      </c>
      <c r="L408" s="195" t="e">
        <f>'Imp Refined NYC'!N210</f>
        <v>#REF!</v>
      </c>
      <c r="M408" s="195" t="e">
        <f>'Imp Refined NYC'!O210</f>
        <v>#REF!</v>
      </c>
      <c r="N408" s="195" t="e">
        <f>'Imp Refined NYC'!P210</f>
        <v>#REF!</v>
      </c>
      <c r="O408" s="195" t="e">
        <f>'Imp Refined NYC'!Q210</f>
        <v>#REF!</v>
      </c>
      <c r="P408" s="195" t="e">
        <f>'Imp Refined NYC'!R210</f>
        <v>#REF!</v>
      </c>
      <c r="Q408" s="195" t="e">
        <f>'Imp Refined NYC'!S210</f>
        <v>#REF!</v>
      </c>
      <c r="R408" s="195" t="e">
        <f>'Imp Refined NYC'!T210</f>
        <v>#REF!</v>
      </c>
      <c r="S408" s="195" t="e">
        <f>'Imp Refined NYC'!U210</f>
        <v>#REF!</v>
      </c>
      <c r="T408" s="195" t="e">
        <f>'Imp Refined NYC'!V210</f>
        <v>#REF!</v>
      </c>
      <c r="U408" s="187"/>
      <c r="V408" s="187">
        <f>'Imp Refined NYC'!AF210</f>
        <v>2.4046899655359999</v>
      </c>
      <c r="W408" s="187">
        <f>'Imp Refined NYC'!AG210</f>
        <v>1.561253932848</v>
      </c>
      <c r="X408" s="187">
        <f>'Imp Refined NYC'!AH210</f>
        <v>1.7227629603839998</v>
      </c>
      <c r="Y408" s="187">
        <f>'Imp Refined NYC'!AI210</f>
        <v>1.902217435424</v>
      </c>
      <c r="Z408" s="187"/>
      <c r="AA408" s="187"/>
      <c r="AB408" s="187"/>
      <c r="AC408" s="187"/>
      <c r="AD408" s="187"/>
      <c r="AE408" s="187"/>
      <c r="AF408" s="195"/>
      <c r="AG408" s="197"/>
      <c r="AH408" s="197"/>
      <c r="BC408" s="147"/>
      <c r="BD408" s="147"/>
      <c r="BE408" s="147"/>
      <c r="BF408" s="147"/>
      <c r="BG408" s="147"/>
    </row>
    <row r="409" spans="2:59">
      <c r="B409" s="158" t="str">
        <f>Technologies!B$392</f>
        <v>*R0</v>
      </c>
      <c r="C409" s="158" t="str">
        <f>'Imp Refined NYC'!E211</f>
        <v>IMPDSHP42</v>
      </c>
      <c r="D409" s="158" t="str">
        <f>'Imp Refined NYC'!F211</f>
        <v>Imported Distillate-Heating Oil No. 2, PADD 4, Step 2</v>
      </c>
      <c r="E409" s="197" t="str">
        <f>'Imp Refined NYC'!G211</f>
        <v>DSHP4</v>
      </c>
      <c r="F409" s="197"/>
      <c r="G409" s="187"/>
      <c r="H409" s="197"/>
      <c r="I409" s="197">
        <v>1.0049999999999999</v>
      </c>
      <c r="J409" s="197">
        <v>1.0049999999999999</v>
      </c>
      <c r="K409" s="195">
        <f>'Imp Refined NYC'!M211</f>
        <v>10.987116177366559</v>
      </c>
      <c r="L409" s="195" t="e">
        <f>'Imp Refined NYC'!N211</f>
        <v>#REF!</v>
      </c>
      <c r="M409" s="195" t="e">
        <f>'Imp Refined NYC'!O211</f>
        <v>#REF!</v>
      </c>
      <c r="N409" s="195" t="e">
        <f>'Imp Refined NYC'!P211</f>
        <v>#REF!</v>
      </c>
      <c r="O409" s="195" t="e">
        <f>'Imp Refined NYC'!Q211</f>
        <v>#REF!</v>
      </c>
      <c r="P409" s="195" t="e">
        <f>'Imp Refined NYC'!R211</f>
        <v>#REF!</v>
      </c>
      <c r="Q409" s="195" t="e">
        <f>'Imp Refined NYC'!S211</f>
        <v>#REF!</v>
      </c>
      <c r="R409" s="195" t="e">
        <f>'Imp Refined NYC'!T211</f>
        <v>#REF!</v>
      </c>
      <c r="S409" s="195" t="e">
        <f>'Imp Refined NYC'!U211</f>
        <v>#REF!</v>
      </c>
      <c r="T409" s="195" t="e">
        <f>'Imp Refined NYC'!V211</f>
        <v>#REF!</v>
      </c>
      <c r="U409" s="187"/>
      <c r="V409" s="187">
        <f>'Imp Refined NYC'!AF211</f>
        <v>0.30058624569200054</v>
      </c>
      <c r="W409" s="187">
        <f>'Imp Refined NYC'!AG211</f>
        <v>0.19515674160600005</v>
      </c>
      <c r="X409" s="187">
        <f>'Imp Refined NYC'!AH211</f>
        <v>0.21534537004799992</v>
      </c>
      <c r="Y409" s="187">
        <f>'Imp Refined NYC'!AI211</f>
        <v>0.23777717942800014</v>
      </c>
      <c r="Z409" s="187"/>
      <c r="AA409" s="187"/>
      <c r="AB409" s="187"/>
      <c r="AC409" s="187"/>
      <c r="AD409" s="187"/>
      <c r="AE409" s="187"/>
      <c r="AF409" s="195"/>
      <c r="AG409" s="197"/>
      <c r="AH409" s="197"/>
      <c r="BC409" s="147"/>
      <c r="BD409" s="147"/>
      <c r="BE409" s="147"/>
      <c r="BF409" s="147"/>
      <c r="BG409" s="147"/>
    </row>
    <row r="410" spans="2:59">
      <c r="B410" s="158" t="str">
        <f>Technologies!B$393</f>
        <v>*R0</v>
      </c>
      <c r="C410" s="158" t="str">
        <f>'Imp Refined NYC'!E212</f>
        <v>IMPDSHP44</v>
      </c>
      <c r="D410" s="158" t="str">
        <f>'Imp Refined NYC'!F212</f>
        <v>Imported Distillate-Heating Oil No. 2, PADD 4, Step 4</v>
      </c>
      <c r="E410" s="197" t="str">
        <f>'Imp Refined NYC'!G212</f>
        <v>DSHP4</v>
      </c>
      <c r="F410" s="197"/>
      <c r="G410" s="187"/>
      <c r="H410" s="197"/>
      <c r="I410" s="197">
        <v>1.0049999999999999</v>
      </c>
      <c r="J410" s="197">
        <v>1.0049999999999999</v>
      </c>
      <c r="K410" s="195">
        <f>'Imp Refined NYC'!M212</f>
        <v>12.220363911560765</v>
      </c>
      <c r="L410" s="195" t="e">
        <f>'Imp Refined NYC'!N212</f>
        <v>#REF!</v>
      </c>
      <c r="M410" s="195" t="e">
        <f>'Imp Refined NYC'!O212</f>
        <v>#REF!</v>
      </c>
      <c r="N410" s="195" t="e">
        <f>'Imp Refined NYC'!P212</f>
        <v>#REF!</v>
      </c>
      <c r="O410" s="195" t="e">
        <f>'Imp Refined NYC'!Q212</f>
        <v>#REF!</v>
      </c>
      <c r="P410" s="195" t="e">
        <f>'Imp Refined NYC'!R212</f>
        <v>#REF!</v>
      </c>
      <c r="Q410" s="195" t="e">
        <f>'Imp Refined NYC'!S212</f>
        <v>#REF!</v>
      </c>
      <c r="R410" s="195" t="e">
        <f>'Imp Refined NYC'!T212</f>
        <v>#REF!</v>
      </c>
      <c r="S410" s="195" t="e">
        <f>'Imp Refined NYC'!U212</f>
        <v>#REF!</v>
      </c>
      <c r="T410" s="195" t="e">
        <f>'Imp Refined NYC'!V212</f>
        <v>#REF!</v>
      </c>
      <c r="U410" s="187"/>
      <c r="V410" s="187">
        <f>'Imp Refined NYC'!AF212</f>
        <v>0.6011724913840002</v>
      </c>
      <c r="W410" s="187">
        <f>'Imp Refined NYC'!AG212</f>
        <v>0.39031348321200032</v>
      </c>
      <c r="X410" s="187">
        <f>'Imp Refined NYC'!AH212</f>
        <v>0.43069074009600028</v>
      </c>
      <c r="Y410" s="187">
        <f>'Imp Refined NYC'!AI212</f>
        <v>0.47555435885600073</v>
      </c>
      <c r="Z410" s="187"/>
      <c r="AA410" s="187"/>
      <c r="AB410" s="187"/>
      <c r="AC410" s="187"/>
      <c r="AD410" s="187"/>
      <c r="AE410" s="187"/>
      <c r="AF410" s="195"/>
      <c r="AG410" s="197"/>
      <c r="AH410" s="197"/>
      <c r="BC410" s="147"/>
      <c r="BD410" s="147"/>
      <c r="BE410" s="147"/>
      <c r="BF410" s="147"/>
      <c r="BG410" s="147"/>
    </row>
    <row r="411" spans="2:59">
      <c r="B411" s="158" t="str">
        <f>Technologies!B$394</f>
        <v>*R0</v>
      </c>
      <c r="C411" s="158" t="str">
        <f>'Imp Refined NYC'!E213</f>
        <v>IMPDSHP45</v>
      </c>
      <c r="D411" s="158" t="str">
        <f>'Imp Refined NYC'!F213</f>
        <v>Imported Distillate-Heating Oil No. 2, PADD 4, Step 5</v>
      </c>
      <c r="E411" s="197" t="str">
        <f>'Imp Refined NYC'!G213</f>
        <v>DSHP4</v>
      </c>
      <c r="F411" s="197"/>
      <c r="G411" s="187"/>
      <c r="H411" s="197"/>
      <c r="I411" s="197">
        <v>1.0049999999999999</v>
      </c>
      <c r="J411" s="197">
        <v>1.0049999999999999</v>
      </c>
      <c r="K411" s="195">
        <f>'Imp Refined NYC'!M213</f>
        <v>14.574745949567887</v>
      </c>
      <c r="L411" s="195" t="e">
        <f>'Imp Refined NYC'!N213</f>
        <v>#REF!</v>
      </c>
      <c r="M411" s="195" t="e">
        <f>'Imp Refined NYC'!O213</f>
        <v>#REF!</v>
      </c>
      <c r="N411" s="195" t="e">
        <f>'Imp Refined NYC'!P213</f>
        <v>#REF!</v>
      </c>
      <c r="O411" s="195" t="e">
        <f>'Imp Refined NYC'!Q213</f>
        <v>#REF!</v>
      </c>
      <c r="P411" s="195" t="e">
        <f>'Imp Refined NYC'!R213</f>
        <v>#REF!</v>
      </c>
      <c r="Q411" s="195" t="e">
        <f>'Imp Refined NYC'!S213</f>
        <v>#REF!</v>
      </c>
      <c r="R411" s="195" t="e">
        <f>'Imp Refined NYC'!T213</f>
        <v>#REF!</v>
      </c>
      <c r="S411" s="195" t="e">
        <f>'Imp Refined NYC'!U213</f>
        <v>#REF!</v>
      </c>
      <c r="T411" s="195" t="e">
        <f>'Imp Refined NYC'!V213</f>
        <v>#REF!</v>
      </c>
      <c r="U411" s="187"/>
      <c r="V411" s="187">
        <f>'Imp Refined NYC'!AF213</f>
        <v>2.4046899655359995</v>
      </c>
      <c r="W411" s="187">
        <f>'Imp Refined NYC'!AG213</f>
        <v>1.5612539328479995</v>
      </c>
      <c r="X411" s="187">
        <f>'Imp Refined NYC'!AH213</f>
        <v>1.7227629603839993</v>
      </c>
      <c r="Y411" s="187">
        <f>'Imp Refined NYC'!AI213</f>
        <v>1.9022174354239989</v>
      </c>
      <c r="Z411" s="187"/>
      <c r="AA411" s="187"/>
      <c r="AB411" s="187"/>
      <c r="AC411" s="187"/>
      <c r="AD411" s="187"/>
      <c r="AE411" s="187"/>
      <c r="AF411" s="195"/>
      <c r="AG411" s="197"/>
      <c r="AH411" s="197"/>
      <c r="BC411" s="147"/>
      <c r="BD411" s="147"/>
      <c r="BE411" s="147"/>
      <c r="BF411" s="147"/>
      <c r="BG411" s="147"/>
    </row>
    <row r="412" spans="2:59">
      <c r="B412" s="158" t="str">
        <f>Technologies!B$395</f>
        <v>*R0</v>
      </c>
      <c r="C412" s="158" t="str">
        <f>'Imp Refined NYC'!E214</f>
        <v>IMPDSLP43</v>
      </c>
      <c r="D412" s="158" t="str">
        <f>'Imp Refined NYC'!F214</f>
        <v>Imported Distillate-Low Sulfur Highway Diesel (500 ppm), PADD 4, Step 3</v>
      </c>
      <c r="E412" s="197" t="str">
        <f>'Imp Refined NYC'!G214</f>
        <v>DSLP4</v>
      </c>
      <c r="F412" s="197"/>
      <c r="G412" s="187"/>
      <c r="H412" s="197"/>
      <c r="I412" s="197">
        <v>1.0049999999999999</v>
      </c>
      <c r="J412" s="197">
        <v>1.0049999999999999</v>
      </c>
      <c r="K412" s="195">
        <f>'Imp Refined NYC'!M214</f>
        <v>12.672497985773608</v>
      </c>
      <c r="L412" s="195" t="e">
        <f>'Imp Refined NYC'!N214</f>
        <v>#REF!</v>
      </c>
      <c r="M412" s="195" t="e">
        <f>'Imp Refined NYC'!O214</f>
        <v>#REF!</v>
      </c>
      <c r="N412" s="195" t="e">
        <f>'Imp Refined NYC'!P214</f>
        <v>#REF!</v>
      </c>
      <c r="O412" s="195" t="e">
        <f>'Imp Refined NYC'!Q214</f>
        <v>#REF!</v>
      </c>
      <c r="P412" s="195" t="e">
        <f>'Imp Refined NYC'!R214</f>
        <v>#REF!</v>
      </c>
      <c r="Q412" s="195" t="e">
        <f>'Imp Refined NYC'!S214</f>
        <v>#REF!</v>
      </c>
      <c r="R412" s="195" t="e">
        <f>'Imp Refined NYC'!T214</f>
        <v>#REF!</v>
      </c>
      <c r="S412" s="195" t="e">
        <f>'Imp Refined NYC'!U214</f>
        <v>#REF!</v>
      </c>
      <c r="T412" s="195" t="e">
        <f>'Imp Refined NYC'!V214</f>
        <v>#REF!</v>
      </c>
      <c r="U412" s="187"/>
      <c r="V412" s="187">
        <f>'Imp Refined NYC'!AF214</f>
        <v>2.1018605389060028</v>
      </c>
      <c r="W412" s="187">
        <f>'Imp Refined NYC'!AG214</f>
        <v>0.47779753979400041</v>
      </c>
      <c r="X412" s="187">
        <f>'Imp Refined NYC'!AH214</f>
        <v>0.11215904689999978</v>
      </c>
      <c r="Y412" s="187">
        <f>'Imp Refined NYC'!AI214</f>
        <v>2.691817125599999E-2</v>
      </c>
      <c r="Z412" s="187"/>
      <c r="AA412" s="187"/>
      <c r="AB412" s="187"/>
      <c r="AC412" s="187"/>
      <c r="AD412" s="187"/>
      <c r="AE412" s="187"/>
      <c r="AF412" s="195"/>
      <c r="AG412" s="197"/>
      <c r="AH412" s="197"/>
      <c r="BC412" s="147"/>
      <c r="BD412" s="147"/>
      <c r="BE412" s="147"/>
      <c r="BF412" s="147"/>
      <c r="BG412" s="147"/>
    </row>
    <row r="413" spans="2:59">
      <c r="B413" s="158" t="str">
        <f>Technologies!B$396</f>
        <v>*R0</v>
      </c>
      <c r="C413" s="158" t="str">
        <f>'Imp Refined NYC'!E215</f>
        <v>IMPDSLP41</v>
      </c>
      <c r="D413" s="158" t="str">
        <f>'Imp Refined NYC'!F215</f>
        <v>Imported Distillate-Low Sulfur Highway Diesel (500 ppm), PADD 4, Step 1</v>
      </c>
      <c r="E413" s="197" t="str">
        <f>'Imp Refined NYC'!G215</f>
        <v>DSLP4</v>
      </c>
      <c r="F413" s="197"/>
      <c r="G413" s="187"/>
      <c r="H413" s="197"/>
      <c r="I413" s="197">
        <v>1.0049999999999999</v>
      </c>
      <c r="J413" s="197">
        <v>1.0049999999999999</v>
      </c>
      <c r="K413" s="195">
        <f>'Imp Refined NYC'!M215</f>
        <v>12.038873086484926</v>
      </c>
      <c r="L413" s="195" t="e">
        <f>'Imp Refined NYC'!N215</f>
        <v>#REF!</v>
      </c>
      <c r="M413" s="195" t="e">
        <f>'Imp Refined NYC'!O215</f>
        <v>#REF!</v>
      </c>
      <c r="N413" s="195" t="e">
        <f>'Imp Refined NYC'!P215</f>
        <v>#REF!</v>
      </c>
      <c r="O413" s="195" t="e">
        <f>'Imp Refined NYC'!Q215</f>
        <v>#REF!</v>
      </c>
      <c r="P413" s="195" t="e">
        <f>'Imp Refined NYC'!R215</f>
        <v>#REF!</v>
      </c>
      <c r="Q413" s="195" t="e">
        <f>'Imp Refined NYC'!S215</f>
        <v>#REF!</v>
      </c>
      <c r="R413" s="195" t="e">
        <f>'Imp Refined NYC'!T215</f>
        <v>#REF!</v>
      </c>
      <c r="S413" s="195" t="e">
        <f>'Imp Refined NYC'!U215</f>
        <v>#REF!</v>
      </c>
      <c r="T413" s="195" t="e">
        <f>'Imp Refined NYC'!V215</f>
        <v>#REF!</v>
      </c>
      <c r="U413" s="187"/>
      <c r="V413" s="187">
        <f>'Imp Refined NYC'!AF215</f>
        <v>16.814884311247997</v>
      </c>
      <c r="W413" s="187">
        <f>'Imp Refined NYC'!AG215</f>
        <v>3.8223803183519998</v>
      </c>
      <c r="X413" s="187">
        <f>'Imp Refined NYC'!AH215</f>
        <v>0.89727237519999981</v>
      </c>
      <c r="Y413" s="187">
        <f>'Imp Refined NYC'!AI215</f>
        <v>0.21534537004799997</v>
      </c>
      <c r="Z413" s="187"/>
      <c r="AA413" s="187"/>
      <c r="AB413" s="187"/>
      <c r="AC413" s="187"/>
      <c r="AD413" s="187"/>
      <c r="AE413" s="187"/>
      <c r="AF413" s="195"/>
      <c r="AG413" s="197"/>
      <c r="AH413" s="197"/>
      <c r="BC413" s="147"/>
      <c r="BD413" s="147"/>
      <c r="BE413" s="147"/>
      <c r="BF413" s="147"/>
      <c r="BG413" s="147"/>
    </row>
    <row r="414" spans="2:59">
      <c r="B414" s="158" t="str">
        <f>Technologies!B$397</f>
        <v>*R0</v>
      </c>
      <c r="C414" s="158" t="str">
        <f>'Imp Refined NYC'!E216</f>
        <v>IMPDSLP42</v>
      </c>
      <c r="D414" s="158" t="str">
        <f>'Imp Refined NYC'!F216</f>
        <v>Imported Distillate-Low Sulfur Highway Diesel (500 ppm), PADD 4, Step 2</v>
      </c>
      <c r="E414" s="197" t="str">
        <f>'Imp Refined NYC'!G216</f>
        <v>DSLP4</v>
      </c>
      <c r="F414" s="197"/>
      <c r="G414" s="187"/>
      <c r="H414" s="197"/>
      <c r="I414" s="197">
        <v>1.0049999999999999</v>
      </c>
      <c r="J414" s="197">
        <v>1.0049999999999999</v>
      </c>
      <c r="K414" s="195">
        <f>'Imp Refined NYC'!M216</f>
        <v>12.419048026058137</v>
      </c>
      <c r="L414" s="195" t="e">
        <f>'Imp Refined NYC'!N216</f>
        <v>#REF!</v>
      </c>
      <c r="M414" s="195" t="e">
        <f>'Imp Refined NYC'!O216</f>
        <v>#REF!</v>
      </c>
      <c r="N414" s="195" t="e">
        <f>'Imp Refined NYC'!P216</f>
        <v>#REF!</v>
      </c>
      <c r="O414" s="195" t="e">
        <f>'Imp Refined NYC'!Q216</f>
        <v>#REF!</v>
      </c>
      <c r="P414" s="195" t="e">
        <f>'Imp Refined NYC'!R216</f>
        <v>#REF!</v>
      </c>
      <c r="Q414" s="195" t="e">
        <f>'Imp Refined NYC'!S216</f>
        <v>#REF!</v>
      </c>
      <c r="R414" s="195" t="e">
        <f>'Imp Refined NYC'!T216</f>
        <v>#REF!</v>
      </c>
      <c r="S414" s="195" t="e">
        <f>'Imp Refined NYC'!U216</f>
        <v>#REF!</v>
      </c>
      <c r="T414" s="195" t="e">
        <f>'Imp Refined NYC'!V216</f>
        <v>#REF!</v>
      </c>
      <c r="U414" s="187"/>
      <c r="V414" s="187">
        <f>'Imp Refined NYC'!AF216</f>
        <v>2.1018605389059992</v>
      </c>
      <c r="W414" s="187">
        <f>'Imp Refined NYC'!AG216</f>
        <v>0.47779753979399953</v>
      </c>
      <c r="X414" s="187">
        <f>'Imp Refined NYC'!AH216</f>
        <v>0.11215904690000023</v>
      </c>
      <c r="Y414" s="187">
        <f>'Imp Refined NYC'!AI216</f>
        <v>2.691817125599999E-2</v>
      </c>
      <c r="Z414" s="187"/>
      <c r="AA414" s="187"/>
      <c r="AB414" s="187"/>
      <c r="AC414" s="187"/>
      <c r="AD414" s="187"/>
      <c r="AE414" s="187"/>
      <c r="AF414" s="195"/>
      <c r="AG414" s="197"/>
      <c r="AH414" s="197"/>
      <c r="BC414" s="147"/>
      <c r="BD414" s="147"/>
      <c r="BE414" s="147"/>
      <c r="BF414" s="147"/>
      <c r="BG414" s="147"/>
    </row>
    <row r="415" spans="2:59">
      <c r="B415" s="158" t="str">
        <f>Technologies!B$398</f>
        <v>*R0</v>
      </c>
      <c r="C415" s="158" t="str">
        <f>'Imp Refined NYC'!E217</f>
        <v>IMPDSLP44</v>
      </c>
      <c r="D415" s="158" t="str">
        <f>'Imp Refined NYC'!F217</f>
        <v>Imported Distillate-Low Sulfur Highway Diesel (500 ppm), PADD 4, Step 4</v>
      </c>
      <c r="E415" s="197" t="str">
        <f>'Imp Refined NYC'!G217</f>
        <v>DSLP4</v>
      </c>
      <c r="F415" s="197"/>
      <c r="G415" s="187"/>
      <c r="H415" s="197"/>
      <c r="I415" s="197">
        <v>1.0049999999999999</v>
      </c>
      <c r="J415" s="197">
        <v>1.0049999999999999</v>
      </c>
      <c r="K415" s="195">
        <f>'Imp Refined NYC'!M217</f>
        <v>13.813022804493235</v>
      </c>
      <c r="L415" s="195" t="e">
        <f>'Imp Refined NYC'!N217</f>
        <v>#REF!</v>
      </c>
      <c r="M415" s="195" t="e">
        <f>'Imp Refined NYC'!O217</f>
        <v>#REF!</v>
      </c>
      <c r="N415" s="195" t="e">
        <f>'Imp Refined NYC'!P217</f>
        <v>#REF!</v>
      </c>
      <c r="O415" s="195" t="e">
        <f>'Imp Refined NYC'!Q217</f>
        <v>#REF!</v>
      </c>
      <c r="P415" s="195" t="e">
        <f>'Imp Refined NYC'!R217</f>
        <v>#REF!</v>
      </c>
      <c r="Q415" s="195" t="e">
        <f>'Imp Refined NYC'!S217</f>
        <v>#REF!</v>
      </c>
      <c r="R415" s="195" t="e">
        <f>'Imp Refined NYC'!T217</f>
        <v>#REF!</v>
      </c>
      <c r="S415" s="195" t="e">
        <f>'Imp Refined NYC'!U217</f>
        <v>#REF!</v>
      </c>
      <c r="T415" s="195" t="e">
        <f>'Imp Refined NYC'!V217</f>
        <v>#REF!</v>
      </c>
      <c r="U415" s="187"/>
      <c r="V415" s="187">
        <f>'Imp Refined NYC'!AF217</f>
        <v>4.2037210778119984</v>
      </c>
      <c r="W415" s="187">
        <f>'Imp Refined NYC'!AG217</f>
        <v>0.95559507958799905</v>
      </c>
      <c r="X415" s="187">
        <f>'Imp Refined NYC'!AH217</f>
        <v>0.22431809380000023</v>
      </c>
      <c r="Y415" s="187">
        <f>'Imp Refined NYC'!AI217</f>
        <v>5.3836342512000035E-2</v>
      </c>
      <c r="Z415" s="187"/>
      <c r="AA415" s="187"/>
      <c r="AB415" s="187"/>
      <c r="AC415" s="187"/>
      <c r="AD415" s="187"/>
      <c r="AE415" s="187"/>
      <c r="AF415" s="195"/>
      <c r="AG415" s="197"/>
      <c r="AH415" s="197"/>
      <c r="BC415" s="147"/>
      <c r="BD415" s="147"/>
      <c r="BE415" s="147"/>
      <c r="BF415" s="147"/>
      <c r="BG415" s="147"/>
    </row>
    <row r="416" spans="2:59">
      <c r="B416" s="158" t="str">
        <f>Technologies!B$399</f>
        <v>*R0</v>
      </c>
      <c r="C416" s="158" t="str">
        <f>'Imp Refined NYC'!E218</f>
        <v>IMPDSLP45</v>
      </c>
      <c r="D416" s="158" t="str">
        <f>'Imp Refined NYC'!F218</f>
        <v>Imported Distillate-Low Sulfur Highway Diesel (500 ppm), PADD 4, Step 5</v>
      </c>
      <c r="E416" s="197" t="str">
        <f>'Imp Refined NYC'!G218</f>
        <v>DSLP4</v>
      </c>
      <c r="F416" s="197"/>
      <c r="G416" s="187"/>
      <c r="H416" s="197"/>
      <c r="I416" s="197">
        <v>1.0049999999999999</v>
      </c>
      <c r="J416" s="197">
        <v>1.0049999999999999</v>
      </c>
      <c r="K416" s="195">
        <f>'Imp Refined NYC'!M218</f>
        <v>16.474247381505691</v>
      </c>
      <c r="L416" s="195" t="e">
        <f>'Imp Refined NYC'!N218</f>
        <v>#REF!</v>
      </c>
      <c r="M416" s="195" t="e">
        <f>'Imp Refined NYC'!O218</f>
        <v>#REF!</v>
      </c>
      <c r="N416" s="195" t="e">
        <f>'Imp Refined NYC'!P218</f>
        <v>#REF!</v>
      </c>
      <c r="O416" s="195" t="e">
        <f>'Imp Refined NYC'!Q218</f>
        <v>#REF!</v>
      </c>
      <c r="P416" s="195" t="e">
        <f>'Imp Refined NYC'!R218</f>
        <v>#REF!</v>
      </c>
      <c r="Q416" s="195" t="e">
        <f>'Imp Refined NYC'!S218</f>
        <v>#REF!</v>
      </c>
      <c r="R416" s="195" t="e">
        <f>'Imp Refined NYC'!T218</f>
        <v>#REF!</v>
      </c>
      <c r="S416" s="195" t="e">
        <f>'Imp Refined NYC'!U218</f>
        <v>#REF!</v>
      </c>
      <c r="T416" s="195" t="e">
        <f>'Imp Refined NYC'!V218</f>
        <v>#REF!</v>
      </c>
      <c r="U416" s="187"/>
      <c r="V416" s="187">
        <f>'Imp Refined NYC'!AF218</f>
        <v>16.814884311248001</v>
      </c>
      <c r="W416" s="187">
        <f>'Imp Refined NYC'!AG218</f>
        <v>3.8223803183520006</v>
      </c>
      <c r="X416" s="187">
        <f>'Imp Refined NYC'!AH218</f>
        <v>0.89727237519999958</v>
      </c>
      <c r="Y416" s="187">
        <f>'Imp Refined NYC'!AI218</f>
        <v>0.21534537004799992</v>
      </c>
      <c r="Z416" s="187"/>
      <c r="AA416" s="187"/>
      <c r="AB416" s="187"/>
      <c r="AC416" s="187"/>
      <c r="AD416" s="187"/>
      <c r="AE416" s="187"/>
      <c r="AF416" s="195"/>
      <c r="AG416" s="197"/>
      <c r="AH416" s="197"/>
      <c r="BC416" s="147"/>
      <c r="BD416" s="147"/>
      <c r="BE416" s="147"/>
      <c r="BF416" s="147"/>
      <c r="BG416" s="147"/>
    </row>
    <row r="417" spans="2:59">
      <c r="B417" s="158" t="str">
        <f>Technologies!B$400</f>
        <v>*R0</v>
      </c>
      <c r="C417" s="158" t="str">
        <f>'Imp Refined NYC'!E219</f>
        <v>IMPRFLP43</v>
      </c>
      <c r="D417" s="158" t="str">
        <f>'Imp Refined NYC'!F219</f>
        <v>Imported Low Sulfur Residual Fuel Oil, PADD 4, Step 3</v>
      </c>
      <c r="E417" s="197" t="str">
        <f>'Imp Refined NYC'!G219</f>
        <v>RFLP4</v>
      </c>
      <c r="F417" s="197"/>
      <c r="G417" s="187"/>
      <c r="H417" s="197"/>
      <c r="I417" s="197">
        <v>1.0049999999999999</v>
      </c>
      <c r="J417" s="197">
        <v>1.0049999999999999</v>
      </c>
      <c r="K417" s="195">
        <f>'Imp Refined NYC'!M219</f>
        <v>8.5171211022886126</v>
      </c>
      <c r="L417" s="195" t="e">
        <f>'Imp Refined NYC'!N219</f>
        <v>#REF!</v>
      </c>
      <c r="M417" s="195" t="e">
        <f>'Imp Refined NYC'!O219</f>
        <v>#REF!</v>
      </c>
      <c r="N417" s="195" t="e">
        <f>'Imp Refined NYC'!P219</f>
        <v>#REF!</v>
      </c>
      <c r="O417" s="195" t="e">
        <f>'Imp Refined NYC'!Q219</f>
        <v>#REF!</v>
      </c>
      <c r="P417" s="195" t="e">
        <f>'Imp Refined NYC'!R219</f>
        <v>#REF!</v>
      </c>
      <c r="Q417" s="195" t="e">
        <f>'Imp Refined NYC'!S219</f>
        <v>#REF!</v>
      </c>
      <c r="R417" s="195" t="e">
        <f>'Imp Refined NYC'!T219</f>
        <v>#REF!</v>
      </c>
      <c r="S417" s="195" t="e">
        <f>'Imp Refined NYC'!U219</f>
        <v>#REF!</v>
      </c>
      <c r="T417" s="195" t="e">
        <f>'Imp Refined NYC'!V219</f>
        <v>#REF!</v>
      </c>
      <c r="U417" s="187"/>
      <c r="V417" s="187">
        <f>'Imp Refined NYC'!AF219</f>
        <v>0</v>
      </c>
      <c r="W417" s="187">
        <f>'Imp Refined NYC'!AG219</f>
        <v>0</v>
      </c>
      <c r="X417" s="187">
        <f>'Imp Refined NYC'!AH219</f>
        <v>0</v>
      </c>
      <c r="Y417" s="187">
        <f>'Imp Refined NYC'!AI219</f>
        <v>0</v>
      </c>
      <c r="Z417" s="187"/>
      <c r="AA417" s="187"/>
      <c r="AB417" s="187"/>
      <c r="AC417" s="187"/>
      <c r="AD417" s="187"/>
      <c r="AE417" s="187"/>
      <c r="AF417" s="195"/>
      <c r="AG417" s="197"/>
      <c r="AH417" s="197"/>
      <c r="BC417" s="147"/>
      <c r="BD417" s="147"/>
      <c r="BE417" s="147"/>
      <c r="BF417" s="147"/>
      <c r="BG417" s="147"/>
    </row>
    <row r="418" spans="2:59">
      <c r="B418" s="158" t="str">
        <f>Technologies!B$401</f>
        <v>*R0</v>
      </c>
      <c r="C418" s="158" t="str">
        <f>'Imp Refined NYC'!E220</f>
        <v>IMPRFLP41</v>
      </c>
      <c r="D418" s="158" t="str">
        <f>'Imp Refined NYC'!F220</f>
        <v>Imported Low Sulfur Residual Fuel Oil, PADD 4, Step 1</v>
      </c>
      <c r="E418" s="197" t="str">
        <f>'Imp Refined NYC'!G220</f>
        <v>RFLP4</v>
      </c>
      <c r="F418" s="197"/>
      <c r="G418" s="187"/>
      <c r="H418" s="197"/>
      <c r="I418" s="197">
        <v>1.0049999999999999</v>
      </c>
      <c r="J418" s="197">
        <v>1.0049999999999999</v>
      </c>
      <c r="K418" s="195">
        <f>'Imp Refined NYC'!M220</f>
        <v>8.0912650471741809</v>
      </c>
      <c r="L418" s="195" t="e">
        <f>'Imp Refined NYC'!N220</f>
        <v>#REF!</v>
      </c>
      <c r="M418" s="195" t="e">
        <f>'Imp Refined NYC'!O220</f>
        <v>#REF!</v>
      </c>
      <c r="N418" s="195" t="e">
        <f>'Imp Refined NYC'!P220</f>
        <v>#REF!</v>
      </c>
      <c r="O418" s="195" t="e">
        <f>'Imp Refined NYC'!Q220</f>
        <v>#REF!</v>
      </c>
      <c r="P418" s="195" t="e">
        <f>'Imp Refined NYC'!R220</f>
        <v>#REF!</v>
      </c>
      <c r="Q418" s="195" t="e">
        <f>'Imp Refined NYC'!S220</f>
        <v>#REF!</v>
      </c>
      <c r="R418" s="195" t="e">
        <f>'Imp Refined NYC'!T220</f>
        <v>#REF!</v>
      </c>
      <c r="S418" s="195" t="e">
        <f>'Imp Refined NYC'!U220</f>
        <v>#REF!</v>
      </c>
      <c r="T418" s="195" t="e">
        <f>'Imp Refined NYC'!V220</f>
        <v>#REF!</v>
      </c>
      <c r="U418" s="187"/>
      <c r="V418" s="187">
        <f>'Imp Refined NYC'!AF220</f>
        <v>0</v>
      </c>
      <c r="W418" s="187">
        <f>'Imp Refined NYC'!AG220</f>
        <v>0</v>
      </c>
      <c r="X418" s="187">
        <f>'Imp Refined NYC'!AH220</f>
        <v>0</v>
      </c>
      <c r="Y418" s="187">
        <f>'Imp Refined NYC'!AI220</f>
        <v>0</v>
      </c>
      <c r="Z418" s="187"/>
      <c r="AA418" s="187"/>
      <c r="AB418" s="187"/>
      <c r="AC418" s="187"/>
      <c r="AD418" s="187"/>
      <c r="AE418" s="187"/>
      <c r="AF418" s="195"/>
      <c r="AG418" s="197"/>
      <c r="AH418" s="197"/>
      <c r="BC418" s="147"/>
      <c r="BD418" s="147"/>
      <c r="BE418" s="147"/>
      <c r="BF418" s="147"/>
      <c r="BG418" s="147"/>
    </row>
    <row r="419" spans="2:59">
      <c r="B419" s="158" t="str">
        <f>Technologies!B$402</f>
        <v>*R0</v>
      </c>
      <c r="C419" s="158" t="str">
        <f>'Imp Refined NYC'!E221</f>
        <v>IMPRFLP42</v>
      </c>
      <c r="D419" s="158" t="str">
        <f>'Imp Refined NYC'!F221</f>
        <v>Imported Low Sulfur Residual Fuel Oil, PADD 4, Step 2</v>
      </c>
      <c r="E419" s="197" t="str">
        <f>'Imp Refined NYC'!G221</f>
        <v>RFLP4</v>
      </c>
      <c r="F419" s="197"/>
      <c r="G419" s="187"/>
      <c r="H419" s="197"/>
      <c r="I419" s="197">
        <v>1.0049999999999999</v>
      </c>
      <c r="J419" s="197">
        <v>1.0049999999999999</v>
      </c>
      <c r="K419" s="195">
        <f>'Imp Refined NYC'!M221</f>
        <v>8.3467786802428403</v>
      </c>
      <c r="L419" s="195" t="e">
        <f>'Imp Refined NYC'!N221</f>
        <v>#REF!</v>
      </c>
      <c r="M419" s="195" t="e">
        <f>'Imp Refined NYC'!O221</f>
        <v>#REF!</v>
      </c>
      <c r="N419" s="195" t="e">
        <f>'Imp Refined NYC'!P221</f>
        <v>#REF!</v>
      </c>
      <c r="O419" s="195" t="e">
        <f>'Imp Refined NYC'!Q221</f>
        <v>#REF!</v>
      </c>
      <c r="P419" s="195" t="e">
        <f>'Imp Refined NYC'!R221</f>
        <v>#REF!</v>
      </c>
      <c r="Q419" s="195" t="e">
        <f>'Imp Refined NYC'!S221</f>
        <v>#REF!</v>
      </c>
      <c r="R419" s="195" t="e">
        <f>'Imp Refined NYC'!T221</f>
        <v>#REF!</v>
      </c>
      <c r="S419" s="195" t="e">
        <f>'Imp Refined NYC'!U221</f>
        <v>#REF!</v>
      </c>
      <c r="T419" s="195" t="e">
        <f>'Imp Refined NYC'!V221</f>
        <v>#REF!</v>
      </c>
      <c r="U419" s="187"/>
      <c r="V419" s="187">
        <f>'Imp Refined NYC'!AF221</f>
        <v>0</v>
      </c>
      <c r="W419" s="187">
        <f>'Imp Refined NYC'!AG221</f>
        <v>0</v>
      </c>
      <c r="X419" s="187">
        <f>'Imp Refined NYC'!AH221</f>
        <v>0</v>
      </c>
      <c r="Y419" s="187">
        <f>'Imp Refined NYC'!AI221</f>
        <v>0</v>
      </c>
      <c r="Z419" s="187"/>
      <c r="AA419" s="187"/>
      <c r="AB419" s="187"/>
      <c r="AC419" s="187"/>
      <c r="AD419" s="187"/>
      <c r="AE419" s="187"/>
      <c r="AF419" s="195"/>
      <c r="AG419" s="197"/>
      <c r="AH419" s="197"/>
      <c r="BC419" s="147"/>
      <c r="BD419" s="147"/>
      <c r="BE419" s="147"/>
      <c r="BF419" s="147"/>
      <c r="BG419" s="147"/>
    </row>
    <row r="420" spans="2:59">
      <c r="B420" s="158" t="str">
        <f>Technologies!B$403</f>
        <v>*R0</v>
      </c>
      <c r="C420" s="158" t="str">
        <f>'Imp Refined NYC'!E222</f>
        <v>IMPRFLP44</v>
      </c>
      <c r="D420" s="158" t="str">
        <f>'Imp Refined NYC'!F222</f>
        <v>Imported Low Sulfur Residual Fuel Oil, PADD 4, Step 4</v>
      </c>
      <c r="E420" s="197" t="str">
        <f>'Imp Refined NYC'!G222</f>
        <v>RFLP4</v>
      </c>
      <c r="F420" s="197"/>
      <c r="G420" s="187"/>
      <c r="H420" s="197"/>
      <c r="I420" s="197">
        <v>1.0049999999999999</v>
      </c>
      <c r="J420" s="197">
        <v>1.0049999999999999</v>
      </c>
      <c r="K420" s="195">
        <f>'Imp Refined NYC'!M222</f>
        <v>9.2836620014945854</v>
      </c>
      <c r="L420" s="195" t="e">
        <f>'Imp Refined NYC'!N222</f>
        <v>#REF!</v>
      </c>
      <c r="M420" s="195" t="e">
        <f>'Imp Refined NYC'!O222</f>
        <v>#REF!</v>
      </c>
      <c r="N420" s="195" t="e">
        <f>'Imp Refined NYC'!P222</f>
        <v>#REF!</v>
      </c>
      <c r="O420" s="195" t="e">
        <f>'Imp Refined NYC'!Q222</f>
        <v>#REF!</v>
      </c>
      <c r="P420" s="195" t="e">
        <f>'Imp Refined NYC'!R222</f>
        <v>#REF!</v>
      </c>
      <c r="Q420" s="195" t="e">
        <f>'Imp Refined NYC'!S222</f>
        <v>#REF!</v>
      </c>
      <c r="R420" s="195" t="e">
        <f>'Imp Refined NYC'!T222</f>
        <v>#REF!</v>
      </c>
      <c r="S420" s="195" t="e">
        <f>'Imp Refined NYC'!U222</f>
        <v>#REF!</v>
      </c>
      <c r="T420" s="195" t="e">
        <f>'Imp Refined NYC'!V222</f>
        <v>#REF!</v>
      </c>
      <c r="U420" s="187"/>
      <c r="V420" s="187">
        <f>'Imp Refined NYC'!AF222</f>
        <v>0</v>
      </c>
      <c r="W420" s="187">
        <f>'Imp Refined NYC'!AG222</f>
        <v>0</v>
      </c>
      <c r="X420" s="187">
        <f>'Imp Refined NYC'!AH222</f>
        <v>0</v>
      </c>
      <c r="Y420" s="187">
        <f>'Imp Refined NYC'!AI222</f>
        <v>0</v>
      </c>
      <c r="Z420" s="187"/>
      <c r="AA420" s="187"/>
      <c r="AB420" s="187"/>
      <c r="AC420" s="187"/>
      <c r="AD420" s="187"/>
      <c r="AE420" s="187"/>
      <c r="AF420" s="195"/>
      <c r="AG420" s="197"/>
      <c r="AH420" s="197"/>
      <c r="BC420" s="147"/>
      <c r="BD420" s="147"/>
      <c r="BE420" s="147"/>
      <c r="BF420" s="147"/>
      <c r="BG420" s="147"/>
    </row>
    <row r="421" spans="2:59">
      <c r="B421" s="158" t="str">
        <f>Technologies!B$404</f>
        <v>*R0</v>
      </c>
      <c r="C421" s="158" t="str">
        <f>'Imp Refined NYC'!E223</f>
        <v>IMPRFLP45</v>
      </c>
      <c r="D421" s="158" t="str">
        <f>'Imp Refined NYC'!F223</f>
        <v>Imported Low Sulfur Residual Fuel Oil, PADD 4, Step 5</v>
      </c>
      <c r="E421" s="197" t="str">
        <f>'Imp Refined NYC'!G223</f>
        <v>RFLP4</v>
      </c>
      <c r="F421" s="197"/>
      <c r="G421" s="187"/>
      <c r="H421" s="197"/>
      <c r="I421" s="197">
        <v>1.0049999999999999</v>
      </c>
      <c r="J421" s="197">
        <v>1.0049999999999999</v>
      </c>
      <c r="K421" s="195">
        <f>'Imp Refined NYC'!M223</f>
        <v>11.072257432975196</v>
      </c>
      <c r="L421" s="195" t="e">
        <f>'Imp Refined NYC'!N223</f>
        <v>#REF!</v>
      </c>
      <c r="M421" s="195" t="e">
        <f>'Imp Refined NYC'!O223</f>
        <v>#REF!</v>
      </c>
      <c r="N421" s="195" t="e">
        <f>'Imp Refined NYC'!P223</f>
        <v>#REF!</v>
      </c>
      <c r="O421" s="195" t="e">
        <f>'Imp Refined NYC'!Q223</f>
        <v>#REF!</v>
      </c>
      <c r="P421" s="195" t="e">
        <f>'Imp Refined NYC'!R223</f>
        <v>#REF!</v>
      </c>
      <c r="Q421" s="195" t="e">
        <f>'Imp Refined NYC'!S223</f>
        <v>#REF!</v>
      </c>
      <c r="R421" s="195" t="e">
        <f>'Imp Refined NYC'!T223</f>
        <v>#REF!</v>
      </c>
      <c r="S421" s="195" t="e">
        <f>'Imp Refined NYC'!U223</f>
        <v>#REF!</v>
      </c>
      <c r="T421" s="195" t="e">
        <f>'Imp Refined NYC'!V223</f>
        <v>#REF!</v>
      </c>
      <c r="U421" s="187"/>
      <c r="V421" s="187">
        <f>'Imp Refined NYC'!AF223</f>
        <v>0</v>
      </c>
      <c r="W421" s="187">
        <f>'Imp Refined NYC'!AG223</f>
        <v>0</v>
      </c>
      <c r="X421" s="187">
        <f>'Imp Refined NYC'!AH223</f>
        <v>0</v>
      </c>
      <c r="Y421" s="187">
        <f>'Imp Refined NYC'!AI223</f>
        <v>0</v>
      </c>
      <c r="Z421" s="187"/>
      <c r="AA421" s="187"/>
      <c r="AB421" s="187"/>
      <c r="AC421" s="187"/>
      <c r="AD421" s="187"/>
      <c r="AE421" s="187"/>
      <c r="AF421" s="195"/>
      <c r="AG421" s="197"/>
      <c r="AH421" s="197"/>
      <c r="BC421" s="147"/>
      <c r="BD421" s="147"/>
      <c r="BE421" s="147"/>
      <c r="BF421" s="147"/>
      <c r="BG421" s="147"/>
    </row>
    <row r="422" spans="2:59">
      <c r="B422" s="158" t="str">
        <f>Technologies!B$405</f>
        <v>*R0</v>
      </c>
      <c r="C422" s="158" t="str">
        <f>'Imp Refined NYC'!E224</f>
        <v>IMPRFHP43</v>
      </c>
      <c r="D422" s="158" t="str">
        <f>'Imp Refined NYC'!F224</f>
        <v>Imported High Sulfur Residual Fuel Oil, PADD 4, Step 3</v>
      </c>
      <c r="E422" s="197" t="str">
        <f>'Imp Refined NYC'!G224</f>
        <v>RFHP4</v>
      </c>
      <c r="F422" s="197"/>
      <c r="G422" s="187"/>
      <c r="H422" s="197"/>
      <c r="I422" s="197">
        <v>1.0049999999999999</v>
      </c>
      <c r="J422" s="197">
        <v>1.0049999999999999</v>
      </c>
      <c r="K422" s="195">
        <f>'Imp Refined NYC'!M224</f>
        <v>8.3491707011081395</v>
      </c>
      <c r="L422" s="195" t="e">
        <f>'Imp Refined NYC'!N224</f>
        <v>#REF!</v>
      </c>
      <c r="M422" s="195" t="e">
        <f>'Imp Refined NYC'!O224</f>
        <v>#REF!</v>
      </c>
      <c r="N422" s="195" t="e">
        <f>'Imp Refined NYC'!P224</f>
        <v>#REF!</v>
      </c>
      <c r="O422" s="195" t="e">
        <f>'Imp Refined NYC'!Q224</f>
        <v>#REF!</v>
      </c>
      <c r="P422" s="195" t="e">
        <f>'Imp Refined NYC'!R224</f>
        <v>#REF!</v>
      </c>
      <c r="Q422" s="195" t="e">
        <f>'Imp Refined NYC'!S224</f>
        <v>#REF!</v>
      </c>
      <c r="R422" s="195" t="e">
        <f>'Imp Refined NYC'!T224</f>
        <v>#REF!</v>
      </c>
      <c r="S422" s="195" t="e">
        <f>'Imp Refined NYC'!U224</f>
        <v>#REF!</v>
      </c>
      <c r="T422" s="195" t="e">
        <f>'Imp Refined NYC'!V224</f>
        <v>#REF!</v>
      </c>
      <c r="U422" s="187"/>
      <c r="V422" s="187">
        <f>'Imp Refined NYC'!AF224</f>
        <v>0</v>
      </c>
      <c r="W422" s="187">
        <f>'Imp Refined NYC'!AG224</f>
        <v>0</v>
      </c>
      <c r="X422" s="187">
        <f>'Imp Refined NYC'!AH224</f>
        <v>0</v>
      </c>
      <c r="Y422" s="187">
        <f>'Imp Refined NYC'!AI224</f>
        <v>0</v>
      </c>
      <c r="Z422" s="187"/>
      <c r="AA422" s="187"/>
      <c r="AB422" s="187"/>
      <c r="AC422" s="187"/>
      <c r="AD422" s="187"/>
      <c r="AE422" s="187"/>
      <c r="AF422" s="195"/>
      <c r="AG422" s="197"/>
      <c r="AH422" s="197"/>
      <c r="BC422" s="147"/>
      <c r="BD422" s="147"/>
      <c r="BE422" s="147"/>
      <c r="BF422" s="147"/>
      <c r="BG422" s="147"/>
    </row>
    <row r="423" spans="2:59">
      <c r="B423" s="158" t="str">
        <f>Technologies!B$406</f>
        <v>*R0</v>
      </c>
      <c r="C423" s="158" t="str">
        <f>'Imp Refined NYC'!E225</f>
        <v>IMPRFHP41</v>
      </c>
      <c r="D423" s="158" t="str">
        <f>'Imp Refined NYC'!F225</f>
        <v>Imported High Sulfur Residual Fuel Oil, PADD 4, Step 1</v>
      </c>
      <c r="E423" s="197" t="str">
        <f>'Imp Refined NYC'!G225</f>
        <v>RFHP4</v>
      </c>
      <c r="F423" s="197"/>
      <c r="G423" s="187"/>
      <c r="H423" s="197"/>
      <c r="I423" s="197">
        <v>1.0049999999999999</v>
      </c>
      <c r="J423" s="197">
        <v>1.0049999999999999</v>
      </c>
      <c r="K423" s="195">
        <f>'Imp Refined NYC'!M225</f>
        <v>7.9317121660527317</v>
      </c>
      <c r="L423" s="195" t="e">
        <f>'Imp Refined NYC'!N225</f>
        <v>#REF!</v>
      </c>
      <c r="M423" s="195" t="e">
        <f>'Imp Refined NYC'!O225</f>
        <v>#REF!</v>
      </c>
      <c r="N423" s="195" t="e">
        <f>'Imp Refined NYC'!P225</f>
        <v>#REF!</v>
      </c>
      <c r="O423" s="195" t="e">
        <f>'Imp Refined NYC'!Q225</f>
        <v>#REF!</v>
      </c>
      <c r="P423" s="195" t="e">
        <f>'Imp Refined NYC'!R225</f>
        <v>#REF!</v>
      </c>
      <c r="Q423" s="195" t="e">
        <f>'Imp Refined NYC'!S225</f>
        <v>#REF!</v>
      </c>
      <c r="R423" s="195" t="e">
        <f>'Imp Refined NYC'!T225</f>
        <v>#REF!</v>
      </c>
      <c r="S423" s="195" t="e">
        <f>'Imp Refined NYC'!U225</f>
        <v>#REF!</v>
      </c>
      <c r="T423" s="195" t="e">
        <f>'Imp Refined NYC'!V225</f>
        <v>#REF!</v>
      </c>
      <c r="U423" s="187"/>
      <c r="V423" s="187">
        <f>'Imp Refined NYC'!AF225</f>
        <v>0</v>
      </c>
      <c r="W423" s="187">
        <f>'Imp Refined NYC'!AG225</f>
        <v>0</v>
      </c>
      <c r="X423" s="187">
        <f>'Imp Refined NYC'!AH225</f>
        <v>0</v>
      </c>
      <c r="Y423" s="187">
        <f>'Imp Refined NYC'!AI225</f>
        <v>0</v>
      </c>
      <c r="Z423" s="187"/>
      <c r="AA423" s="187"/>
      <c r="AB423" s="187"/>
      <c r="AC423" s="187"/>
      <c r="AD423" s="187"/>
      <c r="AE423" s="187"/>
      <c r="AF423" s="195"/>
      <c r="AG423" s="197"/>
      <c r="AH423" s="197"/>
      <c r="BC423" s="147"/>
      <c r="BD423" s="147"/>
      <c r="BE423" s="147"/>
      <c r="BF423" s="147"/>
      <c r="BG423" s="147"/>
    </row>
    <row r="424" spans="2:59">
      <c r="B424" s="158" t="str">
        <f>Technologies!B$407</f>
        <v>*R0</v>
      </c>
      <c r="C424" s="158" t="str">
        <f>'Imp Refined NYC'!E226</f>
        <v>IMPRFHP42</v>
      </c>
      <c r="D424" s="158" t="str">
        <f>'Imp Refined NYC'!F226</f>
        <v>Imported High Sulfur Residual Fuel Oil, PADD 4, Step 2</v>
      </c>
      <c r="E424" s="197" t="str">
        <f>'Imp Refined NYC'!G226</f>
        <v>RFHP4</v>
      </c>
      <c r="F424" s="197"/>
      <c r="G424" s="187"/>
      <c r="H424" s="197"/>
      <c r="I424" s="197">
        <v>1.0049999999999999</v>
      </c>
      <c r="J424" s="197">
        <v>1.0049999999999999</v>
      </c>
      <c r="K424" s="195">
        <f>'Imp Refined NYC'!M226</f>
        <v>8.1821872870859753</v>
      </c>
      <c r="L424" s="195" t="e">
        <f>'Imp Refined NYC'!N226</f>
        <v>#REF!</v>
      </c>
      <c r="M424" s="195" t="e">
        <f>'Imp Refined NYC'!O226</f>
        <v>#REF!</v>
      </c>
      <c r="N424" s="195" t="e">
        <f>'Imp Refined NYC'!P226</f>
        <v>#REF!</v>
      </c>
      <c r="O424" s="195" t="e">
        <f>'Imp Refined NYC'!Q226</f>
        <v>#REF!</v>
      </c>
      <c r="P424" s="195" t="e">
        <f>'Imp Refined NYC'!R226</f>
        <v>#REF!</v>
      </c>
      <c r="Q424" s="195" t="e">
        <f>'Imp Refined NYC'!S226</f>
        <v>#REF!</v>
      </c>
      <c r="R424" s="195" t="e">
        <f>'Imp Refined NYC'!T226</f>
        <v>#REF!</v>
      </c>
      <c r="S424" s="195" t="e">
        <f>'Imp Refined NYC'!U226</f>
        <v>#REF!</v>
      </c>
      <c r="T424" s="195" t="e">
        <f>'Imp Refined NYC'!V226</f>
        <v>#REF!</v>
      </c>
      <c r="U424" s="187"/>
      <c r="V424" s="187">
        <f>'Imp Refined NYC'!AF226</f>
        <v>0</v>
      </c>
      <c r="W424" s="187">
        <f>'Imp Refined NYC'!AG226</f>
        <v>0</v>
      </c>
      <c r="X424" s="187">
        <f>'Imp Refined NYC'!AH226</f>
        <v>0</v>
      </c>
      <c r="Y424" s="187">
        <f>'Imp Refined NYC'!AI226</f>
        <v>0</v>
      </c>
      <c r="Z424" s="187"/>
      <c r="AA424" s="187"/>
      <c r="AB424" s="187"/>
      <c r="AC424" s="187"/>
      <c r="AD424" s="187"/>
      <c r="AE424" s="187"/>
      <c r="AF424" s="195"/>
      <c r="AG424" s="197"/>
      <c r="AH424" s="197"/>
      <c r="BC424" s="147"/>
      <c r="BD424" s="147"/>
      <c r="BE424" s="147"/>
      <c r="BF424" s="147"/>
      <c r="BG424" s="147"/>
    </row>
    <row r="425" spans="2:59">
      <c r="B425" s="158" t="str">
        <f>Technologies!B$408</f>
        <v>*R0</v>
      </c>
      <c r="C425" s="158" t="str">
        <f>'Imp Refined NYC'!E227</f>
        <v>IMPRFHP44</v>
      </c>
      <c r="D425" s="158" t="str">
        <f>'Imp Refined NYC'!F227</f>
        <v>Imported High Sulfur Residual Fuel Oil, PADD 4, Step 4</v>
      </c>
      <c r="E425" s="197" t="str">
        <f>'Imp Refined NYC'!G227</f>
        <v>RFHP4</v>
      </c>
      <c r="F425" s="197"/>
      <c r="G425" s="187"/>
      <c r="H425" s="197"/>
      <c r="I425" s="197">
        <v>1.0049999999999999</v>
      </c>
      <c r="J425" s="197">
        <v>1.0049999999999999</v>
      </c>
      <c r="K425" s="195">
        <f>'Imp Refined NYC'!M227</f>
        <v>9.1005960642078705</v>
      </c>
      <c r="L425" s="195" t="e">
        <f>'Imp Refined NYC'!N227</f>
        <v>#REF!</v>
      </c>
      <c r="M425" s="195" t="e">
        <f>'Imp Refined NYC'!O227</f>
        <v>#REF!</v>
      </c>
      <c r="N425" s="195" t="e">
        <f>'Imp Refined NYC'!P227</f>
        <v>#REF!</v>
      </c>
      <c r="O425" s="195" t="e">
        <f>'Imp Refined NYC'!Q227</f>
        <v>#REF!</v>
      </c>
      <c r="P425" s="195" t="e">
        <f>'Imp Refined NYC'!R227</f>
        <v>#REF!</v>
      </c>
      <c r="Q425" s="195" t="e">
        <f>'Imp Refined NYC'!S227</f>
        <v>#REF!</v>
      </c>
      <c r="R425" s="195" t="e">
        <f>'Imp Refined NYC'!T227</f>
        <v>#REF!</v>
      </c>
      <c r="S425" s="195" t="e">
        <f>'Imp Refined NYC'!U227</f>
        <v>#REF!</v>
      </c>
      <c r="T425" s="195" t="e">
        <f>'Imp Refined NYC'!V227</f>
        <v>#REF!</v>
      </c>
      <c r="U425" s="187"/>
      <c r="V425" s="187">
        <f>'Imp Refined NYC'!AF227</f>
        <v>0</v>
      </c>
      <c r="W425" s="187">
        <f>'Imp Refined NYC'!AG227</f>
        <v>0</v>
      </c>
      <c r="X425" s="187">
        <f>'Imp Refined NYC'!AH227</f>
        <v>0</v>
      </c>
      <c r="Y425" s="187">
        <f>'Imp Refined NYC'!AI227</f>
        <v>0</v>
      </c>
      <c r="Z425" s="187"/>
      <c r="AA425" s="187"/>
      <c r="AB425" s="187"/>
      <c r="AC425" s="187"/>
      <c r="AD425" s="187"/>
      <c r="AE425" s="187"/>
      <c r="AF425" s="195"/>
      <c r="AG425" s="197"/>
      <c r="AH425" s="197"/>
      <c r="BC425" s="147"/>
      <c r="BD425" s="147"/>
      <c r="BE425" s="147"/>
      <c r="BF425" s="147"/>
      <c r="BG425" s="147"/>
    </row>
    <row r="426" spans="2:59">
      <c r="B426" s="158" t="str">
        <f>Technologies!B$409</f>
        <v>*R0</v>
      </c>
      <c r="C426" s="158" t="str">
        <f>'Imp Refined NYC'!E228</f>
        <v>IMPRFHP45</v>
      </c>
      <c r="D426" s="158" t="str">
        <f>'Imp Refined NYC'!F228</f>
        <v>Imported High Sulfur Residual Fuel Oil, PADD 4, Step 5</v>
      </c>
      <c r="E426" s="197" t="str">
        <f>'Imp Refined NYC'!G228</f>
        <v>RFHP4</v>
      </c>
      <c r="F426" s="197"/>
      <c r="G426" s="187"/>
      <c r="H426" s="197"/>
      <c r="I426" s="197">
        <v>1.0049999999999999</v>
      </c>
      <c r="J426" s="197">
        <v>1.0049999999999999</v>
      </c>
      <c r="K426" s="195">
        <f>'Imp Refined NYC'!M228</f>
        <v>10.85392191144058</v>
      </c>
      <c r="L426" s="195" t="e">
        <f>'Imp Refined NYC'!N228</f>
        <v>#REF!</v>
      </c>
      <c r="M426" s="195" t="e">
        <f>'Imp Refined NYC'!O228</f>
        <v>#REF!</v>
      </c>
      <c r="N426" s="195" t="e">
        <f>'Imp Refined NYC'!P228</f>
        <v>#REF!</v>
      </c>
      <c r="O426" s="195" t="e">
        <f>'Imp Refined NYC'!Q228</f>
        <v>#REF!</v>
      </c>
      <c r="P426" s="195" t="e">
        <f>'Imp Refined NYC'!R228</f>
        <v>#REF!</v>
      </c>
      <c r="Q426" s="195" t="e">
        <f>'Imp Refined NYC'!S228</f>
        <v>#REF!</v>
      </c>
      <c r="R426" s="195" t="e">
        <f>'Imp Refined NYC'!T228</f>
        <v>#REF!</v>
      </c>
      <c r="S426" s="195" t="e">
        <f>'Imp Refined NYC'!U228</f>
        <v>#REF!</v>
      </c>
      <c r="T426" s="195" t="e">
        <f>'Imp Refined NYC'!V228</f>
        <v>#REF!</v>
      </c>
      <c r="U426" s="187"/>
      <c r="V426" s="187">
        <f>'Imp Refined NYC'!AF228</f>
        <v>0</v>
      </c>
      <c r="W426" s="187">
        <f>'Imp Refined NYC'!AG228</f>
        <v>0</v>
      </c>
      <c r="X426" s="187">
        <f>'Imp Refined NYC'!AH228</f>
        <v>0</v>
      </c>
      <c r="Y426" s="187">
        <f>'Imp Refined NYC'!AI228</f>
        <v>0</v>
      </c>
      <c r="Z426" s="187"/>
      <c r="AA426" s="187"/>
      <c r="AB426" s="187"/>
      <c r="AC426" s="187"/>
      <c r="AD426" s="187"/>
      <c r="AE426" s="187"/>
      <c r="AF426" s="195"/>
      <c r="AG426" s="197"/>
      <c r="AH426" s="197"/>
      <c r="BC426" s="147"/>
      <c r="BD426" s="147"/>
      <c r="BE426" s="147"/>
      <c r="BF426" s="147"/>
      <c r="BG426" s="147"/>
    </row>
    <row r="427" spans="2:59">
      <c r="B427" s="158" t="str">
        <f>Technologies!B$410</f>
        <v>*R0</v>
      </c>
      <c r="C427" s="158" t="str">
        <f>'Imp Refined NYC'!E229</f>
        <v>IMPJTFP43</v>
      </c>
      <c r="D427" s="158" t="str">
        <f>'Imp Refined NYC'!F229</f>
        <v>Imported Jet Fuel, PADD 4, Step 3</v>
      </c>
      <c r="E427" s="197" t="str">
        <f>'Imp Refined NYC'!G229</f>
        <v>JTFP4</v>
      </c>
      <c r="F427" s="197"/>
      <c r="G427" s="187"/>
      <c r="H427" s="197"/>
      <c r="I427" s="197">
        <v>1.0049999999999999</v>
      </c>
      <c r="J427" s="197">
        <v>1.0049999999999999</v>
      </c>
      <c r="K427" s="195">
        <v>0</v>
      </c>
      <c r="L427" s="195">
        <v>0</v>
      </c>
      <c r="M427" s="195">
        <v>0</v>
      </c>
      <c r="N427" s="195">
        <v>0</v>
      </c>
      <c r="O427" s="195">
        <v>0</v>
      </c>
      <c r="P427" s="195">
        <v>0</v>
      </c>
      <c r="Q427" s="195">
        <v>0</v>
      </c>
      <c r="R427" s="195">
        <v>0</v>
      </c>
      <c r="S427" s="195">
        <v>0</v>
      </c>
      <c r="T427" s="195">
        <v>0</v>
      </c>
      <c r="U427" s="187"/>
      <c r="V427" s="187">
        <f>'Imp Refined NYC'!AF229</f>
        <v>9.3890119226399893E-2</v>
      </c>
      <c r="W427" s="187">
        <f>'Imp Refined NYC'!AG229</f>
        <v>0</v>
      </c>
      <c r="X427" s="187">
        <f>'Imp Refined NYC'!AH229</f>
        <v>0</v>
      </c>
      <c r="Y427" s="187">
        <f>'Imp Refined NYC'!AI229</f>
        <v>0</v>
      </c>
      <c r="Z427" s="187">
        <f>'Imp Refined NYC'!AF229</f>
        <v>9.3890119226399893E-2</v>
      </c>
      <c r="AA427" s="187">
        <f>'Imp Refined NYC'!AG229</f>
        <v>0</v>
      </c>
      <c r="AB427" s="187">
        <f>'Imp Refined NYC'!AH229</f>
        <v>0</v>
      </c>
      <c r="AC427" s="187">
        <f>'Imp Refined NYC'!AI229</f>
        <v>0</v>
      </c>
      <c r="AD427" s="187">
        <f>'Imp Refined NYC'!AJ229</f>
        <v>0</v>
      </c>
      <c r="AE427" s="187">
        <f>'Imp Refined NYC'!AK229</f>
        <v>0</v>
      </c>
      <c r="AF427" s="187">
        <f>'Imp Refined NYC'!AL229</f>
        <v>0</v>
      </c>
      <c r="AG427" s="197"/>
      <c r="AH427" s="197"/>
      <c r="BC427" s="147"/>
      <c r="BD427" s="147"/>
      <c r="BE427" s="147"/>
      <c r="BF427" s="147"/>
      <c r="BG427" s="147"/>
    </row>
    <row r="428" spans="2:59">
      <c r="B428" s="158" t="str">
        <f>Technologies!B$411</f>
        <v>*R0</v>
      </c>
      <c r="C428" s="158" t="str">
        <f>'Imp Refined NYC'!E230</f>
        <v>IMPJTFP41</v>
      </c>
      <c r="D428" s="158" t="str">
        <f>'Imp Refined NYC'!F230</f>
        <v>Imported Jet Fuel, PADD 4, Step 1</v>
      </c>
      <c r="E428" s="197" t="str">
        <f>'Imp Refined NYC'!G230</f>
        <v>JTFP4</v>
      </c>
      <c r="F428" s="197"/>
      <c r="G428" s="187"/>
      <c r="H428" s="197"/>
      <c r="I428" s="197">
        <v>1.0049999999999999</v>
      </c>
      <c r="J428" s="197">
        <v>1.0049999999999999</v>
      </c>
      <c r="K428" s="195">
        <v>0</v>
      </c>
      <c r="L428" s="195">
        <v>0</v>
      </c>
      <c r="M428" s="195">
        <v>0</v>
      </c>
      <c r="N428" s="195">
        <v>0</v>
      </c>
      <c r="O428" s="195">
        <v>0</v>
      </c>
      <c r="P428" s="195">
        <v>0</v>
      </c>
      <c r="Q428" s="195">
        <v>0</v>
      </c>
      <c r="R428" s="195">
        <v>0</v>
      </c>
      <c r="S428" s="195">
        <v>0</v>
      </c>
      <c r="T428" s="195">
        <v>0</v>
      </c>
      <c r="U428" s="187"/>
      <c r="V428" s="187">
        <f>'Imp Refined NYC'!AF230</f>
        <v>0.75112095381120003</v>
      </c>
      <c r="W428" s="187">
        <f>'Imp Refined NYC'!AG230</f>
        <v>0</v>
      </c>
      <c r="X428" s="187">
        <f>'Imp Refined NYC'!AH230</f>
        <v>0</v>
      </c>
      <c r="Y428" s="187">
        <f>'Imp Refined NYC'!AI230</f>
        <v>0</v>
      </c>
      <c r="Z428" s="187">
        <f>'Imp Refined NYC'!AF230</f>
        <v>0.75112095381120003</v>
      </c>
      <c r="AA428" s="187">
        <f>'Imp Refined NYC'!AG230</f>
        <v>0</v>
      </c>
      <c r="AB428" s="187">
        <f>'Imp Refined NYC'!AH230</f>
        <v>0</v>
      </c>
      <c r="AC428" s="187">
        <f>'Imp Refined NYC'!AI230</f>
        <v>0</v>
      </c>
      <c r="AD428" s="187">
        <f>'Imp Refined NYC'!AJ230</f>
        <v>0</v>
      </c>
      <c r="AE428" s="187">
        <f>'Imp Refined NYC'!AK230</f>
        <v>0</v>
      </c>
      <c r="AF428" s="187">
        <f>'Imp Refined NYC'!AL230</f>
        <v>0</v>
      </c>
      <c r="AG428" s="197"/>
      <c r="AH428" s="197"/>
      <c r="BC428" s="147"/>
      <c r="BD428" s="147"/>
      <c r="BE428" s="147"/>
      <c r="BF428" s="147"/>
      <c r="BG428" s="147"/>
    </row>
    <row r="429" spans="2:59">
      <c r="B429" s="158" t="str">
        <f>Technologies!B$412</f>
        <v>*R0</v>
      </c>
      <c r="C429" s="158" t="str">
        <f>'Imp Refined NYC'!E231</f>
        <v>IMPJTFP42</v>
      </c>
      <c r="D429" s="158" t="str">
        <f>'Imp Refined NYC'!F231</f>
        <v>Imported Jet Fuel, PADD 4, Step 2</v>
      </c>
      <c r="E429" s="197" t="str">
        <f>'Imp Refined NYC'!G231</f>
        <v>JTFP4</v>
      </c>
      <c r="F429" s="197"/>
      <c r="G429" s="187"/>
      <c r="H429" s="197"/>
      <c r="I429" s="197">
        <v>1.0049999999999999</v>
      </c>
      <c r="J429" s="197">
        <v>1.0049999999999999</v>
      </c>
      <c r="K429" s="195">
        <v>0</v>
      </c>
      <c r="L429" s="195">
        <v>0</v>
      </c>
      <c r="M429" s="195">
        <v>0</v>
      </c>
      <c r="N429" s="195">
        <v>0</v>
      </c>
      <c r="O429" s="195">
        <v>0</v>
      </c>
      <c r="P429" s="195">
        <v>0</v>
      </c>
      <c r="Q429" s="195">
        <v>0</v>
      </c>
      <c r="R429" s="195">
        <v>0</v>
      </c>
      <c r="S429" s="195">
        <v>0</v>
      </c>
      <c r="T429" s="195">
        <v>0</v>
      </c>
      <c r="U429" s="187"/>
      <c r="V429" s="187">
        <f>'Imp Refined NYC'!AF231</f>
        <v>9.3890119226399893E-2</v>
      </c>
      <c r="W429" s="187">
        <f>'Imp Refined NYC'!AG231</f>
        <v>0</v>
      </c>
      <c r="X429" s="187">
        <f>'Imp Refined NYC'!AH231</f>
        <v>0</v>
      </c>
      <c r="Y429" s="187">
        <f>'Imp Refined NYC'!AI231</f>
        <v>0</v>
      </c>
      <c r="Z429" s="187">
        <f>'Imp Refined NYC'!AF231</f>
        <v>9.3890119226399893E-2</v>
      </c>
      <c r="AA429" s="187">
        <f>'Imp Refined NYC'!AG231</f>
        <v>0</v>
      </c>
      <c r="AB429" s="187">
        <f>'Imp Refined NYC'!AH231</f>
        <v>0</v>
      </c>
      <c r="AC429" s="187">
        <f>'Imp Refined NYC'!AI231</f>
        <v>0</v>
      </c>
      <c r="AD429" s="187">
        <f>'Imp Refined NYC'!AJ231</f>
        <v>0</v>
      </c>
      <c r="AE429" s="187">
        <f>'Imp Refined NYC'!AK231</f>
        <v>0</v>
      </c>
      <c r="AF429" s="187">
        <f>'Imp Refined NYC'!AL231</f>
        <v>0</v>
      </c>
      <c r="AG429" s="197"/>
      <c r="AH429" s="197"/>
      <c r="BC429" s="147"/>
      <c r="BD429" s="147"/>
      <c r="BE429" s="147"/>
      <c r="BF429" s="147"/>
      <c r="BG429" s="147"/>
    </row>
    <row r="430" spans="2:59">
      <c r="B430" s="158" t="str">
        <f>Technologies!B$413</f>
        <v>*R0</v>
      </c>
      <c r="C430" s="158" t="str">
        <f>'Imp Refined NYC'!E232</f>
        <v>IMPJTFP44</v>
      </c>
      <c r="D430" s="158" t="str">
        <f>'Imp Refined NYC'!F232</f>
        <v>Imported Jet Fuel, PADD 4, Step 4</v>
      </c>
      <c r="E430" s="197" t="str">
        <f>'Imp Refined NYC'!G232</f>
        <v>JTFP4</v>
      </c>
      <c r="F430" s="197"/>
      <c r="G430" s="187"/>
      <c r="H430" s="197"/>
      <c r="I430" s="197">
        <v>1.0049999999999999</v>
      </c>
      <c r="J430" s="197">
        <v>1.0049999999999999</v>
      </c>
      <c r="K430" s="195">
        <v>0</v>
      </c>
      <c r="L430" s="195">
        <v>0</v>
      </c>
      <c r="M430" s="195">
        <v>0</v>
      </c>
      <c r="N430" s="195">
        <v>0</v>
      </c>
      <c r="O430" s="195">
        <v>0</v>
      </c>
      <c r="P430" s="195">
        <v>0</v>
      </c>
      <c r="Q430" s="195">
        <v>0</v>
      </c>
      <c r="R430" s="195">
        <v>0</v>
      </c>
      <c r="S430" s="195">
        <v>0</v>
      </c>
      <c r="T430" s="195">
        <v>0</v>
      </c>
      <c r="U430" s="187"/>
      <c r="V430" s="187">
        <f>'Imp Refined NYC'!AF232</f>
        <v>0.18778023845280001</v>
      </c>
      <c r="W430" s="187">
        <f>'Imp Refined NYC'!AG232</f>
        <v>0</v>
      </c>
      <c r="X430" s="187">
        <f>'Imp Refined NYC'!AH232</f>
        <v>0</v>
      </c>
      <c r="Y430" s="187">
        <f>'Imp Refined NYC'!AI232</f>
        <v>0</v>
      </c>
      <c r="Z430" s="187">
        <f>'Imp Refined NYC'!AF232</f>
        <v>0.18778023845280001</v>
      </c>
      <c r="AA430" s="187">
        <f>'Imp Refined NYC'!AG232</f>
        <v>0</v>
      </c>
      <c r="AB430" s="187">
        <f>'Imp Refined NYC'!AH232</f>
        <v>0</v>
      </c>
      <c r="AC430" s="187">
        <f>'Imp Refined NYC'!AI232</f>
        <v>0</v>
      </c>
      <c r="AD430" s="187">
        <f>'Imp Refined NYC'!AJ232</f>
        <v>0</v>
      </c>
      <c r="AE430" s="187">
        <f>'Imp Refined NYC'!AK232</f>
        <v>0</v>
      </c>
      <c r="AF430" s="187">
        <f>'Imp Refined NYC'!AL232</f>
        <v>0</v>
      </c>
      <c r="AG430" s="197"/>
      <c r="AH430" s="197"/>
      <c r="BC430" s="147"/>
      <c r="BD430" s="147"/>
      <c r="BE430" s="147"/>
      <c r="BF430" s="147"/>
      <c r="BG430" s="147"/>
    </row>
    <row r="431" spans="2:59">
      <c r="B431" s="158" t="str">
        <f>Technologies!B$414</f>
        <v>*R0</v>
      </c>
      <c r="C431" s="158" t="str">
        <f>'Imp Refined NYC'!E233</f>
        <v>IMPJTFP45</v>
      </c>
      <c r="D431" s="158" t="str">
        <f>'Imp Refined NYC'!F233</f>
        <v>Imported Jet Fuel, PADD 4, Step 5</v>
      </c>
      <c r="E431" s="197" t="str">
        <f>'Imp Refined NYC'!G233</f>
        <v>JTFP4</v>
      </c>
      <c r="F431" s="197"/>
      <c r="G431" s="187"/>
      <c r="H431" s="197"/>
      <c r="I431" s="197">
        <v>1.0049999999999999</v>
      </c>
      <c r="J431" s="197">
        <v>1.0049999999999999</v>
      </c>
      <c r="K431" s="195">
        <v>0</v>
      </c>
      <c r="L431" s="195">
        <v>0</v>
      </c>
      <c r="M431" s="195">
        <v>0</v>
      </c>
      <c r="N431" s="195">
        <v>0</v>
      </c>
      <c r="O431" s="195">
        <v>0</v>
      </c>
      <c r="P431" s="195">
        <v>0</v>
      </c>
      <c r="Q431" s="195">
        <v>0</v>
      </c>
      <c r="R431" s="195">
        <v>0</v>
      </c>
      <c r="S431" s="195">
        <v>0</v>
      </c>
      <c r="T431" s="195">
        <v>0</v>
      </c>
      <c r="U431" s="187"/>
      <c r="V431" s="187">
        <f>'Imp Refined NYC'!AF233</f>
        <v>0.75112095381119981</v>
      </c>
      <c r="W431" s="187">
        <f>'Imp Refined NYC'!AG233</f>
        <v>0</v>
      </c>
      <c r="X431" s="187">
        <f>'Imp Refined NYC'!AH233</f>
        <v>0</v>
      </c>
      <c r="Y431" s="187">
        <f>'Imp Refined NYC'!AI233</f>
        <v>0</v>
      </c>
      <c r="Z431" s="187">
        <f>'Imp Refined NYC'!AF233</f>
        <v>0.75112095381119981</v>
      </c>
      <c r="AA431" s="187">
        <f>'Imp Refined NYC'!AG233</f>
        <v>0</v>
      </c>
      <c r="AB431" s="187">
        <f>'Imp Refined NYC'!AH233</f>
        <v>0</v>
      </c>
      <c r="AC431" s="187">
        <f>'Imp Refined NYC'!AI233</f>
        <v>0</v>
      </c>
      <c r="AD431" s="187">
        <f>'Imp Refined NYC'!AJ233</f>
        <v>0</v>
      </c>
      <c r="AE431" s="187">
        <f>'Imp Refined NYC'!AK233</f>
        <v>0</v>
      </c>
      <c r="AF431" s="187">
        <f>'Imp Refined NYC'!AL233</f>
        <v>0</v>
      </c>
      <c r="AG431" s="197"/>
      <c r="AH431" s="197"/>
      <c r="BC431" s="147"/>
      <c r="BD431" s="147"/>
      <c r="BE431" s="147"/>
      <c r="BF431" s="147"/>
      <c r="BG431" s="147"/>
    </row>
    <row r="432" spans="2:59">
      <c r="B432" s="158" t="str">
        <f>Technologies!B$415</f>
        <v>*R0</v>
      </c>
      <c r="C432" s="158" t="str">
        <f>'Imp Refined NYC'!E234</f>
        <v>IMPLPGP43</v>
      </c>
      <c r="D432" s="158" t="str">
        <f>'Imp Refined NYC'!F234</f>
        <v>Imported LPG, PADD 4, Step 3</v>
      </c>
      <c r="E432" s="197" t="str">
        <f>'Imp Refined NYC'!G234</f>
        <v>LPGP4</v>
      </c>
      <c r="F432" s="197"/>
      <c r="G432" s="187"/>
      <c r="H432" s="197"/>
      <c r="I432" s="197">
        <v>1.0049999999999999</v>
      </c>
      <c r="J432" s="197">
        <v>1.0049999999999999</v>
      </c>
      <c r="K432" s="195">
        <f>'Imp Refined NYC'!M234</f>
        <v>12.818628614646682</v>
      </c>
      <c r="L432" s="195" t="e">
        <f>'Imp Refined NYC'!N234</f>
        <v>#REF!</v>
      </c>
      <c r="M432" s="195" t="e">
        <f>'Imp Refined NYC'!O234</f>
        <v>#REF!</v>
      </c>
      <c r="N432" s="195" t="e">
        <f>'Imp Refined NYC'!P234</f>
        <v>#REF!</v>
      </c>
      <c r="O432" s="195" t="e">
        <f>'Imp Refined NYC'!Q234</f>
        <v>#REF!</v>
      </c>
      <c r="P432" s="195" t="e">
        <f>'Imp Refined NYC'!R234</f>
        <v>#REF!</v>
      </c>
      <c r="Q432" s="195" t="e">
        <f>'Imp Refined NYC'!S234</f>
        <v>#REF!</v>
      </c>
      <c r="R432" s="195" t="e">
        <f>'Imp Refined NYC'!T234</f>
        <v>#REF!</v>
      </c>
      <c r="S432" s="195" t="e">
        <f>'Imp Refined NYC'!U234</f>
        <v>#REF!</v>
      </c>
      <c r="T432" s="195" t="e">
        <f>'Imp Refined NYC'!V234</f>
        <v>#REF!</v>
      </c>
      <c r="U432" s="187"/>
      <c r="V432" s="187">
        <f>'Imp Refined NYC'!AF234</f>
        <v>2.5135545209468013</v>
      </c>
      <c r="W432" s="187">
        <f>'Imp Refined NYC'!AG234</f>
        <v>1.2574621527134404</v>
      </c>
      <c r="X432" s="187">
        <f>'Imp Refined NYC'!AH234</f>
        <v>1.3875916783210371</v>
      </c>
      <c r="Y432" s="187">
        <f>'Imp Refined NYC'!AI234</f>
        <v>1.532788833209521</v>
      </c>
      <c r="Z432" s="187"/>
      <c r="AA432" s="187"/>
      <c r="AB432" s="187"/>
      <c r="AC432" s="187"/>
      <c r="AD432" s="187"/>
      <c r="AE432" s="187"/>
      <c r="AF432" s="195"/>
      <c r="AG432" s="197"/>
      <c r="AH432" s="197"/>
      <c r="BC432" s="147"/>
      <c r="BD432" s="147"/>
      <c r="BE432" s="147"/>
      <c r="BF432" s="147"/>
      <c r="BG432" s="147"/>
    </row>
    <row r="433" spans="2:59">
      <c r="B433" s="158" t="str">
        <f>Technologies!B$416</f>
        <v>*R0</v>
      </c>
      <c r="C433" s="158" t="str">
        <f>'Imp Refined NYC'!E235</f>
        <v>IMPLPGP41</v>
      </c>
      <c r="D433" s="158" t="str">
        <f>'Imp Refined NYC'!F235</f>
        <v>Imported LPG, PADD 4, Step 1</v>
      </c>
      <c r="E433" s="197" t="str">
        <f>'Imp Refined NYC'!G235</f>
        <v>LPGP4</v>
      </c>
      <c r="F433" s="197"/>
      <c r="G433" s="187"/>
      <c r="H433" s="197"/>
      <c r="I433" s="197">
        <v>1.0049999999999999</v>
      </c>
      <c r="J433" s="197">
        <v>1.0049999999999999</v>
      </c>
      <c r="K433" s="195">
        <f>'Imp Refined NYC'!M235</f>
        <v>12.177697183914349</v>
      </c>
      <c r="L433" s="195" t="e">
        <f>'Imp Refined NYC'!N235</f>
        <v>#REF!</v>
      </c>
      <c r="M433" s="195" t="e">
        <f>'Imp Refined NYC'!O235</f>
        <v>#REF!</v>
      </c>
      <c r="N433" s="195" t="e">
        <f>'Imp Refined NYC'!P235</f>
        <v>#REF!</v>
      </c>
      <c r="O433" s="195" t="e">
        <f>'Imp Refined NYC'!Q235</f>
        <v>#REF!</v>
      </c>
      <c r="P433" s="195" t="e">
        <f>'Imp Refined NYC'!R235</f>
        <v>#REF!</v>
      </c>
      <c r="Q433" s="195" t="e">
        <f>'Imp Refined NYC'!S235</f>
        <v>#REF!</v>
      </c>
      <c r="R433" s="195" t="e">
        <f>'Imp Refined NYC'!T235</f>
        <v>#REF!</v>
      </c>
      <c r="S433" s="195" t="e">
        <f>'Imp Refined NYC'!U235</f>
        <v>#REF!</v>
      </c>
      <c r="T433" s="195" t="e">
        <f>'Imp Refined NYC'!V235</f>
        <v>#REF!</v>
      </c>
      <c r="U433" s="187"/>
      <c r="V433" s="187">
        <f>'Imp Refined NYC'!AF235</f>
        <v>20.108436167574403</v>
      </c>
      <c r="W433" s="187">
        <f>'Imp Refined NYC'!AG235</f>
        <v>10.059697221707518</v>
      </c>
      <c r="X433" s="187">
        <f>'Imp Refined NYC'!AH235</f>
        <v>11.100733426568322</v>
      </c>
      <c r="Y433" s="187">
        <f>'Imp Refined NYC'!AI235</f>
        <v>12.262310665676159</v>
      </c>
      <c r="Z433" s="187"/>
      <c r="AA433" s="187"/>
      <c r="AB433" s="187"/>
      <c r="AC433" s="187"/>
      <c r="AD433" s="187"/>
      <c r="AE433" s="187"/>
      <c r="AF433" s="195"/>
      <c r="AG433" s="197"/>
      <c r="AH433" s="197"/>
      <c r="BC433" s="147"/>
      <c r="BD433" s="147"/>
      <c r="BE433" s="147"/>
      <c r="BF433" s="147"/>
      <c r="BG433" s="147"/>
    </row>
    <row r="434" spans="2:59">
      <c r="B434" s="158" t="str">
        <f>Technologies!B$417</f>
        <v>*R0</v>
      </c>
      <c r="C434" s="158" t="str">
        <f>'Imp Refined NYC'!E236</f>
        <v>IMPLPGP42</v>
      </c>
      <c r="D434" s="158" t="str">
        <f>'Imp Refined NYC'!F236</f>
        <v>Imported LPG, PADD 4, Step 2</v>
      </c>
      <c r="E434" s="197" t="str">
        <f>'Imp Refined NYC'!G236</f>
        <v>LPGP4</v>
      </c>
      <c r="F434" s="197"/>
      <c r="G434" s="187"/>
      <c r="H434" s="197"/>
      <c r="I434" s="197">
        <v>1.0049999999999999</v>
      </c>
      <c r="J434" s="197">
        <v>1.0049999999999999</v>
      </c>
      <c r="K434" s="195">
        <f>'Imp Refined NYC'!M236</f>
        <v>12.56225604235375</v>
      </c>
      <c r="L434" s="195" t="e">
        <f>'Imp Refined NYC'!N236</f>
        <v>#REF!</v>
      </c>
      <c r="M434" s="195" t="e">
        <f>'Imp Refined NYC'!O236</f>
        <v>#REF!</v>
      </c>
      <c r="N434" s="195" t="e">
        <f>'Imp Refined NYC'!P236</f>
        <v>#REF!</v>
      </c>
      <c r="O434" s="195" t="e">
        <f>'Imp Refined NYC'!Q236</f>
        <v>#REF!</v>
      </c>
      <c r="P434" s="195" t="e">
        <f>'Imp Refined NYC'!R236</f>
        <v>#REF!</v>
      </c>
      <c r="Q434" s="195" t="e">
        <f>'Imp Refined NYC'!S236</f>
        <v>#REF!</v>
      </c>
      <c r="R434" s="195" t="e">
        <f>'Imp Refined NYC'!T236</f>
        <v>#REF!</v>
      </c>
      <c r="S434" s="195" t="e">
        <f>'Imp Refined NYC'!U236</f>
        <v>#REF!</v>
      </c>
      <c r="T434" s="195" t="e">
        <f>'Imp Refined NYC'!V236</f>
        <v>#REF!</v>
      </c>
      <c r="U434" s="187"/>
      <c r="V434" s="187">
        <f>'Imp Refined NYC'!AF236</f>
        <v>2.5135545209467942</v>
      </c>
      <c r="W434" s="187">
        <f>'Imp Refined NYC'!AG236</f>
        <v>1.2574621527134404</v>
      </c>
      <c r="X434" s="187">
        <f>'Imp Refined NYC'!AH236</f>
        <v>1.3875916783210389</v>
      </c>
      <c r="Y434" s="187">
        <f>'Imp Refined NYC'!AI236</f>
        <v>1.5327888332095192</v>
      </c>
      <c r="Z434" s="187"/>
      <c r="AA434" s="187"/>
      <c r="AB434" s="187"/>
      <c r="AC434" s="187"/>
      <c r="AD434" s="187"/>
      <c r="AE434" s="187"/>
      <c r="AF434" s="195"/>
      <c r="AG434" s="197"/>
      <c r="AH434" s="197"/>
      <c r="BC434" s="147"/>
      <c r="BD434" s="147"/>
      <c r="BE434" s="147"/>
      <c r="BF434" s="147"/>
      <c r="BG434" s="147"/>
    </row>
    <row r="435" spans="2:59">
      <c r="B435" s="158" t="str">
        <f>Technologies!B$418</f>
        <v>*R0</v>
      </c>
      <c r="C435" s="158" t="str">
        <f>'Imp Refined NYC'!E237</f>
        <v>IMPLPGP44</v>
      </c>
      <c r="D435" s="158" t="str">
        <f>'Imp Refined NYC'!F237</f>
        <v>Imported LPG, PADD 4, Step 4</v>
      </c>
      <c r="E435" s="197" t="str">
        <f>'Imp Refined NYC'!G237</f>
        <v>LPGP4</v>
      </c>
      <c r="F435" s="197"/>
      <c r="G435" s="187"/>
      <c r="H435" s="197"/>
      <c r="I435" s="197">
        <v>1.0049999999999999</v>
      </c>
      <c r="J435" s="197">
        <v>1.0049999999999999</v>
      </c>
      <c r="K435" s="195">
        <f>'Imp Refined NYC'!M237</f>
        <v>13.972305189964885</v>
      </c>
      <c r="L435" s="195" t="e">
        <f>'Imp Refined NYC'!N237</f>
        <v>#REF!</v>
      </c>
      <c r="M435" s="195" t="e">
        <f>'Imp Refined NYC'!O237</f>
        <v>#REF!</v>
      </c>
      <c r="N435" s="195" t="e">
        <f>'Imp Refined NYC'!P237</f>
        <v>#REF!</v>
      </c>
      <c r="O435" s="195" t="e">
        <f>'Imp Refined NYC'!Q237</f>
        <v>#REF!</v>
      </c>
      <c r="P435" s="195" t="e">
        <f>'Imp Refined NYC'!R237</f>
        <v>#REF!</v>
      </c>
      <c r="Q435" s="195" t="e">
        <f>'Imp Refined NYC'!S237</f>
        <v>#REF!</v>
      </c>
      <c r="R435" s="195" t="e">
        <f>'Imp Refined NYC'!T237</f>
        <v>#REF!</v>
      </c>
      <c r="S435" s="195" t="e">
        <f>'Imp Refined NYC'!U237</f>
        <v>#REF!</v>
      </c>
      <c r="T435" s="195" t="e">
        <f>'Imp Refined NYC'!V237</f>
        <v>#REF!</v>
      </c>
      <c r="U435" s="187"/>
      <c r="V435" s="187">
        <f>'Imp Refined NYC'!AF237</f>
        <v>5.027109041893592</v>
      </c>
      <c r="W435" s="187">
        <f>'Imp Refined NYC'!AG237</f>
        <v>2.5149243054268808</v>
      </c>
      <c r="X435" s="187">
        <f>'Imp Refined NYC'!AH237</f>
        <v>2.7751833566420832</v>
      </c>
      <c r="Y435" s="187">
        <f>'Imp Refined NYC'!AI237</f>
        <v>3.0655776664190348</v>
      </c>
      <c r="Z435" s="187"/>
      <c r="AA435" s="187"/>
      <c r="AB435" s="187"/>
      <c r="AC435" s="187"/>
      <c r="AD435" s="187"/>
      <c r="AE435" s="187"/>
      <c r="AF435" s="195"/>
      <c r="AG435" s="197"/>
      <c r="AH435" s="197"/>
      <c r="BC435" s="147"/>
      <c r="BD435" s="147"/>
      <c r="BE435" s="147"/>
      <c r="BF435" s="147"/>
      <c r="BG435" s="147"/>
    </row>
    <row r="436" spans="2:59">
      <c r="B436" s="158" t="str">
        <f>Technologies!B$419</f>
        <v>*R0</v>
      </c>
      <c r="C436" s="158" t="str">
        <f>'Imp Refined NYC'!E238</f>
        <v>IMPLPGP45</v>
      </c>
      <c r="D436" s="158" t="str">
        <f>'Imp Refined NYC'!F238</f>
        <v>Imported LPG, PADD 4, Step 5</v>
      </c>
      <c r="E436" s="197" t="str">
        <f>'Imp Refined NYC'!G238</f>
        <v>LPGP4</v>
      </c>
      <c r="F436" s="197"/>
      <c r="G436" s="187"/>
      <c r="H436" s="197"/>
      <c r="I436" s="197">
        <v>1.0049999999999999</v>
      </c>
      <c r="J436" s="197">
        <v>1.0049999999999999</v>
      </c>
      <c r="K436" s="195">
        <f>'Imp Refined NYC'!M238</f>
        <v>16.664217199040689</v>
      </c>
      <c r="L436" s="195" t="e">
        <f>'Imp Refined NYC'!N238</f>
        <v>#REF!</v>
      </c>
      <c r="M436" s="195" t="e">
        <f>'Imp Refined NYC'!O238</f>
        <v>#REF!</v>
      </c>
      <c r="N436" s="195" t="e">
        <f>'Imp Refined NYC'!P238</f>
        <v>#REF!</v>
      </c>
      <c r="O436" s="195" t="e">
        <f>'Imp Refined NYC'!Q238</f>
        <v>#REF!</v>
      </c>
      <c r="P436" s="195" t="e">
        <f>'Imp Refined NYC'!R238</f>
        <v>#REF!</v>
      </c>
      <c r="Q436" s="195" t="e">
        <f>'Imp Refined NYC'!S238</f>
        <v>#REF!</v>
      </c>
      <c r="R436" s="195" t="e">
        <f>'Imp Refined NYC'!T238</f>
        <v>#REF!</v>
      </c>
      <c r="S436" s="195" t="e">
        <f>'Imp Refined NYC'!U238</f>
        <v>#REF!</v>
      </c>
      <c r="T436" s="195" t="e">
        <f>'Imp Refined NYC'!V238</f>
        <v>#REF!</v>
      </c>
      <c r="U436" s="187"/>
      <c r="V436" s="187">
        <f>'Imp Refined NYC'!AF238</f>
        <v>20.108436167574407</v>
      </c>
      <c r="W436" s="187">
        <f>'Imp Refined NYC'!AG238</f>
        <v>10.059697221707518</v>
      </c>
      <c r="X436" s="187">
        <f>'Imp Refined NYC'!AH238</f>
        <v>11.100733426568315</v>
      </c>
      <c r="Y436" s="187">
        <f>'Imp Refined NYC'!AI238</f>
        <v>12.262310665676164</v>
      </c>
      <c r="Z436" s="187"/>
      <c r="AA436" s="187"/>
      <c r="AB436" s="187"/>
      <c r="AC436" s="187"/>
      <c r="AD436" s="187"/>
      <c r="AE436" s="187"/>
      <c r="AF436" s="195"/>
      <c r="AG436" s="197"/>
      <c r="AH436" s="197"/>
      <c r="BC436" s="147"/>
      <c r="BD436" s="147"/>
      <c r="BE436" s="147"/>
      <c r="BF436" s="147"/>
      <c r="BG436" s="147"/>
    </row>
    <row r="437" spans="2:59">
      <c r="B437" s="158" t="str">
        <f>Technologies!B$420</f>
        <v>*R0</v>
      </c>
      <c r="C437" s="158" t="str">
        <f>'Imp Refined NYC'!E239</f>
        <v>IMPPFSP43</v>
      </c>
      <c r="D437" s="158" t="str">
        <f>'Imp Refined NYC'!F239</f>
        <v>Imported Petrochemical Feedstocks, PADD 4, Step 3</v>
      </c>
      <c r="E437" s="197" t="str">
        <f>'Imp Refined NYC'!G239</f>
        <v>PFSP4</v>
      </c>
      <c r="F437" s="197"/>
      <c r="G437" s="187"/>
      <c r="H437" s="197"/>
      <c r="I437" s="197">
        <v>1.0049999999999999</v>
      </c>
      <c r="J437" s="197">
        <v>1.0049999999999999</v>
      </c>
      <c r="K437" s="195">
        <f>'Imp Refined NYC'!M239</f>
        <v>7.5621321897845659</v>
      </c>
      <c r="L437" s="195" t="e">
        <f>'Imp Refined NYC'!N239</f>
        <v>#REF!</v>
      </c>
      <c r="M437" s="195" t="e">
        <f>'Imp Refined NYC'!O239</f>
        <v>#REF!</v>
      </c>
      <c r="N437" s="195" t="e">
        <f>'Imp Refined NYC'!P239</f>
        <v>#REF!</v>
      </c>
      <c r="O437" s="195" t="e">
        <f>'Imp Refined NYC'!Q239</f>
        <v>#REF!</v>
      </c>
      <c r="P437" s="195" t="e">
        <f>'Imp Refined NYC'!R239</f>
        <v>#REF!</v>
      </c>
      <c r="Q437" s="195" t="e">
        <f>'Imp Refined NYC'!S239</f>
        <v>#REF!</v>
      </c>
      <c r="R437" s="195" t="e">
        <f>'Imp Refined NYC'!T239</f>
        <v>#REF!</v>
      </c>
      <c r="S437" s="195" t="e">
        <f>'Imp Refined NYC'!U239</f>
        <v>#REF!</v>
      </c>
      <c r="T437" s="195" t="e">
        <f>'Imp Refined NYC'!V239</f>
        <v>#REF!</v>
      </c>
      <c r="U437" s="187"/>
      <c r="V437" s="187">
        <f>'Imp Refined NYC'!AF239</f>
        <v>0</v>
      </c>
      <c r="W437" s="187">
        <f>'Imp Refined NYC'!AG239</f>
        <v>0</v>
      </c>
      <c r="X437" s="187">
        <f>'Imp Refined NYC'!AH239</f>
        <v>0</v>
      </c>
      <c r="Y437" s="187">
        <f>'Imp Refined NYC'!AI239</f>
        <v>0</v>
      </c>
      <c r="Z437" s="187"/>
      <c r="AA437" s="187"/>
      <c r="AB437" s="187"/>
      <c r="AC437" s="187"/>
      <c r="AD437" s="187"/>
      <c r="AE437" s="187"/>
      <c r="AF437" s="195"/>
      <c r="AG437" s="197"/>
      <c r="AH437" s="197"/>
      <c r="BC437" s="147"/>
      <c r="BD437" s="147"/>
      <c r="BE437" s="147"/>
      <c r="BF437" s="147"/>
      <c r="BG437" s="147"/>
    </row>
    <row r="438" spans="2:59">
      <c r="B438" s="158" t="str">
        <f>Technologies!B$421</f>
        <v>*R0</v>
      </c>
      <c r="C438" s="158" t="str">
        <f>'Imp Refined NYC'!E240</f>
        <v>IMPPFSP41</v>
      </c>
      <c r="D438" s="158" t="str">
        <f>'Imp Refined NYC'!F240</f>
        <v>Imported Petrochemical Feedstocks, PADD 4, Step 1</v>
      </c>
      <c r="E438" s="197" t="str">
        <f>'Imp Refined NYC'!G240</f>
        <v>PFSP4</v>
      </c>
      <c r="F438" s="197"/>
      <c r="G438" s="187"/>
      <c r="H438" s="197"/>
      <c r="I438" s="197">
        <v>1.0049999999999999</v>
      </c>
      <c r="J438" s="197">
        <v>1.0049999999999999</v>
      </c>
      <c r="K438" s="195">
        <f>'Imp Refined NYC'!M240</f>
        <v>7.1840255802953363</v>
      </c>
      <c r="L438" s="195" t="e">
        <f>'Imp Refined NYC'!N240</f>
        <v>#REF!</v>
      </c>
      <c r="M438" s="195" t="e">
        <f>'Imp Refined NYC'!O240</f>
        <v>#REF!</v>
      </c>
      <c r="N438" s="195" t="e">
        <f>'Imp Refined NYC'!P240</f>
        <v>#REF!</v>
      </c>
      <c r="O438" s="195" t="e">
        <f>'Imp Refined NYC'!Q240</f>
        <v>#REF!</v>
      </c>
      <c r="P438" s="195" t="e">
        <f>'Imp Refined NYC'!R240</f>
        <v>#REF!</v>
      </c>
      <c r="Q438" s="195" t="e">
        <f>'Imp Refined NYC'!S240</f>
        <v>#REF!</v>
      </c>
      <c r="R438" s="195" t="e">
        <f>'Imp Refined NYC'!T240</f>
        <v>#REF!</v>
      </c>
      <c r="S438" s="195" t="e">
        <f>'Imp Refined NYC'!U240</f>
        <v>#REF!</v>
      </c>
      <c r="T438" s="195" t="e">
        <f>'Imp Refined NYC'!V240</f>
        <v>#REF!</v>
      </c>
      <c r="U438" s="187"/>
      <c r="V438" s="187">
        <f>'Imp Refined NYC'!AF240</f>
        <v>0</v>
      </c>
      <c r="W438" s="187">
        <f>'Imp Refined NYC'!AG240</f>
        <v>0</v>
      </c>
      <c r="X438" s="187">
        <f>'Imp Refined NYC'!AH240</f>
        <v>0</v>
      </c>
      <c r="Y438" s="187">
        <f>'Imp Refined NYC'!AI240</f>
        <v>0</v>
      </c>
      <c r="Z438" s="187"/>
      <c r="AA438" s="187"/>
      <c r="AB438" s="187"/>
      <c r="AC438" s="187"/>
      <c r="AD438" s="187"/>
      <c r="AE438" s="187"/>
      <c r="AF438" s="195"/>
      <c r="AG438" s="197"/>
      <c r="AH438" s="197"/>
      <c r="BC438" s="147"/>
      <c r="BD438" s="147"/>
      <c r="BE438" s="147"/>
      <c r="BF438" s="147"/>
      <c r="BG438" s="147"/>
    </row>
    <row r="439" spans="2:59">
      <c r="B439" s="158" t="str">
        <f>Technologies!B$422</f>
        <v>*R0</v>
      </c>
      <c r="C439" s="158" t="str">
        <f>'Imp Refined NYC'!E241</f>
        <v>IMPPFSP42</v>
      </c>
      <c r="D439" s="158" t="str">
        <f>'Imp Refined NYC'!F241</f>
        <v>Imported Petrochemical Feedstocks, PADD 4, Step 2</v>
      </c>
      <c r="E439" s="197" t="str">
        <f>'Imp Refined NYC'!G241</f>
        <v>PFSP4</v>
      </c>
      <c r="F439" s="197"/>
      <c r="G439" s="187"/>
      <c r="H439" s="197"/>
      <c r="I439" s="197">
        <v>1.0049999999999999</v>
      </c>
      <c r="J439" s="197">
        <v>1.0049999999999999</v>
      </c>
      <c r="K439" s="195">
        <f>'Imp Refined NYC'!M241</f>
        <v>7.4108895459888746</v>
      </c>
      <c r="L439" s="195" t="e">
        <f>'Imp Refined NYC'!N241</f>
        <v>#REF!</v>
      </c>
      <c r="M439" s="195" t="e">
        <f>'Imp Refined NYC'!O241</f>
        <v>#REF!</v>
      </c>
      <c r="N439" s="195" t="e">
        <f>'Imp Refined NYC'!P241</f>
        <v>#REF!</v>
      </c>
      <c r="O439" s="195" t="e">
        <f>'Imp Refined NYC'!Q241</f>
        <v>#REF!</v>
      </c>
      <c r="P439" s="195" t="e">
        <f>'Imp Refined NYC'!R241</f>
        <v>#REF!</v>
      </c>
      <c r="Q439" s="195" t="e">
        <f>'Imp Refined NYC'!S241</f>
        <v>#REF!</v>
      </c>
      <c r="R439" s="195" t="e">
        <f>'Imp Refined NYC'!T241</f>
        <v>#REF!</v>
      </c>
      <c r="S439" s="195" t="e">
        <f>'Imp Refined NYC'!U241</f>
        <v>#REF!</v>
      </c>
      <c r="T439" s="195" t="e">
        <f>'Imp Refined NYC'!V241</f>
        <v>#REF!</v>
      </c>
      <c r="U439" s="187"/>
      <c r="V439" s="187">
        <f>'Imp Refined NYC'!AF241</f>
        <v>0</v>
      </c>
      <c r="W439" s="187">
        <f>'Imp Refined NYC'!AG241</f>
        <v>0</v>
      </c>
      <c r="X439" s="187">
        <f>'Imp Refined NYC'!AH241</f>
        <v>0</v>
      </c>
      <c r="Y439" s="187">
        <f>'Imp Refined NYC'!AI241</f>
        <v>0</v>
      </c>
      <c r="Z439" s="187"/>
      <c r="AA439" s="187"/>
      <c r="AB439" s="187"/>
      <c r="AC439" s="187"/>
      <c r="AD439" s="187"/>
      <c r="AE439" s="187"/>
      <c r="AF439" s="195"/>
      <c r="AG439" s="197"/>
      <c r="AH439" s="197"/>
      <c r="BC439" s="147"/>
      <c r="BD439" s="147"/>
      <c r="BE439" s="147"/>
      <c r="BF439" s="147"/>
      <c r="BG439" s="147"/>
    </row>
    <row r="440" spans="2:59">
      <c r="B440" s="158" t="str">
        <f>Technologies!B$423</f>
        <v>*R0</v>
      </c>
      <c r="C440" s="158" t="str">
        <f>'Imp Refined NYC'!E242</f>
        <v>IMPPFSP44</v>
      </c>
      <c r="D440" s="158" t="str">
        <f>'Imp Refined NYC'!F242</f>
        <v>Imported Petrochemical Feedstocks, PADD 4, Step 4</v>
      </c>
      <c r="E440" s="197" t="str">
        <f>'Imp Refined NYC'!G242</f>
        <v>PFSP4</v>
      </c>
      <c r="F440" s="197"/>
      <c r="G440" s="187"/>
      <c r="H440" s="197"/>
      <c r="I440" s="197">
        <v>1.0049999999999999</v>
      </c>
      <c r="J440" s="197">
        <v>1.0049999999999999</v>
      </c>
      <c r="K440" s="195">
        <f>'Imp Refined NYC'!M242</f>
        <v>8.2427240868651772</v>
      </c>
      <c r="L440" s="195" t="e">
        <f>'Imp Refined NYC'!N242</f>
        <v>#REF!</v>
      </c>
      <c r="M440" s="195" t="e">
        <f>'Imp Refined NYC'!O242</f>
        <v>#REF!</v>
      </c>
      <c r="N440" s="195" t="e">
        <f>'Imp Refined NYC'!P242</f>
        <v>#REF!</v>
      </c>
      <c r="O440" s="195" t="e">
        <f>'Imp Refined NYC'!Q242</f>
        <v>#REF!</v>
      </c>
      <c r="P440" s="195" t="e">
        <f>'Imp Refined NYC'!R242</f>
        <v>#REF!</v>
      </c>
      <c r="Q440" s="195" t="e">
        <f>'Imp Refined NYC'!S242</f>
        <v>#REF!</v>
      </c>
      <c r="R440" s="195" t="e">
        <f>'Imp Refined NYC'!T242</f>
        <v>#REF!</v>
      </c>
      <c r="S440" s="195" t="e">
        <f>'Imp Refined NYC'!U242</f>
        <v>#REF!</v>
      </c>
      <c r="T440" s="195" t="e">
        <f>'Imp Refined NYC'!V242</f>
        <v>#REF!</v>
      </c>
      <c r="U440" s="187"/>
      <c r="V440" s="187">
        <f>'Imp Refined NYC'!AF242</f>
        <v>0</v>
      </c>
      <c r="W440" s="187">
        <f>'Imp Refined NYC'!AG242</f>
        <v>0</v>
      </c>
      <c r="X440" s="187">
        <f>'Imp Refined NYC'!AH242</f>
        <v>0</v>
      </c>
      <c r="Y440" s="187">
        <f>'Imp Refined NYC'!AI242</f>
        <v>0</v>
      </c>
      <c r="Z440" s="187"/>
      <c r="AA440" s="187"/>
      <c r="AB440" s="187"/>
      <c r="AC440" s="187"/>
      <c r="AD440" s="187"/>
      <c r="AE440" s="187"/>
      <c r="AF440" s="195"/>
      <c r="AG440" s="197"/>
      <c r="AH440" s="197"/>
      <c r="BC440" s="147"/>
      <c r="BD440" s="147"/>
      <c r="BE440" s="147"/>
      <c r="BF440" s="147"/>
      <c r="BG440" s="147"/>
    </row>
    <row r="441" spans="2:59">
      <c r="B441" s="158" t="str">
        <f>Technologies!B$424</f>
        <v>*R0</v>
      </c>
      <c r="C441" s="158" t="str">
        <f>'Imp Refined NYC'!E243</f>
        <v>IMPPFSP45</v>
      </c>
      <c r="D441" s="158" t="str">
        <f>'Imp Refined NYC'!F243</f>
        <v>Imported Petrochemical Feedstocks, PADD 4, Step 5</v>
      </c>
      <c r="E441" s="197" t="str">
        <f>'Imp Refined NYC'!G243</f>
        <v>PFSP4</v>
      </c>
      <c r="F441" s="197"/>
      <c r="G441" s="187"/>
      <c r="H441" s="197"/>
      <c r="I441" s="197">
        <v>1.0049999999999999</v>
      </c>
      <c r="J441" s="197">
        <v>1.0049999999999999</v>
      </c>
      <c r="K441" s="195">
        <f>'Imp Refined NYC'!M243</f>
        <v>9.8307718467199336</v>
      </c>
      <c r="L441" s="195" t="e">
        <f>'Imp Refined NYC'!N243</f>
        <v>#REF!</v>
      </c>
      <c r="M441" s="195" t="e">
        <f>'Imp Refined NYC'!O243</f>
        <v>#REF!</v>
      </c>
      <c r="N441" s="195" t="e">
        <f>'Imp Refined NYC'!P243</f>
        <v>#REF!</v>
      </c>
      <c r="O441" s="195" t="e">
        <f>'Imp Refined NYC'!Q243</f>
        <v>#REF!</v>
      </c>
      <c r="P441" s="195" t="e">
        <f>'Imp Refined NYC'!R243</f>
        <v>#REF!</v>
      </c>
      <c r="Q441" s="195" t="e">
        <f>'Imp Refined NYC'!S243</f>
        <v>#REF!</v>
      </c>
      <c r="R441" s="195" t="e">
        <f>'Imp Refined NYC'!T243</f>
        <v>#REF!</v>
      </c>
      <c r="S441" s="195" t="e">
        <f>'Imp Refined NYC'!U243</f>
        <v>#REF!</v>
      </c>
      <c r="T441" s="195" t="e">
        <f>'Imp Refined NYC'!V243</f>
        <v>#REF!</v>
      </c>
      <c r="U441" s="187"/>
      <c r="V441" s="187">
        <f>'Imp Refined NYC'!AF243</f>
        <v>0</v>
      </c>
      <c r="W441" s="187">
        <f>'Imp Refined NYC'!AG243</f>
        <v>0</v>
      </c>
      <c r="X441" s="187">
        <f>'Imp Refined NYC'!AH243</f>
        <v>0</v>
      </c>
      <c r="Y441" s="187">
        <f>'Imp Refined NYC'!AI243</f>
        <v>0</v>
      </c>
      <c r="Z441" s="187"/>
      <c r="AA441" s="187"/>
      <c r="AB441" s="187"/>
      <c r="AC441" s="187"/>
      <c r="AD441" s="187"/>
      <c r="AE441" s="187"/>
      <c r="AF441" s="195"/>
      <c r="AG441" s="197"/>
      <c r="AH441" s="197"/>
      <c r="BC441" s="147"/>
      <c r="BD441" s="147"/>
      <c r="BE441" s="147"/>
      <c r="BF441" s="147"/>
      <c r="BG441" s="147"/>
    </row>
    <row r="442" spans="2:59">
      <c r="B442" s="158" t="str">
        <f>Technologies!B$425</f>
        <v>*R0</v>
      </c>
      <c r="C442" s="158" t="str">
        <f>'Imp Refined NYC'!E244</f>
        <v>IMPKERP43</v>
      </c>
      <c r="D442" s="158" t="str">
        <f>'Imp Refined NYC'!F244</f>
        <v>Imported Kerosene and Other Refined Products, PADD 4, Step 3</v>
      </c>
      <c r="E442" s="197" t="str">
        <f>'Imp Refined NYC'!G244</f>
        <v>KERP4</v>
      </c>
      <c r="F442" s="197"/>
      <c r="G442" s="187"/>
      <c r="H442" s="197"/>
      <c r="I442" s="197">
        <v>1.0049999999999999</v>
      </c>
      <c r="J442" s="197">
        <v>1.0049999999999999</v>
      </c>
      <c r="K442" s="195">
        <f>'Imp Refined NYC'!M244</f>
        <v>10.312997032414376</v>
      </c>
      <c r="L442" s="195" t="e">
        <f>'Imp Refined NYC'!N244</f>
        <v>#REF!</v>
      </c>
      <c r="M442" s="195" t="e">
        <f>'Imp Refined NYC'!O244</f>
        <v>#REF!</v>
      </c>
      <c r="N442" s="195" t="e">
        <f>'Imp Refined NYC'!P244</f>
        <v>#REF!</v>
      </c>
      <c r="O442" s="195" t="e">
        <f>'Imp Refined NYC'!Q244</f>
        <v>#REF!</v>
      </c>
      <c r="P442" s="195" t="e">
        <f>'Imp Refined NYC'!R244</f>
        <v>#REF!</v>
      </c>
      <c r="Q442" s="195" t="e">
        <f>'Imp Refined NYC'!S244</f>
        <v>#REF!</v>
      </c>
      <c r="R442" s="195" t="e">
        <f>'Imp Refined NYC'!T244</f>
        <v>#REF!</v>
      </c>
      <c r="S442" s="195" t="e">
        <f>'Imp Refined NYC'!U244</f>
        <v>#REF!</v>
      </c>
      <c r="T442" s="195" t="e">
        <f>'Imp Refined NYC'!V244</f>
        <v>#REF!</v>
      </c>
      <c r="U442" s="187"/>
      <c r="V442" s="187">
        <f>'Imp Refined NYC'!AF244</f>
        <v>0.21834911448000005</v>
      </c>
      <c r="W442" s="187">
        <f>'Imp Refined NYC'!AG244</f>
        <v>0.18778023845279979</v>
      </c>
      <c r="X442" s="187">
        <f>'Imp Refined NYC'!AH244</f>
        <v>0.20524816761120035</v>
      </c>
      <c r="Y442" s="187">
        <f>'Imp Refined NYC'!AI244</f>
        <v>0.22053260562480026</v>
      </c>
      <c r="Z442" s="187"/>
      <c r="AA442" s="187"/>
      <c r="AB442" s="187"/>
      <c r="AC442" s="187"/>
      <c r="AD442" s="187"/>
      <c r="AE442" s="187"/>
      <c r="AF442" s="195"/>
      <c r="AG442" s="197"/>
      <c r="AH442" s="197"/>
      <c r="BC442" s="147"/>
      <c r="BD442" s="147"/>
      <c r="BE442" s="147"/>
      <c r="BF442" s="147"/>
      <c r="BG442" s="147"/>
    </row>
    <row r="443" spans="2:59">
      <c r="B443" s="158" t="str">
        <f>Technologies!B$426</f>
        <v>*R0</v>
      </c>
      <c r="C443" s="158" t="str">
        <f>'Imp Refined NYC'!E245</f>
        <v>IMPKERP41</v>
      </c>
      <c r="D443" s="158" t="str">
        <f>'Imp Refined NYC'!F245</f>
        <v>Imported Kerosene and Other Refined Products, PADD 4, Step 1</v>
      </c>
      <c r="E443" s="197" t="str">
        <f>'Imp Refined NYC'!G245</f>
        <v>KERP4</v>
      </c>
      <c r="F443" s="197"/>
      <c r="G443" s="187"/>
      <c r="H443" s="197"/>
      <c r="I443" s="197">
        <v>1.0049999999999999</v>
      </c>
      <c r="J443" s="197">
        <v>1.0049999999999999</v>
      </c>
      <c r="K443" s="195">
        <f>'Imp Refined NYC'!M245</f>
        <v>9.7973471807936559</v>
      </c>
      <c r="L443" s="195" t="e">
        <f>'Imp Refined NYC'!N245</f>
        <v>#REF!</v>
      </c>
      <c r="M443" s="195" t="e">
        <f>'Imp Refined NYC'!O245</f>
        <v>#REF!</v>
      </c>
      <c r="N443" s="195" t="e">
        <f>'Imp Refined NYC'!P245</f>
        <v>#REF!</v>
      </c>
      <c r="O443" s="195" t="e">
        <f>'Imp Refined NYC'!Q245</f>
        <v>#REF!</v>
      </c>
      <c r="P443" s="195" t="e">
        <f>'Imp Refined NYC'!R245</f>
        <v>#REF!</v>
      </c>
      <c r="Q443" s="195" t="e">
        <f>'Imp Refined NYC'!S245</f>
        <v>#REF!</v>
      </c>
      <c r="R443" s="195" t="e">
        <f>'Imp Refined NYC'!T245</f>
        <v>#REF!</v>
      </c>
      <c r="S443" s="195" t="e">
        <f>'Imp Refined NYC'!U245</f>
        <v>#REF!</v>
      </c>
      <c r="T443" s="195" t="e">
        <f>'Imp Refined NYC'!V245</f>
        <v>#REF!</v>
      </c>
      <c r="U443" s="187"/>
      <c r="V443" s="187">
        <f>'Imp Refined NYC'!AF245</f>
        <v>1.7467929158400002</v>
      </c>
      <c r="W443" s="187">
        <f>'Imp Refined NYC'!AG245</f>
        <v>1.5022419076224001</v>
      </c>
      <c r="X443" s="187">
        <f>'Imp Refined NYC'!AH245</f>
        <v>1.6419853408895999</v>
      </c>
      <c r="Y443" s="187">
        <f>'Imp Refined NYC'!AI245</f>
        <v>1.7642608449983999</v>
      </c>
      <c r="Z443" s="187"/>
      <c r="AA443" s="187"/>
      <c r="AB443" s="187"/>
      <c r="AC443" s="187"/>
      <c r="AD443" s="187"/>
      <c r="AE443" s="187"/>
      <c r="AF443" s="195"/>
      <c r="AG443" s="197"/>
      <c r="AH443" s="197"/>
      <c r="BC443" s="147"/>
      <c r="BD443" s="147"/>
      <c r="BE443" s="147"/>
      <c r="BF443" s="147"/>
      <c r="BG443" s="147"/>
    </row>
    <row r="444" spans="2:59">
      <c r="B444" s="158" t="str">
        <f>Technologies!B$427</f>
        <v>*R0</v>
      </c>
      <c r="C444" s="158" t="str">
        <f>'Imp Refined NYC'!E246</f>
        <v>IMPKERP42</v>
      </c>
      <c r="D444" s="158" t="str">
        <f>'Imp Refined NYC'!F246</f>
        <v>Imported Kerosene and Other Refined Products, PADD 4, Step 2</v>
      </c>
      <c r="E444" s="197" t="str">
        <f>'Imp Refined NYC'!G246</f>
        <v>KERP4</v>
      </c>
      <c r="F444" s="197"/>
      <c r="G444" s="187"/>
      <c r="H444" s="197"/>
      <c r="I444" s="197">
        <v>1.0049999999999999</v>
      </c>
      <c r="J444" s="197">
        <v>1.0049999999999999</v>
      </c>
      <c r="K444" s="195">
        <f>'Imp Refined NYC'!M246</f>
        <v>10.106737091766087</v>
      </c>
      <c r="L444" s="195" t="e">
        <f>'Imp Refined NYC'!N246</f>
        <v>#REF!</v>
      </c>
      <c r="M444" s="195" t="e">
        <f>'Imp Refined NYC'!O246</f>
        <v>#REF!</v>
      </c>
      <c r="N444" s="195" t="e">
        <f>'Imp Refined NYC'!P246</f>
        <v>#REF!</v>
      </c>
      <c r="O444" s="195" t="e">
        <f>'Imp Refined NYC'!Q246</f>
        <v>#REF!</v>
      </c>
      <c r="P444" s="195" t="e">
        <f>'Imp Refined NYC'!R246</f>
        <v>#REF!</v>
      </c>
      <c r="Q444" s="195" t="e">
        <f>'Imp Refined NYC'!S246</f>
        <v>#REF!</v>
      </c>
      <c r="R444" s="195" t="e">
        <f>'Imp Refined NYC'!T246</f>
        <v>#REF!</v>
      </c>
      <c r="S444" s="195" t="e">
        <f>'Imp Refined NYC'!U246</f>
        <v>#REF!</v>
      </c>
      <c r="T444" s="195" t="e">
        <f>'Imp Refined NYC'!V246</f>
        <v>#REF!</v>
      </c>
      <c r="U444" s="187"/>
      <c r="V444" s="187">
        <f>'Imp Refined NYC'!AF246</f>
        <v>0.21834911447999938</v>
      </c>
      <c r="W444" s="187">
        <f>'Imp Refined NYC'!AG246</f>
        <v>0.18778023845279979</v>
      </c>
      <c r="X444" s="187">
        <f>'Imp Refined NYC'!AH246</f>
        <v>0.20524816761119968</v>
      </c>
      <c r="Y444" s="187">
        <f>'Imp Refined NYC'!AI246</f>
        <v>0.22053260562479982</v>
      </c>
      <c r="Z444" s="187"/>
      <c r="AA444" s="187"/>
      <c r="AB444" s="187"/>
      <c r="AC444" s="187"/>
      <c r="AD444" s="187"/>
      <c r="AE444" s="187"/>
      <c r="AF444" s="195"/>
      <c r="AG444" s="197"/>
      <c r="AH444" s="197"/>
      <c r="BC444" s="147"/>
      <c r="BD444" s="147"/>
      <c r="BE444" s="147"/>
      <c r="BF444" s="147"/>
      <c r="BG444" s="147"/>
    </row>
    <row r="445" spans="2:59">
      <c r="B445" s="158" t="str">
        <f>Technologies!B$428</f>
        <v>*R0</v>
      </c>
      <c r="C445" s="158" t="str">
        <f>'Imp Refined NYC'!E247</f>
        <v>IMPKERP44</v>
      </c>
      <c r="D445" s="158" t="str">
        <f>'Imp Refined NYC'!F247</f>
        <v>Imported Kerosene and Other Refined Products, PADD 4, Step 4</v>
      </c>
      <c r="E445" s="197" t="str">
        <f>'Imp Refined NYC'!G247</f>
        <v>KERP4</v>
      </c>
      <c r="F445" s="197"/>
      <c r="G445" s="187"/>
      <c r="H445" s="197"/>
      <c r="I445" s="197">
        <v>1.0049999999999999</v>
      </c>
      <c r="J445" s="197">
        <v>1.0049999999999999</v>
      </c>
      <c r="K445" s="195">
        <f>'Imp Refined NYC'!M247</f>
        <v>11.241166765331668</v>
      </c>
      <c r="L445" s="195" t="e">
        <f>'Imp Refined NYC'!N247</f>
        <v>#REF!</v>
      </c>
      <c r="M445" s="195" t="e">
        <f>'Imp Refined NYC'!O247</f>
        <v>#REF!</v>
      </c>
      <c r="N445" s="195" t="e">
        <f>'Imp Refined NYC'!P247</f>
        <v>#REF!</v>
      </c>
      <c r="O445" s="195" t="e">
        <f>'Imp Refined NYC'!Q247</f>
        <v>#REF!</v>
      </c>
      <c r="P445" s="195" t="e">
        <f>'Imp Refined NYC'!R247</f>
        <v>#REF!</v>
      </c>
      <c r="Q445" s="195" t="e">
        <f>'Imp Refined NYC'!S247</f>
        <v>#REF!</v>
      </c>
      <c r="R445" s="195" t="e">
        <f>'Imp Refined NYC'!T247</f>
        <v>#REF!</v>
      </c>
      <c r="S445" s="195" t="e">
        <f>'Imp Refined NYC'!U247</f>
        <v>#REF!</v>
      </c>
      <c r="T445" s="195" t="e">
        <f>'Imp Refined NYC'!V247</f>
        <v>#REF!</v>
      </c>
      <c r="U445" s="187"/>
      <c r="V445" s="187">
        <f>'Imp Refined NYC'!AF247</f>
        <v>0.4366982289600001</v>
      </c>
      <c r="W445" s="187">
        <f>'Imp Refined NYC'!AG247</f>
        <v>0.37556047690560002</v>
      </c>
      <c r="X445" s="187">
        <f>'Imp Refined NYC'!AH247</f>
        <v>0.41049633522239981</v>
      </c>
      <c r="Y445" s="187">
        <f>'Imp Refined NYC'!AI247</f>
        <v>0.44106521124959963</v>
      </c>
      <c r="Z445" s="187"/>
      <c r="AA445" s="187"/>
      <c r="AB445" s="187"/>
      <c r="AC445" s="187"/>
      <c r="AD445" s="187"/>
      <c r="AE445" s="187"/>
      <c r="AF445" s="195"/>
      <c r="AG445" s="197"/>
      <c r="AH445" s="197"/>
      <c r="BC445" s="147"/>
      <c r="BD445" s="147"/>
      <c r="BE445" s="147"/>
      <c r="BF445" s="147"/>
      <c r="BG445" s="147"/>
    </row>
    <row r="446" spans="2:59" ht="15" customHeight="1">
      <c r="B446" s="158" t="str">
        <f>Technologies!B$429</f>
        <v>*R0</v>
      </c>
      <c r="C446" s="158" t="str">
        <f>'Imp Refined NYC'!E248</f>
        <v>IMPKERP45</v>
      </c>
      <c r="D446" s="158" t="str">
        <f>'Imp Refined NYC'!F248</f>
        <v>Imported Kerosene and Other Refined Products, PADD 4, Step 5</v>
      </c>
      <c r="E446" s="197" t="str">
        <f>'Imp Refined NYC'!G248</f>
        <v>KERP4</v>
      </c>
      <c r="F446" s="197"/>
      <c r="G446" s="187"/>
      <c r="H446" s="197"/>
      <c r="I446" s="197">
        <v>1.0049999999999999</v>
      </c>
      <c r="J446" s="197">
        <v>1.0049999999999999</v>
      </c>
      <c r="K446" s="195">
        <f>'Imp Refined NYC'!M248</f>
        <v>13.406896142138688</v>
      </c>
      <c r="L446" s="195" t="e">
        <f>'Imp Refined NYC'!N248</f>
        <v>#REF!</v>
      </c>
      <c r="M446" s="195" t="e">
        <f>'Imp Refined NYC'!O248</f>
        <v>#REF!</v>
      </c>
      <c r="N446" s="195" t="e">
        <f>'Imp Refined NYC'!P248</f>
        <v>#REF!</v>
      </c>
      <c r="O446" s="195" t="e">
        <f>'Imp Refined NYC'!Q248</f>
        <v>#REF!</v>
      </c>
      <c r="P446" s="195" t="e">
        <f>'Imp Refined NYC'!R248</f>
        <v>#REF!</v>
      </c>
      <c r="Q446" s="195" t="e">
        <f>'Imp Refined NYC'!S248</f>
        <v>#REF!</v>
      </c>
      <c r="R446" s="195" t="e">
        <f>'Imp Refined NYC'!T248</f>
        <v>#REF!</v>
      </c>
      <c r="S446" s="195" t="e">
        <f>'Imp Refined NYC'!U248</f>
        <v>#REF!</v>
      </c>
      <c r="T446" s="195" t="e">
        <f>'Imp Refined NYC'!V248</f>
        <v>#REF!</v>
      </c>
      <c r="U446" s="187"/>
      <c r="V446" s="187">
        <f>'Imp Refined NYC'!AF248</f>
        <v>1.7467929158399995</v>
      </c>
      <c r="W446" s="187">
        <f>'Imp Refined NYC'!AG248</f>
        <v>1.5022419076223996</v>
      </c>
      <c r="X446" s="187">
        <f>'Imp Refined NYC'!AH248</f>
        <v>1.6419853408896001</v>
      </c>
      <c r="Y446" s="187">
        <f>'Imp Refined NYC'!AI248</f>
        <v>1.7642608449984003</v>
      </c>
      <c r="Z446" s="187"/>
      <c r="AA446" s="187"/>
      <c r="AB446" s="187"/>
      <c r="AC446" s="187"/>
      <c r="AD446" s="187"/>
      <c r="AE446" s="187"/>
      <c r="AF446" s="195"/>
      <c r="AG446" s="197"/>
      <c r="AH446" s="197"/>
      <c r="BC446" s="147"/>
      <c r="BD446" s="147"/>
      <c r="BE446" s="147"/>
      <c r="BF446" s="147"/>
      <c r="BG446" s="147"/>
    </row>
    <row r="447" spans="2:59">
      <c r="B447" s="158" t="str">
        <f>Technologies!B$430</f>
        <v>*R0</v>
      </c>
      <c r="C447" s="158" t="str">
        <f>'Imp Refined NYC'!E249</f>
        <v>IMPMTHP43</v>
      </c>
      <c r="D447" s="158" t="str">
        <f>'Imp Refined NYC'!F249</f>
        <v>Imported Methanol, PADD 4, Step 3</v>
      </c>
      <c r="E447" s="197" t="str">
        <f>'Imp Refined NYC'!G249</f>
        <v>MTHP4</v>
      </c>
      <c r="F447" s="197"/>
      <c r="G447" s="187"/>
      <c r="H447" s="197"/>
      <c r="I447" s="197">
        <v>1.0049999999999999</v>
      </c>
      <c r="J447" s="197">
        <v>1.0049999999999999</v>
      </c>
      <c r="K447" s="195">
        <f>'Imp Refined NYC'!M249</f>
        <v>28.21354551545182</v>
      </c>
      <c r="L447" s="195" t="e">
        <f>'Imp Refined NYC'!N249</f>
        <v>#REF!</v>
      </c>
      <c r="M447" s="195" t="e">
        <f>'Imp Refined NYC'!O249</f>
        <v>#REF!</v>
      </c>
      <c r="N447" s="195" t="e">
        <f>'Imp Refined NYC'!P249</f>
        <v>#REF!</v>
      </c>
      <c r="O447" s="195" t="e">
        <f>'Imp Refined NYC'!Q249</f>
        <v>#REF!</v>
      </c>
      <c r="P447" s="195" t="e">
        <f>'Imp Refined NYC'!R249</f>
        <v>#REF!</v>
      </c>
      <c r="Q447" s="195" t="e">
        <f>'Imp Refined NYC'!S249</f>
        <v>#REF!</v>
      </c>
      <c r="R447" s="195" t="e">
        <f>'Imp Refined NYC'!T249</f>
        <v>#REF!</v>
      </c>
      <c r="S447" s="195" t="e">
        <f>'Imp Refined NYC'!U249</f>
        <v>#REF!</v>
      </c>
      <c r="T447" s="195" t="e">
        <f>'Imp Refined NYC'!V249</f>
        <v>#REF!</v>
      </c>
      <c r="U447" s="187"/>
      <c r="V447" s="187">
        <f>'Imp Refined NYC'!AF249</f>
        <v>0</v>
      </c>
      <c r="W447" s="187">
        <f>'Imp Refined NYC'!AG249</f>
        <v>0</v>
      </c>
      <c r="X447" s="187">
        <f>'Imp Refined NYC'!AH249</f>
        <v>0</v>
      </c>
      <c r="Y447" s="187">
        <f>'Imp Refined NYC'!AI249</f>
        <v>0</v>
      </c>
      <c r="Z447" s="187"/>
      <c r="AA447" s="187"/>
      <c r="AB447" s="187"/>
      <c r="AC447" s="187"/>
      <c r="AD447" s="187"/>
      <c r="AE447" s="187"/>
      <c r="AF447" s="195"/>
      <c r="AG447" s="197"/>
      <c r="AH447" s="197"/>
      <c r="BC447" s="147"/>
      <c r="BD447" s="147"/>
      <c r="BE447" s="147"/>
      <c r="BF447" s="147"/>
      <c r="BG447" s="147"/>
    </row>
    <row r="448" spans="2:59">
      <c r="B448" s="158" t="str">
        <f>Technologies!B$431</f>
        <v>*R0</v>
      </c>
      <c r="C448" s="158" t="str">
        <f>'Imp Refined NYC'!E250</f>
        <v>IMPMTHP41</v>
      </c>
      <c r="D448" s="158" t="str">
        <f>'Imp Refined NYC'!F250</f>
        <v>Imported Methanol, PADD 4, Step 1</v>
      </c>
      <c r="E448" s="197" t="str">
        <f>'Imp Refined NYC'!G250</f>
        <v>MTHP4</v>
      </c>
      <c r="F448" s="197"/>
      <c r="G448" s="187"/>
      <c r="H448" s="197"/>
      <c r="I448" s="197">
        <v>1.0049999999999999</v>
      </c>
      <c r="J448" s="197">
        <v>1.0049999999999999</v>
      </c>
      <c r="K448" s="195">
        <f>'Imp Refined NYC'!M250</f>
        <v>26.802868239679228</v>
      </c>
      <c r="L448" s="195" t="e">
        <f>'Imp Refined NYC'!N250</f>
        <v>#REF!</v>
      </c>
      <c r="M448" s="195" t="e">
        <f>'Imp Refined NYC'!O250</f>
        <v>#REF!</v>
      </c>
      <c r="N448" s="195" t="e">
        <f>'Imp Refined NYC'!P250</f>
        <v>#REF!</v>
      </c>
      <c r="O448" s="195" t="e">
        <f>'Imp Refined NYC'!Q250</f>
        <v>#REF!</v>
      </c>
      <c r="P448" s="195" t="e">
        <f>'Imp Refined NYC'!R250</f>
        <v>#REF!</v>
      </c>
      <c r="Q448" s="195" t="e">
        <f>'Imp Refined NYC'!S250</f>
        <v>#REF!</v>
      </c>
      <c r="R448" s="195" t="e">
        <f>'Imp Refined NYC'!T250</f>
        <v>#REF!</v>
      </c>
      <c r="S448" s="195" t="e">
        <f>'Imp Refined NYC'!U250</f>
        <v>#REF!</v>
      </c>
      <c r="T448" s="195" t="e">
        <f>'Imp Refined NYC'!V250</f>
        <v>#REF!</v>
      </c>
      <c r="U448" s="187"/>
      <c r="V448" s="187">
        <f>'Imp Refined NYC'!AF250</f>
        <v>0</v>
      </c>
      <c r="W448" s="187">
        <f>'Imp Refined NYC'!AG250</f>
        <v>0</v>
      </c>
      <c r="X448" s="187">
        <f>'Imp Refined NYC'!AH250</f>
        <v>0</v>
      </c>
      <c r="Y448" s="187">
        <f>'Imp Refined NYC'!AI250</f>
        <v>0</v>
      </c>
      <c r="Z448" s="187"/>
      <c r="AA448" s="187"/>
      <c r="AB448" s="187"/>
      <c r="AC448" s="187"/>
      <c r="AD448" s="187"/>
      <c r="AE448" s="187"/>
      <c r="AF448" s="195"/>
      <c r="AG448" s="197"/>
      <c r="AH448" s="197"/>
      <c r="BC448" s="147"/>
      <c r="BD448" s="147"/>
      <c r="BE448" s="147"/>
      <c r="BF448" s="147"/>
      <c r="BG448" s="147"/>
    </row>
    <row r="449" spans="2:59">
      <c r="B449" s="158" t="str">
        <f>Technologies!B$432</f>
        <v>*R0</v>
      </c>
      <c r="C449" s="158" t="str">
        <f>'Imp Refined NYC'!E251</f>
        <v>IMPMTHP42</v>
      </c>
      <c r="D449" s="158" t="str">
        <f>'Imp Refined NYC'!F251</f>
        <v>Imported Methanol, PADD 4, Step 2</v>
      </c>
      <c r="E449" s="197" t="str">
        <f>'Imp Refined NYC'!G251</f>
        <v>MTHP4</v>
      </c>
      <c r="F449" s="197"/>
      <c r="G449" s="187"/>
      <c r="H449" s="197"/>
      <c r="I449" s="197">
        <v>1.0049999999999999</v>
      </c>
      <c r="J449" s="197">
        <v>1.0049999999999999</v>
      </c>
      <c r="K449" s="195">
        <f>'Imp Refined NYC'!M251</f>
        <v>27.649274605142782</v>
      </c>
      <c r="L449" s="195" t="e">
        <f>'Imp Refined NYC'!N251</f>
        <v>#REF!</v>
      </c>
      <c r="M449" s="195" t="e">
        <f>'Imp Refined NYC'!O251</f>
        <v>#REF!</v>
      </c>
      <c r="N449" s="195" t="e">
        <f>'Imp Refined NYC'!P251</f>
        <v>#REF!</v>
      </c>
      <c r="O449" s="195" t="e">
        <f>'Imp Refined NYC'!Q251</f>
        <v>#REF!</v>
      </c>
      <c r="P449" s="195" t="e">
        <f>'Imp Refined NYC'!R251</f>
        <v>#REF!</v>
      </c>
      <c r="Q449" s="195" t="e">
        <f>'Imp Refined NYC'!S251</f>
        <v>#REF!</v>
      </c>
      <c r="R449" s="195" t="e">
        <f>'Imp Refined NYC'!T251</f>
        <v>#REF!</v>
      </c>
      <c r="S449" s="195" t="e">
        <f>'Imp Refined NYC'!U251</f>
        <v>#REF!</v>
      </c>
      <c r="T449" s="195" t="e">
        <f>'Imp Refined NYC'!V251</f>
        <v>#REF!</v>
      </c>
      <c r="U449" s="187"/>
      <c r="V449" s="187">
        <f>'Imp Refined NYC'!AF251</f>
        <v>0</v>
      </c>
      <c r="W449" s="187">
        <f>'Imp Refined NYC'!AG251</f>
        <v>0</v>
      </c>
      <c r="X449" s="187">
        <f>'Imp Refined NYC'!AH251</f>
        <v>0</v>
      </c>
      <c r="Y449" s="187">
        <f>'Imp Refined NYC'!AI251</f>
        <v>0</v>
      </c>
      <c r="Z449" s="187"/>
      <c r="AA449" s="187"/>
      <c r="AB449" s="187"/>
      <c r="AC449" s="187"/>
      <c r="AD449" s="187"/>
      <c r="AE449" s="187"/>
      <c r="AF449" s="195"/>
      <c r="AG449" s="197"/>
      <c r="AH449" s="197"/>
      <c r="BC449" s="147"/>
      <c r="BD449" s="147"/>
      <c r="BE449" s="147"/>
      <c r="BF449" s="147"/>
      <c r="BG449" s="147"/>
    </row>
    <row r="450" spans="2:59">
      <c r="B450" s="158" t="str">
        <f>Technologies!B$433</f>
        <v>*R0</v>
      </c>
      <c r="C450" s="158" t="str">
        <f>'Imp Refined NYC'!E252</f>
        <v>IMPMTHP44</v>
      </c>
      <c r="D450" s="158" t="str">
        <f>'Imp Refined NYC'!F252</f>
        <v>Imported Methanol, PADD 4, Step 4</v>
      </c>
      <c r="E450" s="197" t="str">
        <f>'Imp Refined NYC'!G252</f>
        <v>MTHP4</v>
      </c>
      <c r="F450" s="197"/>
      <c r="G450" s="187"/>
      <c r="H450" s="197"/>
      <c r="I450" s="197">
        <v>1.0049999999999999</v>
      </c>
      <c r="J450" s="197">
        <v>1.0049999999999999</v>
      </c>
      <c r="K450" s="195">
        <f>'Imp Refined NYC'!M252</f>
        <v>30.752764611842483</v>
      </c>
      <c r="L450" s="195" t="e">
        <f>'Imp Refined NYC'!N252</f>
        <v>#REF!</v>
      </c>
      <c r="M450" s="195" t="e">
        <f>'Imp Refined NYC'!O252</f>
        <v>#REF!</v>
      </c>
      <c r="N450" s="195" t="e">
        <f>'Imp Refined NYC'!P252</f>
        <v>#REF!</v>
      </c>
      <c r="O450" s="195" t="e">
        <f>'Imp Refined NYC'!Q252</f>
        <v>#REF!</v>
      </c>
      <c r="P450" s="195" t="e">
        <f>'Imp Refined NYC'!R252</f>
        <v>#REF!</v>
      </c>
      <c r="Q450" s="195" t="e">
        <f>'Imp Refined NYC'!S252</f>
        <v>#REF!</v>
      </c>
      <c r="R450" s="195" t="e">
        <f>'Imp Refined NYC'!T252</f>
        <v>#REF!</v>
      </c>
      <c r="S450" s="195" t="e">
        <f>'Imp Refined NYC'!U252</f>
        <v>#REF!</v>
      </c>
      <c r="T450" s="195" t="e">
        <f>'Imp Refined NYC'!V252</f>
        <v>#REF!</v>
      </c>
      <c r="U450" s="187"/>
      <c r="V450" s="187">
        <f>'Imp Refined NYC'!AF252</f>
        <v>0</v>
      </c>
      <c r="W450" s="187">
        <f>'Imp Refined NYC'!AG252</f>
        <v>0</v>
      </c>
      <c r="X450" s="187">
        <f>'Imp Refined NYC'!AH252</f>
        <v>0</v>
      </c>
      <c r="Y450" s="187">
        <f>'Imp Refined NYC'!AI252</f>
        <v>0</v>
      </c>
      <c r="Z450" s="187"/>
      <c r="AA450" s="187"/>
      <c r="AB450" s="187"/>
      <c r="AC450" s="187"/>
      <c r="AD450" s="187"/>
      <c r="AE450" s="187"/>
      <c r="AF450" s="195"/>
      <c r="AG450" s="197"/>
      <c r="AH450" s="197"/>
      <c r="BC450" s="147"/>
      <c r="BD450" s="147"/>
      <c r="BE450" s="147"/>
      <c r="BF450" s="147"/>
      <c r="BG450" s="147"/>
    </row>
    <row r="451" spans="2:59">
      <c r="B451" s="158" t="str">
        <f>Technologies!B$434</f>
        <v>*R0</v>
      </c>
      <c r="C451" s="158" t="str">
        <f>'Imp Refined NYC'!E253</f>
        <v>IMPMTHP45</v>
      </c>
      <c r="D451" s="158" t="str">
        <f>'Imp Refined NYC'!F253</f>
        <v>Imported Methanol, PADD 4, Step 5</v>
      </c>
      <c r="E451" s="197" t="str">
        <f>'Imp Refined NYC'!G253</f>
        <v>MTHP4</v>
      </c>
      <c r="F451" s="197"/>
      <c r="G451" s="187"/>
      <c r="H451" s="197"/>
      <c r="I451" s="197">
        <v>1.0049999999999999</v>
      </c>
      <c r="J451" s="197">
        <v>1.0049999999999999</v>
      </c>
      <c r="K451" s="195">
        <f>'Imp Refined NYC'!M253</f>
        <v>36.677609170087358</v>
      </c>
      <c r="L451" s="195" t="e">
        <f>'Imp Refined NYC'!N253</f>
        <v>#REF!</v>
      </c>
      <c r="M451" s="195" t="e">
        <f>'Imp Refined NYC'!O253</f>
        <v>#REF!</v>
      </c>
      <c r="N451" s="195" t="e">
        <f>'Imp Refined NYC'!P253</f>
        <v>#REF!</v>
      </c>
      <c r="O451" s="195" t="e">
        <f>'Imp Refined NYC'!Q253</f>
        <v>#REF!</v>
      </c>
      <c r="P451" s="195" t="e">
        <f>'Imp Refined NYC'!R253</f>
        <v>#REF!</v>
      </c>
      <c r="Q451" s="195" t="e">
        <f>'Imp Refined NYC'!S253</f>
        <v>#REF!</v>
      </c>
      <c r="R451" s="195" t="e">
        <f>'Imp Refined NYC'!T253</f>
        <v>#REF!</v>
      </c>
      <c r="S451" s="195" t="e">
        <f>'Imp Refined NYC'!U253</f>
        <v>#REF!</v>
      </c>
      <c r="T451" s="195" t="e">
        <f>'Imp Refined NYC'!V253</f>
        <v>#REF!</v>
      </c>
      <c r="U451" s="187"/>
      <c r="V451" s="187">
        <f>'Imp Refined NYC'!AF253</f>
        <v>0</v>
      </c>
      <c r="W451" s="187">
        <f>'Imp Refined NYC'!AG253</f>
        <v>0</v>
      </c>
      <c r="X451" s="187">
        <f>'Imp Refined NYC'!AH253</f>
        <v>0</v>
      </c>
      <c r="Y451" s="187">
        <f>'Imp Refined NYC'!AI253</f>
        <v>0</v>
      </c>
      <c r="Z451" s="187"/>
      <c r="AA451" s="187"/>
      <c r="AB451" s="187"/>
      <c r="AC451" s="187"/>
      <c r="AD451" s="187"/>
      <c r="AE451" s="187"/>
      <c r="AF451" s="195"/>
      <c r="AG451" s="197"/>
      <c r="AH451" s="197"/>
      <c r="BC451" s="147"/>
      <c r="BD451" s="147"/>
      <c r="BE451" s="147"/>
      <c r="BF451" s="147"/>
      <c r="BG451" s="147"/>
    </row>
    <row r="452" spans="2:59">
      <c r="B452" s="158" t="str">
        <f>Technologies!B$435</f>
        <v>*R0</v>
      </c>
      <c r="C452" s="158" t="str">
        <f>'Imp Refined NYC'!E254</f>
        <v>IMPDSUP43</v>
      </c>
      <c r="D452" s="158" t="str">
        <f>'Imp Refined NYC'!F254</f>
        <v>Imported Distillate-Ultralow Sulfur Highway Diesel (15 ppm), PADD 4, Step 3</v>
      </c>
      <c r="E452" s="197" t="str">
        <f>'Imp Refined NYC'!G254</f>
        <v>DSUP4</v>
      </c>
      <c r="F452" s="197"/>
      <c r="G452" s="187"/>
      <c r="H452" s="197"/>
      <c r="I452" s="197">
        <v>1.0049999999999999</v>
      </c>
      <c r="J452" s="197">
        <v>1.0049999999999999</v>
      </c>
      <c r="K452" s="195">
        <f>'Imp Refined NYC'!M254</f>
        <v>13.696954368238618</v>
      </c>
      <c r="L452" s="195" t="e">
        <f>'Imp Refined NYC'!N254</f>
        <v>#REF!</v>
      </c>
      <c r="M452" s="195" t="e">
        <f>'Imp Refined NYC'!O254</f>
        <v>#REF!</v>
      </c>
      <c r="N452" s="195" t="e">
        <f>'Imp Refined NYC'!P254</f>
        <v>#REF!</v>
      </c>
      <c r="O452" s="195" t="e">
        <f>'Imp Refined NYC'!Q254</f>
        <v>#REF!</v>
      </c>
      <c r="P452" s="195" t="e">
        <f>'Imp Refined NYC'!R254</f>
        <v>#REF!</v>
      </c>
      <c r="Q452" s="195" t="e">
        <f>'Imp Refined NYC'!S254</f>
        <v>#REF!</v>
      </c>
      <c r="R452" s="195" t="e">
        <f>'Imp Refined NYC'!T254</f>
        <v>#REF!</v>
      </c>
      <c r="S452" s="195" t="e">
        <f>'Imp Refined NYC'!U254</f>
        <v>#REF!</v>
      </c>
      <c r="T452" s="195" t="e">
        <f>'Imp Refined NYC'!V254</f>
        <v>#REF!</v>
      </c>
      <c r="U452" s="187"/>
      <c r="V452" s="187">
        <f>'Imp Refined NYC'!AF254</f>
        <v>0</v>
      </c>
      <c r="W452" s="187">
        <f>'Imp Refined NYC'!AG254</f>
        <v>0</v>
      </c>
      <c r="X452" s="187">
        <f>'Imp Refined NYC'!AH254</f>
        <v>0</v>
      </c>
      <c r="Y452" s="187">
        <f>'Imp Refined NYC'!AI254</f>
        <v>0</v>
      </c>
      <c r="Z452" s="187"/>
      <c r="AA452" s="187"/>
      <c r="AB452" s="187"/>
      <c r="AC452" s="187"/>
      <c r="AD452" s="187"/>
      <c r="AE452" s="187"/>
      <c r="AF452" s="195"/>
      <c r="AG452" s="197"/>
      <c r="AH452" s="197"/>
      <c r="BC452" s="147"/>
      <c r="BD452" s="147"/>
      <c r="BE452" s="147"/>
      <c r="BF452" s="147"/>
      <c r="BG452" s="147"/>
    </row>
    <row r="453" spans="2:59">
      <c r="B453" s="158" t="str">
        <f>Technologies!B$436</f>
        <v>*R0</v>
      </c>
      <c r="C453" s="158" t="str">
        <f>'Imp Refined NYC'!E255</f>
        <v>IMPDSUP41</v>
      </c>
      <c r="D453" s="158" t="str">
        <f>'Imp Refined NYC'!F255</f>
        <v>Imported Distillate-Ultralow Sulfur Highway Diesel (15 ppm), PADD 4, Step 1</v>
      </c>
      <c r="E453" s="197" t="str">
        <f>'Imp Refined NYC'!G255</f>
        <v>DSUP4</v>
      </c>
      <c r="F453" s="197"/>
      <c r="G453" s="187"/>
      <c r="H453" s="197"/>
      <c r="I453" s="197">
        <v>1.0049999999999999</v>
      </c>
      <c r="J453" s="197">
        <v>1.0049999999999999</v>
      </c>
      <c r="K453" s="195">
        <f>'Imp Refined NYC'!M255</f>
        <v>13.012106649826684</v>
      </c>
      <c r="L453" s="195" t="e">
        <f>'Imp Refined NYC'!N255</f>
        <v>#REF!</v>
      </c>
      <c r="M453" s="195" t="e">
        <f>'Imp Refined NYC'!O255</f>
        <v>#REF!</v>
      </c>
      <c r="N453" s="195" t="e">
        <f>'Imp Refined NYC'!P255</f>
        <v>#REF!</v>
      </c>
      <c r="O453" s="195" t="e">
        <f>'Imp Refined NYC'!Q255</f>
        <v>#REF!</v>
      </c>
      <c r="P453" s="195" t="e">
        <f>'Imp Refined NYC'!R255</f>
        <v>#REF!</v>
      </c>
      <c r="Q453" s="195" t="e">
        <f>'Imp Refined NYC'!S255</f>
        <v>#REF!</v>
      </c>
      <c r="R453" s="195" t="e">
        <f>'Imp Refined NYC'!T255</f>
        <v>#REF!</v>
      </c>
      <c r="S453" s="195" t="e">
        <f>'Imp Refined NYC'!U255</f>
        <v>#REF!</v>
      </c>
      <c r="T453" s="195" t="e">
        <f>'Imp Refined NYC'!V255</f>
        <v>#REF!</v>
      </c>
      <c r="U453" s="187"/>
      <c r="V453" s="187">
        <f>'Imp Refined NYC'!AF255</f>
        <v>0</v>
      </c>
      <c r="W453" s="187">
        <f>'Imp Refined NYC'!AG255</f>
        <v>0</v>
      </c>
      <c r="X453" s="187">
        <f>'Imp Refined NYC'!AH255</f>
        <v>0</v>
      </c>
      <c r="Y453" s="187">
        <f>'Imp Refined NYC'!AI255</f>
        <v>0</v>
      </c>
      <c r="Z453" s="187"/>
      <c r="AA453" s="187"/>
      <c r="AB453" s="187"/>
      <c r="AC453" s="187"/>
      <c r="AD453" s="187"/>
      <c r="AE453" s="187"/>
      <c r="AF453" s="195"/>
      <c r="AG453" s="197"/>
      <c r="AH453" s="197"/>
      <c r="BC453" s="147"/>
      <c r="BD453" s="147"/>
      <c r="BE453" s="147"/>
      <c r="BF453" s="147"/>
      <c r="BG453" s="147"/>
    </row>
    <row r="454" spans="2:59">
      <c r="B454" s="158" t="str">
        <f>Technologies!B$437</f>
        <v>*R0</v>
      </c>
      <c r="C454" s="158" t="str">
        <f>'Imp Refined NYC'!E256</f>
        <v>IMPDSUP42</v>
      </c>
      <c r="D454" s="158" t="str">
        <f>'Imp Refined NYC'!F256</f>
        <v>Imported Distillate-Ultralow Sulfur Highway Diesel (15 ppm), PADD 4, Step 2</v>
      </c>
      <c r="E454" s="197" t="str">
        <f>'Imp Refined NYC'!G256</f>
        <v>DSUP4</v>
      </c>
      <c r="F454" s="197"/>
      <c r="G454" s="187"/>
      <c r="H454" s="197"/>
      <c r="I454" s="197">
        <v>1.0049999999999999</v>
      </c>
      <c r="J454" s="197">
        <v>1.0049999999999999</v>
      </c>
      <c r="K454" s="195">
        <f>'Imp Refined NYC'!M256</f>
        <v>13.423015280873843</v>
      </c>
      <c r="L454" s="195" t="e">
        <f>'Imp Refined NYC'!N256</f>
        <v>#REF!</v>
      </c>
      <c r="M454" s="195" t="e">
        <f>'Imp Refined NYC'!O256</f>
        <v>#REF!</v>
      </c>
      <c r="N454" s="195" t="e">
        <f>'Imp Refined NYC'!P256</f>
        <v>#REF!</v>
      </c>
      <c r="O454" s="195" t="e">
        <f>'Imp Refined NYC'!Q256</f>
        <v>#REF!</v>
      </c>
      <c r="P454" s="195" t="e">
        <f>'Imp Refined NYC'!R256</f>
        <v>#REF!</v>
      </c>
      <c r="Q454" s="195" t="e">
        <f>'Imp Refined NYC'!S256</f>
        <v>#REF!</v>
      </c>
      <c r="R454" s="195" t="e">
        <f>'Imp Refined NYC'!T256</f>
        <v>#REF!</v>
      </c>
      <c r="S454" s="195" t="e">
        <f>'Imp Refined NYC'!U256</f>
        <v>#REF!</v>
      </c>
      <c r="T454" s="195" t="e">
        <f>'Imp Refined NYC'!V256</f>
        <v>#REF!</v>
      </c>
      <c r="U454" s="187"/>
      <c r="V454" s="187">
        <f>'Imp Refined NYC'!AF256</f>
        <v>0</v>
      </c>
      <c r="W454" s="187">
        <f>'Imp Refined NYC'!AG256</f>
        <v>0</v>
      </c>
      <c r="X454" s="187">
        <f>'Imp Refined NYC'!AH256</f>
        <v>0</v>
      </c>
      <c r="Y454" s="187">
        <f>'Imp Refined NYC'!AI256</f>
        <v>0</v>
      </c>
      <c r="Z454" s="187"/>
      <c r="AA454" s="187"/>
      <c r="AB454" s="187"/>
      <c r="AC454" s="187"/>
      <c r="AD454" s="187"/>
      <c r="AE454" s="187"/>
      <c r="AF454" s="195"/>
      <c r="AG454" s="197"/>
      <c r="AH454" s="197"/>
      <c r="BC454" s="147"/>
      <c r="BD454" s="147"/>
      <c r="BE454" s="147"/>
      <c r="BF454" s="147"/>
      <c r="BG454" s="147"/>
    </row>
    <row r="455" spans="2:59">
      <c r="B455" s="158" t="str">
        <f>Technologies!B$438</f>
        <v>*R0</v>
      </c>
      <c r="C455" s="158" t="str">
        <f>'Imp Refined NYC'!E257</f>
        <v>IMPDSUP44</v>
      </c>
      <c r="D455" s="158" t="str">
        <f>'Imp Refined NYC'!F257</f>
        <v>Imported Distillate-Ultralow Sulfur Highway Diesel (15 ppm), PADD 4, Step 4</v>
      </c>
      <c r="E455" s="197" t="str">
        <f>'Imp Refined NYC'!G257</f>
        <v>DSUP4</v>
      </c>
      <c r="F455" s="197"/>
      <c r="G455" s="187"/>
      <c r="H455" s="197"/>
      <c r="I455" s="197">
        <v>1.0049999999999999</v>
      </c>
      <c r="J455" s="197">
        <v>1.0049999999999999</v>
      </c>
      <c r="K455" s="195">
        <f>'Imp Refined NYC'!M257</f>
        <v>14.929680261380094</v>
      </c>
      <c r="L455" s="195" t="e">
        <f>'Imp Refined NYC'!N257</f>
        <v>#REF!</v>
      </c>
      <c r="M455" s="195" t="e">
        <f>'Imp Refined NYC'!O257</f>
        <v>#REF!</v>
      </c>
      <c r="N455" s="195" t="e">
        <f>'Imp Refined NYC'!P257</f>
        <v>#REF!</v>
      </c>
      <c r="O455" s="195" t="e">
        <f>'Imp Refined NYC'!Q257</f>
        <v>#REF!</v>
      </c>
      <c r="P455" s="195" t="e">
        <f>'Imp Refined NYC'!R257</f>
        <v>#REF!</v>
      </c>
      <c r="Q455" s="195" t="e">
        <f>'Imp Refined NYC'!S257</f>
        <v>#REF!</v>
      </c>
      <c r="R455" s="195" t="e">
        <f>'Imp Refined NYC'!T257</f>
        <v>#REF!</v>
      </c>
      <c r="S455" s="195" t="e">
        <f>'Imp Refined NYC'!U257</f>
        <v>#REF!</v>
      </c>
      <c r="T455" s="195" t="e">
        <f>'Imp Refined NYC'!V257</f>
        <v>#REF!</v>
      </c>
      <c r="U455" s="187"/>
      <c r="V455" s="187">
        <f>'Imp Refined NYC'!AF257</f>
        <v>0</v>
      </c>
      <c r="W455" s="187">
        <f>'Imp Refined NYC'!AG257</f>
        <v>0</v>
      </c>
      <c r="X455" s="187">
        <f>'Imp Refined NYC'!AH257</f>
        <v>0</v>
      </c>
      <c r="Y455" s="187">
        <f>'Imp Refined NYC'!AI257</f>
        <v>0</v>
      </c>
      <c r="Z455" s="187"/>
      <c r="AA455" s="187"/>
      <c r="AB455" s="187"/>
      <c r="AC455" s="187"/>
      <c r="AD455" s="187"/>
      <c r="AE455" s="187"/>
      <c r="AF455" s="195"/>
      <c r="AG455" s="197"/>
      <c r="AH455" s="197"/>
      <c r="BC455" s="147"/>
      <c r="BD455" s="147"/>
      <c r="BE455" s="147"/>
      <c r="BF455" s="147"/>
      <c r="BG455" s="147"/>
    </row>
    <row r="456" spans="2:59">
      <c r="B456" s="158" t="str">
        <f>Technologies!B$439</f>
        <v>*R0</v>
      </c>
      <c r="C456" s="158" t="str">
        <f>'Imp Refined NYC'!E258</f>
        <v>IMPDSUP45</v>
      </c>
      <c r="D456" s="158" t="str">
        <f>'Imp Refined NYC'!F258</f>
        <v>Imported Distillate-Ultralow Sulfur Highway Diesel (15 ppm), PADD 4, Step 5</v>
      </c>
      <c r="E456" s="197" t="str">
        <f>'Imp Refined NYC'!G258</f>
        <v>DSUP4</v>
      </c>
      <c r="F456" s="197"/>
      <c r="G456" s="187"/>
      <c r="H456" s="197"/>
      <c r="I456" s="197">
        <v>1.0049999999999999</v>
      </c>
      <c r="J456" s="197">
        <v>1.0049999999999999</v>
      </c>
      <c r="K456" s="195">
        <f>'Imp Refined NYC'!M258</f>
        <v>17.806040678710204</v>
      </c>
      <c r="L456" s="195" t="e">
        <f>'Imp Refined NYC'!N258</f>
        <v>#REF!</v>
      </c>
      <c r="M456" s="195" t="e">
        <f>'Imp Refined NYC'!O258</f>
        <v>#REF!</v>
      </c>
      <c r="N456" s="195" t="e">
        <f>'Imp Refined NYC'!P258</f>
        <v>#REF!</v>
      </c>
      <c r="O456" s="195" t="e">
        <f>'Imp Refined NYC'!Q258</f>
        <v>#REF!</v>
      </c>
      <c r="P456" s="195" t="e">
        <f>'Imp Refined NYC'!R258</f>
        <v>#REF!</v>
      </c>
      <c r="Q456" s="195" t="e">
        <f>'Imp Refined NYC'!S258</f>
        <v>#REF!</v>
      </c>
      <c r="R456" s="195" t="e">
        <f>'Imp Refined NYC'!T258</f>
        <v>#REF!</v>
      </c>
      <c r="S456" s="195" t="e">
        <f>'Imp Refined NYC'!U258</f>
        <v>#REF!</v>
      </c>
      <c r="T456" s="195" t="e">
        <f>'Imp Refined NYC'!V258</f>
        <v>#REF!</v>
      </c>
      <c r="U456" s="187"/>
      <c r="V456" s="187">
        <f>'Imp Refined NYC'!AF258</f>
        <v>0</v>
      </c>
      <c r="W456" s="187">
        <f>'Imp Refined NYC'!AG258</f>
        <v>0</v>
      </c>
      <c r="X456" s="187">
        <f>'Imp Refined NYC'!AH258</f>
        <v>0</v>
      </c>
      <c r="Y456" s="187">
        <f>'Imp Refined NYC'!AI258</f>
        <v>0</v>
      </c>
      <c r="Z456" s="187"/>
      <c r="AA456" s="187"/>
      <c r="AB456" s="187"/>
      <c r="AC456" s="187"/>
      <c r="AD456" s="187"/>
      <c r="AE456" s="187"/>
      <c r="AF456" s="195"/>
      <c r="AG456" s="197"/>
      <c r="AH456" s="197"/>
      <c r="BC456" s="147"/>
      <c r="BD456" s="147"/>
      <c r="BE456" s="147"/>
      <c r="BF456" s="147"/>
      <c r="BG456" s="147"/>
    </row>
    <row r="457" spans="2:59">
      <c r="B457" s="181" t="str">
        <f>Technologies!B$440</f>
        <v>*</v>
      </c>
      <c r="C457" s="181"/>
      <c r="D457" s="181"/>
      <c r="E457" s="180"/>
      <c r="F457" s="197"/>
      <c r="G457" s="187"/>
      <c r="H457" s="197"/>
      <c r="I457" s="197"/>
      <c r="J457" s="197"/>
      <c r="K457" s="195"/>
      <c r="L457" s="195"/>
      <c r="M457" s="195"/>
      <c r="N457" s="195"/>
      <c r="O457" s="195"/>
      <c r="P457" s="195"/>
      <c r="Q457" s="195"/>
      <c r="R457" s="195"/>
      <c r="S457" s="195"/>
      <c r="T457" s="195"/>
      <c r="U457" s="187"/>
      <c r="V457" s="187"/>
      <c r="W457" s="187"/>
      <c r="X457" s="187"/>
      <c r="Y457" s="187"/>
      <c r="Z457" s="187"/>
      <c r="AA457" s="187"/>
      <c r="AB457" s="187"/>
      <c r="AC457" s="187"/>
      <c r="AD457" s="187"/>
      <c r="AE457" s="187"/>
      <c r="AF457" s="195"/>
      <c r="AG457" s="197"/>
      <c r="AH457" s="197"/>
      <c r="BC457" s="147"/>
      <c r="BD457" s="147"/>
      <c r="BE457" s="147"/>
      <c r="BF457" s="147"/>
      <c r="BG457" s="147"/>
    </row>
    <row r="458" spans="2:59">
      <c r="B458" s="181" t="str">
        <f>Technologies!B$441</f>
        <v>*</v>
      </c>
      <c r="C458" s="181"/>
      <c r="D458" s="181"/>
      <c r="E458" s="180"/>
      <c r="F458" s="197"/>
      <c r="G458" s="187"/>
      <c r="H458" s="197"/>
      <c r="I458" s="197"/>
      <c r="J458" s="197"/>
      <c r="K458" s="195"/>
      <c r="L458" s="195"/>
      <c r="M458" s="195"/>
      <c r="N458" s="195"/>
      <c r="O458" s="195"/>
      <c r="P458" s="195"/>
      <c r="Q458" s="195"/>
      <c r="R458" s="195"/>
      <c r="S458" s="195"/>
      <c r="T458" s="195"/>
      <c r="U458" s="187"/>
      <c r="V458" s="187"/>
      <c r="W458" s="187"/>
      <c r="X458" s="187"/>
      <c r="Y458" s="187"/>
      <c r="Z458" s="187"/>
      <c r="AA458" s="187"/>
      <c r="AB458" s="187"/>
      <c r="AC458" s="187"/>
      <c r="AD458" s="187"/>
      <c r="AE458" s="187"/>
      <c r="AF458" s="195"/>
      <c r="AG458" s="197"/>
      <c r="AH458" s="197"/>
      <c r="BC458" s="147"/>
      <c r="BD458" s="147"/>
      <c r="BE458" s="147"/>
      <c r="BF458" s="147"/>
      <c r="BG458" s="147"/>
    </row>
    <row r="459" spans="2:59">
      <c r="B459" s="158" t="str">
        <f>Technologies!B$442</f>
        <v>*R0</v>
      </c>
      <c r="C459" s="158" t="str">
        <f>'Imp Refined NYC'!E261</f>
        <v>IMPGSRP53</v>
      </c>
      <c r="D459" s="158" t="str">
        <f>'Imp Refined NYC'!F261</f>
        <v>Imported Reformulated Gasoline, PADD 5, Step 3</v>
      </c>
      <c r="E459" s="197" t="str">
        <f>'Imp Refined NYC'!G261</f>
        <v>GSRP5</v>
      </c>
      <c r="F459" s="197"/>
      <c r="G459" s="187"/>
      <c r="H459" s="197"/>
      <c r="I459" s="197">
        <v>1.0049999999999999</v>
      </c>
      <c r="J459" s="197">
        <v>1.0049999999999999</v>
      </c>
      <c r="K459" s="195">
        <v>0</v>
      </c>
      <c r="L459" s="195">
        <v>0</v>
      </c>
      <c r="M459" s="195">
        <v>0</v>
      </c>
      <c r="N459" s="195">
        <v>0</v>
      </c>
      <c r="O459" s="195">
        <v>0</v>
      </c>
      <c r="P459" s="195">
        <v>0</v>
      </c>
      <c r="Q459" s="195">
        <v>0</v>
      </c>
      <c r="R459" s="195">
        <v>0</v>
      </c>
      <c r="S459" s="195">
        <v>0</v>
      </c>
      <c r="T459" s="195">
        <v>0</v>
      </c>
      <c r="U459" s="187"/>
      <c r="V459" s="187">
        <f>'Imp Refined NYC'!AF261</f>
        <v>1.2791907778199967</v>
      </c>
      <c r="W459" s="187">
        <f>'Imp Refined NYC'!AG261</f>
        <v>0</v>
      </c>
      <c r="X459" s="187">
        <f>'Imp Refined NYC'!AH261</f>
        <v>0</v>
      </c>
      <c r="Y459" s="187">
        <f>'Imp Refined NYC'!AI261</f>
        <v>0</v>
      </c>
      <c r="Z459" s="187">
        <f>'Imp Refined NYC'!AF261</f>
        <v>1.2791907778199967</v>
      </c>
      <c r="AA459" s="187">
        <f>'Imp Refined NYC'!AG261</f>
        <v>0</v>
      </c>
      <c r="AB459" s="187">
        <f>'Imp Refined NYC'!AH261</f>
        <v>0</v>
      </c>
      <c r="AC459" s="187">
        <f>'Imp Refined NYC'!AI261</f>
        <v>0</v>
      </c>
      <c r="AD459" s="187">
        <f>'Imp Refined NYC'!AJ261</f>
        <v>0</v>
      </c>
      <c r="AE459" s="187">
        <f>'Imp Refined NYC'!AK261</f>
        <v>0</v>
      </c>
      <c r="AF459" s="187">
        <f>'Imp Refined NYC'!AL261</f>
        <v>0</v>
      </c>
      <c r="AG459" s="197"/>
      <c r="AH459" s="197"/>
      <c r="BC459" s="147"/>
      <c r="BD459" s="147"/>
      <c r="BE459" s="147"/>
      <c r="BF459" s="147"/>
      <c r="BG459" s="147"/>
    </row>
    <row r="460" spans="2:59">
      <c r="B460" s="158" t="str">
        <f>Technologies!B$443</f>
        <v>*R0</v>
      </c>
      <c r="C460" s="158" t="str">
        <f>'Imp Refined NYC'!E262</f>
        <v>IMPGSRP51</v>
      </c>
      <c r="D460" s="158" t="str">
        <f>'Imp Refined NYC'!F262</f>
        <v>Imported Reformulated Gasoline, PADD 5, Step 1</v>
      </c>
      <c r="E460" s="197" t="str">
        <f>'Imp Refined NYC'!G262</f>
        <v>GSRP5</v>
      </c>
      <c r="F460" s="197"/>
      <c r="G460" s="187"/>
      <c r="H460" s="197"/>
      <c r="I460" s="197">
        <v>1.0049999999999999</v>
      </c>
      <c r="J460" s="197">
        <v>1.0049999999999999</v>
      </c>
      <c r="K460" s="195">
        <v>0</v>
      </c>
      <c r="L460" s="195">
        <v>0</v>
      </c>
      <c r="M460" s="195">
        <v>0</v>
      </c>
      <c r="N460" s="195">
        <v>0</v>
      </c>
      <c r="O460" s="195">
        <v>0</v>
      </c>
      <c r="P460" s="195">
        <v>0</v>
      </c>
      <c r="Q460" s="195">
        <v>0</v>
      </c>
      <c r="R460" s="195">
        <v>0</v>
      </c>
      <c r="S460" s="195">
        <v>0</v>
      </c>
      <c r="T460" s="195">
        <v>0</v>
      </c>
      <c r="U460" s="187"/>
      <c r="V460" s="187">
        <f>'Imp Refined NYC'!AF262</f>
        <v>10.23352622256</v>
      </c>
      <c r="W460" s="187">
        <f>'Imp Refined NYC'!AG262</f>
        <v>0</v>
      </c>
      <c r="X460" s="187">
        <f>'Imp Refined NYC'!AH262</f>
        <v>0</v>
      </c>
      <c r="Y460" s="187">
        <f>'Imp Refined NYC'!AI262</f>
        <v>0</v>
      </c>
      <c r="Z460" s="187">
        <f>'Imp Refined NYC'!AF262</f>
        <v>10.23352622256</v>
      </c>
      <c r="AA460" s="187">
        <f>'Imp Refined NYC'!AG262</f>
        <v>0</v>
      </c>
      <c r="AB460" s="187">
        <f>'Imp Refined NYC'!AH262</f>
        <v>0</v>
      </c>
      <c r="AC460" s="187">
        <f>'Imp Refined NYC'!AI262</f>
        <v>0</v>
      </c>
      <c r="AD460" s="187">
        <f>'Imp Refined NYC'!AJ262</f>
        <v>0</v>
      </c>
      <c r="AE460" s="187">
        <f>'Imp Refined NYC'!AK262</f>
        <v>0</v>
      </c>
      <c r="AF460" s="187">
        <f>'Imp Refined NYC'!AL262</f>
        <v>0</v>
      </c>
      <c r="AG460" s="197"/>
      <c r="AH460" s="197"/>
      <c r="BC460" s="147"/>
      <c r="BD460" s="147"/>
      <c r="BE460" s="147"/>
      <c r="BF460" s="147"/>
      <c r="BG460" s="147"/>
    </row>
    <row r="461" spans="2:59">
      <c r="B461" s="158" t="str">
        <f>Technologies!B$444</f>
        <v>*R0</v>
      </c>
      <c r="C461" s="158" t="str">
        <f>'Imp Refined NYC'!E263</f>
        <v>IMPGSRP52</v>
      </c>
      <c r="D461" s="158" t="str">
        <f>'Imp Refined NYC'!F263</f>
        <v>Imported Reformulated Gasoline, PADD 5, Step 2</v>
      </c>
      <c r="E461" s="197" t="str">
        <f>'Imp Refined NYC'!G263</f>
        <v>GSRP5</v>
      </c>
      <c r="F461" s="197"/>
      <c r="G461" s="187"/>
      <c r="H461" s="197"/>
      <c r="I461" s="197">
        <v>1.0049999999999999</v>
      </c>
      <c r="J461" s="197">
        <v>1.0049999999999999</v>
      </c>
      <c r="K461" s="195">
        <v>0</v>
      </c>
      <c r="L461" s="195">
        <v>0</v>
      </c>
      <c r="M461" s="195">
        <v>0</v>
      </c>
      <c r="N461" s="195">
        <v>0</v>
      </c>
      <c r="O461" s="195">
        <v>0</v>
      </c>
      <c r="P461" s="195">
        <v>0</v>
      </c>
      <c r="Q461" s="195">
        <v>0</v>
      </c>
      <c r="R461" s="195">
        <v>0</v>
      </c>
      <c r="S461" s="195">
        <v>0</v>
      </c>
      <c r="T461" s="195">
        <v>0</v>
      </c>
      <c r="U461" s="187"/>
      <c r="V461" s="187">
        <f>'Imp Refined NYC'!AF263</f>
        <v>1.279190777820002</v>
      </c>
      <c r="W461" s="187">
        <f>'Imp Refined NYC'!AG263</f>
        <v>0</v>
      </c>
      <c r="X461" s="187">
        <f>'Imp Refined NYC'!AH263</f>
        <v>0</v>
      </c>
      <c r="Y461" s="187">
        <f>'Imp Refined NYC'!AI263</f>
        <v>0</v>
      </c>
      <c r="Z461" s="187">
        <f>'Imp Refined NYC'!AF263</f>
        <v>1.279190777820002</v>
      </c>
      <c r="AA461" s="187">
        <f>'Imp Refined NYC'!AG263</f>
        <v>0</v>
      </c>
      <c r="AB461" s="187">
        <f>'Imp Refined NYC'!AH263</f>
        <v>0</v>
      </c>
      <c r="AC461" s="187">
        <f>'Imp Refined NYC'!AI263</f>
        <v>0</v>
      </c>
      <c r="AD461" s="187">
        <f>'Imp Refined NYC'!AJ263</f>
        <v>0</v>
      </c>
      <c r="AE461" s="187">
        <f>'Imp Refined NYC'!AK263</f>
        <v>0</v>
      </c>
      <c r="AF461" s="187">
        <f>'Imp Refined NYC'!AL263</f>
        <v>0</v>
      </c>
      <c r="AG461" s="197"/>
      <c r="AH461" s="197"/>
      <c r="BC461" s="147"/>
      <c r="BD461" s="147"/>
      <c r="BE461" s="147"/>
      <c r="BF461" s="147"/>
      <c r="BG461" s="147"/>
    </row>
    <row r="462" spans="2:59">
      <c r="B462" s="158" t="str">
        <f>Technologies!B$445</f>
        <v>*R0</v>
      </c>
      <c r="C462" s="158" t="str">
        <f>'Imp Refined NYC'!E264</f>
        <v>IMPGSRP54</v>
      </c>
      <c r="D462" s="158" t="str">
        <f>'Imp Refined NYC'!F264</f>
        <v>Imported Reformulated Gasoline, PADD 5, Step 4</v>
      </c>
      <c r="E462" s="197" t="str">
        <f>'Imp Refined NYC'!G264</f>
        <v>GSRP5</v>
      </c>
      <c r="F462" s="197"/>
      <c r="G462" s="187"/>
      <c r="H462" s="197"/>
      <c r="I462" s="197">
        <v>1.0049999999999999</v>
      </c>
      <c r="J462" s="197">
        <v>1.0049999999999999</v>
      </c>
      <c r="K462" s="195">
        <v>0</v>
      </c>
      <c r="L462" s="195">
        <v>0</v>
      </c>
      <c r="M462" s="195">
        <v>0</v>
      </c>
      <c r="N462" s="195">
        <v>0</v>
      </c>
      <c r="O462" s="195">
        <v>0</v>
      </c>
      <c r="P462" s="195">
        <v>0</v>
      </c>
      <c r="Q462" s="195">
        <v>0</v>
      </c>
      <c r="R462" s="195">
        <v>0</v>
      </c>
      <c r="S462" s="195">
        <v>0</v>
      </c>
      <c r="T462" s="195">
        <v>0</v>
      </c>
      <c r="U462" s="187"/>
      <c r="V462" s="187">
        <f>'Imp Refined NYC'!AF264</f>
        <v>2.5583815556400022</v>
      </c>
      <c r="W462" s="187">
        <f>'Imp Refined NYC'!AG264</f>
        <v>0</v>
      </c>
      <c r="X462" s="187">
        <f>'Imp Refined NYC'!AH264</f>
        <v>0</v>
      </c>
      <c r="Y462" s="187">
        <f>'Imp Refined NYC'!AI264</f>
        <v>0</v>
      </c>
      <c r="Z462" s="187">
        <f>'Imp Refined NYC'!AF264</f>
        <v>2.5583815556400022</v>
      </c>
      <c r="AA462" s="187">
        <f>'Imp Refined NYC'!AG264</f>
        <v>0</v>
      </c>
      <c r="AB462" s="187">
        <f>'Imp Refined NYC'!AH264</f>
        <v>0</v>
      </c>
      <c r="AC462" s="187">
        <f>'Imp Refined NYC'!AI264</f>
        <v>0</v>
      </c>
      <c r="AD462" s="187">
        <f>'Imp Refined NYC'!AJ264</f>
        <v>0</v>
      </c>
      <c r="AE462" s="187">
        <f>'Imp Refined NYC'!AK264</f>
        <v>0</v>
      </c>
      <c r="AF462" s="187">
        <f>'Imp Refined NYC'!AL264</f>
        <v>0</v>
      </c>
      <c r="AG462" s="197"/>
      <c r="AH462" s="197"/>
      <c r="BC462" s="147"/>
      <c r="BD462" s="147"/>
      <c r="BE462" s="147"/>
      <c r="BF462" s="147"/>
      <c r="BG462" s="147"/>
    </row>
    <row r="463" spans="2:59">
      <c r="B463" s="158" t="str">
        <f>Technologies!B$446</f>
        <v>*R0</v>
      </c>
      <c r="C463" s="158" t="str">
        <f>'Imp Refined NYC'!E265</f>
        <v>IMPGSRP55</v>
      </c>
      <c r="D463" s="158" t="str">
        <f>'Imp Refined NYC'!F265</f>
        <v>Imported Reformulated Gasoline, PADD 5, Step 5</v>
      </c>
      <c r="E463" s="197" t="str">
        <f>'Imp Refined NYC'!G265</f>
        <v>GSRP5</v>
      </c>
      <c r="F463" s="197"/>
      <c r="G463" s="187"/>
      <c r="H463" s="197"/>
      <c r="I463" s="197">
        <v>1.0049999999999999</v>
      </c>
      <c r="J463" s="197">
        <v>1.0049999999999999</v>
      </c>
      <c r="K463" s="195">
        <v>0</v>
      </c>
      <c r="L463" s="195">
        <v>0</v>
      </c>
      <c r="M463" s="195">
        <v>0</v>
      </c>
      <c r="N463" s="195">
        <v>0</v>
      </c>
      <c r="O463" s="195">
        <v>0</v>
      </c>
      <c r="P463" s="195">
        <v>0</v>
      </c>
      <c r="Q463" s="195">
        <v>0</v>
      </c>
      <c r="R463" s="195">
        <v>0</v>
      </c>
      <c r="S463" s="195">
        <v>0</v>
      </c>
      <c r="T463" s="195">
        <v>0</v>
      </c>
      <c r="U463" s="187"/>
      <c r="V463" s="187">
        <f>'Imp Refined NYC'!AF265</f>
        <v>10.233526222559997</v>
      </c>
      <c r="W463" s="187">
        <f>'Imp Refined NYC'!AG265</f>
        <v>0</v>
      </c>
      <c r="X463" s="187">
        <f>'Imp Refined NYC'!AH265</f>
        <v>0</v>
      </c>
      <c r="Y463" s="187">
        <f>'Imp Refined NYC'!AI265</f>
        <v>0</v>
      </c>
      <c r="Z463" s="187">
        <f>'Imp Refined NYC'!AF265</f>
        <v>10.233526222559997</v>
      </c>
      <c r="AA463" s="187">
        <f>'Imp Refined NYC'!AG265</f>
        <v>0</v>
      </c>
      <c r="AB463" s="187">
        <f>'Imp Refined NYC'!AH265</f>
        <v>0</v>
      </c>
      <c r="AC463" s="187">
        <f>'Imp Refined NYC'!AI265</f>
        <v>0</v>
      </c>
      <c r="AD463" s="187">
        <f>'Imp Refined NYC'!AJ265</f>
        <v>0</v>
      </c>
      <c r="AE463" s="187">
        <f>'Imp Refined NYC'!AK265</f>
        <v>0</v>
      </c>
      <c r="AF463" s="187">
        <f>'Imp Refined NYC'!AL265</f>
        <v>0</v>
      </c>
      <c r="AG463" s="197"/>
      <c r="AH463" s="197"/>
      <c r="BC463" s="147"/>
      <c r="BD463" s="147"/>
      <c r="BE463" s="147"/>
      <c r="BF463" s="147"/>
      <c r="BG463" s="147"/>
    </row>
    <row r="464" spans="2:59">
      <c r="B464" s="158" t="str">
        <f>Technologies!B$447</f>
        <v>*R0</v>
      </c>
      <c r="C464" s="158" t="str">
        <f>'Imp Refined NYC'!E266</f>
        <v>IMPGSCP53</v>
      </c>
      <c r="D464" s="158" t="str">
        <f>'Imp Refined NYC'!F266</f>
        <v>Imported Conventional Gasoline, PADD 5, Step 3</v>
      </c>
      <c r="E464" s="197" t="str">
        <f>'Imp Refined NYC'!G266</f>
        <v>GSCP5</v>
      </c>
      <c r="F464" s="197"/>
      <c r="G464" s="187"/>
      <c r="H464" s="197"/>
      <c r="I464" s="197">
        <v>1.0049999999999999</v>
      </c>
      <c r="J464" s="197">
        <v>1.0049999999999999</v>
      </c>
      <c r="K464" s="195">
        <f>'Imp Refined NYC'!M266</f>
        <v>10.598695462135115</v>
      </c>
      <c r="L464" s="195" t="e">
        <f>'Imp Refined NYC'!N266</f>
        <v>#REF!</v>
      </c>
      <c r="M464" s="195" t="e">
        <f>'Imp Refined NYC'!O266</f>
        <v>#REF!</v>
      </c>
      <c r="N464" s="195" t="e">
        <f>'Imp Refined NYC'!P266</f>
        <v>#REF!</v>
      </c>
      <c r="O464" s="195" t="e">
        <f>'Imp Refined NYC'!Q266</f>
        <v>#REF!</v>
      </c>
      <c r="P464" s="195" t="e">
        <f>'Imp Refined NYC'!R266</f>
        <v>#REF!</v>
      </c>
      <c r="Q464" s="195" t="e">
        <f>'Imp Refined NYC'!S266</f>
        <v>#REF!</v>
      </c>
      <c r="R464" s="195" t="e">
        <f>'Imp Refined NYC'!T266</f>
        <v>#REF!</v>
      </c>
      <c r="S464" s="195" t="e">
        <f>'Imp Refined NYC'!U266</f>
        <v>#REF!</v>
      </c>
      <c r="T464" s="195" t="e">
        <f>'Imp Refined NYC'!V266</f>
        <v>#REF!</v>
      </c>
      <c r="U464" s="187"/>
      <c r="V464" s="187">
        <f>'Imp Refined NYC'!AF266</f>
        <v>4.6668449409602459</v>
      </c>
      <c r="W464" s="187">
        <f>'Imp Refined NYC'!AG266</f>
        <v>3.9992858466746455</v>
      </c>
      <c r="X464" s="187">
        <f>'Imp Refined NYC'!AH266</f>
        <v>4.308790517661599</v>
      </c>
      <c r="Y464" s="187">
        <f>'Imp Refined NYC'!AI266</f>
        <v>4.6405471584580766</v>
      </c>
      <c r="Z464" s="187"/>
      <c r="AA464" s="187"/>
      <c r="AB464" s="187"/>
      <c r="AC464" s="187"/>
      <c r="AD464" s="187"/>
      <c r="AE464" s="187"/>
      <c r="AF464" s="195"/>
      <c r="AG464" s="197"/>
      <c r="AH464" s="197"/>
      <c r="BC464" s="147"/>
      <c r="BD464" s="147"/>
      <c r="BE464" s="147"/>
      <c r="BF464" s="147"/>
      <c r="BG464" s="147"/>
    </row>
    <row r="465" spans="2:59">
      <c r="B465" s="158" t="str">
        <f>Technologies!B$448</f>
        <v>*R0</v>
      </c>
      <c r="C465" s="158" t="str">
        <f>'Imp Refined NYC'!E267</f>
        <v>IMPGSCP51</v>
      </c>
      <c r="D465" s="158" t="str">
        <f>'Imp Refined NYC'!F267</f>
        <v>Imported Conventional Gasoline, PADD 5, Step 1</v>
      </c>
      <c r="E465" s="197" t="str">
        <f>'Imp Refined NYC'!G267</f>
        <v>GSCP5</v>
      </c>
      <c r="F465" s="197"/>
      <c r="G465" s="187"/>
      <c r="H465" s="197"/>
      <c r="I465" s="197">
        <v>1.0049999999999999</v>
      </c>
      <c r="J465" s="197">
        <v>1.0049999999999999</v>
      </c>
      <c r="K465" s="195">
        <f>'Imp Refined NYC'!M267</f>
        <v>10.068760689028357</v>
      </c>
      <c r="L465" s="195" t="e">
        <f>'Imp Refined NYC'!N267</f>
        <v>#REF!</v>
      </c>
      <c r="M465" s="195" t="e">
        <f>'Imp Refined NYC'!O267</f>
        <v>#REF!</v>
      </c>
      <c r="N465" s="195" t="e">
        <f>'Imp Refined NYC'!P267</f>
        <v>#REF!</v>
      </c>
      <c r="O465" s="195" t="e">
        <f>'Imp Refined NYC'!Q267</f>
        <v>#REF!</v>
      </c>
      <c r="P465" s="195" t="e">
        <f>'Imp Refined NYC'!R267</f>
        <v>#REF!</v>
      </c>
      <c r="Q465" s="195" t="e">
        <f>'Imp Refined NYC'!S267</f>
        <v>#REF!</v>
      </c>
      <c r="R465" s="195" t="e">
        <f>'Imp Refined NYC'!T267</f>
        <v>#REF!</v>
      </c>
      <c r="S465" s="195" t="e">
        <f>'Imp Refined NYC'!U267</f>
        <v>#REF!</v>
      </c>
      <c r="T465" s="195" t="e">
        <f>'Imp Refined NYC'!V267</f>
        <v>#REF!</v>
      </c>
      <c r="U465" s="187"/>
      <c r="V465" s="187">
        <f>'Imp Refined NYC'!AF267</f>
        <v>37.334759527681911</v>
      </c>
      <c r="W465" s="187">
        <f>'Imp Refined NYC'!AG267</f>
        <v>31.994286773397121</v>
      </c>
      <c r="X465" s="187">
        <f>'Imp Refined NYC'!AH267</f>
        <v>34.470324141292807</v>
      </c>
      <c r="Y465" s="187">
        <f>'Imp Refined NYC'!AI267</f>
        <v>37.124377267664642</v>
      </c>
      <c r="Z465" s="187"/>
      <c r="AA465" s="187"/>
      <c r="AB465" s="187"/>
      <c r="AC465" s="187"/>
      <c r="AD465" s="187"/>
      <c r="AE465" s="187"/>
      <c r="AF465" s="195"/>
      <c r="AG465" s="197"/>
      <c r="AH465" s="197"/>
      <c r="BC465" s="147"/>
      <c r="BD465" s="147"/>
      <c r="BE465" s="147"/>
      <c r="BF465" s="147"/>
      <c r="BG465" s="147"/>
    </row>
    <row r="466" spans="2:59">
      <c r="B466" s="158" t="str">
        <f>Technologies!B$449</f>
        <v>*R0</v>
      </c>
      <c r="C466" s="158" t="str">
        <f>'Imp Refined NYC'!E268</f>
        <v>IMPGSCP52</v>
      </c>
      <c r="D466" s="158" t="str">
        <f>'Imp Refined NYC'!F268</f>
        <v>Imported Conventional Gasoline, PADD 5, Step 2</v>
      </c>
      <c r="E466" s="197" t="str">
        <f>'Imp Refined NYC'!G268</f>
        <v>GSCP5</v>
      </c>
      <c r="F466" s="197"/>
      <c r="G466" s="187"/>
      <c r="H466" s="197"/>
      <c r="I466" s="197">
        <v>1.0049999999999999</v>
      </c>
      <c r="J466" s="197">
        <v>1.0049999999999999</v>
      </c>
      <c r="K466" s="195">
        <f>'Imp Refined NYC'!M268</f>
        <v>10.386721552892412</v>
      </c>
      <c r="L466" s="195" t="e">
        <f>'Imp Refined NYC'!N268</f>
        <v>#REF!</v>
      </c>
      <c r="M466" s="195" t="e">
        <f>'Imp Refined NYC'!O268</f>
        <v>#REF!</v>
      </c>
      <c r="N466" s="195" t="e">
        <f>'Imp Refined NYC'!P268</f>
        <v>#REF!</v>
      </c>
      <c r="O466" s="195" t="e">
        <f>'Imp Refined NYC'!Q268</f>
        <v>#REF!</v>
      </c>
      <c r="P466" s="195" t="e">
        <f>'Imp Refined NYC'!R268</f>
        <v>#REF!</v>
      </c>
      <c r="Q466" s="195" t="e">
        <f>'Imp Refined NYC'!S268</f>
        <v>#REF!</v>
      </c>
      <c r="R466" s="195" t="e">
        <f>'Imp Refined NYC'!T268</f>
        <v>#REF!</v>
      </c>
      <c r="S466" s="195" t="e">
        <f>'Imp Refined NYC'!U268</f>
        <v>#REF!</v>
      </c>
      <c r="T466" s="195" t="e">
        <f>'Imp Refined NYC'!V268</f>
        <v>#REF!</v>
      </c>
      <c r="U466" s="187"/>
      <c r="V466" s="187">
        <f>'Imp Refined NYC'!AF268</f>
        <v>4.6668449409602459</v>
      </c>
      <c r="W466" s="187">
        <f>'Imp Refined NYC'!AG268</f>
        <v>3.9992858466746313</v>
      </c>
      <c r="X466" s="187">
        <f>'Imp Refined NYC'!AH268</f>
        <v>4.3087905176615919</v>
      </c>
      <c r="Y466" s="187">
        <f>'Imp Refined NYC'!AI268</f>
        <v>4.6405471584580766</v>
      </c>
      <c r="Z466" s="187"/>
      <c r="AA466" s="187"/>
      <c r="AB466" s="187"/>
      <c r="AC466" s="187"/>
      <c r="AD466" s="187"/>
      <c r="AE466" s="187"/>
      <c r="AF466" s="195"/>
      <c r="AG466" s="197"/>
      <c r="AH466" s="197"/>
      <c r="BC466" s="147"/>
      <c r="BD466" s="147"/>
      <c r="BE466" s="147"/>
      <c r="BF466" s="147"/>
      <c r="BG466" s="147"/>
    </row>
    <row r="467" spans="2:59">
      <c r="B467" s="158" t="str">
        <f>Technologies!B$450</f>
        <v>*R0</v>
      </c>
      <c r="C467" s="158" t="str">
        <f>'Imp Refined NYC'!E269</f>
        <v>IMPGSCP54</v>
      </c>
      <c r="D467" s="158" t="str">
        <f>'Imp Refined NYC'!F269</f>
        <v>Imported Conventional Gasoline, PADD 5, Step 4</v>
      </c>
      <c r="E467" s="197" t="str">
        <f>'Imp Refined NYC'!G269</f>
        <v>GSCP5</v>
      </c>
      <c r="F467" s="197"/>
      <c r="G467" s="187"/>
      <c r="H467" s="197"/>
      <c r="I467" s="197">
        <v>1.0049999999999999</v>
      </c>
      <c r="J467" s="197">
        <v>1.0049999999999999</v>
      </c>
      <c r="K467" s="195">
        <f>'Imp Refined NYC'!M269</f>
        <v>11.552578053727274</v>
      </c>
      <c r="L467" s="195" t="e">
        <f>'Imp Refined NYC'!N269</f>
        <v>#REF!</v>
      </c>
      <c r="M467" s="195" t="e">
        <f>'Imp Refined NYC'!O269</f>
        <v>#REF!</v>
      </c>
      <c r="N467" s="195" t="e">
        <f>'Imp Refined NYC'!P269</f>
        <v>#REF!</v>
      </c>
      <c r="O467" s="195" t="e">
        <f>'Imp Refined NYC'!Q269</f>
        <v>#REF!</v>
      </c>
      <c r="P467" s="195" t="e">
        <f>'Imp Refined NYC'!R269</f>
        <v>#REF!</v>
      </c>
      <c r="Q467" s="195" t="e">
        <f>'Imp Refined NYC'!S269</f>
        <v>#REF!</v>
      </c>
      <c r="R467" s="195" t="e">
        <f>'Imp Refined NYC'!T269</f>
        <v>#REF!</v>
      </c>
      <c r="S467" s="195" t="e">
        <f>'Imp Refined NYC'!U269</f>
        <v>#REF!</v>
      </c>
      <c r="T467" s="195" t="e">
        <f>'Imp Refined NYC'!V269</f>
        <v>#REF!</v>
      </c>
      <c r="U467" s="187"/>
      <c r="V467" s="187">
        <f>'Imp Refined NYC'!AF269</f>
        <v>9.3336898819204777</v>
      </c>
      <c r="W467" s="187">
        <f>'Imp Refined NYC'!AG269</f>
        <v>7.9985716933492768</v>
      </c>
      <c r="X467" s="187">
        <f>'Imp Refined NYC'!AH269</f>
        <v>8.6175810353231981</v>
      </c>
      <c r="Y467" s="187">
        <f>'Imp Refined NYC'!AI269</f>
        <v>9.2810943169161675</v>
      </c>
      <c r="Z467" s="187"/>
      <c r="AA467" s="187"/>
      <c r="AB467" s="187"/>
      <c r="AC467" s="187"/>
      <c r="AD467" s="187"/>
      <c r="AE467" s="187"/>
      <c r="AF467" s="195"/>
      <c r="AG467" s="197"/>
      <c r="AH467" s="197"/>
      <c r="BC467" s="147"/>
      <c r="BD467" s="147"/>
      <c r="BE467" s="147"/>
      <c r="BF467" s="147"/>
      <c r="BG467" s="147"/>
    </row>
    <row r="468" spans="2:59">
      <c r="B468" s="158" t="str">
        <f>Technologies!B$451</f>
        <v>*R0</v>
      </c>
      <c r="C468" s="158" t="str">
        <f>'Imp Refined NYC'!E270</f>
        <v>IMPGSCP55</v>
      </c>
      <c r="D468" s="158" t="str">
        <f>'Imp Refined NYC'!F270</f>
        <v>Imported Conventional Gasoline, PADD 5, Step 5</v>
      </c>
      <c r="E468" s="197" t="str">
        <f>'Imp Refined NYC'!G270</f>
        <v>GSCP5</v>
      </c>
      <c r="F468" s="197"/>
      <c r="G468" s="187"/>
      <c r="H468" s="197"/>
      <c r="I468" s="197">
        <v>1.0049999999999999</v>
      </c>
      <c r="J468" s="197">
        <v>1.0049999999999999</v>
      </c>
      <c r="K468" s="195">
        <f>'Imp Refined NYC'!M270</f>
        <v>13.778304100775649</v>
      </c>
      <c r="L468" s="195" t="e">
        <f>'Imp Refined NYC'!N270</f>
        <v>#REF!</v>
      </c>
      <c r="M468" s="195" t="e">
        <f>'Imp Refined NYC'!O270</f>
        <v>#REF!</v>
      </c>
      <c r="N468" s="195" t="e">
        <f>'Imp Refined NYC'!P270</f>
        <v>#REF!</v>
      </c>
      <c r="O468" s="195" t="e">
        <f>'Imp Refined NYC'!Q270</f>
        <v>#REF!</v>
      </c>
      <c r="P468" s="195" t="e">
        <f>'Imp Refined NYC'!R270</f>
        <v>#REF!</v>
      </c>
      <c r="Q468" s="195" t="e">
        <f>'Imp Refined NYC'!S270</f>
        <v>#REF!</v>
      </c>
      <c r="R468" s="195" t="e">
        <f>'Imp Refined NYC'!T270</f>
        <v>#REF!</v>
      </c>
      <c r="S468" s="195" t="e">
        <f>'Imp Refined NYC'!U270</f>
        <v>#REF!</v>
      </c>
      <c r="T468" s="195" t="e">
        <f>'Imp Refined NYC'!V270</f>
        <v>#REF!</v>
      </c>
      <c r="U468" s="187"/>
      <c r="V468" s="187">
        <f>'Imp Refined NYC'!AF270</f>
        <v>37.334759527681925</v>
      </c>
      <c r="W468" s="187">
        <f>'Imp Refined NYC'!AG270</f>
        <v>31.994286773397121</v>
      </c>
      <c r="X468" s="187">
        <f>'Imp Refined NYC'!AH270</f>
        <v>34.470324141292799</v>
      </c>
      <c r="Y468" s="187">
        <f>'Imp Refined NYC'!AI270</f>
        <v>37.124377267664627</v>
      </c>
      <c r="Z468" s="187"/>
      <c r="AA468" s="187"/>
      <c r="AB468" s="187"/>
      <c r="AC468" s="187"/>
      <c r="AD468" s="187"/>
      <c r="AE468" s="187"/>
      <c r="AF468" s="195"/>
      <c r="AG468" s="197"/>
      <c r="AH468" s="197"/>
      <c r="BC468" s="147"/>
      <c r="BD468" s="147"/>
      <c r="BE468" s="147"/>
      <c r="BF468" s="147"/>
      <c r="BG468" s="147"/>
    </row>
    <row r="469" spans="2:59">
      <c r="B469" s="158" t="str">
        <f>Technologies!B$452</f>
        <v>*R0</v>
      </c>
      <c r="C469" s="158" t="str">
        <f>'Imp Refined NYC'!E271</f>
        <v>IMPDSHP53</v>
      </c>
      <c r="D469" s="158" t="str">
        <f>'Imp Refined NYC'!F271</f>
        <v>Imported Distillate-Heating Oil No. 2, PADD 5, Step 3</v>
      </c>
      <c r="E469" s="197" t="str">
        <f>'Imp Refined NYC'!G271</f>
        <v>DSHP5</v>
      </c>
      <c r="F469" s="197"/>
      <c r="G469" s="187"/>
      <c r="H469" s="197"/>
      <c r="I469" s="197">
        <v>1.0049999999999999</v>
      </c>
      <c r="J469" s="197">
        <v>1.0049999999999999</v>
      </c>
      <c r="K469" s="195">
        <f>'Imp Refined NYC'!M271</f>
        <v>12.658765326491235</v>
      </c>
      <c r="L469" s="195" t="e">
        <f>'Imp Refined NYC'!N271</f>
        <v>#REF!</v>
      </c>
      <c r="M469" s="195" t="e">
        <f>'Imp Refined NYC'!O271</f>
        <v>#REF!</v>
      </c>
      <c r="N469" s="195" t="e">
        <f>'Imp Refined NYC'!P271</f>
        <v>#REF!</v>
      </c>
      <c r="O469" s="195" t="e">
        <f>'Imp Refined NYC'!Q271</f>
        <v>#REF!</v>
      </c>
      <c r="P469" s="195" t="e">
        <f>'Imp Refined NYC'!R271</f>
        <v>#REF!</v>
      </c>
      <c r="Q469" s="195" t="e">
        <f>'Imp Refined NYC'!S271</f>
        <v>#REF!</v>
      </c>
      <c r="R469" s="195" t="e">
        <f>'Imp Refined NYC'!T271</f>
        <v>#REF!</v>
      </c>
      <c r="S469" s="195" t="e">
        <f>'Imp Refined NYC'!U271</f>
        <v>#REF!</v>
      </c>
      <c r="T469" s="195" t="e">
        <f>'Imp Refined NYC'!V271</f>
        <v>#REF!</v>
      </c>
      <c r="U469" s="187"/>
      <c r="V469" s="187">
        <f>'Imp Refined NYC'!AF271</f>
        <v>1.1372927355659996</v>
      </c>
      <c r="W469" s="187">
        <f>'Imp Refined NYC'!AG271</f>
        <v>1.1014018405579993</v>
      </c>
      <c r="X469" s="187">
        <f>'Imp Refined NYC'!AH271</f>
        <v>1.2158040683960003</v>
      </c>
      <c r="Y469" s="187">
        <f>'Imp Refined NYC'!AI271</f>
        <v>1.3414222009239989</v>
      </c>
      <c r="Z469" s="187"/>
      <c r="AA469" s="187"/>
      <c r="AB469" s="187"/>
      <c r="AC469" s="187"/>
      <c r="AD469" s="187"/>
      <c r="AE469" s="187"/>
      <c r="AF469" s="195"/>
      <c r="AG469" s="197"/>
      <c r="AH469" s="197"/>
      <c r="BC469" s="147"/>
      <c r="BD469" s="147"/>
      <c r="BE469" s="147"/>
      <c r="BF469" s="147"/>
      <c r="BG469" s="147"/>
    </row>
    <row r="470" spans="2:59">
      <c r="B470" s="158" t="str">
        <f>Technologies!B$453</f>
        <v>*R0</v>
      </c>
      <c r="C470" s="158" t="str">
        <f>'Imp Refined NYC'!E272</f>
        <v>IMPDSHP51</v>
      </c>
      <c r="D470" s="158" t="str">
        <f>'Imp Refined NYC'!F272</f>
        <v>Imported Distillate-Heating Oil No. 2, PADD 5, Step 1</v>
      </c>
      <c r="E470" s="197" t="str">
        <f>'Imp Refined NYC'!G272</f>
        <v>DSHP5</v>
      </c>
      <c r="F470" s="197"/>
      <c r="G470" s="187"/>
      <c r="H470" s="197"/>
      <c r="I470" s="197">
        <v>1.0049999999999999</v>
      </c>
      <c r="J470" s="197">
        <v>1.0049999999999999</v>
      </c>
      <c r="K470" s="195">
        <f>'Imp Refined NYC'!M272</f>
        <v>12.025827060166675</v>
      </c>
      <c r="L470" s="195" t="e">
        <f>'Imp Refined NYC'!N272</f>
        <v>#REF!</v>
      </c>
      <c r="M470" s="195" t="e">
        <f>'Imp Refined NYC'!O272</f>
        <v>#REF!</v>
      </c>
      <c r="N470" s="195" t="e">
        <f>'Imp Refined NYC'!P272</f>
        <v>#REF!</v>
      </c>
      <c r="O470" s="195" t="e">
        <f>'Imp Refined NYC'!Q272</f>
        <v>#REF!</v>
      </c>
      <c r="P470" s="195" t="e">
        <f>'Imp Refined NYC'!R272</f>
        <v>#REF!</v>
      </c>
      <c r="Q470" s="195" t="e">
        <f>'Imp Refined NYC'!S272</f>
        <v>#REF!</v>
      </c>
      <c r="R470" s="195" t="e">
        <f>'Imp Refined NYC'!T272</f>
        <v>#REF!</v>
      </c>
      <c r="S470" s="195" t="e">
        <f>'Imp Refined NYC'!U272</f>
        <v>#REF!</v>
      </c>
      <c r="T470" s="195" t="e">
        <f>'Imp Refined NYC'!V272</f>
        <v>#REF!</v>
      </c>
      <c r="U470" s="187"/>
      <c r="V470" s="187">
        <f>'Imp Refined NYC'!AF272</f>
        <v>9.0983418845279989</v>
      </c>
      <c r="W470" s="187">
        <f>'Imp Refined NYC'!AG272</f>
        <v>8.8112147244639996</v>
      </c>
      <c r="X470" s="187">
        <f>'Imp Refined NYC'!AH272</f>
        <v>9.7264325471679989</v>
      </c>
      <c r="Y470" s="187">
        <f>'Imp Refined NYC'!AI272</f>
        <v>10.731377607392</v>
      </c>
      <c r="Z470" s="187"/>
      <c r="AA470" s="187"/>
      <c r="AB470" s="187"/>
      <c r="AC470" s="187"/>
      <c r="AD470" s="187"/>
      <c r="AE470" s="187"/>
      <c r="AF470" s="195"/>
      <c r="AG470" s="197"/>
      <c r="AH470" s="197"/>
      <c r="BC470" s="147"/>
      <c r="BD470" s="147"/>
      <c r="BE470" s="147"/>
      <c r="BF470" s="147"/>
      <c r="BG470" s="147"/>
    </row>
    <row r="471" spans="2:59">
      <c r="B471" s="158" t="str">
        <f>Technologies!B$454</f>
        <v>*R0</v>
      </c>
      <c r="C471" s="158" t="str">
        <f>'Imp Refined NYC'!E273</f>
        <v>IMPDSHP52</v>
      </c>
      <c r="D471" s="158" t="str">
        <f>'Imp Refined NYC'!F273</f>
        <v>Imported Distillate-Heating Oil No. 2, PADD 5, Step 2</v>
      </c>
      <c r="E471" s="197" t="str">
        <f>'Imp Refined NYC'!G273</f>
        <v>DSHP5</v>
      </c>
      <c r="F471" s="197"/>
      <c r="G471" s="187"/>
      <c r="H471" s="197"/>
      <c r="I471" s="197">
        <v>1.0049999999999999</v>
      </c>
      <c r="J471" s="197">
        <v>1.0049999999999999</v>
      </c>
      <c r="K471" s="195">
        <f>'Imp Refined NYC'!M273</f>
        <v>12.40559001996141</v>
      </c>
      <c r="L471" s="195" t="e">
        <f>'Imp Refined NYC'!N273</f>
        <v>#REF!</v>
      </c>
      <c r="M471" s="195" t="e">
        <f>'Imp Refined NYC'!O273</f>
        <v>#REF!</v>
      </c>
      <c r="N471" s="195" t="e">
        <f>'Imp Refined NYC'!P273</f>
        <v>#REF!</v>
      </c>
      <c r="O471" s="195" t="e">
        <f>'Imp Refined NYC'!Q273</f>
        <v>#REF!</v>
      </c>
      <c r="P471" s="195" t="e">
        <f>'Imp Refined NYC'!R273</f>
        <v>#REF!</v>
      </c>
      <c r="Q471" s="195" t="e">
        <f>'Imp Refined NYC'!S273</f>
        <v>#REF!</v>
      </c>
      <c r="R471" s="195" t="e">
        <f>'Imp Refined NYC'!T273</f>
        <v>#REF!</v>
      </c>
      <c r="S471" s="195" t="e">
        <f>'Imp Refined NYC'!U273</f>
        <v>#REF!</v>
      </c>
      <c r="T471" s="195" t="e">
        <f>'Imp Refined NYC'!V273</f>
        <v>#REF!</v>
      </c>
      <c r="U471" s="187"/>
      <c r="V471" s="187">
        <f>'Imp Refined NYC'!AF273</f>
        <v>1.1372927355660032</v>
      </c>
      <c r="W471" s="187">
        <f>'Imp Refined NYC'!AG273</f>
        <v>1.1014018405580011</v>
      </c>
      <c r="X471" s="187">
        <f>'Imp Refined NYC'!AH273</f>
        <v>1.2158040683960003</v>
      </c>
      <c r="Y471" s="187">
        <f>'Imp Refined NYC'!AI273</f>
        <v>1.3414222009240007</v>
      </c>
      <c r="Z471" s="187"/>
      <c r="AA471" s="187"/>
      <c r="AB471" s="187"/>
      <c r="AC471" s="187"/>
      <c r="AD471" s="187"/>
      <c r="AE471" s="187"/>
      <c r="AF471" s="195"/>
      <c r="AG471" s="197"/>
      <c r="AH471" s="197"/>
      <c r="BC471" s="147"/>
      <c r="BD471" s="147"/>
      <c r="BE471" s="147"/>
      <c r="BF471" s="147"/>
      <c r="BG471" s="147"/>
    </row>
    <row r="472" spans="2:59">
      <c r="B472" s="158" t="str">
        <f>Technologies!B$455</f>
        <v>*R0</v>
      </c>
      <c r="C472" s="158" t="str">
        <f>'Imp Refined NYC'!E274</f>
        <v>IMPDSHP54</v>
      </c>
      <c r="D472" s="158" t="str">
        <f>'Imp Refined NYC'!F274</f>
        <v>Imported Distillate-Heating Oil No. 2, PADD 5, Step 4</v>
      </c>
      <c r="E472" s="197" t="str">
        <f>'Imp Refined NYC'!G274</f>
        <v>DSHP5</v>
      </c>
      <c r="F472" s="197"/>
      <c r="G472" s="187"/>
      <c r="H472" s="197"/>
      <c r="I472" s="197">
        <v>1.0049999999999999</v>
      </c>
      <c r="J472" s="197">
        <v>1.0049999999999999</v>
      </c>
      <c r="K472" s="195">
        <f>'Imp Refined NYC'!M274</f>
        <v>13.798054205875449</v>
      </c>
      <c r="L472" s="195" t="e">
        <f>'Imp Refined NYC'!N274</f>
        <v>#REF!</v>
      </c>
      <c r="M472" s="195" t="e">
        <f>'Imp Refined NYC'!O274</f>
        <v>#REF!</v>
      </c>
      <c r="N472" s="195" t="e">
        <f>'Imp Refined NYC'!P274</f>
        <v>#REF!</v>
      </c>
      <c r="O472" s="195" t="e">
        <f>'Imp Refined NYC'!Q274</f>
        <v>#REF!</v>
      </c>
      <c r="P472" s="195" t="e">
        <f>'Imp Refined NYC'!R274</f>
        <v>#REF!</v>
      </c>
      <c r="Q472" s="195" t="e">
        <f>'Imp Refined NYC'!S274</f>
        <v>#REF!</v>
      </c>
      <c r="R472" s="195" t="e">
        <f>'Imp Refined NYC'!T274</f>
        <v>#REF!</v>
      </c>
      <c r="S472" s="195" t="e">
        <f>'Imp Refined NYC'!U274</f>
        <v>#REF!</v>
      </c>
      <c r="T472" s="195" t="e">
        <f>'Imp Refined NYC'!V274</f>
        <v>#REF!</v>
      </c>
      <c r="U472" s="187"/>
      <c r="V472" s="187">
        <f>'Imp Refined NYC'!AF274</f>
        <v>2.2745854711319993</v>
      </c>
      <c r="W472" s="187">
        <f>'Imp Refined NYC'!AG274</f>
        <v>2.2028036811159986</v>
      </c>
      <c r="X472" s="187">
        <f>'Imp Refined NYC'!AH274</f>
        <v>2.4316081367919988</v>
      </c>
      <c r="Y472" s="187">
        <f>'Imp Refined NYC'!AI274</f>
        <v>2.6828444018480013</v>
      </c>
      <c r="Z472" s="187"/>
      <c r="AA472" s="187"/>
      <c r="AB472" s="187"/>
      <c r="AC472" s="187"/>
      <c r="AD472" s="187"/>
      <c r="AE472" s="187"/>
      <c r="AF472" s="195"/>
      <c r="AG472" s="197"/>
      <c r="AH472" s="197"/>
      <c r="BC472" s="147"/>
      <c r="BD472" s="147"/>
      <c r="BE472" s="147"/>
      <c r="BF472" s="147"/>
      <c r="BG472" s="147"/>
    </row>
    <row r="473" spans="2:59">
      <c r="B473" s="158" t="str">
        <f>Technologies!B$456</f>
        <v>*R0</v>
      </c>
      <c r="C473" s="158" t="str">
        <f>'Imp Refined NYC'!E275</f>
        <v>IMPDSHP55</v>
      </c>
      <c r="D473" s="158" t="str">
        <f>'Imp Refined NYC'!F275</f>
        <v>Imported Distillate-Heating Oil No. 2, PADD 5, Step 5</v>
      </c>
      <c r="E473" s="197" t="str">
        <f>'Imp Refined NYC'!G275</f>
        <v>DSHP5</v>
      </c>
      <c r="F473" s="197"/>
      <c r="G473" s="187"/>
      <c r="H473" s="197"/>
      <c r="I473" s="197">
        <v>1.0049999999999999</v>
      </c>
      <c r="J473" s="197">
        <v>1.0049999999999999</v>
      </c>
      <c r="K473" s="195">
        <f>'Imp Refined NYC'!M275</f>
        <v>16.456394924438605</v>
      </c>
      <c r="L473" s="195" t="e">
        <f>'Imp Refined NYC'!N275</f>
        <v>#REF!</v>
      </c>
      <c r="M473" s="195" t="e">
        <f>'Imp Refined NYC'!O275</f>
        <v>#REF!</v>
      </c>
      <c r="N473" s="195" t="e">
        <f>'Imp Refined NYC'!P275</f>
        <v>#REF!</v>
      </c>
      <c r="O473" s="195" t="e">
        <f>'Imp Refined NYC'!Q275</f>
        <v>#REF!</v>
      </c>
      <c r="P473" s="195" t="e">
        <f>'Imp Refined NYC'!R275</f>
        <v>#REF!</v>
      </c>
      <c r="Q473" s="195" t="e">
        <f>'Imp Refined NYC'!S275</f>
        <v>#REF!</v>
      </c>
      <c r="R473" s="195" t="e">
        <f>'Imp Refined NYC'!T275</f>
        <v>#REF!</v>
      </c>
      <c r="S473" s="195" t="e">
        <f>'Imp Refined NYC'!U275</f>
        <v>#REF!</v>
      </c>
      <c r="T473" s="195" t="e">
        <f>'Imp Refined NYC'!V275</f>
        <v>#REF!</v>
      </c>
      <c r="U473" s="187"/>
      <c r="V473" s="187">
        <f>'Imp Refined NYC'!AF275</f>
        <v>9.0983418845280024</v>
      </c>
      <c r="W473" s="187">
        <f>'Imp Refined NYC'!AG275</f>
        <v>8.8112147244640013</v>
      </c>
      <c r="X473" s="187">
        <f>'Imp Refined NYC'!AH275</f>
        <v>9.7264325471680007</v>
      </c>
      <c r="Y473" s="187">
        <f>'Imp Refined NYC'!AI275</f>
        <v>10.731377607391998</v>
      </c>
      <c r="Z473" s="187"/>
      <c r="AA473" s="187"/>
      <c r="AB473" s="187"/>
      <c r="AC473" s="187"/>
      <c r="AD473" s="187"/>
      <c r="AE473" s="187"/>
      <c r="AF473" s="195"/>
      <c r="AG473" s="197"/>
      <c r="AH473" s="197"/>
      <c r="BC473" s="147"/>
      <c r="BD473" s="147"/>
      <c r="BE473" s="147"/>
      <c r="BF473" s="147"/>
      <c r="BG473" s="147"/>
    </row>
    <row r="474" spans="2:59">
      <c r="B474" s="158" t="str">
        <f>Technologies!B$457</f>
        <v>*R0</v>
      </c>
      <c r="C474" s="158" t="str">
        <f>'Imp Refined NYC'!E276</f>
        <v>IMPDSLP53</v>
      </c>
      <c r="D474" s="158" t="str">
        <f>'Imp Refined NYC'!F276</f>
        <v>Imported Distillate-Low Sulfur Highway Diesel (500 ppm), PADD 5, Step 3</v>
      </c>
      <c r="E474" s="197" t="str">
        <f>'Imp Refined NYC'!G276</f>
        <v>DSLP5</v>
      </c>
      <c r="F474" s="197"/>
      <c r="G474" s="187"/>
      <c r="H474" s="197"/>
      <c r="I474" s="197">
        <v>1.0049999999999999</v>
      </c>
      <c r="J474" s="197">
        <v>1.0049999999999999</v>
      </c>
      <c r="K474" s="195">
        <f>'Imp Refined NYC'!M276</f>
        <v>12.702709836194831</v>
      </c>
      <c r="L474" s="195" t="e">
        <f>'Imp Refined NYC'!N276</f>
        <v>#REF!</v>
      </c>
      <c r="M474" s="195" t="e">
        <f>'Imp Refined NYC'!O276</f>
        <v>#REF!</v>
      </c>
      <c r="N474" s="195" t="e">
        <f>'Imp Refined NYC'!P276</f>
        <v>#REF!</v>
      </c>
      <c r="O474" s="195" t="e">
        <f>'Imp Refined NYC'!Q276</f>
        <v>#REF!</v>
      </c>
      <c r="P474" s="195" t="e">
        <f>'Imp Refined NYC'!R276</f>
        <v>#REF!</v>
      </c>
      <c r="Q474" s="195" t="e">
        <f>'Imp Refined NYC'!S276</f>
        <v>#REF!</v>
      </c>
      <c r="R474" s="195" t="e">
        <f>'Imp Refined NYC'!T276</f>
        <v>#REF!</v>
      </c>
      <c r="S474" s="195" t="e">
        <f>'Imp Refined NYC'!U276</f>
        <v>#REF!</v>
      </c>
      <c r="T474" s="195" t="e">
        <f>'Imp Refined NYC'!V276</f>
        <v>#REF!</v>
      </c>
      <c r="U474" s="187"/>
      <c r="V474" s="187">
        <f>'Imp Refined NYC'!AF276</f>
        <v>3.0798874278739987</v>
      </c>
      <c r="W474" s="187">
        <f>'Imp Refined NYC'!AG276</f>
        <v>0.96456780333999959</v>
      </c>
      <c r="X474" s="187">
        <f>'Imp Refined NYC'!AH276</f>
        <v>0.22880445567599983</v>
      </c>
      <c r="Y474" s="187">
        <f>'Imp Refined NYC'!AI276</f>
        <v>5.3836342511999979E-2</v>
      </c>
      <c r="Z474" s="187"/>
      <c r="AA474" s="187"/>
      <c r="AB474" s="187"/>
      <c r="AC474" s="187"/>
      <c r="AD474" s="187"/>
      <c r="AE474" s="187"/>
      <c r="AF474" s="195"/>
      <c r="AG474" s="197"/>
      <c r="AH474" s="197"/>
      <c r="BC474" s="147"/>
      <c r="BD474" s="147"/>
      <c r="BE474" s="147"/>
      <c r="BF474" s="147"/>
      <c r="BG474" s="147"/>
    </row>
    <row r="475" spans="2:59">
      <c r="B475" s="158" t="str">
        <f>Technologies!B$458</f>
        <v>*R0</v>
      </c>
      <c r="C475" s="158" t="str">
        <f>'Imp Refined NYC'!E277</f>
        <v>IMPDSLP51</v>
      </c>
      <c r="D475" s="158" t="str">
        <f>'Imp Refined NYC'!F277</f>
        <v>Imported Distillate-Low Sulfur Highway Diesel (500 ppm), PADD 5, Step 1</v>
      </c>
      <c r="E475" s="197" t="str">
        <f>'Imp Refined NYC'!G277</f>
        <v>DSLP5</v>
      </c>
      <c r="F475" s="197"/>
      <c r="G475" s="187"/>
      <c r="H475" s="197"/>
      <c r="I475" s="197">
        <v>1.0049999999999999</v>
      </c>
      <c r="J475" s="197">
        <v>1.0049999999999999</v>
      </c>
      <c r="K475" s="195">
        <f>'Imp Refined NYC'!M277</f>
        <v>12.067574344385086</v>
      </c>
      <c r="L475" s="195" t="e">
        <f>'Imp Refined NYC'!N277</f>
        <v>#REF!</v>
      </c>
      <c r="M475" s="195" t="e">
        <f>'Imp Refined NYC'!O277</f>
        <v>#REF!</v>
      </c>
      <c r="N475" s="195" t="e">
        <f>'Imp Refined NYC'!P277</f>
        <v>#REF!</v>
      </c>
      <c r="O475" s="195" t="e">
        <f>'Imp Refined NYC'!Q277</f>
        <v>#REF!</v>
      </c>
      <c r="P475" s="195" t="e">
        <f>'Imp Refined NYC'!R277</f>
        <v>#REF!</v>
      </c>
      <c r="Q475" s="195" t="e">
        <f>'Imp Refined NYC'!S277</f>
        <v>#REF!</v>
      </c>
      <c r="R475" s="195" t="e">
        <f>'Imp Refined NYC'!T277</f>
        <v>#REF!</v>
      </c>
      <c r="S475" s="195" t="e">
        <f>'Imp Refined NYC'!U277</f>
        <v>#REF!</v>
      </c>
      <c r="T475" s="195" t="e">
        <f>'Imp Refined NYC'!V277</f>
        <v>#REF!</v>
      </c>
      <c r="U475" s="187"/>
      <c r="V475" s="187">
        <f>'Imp Refined NYC'!AF277</f>
        <v>24.639099422992004</v>
      </c>
      <c r="W475" s="187">
        <f>'Imp Refined NYC'!AG277</f>
        <v>7.7165424267199993</v>
      </c>
      <c r="X475" s="187">
        <f>'Imp Refined NYC'!AH277</f>
        <v>1.8304356454080002</v>
      </c>
      <c r="Y475" s="187">
        <f>'Imp Refined NYC'!AI277</f>
        <v>0.43069074009599995</v>
      </c>
      <c r="Z475" s="187"/>
      <c r="AA475" s="187"/>
      <c r="AB475" s="187"/>
      <c r="AC475" s="187"/>
      <c r="AD475" s="187"/>
      <c r="AE475" s="187"/>
      <c r="AF475" s="195"/>
      <c r="AG475" s="197"/>
      <c r="AH475" s="197"/>
      <c r="BC475" s="147"/>
      <c r="BD475" s="147"/>
      <c r="BE475" s="147"/>
      <c r="BF475" s="147"/>
      <c r="BG475" s="147"/>
    </row>
    <row r="476" spans="2:59">
      <c r="B476" s="158" t="str">
        <f>Technologies!B$459</f>
        <v>*R0</v>
      </c>
      <c r="C476" s="158" t="str">
        <f>'Imp Refined NYC'!E278</f>
        <v>IMPDSLP52</v>
      </c>
      <c r="D476" s="158" t="str">
        <f>'Imp Refined NYC'!F278</f>
        <v>Imported Distillate-Low Sulfur Highway Diesel (500 ppm), PADD 5, Step 2</v>
      </c>
      <c r="E476" s="197" t="str">
        <f>'Imp Refined NYC'!G278</f>
        <v>DSLP5</v>
      </c>
      <c r="F476" s="197"/>
      <c r="G476" s="187"/>
      <c r="H476" s="197"/>
      <c r="I476" s="197">
        <v>1.0049999999999999</v>
      </c>
      <c r="J476" s="197">
        <v>1.0049999999999999</v>
      </c>
      <c r="K476" s="195">
        <f>'Imp Refined NYC'!M278</f>
        <v>12.448655639470932</v>
      </c>
      <c r="L476" s="195" t="e">
        <f>'Imp Refined NYC'!N278</f>
        <v>#REF!</v>
      </c>
      <c r="M476" s="195" t="e">
        <f>'Imp Refined NYC'!O278</f>
        <v>#REF!</v>
      </c>
      <c r="N476" s="195" t="e">
        <f>'Imp Refined NYC'!P278</f>
        <v>#REF!</v>
      </c>
      <c r="O476" s="195" t="e">
        <f>'Imp Refined NYC'!Q278</f>
        <v>#REF!</v>
      </c>
      <c r="P476" s="195" t="e">
        <f>'Imp Refined NYC'!R278</f>
        <v>#REF!</v>
      </c>
      <c r="Q476" s="195" t="e">
        <f>'Imp Refined NYC'!S278</f>
        <v>#REF!</v>
      </c>
      <c r="R476" s="195" t="e">
        <f>'Imp Refined NYC'!T278</f>
        <v>#REF!</v>
      </c>
      <c r="S476" s="195" t="e">
        <f>'Imp Refined NYC'!U278</f>
        <v>#REF!</v>
      </c>
      <c r="T476" s="195" t="e">
        <f>'Imp Refined NYC'!V278</f>
        <v>#REF!</v>
      </c>
      <c r="U476" s="187"/>
      <c r="V476" s="187">
        <f>'Imp Refined NYC'!AF278</f>
        <v>3.0798874278739952</v>
      </c>
      <c r="W476" s="187">
        <f>'Imp Refined NYC'!AG278</f>
        <v>0.96456780334000047</v>
      </c>
      <c r="X476" s="187">
        <f>'Imp Refined NYC'!AH278</f>
        <v>0.22880445567600005</v>
      </c>
      <c r="Y476" s="187">
        <f>'Imp Refined NYC'!AI278</f>
        <v>5.3836342511999979E-2</v>
      </c>
      <c r="Z476" s="187"/>
      <c r="AA476" s="187"/>
      <c r="AB476" s="187"/>
      <c r="AC476" s="187"/>
      <c r="AD476" s="187"/>
      <c r="AE476" s="187"/>
      <c r="AF476" s="195"/>
      <c r="AG476" s="197"/>
      <c r="AH476" s="197"/>
      <c r="BC476" s="147"/>
      <c r="BD476" s="147"/>
      <c r="BE476" s="147"/>
      <c r="BF476" s="147"/>
      <c r="BG476" s="147"/>
    </row>
    <row r="477" spans="2:59">
      <c r="B477" s="158" t="str">
        <f>Technologies!B$460</f>
        <v>*R0</v>
      </c>
      <c r="C477" s="158" t="str">
        <f>'Imp Refined NYC'!E279</f>
        <v>IMPDSLP54</v>
      </c>
      <c r="D477" s="158" t="str">
        <f>'Imp Refined NYC'!F279</f>
        <v>Imported Distillate-Low Sulfur Highway Diesel (500 ppm), PADD 5, Step 4</v>
      </c>
      <c r="E477" s="197" t="str">
        <f>'Imp Refined NYC'!G279</f>
        <v>DSLP5</v>
      </c>
      <c r="F477" s="197"/>
      <c r="G477" s="187"/>
      <c r="H477" s="197"/>
      <c r="I477" s="197">
        <v>1.0049999999999999</v>
      </c>
      <c r="J477" s="197">
        <v>1.0049999999999999</v>
      </c>
      <c r="K477" s="195">
        <f>'Imp Refined NYC'!M279</f>
        <v>13.845953721452368</v>
      </c>
      <c r="L477" s="195" t="e">
        <f>'Imp Refined NYC'!N279</f>
        <v>#REF!</v>
      </c>
      <c r="M477" s="195" t="e">
        <f>'Imp Refined NYC'!O279</f>
        <v>#REF!</v>
      </c>
      <c r="N477" s="195" t="e">
        <f>'Imp Refined NYC'!P279</f>
        <v>#REF!</v>
      </c>
      <c r="O477" s="195" t="e">
        <f>'Imp Refined NYC'!Q279</f>
        <v>#REF!</v>
      </c>
      <c r="P477" s="195" t="e">
        <f>'Imp Refined NYC'!R279</f>
        <v>#REF!</v>
      </c>
      <c r="Q477" s="195" t="e">
        <f>'Imp Refined NYC'!S279</f>
        <v>#REF!</v>
      </c>
      <c r="R477" s="195" t="e">
        <f>'Imp Refined NYC'!T279</f>
        <v>#REF!</v>
      </c>
      <c r="S477" s="195" t="e">
        <f>'Imp Refined NYC'!U279</f>
        <v>#REF!</v>
      </c>
      <c r="T477" s="195" t="e">
        <f>'Imp Refined NYC'!V279</f>
        <v>#REF!</v>
      </c>
      <c r="U477" s="187"/>
      <c r="V477" s="187">
        <f>'Imp Refined NYC'!AF279</f>
        <v>6.159774855748001</v>
      </c>
      <c r="W477" s="187">
        <f>'Imp Refined NYC'!AG279</f>
        <v>1.9291356066799992</v>
      </c>
      <c r="X477" s="187">
        <f>'Imp Refined NYC'!AH279</f>
        <v>0.4576089113520001</v>
      </c>
      <c r="Y477" s="187">
        <f>'Imp Refined NYC'!AI279</f>
        <v>0.10767268502400007</v>
      </c>
      <c r="Z477" s="187"/>
      <c r="AA477" s="187"/>
      <c r="AB477" s="187"/>
      <c r="AC477" s="187"/>
      <c r="AD477" s="187"/>
      <c r="AE477" s="187"/>
      <c r="AF477" s="195"/>
      <c r="AG477" s="197"/>
      <c r="AH477" s="197"/>
      <c r="BC477" s="147"/>
      <c r="BD477" s="147"/>
      <c r="BE477" s="147"/>
      <c r="BF477" s="147"/>
      <c r="BG477" s="147"/>
    </row>
    <row r="478" spans="2:59">
      <c r="B478" s="158" t="str">
        <f>Technologies!B$461</f>
        <v>*R0</v>
      </c>
      <c r="C478" s="158" t="str">
        <f>'Imp Refined NYC'!E280</f>
        <v>IMPDSLP55</v>
      </c>
      <c r="D478" s="158" t="str">
        <f>'Imp Refined NYC'!F280</f>
        <v>Imported Distillate-Low Sulfur Highway Diesel (500 ppm), PADD 5, Step 5</v>
      </c>
      <c r="E478" s="197" t="str">
        <f>'Imp Refined NYC'!G280</f>
        <v>DSLP5</v>
      </c>
      <c r="F478" s="197"/>
      <c r="G478" s="187"/>
      <c r="H478" s="197"/>
      <c r="I478" s="197">
        <v>1.0049999999999999</v>
      </c>
      <c r="J478" s="197">
        <v>1.0049999999999999</v>
      </c>
      <c r="K478" s="195">
        <f>'Imp Refined NYC'!M280</f>
        <v>16.513522787053279</v>
      </c>
      <c r="L478" s="195" t="e">
        <f>'Imp Refined NYC'!N280</f>
        <v>#REF!</v>
      </c>
      <c r="M478" s="195" t="e">
        <f>'Imp Refined NYC'!O280</f>
        <v>#REF!</v>
      </c>
      <c r="N478" s="195" t="e">
        <f>'Imp Refined NYC'!P280</f>
        <v>#REF!</v>
      </c>
      <c r="O478" s="195" t="e">
        <f>'Imp Refined NYC'!Q280</f>
        <v>#REF!</v>
      </c>
      <c r="P478" s="195" t="e">
        <f>'Imp Refined NYC'!R280</f>
        <v>#REF!</v>
      </c>
      <c r="Q478" s="195" t="e">
        <f>'Imp Refined NYC'!S280</f>
        <v>#REF!</v>
      </c>
      <c r="R478" s="195" t="e">
        <f>'Imp Refined NYC'!T280</f>
        <v>#REF!</v>
      </c>
      <c r="S478" s="195" t="e">
        <f>'Imp Refined NYC'!U280</f>
        <v>#REF!</v>
      </c>
      <c r="T478" s="195" t="e">
        <f>'Imp Refined NYC'!V280</f>
        <v>#REF!</v>
      </c>
      <c r="U478" s="187"/>
      <c r="V478" s="187">
        <f>'Imp Refined NYC'!AF280</f>
        <v>24.639099422991997</v>
      </c>
      <c r="W478" s="187">
        <f>'Imp Refined NYC'!AG280</f>
        <v>7.7165424267200002</v>
      </c>
      <c r="X478" s="187">
        <f>'Imp Refined NYC'!AH280</f>
        <v>1.830435645408</v>
      </c>
      <c r="Y478" s="187">
        <f>'Imp Refined NYC'!AI280</f>
        <v>0.43069074009599984</v>
      </c>
      <c r="Z478" s="187"/>
      <c r="AA478" s="187"/>
      <c r="AB478" s="187"/>
      <c r="AC478" s="187"/>
      <c r="AD478" s="187"/>
      <c r="AE478" s="187"/>
      <c r="AF478" s="195"/>
      <c r="AG478" s="197"/>
      <c r="AH478" s="197"/>
      <c r="BC478" s="147"/>
      <c r="BD478" s="147"/>
      <c r="BE478" s="147"/>
      <c r="BF478" s="147"/>
      <c r="BG478" s="147"/>
    </row>
    <row r="479" spans="2:59">
      <c r="B479" s="158" t="str">
        <f>Technologies!B$462</f>
        <v>*R0</v>
      </c>
      <c r="C479" s="158" t="str">
        <f>'Imp Refined NYC'!E281</f>
        <v>IMPRFLP53</v>
      </c>
      <c r="D479" s="158" t="str">
        <f>'Imp Refined NYC'!F281</f>
        <v>Imported Low Sulfur Residual Fuel Oil, PADD 5, Step 3</v>
      </c>
      <c r="E479" s="197" t="str">
        <f>'Imp Refined NYC'!G281</f>
        <v>RFLP5</v>
      </c>
      <c r="F479" s="197"/>
      <c r="G479" s="187"/>
      <c r="H479" s="197"/>
      <c r="I479" s="197">
        <v>1.0049999999999999</v>
      </c>
      <c r="J479" s="197">
        <v>1.0049999999999999</v>
      </c>
      <c r="K479" s="195">
        <f>'Imp Refined NYC'!M281</f>
        <v>8.3542601072045137</v>
      </c>
      <c r="L479" s="195" t="e">
        <f>'Imp Refined NYC'!N281</f>
        <v>#REF!</v>
      </c>
      <c r="M479" s="195" t="e">
        <f>'Imp Refined NYC'!O281</f>
        <v>#REF!</v>
      </c>
      <c r="N479" s="195" t="e">
        <f>'Imp Refined NYC'!P281</f>
        <v>#REF!</v>
      </c>
      <c r="O479" s="195" t="e">
        <f>'Imp Refined NYC'!Q281</f>
        <v>#REF!</v>
      </c>
      <c r="P479" s="195" t="e">
        <f>'Imp Refined NYC'!R281</f>
        <v>#REF!</v>
      </c>
      <c r="Q479" s="195" t="e">
        <f>'Imp Refined NYC'!S281</f>
        <v>#REF!</v>
      </c>
      <c r="R479" s="195" t="e">
        <f>'Imp Refined NYC'!T281</f>
        <v>#REF!</v>
      </c>
      <c r="S479" s="195" t="e">
        <f>'Imp Refined NYC'!U281</f>
        <v>#REF!</v>
      </c>
      <c r="T479" s="195" t="e">
        <f>'Imp Refined NYC'!V281</f>
        <v>#REF!</v>
      </c>
      <c r="U479" s="187"/>
      <c r="V479" s="187">
        <f>'Imp Refined NYC'!AF281</f>
        <v>2.5421497828439961</v>
      </c>
      <c r="W479" s="187">
        <f>'Imp Refined NYC'!AG281</f>
        <v>2.0966682970884776</v>
      </c>
      <c r="X479" s="187">
        <f>'Imp Refined NYC'!AH281</f>
        <v>2.3145668499036773</v>
      </c>
      <c r="Y479" s="187">
        <f>'Imp Refined NYC'!AI281</f>
        <v>2.5566763530316727</v>
      </c>
      <c r="Z479" s="187"/>
      <c r="AA479" s="187"/>
      <c r="AB479" s="187"/>
      <c r="AC479" s="187"/>
      <c r="AD479" s="187"/>
      <c r="AE479" s="187"/>
      <c r="AF479" s="195"/>
      <c r="AG479" s="197"/>
      <c r="AH479" s="197"/>
      <c r="BC479" s="147"/>
      <c r="BD479" s="147"/>
      <c r="BE479" s="147"/>
      <c r="BF479" s="147"/>
      <c r="BG479" s="147"/>
    </row>
    <row r="480" spans="2:59">
      <c r="B480" s="158" t="str">
        <f>Technologies!B$463</f>
        <v>*R0</v>
      </c>
      <c r="C480" s="158" t="str">
        <f>'Imp Refined NYC'!E282</f>
        <v>IMPRFLP51</v>
      </c>
      <c r="D480" s="158" t="str">
        <f>'Imp Refined NYC'!F282</f>
        <v>Imported Low Sulfur Residual Fuel Oil, PADD 5, Step 1</v>
      </c>
      <c r="E480" s="197" t="str">
        <f>'Imp Refined NYC'!G282</f>
        <v>RFLP5</v>
      </c>
      <c r="F480" s="197"/>
      <c r="G480" s="187"/>
      <c r="H480" s="197"/>
      <c r="I480" s="197">
        <v>1.0049999999999999</v>
      </c>
      <c r="J480" s="197">
        <v>1.0049999999999999</v>
      </c>
      <c r="K480" s="195">
        <f>'Imp Refined NYC'!M282</f>
        <v>7.9365471018442895</v>
      </c>
      <c r="L480" s="195" t="e">
        <f>'Imp Refined NYC'!N282</f>
        <v>#REF!</v>
      </c>
      <c r="M480" s="195" t="e">
        <f>'Imp Refined NYC'!O282</f>
        <v>#REF!</v>
      </c>
      <c r="N480" s="195" t="e">
        <f>'Imp Refined NYC'!P282</f>
        <v>#REF!</v>
      </c>
      <c r="O480" s="195" t="e">
        <f>'Imp Refined NYC'!Q282</f>
        <v>#REF!</v>
      </c>
      <c r="P480" s="195" t="e">
        <f>'Imp Refined NYC'!R282</f>
        <v>#REF!</v>
      </c>
      <c r="Q480" s="195" t="e">
        <f>'Imp Refined NYC'!S282</f>
        <v>#REF!</v>
      </c>
      <c r="R480" s="195" t="e">
        <f>'Imp Refined NYC'!T282</f>
        <v>#REF!</v>
      </c>
      <c r="S480" s="195" t="e">
        <f>'Imp Refined NYC'!U282</f>
        <v>#REF!</v>
      </c>
      <c r="T480" s="195" t="e">
        <f>'Imp Refined NYC'!V282</f>
        <v>#REF!</v>
      </c>
      <c r="U480" s="187"/>
      <c r="V480" s="187">
        <f>'Imp Refined NYC'!AF282</f>
        <v>20.337198262752</v>
      </c>
      <c r="W480" s="187">
        <f>'Imp Refined NYC'!AG282</f>
        <v>16.773346376707838</v>
      </c>
      <c r="X480" s="187">
        <f>'Imp Refined NYC'!AH282</f>
        <v>18.51653479922944</v>
      </c>
      <c r="Y480" s="187">
        <f>'Imp Refined NYC'!AI282</f>
        <v>20.453410824253442</v>
      </c>
      <c r="Z480" s="187"/>
      <c r="AA480" s="187"/>
      <c r="AB480" s="187"/>
      <c r="AC480" s="187"/>
      <c r="AD480" s="187"/>
      <c r="AE480" s="187"/>
      <c r="AF480" s="195"/>
      <c r="AG480" s="197"/>
      <c r="AH480" s="197"/>
      <c r="BC480" s="147"/>
      <c r="BD480" s="147"/>
      <c r="BE480" s="147"/>
      <c r="BF480" s="147"/>
      <c r="BG480" s="147"/>
    </row>
    <row r="481" spans="2:59">
      <c r="B481" s="158" t="str">
        <f>Technologies!B$464</f>
        <v>*R0</v>
      </c>
      <c r="C481" s="158" t="str">
        <f>'Imp Refined NYC'!E283</f>
        <v>IMPRFLP52</v>
      </c>
      <c r="D481" s="158" t="str">
        <f>'Imp Refined NYC'!F283</f>
        <v>Imported Low Sulfur Residual Fuel Oil, PADD 5, Step 2</v>
      </c>
      <c r="E481" s="197" t="str">
        <f>'Imp Refined NYC'!G283</f>
        <v>RFLP5</v>
      </c>
      <c r="F481" s="197"/>
      <c r="G481" s="187"/>
      <c r="H481" s="197"/>
      <c r="I481" s="197">
        <v>1.0049999999999999</v>
      </c>
      <c r="J481" s="197">
        <v>1.0049999999999999</v>
      </c>
      <c r="K481" s="195">
        <f>'Imp Refined NYC'!M283</f>
        <v>8.1871749050604254</v>
      </c>
      <c r="L481" s="195" t="e">
        <f>'Imp Refined NYC'!N283</f>
        <v>#REF!</v>
      </c>
      <c r="M481" s="195" t="e">
        <f>'Imp Refined NYC'!O283</f>
        <v>#REF!</v>
      </c>
      <c r="N481" s="195" t="e">
        <f>'Imp Refined NYC'!P283</f>
        <v>#REF!</v>
      </c>
      <c r="O481" s="195" t="e">
        <f>'Imp Refined NYC'!Q283</f>
        <v>#REF!</v>
      </c>
      <c r="P481" s="195" t="e">
        <f>'Imp Refined NYC'!R283</f>
        <v>#REF!</v>
      </c>
      <c r="Q481" s="195" t="e">
        <f>'Imp Refined NYC'!S283</f>
        <v>#REF!</v>
      </c>
      <c r="R481" s="195" t="e">
        <f>'Imp Refined NYC'!T283</f>
        <v>#REF!</v>
      </c>
      <c r="S481" s="195" t="e">
        <f>'Imp Refined NYC'!U283</f>
        <v>#REF!</v>
      </c>
      <c r="T481" s="195" t="e">
        <f>'Imp Refined NYC'!V283</f>
        <v>#REF!</v>
      </c>
      <c r="U481" s="187"/>
      <c r="V481" s="187">
        <f>'Imp Refined NYC'!AF283</f>
        <v>2.5421497828439961</v>
      </c>
      <c r="W481" s="187">
        <f>'Imp Refined NYC'!AG283</f>
        <v>2.0966682970884811</v>
      </c>
      <c r="X481" s="187">
        <f>'Imp Refined NYC'!AH283</f>
        <v>2.3145668499036809</v>
      </c>
      <c r="Y481" s="187">
        <f>'Imp Refined NYC'!AI283</f>
        <v>2.5566763530316834</v>
      </c>
      <c r="Z481" s="187"/>
      <c r="AA481" s="187"/>
      <c r="AB481" s="187"/>
      <c r="AC481" s="187"/>
      <c r="AD481" s="187"/>
      <c r="AE481" s="187"/>
      <c r="AF481" s="195"/>
      <c r="AG481" s="197"/>
      <c r="AH481" s="197"/>
      <c r="BC481" s="147"/>
      <c r="BD481" s="147"/>
      <c r="BE481" s="147"/>
      <c r="BF481" s="147"/>
      <c r="BG481" s="147"/>
    </row>
    <row r="482" spans="2:59">
      <c r="B482" s="158" t="str">
        <f>Technologies!B$465</f>
        <v>*R0</v>
      </c>
      <c r="C482" s="158" t="str">
        <f>'Imp Refined NYC'!E284</f>
        <v>IMPRFLP54</v>
      </c>
      <c r="D482" s="158" t="str">
        <f>'Imp Refined NYC'!F284</f>
        <v>Imported Low Sulfur Residual Fuel Oil, PADD 5, Step 4</v>
      </c>
      <c r="E482" s="197" t="str">
        <f>'Imp Refined NYC'!G284</f>
        <v>RFLP5</v>
      </c>
      <c r="F482" s="197"/>
      <c r="G482" s="187"/>
      <c r="H482" s="197"/>
      <c r="I482" s="197">
        <v>1.0049999999999999</v>
      </c>
      <c r="J482" s="197">
        <v>1.0049999999999999</v>
      </c>
      <c r="K482" s="195">
        <f>'Imp Refined NYC'!M284</f>
        <v>9.1061435168529226</v>
      </c>
      <c r="L482" s="195" t="e">
        <f>'Imp Refined NYC'!N284</f>
        <v>#REF!</v>
      </c>
      <c r="M482" s="195" t="e">
        <f>'Imp Refined NYC'!O284</f>
        <v>#REF!</v>
      </c>
      <c r="N482" s="195" t="e">
        <f>'Imp Refined NYC'!P284</f>
        <v>#REF!</v>
      </c>
      <c r="O482" s="195" t="e">
        <f>'Imp Refined NYC'!Q284</f>
        <v>#REF!</v>
      </c>
      <c r="P482" s="195" t="e">
        <f>'Imp Refined NYC'!R284</f>
        <v>#REF!</v>
      </c>
      <c r="Q482" s="195" t="e">
        <f>'Imp Refined NYC'!S284</f>
        <v>#REF!</v>
      </c>
      <c r="R482" s="195" t="e">
        <f>'Imp Refined NYC'!T284</f>
        <v>#REF!</v>
      </c>
      <c r="S482" s="195" t="e">
        <f>'Imp Refined NYC'!U284</f>
        <v>#REF!</v>
      </c>
      <c r="T482" s="195" t="e">
        <f>'Imp Refined NYC'!V284</f>
        <v>#REF!</v>
      </c>
      <c r="U482" s="187"/>
      <c r="V482" s="187">
        <f>'Imp Refined NYC'!AF284</f>
        <v>5.0842995656880063</v>
      </c>
      <c r="W482" s="187">
        <f>'Imp Refined NYC'!AG284</f>
        <v>4.1933365941769551</v>
      </c>
      <c r="X482" s="187">
        <f>'Imp Refined NYC'!AH284</f>
        <v>4.6291336998073653</v>
      </c>
      <c r="Y482" s="187">
        <f>'Imp Refined NYC'!AI284</f>
        <v>5.1133527060633561</v>
      </c>
      <c r="Z482" s="187"/>
      <c r="AA482" s="187"/>
      <c r="AB482" s="187"/>
      <c r="AC482" s="187"/>
      <c r="AD482" s="187"/>
      <c r="AE482" s="187"/>
      <c r="AF482" s="195"/>
      <c r="AG482" s="197"/>
      <c r="AH482" s="197"/>
      <c r="BC482" s="147"/>
      <c r="BD482" s="147"/>
      <c r="BE482" s="147"/>
      <c r="BF482" s="147"/>
      <c r="BG482" s="147"/>
    </row>
    <row r="483" spans="2:59">
      <c r="B483" s="158" t="str">
        <f>Technologies!B$466</f>
        <v>*R0</v>
      </c>
      <c r="C483" s="158" t="str">
        <f>'Imp Refined NYC'!E285</f>
        <v>IMPRFLP55</v>
      </c>
      <c r="D483" s="158" t="str">
        <f>'Imp Refined NYC'!F285</f>
        <v>Imported Low Sulfur Residual Fuel Oil, PADD 5, Step 5</v>
      </c>
      <c r="E483" s="197" t="str">
        <f>'Imp Refined NYC'!G285</f>
        <v>RFLP5</v>
      </c>
      <c r="F483" s="197"/>
      <c r="G483" s="187"/>
      <c r="H483" s="197"/>
      <c r="I483" s="197">
        <v>1.0049999999999999</v>
      </c>
      <c r="J483" s="197">
        <v>1.0049999999999999</v>
      </c>
      <c r="K483" s="195">
        <f>'Imp Refined NYC'!M285</f>
        <v>10.860538139365872</v>
      </c>
      <c r="L483" s="195" t="e">
        <f>'Imp Refined NYC'!N285</f>
        <v>#REF!</v>
      </c>
      <c r="M483" s="195" t="e">
        <f>'Imp Refined NYC'!O285</f>
        <v>#REF!</v>
      </c>
      <c r="N483" s="195" t="e">
        <f>'Imp Refined NYC'!P285</f>
        <v>#REF!</v>
      </c>
      <c r="O483" s="195" t="e">
        <f>'Imp Refined NYC'!Q285</f>
        <v>#REF!</v>
      </c>
      <c r="P483" s="195" t="e">
        <f>'Imp Refined NYC'!R285</f>
        <v>#REF!</v>
      </c>
      <c r="Q483" s="195" t="e">
        <f>'Imp Refined NYC'!S285</f>
        <v>#REF!</v>
      </c>
      <c r="R483" s="195" t="e">
        <f>'Imp Refined NYC'!T285</f>
        <v>#REF!</v>
      </c>
      <c r="S483" s="195" t="e">
        <f>'Imp Refined NYC'!U285</f>
        <v>#REF!</v>
      </c>
      <c r="T483" s="195" t="e">
        <f>'Imp Refined NYC'!V285</f>
        <v>#REF!</v>
      </c>
      <c r="U483" s="187"/>
      <c r="V483" s="187">
        <f>'Imp Refined NYC'!AF285</f>
        <v>20.337198262751986</v>
      </c>
      <c r="W483" s="187">
        <f>'Imp Refined NYC'!AG285</f>
        <v>16.773346376707842</v>
      </c>
      <c r="X483" s="187">
        <f>'Imp Refined NYC'!AH285</f>
        <v>18.516534799229433</v>
      </c>
      <c r="Y483" s="187">
        <f>'Imp Refined NYC'!AI285</f>
        <v>20.453410824253442</v>
      </c>
      <c r="Z483" s="187"/>
      <c r="AA483" s="187"/>
      <c r="AB483" s="187"/>
      <c r="AC483" s="187"/>
      <c r="AD483" s="187"/>
      <c r="AE483" s="187"/>
      <c r="AF483" s="195"/>
      <c r="AG483" s="197"/>
      <c r="AH483" s="197"/>
      <c r="BC483" s="147"/>
      <c r="BD483" s="147"/>
      <c r="BE483" s="147"/>
      <c r="BF483" s="147"/>
      <c r="BG483" s="147"/>
    </row>
    <row r="484" spans="2:59">
      <c r="B484" s="158" t="str">
        <f>Technologies!B$467</f>
        <v>*R0</v>
      </c>
      <c r="C484" s="158" t="str">
        <f>'Imp Refined NYC'!E286</f>
        <v>IMPRFHP53</v>
      </c>
      <c r="D484" s="158" t="str">
        <f>'Imp Refined NYC'!F286</f>
        <v>Imported High Sulfur Residual Fuel Oil, PADD 5, Step 3</v>
      </c>
      <c r="E484" s="197" t="str">
        <f>'Imp Refined NYC'!G286</f>
        <v>RFHP5</v>
      </c>
      <c r="F484" s="197"/>
      <c r="G484" s="187"/>
      <c r="H484" s="197"/>
      <c r="I484" s="197">
        <v>1.0049999999999999</v>
      </c>
      <c r="J484" s="197">
        <v>1.0049999999999999</v>
      </c>
      <c r="K484" s="195">
        <f>'Imp Refined NYC'!M286</f>
        <v>8.4738611504693981</v>
      </c>
      <c r="L484" s="195" t="e">
        <f>'Imp Refined NYC'!N286</f>
        <v>#REF!</v>
      </c>
      <c r="M484" s="195" t="e">
        <f>'Imp Refined NYC'!O286</f>
        <v>#REF!</v>
      </c>
      <c r="N484" s="195" t="e">
        <f>'Imp Refined NYC'!P286</f>
        <v>#REF!</v>
      </c>
      <c r="O484" s="195" t="e">
        <f>'Imp Refined NYC'!Q286</f>
        <v>#REF!</v>
      </c>
      <c r="P484" s="195" t="e">
        <f>'Imp Refined NYC'!R286</f>
        <v>#REF!</v>
      </c>
      <c r="Q484" s="195" t="e">
        <f>'Imp Refined NYC'!S286</f>
        <v>#REF!</v>
      </c>
      <c r="R484" s="195" t="e">
        <f>'Imp Refined NYC'!T286</f>
        <v>#REF!</v>
      </c>
      <c r="S484" s="195" t="e">
        <f>'Imp Refined NYC'!U286</f>
        <v>#REF!</v>
      </c>
      <c r="T484" s="195" t="e">
        <f>'Imp Refined NYC'!V286</f>
        <v>#REF!</v>
      </c>
      <c r="U484" s="187"/>
      <c r="V484" s="187">
        <f>'Imp Refined NYC'!AF286</f>
        <v>7.7426619100334335</v>
      </c>
      <c r="W484" s="187">
        <f>'Imp Refined NYC'!AG286</f>
        <v>6.8129614180219207</v>
      </c>
      <c r="X484" s="187">
        <f>'Imp Refined NYC'!AH286</f>
        <v>6.4788503037052863</v>
      </c>
      <c r="Y484" s="187">
        <f>'Imp Refined NYC'!AI286</f>
        <v>6.1616868546075878</v>
      </c>
      <c r="Z484" s="187"/>
      <c r="AA484" s="187"/>
      <c r="AB484" s="187"/>
      <c r="AC484" s="187"/>
      <c r="AD484" s="187"/>
      <c r="AE484" s="187"/>
      <c r="AF484" s="195"/>
      <c r="AG484" s="197"/>
      <c r="AH484" s="197"/>
      <c r="BC484" s="147"/>
      <c r="BD484" s="147"/>
      <c r="BE484" s="147"/>
      <c r="BF484" s="147"/>
      <c r="BG484" s="147"/>
    </row>
    <row r="485" spans="2:59">
      <c r="B485" s="158" t="str">
        <f>Technologies!B$468</f>
        <v>*R0</v>
      </c>
      <c r="C485" s="158" t="str">
        <f>'Imp Refined NYC'!E287</f>
        <v>IMPRFHP51</v>
      </c>
      <c r="D485" s="158" t="str">
        <f>'Imp Refined NYC'!F287</f>
        <v>Imported High Sulfur Residual Fuel Oil, PADD 5, Step 1</v>
      </c>
      <c r="E485" s="197" t="str">
        <f>'Imp Refined NYC'!G287</f>
        <v>RFHP5</v>
      </c>
      <c r="F485" s="197"/>
      <c r="G485" s="187"/>
      <c r="H485" s="197"/>
      <c r="I485" s="197">
        <v>1.0049999999999999</v>
      </c>
      <c r="J485" s="197">
        <v>1.0049999999999999</v>
      </c>
      <c r="K485" s="195">
        <f>'Imp Refined NYC'!M287</f>
        <v>8.0501680929459294</v>
      </c>
      <c r="L485" s="195" t="e">
        <f>'Imp Refined NYC'!N287</f>
        <v>#REF!</v>
      </c>
      <c r="M485" s="195" t="e">
        <f>'Imp Refined NYC'!O287</f>
        <v>#REF!</v>
      </c>
      <c r="N485" s="195" t="e">
        <f>'Imp Refined NYC'!P287</f>
        <v>#REF!</v>
      </c>
      <c r="O485" s="195" t="e">
        <f>'Imp Refined NYC'!Q287</f>
        <v>#REF!</v>
      </c>
      <c r="P485" s="195" t="e">
        <f>'Imp Refined NYC'!R287</f>
        <v>#REF!</v>
      </c>
      <c r="Q485" s="195" t="e">
        <f>'Imp Refined NYC'!S287</f>
        <v>#REF!</v>
      </c>
      <c r="R485" s="195" t="e">
        <f>'Imp Refined NYC'!T287</f>
        <v>#REF!</v>
      </c>
      <c r="S485" s="195" t="e">
        <f>'Imp Refined NYC'!U287</f>
        <v>#REF!</v>
      </c>
      <c r="T485" s="195" t="e">
        <f>'Imp Refined NYC'!V287</f>
        <v>#REF!</v>
      </c>
      <c r="U485" s="187"/>
      <c r="V485" s="187">
        <f>'Imp Refined NYC'!AF287</f>
        <v>61.941295280267525</v>
      </c>
      <c r="W485" s="187">
        <f>'Imp Refined NYC'!AG287</f>
        <v>54.503691344175365</v>
      </c>
      <c r="X485" s="187">
        <f>'Imp Refined NYC'!AH287</f>
        <v>51.830802429642226</v>
      </c>
      <c r="Y485" s="187">
        <f>'Imp Refined NYC'!AI287</f>
        <v>49.293494836860802</v>
      </c>
      <c r="Z485" s="187"/>
      <c r="AA485" s="187"/>
      <c r="AB485" s="187"/>
      <c r="AC485" s="187"/>
      <c r="AD485" s="187"/>
      <c r="AE485" s="187"/>
      <c r="AF485" s="195"/>
      <c r="AG485" s="197"/>
      <c r="AH485" s="197"/>
      <c r="BC485" s="147"/>
      <c r="BD485" s="147"/>
      <c r="BE485" s="147"/>
      <c r="BF485" s="147"/>
      <c r="BG485" s="147"/>
    </row>
    <row r="486" spans="2:59">
      <c r="B486" s="158" t="str">
        <f>Technologies!B$469</f>
        <v>*R0</v>
      </c>
      <c r="C486" s="158" t="str">
        <f>'Imp Refined NYC'!E288</f>
        <v>IMPRFHP52</v>
      </c>
      <c r="D486" s="158" t="str">
        <f>'Imp Refined NYC'!F288</f>
        <v>Imported High Sulfur Residual Fuel Oil, PADD 5, Step 2</v>
      </c>
      <c r="E486" s="197" t="str">
        <f>'Imp Refined NYC'!G288</f>
        <v>RFHP5</v>
      </c>
      <c r="F486" s="197"/>
      <c r="G486" s="187"/>
      <c r="H486" s="197"/>
      <c r="I486" s="197">
        <v>1.0049999999999999</v>
      </c>
      <c r="J486" s="197">
        <v>1.0049999999999999</v>
      </c>
      <c r="K486" s="195">
        <f>'Imp Refined NYC'!M288</f>
        <v>8.3043839274600106</v>
      </c>
      <c r="L486" s="195" t="e">
        <f>'Imp Refined NYC'!N288</f>
        <v>#REF!</v>
      </c>
      <c r="M486" s="195" t="e">
        <f>'Imp Refined NYC'!O288</f>
        <v>#REF!</v>
      </c>
      <c r="N486" s="195" t="e">
        <f>'Imp Refined NYC'!P288</f>
        <v>#REF!</v>
      </c>
      <c r="O486" s="195" t="e">
        <f>'Imp Refined NYC'!Q288</f>
        <v>#REF!</v>
      </c>
      <c r="P486" s="195" t="e">
        <f>'Imp Refined NYC'!R288</f>
        <v>#REF!</v>
      </c>
      <c r="Q486" s="195" t="e">
        <f>'Imp Refined NYC'!S288</f>
        <v>#REF!</v>
      </c>
      <c r="R486" s="195" t="e">
        <f>'Imp Refined NYC'!T288</f>
        <v>#REF!</v>
      </c>
      <c r="S486" s="195" t="e">
        <f>'Imp Refined NYC'!U288</f>
        <v>#REF!</v>
      </c>
      <c r="T486" s="195" t="e">
        <f>'Imp Refined NYC'!V288</f>
        <v>#REF!</v>
      </c>
      <c r="U486" s="187"/>
      <c r="V486" s="187">
        <f>'Imp Refined NYC'!AF288</f>
        <v>7.7426619100334335</v>
      </c>
      <c r="W486" s="187">
        <f>'Imp Refined NYC'!AG288</f>
        <v>6.8129614180219065</v>
      </c>
      <c r="X486" s="187">
        <f>'Imp Refined NYC'!AH288</f>
        <v>6.4788503037052934</v>
      </c>
      <c r="Y486" s="187">
        <f>'Imp Refined NYC'!AI288</f>
        <v>6.1616868546075949</v>
      </c>
      <c r="Z486" s="187"/>
      <c r="AA486" s="187"/>
      <c r="AB486" s="187"/>
      <c r="AC486" s="187"/>
      <c r="AD486" s="187"/>
      <c r="AE486" s="187"/>
      <c r="AF486" s="195"/>
      <c r="AG486" s="197"/>
      <c r="AH486" s="197"/>
      <c r="BC486" s="147"/>
      <c r="BD486" s="147"/>
      <c r="BE486" s="147"/>
      <c r="BF486" s="147"/>
      <c r="BG486" s="147"/>
    </row>
    <row r="487" spans="2:59">
      <c r="B487" s="158" t="str">
        <f>Technologies!B$470</f>
        <v>*R0</v>
      </c>
      <c r="C487" s="158" t="str">
        <f>'Imp Refined NYC'!E289</f>
        <v>IMPRFHP54</v>
      </c>
      <c r="D487" s="158" t="str">
        <f>'Imp Refined NYC'!F289</f>
        <v>Imported High Sulfur Residual Fuel Oil, PADD 5, Step 4</v>
      </c>
      <c r="E487" s="197" t="str">
        <f>'Imp Refined NYC'!G289</f>
        <v>RFHP5</v>
      </c>
      <c r="F487" s="197"/>
      <c r="G487" s="187"/>
      <c r="H487" s="197"/>
      <c r="I487" s="197">
        <v>1.0049999999999999</v>
      </c>
      <c r="J487" s="197">
        <v>1.0049999999999999</v>
      </c>
      <c r="K487" s="195">
        <f>'Imp Refined NYC'!M289</f>
        <v>9.2365086540116454</v>
      </c>
      <c r="L487" s="195" t="e">
        <f>'Imp Refined NYC'!N289</f>
        <v>#REF!</v>
      </c>
      <c r="M487" s="195" t="e">
        <f>'Imp Refined NYC'!O289</f>
        <v>#REF!</v>
      </c>
      <c r="N487" s="195" t="e">
        <f>'Imp Refined NYC'!P289</f>
        <v>#REF!</v>
      </c>
      <c r="O487" s="195" t="e">
        <f>'Imp Refined NYC'!Q289</f>
        <v>#REF!</v>
      </c>
      <c r="P487" s="195" t="e">
        <f>'Imp Refined NYC'!R289</f>
        <v>#REF!</v>
      </c>
      <c r="Q487" s="195" t="e">
        <f>'Imp Refined NYC'!S289</f>
        <v>#REF!</v>
      </c>
      <c r="R487" s="195" t="e">
        <f>'Imp Refined NYC'!T289</f>
        <v>#REF!</v>
      </c>
      <c r="S487" s="195" t="e">
        <f>'Imp Refined NYC'!U289</f>
        <v>#REF!</v>
      </c>
      <c r="T487" s="195" t="e">
        <f>'Imp Refined NYC'!V289</f>
        <v>#REF!</v>
      </c>
      <c r="U487" s="187"/>
      <c r="V487" s="187">
        <f>'Imp Refined NYC'!AF289</f>
        <v>15.485323820066881</v>
      </c>
      <c r="W487" s="187">
        <f>'Imp Refined NYC'!AG289</f>
        <v>13.625922836043841</v>
      </c>
      <c r="X487" s="187">
        <f>'Imp Refined NYC'!AH289</f>
        <v>12.957700607410544</v>
      </c>
      <c r="Y487" s="187">
        <f>'Imp Refined NYC'!AI289</f>
        <v>12.323373709215211</v>
      </c>
      <c r="Z487" s="187"/>
      <c r="AA487" s="187"/>
      <c r="AB487" s="187"/>
      <c r="AC487" s="187"/>
      <c r="AD487" s="187"/>
      <c r="AE487" s="187"/>
      <c r="AF487" s="195"/>
      <c r="AG487" s="197"/>
      <c r="AH487" s="197"/>
      <c r="BC487" s="147"/>
      <c r="BD487" s="147"/>
      <c r="BE487" s="147"/>
      <c r="BF487" s="147"/>
      <c r="BG487" s="147"/>
    </row>
    <row r="488" spans="2:59">
      <c r="B488" s="158" t="str">
        <f>Technologies!B$471</f>
        <v>*R0</v>
      </c>
      <c r="C488" s="158" t="str">
        <f>'Imp Refined NYC'!E290</f>
        <v>IMPRFHP55</v>
      </c>
      <c r="D488" s="158" t="str">
        <f>'Imp Refined NYC'!F290</f>
        <v>Imported High Sulfur Residual Fuel Oil, PADD 5, Step 5</v>
      </c>
      <c r="E488" s="197" t="str">
        <f>'Imp Refined NYC'!G290</f>
        <v>RFHP5</v>
      </c>
      <c r="F488" s="197"/>
      <c r="G488" s="187"/>
      <c r="H488" s="197"/>
      <c r="I488" s="197">
        <v>1.0049999999999999</v>
      </c>
      <c r="J488" s="197">
        <v>1.0049999999999999</v>
      </c>
      <c r="K488" s="195">
        <f>'Imp Refined NYC'!M290</f>
        <v>11.01601949561022</v>
      </c>
      <c r="L488" s="195" t="e">
        <f>'Imp Refined NYC'!N290</f>
        <v>#REF!</v>
      </c>
      <c r="M488" s="195" t="e">
        <f>'Imp Refined NYC'!O290</f>
        <v>#REF!</v>
      </c>
      <c r="N488" s="195" t="e">
        <f>'Imp Refined NYC'!P290</f>
        <v>#REF!</v>
      </c>
      <c r="O488" s="195" t="e">
        <f>'Imp Refined NYC'!Q290</f>
        <v>#REF!</v>
      </c>
      <c r="P488" s="195" t="e">
        <f>'Imp Refined NYC'!R290</f>
        <v>#REF!</v>
      </c>
      <c r="Q488" s="195" t="e">
        <f>'Imp Refined NYC'!S290</f>
        <v>#REF!</v>
      </c>
      <c r="R488" s="195" t="e">
        <f>'Imp Refined NYC'!T290</f>
        <v>#REF!</v>
      </c>
      <c r="S488" s="195" t="e">
        <f>'Imp Refined NYC'!U290</f>
        <v>#REF!</v>
      </c>
      <c r="T488" s="195" t="e">
        <f>'Imp Refined NYC'!V290</f>
        <v>#REF!</v>
      </c>
      <c r="U488" s="187"/>
      <c r="V488" s="187">
        <f>'Imp Refined NYC'!AF290</f>
        <v>61.941295280267511</v>
      </c>
      <c r="W488" s="187">
        <f>'Imp Refined NYC'!AG290</f>
        <v>54.503691344175351</v>
      </c>
      <c r="X488" s="187">
        <f>'Imp Refined NYC'!AH290</f>
        <v>51.830802429642262</v>
      </c>
      <c r="Y488" s="187">
        <f>'Imp Refined NYC'!AI290</f>
        <v>49.293494836860773</v>
      </c>
      <c r="Z488" s="187"/>
      <c r="AA488" s="187"/>
      <c r="AB488" s="187"/>
      <c r="AC488" s="187"/>
      <c r="AD488" s="187"/>
      <c r="AE488" s="187"/>
      <c r="AF488" s="195"/>
      <c r="AG488" s="197"/>
      <c r="AH488" s="197"/>
      <c r="BC488" s="147"/>
      <c r="BD488" s="147"/>
      <c r="BE488" s="147"/>
      <c r="BF488" s="147"/>
      <c r="BG488" s="147"/>
    </row>
    <row r="489" spans="2:59">
      <c r="B489" s="158" t="str">
        <f>Technologies!B$472</f>
        <v>*R0</v>
      </c>
      <c r="C489" s="158" t="str">
        <f>'Imp Refined NYC'!E291</f>
        <v>IMPJTFP53</v>
      </c>
      <c r="D489" s="158" t="str">
        <f>'Imp Refined NYC'!F291</f>
        <v>Imported Jet Fuel, PADD 5, Step 3</v>
      </c>
      <c r="E489" s="197" t="str">
        <f>'Imp Refined NYC'!G291</f>
        <v>JTFP5</v>
      </c>
      <c r="F489" s="197"/>
      <c r="G489" s="187"/>
      <c r="H489" s="197"/>
      <c r="I489" s="197">
        <v>1.0049999999999999</v>
      </c>
      <c r="J489" s="197">
        <v>1.0049999999999999</v>
      </c>
      <c r="K489" s="195">
        <f>'Imp Refined NYC'!M291</f>
        <v>11.777414394883067</v>
      </c>
      <c r="L489" s="195" t="e">
        <f>'Imp Refined NYC'!N291</f>
        <v>#REF!</v>
      </c>
      <c r="M489" s="195" t="e">
        <f>'Imp Refined NYC'!O291</f>
        <v>#REF!</v>
      </c>
      <c r="N489" s="195" t="e">
        <f>'Imp Refined NYC'!P291</f>
        <v>#REF!</v>
      </c>
      <c r="O489" s="195" t="e">
        <f>'Imp Refined NYC'!Q291</f>
        <v>#REF!</v>
      </c>
      <c r="P489" s="195" t="e">
        <f>'Imp Refined NYC'!R291</f>
        <v>#REF!</v>
      </c>
      <c r="Q489" s="195" t="e">
        <f>'Imp Refined NYC'!S291</f>
        <v>#REF!</v>
      </c>
      <c r="R489" s="195" t="e">
        <f>'Imp Refined NYC'!T291</f>
        <v>#REF!</v>
      </c>
      <c r="S489" s="195" t="e">
        <f>'Imp Refined NYC'!U291</f>
        <v>#REF!</v>
      </c>
      <c r="T489" s="195" t="e">
        <f>'Imp Refined NYC'!V291</f>
        <v>#REF!</v>
      </c>
      <c r="U489" s="187"/>
      <c r="V489" s="187">
        <f>'Imp Refined NYC'!AF291</f>
        <v>21.900416182344031</v>
      </c>
      <c r="W489" s="187">
        <f>'Imp Refined NYC'!AG291</f>
        <v>12.092173959902382</v>
      </c>
      <c r="X489" s="187">
        <f>'Imp Refined NYC'!AH291</f>
        <v>10.939290635448017</v>
      </c>
      <c r="Y489" s="187">
        <f>'Imp Refined NYC'!AI291</f>
        <v>12.079073013033579</v>
      </c>
      <c r="Z489" s="187"/>
      <c r="AA489" s="187"/>
      <c r="AB489" s="187"/>
      <c r="AC489" s="187"/>
      <c r="AD489" s="187"/>
      <c r="AE489" s="187"/>
      <c r="AF489" s="195"/>
      <c r="AG489" s="197"/>
      <c r="AH489" s="197"/>
      <c r="BC489" s="147"/>
      <c r="BD489" s="147"/>
      <c r="BE489" s="147"/>
      <c r="BF489" s="147"/>
      <c r="BG489" s="147"/>
    </row>
    <row r="490" spans="2:59">
      <c r="B490" s="158" t="str">
        <f>Technologies!B$473</f>
        <v>*R0</v>
      </c>
      <c r="C490" s="158" t="str">
        <f>'Imp Refined NYC'!E292</f>
        <v>IMPJTFP51</v>
      </c>
      <c r="D490" s="158" t="str">
        <f>'Imp Refined NYC'!F292</f>
        <v>Imported Jet Fuel, PADD 5, Step 1</v>
      </c>
      <c r="E490" s="197" t="str">
        <f>'Imp Refined NYC'!G292</f>
        <v>JTFP5</v>
      </c>
      <c r="F490" s="197"/>
      <c r="G490" s="187"/>
      <c r="H490" s="197"/>
      <c r="I490" s="197">
        <v>1.0049999999999999</v>
      </c>
      <c r="J490" s="197">
        <v>1.0049999999999999</v>
      </c>
      <c r="K490" s="195">
        <f>'Imp Refined NYC'!M292</f>
        <v>11.188543675138913</v>
      </c>
      <c r="L490" s="195" t="e">
        <f>'Imp Refined NYC'!N292</f>
        <v>#REF!</v>
      </c>
      <c r="M490" s="195" t="e">
        <f>'Imp Refined NYC'!O292</f>
        <v>#REF!</v>
      </c>
      <c r="N490" s="195" t="e">
        <f>'Imp Refined NYC'!P292</f>
        <v>#REF!</v>
      </c>
      <c r="O490" s="195" t="e">
        <f>'Imp Refined NYC'!Q292</f>
        <v>#REF!</v>
      </c>
      <c r="P490" s="195" t="e">
        <f>'Imp Refined NYC'!R292</f>
        <v>#REF!</v>
      </c>
      <c r="Q490" s="195" t="e">
        <f>'Imp Refined NYC'!S292</f>
        <v>#REF!</v>
      </c>
      <c r="R490" s="195" t="e">
        <f>'Imp Refined NYC'!T292</f>
        <v>#REF!</v>
      </c>
      <c r="S490" s="195" t="e">
        <f>'Imp Refined NYC'!U292</f>
        <v>#REF!</v>
      </c>
      <c r="T490" s="195" t="e">
        <f>'Imp Refined NYC'!V292</f>
        <v>#REF!</v>
      </c>
      <c r="U490" s="187"/>
      <c r="V490" s="187">
        <f>'Imp Refined NYC'!AF292</f>
        <v>175.20332945875202</v>
      </c>
      <c r="W490" s="187">
        <f>'Imp Refined NYC'!AG292</f>
        <v>96.737391679219215</v>
      </c>
      <c r="X490" s="187">
        <f>'Imp Refined NYC'!AH292</f>
        <v>87.514325083584012</v>
      </c>
      <c r="Y490" s="187">
        <f>'Imp Refined NYC'!AI292</f>
        <v>96.632584104268801</v>
      </c>
      <c r="Z490" s="187"/>
      <c r="AA490" s="187"/>
      <c r="AB490" s="187"/>
      <c r="AC490" s="187"/>
      <c r="AD490" s="187"/>
      <c r="AE490" s="187"/>
      <c r="AF490" s="195"/>
      <c r="AG490" s="197"/>
      <c r="AH490" s="197"/>
      <c r="BC490" s="147"/>
      <c r="BD490" s="147"/>
      <c r="BE490" s="147"/>
      <c r="BF490" s="147"/>
      <c r="BG490" s="147"/>
    </row>
    <row r="491" spans="2:59">
      <c r="B491" s="158" t="str">
        <f>Technologies!B$474</f>
        <v>*R0</v>
      </c>
      <c r="C491" s="158" t="str">
        <f>'Imp Refined NYC'!E293</f>
        <v>IMPJTFP52</v>
      </c>
      <c r="D491" s="158" t="str">
        <f>'Imp Refined NYC'!F293</f>
        <v>Imported Jet Fuel, PADD 5, Step 2</v>
      </c>
      <c r="E491" s="197" t="str">
        <f>'Imp Refined NYC'!G293</f>
        <v>JTFP5</v>
      </c>
      <c r="F491" s="197"/>
      <c r="G491" s="187"/>
      <c r="H491" s="197"/>
      <c r="I491" s="197">
        <v>1.0049999999999999</v>
      </c>
      <c r="J491" s="197">
        <v>1.0049999999999999</v>
      </c>
      <c r="K491" s="195">
        <f>'Imp Refined NYC'!M293</f>
        <v>11.541866106985402</v>
      </c>
      <c r="L491" s="195" t="e">
        <f>'Imp Refined NYC'!N293</f>
        <v>#REF!</v>
      </c>
      <c r="M491" s="195" t="e">
        <f>'Imp Refined NYC'!O293</f>
        <v>#REF!</v>
      </c>
      <c r="N491" s="195" t="e">
        <f>'Imp Refined NYC'!P293</f>
        <v>#REF!</v>
      </c>
      <c r="O491" s="195" t="e">
        <f>'Imp Refined NYC'!Q293</f>
        <v>#REF!</v>
      </c>
      <c r="P491" s="195" t="e">
        <f>'Imp Refined NYC'!R293</f>
        <v>#REF!</v>
      </c>
      <c r="Q491" s="195" t="e">
        <f>'Imp Refined NYC'!S293</f>
        <v>#REF!</v>
      </c>
      <c r="R491" s="195" t="e">
        <f>'Imp Refined NYC'!T293</f>
        <v>#REF!</v>
      </c>
      <c r="S491" s="195" t="e">
        <f>'Imp Refined NYC'!U293</f>
        <v>#REF!</v>
      </c>
      <c r="T491" s="195" t="e">
        <f>'Imp Refined NYC'!V293</f>
        <v>#REF!</v>
      </c>
      <c r="U491" s="187"/>
      <c r="V491" s="187">
        <f>'Imp Refined NYC'!AF293</f>
        <v>21.900416182343946</v>
      </c>
      <c r="W491" s="187">
        <f>'Imp Refined NYC'!AG293</f>
        <v>12.092173959902382</v>
      </c>
      <c r="X491" s="187">
        <f>'Imp Refined NYC'!AH293</f>
        <v>10.939290635447975</v>
      </c>
      <c r="Y491" s="187">
        <f>'Imp Refined NYC'!AI293</f>
        <v>12.079073013033607</v>
      </c>
      <c r="Z491" s="187"/>
      <c r="AA491" s="187"/>
      <c r="AB491" s="187"/>
      <c r="AC491" s="187"/>
      <c r="AD491" s="187"/>
      <c r="AE491" s="187"/>
      <c r="AF491" s="195"/>
      <c r="AG491" s="197"/>
      <c r="AH491" s="197"/>
      <c r="BC491" s="147"/>
      <c r="BD491" s="147"/>
      <c r="BE491" s="147"/>
      <c r="BF491" s="147"/>
      <c r="BG491" s="147"/>
    </row>
    <row r="492" spans="2:59">
      <c r="B492" s="158" t="str">
        <f>Technologies!B$475</f>
        <v>*R0</v>
      </c>
      <c r="C492" s="158" t="str">
        <f>'Imp Refined NYC'!E294</f>
        <v>IMPJTFP54</v>
      </c>
      <c r="D492" s="158" t="str">
        <f>'Imp Refined NYC'!F294</f>
        <v>Imported Jet Fuel, PADD 5, Step 4</v>
      </c>
      <c r="E492" s="197" t="str">
        <f>'Imp Refined NYC'!G294</f>
        <v>JTFP5</v>
      </c>
      <c r="F492" s="197"/>
      <c r="G492" s="187"/>
      <c r="H492" s="197"/>
      <c r="I492" s="197">
        <v>1.0049999999999999</v>
      </c>
      <c r="J492" s="197">
        <v>1.0049999999999999</v>
      </c>
      <c r="K492" s="195">
        <f>'Imp Refined NYC'!M294</f>
        <v>12.837381690422541</v>
      </c>
      <c r="L492" s="195" t="e">
        <f>'Imp Refined NYC'!N294</f>
        <v>#REF!</v>
      </c>
      <c r="M492" s="195" t="e">
        <f>'Imp Refined NYC'!O294</f>
        <v>#REF!</v>
      </c>
      <c r="N492" s="195" t="e">
        <f>'Imp Refined NYC'!P294</f>
        <v>#REF!</v>
      </c>
      <c r="O492" s="195" t="e">
        <f>'Imp Refined NYC'!Q294</f>
        <v>#REF!</v>
      </c>
      <c r="P492" s="195" t="e">
        <f>'Imp Refined NYC'!R294</f>
        <v>#REF!</v>
      </c>
      <c r="Q492" s="195" t="e">
        <f>'Imp Refined NYC'!S294</f>
        <v>#REF!</v>
      </c>
      <c r="R492" s="195" t="e">
        <f>'Imp Refined NYC'!T294</f>
        <v>#REF!</v>
      </c>
      <c r="S492" s="195" t="e">
        <f>'Imp Refined NYC'!U294</f>
        <v>#REF!</v>
      </c>
      <c r="T492" s="195" t="e">
        <f>'Imp Refined NYC'!V294</f>
        <v>#REF!</v>
      </c>
      <c r="U492" s="187"/>
      <c r="V492" s="187">
        <f>'Imp Refined NYC'!AF294</f>
        <v>43.800832364687921</v>
      </c>
      <c r="W492" s="187">
        <f>'Imp Refined NYC'!AG294</f>
        <v>24.184347919804807</v>
      </c>
      <c r="X492" s="187">
        <f>'Imp Refined NYC'!AH294</f>
        <v>21.878581270895978</v>
      </c>
      <c r="Y492" s="187">
        <f>'Imp Refined NYC'!AI294</f>
        <v>24.158146026067215</v>
      </c>
      <c r="Z492" s="187"/>
      <c r="AA492" s="187"/>
      <c r="AB492" s="187"/>
      <c r="AC492" s="187"/>
      <c r="AD492" s="187"/>
      <c r="AE492" s="187"/>
      <c r="AF492" s="195"/>
      <c r="AG492" s="197"/>
      <c r="AH492" s="197"/>
      <c r="BC492" s="147"/>
      <c r="BD492" s="147"/>
      <c r="BE492" s="147"/>
      <c r="BF492" s="147"/>
      <c r="BG492" s="147"/>
    </row>
    <row r="493" spans="2:59">
      <c r="B493" s="158" t="str">
        <f>Technologies!B$476</f>
        <v>*R0</v>
      </c>
      <c r="C493" s="158" t="str">
        <f>'Imp Refined NYC'!E295</f>
        <v>IMPJTFP55</v>
      </c>
      <c r="D493" s="158" t="str">
        <f>'Imp Refined NYC'!F295</f>
        <v>Imported Jet Fuel, PADD 5, Step 5</v>
      </c>
      <c r="E493" s="197" t="str">
        <f>'Imp Refined NYC'!G295</f>
        <v>JTFP5</v>
      </c>
      <c r="F493" s="197"/>
      <c r="G493" s="187"/>
      <c r="H493" s="197"/>
      <c r="I493" s="197">
        <v>1.0049999999999999</v>
      </c>
      <c r="J493" s="197">
        <v>1.0049999999999999</v>
      </c>
      <c r="K493" s="195">
        <f>'Imp Refined NYC'!M295</f>
        <v>15.310638713347988</v>
      </c>
      <c r="L493" s="195" t="e">
        <f>'Imp Refined NYC'!N295</f>
        <v>#REF!</v>
      </c>
      <c r="M493" s="195" t="e">
        <f>'Imp Refined NYC'!O295</f>
        <v>#REF!</v>
      </c>
      <c r="N493" s="195" t="e">
        <f>'Imp Refined NYC'!P295</f>
        <v>#REF!</v>
      </c>
      <c r="O493" s="195" t="e">
        <f>'Imp Refined NYC'!Q295</f>
        <v>#REF!</v>
      </c>
      <c r="P493" s="195" t="e">
        <f>'Imp Refined NYC'!R295</f>
        <v>#REF!</v>
      </c>
      <c r="Q493" s="195" t="e">
        <f>'Imp Refined NYC'!S295</f>
        <v>#REF!</v>
      </c>
      <c r="R493" s="195" t="e">
        <f>'Imp Refined NYC'!T295</f>
        <v>#REF!</v>
      </c>
      <c r="S493" s="195" t="e">
        <f>'Imp Refined NYC'!U295</f>
        <v>#REF!</v>
      </c>
      <c r="T493" s="195" t="e">
        <f>'Imp Refined NYC'!V295</f>
        <v>#REF!</v>
      </c>
      <c r="U493" s="187"/>
      <c r="V493" s="187">
        <f>'Imp Refined NYC'!AF295</f>
        <v>175.20332945875208</v>
      </c>
      <c r="W493" s="187">
        <f>'Imp Refined NYC'!AG295</f>
        <v>96.737391679219172</v>
      </c>
      <c r="X493" s="187">
        <f>'Imp Refined NYC'!AH295</f>
        <v>87.514325083584026</v>
      </c>
      <c r="Y493" s="187">
        <f>'Imp Refined NYC'!AI295</f>
        <v>96.632584104268773</v>
      </c>
      <c r="Z493" s="187"/>
      <c r="AA493" s="187"/>
      <c r="AB493" s="187"/>
      <c r="AC493" s="187"/>
      <c r="AD493" s="187"/>
      <c r="AE493" s="187"/>
      <c r="AF493" s="195"/>
      <c r="AG493" s="197"/>
      <c r="AH493" s="197"/>
      <c r="BC493" s="147"/>
      <c r="BD493" s="147"/>
      <c r="BE493" s="147"/>
      <c r="BF493" s="147"/>
      <c r="BG493" s="147"/>
    </row>
    <row r="494" spans="2:59">
      <c r="B494" s="158" t="str">
        <f>Technologies!B$477</f>
        <v>*R0</v>
      </c>
      <c r="C494" s="158" t="str">
        <f>'Imp Refined NYC'!E296</f>
        <v>IMPLPGP53</v>
      </c>
      <c r="D494" s="158" t="str">
        <f>'Imp Refined NYC'!F296</f>
        <v>Imported LPG, PADD 5, Step 3</v>
      </c>
      <c r="E494" s="197" t="str">
        <f>'Imp Refined NYC'!G296</f>
        <v>LPGP5</v>
      </c>
      <c r="F494" s="197"/>
      <c r="G494" s="187"/>
      <c r="H494" s="197"/>
      <c r="I494" s="197">
        <v>1.0049999999999999</v>
      </c>
      <c r="J494" s="197">
        <v>1.0049999999999999</v>
      </c>
      <c r="K494" s="195">
        <f>'Imp Refined NYC'!M296</f>
        <v>12.818628614646682</v>
      </c>
      <c r="L494" s="195" t="e">
        <f>'Imp Refined NYC'!N296</f>
        <v>#REF!</v>
      </c>
      <c r="M494" s="195" t="e">
        <f>'Imp Refined NYC'!O296</f>
        <v>#REF!</v>
      </c>
      <c r="N494" s="195" t="e">
        <f>'Imp Refined NYC'!P296</f>
        <v>#REF!</v>
      </c>
      <c r="O494" s="195" t="e">
        <f>'Imp Refined NYC'!Q296</f>
        <v>#REF!</v>
      </c>
      <c r="P494" s="195" t="e">
        <f>'Imp Refined NYC'!R296</f>
        <v>#REF!</v>
      </c>
      <c r="Q494" s="195" t="e">
        <f>'Imp Refined NYC'!S296</f>
        <v>#REF!</v>
      </c>
      <c r="R494" s="195" t="e">
        <f>'Imp Refined NYC'!T296</f>
        <v>#REF!</v>
      </c>
      <c r="S494" s="195" t="e">
        <f>'Imp Refined NYC'!U296</f>
        <v>#REF!</v>
      </c>
      <c r="T494" s="195" t="e">
        <f>'Imp Refined NYC'!V296</f>
        <v>#REF!</v>
      </c>
      <c r="U494" s="187"/>
      <c r="V494" s="187">
        <f>'Imp Refined NYC'!AF296</f>
        <v>1.004052023898641</v>
      </c>
      <c r="W494" s="187">
        <f>'Imp Refined NYC'!AG296</f>
        <v>0.23697271505383988</v>
      </c>
      <c r="X494" s="187">
        <f>'Imp Refined NYC'!AH296</f>
        <v>0.2616288356952805</v>
      </c>
      <c r="Y494" s="187">
        <f>'Imp Refined NYC'!AI296</f>
        <v>0.28902452529687972</v>
      </c>
      <c r="Z494" s="187"/>
      <c r="AA494" s="187"/>
      <c r="AB494" s="187"/>
      <c r="AC494" s="187"/>
      <c r="AD494" s="187"/>
      <c r="AE494" s="187"/>
      <c r="AF494" s="195"/>
      <c r="AG494" s="197"/>
      <c r="AH494" s="197"/>
      <c r="BC494" s="147"/>
      <c r="BD494" s="147"/>
      <c r="BE494" s="147"/>
      <c r="BF494" s="147"/>
      <c r="BG494" s="147"/>
    </row>
    <row r="495" spans="2:59">
      <c r="B495" s="158" t="str">
        <f>Technologies!B$478</f>
        <v>*R0</v>
      </c>
      <c r="C495" s="158" t="str">
        <f>'Imp Refined NYC'!E297</f>
        <v>IMPLPGP51</v>
      </c>
      <c r="D495" s="158" t="str">
        <f>'Imp Refined NYC'!F297</f>
        <v>Imported LPG, PADD 5, Step 1</v>
      </c>
      <c r="E495" s="197" t="str">
        <f>'Imp Refined NYC'!G297</f>
        <v>LPGP5</v>
      </c>
      <c r="F495" s="197"/>
      <c r="G495" s="187"/>
      <c r="H495" s="197"/>
      <c r="I495" s="197">
        <v>1.0049999999999999</v>
      </c>
      <c r="J495" s="197">
        <v>1.0049999999999999</v>
      </c>
      <c r="K495" s="195">
        <f>'Imp Refined NYC'!M297</f>
        <v>12.177697183914349</v>
      </c>
      <c r="L495" s="195" t="e">
        <f>'Imp Refined NYC'!N297</f>
        <v>#REF!</v>
      </c>
      <c r="M495" s="195" t="e">
        <f>'Imp Refined NYC'!O297</f>
        <v>#REF!</v>
      </c>
      <c r="N495" s="195" t="e">
        <f>'Imp Refined NYC'!P297</f>
        <v>#REF!</v>
      </c>
      <c r="O495" s="195" t="e">
        <f>'Imp Refined NYC'!Q297</f>
        <v>#REF!</v>
      </c>
      <c r="P495" s="195" t="e">
        <f>'Imp Refined NYC'!R297</f>
        <v>#REF!</v>
      </c>
      <c r="Q495" s="195" t="e">
        <f>'Imp Refined NYC'!S297</f>
        <v>#REF!</v>
      </c>
      <c r="R495" s="195" t="e">
        <f>'Imp Refined NYC'!T297</f>
        <v>#REF!</v>
      </c>
      <c r="S495" s="195" t="e">
        <f>'Imp Refined NYC'!U297</f>
        <v>#REF!</v>
      </c>
      <c r="T495" s="195" t="e">
        <f>'Imp Refined NYC'!V297</f>
        <v>#REF!</v>
      </c>
      <c r="U495" s="187"/>
      <c r="V495" s="187">
        <f>'Imp Refined NYC'!AF297</f>
        <v>8.032416191189121</v>
      </c>
      <c r="W495" s="187">
        <f>'Imp Refined NYC'!AG297</f>
        <v>1.8957817204307199</v>
      </c>
      <c r="X495" s="187">
        <f>'Imp Refined NYC'!AH297</f>
        <v>2.0930306855622396</v>
      </c>
      <c r="Y495" s="187">
        <f>'Imp Refined NYC'!AI297</f>
        <v>2.3121962023750395</v>
      </c>
      <c r="Z495" s="187"/>
      <c r="AA495" s="187"/>
      <c r="AB495" s="187"/>
      <c r="AC495" s="187"/>
      <c r="AD495" s="187"/>
      <c r="AE495" s="187"/>
      <c r="AF495" s="195"/>
      <c r="AG495" s="197"/>
      <c r="AH495" s="197"/>
      <c r="BC495" s="147"/>
      <c r="BD495" s="147"/>
      <c r="BE495" s="147"/>
      <c r="BF495" s="147"/>
      <c r="BG495" s="147"/>
    </row>
    <row r="496" spans="2:59">
      <c r="B496" s="158" t="str">
        <f>Technologies!B$479</f>
        <v>*R0</v>
      </c>
      <c r="C496" s="158" t="str">
        <f>'Imp Refined NYC'!E298</f>
        <v>IMPLPGP52</v>
      </c>
      <c r="D496" s="158" t="str">
        <f>'Imp Refined NYC'!F298</f>
        <v>Imported LPG, PADD 5, Step 2</v>
      </c>
      <c r="E496" s="197" t="str">
        <f>'Imp Refined NYC'!G298</f>
        <v>LPGP5</v>
      </c>
      <c r="F496" s="197"/>
      <c r="G496" s="187"/>
      <c r="H496" s="197"/>
      <c r="I496" s="197">
        <v>1.0049999999999999</v>
      </c>
      <c r="J496" s="197">
        <v>1.0049999999999999</v>
      </c>
      <c r="K496" s="195">
        <f>'Imp Refined NYC'!M298</f>
        <v>12.56225604235375</v>
      </c>
      <c r="L496" s="195" t="e">
        <f>'Imp Refined NYC'!N298</f>
        <v>#REF!</v>
      </c>
      <c r="M496" s="195" t="e">
        <f>'Imp Refined NYC'!O298</f>
        <v>#REF!</v>
      </c>
      <c r="N496" s="195" t="e">
        <f>'Imp Refined NYC'!P298</f>
        <v>#REF!</v>
      </c>
      <c r="O496" s="195" t="e">
        <f>'Imp Refined NYC'!Q298</f>
        <v>#REF!</v>
      </c>
      <c r="P496" s="195" t="e">
        <f>'Imp Refined NYC'!R298</f>
        <v>#REF!</v>
      </c>
      <c r="Q496" s="195" t="e">
        <f>'Imp Refined NYC'!S298</f>
        <v>#REF!</v>
      </c>
      <c r="R496" s="195" t="e">
        <f>'Imp Refined NYC'!T298</f>
        <v>#REF!</v>
      </c>
      <c r="S496" s="195" t="e">
        <f>'Imp Refined NYC'!U298</f>
        <v>#REF!</v>
      </c>
      <c r="T496" s="195" t="e">
        <f>'Imp Refined NYC'!V298</f>
        <v>#REF!</v>
      </c>
      <c r="U496" s="187"/>
      <c r="V496" s="187">
        <f>'Imp Refined NYC'!AF298</f>
        <v>1.0040520238986375</v>
      </c>
      <c r="W496" s="187">
        <f>'Imp Refined NYC'!AG298</f>
        <v>0.23697271505383988</v>
      </c>
      <c r="X496" s="187">
        <f>'Imp Refined NYC'!AH298</f>
        <v>0.26162883569527962</v>
      </c>
      <c r="Y496" s="187">
        <f>'Imp Refined NYC'!AI298</f>
        <v>0.28902452529688061</v>
      </c>
      <c r="Z496" s="187"/>
      <c r="AA496" s="187"/>
      <c r="AB496" s="187"/>
      <c r="AC496" s="187"/>
      <c r="AD496" s="187"/>
      <c r="AE496" s="187"/>
      <c r="AF496" s="195"/>
      <c r="AG496" s="197"/>
      <c r="AH496" s="197"/>
      <c r="BC496" s="147"/>
      <c r="BD496" s="147"/>
      <c r="BE496" s="147"/>
      <c r="BF496" s="147"/>
      <c r="BG496" s="147"/>
    </row>
    <row r="497" spans="2:59">
      <c r="B497" s="158" t="str">
        <f>Technologies!B$480</f>
        <v>*R0</v>
      </c>
      <c r="C497" s="158" t="str">
        <f>'Imp Refined NYC'!E299</f>
        <v>IMPLPGP54</v>
      </c>
      <c r="D497" s="158" t="str">
        <f>'Imp Refined NYC'!F299</f>
        <v>Imported LPG, PADD 5, Step 4</v>
      </c>
      <c r="E497" s="197" t="str">
        <f>'Imp Refined NYC'!G299</f>
        <v>LPGP5</v>
      </c>
      <c r="F497" s="197"/>
      <c r="G497" s="187"/>
      <c r="H497" s="197"/>
      <c r="I497" s="197">
        <v>1.0049999999999999</v>
      </c>
      <c r="J497" s="197">
        <v>1.0049999999999999</v>
      </c>
      <c r="K497" s="195">
        <f>'Imp Refined NYC'!M299</f>
        <v>13.972305189964885</v>
      </c>
      <c r="L497" s="195" t="e">
        <f>'Imp Refined NYC'!N299</f>
        <v>#REF!</v>
      </c>
      <c r="M497" s="195" t="e">
        <f>'Imp Refined NYC'!O299</f>
        <v>#REF!</v>
      </c>
      <c r="N497" s="195" t="e">
        <f>'Imp Refined NYC'!P299</f>
        <v>#REF!</v>
      </c>
      <c r="O497" s="195" t="e">
        <f>'Imp Refined NYC'!Q299</f>
        <v>#REF!</v>
      </c>
      <c r="P497" s="195" t="e">
        <f>'Imp Refined NYC'!R299</f>
        <v>#REF!</v>
      </c>
      <c r="Q497" s="195" t="e">
        <f>'Imp Refined NYC'!S299</f>
        <v>#REF!</v>
      </c>
      <c r="R497" s="195" t="e">
        <f>'Imp Refined NYC'!T299</f>
        <v>#REF!</v>
      </c>
      <c r="S497" s="195" t="e">
        <f>'Imp Refined NYC'!U299</f>
        <v>#REF!</v>
      </c>
      <c r="T497" s="195" t="e">
        <f>'Imp Refined NYC'!V299</f>
        <v>#REF!</v>
      </c>
      <c r="U497" s="187"/>
      <c r="V497" s="187">
        <f>'Imp Refined NYC'!AF299</f>
        <v>2.0081040477972785</v>
      </c>
      <c r="W497" s="187">
        <f>'Imp Refined NYC'!AG299</f>
        <v>0.4739454301076802</v>
      </c>
      <c r="X497" s="187">
        <f>'Imp Refined NYC'!AH299</f>
        <v>0.52325767139055923</v>
      </c>
      <c r="Y497" s="187">
        <f>'Imp Refined NYC'!AI299</f>
        <v>0.578049050593759</v>
      </c>
      <c r="Z497" s="187"/>
      <c r="AA497" s="187"/>
      <c r="AB497" s="187"/>
      <c r="AC497" s="187"/>
      <c r="AD497" s="187"/>
      <c r="AE497" s="187"/>
      <c r="AF497" s="195"/>
      <c r="AG497" s="197"/>
      <c r="AH497" s="197"/>
      <c r="BC497" s="147"/>
      <c r="BD497" s="147"/>
      <c r="BE497" s="147"/>
      <c r="BF497" s="147"/>
      <c r="BG497" s="147"/>
    </row>
    <row r="498" spans="2:59">
      <c r="B498" s="158" t="str">
        <f>Technologies!B$481</f>
        <v>*R0</v>
      </c>
      <c r="C498" s="158" t="str">
        <f>'Imp Refined NYC'!E300</f>
        <v>IMPLPGP55</v>
      </c>
      <c r="D498" s="158" t="str">
        <f>'Imp Refined NYC'!F300</f>
        <v>Imported LPG, PADD 5, Step 5</v>
      </c>
      <c r="E498" s="197" t="str">
        <f>'Imp Refined NYC'!G300</f>
        <v>LPGP5</v>
      </c>
      <c r="F498" s="197"/>
      <c r="G498" s="187"/>
      <c r="H498" s="197"/>
      <c r="I498" s="197">
        <v>1.0049999999999999</v>
      </c>
      <c r="J498" s="197">
        <v>1.0049999999999999</v>
      </c>
      <c r="K498" s="195">
        <f>'Imp Refined NYC'!M300</f>
        <v>16.664217199040689</v>
      </c>
      <c r="L498" s="195" t="e">
        <f>'Imp Refined NYC'!N300</f>
        <v>#REF!</v>
      </c>
      <c r="M498" s="195" t="e">
        <f>'Imp Refined NYC'!O300</f>
        <v>#REF!</v>
      </c>
      <c r="N498" s="195" t="e">
        <f>'Imp Refined NYC'!P300</f>
        <v>#REF!</v>
      </c>
      <c r="O498" s="195" t="e">
        <f>'Imp Refined NYC'!Q300</f>
        <v>#REF!</v>
      </c>
      <c r="P498" s="195" t="e">
        <f>'Imp Refined NYC'!R300</f>
        <v>#REF!</v>
      </c>
      <c r="Q498" s="195" t="e">
        <f>'Imp Refined NYC'!S300</f>
        <v>#REF!</v>
      </c>
      <c r="R498" s="195" t="e">
        <f>'Imp Refined NYC'!T300</f>
        <v>#REF!</v>
      </c>
      <c r="S498" s="195" t="e">
        <f>'Imp Refined NYC'!U300</f>
        <v>#REF!</v>
      </c>
      <c r="T498" s="195" t="e">
        <f>'Imp Refined NYC'!V300</f>
        <v>#REF!</v>
      </c>
      <c r="U498" s="187"/>
      <c r="V498" s="187">
        <f>'Imp Refined NYC'!AF300</f>
        <v>8.032416191189121</v>
      </c>
      <c r="W498" s="187">
        <f>'Imp Refined NYC'!AG300</f>
        <v>1.8957817204307195</v>
      </c>
      <c r="X498" s="187">
        <f>'Imp Refined NYC'!AH300</f>
        <v>2.0930306855622405</v>
      </c>
      <c r="Y498" s="187">
        <f>'Imp Refined NYC'!AI300</f>
        <v>2.3121962023750409</v>
      </c>
      <c r="Z498" s="187"/>
      <c r="AA498" s="187"/>
      <c r="AB498" s="187"/>
      <c r="AC498" s="187"/>
      <c r="AD498" s="187"/>
      <c r="AE498" s="187"/>
      <c r="AF498" s="195"/>
      <c r="AG498" s="197"/>
      <c r="AH498" s="197"/>
      <c r="BC498" s="147"/>
      <c r="BD498" s="147"/>
      <c r="BE498" s="147"/>
      <c r="BF498" s="147"/>
      <c r="BG498" s="147"/>
    </row>
    <row r="499" spans="2:59">
      <c r="B499" s="158" t="str">
        <f>Technologies!B$482</f>
        <v>*R0</v>
      </c>
      <c r="C499" s="158" t="str">
        <f>'Imp Refined NYC'!E301</f>
        <v>IMPPFSP53</v>
      </c>
      <c r="D499" s="158" t="str">
        <f>'Imp Refined NYC'!F301</f>
        <v>Imported Petrochemical Feedstocks, PADD 5, Step 3</v>
      </c>
      <c r="E499" s="197" t="str">
        <f>'Imp Refined NYC'!G301</f>
        <v>PFSP5</v>
      </c>
      <c r="F499" s="197"/>
      <c r="G499" s="187"/>
      <c r="H499" s="197"/>
      <c r="I499" s="197">
        <v>1.0049999999999999</v>
      </c>
      <c r="J499" s="197">
        <v>1.0049999999999999</v>
      </c>
      <c r="K499" s="195">
        <f>'Imp Refined NYC'!M301</f>
        <v>8.0119244389910822</v>
      </c>
      <c r="L499" s="195" t="e">
        <f>'Imp Refined NYC'!N301</f>
        <v>#REF!</v>
      </c>
      <c r="M499" s="195" t="e">
        <f>'Imp Refined NYC'!O301</f>
        <v>#REF!</v>
      </c>
      <c r="N499" s="195" t="e">
        <f>'Imp Refined NYC'!P301</f>
        <v>#REF!</v>
      </c>
      <c r="O499" s="195" t="e">
        <f>'Imp Refined NYC'!Q301</f>
        <v>#REF!</v>
      </c>
      <c r="P499" s="195" t="e">
        <f>'Imp Refined NYC'!R301</f>
        <v>#REF!</v>
      </c>
      <c r="Q499" s="195" t="e">
        <f>'Imp Refined NYC'!S301</f>
        <v>#REF!</v>
      </c>
      <c r="R499" s="195" t="e">
        <f>'Imp Refined NYC'!T301</f>
        <v>#REF!</v>
      </c>
      <c r="S499" s="195" t="e">
        <f>'Imp Refined NYC'!U301</f>
        <v>#REF!</v>
      </c>
      <c r="T499" s="195" t="e">
        <f>'Imp Refined NYC'!V301</f>
        <v>#REF!</v>
      </c>
      <c r="U499" s="187"/>
      <c r="V499" s="187">
        <f>'Imp Refined NYC'!AF301</f>
        <v>0</v>
      </c>
      <c r="W499" s="187">
        <f>'Imp Refined NYC'!AG301</f>
        <v>0.63336608507255931</v>
      </c>
      <c r="X499" s="187">
        <f>'Imp Refined NYC'!AH301</f>
        <v>0.6991134295437611</v>
      </c>
      <c r="Y499" s="187">
        <f>'Imp Refined NYC'!AI301</f>
        <v>0.77143550846207809</v>
      </c>
      <c r="Z499" s="187"/>
      <c r="AA499" s="187"/>
      <c r="AB499" s="187"/>
      <c r="AC499" s="187"/>
      <c r="AD499" s="187"/>
      <c r="AE499" s="187"/>
      <c r="AF499" s="195"/>
      <c r="AG499" s="197"/>
      <c r="AH499" s="197"/>
      <c r="BC499" s="147"/>
      <c r="BD499" s="147"/>
      <c r="BE499" s="147"/>
      <c r="BF499" s="147"/>
      <c r="BG499" s="147"/>
    </row>
    <row r="500" spans="2:59">
      <c r="B500" s="158" t="str">
        <f>Technologies!B$483</f>
        <v>*R0</v>
      </c>
      <c r="C500" s="158" t="str">
        <f>'Imp Refined NYC'!E302</f>
        <v>IMPPFSP51</v>
      </c>
      <c r="D500" s="158" t="str">
        <f>'Imp Refined NYC'!F302</f>
        <v>Imported Petrochemical Feedstocks, PADD 5, Step 1</v>
      </c>
      <c r="E500" s="197" t="str">
        <f>'Imp Refined NYC'!G302</f>
        <v>PFSP5</v>
      </c>
      <c r="F500" s="197"/>
      <c r="G500" s="187"/>
      <c r="H500" s="197"/>
      <c r="I500" s="197">
        <v>1.0049999999999999</v>
      </c>
      <c r="J500" s="197">
        <v>1.0049999999999999</v>
      </c>
      <c r="K500" s="195">
        <f>'Imp Refined NYC'!M302</f>
        <v>7.6113282170415273</v>
      </c>
      <c r="L500" s="195" t="e">
        <f>'Imp Refined NYC'!N302</f>
        <v>#REF!</v>
      </c>
      <c r="M500" s="195" t="e">
        <f>'Imp Refined NYC'!O302</f>
        <v>#REF!</v>
      </c>
      <c r="N500" s="195" t="e">
        <f>'Imp Refined NYC'!P302</f>
        <v>#REF!</v>
      </c>
      <c r="O500" s="195" t="e">
        <f>'Imp Refined NYC'!Q302</f>
        <v>#REF!</v>
      </c>
      <c r="P500" s="195" t="e">
        <f>'Imp Refined NYC'!R302</f>
        <v>#REF!</v>
      </c>
      <c r="Q500" s="195" t="e">
        <f>'Imp Refined NYC'!S302</f>
        <v>#REF!</v>
      </c>
      <c r="R500" s="195" t="e">
        <f>'Imp Refined NYC'!T302</f>
        <v>#REF!</v>
      </c>
      <c r="S500" s="195" t="e">
        <f>'Imp Refined NYC'!U302</f>
        <v>#REF!</v>
      </c>
      <c r="T500" s="195" t="e">
        <f>'Imp Refined NYC'!V302</f>
        <v>#REF!</v>
      </c>
      <c r="U500" s="187"/>
      <c r="V500" s="187">
        <f>'Imp Refined NYC'!AF302</f>
        <v>0</v>
      </c>
      <c r="W500" s="187">
        <f>'Imp Refined NYC'!AG302</f>
        <v>5.0669286805804798</v>
      </c>
      <c r="X500" s="187">
        <f>'Imp Refined NYC'!AH302</f>
        <v>5.5929074363500799</v>
      </c>
      <c r="Y500" s="187">
        <f>'Imp Refined NYC'!AI302</f>
        <v>6.1714840676966389</v>
      </c>
      <c r="Z500" s="187"/>
      <c r="AA500" s="187"/>
      <c r="AB500" s="187"/>
      <c r="AC500" s="187"/>
      <c r="AD500" s="187"/>
      <c r="AE500" s="187"/>
      <c r="AF500" s="195"/>
      <c r="AG500" s="197"/>
      <c r="AH500" s="197"/>
      <c r="BC500" s="147"/>
      <c r="BD500" s="147"/>
      <c r="BE500" s="147"/>
      <c r="BF500" s="147"/>
      <c r="BG500" s="147"/>
    </row>
    <row r="501" spans="2:59">
      <c r="B501" s="158" t="str">
        <f>Technologies!B$484</f>
        <v>*R0</v>
      </c>
      <c r="C501" s="158" t="str">
        <f>'Imp Refined NYC'!E303</f>
        <v>IMPPFSP52</v>
      </c>
      <c r="D501" s="158" t="str">
        <f>'Imp Refined NYC'!F303</f>
        <v>Imported Petrochemical Feedstocks, PADD 5, Step 2</v>
      </c>
      <c r="E501" s="197" t="str">
        <f>'Imp Refined NYC'!G303</f>
        <v>PFSP5</v>
      </c>
      <c r="F501" s="197"/>
      <c r="G501" s="187"/>
      <c r="H501" s="197"/>
      <c r="I501" s="197">
        <v>1.0049999999999999</v>
      </c>
      <c r="J501" s="197">
        <v>1.0049999999999999</v>
      </c>
      <c r="K501" s="195">
        <f>'Imp Refined NYC'!M303</f>
        <v>7.8516859502112615</v>
      </c>
      <c r="L501" s="195" t="e">
        <f>'Imp Refined NYC'!N303</f>
        <v>#REF!</v>
      </c>
      <c r="M501" s="195" t="e">
        <f>'Imp Refined NYC'!O303</f>
        <v>#REF!</v>
      </c>
      <c r="N501" s="195" t="e">
        <f>'Imp Refined NYC'!P303</f>
        <v>#REF!</v>
      </c>
      <c r="O501" s="195" t="e">
        <f>'Imp Refined NYC'!Q303</f>
        <v>#REF!</v>
      </c>
      <c r="P501" s="195" t="e">
        <f>'Imp Refined NYC'!R303</f>
        <v>#REF!</v>
      </c>
      <c r="Q501" s="195" t="e">
        <f>'Imp Refined NYC'!S303</f>
        <v>#REF!</v>
      </c>
      <c r="R501" s="195" t="e">
        <f>'Imp Refined NYC'!T303</f>
        <v>#REF!</v>
      </c>
      <c r="S501" s="195" t="e">
        <f>'Imp Refined NYC'!U303</f>
        <v>#REF!</v>
      </c>
      <c r="T501" s="195" t="e">
        <f>'Imp Refined NYC'!V303</f>
        <v>#REF!</v>
      </c>
      <c r="U501" s="187"/>
      <c r="V501" s="187">
        <f>'Imp Refined NYC'!AF303</f>
        <v>0</v>
      </c>
      <c r="W501" s="187">
        <f>'Imp Refined NYC'!AG303</f>
        <v>0.6333660850725602</v>
      </c>
      <c r="X501" s="187">
        <f>'Imp Refined NYC'!AH303</f>
        <v>0.69911342954375844</v>
      </c>
      <c r="Y501" s="187">
        <f>'Imp Refined NYC'!AI303</f>
        <v>0.77143550846208164</v>
      </c>
      <c r="Z501" s="187"/>
      <c r="AA501" s="187"/>
      <c r="AB501" s="187"/>
      <c r="AC501" s="187"/>
      <c r="AD501" s="187"/>
      <c r="AE501" s="187"/>
      <c r="AF501" s="195"/>
      <c r="AG501" s="197"/>
      <c r="AH501" s="197"/>
      <c r="BC501" s="147"/>
      <c r="BD501" s="147"/>
      <c r="BE501" s="147"/>
      <c r="BF501" s="147"/>
      <c r="BG501" s="147"/>
    </row>
    <row r="502" spans="2:59">
      <c r="B502" s="158" t="str">
        <f>Technologies!B$485</f>
        <v>*R0</v>
      </c>
      <c r="C502" s="158" t="str">
        <f>'Imp Refined NYC'!E304</f>
        <v>IMPPFSP54</v>
      </c>
      <c r="D502" s="158" t="str">
        <f>'Imp Refined NYC'!F304</f>
        <v>Imported Petrochemical Feedstocks, PADD 5, Step 4</v>
      </c>
      <c r="E502" s="197" t="str">
        <f>'Imp Refined NYC'!G304</f>
        <v>PFSP5</v>
      </c>
      <c r="F502" s="197"/>
      <c r="G502" s="187"/>
      <c r="H502" s="197"/>
      <c r="I502" s="197">
        <v>1.0049999999999999</v>
      </c>
      <c r="J502" s="197">
        <v>1.0049999999999999</v>
      </c>
      <c r="K502" s="195">
        <f>'Imp Refined NYC'!M304</f>
        <v>8.7329976385002794</v>
      </c>
      <c r="L502" s="195" t="e">
        <f>'Imp Refined NYC'!N304</f>
        <v>#REF!</v>
      </c>
      <c r="M502" s="195" t="e">
        <f>'Imp Refined NYC'!O304</f>
        <v>#REF!</v>
      </c>
      <c r="N502" s="195" t="e">
        <f>'Imp Refined NYC'!P304</f>
        <v>#REF!</v>
      </c>
      <c r="O502" s="195" t="e">
        <f>'Imp Refined NYC'!Q304</f>
        <v>#REF!</v>
      </c>
      <c r="P502" s="195" t="e">
        <f>'Imp Refined NYC'!R304</f>
        <v>#REF!</v>
      </c>
      <c r="Q502" s="195" t="e">
        <f>'Imp Refined NYC'!S304</f>
        <v>#REF!</v>
      </c>
      <c r="R502" s="195" t="e">
        <f>'Imp Refined NYC'!T304</f>
        <v>#REF!</v>
      </c>
      <c r="S502" s="195" t="e">
        <f>'Imp Refined NYC'!U304</f>
        <v>#REF!</v>
      </c>
      <c r="T502" s="195" t="e">
        <f>'Imp Refined NYC'!V304</f>
        <v>#REF!</v>
      </c>
      <c r="U502" s="187"/>
      <c r="V502" s="187">
        <f>'Imp Refined NYC'!AF304</f>
        <v>0</v>
      </c>
      <c r="W502" s="187">
        <f>'Imp Refined NYC'!AG304</f>
        <v>1.2667321701451204</v>
      </c>
      <c r="X502" s="187">
        <f>'Imp Refined NYC'!AH304</f>
        <v>1.3982268590875195</v>
      </c>
      <c r="Y502" s="187">
        <f>'Imp Refined NYC'!AI304</f>
        <v>1.5428710169241597</v>
      </c>
      <c r="Z502" s="187"/>
      <c r="AA502" s="187"/>
      <c r="AB502" s="187"/>
      <c r="AC502" s="187"/>
      <c r="AD502" s="187"/>
      <c r="AE502" s="187"/>
      <c r="AF502" s="195"/>
      <c r="AG502" s="197"/>
      <c r="AH502" s="197"/>
      <c r="BC502" s="147"/>
      <c r="BD502" s="147"/>
      <c r="BE502" s="147"/>
      <c r="BF502" s="147"/>
      <c r="BG502" s="147"/>
    </row>
    <row r="503" spans="2:59">
      <c r="B503" s="158" t="str">
        <f>Technologies!B$486</f>
        <v>*R0</v>
      </c>
      <c r="C503" s="158" t="str">
        <f>'Imp Refined NYC'!E305</f>
        <v>IMPPFSP55</v>
      </c>
      <c r="D503" s="158" t="str">
        <f>'Imp Refined NYC'!F305</f>
        <v>Imported Petrochemical Feedstocks, PADD 5, Step 5</v>
      </c>
      <c r="E503" s="197" t="str">
        <f>'Imp Refined NYC'!G305</f>
        <v>PFSP5</v>
      </c>
      <c r="F503" s="197"/>
      <c r="G503" s="187"/>
      <c r="H503" s="197"/>
      <c r="I503" s="197">
        <v>1.0049999999999999</v>
      </c>
      <c r="J503" s="197">
        <v>1.0049999999999999</v>
      </c>
      <c r="K503" s="195">
        <f>'Imp Refined NYC'!M305</f>
        <v>10.415501770688406</v>
      </c>
      <c r="L503" s="195" t="e">
        <f>'Imp Refined NYC'!N305</f>
        <v>#REF!</v>
      </c>
      <c r="M503" s="195" t="e">
        <f>'Imp Refined NYC'!O305</f>
        <v>#REF!</v>
      </c>
      <c r="N503" s="195" t="e">
        <f>'Imp Refined NYC'!P305</f>
        <v>#REF!</v>
      </c>
      <c r="O503" s="195" t="e">
        <f>'Imp Refined NYC'!Q305</f>
        <v>#REF!</v>
      </c>
      <c r="P503" s="195" t="e">
        <f>'Imp Refined NYC'!R305</f>
        <v>#REF!</v>
      </c>
      <c r="Q503" s="195" t="e">
        <f>'Imp Refined NYC'!S305</f>
        <v>#REF!</v>
      </c>
      <c r="R503" s="195" t="e">
        <f>'Imp Refined NYC'!T305</f>
        <v>#REF!</v>
      </c>
      <c r="S503" s="195" t="e">
        <f>'Imp Refined NYC'!U305</f>
        <v>#REF!</v>
      </c>
      <c r="T503" s="195" t="e">
        <f>'Imp Refined NYC'!V305</f>
        <v>#REF!</v>
      </c>
      <c r="U503" s="187"/>
      <c r="V503" s="187">
        <f>'Imp Refined NYC'!AF305</f>
        <v>0</v>
      </c>
      <c r="W503" s="187">
        <f>'Imp Refined NYC'!AG305</f>
        <v>5.066928680580479</v>
      </c>
      <c r="X503" s="187">
        <f>'Imp Refined NYC'!AH305</f>
        <v>5.5929074363500799</v>
      </c>
      <c r="Y503" s="187">
        <f>'Imp Refined NYC'!AI305</f>
        <v>6.1714840676966389</v>
      </c>
      <c r="Z503" s="187"/>
      <c r="AA503" s="187"/>
      <c r="AB503" s="187"/>
      <c r="AC503" s="187"/>
      <c r="AD503" s="187"/>
      <c r="AE503" s="187"/>
      <c r="AF503" s="195"/>
      <c r="AG503" s="197"/>
      <c r="AH503" s="197"/>
      <c r="BC503" s="147"/>
      <c r="BD503" s="147"/>
      <c r="BE503" s="147"/>
      <c r="BF503" s="147"/>
      <c r="BG503" s="147"/>
    </row>
    <row r="504" spans="2:59">
      <c r="B504" s="158" t="str">
        <f>Technologies!B$487</f>
        <v>*R0</v>
      </c>
      <c r="C504" s="158" t="str">
        <f>'Imp Refined NYC'!E306</f>
        <v>IMPKERP53</v>
      </c>
      <c r="D504" s="158" t="str">
        <f>'Imp Refined NYC'!F306</f>
        <v>Imported Kerosene and Other Refined Products, PADD 5, Step 3</v>
      </c>
      <c r="E504" s="197" t="str">
        <f>'Imp Refined NYC'!G306</f>
        <v>KERP5</v>
      </c>
      <c r="F504" s="197"/>
      <c r="G504" s="187"/>
      <c r="H504" s="197"/>
      <c r="I504" s="197">
        <v>1.0049999999999999</v>
      </c>
      <c r="J504" s="197">
        <v>1.0049999999999999</v>
      </c>
      <c r="K504" s="195">
        <f>'Imp Refined NYC'!M306</f>
        <v>10.312997032414376</v>
      </c>
      <c r="L504" s="195" t="e">
        <f>'Imp Refined NYC'!N306</f>
        <v>#REF!</v>
      </c>
      <c r="M504" s="195" t="e">
        <f>'Imp Refined NYC'!O306</f>
        <v>#REF!</v>
      </c>
      <c r="N504" s="195" t="e">
        <f>'Imp Refined NYC'!P306</f>
        <v>#REF!</v>
      </c>
      <c r="O504" s="195" t="e">
        <f>'Imp Refined NYC'!Q306</f>
        <v>#REF!</v>
      </c>
      <c r="P504" s="195" t="e">
        <f>'Imp Refined NYC'!R306</f>
        <v>#REF!</v>
      </c>
      <c r="Q504" s="195" t="e">
        <f>'Imp Refined NYC'!S306</f>
        <v>#REF!</v>
      </c>
      <c r="R504" s="195" t="e">
        <f>'Imp Refined NYC'!T306</f>
        <v>#REF!</v>
      </c>
      <c r="S504" s="195" t="e">
        <f>'Imp Refined NYC'!U306</f>
        <v>#REF!</v>
      </c>
      <c r="T504" s="195" t="e">
        <f>'Imp Refined NYC'!V306</f>
        <v>#REF!</v>
      </c>
      <c r="U504" s="187"/>
      <c r="V504" s="187">
        <f>'Imp Refined NYC'!AF306</f>
        <v>9.1706628081599888</v>
      </c>
      <c r="W504" s="187">
        <f>'Imp Refined NYC'!AG306</f>
        <v>5.9500133695799846</v>
      </c>
      <c r="X504" s="187">
        <f>'Imp Refined NYC'!AH306</f>
        <v>6.4412988771600013</v>
      </c>
      <c r="Y504" s="187">
        <f>'Imp Refined NYC'!AI306</f>
        <v>6.9740707164911981</v>
      </c>
      <c r="Z504" s="187"/>
      <c r="AA504" s="187"/>
      <c r="AB504" s="187"/>
      <c r="AC504" s="187"/>
      <c r="AD504" s="187"/>
      <c r="AE504" s="187"/>
      <c r="AF504" s="195"/>
      <c r="AG504" s="197"/>
      <c r="AH504" s="197"/>
      <c r="BC504" s="147"/>
      <c r="BD504" s="147"/>
      <c r="BE504" s="147"/>
      <c r="BF504" s="147"/>
      <c r="BG504" s="147"/>
    </row>
    <row r="505" spans="2:59">
      <c r="B505" s="158" t="str">
        <f>Technologies!B$488</f>
        <v>*R0</v>
      </c>
      <c r="C505" s="158" t="str">
        <f>'Imp Refined NYC'!E307</f>
        <v>IMPKERP51</v>
      </c>
      <c r="D505" s="158" t="str">
        <f>'Imp Refined NYC'!F307</f>
        <v>Imported Kerosene and Other Refined Products, PADD 5, Step 1</v>
      </c>
      <c r="E505" s="197" t="str">
        <f>'Imp Refined NYC'!G307</f>
        <v>KERP5</v>
      </c>
      <c r="F505" s="197"/>
      <c r="G505" s="187"/>
      <c r="H505" s="197"/>
      <c r="I505" s="197">
        <v>1.0049999999999999</v>
      </c>
      <c r="J505" s="197">
        <v>1.0049999999999999</v>
      </c>
      <c r="K505" s="195">
        <f>'Imp Refined NYC'!M307</f>
        <v>9.7973471807936559</v>
      </c>
      <c r="L505" s="195" t="e">
        <f>'Imp Refined NYC'!N307</f>
        <v>#REF!</v>
      </c>
      <c r="M505" s="195" t="e">
        <f>'Imp Refined NYC'!O307</f>
        <v>#REF!</v>
      </c>
      <c r="N505" s="195" t="e">
        <f>'Imp Refined NYC'!P307</f>
        <v>#REF!</v>
      </c>
      <c r="O505" s="195" t="e">
        <f>'Imp Refined NYC'!Q307</f>
        <v>#REF!</v>
      </c>
      <c r="P505" s="195" t="e">
        <f>'Imp Refined NYC'!R307</f>
        <v>#REF!</v>
      </c>
      <c r="Q505" s="195" t="e">
        <f>'Imp Refined NYC'!S307</f>
        <v>#REF!</v>
      </c>
      <c r="R505" s="195" t="e">
        <f>'Imp Refined NYC'!T307</f>
        <v>#REF!</v>
      </c>
      <c r="S505" s="195" t="e">
        <f>'Imp Refined NYC'!U307</f>
        <v>#REF!</v>
      </c>
      <c r="T505" s="195" t="e">
        <f>'Imp Refined NYC'!V307</f>
        <v>#REF!</v>
      </c>
      <c r="U505" s="187"/>
      <c r="V505" s="187">
        <f>'Imp Refined NYC'!AF307</f>
        <v>73.365302465279996</v>
      </c>
      <c r="W505" s="187">
        <f>'Imp Refined NYC'!AG307</f>
        <v>47.600106956640005</v>
      </c>
      <c r="X505" s="187">
        <f>'Imp Refined NYC'!AH307</f>
        <v>51.53039101728001</v>
      </c>
      <c r="Y505" s="187">
        <f>'Imp Refined NYC'!AI307</f>
        <v>55.792565731929614</v>
      </c>
      <c r="Z505" s="187"/>
      <c r="AA505" s="187"/>
      <c r="AB505" s="187"/>
      <c r="AC505" s="187"/>
      <c r="AD505" s="187"/>
      <c r="AE505" s="187"/>
      <c r="AF505" s="195"/>
      <c r="AG505" s="197"/>
      <c r="AH505" s="197"/>
      <c r="BC505" s="147"/>
      <c r="BD505" s="147"/>
      <c r="BE505" s="147"/>
      <c r="BF505" s="147"/>
      <c r="BG505" s="147"/>
    </row>
    <row r="506" spans="2:59">
      <c r="B506" s="158" t="str">
        <f>Technologies!B$489</f>
        <v>*R0</v>
      </c>
      <c r="C506" s="158" t="str">
        <f>'Imp Refined NYC'!E308</f>
        <v>IMPKERP52</v>
      </c>
      <c r="D506" s="158" t="str">
        <f>'Imp Refined NYC'!F308</f>
        <v>Imported Kerosene and Other Refined Products, PADD 5, Step 2</v>
      </c>
      <c r="E506" s="197" t="str">
        <f>'Imp Refined NYC'!G308</f>
        <v>KERP5</v>
      </c>
      <c r="F506" s="197"/>
      <c r="G506" s="187"/>
      <c r="H506" s="197"/>
      <c r="I506" s="197">
        <v>1.0049999999999999</v>
      </c>
      <c r="J506" s="197">
        <v>1.0049999999999999</v>
      </c>
      <c r="K506" s="195">
        <f>'Imp Refined NYC'!M308</f>
        <v>10.106737091766087</v>
      </c>
      <c r="L506" s="195" t="e">
        <f>'Imp Refined NYC'!N308</f>
        <v>#REF!</v>
      </c>
      <c r="M506" s="195" t="e">
        <f>'Imp Refined NYC'!O308</f>
        <v>#REF!</v>
      </c>
      <c r="N506" s="195" t="e">
        <f>'Imp Refined NYC'!P308</f>
        <v>#REF!</v>
      </c>
      <c r="O506" s="195" t="e">
        <f>'Imp Refined NYC'!Q308</f>
        <v>#REF!</v>
      </c>
      <c r="P506" s="195" t="e">
        <f>'Imp Refined NYC'!R308</f>
        <v>#REF!</v>
      </c>
      <c r="Q506" s="195" t="e">
        <f>'Imp Refined NYC'!S308</f>
        <v>#REF!</v>
      </c>
      <c r="R506" s="195" t="e">
        <f>'Imp Refined NYC'!T308</f>
        <v>#REF!</v>
      </c>
      <c r="S506" s="195" t="e">
        <f>'Imp Refined NYC'!U308</f>
        <v>#REF!</v>
      </c>
      <c r="T506" s="195" t="e">
        <f>'Imp Refined NYC'!V308</f>
        <v>#REF!</v>
      </c>
      <c r="U506" s="187"/>
      <c r="V506" s="187">
        <f>'Imp Refined NYC'!AF308</f>
        <v>9.170662808160003</v>
      </c>
      <c r="W506" s="187">
        <f>'Imp Refined NYC'!AG308</f>
        <v>5.9500133695800059</v>
      </c>
      <c r="X506" s="187">
        <f>'Imp Refined NYC'!AH308</f>
        <v>6.4412988771599871</v>
      </c>
      <c r="Y506" s="187">
        <f>'Imp Refined NYC'!AI308</f>
        <v>6.9740707164911839</v>
      </c>
      <c r="Z506" s="187"/>
      <c r="AA506" s="187"/>
      <c r="AB506" s="187"/>
      <c r="AC506" s="187"/>
      <c r="AD506" s="187"/>
      <c r="AE506" s="187"/>
      <c r="AF506" s="195"/>
      <c r="AG506" s="197"/>
      <c r="AH506" s="197"/>
      <c r="BC506" s="147"/>
      <c r="BD506" s="147"/>
      <c r="BE506" s="147"/>
      <c r="BF506" s="147"/>
      <c r="BG506" s="147"/>
    </row>
    <row r="507" spans="2:59">
      <c r="B507" s="158" t="str">
        <f>Technologies!B$490</f>
        <v>*R0</v>
      </c>
      <c r="C507" s="158" t="str">
        <f>'Imp Refined NYC'!E309</f>
        <v>IMPKERP54</v>
      </c>
      <c r="D507" s="158" t="str">
        <f>'Imp Refined NYC'!F309</f>
        <v>Imported Kerosene and Other Refined Products, PADD 5, Step 4</v>
      </c>
      <c r="E507" s="197" t="str">
        <f>'Imp Refined NYC'!G309</f>
        <v>KERP5</v>
      </c>
      <c r="F507" s="197"/>
      <c r="G507" s="187"/>
      <c r="H507" s="197"/>
      <c r="I507" s="197">
        <v>1.0049999999999999</v>
      </c>
      <c r="J507" s="197">
        <v>1.0049999999999999</v>
      </c>
      <c r="K507" s="195">
        <f>'Imp Refined NYC'!M309</f>
        <v>11.241166765331668</v>
      </c>
      <c r="L507" s="195" t="e">
        <f>'Imp Refined NYC'!N309</f>
        <v>#REF!</v>
      </c>
      <c r="M507" s="195" t="e">
        <f>'Imp Refined NYC'!O309</f>
        <v>#REF!</v>
      </c>
      <c r="N507" s="195" t="e">
        <f>'Imp Refined NYC'!P309</f>
        <v>#REF!</v>
      </c>
      <c r="O507" s="195" t="e">
        <f>'Imp Refined NYC'!Q309</f>
        <v>#REF!</v>
      </c>
      <c r="P507" s="195" t="e">
        <f>'Imp Refined NYC'!R309</f>
        <v>#REF!</v>
      </c>
      <c r="Q507" s="195" t="e">
        <f>'Imp Refined NYC'!S309</f>
        <v>#REF!</v>
      </c>
      <c r="R507" s="195" t="e">
        <f>'Imp Refined NYC'!T309</f>
        <v>#REF!</v>
      </c>
      <c r="S507" s="195" t="e">
        <f>'Imp Refined NYC'!U309</f>
        <v>#REF!</v>
      </c>
      <c r="T507" s="195" t="e">
        <f>'Imp Refined NYC'!V309</f>
        <v>#REF!</v>
      </c>
      <c r="U507" s="187"/>
      <c r="V507" s="187">
        <f>'Imp Refined NYC'!AF309</f>
        <v>18.341325616319978</v>
      </c>
      <c r="W507" s="187">
        <f>'Imp Refined NYC'!AG309</f>
        <v>11.900026739159991</v>
      </c>
      <c r="X507" s="187">
        <f>'Imp Refined NYC'!AH309</f>
        <v>12.882597754319988</v>
      </c>
      <c r="Y507" s="187">
        <f>'Imp Refined NYC'!AI309</f>
        <v>13.948141432982396</v>
      </c>
      <c r="Z507" s="187"/>
      <c r="AA507" s="187"/>
      <c r="AB507" s="187"/>
      <c r="AC507" s="187"/>
      <c r="AD507" s="187"/>
      <c r="AE507" s="187"/>
      <c r="AF507" s="195"/>
      <c r="AG507" s="197"/>
      <c r="AH507" s="197"/>
      <c r="BC507" s="147"/>
      <c r="BD507" s="147"/>
      <c r="BE507" s="147"/>
      <c r="BF507" s="147"/>
      <c r="BG507" s="147"/>
    </row>
    <row r="508" spans="2:59">
      <c r="B508" s="158" t="str">
        <f>Technologies!B$491</f>
        <v>*R0</v>
      </c>
      <c r="C508" s="158" t="str">
        <f>'Imp Refined NYC'!E310</f>
        <v>IMPKERP55</v>
      </c>
      <c r="D508" s="158" t="str">
        <f>'Imp Refined NYC'!F310</f>
        <v>Imported Kerosene and Other Refined Products, PADD 5, Step 5</v>
      </c>
      <c r="E508" s="197" t="str">
        <f>'Imp Refined NYC'!G310</f>
        <v>KERP5</v>
      </c>
      <c r="F508" s="197"/>
      <c r="G508" s="187"/>
      <c r="H508" s="197"/>
      <c r="I508" s="197">
        <v>1.0049999999999999</v>
      </c>
      <c r="J508" s="197">
        <v>1.0049999999999999</v>
      </c>
      <c r="K508" s="195">
        <f>'Imp Refined NYC'!M310</f>
        <v>13.406896142138688</v>
      </c>
      <c r="L508" s="195" t="e">
        <f>'Imp Refined NYC'!N310</f>
        <v>#REF!</v>
      </c>
      <c r="M508" s="195" t="e">
        <f>'Imp Refined NYC'!O310</f>
        <v>#REF!</v>
      </c>
      <c r="N508" s="195" t="e">
        <f>'Imp Refined NYC'!P310</f>
        <v>#REF!</v>
      </c>
      <c r="O508" s="195" t="e">
        <f>'Imp Refined NYC'!Q310</f>
        <v>#REF!</v>
      </c>
      <c r="P508" s="195" t="e">
        <f>'Imp Refined NYC'!R310</f>
        <v>#REF!</v>
      </c>
      <c r="Q508" s="195" t="e">
        <f>'Imp Refined NYC'!S310</f>
        <v>#REF!</v>
      </c>
      <c r="R508" s="195" t="e">
        <f>'Imp Refined NYC'!T310</f>
        <v>#REF!</v>
      </c>
      <c r="S508" s="195" t="e">
        <f>'Imp Refined NYC'!U310</f>
        <v>#REF!</v>
      </c>
      <c r="T508" s="195" t="e">
        <f>'Imp Refined NYC'!V310</f>
        <v>#REF!</v>
      </c>
      <c r="U508" s="187"/>
      <c r="V508" s="187">
        <f>'Imp Refined NYC'!AF310</f>
        <v>73.36530246528001</v>
      </c>
      <c r="W508" s="187">
        <f>'Imp Refined NYC'!AG310</f>
        <v>47.600106956640005</v>
      </c>
      <c r="X508" s="187">
        <f>'Imp Refined NYC'!AH310</f>
        <v>51.53039101728001</v>
      </c>
      <c r="Y508" s="187">
        <f>'Imp Refined NYC'!AI310</f>
        <v>55.792565731929599</v>
      </c>
      <c r="Z508" s="187"/>
      <c r="AA508" s="187"/>
      <c r="AB508" s="187"/>
      <c r="AC508" s="187"/>
      <c r="AD508" s="187"/>
      <c r="AE508" s="187"/>
      <c r="AF508" s="195"/>
      <c r="AG508" s="197"/>
      <c r="AH508" s="197"/>
      <c r="BC508" s="147"/>
      <c r="BD508" s="147"/>
      <c r="BE508" s="147"/>
      <c r="BF508" s="147"/>
      <c r="BG508" s="147"/>
    </row>
    <row r="509" spans="2:59">
      <c r="B509" s="158" t="str">
        <f>Technologies!B$492</f>
        <v>*R0</v>
      </c>
      <c r="C509" s="158" t="str">
        <f>'Imp Refined NYC'!E311</f>
        <v>IMPMTHP53</v>
      </c>
      <c r="D509" s="158" t="str">
        <f>'Imp Refined NYC'!F311</f>
        <v>Imported Methanol, PADD 5, Step 3</v>
      </c>
      <c r="E509" s="197" t="str">
        <f>'Imp Refined NYC'!G311</f>
        <v>MTHP5</v>
      </c>
      <c r="F509" s="197"/>
      <c r="G509" s="187"/>
      <c r="H509" s="197"/>
      <c r="I509" s="197">
        <v>1.0049999999999999</v>
      </c>
      <c r="J509" s="197">
        <v>1.0049999999999999</v>
      </c>
      <c r="K509" s="195">
        <f>'Imp Refined NYC'!M311</f>
        <v>26.827330851397829</v>
      </c>
      <c r="L509" s="195" t="e">
        <f>'Imp Refined NYC'!N311</f>
        <v>#REF!</v>
      </c>
      <c r="M509" s="195" t="e">
        <f>'Imp Refined NYC'!O311</f>
        <v>#REF!</v>
      </c>
      <c r="N509" s="195" t="e">
        <f>'Imp Refined NYC'!P311</f>
        <v>#REF!</v>
      </c>
      <c r="O509" s="195" t="e">
        <f>'Imp Refined NYC'!Q311</f>
        <v>#REF!</v>
      </c>
      <c r="P509" s="195" t="e">
        <f>'Imp Refined NYC'!R311</f>
        <v>#REF!</v>
      </c>
      <c r="Q509" s="195" t="e">
        <f>'Imp Refined NYC'!S311</f>
        <v>#REF!</v>
      </c>
      <c r="R509" s="195" t="e">
        <f>'Imp Refined NYC'!T311</f>
        <v>#REF!</v>
      </c>
      <c r="S509" s="195" t="e">
        <f>'Imp Refined NYC'!U311</f>
        <v>#REF!</v>
      </c>
      <c r="T509" s="195" t="e">
        <f>'Imp Refined NYC'!V311</f>
        <v>#REF!</v>
      </c>
      <c r="U509" s="187"/>
      <c r="V509" s="187">
        <f>'Imp Refined NYC'!AF311</f>
        <v>9.0969093294911874E-2</v>
      </c>
      <c r="W509" s="187">
        <f>'Imp Refined NYC'!AG311</f>
        <v>8.144907190358408E-2</v>
      </c>
      <c r="X509" s="187">
        <f>'Imp Refined NYC'!AH311</f>
        <v>9.5200213913279708E-2</v>
      </c>
      <c r="Y509" s="187">
        <f>'Imp Refined NYC'!AI311</f>
        <v>0.11000913607756801</v>
      </c>
      <c r="Z509" s="187"/>
      <c r="AA509" s="187"/>
      <c r="AB509" s="187"/>
      <c r="AC509" s="187"/>
      <c r="AD509" s="187"/>
      <c r="AE509" s="187"/>
      <c r="AF509" s="195"/>
      <c r="AG509" s="197"/>
      <c r="AH509" s="197"/>
      <c r="BC509" s="147"/>
      <c r="BD509" s="147"/>
      <c r="BE509" s="147"/>
      <c r="BF509" s="147"/>
      <c r="BG509" s="147"/>
    </row>
    <row r="510" spans="2:59">
      <c r="B510" s="158" t="str">
        <f>Technologies!B$493</f>
        <v>*R0</v>
      </c>
      <c r="C510" s="158" t="str">
        <f>'Imp Refined NYC'!E312</f>
        <v>IMPMTHP51</v>
      </c>
      <c r="D510" s="158" t="str">
        <f>'Imp Refined NYC'!F312</f>
        <v>Imported Methanol, PADD 5, Step 1</v>
      </c>
      <c r="E510" s="197" t="str">
        <f>'Imp Refined NYC'!G312</f>
        <v>MTHP5</v>
      </c>
      <c r="F510" s="197"/>
      <c r="G510" s="187"/>
      <c r="H510" s="197"/>
      <c r="I510" s="197">
        <v>1.0049999999999999</v>
      </c>
      <c r="J510" s="197">
        <v>1.0049999999999999</v>
      </c>
      <c r="K510" s="195">
        <f>'Imp Refined NYC'!M312</f>
        <v>25.485964308827935</v>
      </c>
      <c r="L510" s="195" t="e">
        <f>'Imp Refined NYC'!N312</f>
        <v>#REF!</v>
      </c>
      <c r="M510" s="195" t="e">
        <f>'Imp Refined NYC'!O312</f>
        <v>#REF!</v>
      </c>
      <c r="N510" s="195" t="e">
        <f>'Imp Refined NYC'!P312</f>
        <v>#REF!</v>
      </c>
      <c r="O510" s="195" t="e">
        <f>'Imp Refined NYC'!Q312</f>
        <v>#REF!</v>
      </c>
      <c r="P510" s="195" t="e">
        <f>'Imp Refined NYC'!R312</f>
        <v>#REF!</v>
      </c>
      <c r="Q510" s="195" t="e">
        <f>'Imp Refined NYC'!S312</f>
        <v>#REF!</v>
      </c>
      <c r="R510" s="195" t="e">
        <f>'Imp Refined NYC'!T312</f>
        <v>#REF!</v>
      </c>
      <c r="S510" s="195" t="e">
        <f>'Imp Refined NYC'!U312</f>
        <v>#REF!</v>
      </c>
      <c r="T510" s="195" t="e">
        <f>'Imp Refined NYC'!V312</f>
        <v>#REF!</v>
      </c>
      <c r="U510" s="187"/>
      <c r="V510" s="187">
        <f>'Imp Refined NYC'!AF312</f>
        <v>0.72775274635929599</v>
      </c>
      <c r="W510" s="187">
        <f>'Imp Refined NYC'!AG312</f>
        <v>0.65159257522867209</v>
      </c>
      <c r="X510" s="187">
        <f>'Imp Refined NYC'!AH312</f>
        <v>0.76160171130623988</v>
      </c>
      <c r="Y510" s="187">
        <f>'Imp Refined NYC'!AI312</f>
        <v>0.88007308862054401</v>
      </c>
      <c r="Z510" s="187"/>
      <c r="AA510" s="187"/>
      <c r="AB510" s="187"/>
      <c r="AC510" s="187"/>
      <c r="AD510" s="187"/>
      <c r="AE510" s="187"/>
      <c r="AF510" s="195"/>
      <c r="AG510" s="197"/>
      <c r="AH510" s="197"/>
      <c r="BC510" s="147"/>
      <c r="BD510" s="147"/>
      <c r="BE510" s="147"/>
      <c r="BF510" s="147"/>
      <c r="BG510" s="147"/>
    </row>
    <row r="511" spans="2:59">
      <c r="B511" s="158" t="str">
        <f>Technologies!B$494</f>
        <v>*R0</v>
      </c>
      <c r="C511" s="158" t="str">
        <f>'Imp Refined NYC'!E313</f>
        <v>IMPMTHP52</v>
      </c>
      <c r="D511" s="158" t="str">
        <f>'Imp Refined NYC'!F313</f>
        <v>Imported Methanol, PADD 5, Step 2</v>
      </c>
      <c r="E511" s="197" t="str">
        <f>'Imp Refined NYC'!G313</f>
        <v>MTHP5</v>
      </c>
      <c r="F511" s="197"/>
      <c r="G511" s="187"/>
      <c r="H511" s="197"/>
      <c r="I511" s="197">
        <v>1.0049999999999999</v>
      </c>
      <c r="J511" s="197">
        <v>1.0049999999999999</v>
      </c>
      <c r="K511" s="195">
        <f>'Imp Refined NYC'!M313</f>
        <v>26.290784234369873</v>
      </c>
      <c r="L511" s="195" t="e">
        <f>'Imp Refined NYC'!N313</f>
        <v>#REF!</v>
      </c>
      <c r="M511" s="195" t="e">
        <f>'Imp Refined NYC'!O313</f>
        <v>#REF!</v>
      </c>
      <c r="N511" s="195" t="e">
        <f>'Imp Refined NYC'!P313</f>
        <v>#REF!</v>
      </c>
      <c r="O511" s="195" t="e">
        <f>'Imp Refined NYC'!Q313</f>
        <v>#REF!</v>
      </c>
      <c r="P511" s="195" t="e">
        <f>'Imp Refined NYC'!R313</f>
        <v>#REF!</v>
      </c>
      <c r="Q511" s="195" t="e">
        <f>'Imp Refined NYC'!S313</f>
        <v>#REF!</v>
      </c>
      <c r="R511" s="195" t="e">
        <f>'Imp Refined NYC'!T313</f>
        <v>#REF!</v>
      </c>
      <c r="S511" s="195" t="e">
        <f>'Imp Refined NYC'!U313</f>
        <v>#REF!</v>
      </c>
      <c r="T511" s="195" t="e">
        <f>'Imp Refined NYC'!V313</f>
        <v>#REF!</v>
      </c>
      <c r="U511" s="187"/>
      <c r="V511" s="187">
        <f>'Imp Refined NYC'!AF313</f>
        <v>9.0969093294911985E-2</v>
      </c>
      <c r="W511" s="187">
        <f>'Imp Refined NYC'!AG313</f>
        <v>8.1449071903583747E-2</v>
      </c>
      <c r="X511" s="187">
        <f>'Imp Refined NYC'!AH313</f>
        <v>9.5200213913280263E-2</v>
      </c>
      <c r="Y511" s="187">
        <f>'Imp Refined NYC'!AI313</f>
        <v>0.1100091360775679</v>
      </c>
      <c r="Z511" s="187"/>
      <c r="AA511" s="187"/>
      <c r="AB511" s="187"/>
      <c r="AC511" s="187"/>
      <c r="AD511" s="187"/>
      <c r="AE511" s="187"/>
      <c r="AF511" s="195"/>
      <c r="AG511" s="197"/>
      <c r="AH511" s="197"/>
      <c r="BC511" s="147"/>
      <c r="BD511" s="147"/>
      <c r="BE511" s="147"/>
      <c r="BF511" s="147"/>
      <c r="BG511" s="147"/>
    </row>
    <row r="512" spans="2:59">
      <c r="B512" s="158" t="str">
        <f>Technologies!B$495</f>
        <v>*R0</v>
      </c>
      <c r="C512" s="158" t="str">
        <f>'Imp Refined NYC'!E314</f>
        <v>IMPMTHP54</v>
      </c>
      <c r="D512" s="158" t="str">
        <f>'Imp Refined NYC'!F314</f>
        <v>Imported Methanol, PADD 5, Step 4</v>
      </c>
      <c r="E512" s="197" t="str">
        <f>'Imp Refined NYC'!G314</f>
        <v>MTHP5</v>
      </c>
      <c r="F512" s="197"/>
      <c r="G512" s="187"/>
      <c r="H512" s="197"/>
      <c r="I512" s="197">
        <v>1.0049999999999999</v>
      </c>
      <c r="J512" s="197">
        <v>1.0049999999999999</v>
      </c>
      <c r="K512" s="195">
        <f>'Imp Refined NYC'!M314</f>
        <v>29.24179062802364</v>
      </c>
      <c r="L512" s="195" t="e">
        <f>'Imp Refined NYC'!N314</f>
        <v>#REF!</v>
      </c>
      <c r="M512" s="195" t="e">
        <f>'Imp Refined NYC'!O314</f>
        <v>#REF!</v>
      </c>
      <c r="N512" s="195" t="e">
        <f>'Imp Refined NYC'!P314</f>
        <v>#REF!</v>
      </c>
      <c r="O512" s="195" t="e">
        <f>'Imp Refined NYC'!Q314</f>
        <v>#REF!</v>
      </c>
      <c r="P512" s="195" t="e">
        <f>'Imp Refined NYC'!R314</f>
        <v>#REF!</v>
      </c>
      <c r="Q512" s="195" t="e">
        <f>'Imp Refined NYC'!S314</f>
        <v>#REF!</v>
      </c>
      <c r="R512" s="195" t="e">
        <f>'Imp Refined NYC'!T314</f>
        <v>#REF!</v>
      </c>
      <c r="S512" s="195" t="e">
        <f>'Imp Refined NYC'!U314</f>
        <v>#REF!</v>
      </c>
      <c r="T512" s="195" t="e">
        <f>'Imp Refined NYC'!V314</f>
        <v>#REF!</v>
      </c>
      <c r="U512" s="187"/>
      <c r="V512" s="187">
        <f>'Imp Refined NYC'!AF314</f>
        <v>0.18193818658982419</v>
      </c>
      <c r="W512" s="187">
        <f>'Imp Refined NYC'!AG314</f>
        <v>0.16289814380716783</v>
      </c>
      <c r="X512" s="187">
        <f>'Imp Refined NYC'!AH314</f>
        <v>0.19040042782656019</v>
      </c>
      <c r="Y512" s="187">
        <f>'Imp Refined NYC'!AI314</f>
        <v>0.22001827215513581</v>
      </c>
      <c r="Z512" s="187"/>
      <c r="AA512" s="187"/>
      <c r="AB512" s="187"/>
      <c r="AC512" s="187"/>
      <c r="AD512" s="187"/>
      <c r="AE512" s="187"/>
      <c r="AF512" s="195"/>
      <c r="AG512" s="197"/>
      <c r="AH512" s="197"/>
      <c r="BC512" s="147"/>
      <c r="BD512" s="147"/>
      <c r="BE512" s="147"/>
      <c r="BF512" s="147"/>
      <c r="BG512" s="147"/>
    </row>
    <row r="513" spans="2:59">
      <c r="B513" s="158" t="str">
        <f>Technologies!B$496</f>
        <v>*R0</v>
      </c>
      <c r="C513" s="158" t="str">
        <f>'Imp Refined NYC'!E315</f>
        <v>IMPMTHP55</v>
      </c>
      <c r="D513" s="158" t="str">
        <f>'Imp Refined NYC'!F315</f>
        <v>Imported Methanol, PADD 5, Step 5</v>
      </c>
      <c r="E513" s="197" t="str">
        <f>'Imp Refined NYC'!G315</f>
        <v>MTHP5</v>
      </c>
      <c r="F513" s="197"/>
      <c r="G513" s="187"/>
      <c r="H513" s="197"/>
      <c r="I513" s="197">
        <v>1.0049999999999999</v>
      </c>
      <c r="J513" s="197">
        <v>1.0049999999999999</v>
      </c>
      <c r="K513" s="195">
        <f>'Imp Refined NYC'!M315</f>
        <v>34.875530106817173</v>
      </c>
      <c r="L513" s="195" t="e">
        <f>'Imp Refined NYC'!N315</f>
        <v>#REF!</v>
      </c>
      <c r="M513" s="195" t="e">
        <f>'Imp Refined NYC'!O315</f>
        <v>#REF!</v>
      </c>
      <c r="N513" s="195" t="e">
        <f>'Imp Refined NYC'!P315</f>
        <v>#REF!</v>
      </c>
      <c r="O513" s="195" t="e">
        <f>'Imp Refined NYC'!Q315</f>
        <v>#REF!</v>
      </c>
      <c r="P513" s="195" t="e">
        <f>'Imp Refined NYC'!R315</f>
        <v>#REF!</v>
      </c>
      <c r="Q513" s="195" t="e">
        <f>'Imp Refined NYC'!S315</f>
        <v>#REF!</v>
      </c>
      <c r="R513" s="195" t="e">
        <f>'Imp Refined NYC'!T315</f>
        <v>#REF!</v>
      </c>
      <c r="S513" s="195" t="e">
        <f>'Imp Refined NYC'!U315</f>
        <v>#REF!</v>
      </c>
      <c r="T513" s="195" t="e">
        <f>'Imp Refined NYC'!V315</f>
        <v>#REF!</v>
      </c>
      <c r="U513" s="187"/>
      <c r="V513" s="187">
        <f>'Imp Refined NYC'!AF315</f>
        <v>0.72775274635929565</v>
      </c>
      <c r="W513" s="187">
        <f>'Imp Refined NYC'!AG315</f>
        <v>0.65159257522867209</v>
      </c>
      <c r="X513" s="187">
        <f>'Imp Refined NYC'!AH315</f>
        <v>0.76160171130623966</v>
      </c>
      <c r="Y513" s="187">
        <f>'Imp Refined NYC'!AI315</f>
        <v>0.88007308862054412</v>
      </c>
      <c r="Z513" s="187"/>
      <c r="AA513" s="187"/>
      <c r="AB513" s="187"/>
      <c r="AC513" s="187"/>
      <c r="AD513" s="187"/>
      <c r="AE513" s="187"/>
      <c r="AF513" s="195"/>
      <c r="AG513" s="197"/>
      <c r="AH513" s="197"/>
      <c r="BC513" s="147"/>
      <c r="BD513" s="147"/>
      <c r="BE513" s="147"/>
      <c r="BF513" s="147"/>
      <c r="BG513" s="147"/>
    </row>
    <row r="514" spans="2:59">
      <c r="B514" s="158" t="str">
        <f>Technologies!B$497</f>
        <v>*R0</v>
      </c>
      <c r="C514" s="158" t="str">
        <f>'Imp Refined NYC'!E316</f>
        <v>IMPDSUP53</v>
      </c>
      <c r="D514" s="158" t="str">
        <f>'Imp Refined NYC'!F316</f>
        <v>Imported Distillate-Ultralow Sulfur Highway Diesel (15 ppm), PADD 5, Step 3</v>
      </c>
      <c r="E514" s="197" t="str">
        <f>'Imp Refined NYC'!G316</f>
        <v>DSUP5</v>
      </c>
      <c r="F514" s="197"/>
      <c r="G514" s="187"/>
      <c r="H514" s="197"/>
      <c r="I514" s="197">
        <v>1.0049999999999999</v>
      </c>
      <c r="J514" s="197">
        <v>1.0049999999999999</v>
      </c>
      <c r="K514" s="195">
        <f>'Imp Refined NYC'!M316</f>
        <v>13.622798008113806</v>
      </c>
      <c r="L514" s="195" t="e">
        <f>'Imp Refined NYC'!N316</f>
        <v>#REF!</v>
      </c>
      <c r="M514" s="195" t="e">
        <f>'Imp Refined NYC'!O316</f>
        <v>#REF!</v>
      </c>
      <c r="N514" s="195" t="e">
        <f>'Imp Refined NYC'!P316</f>
        <v>#REF!</v>
      </c>
      <c r="O514" s="195" t="e">
        <f>'Imp Refined NYC'!Q316</f>
        <v>#REF!</v>
      </c>
      <c r="P514" s="195" t="e">
        <f>'Imp Refined NYC'!R316</f>
        <v>#REF!</v>
      </c>
      <c r="Q514" s="195" t="e">
        <f>'Imp Refined NYC'!S316</f>
        <v>#REF!</v>
      </c>
      <c r="R514" s="195" t="e">
        <f>'Imp Refined NYC'!T316</f>
        <v>#REF!</v>
      </c>
      <c r="S514" s="195" t="e">
        <f>'Imp Refined NYC'!U316</f>
        <v>#REF!</v>
      </c>
      <c r="T514" s="195" t="e">
        <f>'Imp Refined NYC'!V316</f>
        <v>#REF!</v>
      </c>
      <c r="U514" s="187"/>
      <c r="V514" s="187">
        <f>'Imp Refined NYC'!AF316</f>
        <v>0.97578370802999892</v>
      </c>
      <c r="W514" s="187">
        <f>'Imp Refined NYC'!AG316</f>
        <v>3.2481259982240012</v>
      </c>
      <c r="X514" s="187">
        <f>'Imp Refined NYC'!AH316</f>
        <v>3.8560280324220031</v>
      </c>
      <c r="Y514" s="187">
        <f>'Imp Refined NYC'!AI316</f>
        <v>4.580575475395996</v>
      </c>
      <c r="Z514" s="187"/>
      <c r="AA514" s="187"/>
      <c r="AB514" s="187"/>
      <c r="AC514" s="187"/>
      <c r="AD514" s="187"/>
      <c r="AE514" s="187"/>
      <c r="AF514" s="195"/>
      <c r="AG514" s="197"/>
      <c r="AH514" s="197"/>
      <c r="BC514" s="147"/>
      <c r="BD514" s="147"/>
      <c r="BE514" s="147"/>
      <c r="BF514" s="147"/>
      <c r="BG514" s="147"/>
    </row>
    <row r="515" spans="2:59">
      <c r="B515" s="158" t="str">
        <f>Technologies!B$498</f>
        <v>*R0</v>
      </c>
      <c r="C515" s="158" t="str">
        <f>'Imp Refined NYC'!E317</f>
        <v>IMPDSUP51</v>
      </c>
      <c r="D515" s="158" t="str">
        <f>'Imp Refined NYC'!F317</f>
        <v>Imported Distillate-Ultralow Sulfur Highway Diesel (15 ppm), PADD 5, Step 1</v>
      </c>
      <c r="E515" s="197" t="str">
        <f>'Imp Refined NYC'!G317</f>
        <v>DSUP5</v>
      </c>
      <c r="F515" s="197"/>
      <c r="G515" s="187"/>
      <c r="H515" s="197"/>
      <c r="I515" s="197">
        <v>1.0049999999999999</v>
      </c>
      <c r="J515" s="197">
        <v>1.0049999999999999</v>
      </c>
      <c r="K515" s="195">
        <f>'Imp Refined NYC'!M317</f>
        <v>12.941658107708117</v>
      </c>
      <c r="L515" s="195" t="e">
        <f>'Imp Refined NYC'!N317</f>
        <v>#REF!</v>
      </c>
      <c r="M515" s="195" t="e">
        <f>'Imp Refined NYC'!O317</f>
        <v>#REF!</v>
      </c>
      <c r="N515" s="195" t="e">
        <f>'Imp Refined NYC'!P317</f>
        <v>#REF!</v>
      </c>
      <c r="O515" s="195" t="e">
        <f>'Imp Refined NYC'!Q317</f>
        <v>#REF!</v>
      </c>
      <c r="P515" s="195" t="e">
        <f>'Imp Refined NYC'!R317</f>
        <v>#REF!</v>
      </c>
      <c r="Q515" s="195" t="e">
        <f>'Imp Refined NYC'!S317</f>
        <v>#REF!</v>
      </c>
      <c r="R515" s="195" t="e">
        <f>'Imp Refined NYC'!T317</f>
        <v>#REF!</v>
      </c>
      <c r="S515" s="195" t="e">
        <f>'Imp Refined NYC'!U317</f>
        <v>#REF!</v>
      </c>
      <c r="T515" s="195" t="e">
        <f>'Imp Refined NYC'!V317</f>
        <v>#REF!</v>
      </c>
      <c r="U515" s="187"/>
      <c r="V515" s="187">
        <f>'Imp Refined NYC'!AF317</f>
        <v>7.8062696642399994</v>
      </c>
      <c r="W515" s="187">
        <f>'Imp Refined NYC'!AG317</f>
        <v>25.985007985792006</v>
      </c>
      <c r="X515" s="187">
        <f>'Imp Refined NYC'!AH317</f>
        <v>30.848224259376003</v>
      </c>
      <c r="Y515" s="187">
        <f>'Imp Refined NYC'!AI317</f>
        <v>36.644603803168003</v>
      </c>
      <c r="Z515" s="187"/>
      <c r="AA515" s="187"/>
      <c r="AB515" s="187"/>
      <c r="AC515" s="187"/>
      <c r="AD515" s="187"/>
      <c r="AE515" s="187"/>
      <c r="AF515" s="195"/>
      <c r="AG515" s="197"/>
      <c r="AH515" s="197"/>
      <c r="BC515" s="147"/>
      <c r="BD515" s="147"/>
      <c r="BE515" s="147"/>
      <c r="BF515" s="147"/>
      <c r="BG515" s="147"/>
    </row>
    <row r="516" spans="2:59">
      <c r="B516" s="158" t="str">
        <f>Technologies!B$499</f>
        <v>*R0</v>
      </c>
      <c r="C516" s="158" t="str">
        <f>'Imp Refined NYC'!E318</f>
        <v>IMPDSUP52</v>
      </c>
      <c r="D516" s="158" t="str">
        <f>'Imp Refined NYC'!F318</f>
        <v>Imported Distillate-Ultralow Sulfur Highway Diesel (15 ppm), PADD 5, Step 2</v>
      </c>
      <c r="E516" s="197" t="str">
        <f>'Imp Refined NYC'!G318</f>
        <v>DSUP5</v>
      </c>
      <c r="F516" s="197"/>
      <c r="G516" s="187"/>
      <c r="H516" s="197"/>
      <c r="I516" s="197">
        <v>1.0049999999999999</v>
      </c>
      <c r="J516" s="197">
        <v>1.0049999999999999</v>
      </c>
      <c r="K516" s="195">
        <f>'Imp Refined NYC'!M318</f>
        <v>13.350342047951532</v>
      </c>
      <c r="L516" s="195" t="e">
        <f>'Imp Refined NYC'!N318</f>
        <v>#REF!</v>
      </c>
      <c r="M516" s="195" t="e">
        <f>'Imp Refined NYC'!O318</f>
        <v>#REF!</v>
      </c>
      <c r="N516" s="195" t="e">
        <f>'Imp Refined NYC'!P318</f>
        <v>#REF!</v>
      </c>
      <c r="O516" s="195" t="e">
        <f>'Imp Refined NYC'!Q318</f>
        <v>#REF!</v>
      </c>
      <c r="P516" s="195" t="e">
        <f>'Imp Refined NYC'!R318</f>
        <v>#REF!</v>
      </c>
      <c r="Q516" s="195" t="e">
        <f>'Imp Refined NYC'!S318</f>
        <v>#REF!</v>
      </c>
      <c r="R516" s="195" t="e">
        <f>'Imp Refined NYC'!T318</f>
        <v>#REF!</v>
      </c>
      <c r="S516" s="195" t="e">
        <f>'Imp Refined NYC'!U318</f>
        <v>#REF!</v>
      </c>
      <c r="T516" s="195" t="e">
        <f>'Imp Refined NYC'!V318</f>
        <v>#REF!</v>
      </c>
      <c r="U516" s="187"/>
      <c r="V516" s="187">
        <f>'Imp Refined NYC'!AF318</f>
        <v>0.97578370802999981</v>
      </c>
      <c r="W516" s="187">
        <f>'Imp Refined NYC'!AG318</f>
        <v>3.2481259982239905</v>
      </c>
      <c r="X516" s="187">
        <f>'Imp Refined NYC'!AH318</f>
        <v>3.856028032421996</v>
      </c>
      <c r="Y516" s="187">
        <f>'Imp Refined NYC'!AI318</f>
        <v>4.5805754753960031</v>
      </c>
      <c r="Z516" s="187"/>
      <c r="AA516" s="187"/>
      <c r="AB516" s="187"/>
      <c r="AC516" s="187"/>
      <c r="AD516" s="187"/>
      <c r="AE516" s="187"/>
      <c r="AF516" s="195"/>
      <c r="AG516" s="197"/>
      <c r="AH516" s="197"/>
      <c r="BC516" s="147"/>
      <c r="BD516" s="147"/>
      <c r="BE516" s="147"/>
      <c r="BF516" s="147"/>
      <c r="BG516" s="147"/>
    </row>
    <row r="517" spans="2:59">
      <c r="B517" s="158" t="str">
        <f>Technologies!B$500</f>
        <v>*R0</v>
      </c>
      <c r="C517" s="158" t="str">
        <f>'Imp Refined NYC'!E319</f>
        <v>IMPDSUP54</v>
      </c>
      <c r="D517" s="158" t="str">
        <f>'Imp Refined NYC'!F319</f>
        <v>Imported Distillate-Ultralow Sulfur Highway Diesel (15 ppm), PADD 5, Step 4</v>
      </c>
      <c r="E517" s="197" t="str">
        <f>'Imp Refined NYC'!G319</f>
        <v>DSUP5</v>
      </c>
      <c r="F517" s="197"/>
      <c r="G517" s="187"/>
      <c r="H517" s="197"/>
      <c r="I517" s="197">
        <v>1.0049999999999999</v>
      </c>
      <c r="J517" s="197">
        <v>1.0049999999999999</v>
      </c>
      <c r="K517" s="195">
        <f>'Imp Refined NYC'!M319</f>
        <v>14.848849828844047</v>
      </c>
      <c r="L517" s="195" t="e">
        <f>'Imp Refined NYC'!N319</f>
        <v>#REF!</v>
      </c>
      <c r="M517" s="195" t="e">
        <f>'Imp Refined NYC'!O319</f>
        <v>#REF!</v>
      </c>
      <c r="N517" s="195" t="e">
        <f>'Imp Refined NYC'!P319</f>
        <v>#REF!</v>
      </c>
      <c r="O517" s="195" t="e">
        <f>'Imp Refined NYC'!Q319</f>
        <v>#REF!</v>
      </c>
      <c r="P517" s="195" t="e">
        <f>'Imp Refined NYC'!R319</f>
        <v>#REF!</v>
      </c>
      <c r="Q517" s="195" t="e">
        <f>'Imp Refined NYC'!S319</f>
        <v>#REF!</v>
      </c>
      <c r="R517" s="195" t="e">
        <f>'Imp Refined NYC'!T319</f>
        <v>#REF!</v>
      </c>
      <c r="S517" s="195" t="e">
        <f>'Imp Refined NYC'!U319</f>
        <v>#REF!</v>
      </c>
      <c r="T517" s="195" t="e">
        <f>'Imp Refined NYC'!V319</f>
        <v>#REF!</v>
      </c>
      <c r="U517" s="187"/>
      <c r="V517" s="187">
        <f>'Imp Refined NYC'!AF319</f>
        <v>1.9515674160600014</v>
      </c>
      <c r="W517" s="187">
        <f>'Imp Refined NYC'!AG319</f>
        <v>6.4962519964480023</v>
      </c>
      <c r="X517" s="187">
        <f>'Imp Refined NYC'!AH319</f>
        <v>7.712056064843992</v>
      </c>
      <c r="Y517" s="187">
        <f>'Imp Refined NYC'!AI319</f>
        <v>9.1611509507919919</v>
      </c>
      <c r="Z517" s="187"/>
      <c r="AA517" s="187"/>
      <c r="AB517" s="187"/>
      <c r="AC517" s="187"/>
      <c r="AD517" s="187"/>
      <c r="AE517" s="187"/>
      <c r="AF517" s="195"/>
      <c r="AG517" s="197"/>
      <c r="AH517" s="197"/>
      <c r="BC517" s="147"/>
      <c r="BD517" s="147"/>
      <c r="BE517" s="147"/>
      <c r="BF517" s="147"/>
      <c r="BG517" s="147"/>
    </row>
    <row r="518" spans="2:59">
      <c r="B518" s="158" t="str">
        <f>Technologies!B$501</f>
        <v>*R0</v>
      </c>
      <c r="C518" s="158" t="str">
        <f>'Imp Refined NYC'!E320</f>
        <v>IMPDSUP55</v>
      </c>
      <c r="D518" s="158" t="str">
        <f>'Imp Refined NYC'!F320</f>
        <v>Imported Distillate-Ultralow Sulfur Highway Diesel (15 ppm), PADD 5, Step 5</v>
      </c>
      <c r="E518" s="197" t="str">
        <f>'Imp Refined NYC'!G320</f>
        <v>DSUP5</v>
      </c>
      <c r="F518" s="197"/>
      <c r="G518" s="187"/>
      <c r="H518" s="197"/>
      <c r="I518" s="197">
        <v>1.0049999999999999</v>
      </c>
      <c r="J518" s="197">
        <v>1.0049999999999999</v>
      </c>
      <c r="K518" s="195">
        <f>'Imp Refined NYC'!M320</f>
        <v>17.709637410547948</v>
      </c>
      <c r="L518" s="195" t="e">
        <f>'Imp Refined NYC'!N320</f>
        <v>#REF!</v>
      </c>
      <c r="M518" s="195" t="e">
        <f>'Imp Refined NYC'!O320</f>
        <v>#REF!</v>
      </c>
      <c r="N518" s="195" t="e">
        <f>'Imp Refined NYC'!P320</f>
        <v>#REF!</v>
      </c>
      <c r="O518" s="195" t="e">
        <f>'Imp Refined NYC'!Q320</f>
        <v>#REF!</v>
      </c>
      <c r="P518" s="195" t="e">
        <f>'Imp Refined NYC'!R320</f>
        <v>#REF!</v>
      </c>
      <c r="Q518" s="195" t="e">
        <f>'Imp Refined NYC'!S320</f>
        <v>#REF!</v>
      </c>
      <c r="R518" s="195" t="e">
        <f>'Imp Refined NYC'!T320</f>
        <v>#REF!</v>
      </c>
      <c r="S518" s="195" t="e">
        <f>'Imp Refined NYC'!U320</f>
        <v>#REF!</v>
      </c>
      <c r="T518" s="195" t="e">
        <f>'Imp Refined NYC'!V320</f>
        <v>#REF!</v>
      </c>
      <c r="U518" s="187"/>
      <c r="V518" s="187">
        <f>'Imp Refined NYC'!AF320</f>
        <v>7.8062696642399967</v>
      </c>
      <c r="W518" s="187">
        <f>'Imp Refined NYC'!AG320</f>
        <v>25.985007985791995</v>
      </c>
      <c r="X518" s="187">
        <f>'Imp Refined NYC'!AH320</f>
        <v>30.848224259376011</v>
      </c>
      <c r="Y518" s="187">
        <f>'Imp Refined NYC'!AI320</f>
        <v>36.64460380316801</v>
      </c>
      <c r="Z518" s="187"/>
      <c r="AA518" s="187"/>
      <c r="AB518" s="187"/>
      <c r="AC518" s="187"/>
      <c r="AD518" s="187"/>
      <c r="AE518" s="187"/>
      <c r="AF518" s="195"/>
      <c r="AG518" s="197"/>
      <c r="AH518" s="197"/>
      <c r="BC518" s="147"/>
      <c r="BD518" s="147"/>
      <c r="BE518" s="147"/>
      <c r="BF518" s="147"/>
      <c r="BG518" s="147"/>
    </row>
    <row r="519" spans="2:59">
      <c r="B519" s="181" t="s">
        <v>399</v>
      </c>
      <c r="C519" s="181"/>
      <c r="D519" s="181"/>
      <c r="E519" s="180"/>
      <c r="F519" s="197"/>
      <c r="G519" s="197"/>
      <c r="H519" s="197"/>
      <c r="I519" s="197"/>
      <c r="J519" s="197"/>
      <c r="K519" s="197"/>
      <c r="L519" s="197"/>
      <c r="M519" s="197"/>
      <c r="N519" s="197"/>
      <c r="O519" s="197"/>
      <c r="P519" s="197"/>
      <c r="Q519" s="197"/>
      <c r="R519" s="197"/>
      <c r="S519" s="197"/>
      <c r="T519" s="197"/>
      <c r="U519" s="197"/>
      <c r="V519" s="197"/>
      <c r="W519" s="197"/>
      <c r="X519" s="197"/>
      <c r="Y519" s="197"/>
      <c r="Z519" s="197"/>
      <c r="AA519" s="197"/>
      <c r="AB519" s="197"/>
      <c r="AC519" s="197"/>
      <c r="AD519" s="197"/>
      <c r="AE519" s="197"/>
      <c r="AF519" s="197"/>
      <c r="AG519" s="197"/>
      <c r="AH519" s="197"/>
      <c r="BC519" s="147"/>
      <c r="BD519" s="147"/>
      <c r="BE519" s="147"/>
      <c r="BF519" s="147"/>
      <c r="BG519" s="147"/>
    </row>
    <row r="520" spans="2:59">
      <c r="B520" s="158" t="str">
        <f>Technologies!B$503</f>
        <v>*R0</v>
      </c>
      <c r="C520" s="158" t="s">
        <v>347</v>
      </c>
      <c r="D520" s="158" t="s">
        <v>348</v>
      </c>
      <c r="E520" s="197" t="s">
        <v>284</v>
      </c>
      <c r="F520" s="197"/>
      <c r="G520" s="187">
        <v>185.72766324966378</v>
      </c>
      <c r="H520" s="197"/>
      <c r="I520" s="197">
        <v>1.0049999999999999</v>
      </c>
      <c r="J520" s="197">
        <v>1.0049999999999999</v>
      </c>
      <c r="K520" s="195">
        <v>4.3296266191039834</v>
      </c>
      <c r="L520" s="195">
        <v>4.9195943708927601</v>
      </c>
      <c r="M520" s="195">
        <v>5.421169796833289</v>
      </c>
      <c r="N520" s="195">
        <v>5.8840374404939704</v>
      </c>
      <c r="O520" s="195">
        <v>6.242616782996925</v>
      </c>
      <c r="P520" s="195">
        <v>6.5341684248042124</v>
      </c>
      <c r="Q520" s="185">
        <v>6.4651285992288301</v>
      </c>
      <c r="R520" s="185">
        <v>6.8443598976039555</v>
      </c>
      <c r="S520" s="185">
        <v>6.7720425983265224</v>
      </c>
      <c r="T520" s="185">
        <v>7.1692768478542677</v>
      </c>
      <c r="U520" s="187"/>
      <c r="V520" s="187"/>
      <c r="W520" s="187"/>
      <c r="X520" s="187"/>
      <c r="Y520" s="187"/>
      <c r="Z520" s="187"/>
      <c r="AA520" s="187"/>
      <c r="AB520" s="187"/>
      <c r="AC520" s="195"/>
      <c r="AD520" s="195"/>
      <c r="AE520" s="195"/>
      <c r="AF520" s="195"/>
      <c r="AG520" s="197"/>
      <c r="AH520" s="197"/>
      <c r="BC520" s="147"/>
      <c r="BD520" s="147"/>
      <c r="BE520" s="147"/>
      <c r="BF520" s="147"/>
      <c r="BG520" s="147"/>
    </row>
    <row r="521" spans="2:59">
      <c r="B521" s="158" t="str">
        <f>Technologies!B$504</f>
        <v>*R0</v>
      </c>
      <c r="C521" s="158" t="s">
        <v>349</v>
      </c>
      <c r="D521" s="158" t="s">
        <v>350</v>
      </c>
      <c r="E521" s="197" t="s">
        <v>286</v>
      </c>
      <c r="F521" s="197"/>
      <c r="G521" s="187">
        <v>22.317053135393639</v>
      </c>
      <c r="H521" s="197"/>
      <c r="I521" s="197">
        <v>1.0049999999999999</v>
      </c>
      <c r="J521" s="197">
        <v>1.0049999999999999</v>
      </c>
      <c r="K521" s="195">
        <v>4.3296266191039834</v>
      </c>
      <c r="L521" s="195">
        <v>4.9195943708927601</v>
      </c>
      <c r="M521" s="195">
        <v>5.421169796833289</v>
      </c>
      <c r="N521" s="195">
        <v>5.8840374404939704</v>
      </c>
      <c r="O521" s="195">
        <v>6.242616782996925</v>
      </c>
      <c r="P521" s="195">
        <v>6.5341684248042124</v>
      </c>
      <c r="Q521" s="195">
        <v>6.4651285992288301</v>
      </c>
      <c r="R521" s="195">
        <v>6.8443598976039555</v>
      </c>
      <c r="S521" s="195">
        <v>6.7720425983265224</v>
      </c>
      <c r="T521" s="195">
        <v>7.1692768478542677</v>
      </c>
      <c r="U521" s="187"/>
      <c r="V521" s="187"/>
      <c r="W521" s="187"/>
      <c r="X521" s="187"/>
      <c r="Y521" s="187"/>
      <c r="Z521" s="187"/>
      <c r="AA521" s="187"/>
      <c r="AB521" s="187"/>
      <c r="AC521" s="195"/>
      <c r="AD521" s="195"/>
      <c r="AE521" s="195"/>
      <c r="AF521" s="195"/>
      <c r="AG521" s="197"/>
      <c r="AH521" s="197"/>
      <c r="BC521" s="147"/>
      <c r="BD521" s="147"/>
      <c r="BE521" s="147"/>
      <c r="BF521" s="147"/>
      <c r="BG521" s="147"/>
    </row>
    <row r="522" spans="2:59">
      <c r="B522" s="158" t="str">
        <f>Technologies!B$505</f>
        <v>*R0</v>
      </c>
      <c r="C522" s="158" t="s">
        <v>351</v>
      </c>
      <c r="D522" s="158" t="s">
        <v>352</v>
      </c>
      <c r="E522" s="197" t="s">
        <v>288</v>
      </c>
      <c r="F522" s="197"/>
      <c r="G522" s="187">
        <v>5.8622387872684278</v>
      </c>
      <c r="H522" s="197"/>
      <c r="I522" s="197">
        <v>1.0049999999999999</v>
      </c>
      <c r="J522" s="197">
        <v>1.0049999999999999</v>
      </c>
      <c r="K522" s="195">
        <v>4.3296266191039834</v>
      </c>
      <c r="L522" s="195">
        <v>4.9195943708927601</v>
      </c>
      <c r="M522" s="195">
        <v>5.421169796833289</v>
      </c>
      <c r="N522" s="195">
        <v>5.8840374404939704</v>
      </c>
      <c r="O522" s="195">
        <v>6.242616782996925</v>
      </c>
      <c r="P522" s="195">
        <v>6.5341684248042124</v>
      </c>
      <c r="Q522" s="195">
        <v>6.4651285992288301</v>
      </c>
      <c r="R522" s="195">
        <v>6.8443598976039555</v>
      </c>
      <c r="S522" s="195">
        <v>6.7720425983265224</v>
      </c>
      <c r="T522" s="195">
        <v>7.1692768478542677</v>
      </c>
      <c r="U522" s="187"/>
      <c r="V522" s="187"/>
      <c r="W522" s="187"/>
      <c r="X522" s="187"/>
      <c r="Y522" s="187"/>
      <c r="Z522" s="187"/>
      <c r="AA522" s="187"/>
      <c r="AB522" s="187"/>
      <c r="AC522" s="195"/>
      <c r="AD522" s="195"/>
      <c r="AE522" s="195"/>
      <c r="AF522" s="195"/>
      <c r="AG522" s="197"/>
      <c r="AH522" s="197"/>
      <c r="BC522" s="147"/>
      <c r="BD522" s="147"/>
      <c r="BE522" s="147"/>
      <c r="BF522" s="147"/>
      <c r="BG522" s="147"/>
    </row>
    <row r="523" spans="2:59">
      <c r="B523" s="158" t="str">
        <f>Technologies!B$506</f>
        <v>*R0</v>
      </c>
      <c r="C523" s="158" t="s">
        <v>353</v>
      </c>
      <c r="D523" s="158" t="s">
        <v>400</v>
      </c>
      <c r="E523" s="197" t="s">
        <v>290</v>
      </c>
      <c r="F523" s="197"/>
      <c r="G523" s="187">
        <v>13.698266906849616</v>
      </c>
      <c r="H523" s="197"/>
      <c r="I523" s="197">
        <v>1.0049999999999999</v>
      </c>
      <c r="J523" s="197">
        <v>1.0049999999999999</v>
      </c>
      <c r="K523" s="195">
        <v>4.3296266191039834</v>
      </c>
      <c r="L523" s="195">
        <v>4.9195943708927601</v>
      </c>
      <c r="M523" s="195">
        <v>5.421169796833289</v>
      </c>
      <c r="N523" s="195">
        <v>5.8840374404939704</v>
      </c>
      <c r="O523" s="195">
        <v>6.242616782996925</v>
      </c>
      <c r="P523" s="195">
        <v>6.5341684248042124</v>
      </c>
      <c r="Q523" s="195">
        <v>6.4651285992288301</v>
      </c>
      <c r="R523" s="195">
        <v>6.8443598976039555</v>
      </c>
      <c r="S523" s="195">
        <v>6.7720425983265224</v>
      </c>
      <c r="T523" s="195">
        <v>7.1692768478542677</v>
      </c>
      <c r="U523" s="187"/>
      <c r="V523" s="187"/>
      <c r="W523" s="187"/>
      <c r="X523" s="187"/>
      <c r="Y523" s="187"/>
      <c r="Z523" s="187"/>
      <c r="AA523" s="187"/>
      <c r="AB523" s="187"/>
      <c r="AC523" s="195"/>
      <c r="AD523" s="195"/>
      <c r="AE523" s="195"/>
      <c r="AF523" s="195"/>
      <c r="AG523" s="197"/>
      <c r="AH523" s="197"/>
      <c r="BC523" s="147"/>
      <c r="BD523" s="147"/>
      <c r="BE523" s="147"/>
      <c r="BF523" s="147"/>
      <c r="BG523" s="147"/>
    </row>
    <row r="524" spans="2:59">
      <c r="B524" s="158" t="str">
        <f>Technologies!B$507</f>
        <v>*R0</v>
      </c>
      <c r="C524" s="158" t="s">
        <v>354</v>
      </c>
      <c r="D524" s="158" t="s">
        <v>401</v>
      </c>
      <c r="E524" s="197" t="s">
        <v>292</v>
      </c>
      <c r="F524" s="197"/>
      <c r="G524" s="187">
        <v>10.550340411092602</v>
      </c>
      <c r="H524" s="197"/>
      <c r="I524" s="197">
        <v>1.0049999999999999</v>
      </c>
      <c r="J524" s="197">
        <v>1.0049999999999999</v>
      </c>
      <c r="K524" s="195">
        <v>4.3296266191039834</v>
      </c>
      <c r="L524" s="195">
        <v>4.9195943708927601</v>
      </c>
      <c r="M524" s="195">
        <v>5.421169796833289</v>
      </c>
      <c r="N524" s="195">
        <v>5.8840374404939704</v>
      </c>
      <c r="O524" s="195">
        <v>6.242616782996925</v>
      </c>
      <c r="P524" s="195">
        <v>6.5341684248042124</v>
      </c>
      <c r="Q524" s="195">
        <v>6.4651285992288301</v>
      </c>
      <c r="R524" s="195">
        <v>6.8443598976039555</v>
      </c>
      <c r="S524" s="195">
        <v>6.7720425983265224</v>
      </c>
      <c r="T524" s="195">
        <v>7.1692768478542677</v>
      </c>
      <c r="U524" s="187"/>
      <c r="V524" s="187"/>
      <c r="W524" s="187"/>
      <c r="X524" s="187"/>
      <c r="Y524" s="187"/>
      <c r="Z524" s="187"/>
      <c r="AA524" s="187"/>
      <c r="AB524" s="187"/>
      <c r="AC524" s="195"/>
      <c r="AD524" s="195"/>
      <c r="AE524" s="195"/>
      <c r="AF524" s="195"/>
      <c r="AG524" s="197"/>
      <c r="AH524" s="197"/>
      <c r="BC524" s="147"/>
      <c r="BD524" s="147"/>
      <c r="BE524" s="147"/>
      <c r="BF524" s="147"/>
      <c r="BG524" s="147"/>
    </row>
  </sheetData>
  <phoneticPr fontId="0" type="noConversion"/>
  <pageMargins left="0.75" right="0.75" top="1" bottom="1" header="0.5" footer="0.5"/>
  <pageSetup paperSize="9" orientation="landscape" horizont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24146-DE29-42F7-9024-73F1696395E7}">
  <dimension ref="A1"/>
  <sheetViews>
    <sheetView workbookViewId="0"/>
  </sheetViews>
  <sheetFormatPr defaultRowHeight="12.7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FFC000"/>
  </sheetPr>
  <dimension ref="B1:O380"/>
  <sheetViews>
    <sheetView zoomScale="80" zoomScaleNormal="80" workbookViewId="0">
      <pane xSplit="4" ySplit="7" topLeftCell="E8" activePane="bottomRight" state="frozen"/>
      <selection activeCell="N56" sqref="N56"/>
      <selection pane="topRight" activeCell="N56" sqref="N56"/>
      <selection pane="bottomLeft" activeCell="N56" sqref="N56"/>
      <selection pane="bottomRight" activeCell="A6" sqref="A6:XFD6"/>
    </sheetView>
  </sheetViews>
  <sheetFormatPr defaultColWidth="9.140625" defaultRowHeight="12.75"/>
  <cols>
    <col min="1" max="1" width="9.140625" style="148"/>
    <col min="2" max="2" width="24" style="148" customWidth="1"/>
    <col min="3" max="3" width="12.28515625" style="148" customWidth="1"/>
    <col min="4" max="4" width="67.42578125" style="148" customWidth="1"/>
    <col min="5" max="5" width="10.28515625" style="148" customWidth="1"/>
    <col min="6" max="6" width="29.7109375" style="149" customWidth="1"/>
    <col min="7" max="7" width="27.42578125" style="148" customWidth="1"/>
    <col min="8" max="16384" width="9.140625" style="148"/>
  </cols>
  <sheetData>
    <row r="1" spans="2:15">
      <c r="B1" s="146" t="s">
        <v>192</v>
      </c>
      <c r="C1" s="147" t="s">
        <v>974</v>
      </c>
    </row>
    <row r="4" spans="2:15" ht="17.25" customHeight="1"/>
    <row r="5" spans="2:15" ht="17.25" customHeight="1">
      <c r="D5" s="150"/>
    </row>
    <row r="6" spans="2:15" customFormat="1" ht="15.75" customHeight="1">
      <c r="B6" s="152"/>
    </row>
    <row r="7" spans="2:15" customFormat="1">
      <c r="B7" s="153" t="s">
        <v>541</v>
      </c>
      <c r="C7" s="153" t="s">
        <v>185</v>
      </c>
      <c r="D7" s="153" t="s">
        <v>186</v>
      </c>
      <c r="E7" s="153" t="s">
        <v>1111</v>
      </c>
      <c r="F7" s="153" t="s">
        <v>1112</v>
      </c>
      <c r="G7" s="153" t="s">
        <v>1113</v>
      </c>
      <c r="H7" s="153" t="s">
        <v>1114</v>
      </c>
      <c r="I7" s="153" t="s">
        <v>1115</v>
      </c>
      <c r="J7" s="153" t="s">
        <v>1116</v>
      </c>
      <c r="O7" t="s">
        <v>184</v>
      </c>
    </row>
    <row r="8" spans="2:15">
      <c r="B8" s="154" t="s">
        <v>193</v>
      </c>
      <c r="C8" s="155"/>
      <c r="D8" s="154"/>
      <c r="E8" s="154"/>
      <c r="F8" s="156"/>
      <c r="G8" s="154"/>
      <c r="H8" s="157"/>
      <c r="I8" s="157"/>
      <c r="J8" s="157"/>
    </row>
    <row r="9" spans="2:15" s="151" customFormat="1">
      <c r="B9" s="158" t="s">
        <v>1095</v>
      </c>
      <c r="C9" s="158" t="s">
        <v>194</v>
      </c>
      <c r="D9" s="158" t="s">
        <v>195</v>
      </c>
      <c r="E9" s="158" t="s">
        <v>196</v>
      </c>
      <c r="F9" s="158" t="s">
        <v>1117</v>
      </c>
      <c r="G9" s="159"/>
      <c r="H9" s="159"/>
      <c r="I9" s="159"/>
      <c r="J9" s="159"/>
    </row>
    <row r="10" spans="2:15" s="151" customFormat="1">
      <c r="B10" s="158" t="s">
        <v>251</v>
      </c>
      <c r="C10" s="158" t="s">
        <v>198</v>
      </c>
      <c r="D10" s="158" t="s">
        <v>199</v>
      </c>
      <c r="E10" s="158" t="s">
        <v>196</v>
      </c>
      <c r="F10" s="158"/>
      <c r="G10" s="159"/>
      <c r="H10" s="159"/>
      <c r="I10" s="159"/>
      <c r="J10" s="159"/>
    </row>
    <row r="11" spans="2:15" s="151" customFormat="1">
      <c r="B11" s="158" t="s">
        <v>251</v>
      </c>
      <c r="C11" s="158" t="s">
        <v>1043</v>
      </c>
      <c r="D11" s="158" t="s">
        <v>1044</v>
      </c>
      <c r="E11" s="158" t="s">
        <v>196</v>
      </c>
      <c r="F11" s="158"/>
      <c r="G11" s="159"/>
      <c r="H11" s="159"/>
      <c r="I11" s="159"/>
      <c r="J11" s="159"/>
    </row>
    <row r="12" spans="2:15" s="151" customFormat="1">
      <c r="B12" s="158" t="s">
        <v>1084</v>
      </c>
      <c r="C12" s="158" t="s">
        <v>674</v>
      </c>
      <c r="D12" s="158" t="s">
        <v>732</v>
      </c>
      <c r="E12" s="158" t="s">
        <v>196</v>
      </c>
      <c r="F12" s="158"/>
      <c r="G12" s="159"/>
      <c r="H12" s="159"/>
      <c r="I12" s="159"/>
      <c r="J12" s="159"/>
    </row>
    <row r="13" spans="2:15" s="151" customFormat="1">
      <c r="B13" s="158" t="s">
        <v>1084</v>
      </c>
      <c r="C13" s="158" t="s">
        <v>675</v>
      </c>
      <c r="D13" s="158" t="s">
        <v>733</v>
      </c>
      <c r="E13" s="158" t="s">
        <v>196</v>
      </c>
      <c r="F13" s="158"/>
      <c r="G13" s="159"/>
      <c r="H13" s="159"/>
      <c r="I13" s="159"/>
      <c r="J13" s="159"/>
    </row>
    <row r="14" spans="2:15" s="151" customFormat="1">
      <c r="B14" s="158" t="s">
        <v>1084</v>
      </c>
      <c r="C14" s="158" t="s">
        <v>676</v>
      </c>
      <c r="D14" s="158" t="s">
        <v>734</v>
      </c>
      <c r="E14" s="158" t="s">
        <v>196</v>
      </c>
      <c r="F14" s="158"/>
      <c r="G14" s="159"/>
      <c r="H14" s="159"/>
      <c r="I14" s="159"/>
      <c r="J14" s="159"/>
    </row>
    <row r="15" spans="2:15" s="151" customFormat="1">
      <c r="B15" s="158" t="s">
        <v>1084</v>
      </c>
      <c r="C15" s="158" t="s">
        <v>677</v>
      </c>
      <c r="D15" s="158" t="s">
        <v>735</v>
      </c>
      <c r="E15" s="158" t="s">
        <v>196</v>
      </c>
      <c r="F15" s="158"/>
      <c r="G15" s="159"/>
      <c r="H15" s="159"/>
      <c r="I15" s="159"/>
      <c r="J15" s="159"/>
    </row>
    <row r="16" spans="2:15" s="151" customFormat="1">
      <c r="B16" s="158" t="s">
        <v>1084</v>
      </c>
      <c r="C16" s="158" t="s">
        <v>678</v>
      </c>
      <c r="D16" s="158" t="s">
        <v>736</v>
      </c>
      <c r="E16" s="158" t="s">
        <v>196</v>
      </c>
      <c r="F16" s="158"/>
      <c r="G16" s="159"/>
      <c r="H16" s="159"/>
      <c r="I16" s="159"/>
      <c r="J16" s="159"/>
    </row>
    <row r="17" spans="2:10" s="151" customFormat="1">
      <c r="B17" s="158" t="s">
        <v>251</v>
      </c>
      <c r="C17" s="158" t="s">
        <v>200</v>
      </c>
      <c r="D17" s="158" t="str">
        <f>CONCATENATE("Imported Oil Supply - All types, ","PADD 1")</f>
        <v>Imported Oil Supply - All types, PADD 1</v>
      </c>
      <c r="E17" s="158" t="s">
        <v>196</v>
      </c>
      <c r="F17" s="158"/>
      <c r="G17" s="159"/>
      <c r="H17" s="159"/>
      <c r="I17" s="159"/>
      <c r="J17" s="159"/>
    </row>
    <row r="18" spans="2:10" s="151" customFormat="1">
      <c r="B18" s="158" t="s">
        <v>251</v>
      </c>
      <c r="C18" s="158" t="str">
        <f>SUBSTITUTE(C17,1,2)</f>
        <v>OILIP2</v>
      </c>
      <c r="D18" s="158" t="str">
        <f>SUBSTITUTE(D17,1,2)</f>
        <v>Imported Oil Supply - All types, PADD 2</v>
      </c>
      <c r="E18" s="158" t="s">
        <v>196</v>
      </c>
      <c r="F18" s="158"/>
      <c r="G18" s="159"/>
      <c r="H18" s="159"/>
      <c r="I18" s="159"/>
      <c r="J18" s="159"/>
    </row>
    <row r="19" spans="2:10" s="151" customFormat="1">
      <c r="B19" s="158" t="s">
        <v>251</v>
      </c>
      <c r="C19" s="158" t="str">
        <f>SUBSTITUTE(C18,2,3)</f>
        <v>OILIP3</v>
      </c>
      <c r="D19" s="158" t="str">
        <f>SUBSTITUTE(D18,2,3)</f>
        <v>Imported Oil Supply - All types, PADD 3</v>
      </c>
      <c r="E19" s="158" t="s">
        <v>196</v>
      </c>
      <c r="F19" s="158"/>
      <c r="G19" s="159"/>
      <c r="H19" s="159"/>
      <c r="I19" s="159"/>
      <c r="J19" s="159"/>
    </row>
    <row r="20" spans="2:10" s="151" customFormat="1">
      <c r="B20" s="158" t="s">
        <v>1004</v>
      </c>
      <c r="C20" s="158" t="str">
        <f>SUBSTITUTE(C19,3,4)</f>
        <v>OILIP4</v>
      </c>
      <c r="D20" s="158" t="str">
        <f>SUBSTITUTE(D19,3,4)</f>
        <v>Imported Oil Supply - All types, PADD 4</v>
      </c>
      <c r="E20" s="158" t="s">
        <v>196</v>
      </c>
      <c r="F20" s="158"/>
      <c r="G20" s="159"/>
      <c r="H20" s="159"/>
      <c r="I20" s="159"/>
      <c r="J20" s="159"/>
    </row>
    <row r="21" spans="2:10" s="151" customFormat="1">
      <c r="B21" s="158" t="s">
        <v>1004</v>
      </c>
      <c r="C21" s="158" t="str">
        <f>SUBSTITUTE(C20,4,5)</f>
        <v>OILIP5</v>
      </c>
      <c r="D21" s="158" t="str">
        <f>SUBSTITUTE(D20,4,5)</f>
        <v>Imported Oil Supply - All types, PADD 5</v>
      </c>
      <c r="E21" s="158" t="s">
        <v>196</v>
      </c>
      <c r="F21" s="158"/>
      <c r="G21" s="159"/>
      <c r="H21" s="159"/>
      <c r="I21" s="159"/>
      <c r="J21" s="159"/>
    </row>
    <row r="22" spans="2:10" s="151" customFormat="1">
      <c r="B22" s="158" t="s">
        <v>251</v>
      </c>
      <c r="C22" s="158" t="s">
        <v>201</v>
      </c>
      <c r="D22" s="158" t="s">
        <v>202</v>
      </c>
      <c r="E22" s="158" t="s">
        <v>196</v>
      </c>
      <c r="F22" s="158"/>
      <c r="G22" s="159"/>
      <c r="H22" s="159"/>
      <c r="I22" s="159"/>
      <c r="J22" s="159"/>
    </row>
    <row r="23" spans="2:10" s="151" customFormat="1">
      <c r="B23" s="158" t="s">
        <v>251</v>
      </c>
      <c r="C23" s="158" t="s">
        <v>203</v>
      </c>
      <c r="D23" s="158" t="s">
        <v>204</v>
      </c>
      <c r="E23" s="158" t="s">
        <v>196</v>
      </c>
      <c r="F23" s="158"/>
      <c r="G23" s="159"/>
      <c r="H23" s="159"/>
      <c r="I23" s="159"/>
      <c r="J23" s="159"/>
    </row>
    <row r="24" spans="2:10" s="151" customFormat="1">
      <c r="B24" s="158" t="s">
        <v>251</v>
      </c>
      <c r="C24" s="158" t="s">
        <v>205</v>
      </c>
      <c r="D24" s="158" t="s">
        <v>206</v>
      </c>
      <c r="E24" s="158" t="s">
        <v>196</v>
      </c>
      <c r="F24" s="158"/>
      <c r="G24" s="159"/>
      <c r="H24" s="159"/>
      <c r="I24" s="159"/>
      <c r="J24" s="159"/>
    </row>
    <row r="25" spans="2:10" s="151" customFormat="1">
      <c r="B25" s="158" t="s">
        <v>1004</v>
      </c>
      <c r="C25" s="158" t="s">
        <v>207</v>
      </c>
      <c r="D25" s="158" t="s">
        <v>208</v>
      </c>
      <c r="E25" s="158" t="s">
        <v>196</v>
      </c>
      <c r="F25" s="158"/>
      <c r="G25" s="159"/>
      <c r="H25" s="159"/>
      <c r="I25" s="159"/>
      <c r="J25" s="159"/>
    </row>
    <row r="26" spans="2:10" s="151" customFormat="1">
      <c r="B26" s="158" t="s">
        <v>1004</v>
      </c>
      <c r="C26" s="158" t="s">
        <v>209</v>
      </c>
      <c r="D26" s="158" t="s">
        <v>210</v>
      </c>
      <c r="E26" s="158" t="s">
        <v>196</v>
      </c>
      <c r="F26" s="158"/>
      <c r="G26" s="159"/>
      <c r="H26" s="159"/>
      <c r="I26" s="159"/>
      <c r="J26" s="159"/>
    </row>
    <row r="27" spans="2:10" s="151" customFormat="1">
      <c r="B27" s="158" t="s">
        <v>251</v>
      </c>
      <c r="C27" s="158" t="s">
        <v>211</v>
      </c>
      <c r="D27" s="158" t="s">
        <v>212</v>
      </c>
      <c r="E27" s="158" t="s">
        <v>196</v>
      </c>
      <c r="F27" s="158"/>
      <c r="G27" s="159"/>
      <c r="H27" s="159"/>
      <c r="I27" s="159"/>
      <c r="J27" s="159"/>
    </row>
    <row r="28" spans="2:10" s="151" customFormat="1">
      <c r="B28" s="158" t="s">
        <v>251</v>
      </c>
      <c r="C28" s="158" t="s">
        <v>213</v>
      </c>
      <c r="D28" s="158" t="s">
        <v>214</v>
      </c>
      <c r="E28" s="158" t="s">
        <v>196</v>
      </c>
      <c r="F28" s="158"/>
      <c r="G28" s="159"/>
      <c r="H28" s="159"/>
      <c r="I28" s="159"/>
      <c r="J28" s="159"/>
    </row>
    <row r="29" spans="2:10" s="151" customFormat="1">
      <c r="B29" s="158" t="s">
        <v>251</v>
      </c>
      <c r="C29" s="158" t="s">
        <v>215</v>
      </c>
      <c r="D29" s="158" t="s">
        <v>216</v>
      </c>
      <c r="E29" s="158" t="s">
        <v>196</v>
      </c>
      <c r="F29" s="158"/>
      <c r="G29" s="159"/>
      <c r="H29" s="159"/>
      <c r="I29" s="159"/>
      <c r="J29" s="159"/>
    </row>
    <row r="30" spans="2:10" s="151" customFormat="1">
      <c r="B30" s="158" t="s">
        <v>1004</v>
      </c>
      <c r="C30" s="158" t="s">
        <v>217</v>
      </c>
      <c r="D30" s="158" t="s">
        <v>218</v>
      </c>
      <c r="E30" s="158" t="s">
        <v>196</v>
      </c>
      <c r="F30" s="158"/>
      <c r="G30" s="159"/>
      <c r="H30" s="159"/>
      <c r="I30" s="159"/>
      <c r="J30" s="159"/>
    </row>
    <row r="31" spans="2:10" s="151" customFormat="1">
      <c r="B31" s="158" t="s">
        <v>1004</v>
      </c>
      <c r="C31" s="158" t="s">
        <v>219</v>
      </c>
      <c r="D31" s="158" t="s">
        <v>220</v>
      </c>
      <c r="E31" s="158" t="s">
        <v>196</v>
      </c>
      <c r="F31" s="158"/>
      <c r="G31" s="159"/>
      <c r="H31" s="159"/>
      <c r="I31" s="159"/>
      <c r="J31" s="159"/>
    </row>
    <row r="32" spans="2:10" s="151" customFormat="1">
      <c r="B32" s="158" t="s">
        <v>251</v>
      </c>
      <c r="C32" s="158" t="s">
        <v>221</v>
      </c>
      <c r="D32" s="158" t="s">
        <v>222</v>
      </c>
      <c r="E32" s="158" t="s">
        <v>196</v>
      </c>
      <c r="F32" s="158"/>
      <c r="G32" s="159"/>
      <c r="H32" s="159"/>
      <c r="I32" s="159"/>
      <c r="J32" s="159"/>
    </row>
    <row r="33" spans="2:10" s="151" customFormat="1">
      <c r="B33" s="158" t="s">
        <v>251</v>
      </c>
      <c r="C33" s="158" t="s">
        <v>223</v>
      </c>
      <c r="D33" s="158" t="s">
        <v>224</v>
      </c>
      <c r="E33" s="158" t="s">
        <v>196</v>
      </c>
      <c r="F33" s="158"/>
      <c r="G33" s="159"/>
      <c r="H33" s="159"/>
      <c r="I33" s="159"/>
      <c r="J33" s="159"/>
    </row>
    <row r="34" spans="2:10" s="151" customFormat="1">
      <c r="B34" s="158" t="s">
        <v>251</v>
      </c>
      <c r="C34" s="158" t="s">
        <v>225</v>
      </c>
      <c r="D34" s="158" t="s">
        <v>226</v>
      </c>
      <c r="E34" s="158" t="s">
        <v>196</v>
      </c>
      <c r="F34" s="158"/>
      <c r="G34" s="159"/>
      <c r="H34" s="159"/>
      <c r="I34" s="159"/>
      <c r="J34" s="159"/>
    </row>
    <row r="35" spans="2:10" s="151" customFormat="1">
      <c r="B35" s="158" t="s">
        <v>1004</v>
      </c>
      <c r="C35" s="158" t="s">
        <v>227</v>
      </c>
      <c r="D35" s="158" t="s">
        <v>228</v>
      </c>
      <c r="E35" s="158" t="s">
        <v>196</v>
      </c>
      <c r="F35" s="158"/>
      <c r="G35" s="159"/>
      <c r="H35" s="159"/>
      <c r="I35" s="159"/>
      <c r="J35" s="159"/>
    </row>
    <row r="36" spans="2:10" s="151" customFormat="1">
      <c r="B36" s="158" t="s">
        <v>1004</v>
      </c>
      <c r="C36" s="158" t="s">
        <v>229</v>
      </c>
      <c r="D36" s="158" t="s">
        <v>230</v>
      </c>
      <c r="E36" s="158" t="s">
        <v>196</v>
      </c>
      <c r="F36" s="158"/>
      <c r="G36" s="159"/>
      <c r="H36" s="159"/>
      <c r="I36" s="159"/>
      <c r="J36" s="159"/>
    </row>
    <row r="37" spans="2:10" s="151" customFormat="1">
      <c r="B37" s="158" t="s">
        <v>251</v>
      </c>
      <c r="C37" s="158" t="s">
        <v>231</v>
      </c>
      <c r="D37" s="158" t="s">
        <v>232</v>
      </c>
      <c r="E37" s="158" t="s">
        <v>196</v>
      </c>
      <c r="F37" s="158"/>
      <c r="G37" s="159"/>
      <c r="H37" s="159"/>
      <c r="I37" s="159"/>
      <c r="J37" s="159"/>
    </row>
    <row r="38" spans="2:10" s="151" customFormat="1">
      <c r="B38" s="158" t="s">
        <v>251</v>
      </c>
      <c r="C38" s="158" t="s">
        <v>233</v>
      </c>
      <c r="D38" s="158" t="s">
        <v>234</v>
      </c>
      <c r="E38" s="158" t="s">
        <v>196</v>
      </c>
      <c r="F38" s="158"/>
      <c r="G38" s="159"/>
      <c r="H38" s="159"/>
      <c r="I38" s="159"/>
      <c r="J38" s="159"/>
    </row>
    <row r="39" spans="2:10" s="151" customFormat="1">
      <c r="B39" s="158" t="s">
        <v>251</v>
      </c>
      <c r="C39" s="158" t="s">
        <v>235</v>
      </c>
      <c r="D39" s="158" t="s">
        <v>236</v>
      </c>
      <c r="E39" s="158" t="s">
        <v>196</v>
      </c>
      <c r="F39" s="158"/>
      <c r="G39" s="159"/>
      <c r="H39" s="159"/>
      <c r="I39" s="159"/>
      <c r="J39" s="159"/>
    </row>
    <row r="40" spans="2:10" s="151" customFormat="1">
      <c r="B40" s="158" t="s">
        <v>1004</v>
      </c>
      <c r="C40" s="158" t="s">
        <v>237</v>
      </c>
      <c r="D40" s="158" t="s">
        <v>238</v>
      </c>
      <c r="E40" s="158" t="s">
        <v>196</v>
      </c>
      <c r="F40" s="158"/>
      <c r="G40" s="159"/>
      <c r="H40" s="159"/>
      <c r="I40" s="159"/>
      <c r="J40" s="159"/>
    </row>
    <row r="41" spans="2:10" s="151" customFormat="1">
      <c r="B41" s="158" t="s">
        <v>1004</v>
      </c>
      <c r="C41" s="158" t="s">
        <v>239</v>
      </c>
      <c r="D41" s="158" t="s">
        <v>240</v>
      </c>
      <c r="E41" s="158" t="s">
        <v>196</v>
      </c>
      <c r="F41" s="158"/>
      <c r="G41" s="159"/>
      <c r="H41" s="159"/>
      <c r="I41" s="159"/>
      <c r="J41" s="159"/>
    </row>
    <row r="42" spans="2:10" s="151" customFormat="1">
      <c r="B42" s="158" t="s">
        <v>251</v>
      </c>
      <c r="C42" s="158" t="s">
        <v>241</v>
      </c>
      <c r="D42" s="158" t="s">
        <v>242</v>
      </c>
      <c r="E42" s="158" t="s">
        <v>196</v>
      </c>
      <c r="F42" s="158"/>
      <c r="G42" s="159"/>
      <c r="H42" s="159"/>
      <c r="I42" s="159"/>
      <c r="J42" s="159"/>
    </row>
    <row r="43" spans="2:10" s="151" customFormat="1">
      <c r="B43" s="158" t="s">
        <v>251</v>
      </c>
      <c r="C43" s="158" t="s">
        <v>243</v>
      </c>
      <c r="D43" s="158" t="s">
        <v>244</v>
      </c>
      <c r="E43" s="158" t="s">
        <v>196</v>
      </c>
      <c r="F43" s="158"/>
      <c r="G43" s="159"/>
      <c r="H43" s="159"/>
      <c r="I43" s="159"/>
      <c r="J43" s="159"/>
    </row>
    <row r="44" spans="2:10" s="151" customFormat="1">
      <c r="B44" s="158" t="s">
        <v>251</v>
      </c>
      <c r="C44" s="158" t="s">
        <v>245</v>
      </c>
      <c r="D44" s="158" t="s">
        <v>246</v>
      </c>
      <c r="E44" s="158" t="s">
        <v>196</v>
      </c>
      <c r="F44" s="158"/>
      <c r="G44" s="159"/>
      <c r="H44" s="159"/>
      <c r="I44" s="159"/>
      <c r="J44" s="159"/>
    </row>
    <row r="45" spans="2:10" s="151" customFormat="1">
      <c r="B45" s="158" t="s">
        <v>1004</v>
      </c>
      <c r="C45" s="158" t="s">
        <v>247</v>
      </c>
      <c r="D45" s="158" t="s">
        <v>248</v>
      </c>
      <c r="E45" s="158" t="s">
        <v>196</v>
      </c>
      <c r="F45" s="158"/>
      <c r="G45" s="159"/>
      <c r="H45" s="159"/>
      <c r="I45" s="159"/>
      <c r="J45" s="159"/>
    </row>
    <row r="46" spans="2:10" s="151" customFormat="1">
      <c r="B46" s="158" t="s">
        <v>1004</v>
      </c>
      <c r="C46" s="158" t="s">
        <v>249</v>
      </c>
      <c r="D46" s="158" t="s">
        <v>250</v>
      </c>
      <c r="E46" s="158" t="s">
        <v>196</v>
      </c>
      <c r="F46" s="158"/>
      <c r="G46" s="159"/>
      <c r="H46" s="159"/>
      <c r="I46" s="159"/>
      <c r="J46" s="159"/>
    </row>
    <row r="47" spans="2:10">
      <c r="B47" s="154" t="s">
        <v>254</v>
      </c>
      <c r="C47" s="160"/>
      <c r="D47" s="160"/>
      <c r="E47" s="160"/>
      <c r="F47" s="160"/>
      <c r="G47" s="157"/>
      <c r="H47" s="157"/>
      <c r="I47" s="157"/>
      <c r="J47" s="157"/>
    </row>
    <row r="48" spans="2:10">
      <c r="B48" s="158" t="s">
        <v>974</v>
      </c>
      <c r="C48" s="158" t="s">
        <v>255</v>
      </c>
      <c r="D48" s="158" t="s">
        <v>256</v>
      </c>
      <c r="E48" s="158" t="s">
        <v>196</v>
      </c>
      <c r="F48" s="158" t="s">
        <v>1117</v>
      </c>
      <c r="G48" s="161"/>
      <c r="H48" s="161"/>
      <c r="I48" s="161"/>
      <c r="J48" s="161"/>
    </row>
    <row r="49" spans="2:10">
      <c r="B49" s="158" t="s">
        <v>974</v>
      </c>
      <c r="C49" s="158" t="s">
        <v>257</v>
      </c>
      <c r="D49" s="158" t="s">
        <v>258</v>
      </c>
      <c r="E49" s="158" t="s">
        <v>196</v>
      </c>
      <c r="F49" s="158"/>
      <c r="G49" s="161"/>
      <c r="H49" s="161"/>
      <c r="I49" s="161"/>
      <c r="J49" s="161"/>
    </row>
    <row r="50" spans="2:10">
      <c r="B50" s="158" t="s">
        <v>251</v>
      </c>
      <c r="C50" s="158" t="s">
        <v>259</v>
      </c>
      <c r="D50" s="158" t="s">
        <v>260</v>
      </c>
      <c r="E50" s="158" t="s">
        <v>196</v>
      </c>
      <c r="F50" s="158"/>
      <c r="G50" s="161"/>
      <c r="H50" s="161"/>
      <c r="I50" s="161"/>
      <c r="J50" s="161"/>
    </row>
    <row r="51" spans="2:10">
      <c r="B51" s="158" t="s">
        <v>974</v>
      </c>
      <c r="C51" s="158" t="s">
        <v>261</v>
      </c>
      <c r="D51" s="158" t="s">
        <v>262</v>
      </c>
      <c r="E51" s="158" t="s">
        <v>196</v>
      </c>
      <c r="F51" s="158"/>
      <c r="G51" s="161"/>
      <c r="H51" s="161"/>
      <c r="I51" s="161"/>
      <c r="J51" s="161"/>
    </row>
    <row r="52" spans="2:10">
      <c r="B52" s="158" t="s">
        <v>974</v>
      </c>
      <c r="C52" s="158" t="s">
        <v>263</v>
      </c>
      <c r="D52" s="158" t="s">
        <v>264</v>
      </c>
      <c r="E52" s="158" t="s">
        <v>196</v>
      </c>
      <c r="F52" s="158"/>
      <c r="G52" s="161"/>
      <c r="H52" s="161"/>
      <c r="I52" s="161"/>
      <c r="J52" s="161"/>
    </row>
    <row r="53" spans="2:10">
      <c r="B53" s="158" t="s">
        <v>975</v>
      </c>
      <c r="C53" s="158" t="s">
        <v>265</v>
      </c>
      <c r="D53" s="158" t="s">
        <v>266</v>
      </c>
      <c r="E53" s="158" t="s">
        <v>196</v>
      </c>
      <c r="F53" s="158"/>
      <c r="G53" s="161"/>
      <c r="H53" s="161"/>
      <c r="I53" s="161"/>
      <c r="J53" s="161"/>
    </row>
    <row r="54" spans="2:10">
      <c r="B54" s="158" t="s">
        <v>975</v>
      </c>
      <c r="C54" s="158" t="s">
        <v>267</v>
      </c>
      <c r="D54" s="158" t="s">
        <v>268</v>
      </c>
      <c r="E54" s="158" t="s">
        <v>196</v>
      </c>
      <c r="F54" s="158"/>
      <c r="G54" s="161"/>
      <c r="H54" s="161"/>
      <c r="I54" s="161"/>
      <c r="J54" s="161"/>
    </row>
    <row r="55" spans="2:10">
      <c r="B55" s="158" t="s">
        <v>975</v>
      </c>
      <c r="C55" s="158" t="s">
        <v>269</v>
      </c>
      <c r="D55" s="158" t="s">
        <v>269</v>
      </c>
      <c r="E55" s="158" t="s">
        <v>196</v>
      </c>
      <c r="F55" s="158"/>
      <c r="G55" s="161"/>
      <c r="H55" s="161"/>
      <c r="I55" s="161"/>
      <c r="J55" s="161"/>
    </row>
    <row r="56" spans="2:10">
      <c r="B56" s="158" t="s">
        <v>975</v>
      </c>
      <c r="C56" s="158" t="s">
        <v>270</v>
      </c>
      <c r="D56" s="158" t="s">
        <v>271</v>
      </c>
      <c r="E56" s="158" t="s">
        <v>196</v>
      </c>
      <c r="F56" s="158"/>
      <c r="G56" s="161"/>
      <c r="H56" s="161"/>
      <c r="I56" s="161"/>
      <c r="J56" s="161"/>
    </row>
    <row r="57" spans="2:10">
      <c r="B57" s="158" t="s">
        <v>975</v>
      </c>
      <c r="C57" s="158" t="s">
        <v>272</v>
      </c>
      <c r="D57" s="158" t="s">
        <v>273</v>
      </c>
      <c r="E57" s="158" t="s">
        <v>196</v>
      </c>
      <c r="F57" s="158"/>
      <c r="G57" s="161"/>
      <c r="H57" s="161"/>
      <c r="I57" s="161"/>
      <c r="J57" s="161"/>
    </row>
    <row r="58" spans="2:10">
      <c r="B58" s="158" t="s">
        <v>975</v>
      </c>
      <c r="C58" s="158" t="s">
        <v>274</v>
      </c>
      <c r="D58" s="158" t="s">
        <v>275</v>
      </c>
      <c r="E58" s="158" t="s">
        <v>196</v>
      </c>
      <c r="F58" s="158"/>
      <c r="G58" s="161"/>
      <c r="H58" s="161"/>
      <c r="I58" s="161"/>
      <c r="J58" s="161"/>
    </row>
    <row r="59" spans="2:10">
      <c r="B59" s="158" t="s">
        <v>974</v>
      </c>
      <c r="C59" s="158" t="s">
        <v>276</v>
      </c>
      <c r="D59" s="158" t="s">
        <v>277</v>
      </c>
      <c r="E59" s="158" t="s">
        <v>196</v>
      </c>
      <c r="F59" s="158"/>
      <c r="G59" s="161"/>
      <c r="H59" s="161"/>
      <c r="I59" s="161"/>
      <c r="J59" s="161"/>
    </row>
    <row r="60" spans="2:10">
      <c r="B60" s="158" t="s">
        <v>975</v>
      </c>
      <c r="C60" s="158" t="s">
        <v>278</v>
      </c>
      <c r="D60" s="158" t="s">
        <v>279</v>
      </c>
      <c r="E60" s="158" t="s">
        <v>196</v>
      </c>
      <c r="F60" s="158"/>
      <c r="G60" s="161"/>
      <c r="H60" s="161"/>
      <c r="I60" s="161"/>
      <c r="J60" s="161"/>
    </row>
    <row r="61" spans="2:10">
      <c r="B61" s="158" t="s">
        <v>975</v>
      </c>
      <c r="C61" s="158" t="s">
        <v>280</v>
      </c>
      <c r="D61" s="158" t="s">
        <v>281</v>
      </c>
      <c r="E61" s="158" t="s">
        <v>196</v>
      </c>
      <c r="F61" s="158"/>
      <c r="G61" s="161"/>
      <c r="H61" s="161"/>
      <c r="I61" s="161"/>
      <c r="J61" s="161"/>
    </row>
    <row r="62" spans="2:10">
      <c r="B62" s="158" t="s">
        <v>975</v>
      </c>
      <c r="C62" s="158" t="s">
        <v>282</v>
      </c>
      <c r="D62" s="158" t="s">
        <v>283</v>
      </c>
      <c r="E62" s="158" t="s">
        <v>196</v>
      </c>
      <c r="F62" s="158"/>
      <c r="G62" s="161"/>
      <c r="H62" s="161"/>
      <c r="I62" s="161"/>
      <c r="J62" s="161"/>
    </row>
    <row r="63" spans="2:10">
      <c r="B63" s="154" t="s">
        <v>1041</v>
      </c>
      <c r="C63" s="160"/>
      <c r="D63" s="160"/>
      <c r="E63" s="160"/>
      <c r="F63" s="160"/>
      <c r="G63" s="162"/>
      <c r="H63" s="157"/>
      <c r="I63" s="157"/>
      <c r="J63" s="157"/>
    </row>
    <row r="64" spans="2:10">
      <c r="B64" s="158" t="s">
        <v>974</v>
      </c>
      <c r="C64" s="158" t="str">
        <f>CONCATENATE(Types!B2,"P1")</f>
        <v>DSHP1</v>
      </c>
      <c r="D64" s="158" t="str">
        <f>CONCATENATE(Types!C2,", PADD 1")</f>
        <v>Distillate-Heating Oil No. 2, PADD 1</v>
      </c>
      <c r="E64" s="158"/>
      <c r="F64" s="158" t="s">
        <v>1117</v>
      </c>
      <c r="G64" s="161"/>
      <c r="H64" s="161"/>
      <c r="I64" s="161"/>
      <c r="J64" s="161"/>
    </row>
    <row r="65" spans="2:10">
      <c r="B65" s="158" t="s">
        <v>974</v>
      </c>
      <c r="C65" s="158" t="str">
        <f>CONCATENATE(Types!B3,"P1")</f>
        <v>DSLP1</v>
      </c>
      <c r="D65" s="158" t="str">
        <f>CONCATENATE(Types!C3,", PADD 1")</f>
        <v>Distillate-Low Sulfur Highway Diesel (500 ppm), PADD 1</v>
      </c>
      <c r="E65" s="158"/>
      <c r="F65" s="158"/>
      <c r="G65" s="161"/>
      <c r="H65" s="161"/>
      <c r="I65" s="161"/>
      <c r="J65" s="161"/>
    </row>
    <row r="66" spans="2:10">
      <c r="B66" s="158" t="s">
        <v>974</v>
      </c>
      <c r="C66" s="158" t="str">
        <f>CONCATENATE(Types!B4,"P1")</f>
        <v>DSUP1</v>
      </c>
      <c r="D66" s="158" t="str">
        <f>CONCATENATE(Types!C4,", PADD 1")</f>
        <v>Distillate-Ultralow Sulfur Highway Diesel (15 ppm), PADD 1</v>
      </c>
      <c r="E66" s="158"/>
      <c r="F66" s="158"/>
      <c r="G66" s="161"/>
      <c r="H66" s="161"/>
      <c r="I66" s="161"/>
      <c r="J66" s="161"/>
    </row>
    <row r="67" spans="2:10">
      <c r="B67" s="158" t="s">
        <v>974</v>
      </c>
      <c r="C67" s="158" t="str">
        <f>CONCATENATE(Types!B5,"P1")</f>
        <v>GSCP1</v>
      </c>
      <c r="D67" s="158" t="str">
        <f>CONCATENATE(Types!C5,", PADD 1")</f>
        <v>Conventional Gasoline, PADD 1</v>
      </c>
      <c r="E67" s="158"/>
      <c r="F67" s="158"/>
      <c r="G67" s="161"/>
      <c r="H67" s="161"/>
      <c r="I67" s="161"/>
      <c r="J67" s="161"/>
    </row>
    <row r="68" spans="2:10">
      <c r="B68" s="158" t="s">
        <v>974</v>
      </c>
      <c r="C68" s="158" t="str">
        <f>CONCATENATE(Types!B6,"P1")</f>
        <v>GSRP1</v>
      </c>
      <c r="D68" s="158" t="str">
        <f>CONCATENATE(Types!C6,", PADD 1")</f>
        <v>Reformulated Gasoline, PADD 1</v>
      </c>
      <c r="E68" s="158"/>
      <c r="F68" s="158"/>
      <c r="G68" s="161"/>
      <c r="H68" s="161"/>
      <c r="I68" s="161"/>
      <c r="J68" s="161"/>
    </row>
    <row r="69" spans="2:10">
      <c r="B69" s="158" t="str">
        <f>IF(OR(G$63="*",LEFT(B$53,1)="*"),"*R0,R1,R2,R3,R4,R5,R6","R0,R1,R2,R3,R4,R5,R6")</f>
        <v>*R0,R1,R2,R3,R4,R5,R6</v>
      </c>
      <c r="C69" s="158" t="str">
        <f>CONCATENATE(Types!B7,"P1")</f>
        <v>JTFP1</v>
      </c>
      <c r="D69" s="158" t="str">
        <f>CONCATENATE(Types!C7,", PADD 1")</f>
        <v>Jet Fuel, PADD 1</v>
      </c>
      <c r="E69" s="158"/>
      <c r="F69" s="158"/>
      <c r="G69" s="161"/>
      <c r="H69" s="161"/>
      <c r="I69" s="161"/>
      <c r="J69" s="161"/>
    </row>
    <row r="70" spans="2:10">
      <c r="B70" s="158" t="str">
        <f>IF(OR(G$63="*",LEFT(B$54,1)="*"),"*R0,R1,R2,R3,R4,R5,R6","R0,R1,R2,R3,R4,R5,R6")</f>
        <v>*R0,R1,R2,R3,R4,R5,R6</v>
      </c>
      <c r="C70" s="158" t="str">
        <f>CONCATENATE(Types!B8,"P1")</f>
        <v>KERP1</v>
      </c>
      <c r="D70" s="158" t="str">
        <f>CONCATENATE(Types!C8,", PADD 1")</f>
        <v>Kerosene and Other Refined Products, PADD 1</v>
      </c>
      <c r="E70" s="158"/>
      <c r="F70" s="158"/>
      <c r="G70" s="161"/>
      <c r="H70" s="161"/>
      <c r="I70" s="161"/>
      <c r="J70" s="161"/>
    </row>
    <row r="71" spans="2:10">
      <c r="B71" s="158" t="str">
        <f>IF(OR(G$63="*",LEFT(B$55,1)="*"),"*R0,R1,R2,R3,R4,R5,R6","R0,R1,R2,R3,R4,R5,R6")</f>
        <v>*R0,R1,R2,R3,R4,R5,R6</v>
      </c>
      <c r="C71" s="158" t="str">
        <f>CONCATENATE(Types!B9,"P1")</f>
        <v>LPGP1</v>
      </c>
      <c r="D71" s="158" t="str">
        <f>CONCATENATE(Types!C9,", PADD 1")</f>
        <v>LPG, PADD 1</v>
      </c>
      <c r="E71" s="158"/>
      <c r="F71" s="158"/>
      <c r="G71" s="161"/>
      <c r="H71" s="161"/>
      <c r="I71" s="161"/>
      <c r="J71" s="161"/>
    </row>
    <row r="72" spans="2:10">
      <c r="B72" s="158" t="str">
        <f>IF(OR(G$63="*",LEFT(B$56,1)="*"),"*R0,R1,R2,R3,R4,R5,R6","R0,R1,R2,R3,R4,R5,R6")</f>
        <v>*R0,R1,R2,R3,R4,R5,R6</v>
      </c>
      <c r="C72" s="158" t="str">
        <f>CONCATENATE(Types!B10,"P1")</f>
        <v>MTHP1</v>
      </c>
      <c r="D72" s="158" t="str">
        <f>CONCATENATE(Types!C10,", PADD 1")</f>
        <v>Methanol, PADD 1</v>
      </c>
      <c r="E72" s="158"/>
      <c r="F72" s="158"/>
      <c r="G72" s="161"/>
      <c r="H72" s="161"/>
      <c r="I72" s="161"/>
      <c r="J72" s="161"/>
    </row>
    <row r="73" spans="2:10">
      <c r="B73" s="158" t="str">
        <f>IF(OR(G$63="*",LEFT(B$57,1)="*"),"*R0,R1,R2,R3,R4,R5,R6","R0,R1,R2,R3,R4,R5,R6")</f>
        <v>*R0,R1,R2,R3,R4,R5,R6</v>
      </c>
      <c r="C73" s="158" t="str">
        <f>CONCATENATE(Types!B11,"P1")</f>
        <v>PFSP1</v>
      </c>
      <c r="D73" s="158" t="str">
        <f>CONCATENATE(Types!C11,", PADD 1")</f>
        <v>Petrochemical Feedstocks, PADD 1</v>
      </c>
      <c r="E73" s="158"/>
      <c r="F73" s="158"/>
      <c r="G73" s="161"/>
      <c r="H73" s="161"/>
      <c r="I73" s="161"/>
      <c r="J73" s="161"/>
    </row>
    <row r="74" spans="2:10">
      <c r="B74" s="158" t="str">
        <f>IF(OR(G$63="*",LEFT(B$58,1)="*"),"*R0,R1,R2,R3,R4,R5,R6","R0,R1,R2,R3,R4,R5,R6")</f>
        <v>*R0,R1,R2,R3,R4,R5,R6</v>
      </c>
      <c r="C74" s="158" t="str">
        <f>CONCATENATE(Types!B12,"P1")</f>
        <v>RFHP1</v>
      </c>
      <c r="D74" s="158" t="str">
        <f>CONCATENATE(Types!C12,", PADD 1")</f>
        <v>High Sulfur Residual Fuel Oil, PADD 1</v>
      </c>
      <c r="E74" s="158"/>
      <c r="F74" s="158"/>
      <c r="G74" s="161"/>
      <c r="H74" s="161"/>
      <c r="I74" s="161"/>
      <c r="J74" s="161"/>
    </row>
    <row r="75" spans="2:10">
      <c r="B75" s="158" t="str">
        <f>IF(OR(G$63="*",LEFT(B$59,1)="*"),"*R0,R1,R2,R3,R4,R5,R6","R0,R1,R2,R3,R4,R5,R6")</f>
        <v>R0,R1,R2,R3,R4,R5,R6</v>
      </c>
      <c r="C75" s="158" t="str">
        <f>CONCATENATE(Types!B13,"P1")</f>
        <v>RFLP1</v>
      </c>
      <c r="D75" s="158" t="str">
        <f>CONCATENATE(Types!C13,", PADD 1")</f>
        <v>Low Sulfur Residual Fuel Oil, PADD 1</v>
      </c>
      <c r="E75" s="158"/>
      <c r="F75" s="158"/>
      <c r="G75" s="161"/>
      <c r="H75" s="161"/>
      <c r="I75" s="161"/>
      <c r="J75" s="161"/>
    </row>
    <row r="76" spans="2:10">
      <c r="B76" s="158" t="str">
        <f>IF(OR(G$63="*",LEFT(B$60,1)="*"),"*R0,R1,R2,R3,R4,R5,R6","R0,R1,R2,R3,R4,R5,R6")</f>
        <v>*R0,R1,R2,R3,R4,R5,R6</v>
      </c>
      <c r="C76" s="158" t="s">
        <v>284</v>
      </c>
      <c r="D76" s="158" t="s">
        <v>285</v>
      </c>
      <c r="E76" s="158"/>
      <c r="F76" s="158"/>
      <c r="G76" s="161"/>
      <c r="H76" s="161"/>
      <c r="I76" s="161"/>
      <c r="J76" s="161"/>
    </row>
    <row r="77" spans="2:10">
      <c r="B77" s="158" t="s">
        <v>974</v>
      </c>
      <c r="C77" s="158" t="str">
        <f>CONCATENATE(Types!B2,"P2")</f>
        <v>DSHP2</v>
      </c>
      <c r="D77" s="158" t="str">
        <f>CONCATENATE(Types!C2,", PADD 2")</f>
        <v>Distillate-Heating Oil No. 2, PADD 2</v>
      </c>
      <c r="E77" s="158"/>
      <c r="F77" s="158"/>
      <c r="G77" s="161"/>
      <c r="H77" s="161"/>
      <c r="I77" s="161"/>
      <c r="J77" s="161"/>
    </row>
    <row r="78" spans="2:10">
      <c r="B78" s="158" t="s">
        <v>974</v>
      </c>
      <c r="C78" s="158" t="str">
        <f>CONCATENATE(Types!B3,"P2")</f>
        <v>DSLP2</v>
      </c>
      <c r="D78" s="158" t="str">
        <f>CONCATENATE(Types!C3,", PADD 2")</f>
        <v>Distillate-Low Sulfur Highway Diesel (500 ppm), PADD 2</v>
      </c>
      <c r="E78" s="158"/>
      <c r="F78" s="158"/>
      <c r="G78" s="161"/>
      <c r="H78" s="161"/>
      <c r="I78" s="161"/>
      <c r="J78" s="161"/>
    </row>
    <row r="79" spans="2:10">
      <c r="B79" s="158" t="s">
        <v>974</v>
      </c>
      <c r="C79" s="158" t="str">
        <f>CONCATENATE(Types!B4,"P2")</f>
        <v>DSUP2</v>
      </c>
      <c r="D79" s="158" t="str">
        <f>CONCATENATE(Types!C4,", PADD 2")</f>
        <v>Distillate-Ultralow Sulfur Highway Diesel (15 ppm), PADD 2</v>
      </c>
      <c r="E79" s="158"/>
      <c r="F79" s="158"/>
      <c r="G79" s="161"/>
      <c r="H79" s="161"/>
      <c r="I79" s="161"/>
      <c r="J79" s="161"/>
    </row>
    <row r="80" spans="2:10">
      <c r="B80" s="158" t="s">
        <v>974</v>
      </c>
      <c r="C80" s="158" t="str">
        <f>CONCATENATE(Types!B5,"P2")</f>
        <v>GSCP2</v>
      </c>
      <c r="D80" s="158" t="str">
        <f>CONCATENATE(Types!C5,", PADD 2")</f>
        <v>Conventional Gasoline, PADD 2</v>
      </c>
      <c r="E80" s="158"/>
      <c r="F80" s="158"/>
      <c r="G80" s="161"/>
      <c r="H80" s="161"/>
      <c r="I80" s="161"/>
      <c r="J80" s="161"/>
    </row>
    <row r="81" spans="2:10">
      <c r="B81" s="158" t="s">
        <v>974</v>
      </c>
      <c r="C81" s="158" t="str">
        <f>CONCATENATE(Types!B6,"P2")</f>
        <v>GSRP2</v>
      </c>
      <c r="D81" s="158" t="str">
        <f>CONCATENATE(Types!C6,", PADD 2")</f>
        <v>Reformulated Gasoline, PADD 2</v>
      </c>
      <c r="E81" s="158"/>
      <c r="F81" s="158"/>
      <c r="G81" s="161"/>
      <c r="H81" s="161"/>
      <c r="I81" s="161"/>
      <c r="J81" s="161"/>
    </row>
    <row r="82" spans="2:10">
      <c r="B82" s="158" t="str">
        <f>IF(OR(G$63="*",LEFT(B$53,1)="*"),"*R0,R1,R2,R3,R4,R5,R6","R0,R1,R2,R3,R4,R5,R6")</f>
        <v>*R0,R1,R2,R3,R4,R5,R6</v>
      </c>
      <c r="C82" s="158" t="str">
        <f>CONCATENATE(Types!B7,"P2")</f>
        <v>JTFP2</v>
      </c>
      <c r="D82" s="158" t="str">
        <f>CONCATENATE(Types!C7,", PADD 2")</f>
        <v>Jet Fuel, PADD 2</v>
      </c>
      <c r="E82" s="158"/>
      <c r="F82" s="158"/>
      <c r="G82" s="161"/>
      <c r="H82" s="161"/>
      <c r="I82" s="161"/>
      <c r="J82" s="161"/>
    </row>
    <row r="83" spans="2:10">
      <c r="B83" s="158" t="str">
        <f>IF(OR(G$63="*",LEFT(B$54,1)="*"),"*R0,R1,R2,R3,R4,R5,R6","R0,R1,R2,R3,R4,R5,R6")</f>
        <v>*R0,R1,R2,R3,R4,R5,R6</v>
      </c>
      <c r="C83" s="158" t="str">
        <f>CONCATENATE(Types!B8,"P2")</f>
        <v>KERP2</v>
      </c>
      <c r="D83" s="158" t="str">
        <f>CONCATENATE(Types!C8,", PADD 2")</f>
        <v>Kerosene and Other Refined Products, PADD 2</v>
      </c>
      <c r="E83" s="158"/>
      <c r="F83" s="158"/>
      <c r="G83" s="161"/>
      <c r="H83" s="161"/>
      <c r="I83" s="161"/>
      <c r="J83" s="161"/>
    </row>
    <row r="84" spans="2:10">
      <c r="B84" s="158" t="str">
        <f>IF(OR(G$63="*",LEFT(B$55,1)="*"),"*R0,R1,R2,R3,R4,R5,R6","R0,R1,R2,R3,R4,R5,R6")</f>
        <v>*R0,R1,R2,R3,R4,R5,R6</v>
      </c>
      <c r="C84" s="158" t="str">
        <f>CONCATENATE(Types!B9,"P2")</f>
        <v>LPGP2</v>
      </c>
      <c r="D84" s="158" t="str">
        <f>CONCATENATE(Types!C9,", PADD 2")</f>
        <v>LPG, PADD 2</v>
      </c>
      <c r="E84" s="158"/>
      <c r="F84" s="158"/>
      <c r="G84" s="161"/>
      <c r="H84" s="161"/>
      <c r="I84" s="161"/>
      <c r="J84" s="161"/>
    </row>
    <row r="85" spans="2:10">
      <c r="B85" s="158" t="str">
        <f>IF(OR(G$63="*",LEFT(B$56,1)="*"),"*R0,R1,R2,R3,R4,R5,R6","R0,R1,R2,R3,R4,R5,R6")</f>
        <v>*R0,R1,R2,R3,R4,R5,R6</v>
      </c>
      <c r="C85" s="158" t="str">
        <f>CONCATENATE(Types!B10,"P2")</f>
        <v>MTHP2</v>
      </c>
      <c r="D85" s="158" t="str">
        <f>CONCATENATE(Types!C10,", PADD 2")</f>
        <v>Methanol, PADD 2</v>
      </c>
      <c r="E85" s="158"/>
      <c r="F85" s="158"/>
      <c r="G85" s="161"/>
      <c r="H85" s="161"/>
      <c r="I85" s="161"/>
      <c r="J85" s="161"/>
    </row>
    <row r="86" spans="2:10">
      <c r="B86" s="158" t="str">
        <f>IF(OR(G$63="*",LEFT(B$57,1)="*"),"*R0,R1,R2,R3,R4,R5,R6","R0,R1,R2,R3,R4,R5,R6")</f>
        <v>*R0,R1,R2,R3,R4,R5,R6</v>
      </c>
      <c r="C86" s="158" t="str">
        <f>CONCATENATE(Types!B11,"P2")</f>
        <v>PFSP2</v>
      </c>
      <c r="D86" s="158" t="str">
        <f>CONCATENATE(Types!C11,", PADD 2")</f>
        <v>Petrochemical Feedstocks, PADD 2</v>
      </c>
      <c r="E86" s="158"/>
      <c r="F86" s="158"/>
      <c r="G86" s="161"/>
      <c r="H86" s="161"/>
      <c r="I86" s="161"/>
      <c r="J86" s="161"/>
    </row>
    <row r="87" spans="2:10">
      <c r="B87" s="158" t="str">
        <f>IF(OR(G$63="*",LEFT(B$58,1)="*"),"*R0,R1,R2,R3,R4,R5,R6","R0,R1,R2,R3,R4,R5,R6")</f>
        <v>*R0,R1,R2,R3,R4,R5,R6</v>
      </c>
      <c r="C87" s="158" t="str">
        <f>CONCATENATE(Types!B12,"P2")</f>
        <v>RFHP2</v>
      </c>
      <c r="D87" s="158" t="str">
        <f>CONCATENATE(Types!C12,", PADD 2")</f>
        <v>High Sulfur Residual Fuel Oil, PADD 2</v>
      </c>
      <c r="E87" s="158"/>
      <c r="F87" s="158"/>
      <c r="G87" s="161"/>
      <c r="H87" s="161"/>
      <c r="I87" s="161"/>
      <c r="J87" s="161"/>
    </row>
    <row r="88" spans="2:10">
      <c r="B88" s="158" t="str">
        <f>IF(OR(G$63="*",LEFT(B$59,1)="*"),"*R0,R1,R2,R3,R4,R5,R6","R0,R1,R2,R3,R4,R5,R6")</f>
        <v>R0,R1,R2,R3,R4,R5,R6</v>
      </c>
      <c r="C88" s="158" t="str">
        <f>CONCATENATE(Types!B13,"P2")</f>
        <v>RFLP2</v>
      </c>
      <c r="D88" s="158" t="str">
        <f>CONCATENATE(Types!C13,", PADD 2")</f>
        <v>Low Sulfur Residual Fuel Oil, PADD 2</v>
      </c>
      <c r="E88" s="158"/>
      <c r="F88" s="158"/>
      <c r="G88" s="161"/>
      <c r="H88" s="161"/>
      <c r="I88" s="161"/>
      <c r="J88" s="161"/>
    </row>
    <row r="89" spans="2:10">
      <c r="B89" s="158" t="str">
        <f>IF(OR(G$63="*",LEFT(B$60,1)="*"),"*R0,R1,R2,R3,R4,R5,R6","R0,R1,R2,R3,R4,R5,R6")</f>
        <v>*R0,R1,R2,R3,R4,R5,R6</v>
      </c>
      <c r="C89" s="158" t="s">
        <v>286</v>
      </c>
      <c r="D89" s="158" t="s">
        <v>287</v>
      </c>
      <c r="E89" s="158"/>
      <c r="F89" s="158"/>
      <c r="G89" s="161"/>
      <c r="H89" s="161"/>
      <c r="I89" s="161"/>
      <c r="J89" s="161"/>
    </row>
    <row r="90" spans="2:10">
      <c r="B90" s="158" t="s">
        <v>974</v>
      </c>
      <c r="C90" s="158" t="str">
        <f>CONCATENATE(Types!B2,"P3")</f>
        <v>DSHP3</v>
      </c>
      <c r="D90" s="158" t="str">
        <f>CONCATENATE(Types!C2,", PADD 3")</f>
        <v>Distillate-Heating Oil No. 2, PADD 3</v>
      </c>
      <c r="E90" s="158"/>
      <c r="F90" s="158"/>
      <c r="G90" s="161"/>
      <c r="H90" s="161"/>
      <c r="I90" s="161"/>
      <c r="J90" s="161"/>
    </row>
    <row r="91" spans="2:10">
      <c r="B91" s="158" t="s">
        <v>974</v>
      </c>
      <c r="C91" s="158" t="str">
        <f>CONCATENATE(Types!B3,"P3")</f>
        <v>DSLP3</v>
      </c>
      <c r="D91" s="158" t="str">
        <f>CONCATENATE(Types!C3,", PADD 3")</f>
        <v>Distillate-Low Sulfur Highway Diesel (500 ppm), PADD 3</v>
      </c>
      <c r="E91" s="158"/>
      <c r="F91" s="158"/>
      <c r="G91" s="161"/>
      <c r="H91" s="161"/>
      <c r="I91" s="161"/>
      <c r="J91" s="161"/>
    </row>
    <row r="92" spans="2:10">
      <c r="B92" s="158" t="s">
        <v>974</v>
      </c>
      <c r="C92" s="158" t="str">
        <f>CONCATENATE(Types!B4,"P3")</f>
        <v>DSUP3</v>
      </c>
      <c r="D92" s="158" t="str">
        <f>CONCATENATE(Types!C4,", PADD 3")</f>
        <v>Distillate-Ultralow Sulfur Highway Diesel (15 ppm), PADD 3</v>
      </c>
      <c r="E92" s="158"/>
      <c r="F92" s="158"/>
      <c r="G92" s="161"/>
      <c r="H92" s="161"/>
      <c r="I92" s="161"/>
      <c r="J92" s="161"/>
    </row>
    <row r="93" spans="2:10">
      <c r="B93" s="158" t="s">
        <v>974</v>
      </c>
      <c r="C93" s="158" t="str">
        <f>CONCATENATE(Types!B5,"P3")</f>
        <v>GSCP3</v>
      </c>
      <c r="D93" s="158" t="str">
        <f>CONCATENATE(Types!C5,", PADD 3")</f>
        <v>Conventional Gasoline, PADD 3</v>
      </c>
      <c r="E93" s="158"/>
      <c r="F93" s="158"/>
      <c r="G93" s="161"/>
      <c r="H93" s="161"/>
      <c r="I93" s="161"/>
      <c r="J93" s="161"/>
    </row>
    <row r="94" spans="2:10">
      <c r="B94" s="158" t="s">
        <v>974</v>
      </c>
      <c r="C94" s="158" t="str">
        <f>CONCATENATE(Types!B6,"P3")</f>
        <v>GSRP3</v>
      </c>
      <c r="D94" s="158" t="str">
        <f>CONCATENATE(Types!C6,", PADD 3")</f>
        <v>Reformulated Gasoline, PADD 3</v>
      </c>
      <c r="E94" s="158"/>
      <c r="F94" s="158"/>
      <c r="G94" s="161"/>
      <c r="H94" s="161"/>
      <c r="I94" s="161"/>
      <c r="J94" s="161"/>
    </row>
    <row r="95" spans="2:10">
      <c r="B95" s="158" t="str">
        <f>IF(OR(G$63="*",LEFT(B$53,1)="*"),"*R0,R1,R2,R3,R4,R5,R6","R0,R1,R2,R3,R4,R5,R6")</f>
        <v>*R0,R1,R2,R3,R4,R5,R6</v>
      </c>
      <c r="C95" s="158" t="str">
        <f>CONCATENATE(Types!B7,"P3")</f>
        <v>JTFP3</v>
      </c>
      <c r="D95" s="158" t="str">
        <f>CONCATENATE(Types!C7,", PADD 3")</f>
        <v>Jet Fuel, PADD 3</v>
      </c>
      <c r="E95" s="158"/>
      <c r="F95" s="158"/>
      <c r="G95" s="161"/>
      <c r="H95" s="161"/>
      <c r="I95" s="161"/>
      <c r="J95" s="161"/>
    </row>
    <row r="96" spans="2:10">
      <c r="B96" s="158" t="str">
        <f>IF(OR(G$63="*",LEFT(B$54,1)="*"),"*R0,R1,R2,R3,R4,R5,R6","R0,R1,R2,R3,R4,R5,R6")</f>
        <v>*R0,R1,R2,R3,R4,R5,R6</v>
      </c>
      <c r="C96" s="158" t="str">
        <f>CONCATENATE(Types!B8,"P3")</f>
        <v>KERP3</v>
      </c>
      <c r="D96" s="158" t="str">
        <f>CONCATENATE(Types!C8,", PADD 3")</f>
        <v>Kerosene and Other Refined Products, PADD 3</v>
      </c>
      <c r="E96" s="158"/>
      <c r="F96" s="158"/>
      <c r="G96" s="161"/>
      <c r="H96" s="161"/>
      <c r="I96" s="161"/>
      <c r="J96" s="161"/>
    </row>
    <row r="97" spans="2:10">
      <c r="B97" s="158" t="str">
        <f>IF(OR(G$63="*",LEFT(B$55,1)="*"),"*R0,R1,R2,R3,R4,R5,R6","R0,R1,R2,R3,R4,R5,R6")</f>
        <v>*R0,R1,R2,R3,R4,R5,R6</v>
      </c>
      <c r="C97" s="158" t="str">
        <f>CONCATENATE(Types!B9,"P3")</f>
        <v>LPGP3</v>
      </c>
      <c r="D97" s="158" t="str">
        <f>CONCATENATE(Types!C9,", PADD 3")</f>
        <v>LPG, PADD 3</v>
      </c>
      <c r="E97" s="158"/>
      <c r="F97" s="158"/>
      <c r="G97" s="161"/>
      <c r="H97" s="161"/>
      <c r="I97" s="161"/>
      <c r="J97" s="161"/>
    </row>
    <row r="98" spans="2:10">
      <c r="B98" s="158" t="str">
        <f>IF(OR(G$63="*",LEFT(B$56,1)="*"),"*R0,R1,R2,R3,R4,R5,R6","R0,R1,R2,R3,R4,R5,R6")</f>
        <v>*R0,R1,R2,R3,R4,R5,R6</v>
      </c>
      <c r="C98" s="158" t="str">
        <f>CONCATENATE(Types!B10,"P3")</f>
        <v>MTHP3</v>
      </c>
      <c r="D98" s="158" t="str">
        <f>CONCATENATE(Types!C10,", PADD 3")</f>
        <v>Methanol, PADD 3</v>
      </c>
      <c r="E98" s="158"/>
      <c r="F98" s="158"/>
      <c r="G98" s="161"/>
      <c r="H98" s="161"/>
      <c r="I98" s="161"/>
      <c r="J98" s="161"/>
    </row>
    <row r="99" spans="2:10">
      <c r="B99" s="158" t="str">
        <f>IF(OR(G$63="*",LEFT(B$57,1)="*"),"*R0,R1,R2,R3,R4,R5,R6","R0,R1,R2,R3,R4,R5,R6")</f>
        <v>*R0,R1,R2,R3,R4,R5,R6</v>
      </c>
      <c r="C99" s="158" t="str">
        <f>CONCATENATE(Types!B11,"P3")</f>
        <v>PFSP3</v>
      </c>
      <c r="D99" s="158" t="str">
        <f>CONCATENATE(Types!C11,", PADD 3")</f>
        <v>Petrochemical Feedstocks, PADD 3</v>
      </c>
      <c r="E99" s="158"/>
      <c r="F99" s="158"/>
      <c r="G99" s="161"/>
      <c r="H99" s="161"/>
      <c r="I99" s="161"/>
      <c r="J99" s="161"/>
    </row>
    <row r="100" spans="2:10">
      <c r="B100" s="158" t="str">
        <f>IF(OR(G$63="*",LEFT(B$58,1)="*"),"*R0,R1,R2,R3,R4,R5,R6","R0,R1,R2,R3,R4,R5,R6")</f>
        <v>*R0,R1,R2,R3,R4,R5,R6</v>
      </c>
      <c r="C100" s="158" t="str">
        <f>CONCATENATE(Types!B12,"P3")</f>
        <v>RFHP3</v>
      </c>
      <c r="D100" s="158" t="str">
        <f>CONCATENATE(Types!C12,", PADD 3")</f>
        <v>High Sulfur Residual Fuel Oil, PADD 3</v>
      </c>
      <c r="E100" s="158"/>
      <c r="F100" s="158"/>
      <c r="G100" s="161"/>
      <c r="H100" s="161"/>
      <c r="I100" s="161"/>
      <c r="J100" s="161"/>
    </row>
    <row r="101" spans="2:10">
      <c r="B101" s="158" t="str">
        <f>IF(OR(G$63="*",LEFT(B$59,1)="*"),"*R0,R1,R2,R3,R4,R5,R6","R0,R1,R2,R3,R4,R5,R6")</f>
        <v>R0,R1,R2,R3,R4,R5,R6</v>
      </c>
      <c r="C101" s="158" t="str">
        <f>CONCATENATE(Types!B13,"P3")</f>
        <v>RFLP3</v>
      </c>
      <c r="D101" s="158" t="str">
        <f>CONCATENATE(Types!C13,", PADD 3")</f>
        <v>Low Sulfur Residual Fuel Oil, PADD 3</v>
      </c>
      <c r="E101" s="158"/>
      <c r="F101" s="158"/>
      <c r="G101" s="161"/>
      <c r="H101" s="161"/>
      <c r="I101" s="161"/>
      <c r="J101" s="161"/>
    </row>
    <row r="102" spans="2:10">
      <c r="B102" s="158" t="str">
        <f>IF(OR(G$63="*",LEFT(B$60,1)="*"),"*R0,R1,R2,R3,R4,R5,R6","R0,R1,R2,R3,R4,R5,R6")</f>
        <v>*R0,R1,R2,R3,R4,R5,R6</v>
      </c>
      <c r="C102" s="158" t="s">
        <v>288</v>
      </c>
      <c r="D102" s="158" t="s">
        <v>289</v>
      </c>
      <c r="E102" s="158"/>
      <c r="F102" s="158"/>
      <c r="G102" s="161"/>
      <c r="H102" s="161"/>
      <c r="I102" s="161"/>
      <c r="J102" s="161"/>
    </row>
    <row r="103" spans="2:10">
      <c r="B103" s="158" t="s">
        <v>398</v>
      </c>
      <c r="C103" s="158" t="str">
        <f>CONCATENATE(Types!B2,"P4")</f>
        <v>DSHP4</v>
      </c>
      <c r="D103" s="158" t="str">
        <f>CONCATENATE(Types!C2,", PADD 4")</f>
        <v>Distillate-Heating Oil No. 2, PADD 4</v>
      </c>
      <c r="E103" s="158"/>
      <c r="F103" s="158"/>
      <c r="G103" s="161"/>
      <c r="H103" s="161"/>
      <c r="I103" s="161"/>
      <c r="J103" s="161"/>
    </row>
    <row r="104" spans="2:10">
      <c r="B104" s="158" t="s">
        <v>398</v>
      </c>
      <c r="C104" s="158" t="str">
        <f>CONCATENATE(Types!B3,"P4")</f>
        <v>DSLP4</v>
      </c>
      <c r="D104" s="158" t="str">
        <f>CONCATENATE(Types!C3,", PADD 4")</f>
        <v>Distillate-Low Sulfur Highway Diesel (500 ppm), PADD 4</v>
      </c>
      <c r="E104" s="158"/>
      <c r="F104" s="158"/>
      <c r="G104" s="161"/>
      <c r="H104" s="161"/>
      <c r="I104" s="161"/>
      <c r="J104" s="161"/>
    </row>
    <row r="105" spans="2:10">
      <c r="B105" s="158" t="s">
        <v>398</v>
      </c>
      <c r="C105" s="158" t="str">
        <f>CONCATENATE(Types!B4,"P4")</f>
        <v>DSUP4</v>
      </c>
      <c r="D105" s="158" t="str">
        <f>CONCATENATE(Types!C4,", PADD 4")</f>
        <v>Distillate-Ultralow Sulfur Highway Diesel (15 ppm), PADD 4</v>
      </c>
      <c r="E105" s="158"/>
      <c r="F105" s="158"/>
      <c r="G105" s="161"/>
      <c r="H105" s="161"/>
      <c r="I105" s="161"/>
      <c r="J105" s="161"/>
    </row>
    <row r="106" spans="2:10">
      <c r="B106" s="158" t="s">
        <v>398</v>
      </c>
      <c r="C106" s="158" t="str">
        <f>CONCATENATE(Types!B5,"P4")</f>
        <v>GSCP4</v>
      </c>
      <c r="D106" s="158" t="str">
        <f>CONCATENATE(Types!C5,", PADD 4")</f>
        <v>Conventional Gasoline, PADD 4</v>
      </c>
      <c r="E106" s="158"/>
      <c r="F106" s="158"/>
      <c r="G106" s="161"/>
      <c r="H106" s="161"/>
      <c r="I106" s="161"/>
      <c r="J106" s="161"/>
    </row>
    <row r="107" spans="2:10">
      <c r="B107" s="158" t="s">
        <v>398</v>
      </c>
      <c r="C107" s="158" t="str">
        <f>CONCATENATE(Types!B6,"P4")</f>
        <v>GSRP4</v>
      </c>
      <c r="D107" s="158" t="str">
        <f>CONCATENATE(Types!C6,", PADD 4")</f>
        <v>Reformulated Gasoline, PADD 4</v>
      </c>
      <c r="E107" s="158"/>
      <c r="F107" s="158"/>
      <c r="G107" s="161"/>
      <c r="H107" s="161"/>
      <c r="I107" s="161"/>
      <c r="J107" s="161"/>
    </row>
    <row r="108" spans="2:10">
      <c r="B108" s="158" t="s">
        <v>398</v>
      </c>
      <c r="C108" s="158" t="str">
        <f>CONCATENATE(Types!B7,"P4")</f>
        <v>JTFP4</v>
      </c>
      <c r="D108" s="158" t="str">
        <f>CONCATENATE(Types!C7,", PADD 4")</f>
        <v>Jet Fuel, PADD 4</v>
      </c>
      <c r="E108" s="158"/>
      <c r="F108" s="158"/>
      <c r="G108" s="161"/>
      <c r="H108" s="161"/>
      <c r="I108" s="161"/>
      <c r="J108" s="161"/>
    </row>
    <row r="109" spans="2:10">
      <c r="B109" s="158" t="s">
        <v>398</v>
      </c>
      <c r="C109" s="158" t="str">
        <f>CONCATENATE(Types!B8,"P4")</f>
        <v>KERP4</v>
      </c>
      <c r="D109" s="158" t="str">
        <f>CONCATENATE(Types!C8,", PADD 4")</f>
        <v>Kerosene and Other Refined Products, PADD 4</v>
      </c>
      <c r="E109" s="158"/>
      <c r="F109" s="158"/>
      <c r="G109" s="161"/>
      <c r="H109" s="161"/>
      <c r="I109" s="161"/>
      <c r="J109" s="161"/>
    </row>
    <row r="110" spans="2:10">
      <c r="B110" s="158" t="s">
        <v>398</v>
      </c>
      <c r="C110" s="158" t="str">
        <f>CONCATENATE(Types!B9,"P4")</f>
        <v>LPGP4</v>
      </c>
      <c r="D110" s="158" t="str">
        <f>CONCATENATE(Types!C9,", PADD 4")</f>
        <v>LPG, PADD 4</v>
      </c>
      <c r="E110" s="158"/>
      <c r="F110" s="158"/>
      <c r="G110" s="161"/>
      <c r="H110" s="161"/>
      <c r="I110" s="161"/>
      <c r="J110" s="161"/>
    </row>
    <row r="111" spans="2:10">
      <c r="B111" s="158" t="s">
        <v>398</v>
      </c>
      <c r="C111" s="158" t="str">
        <f>CONCATENATE(Types!B10,"P4")</f>
        <v>MTHP4</v>
      </c>
      <c r="D111" s="158" t="str">
        <f>CONCATENATE(Types!C10,", PADD 4")</f>
        <v>Methanol, PADD 4</v>
      </c>
      <c r="E111" s="158"/>
      <c r="F111" s="158"/>
      <c r="G111" s="161"/>
      <c r="H111" s="161"/>
      <c r="I111" s="161"/>
      <c r="J111" s="161"/>
    </row>
    <row r="112" spans="2:10">
      <c r="B112" s="158" t="s">
        <v>398</v>
      </c>
      <c r="C112" s="158" t="str">
        <f>CONCATENATE(Types!B11,"P4")</f>
        <v>PFSP4</v>
      </c>
      <c r="D112" s="158" t="str">
        <f>CONCATENATE(Types!C11,", PADD 4")</f>
        <v>Petrochemical Feedstocks, PADD 4</v>
      </c>
      <c r="E112" s="158"/>
      <c r="F112" s="158"/>
      <c r="G112" s="161"/>
      <c r="H112" s="161"/>
      <c r="I112" s="161"/>
      <c r="J112" s="161"/>
    </row>
    <row r="113" spans="2:10">
      <c r="B113" s="158" t="s">
        <v>398</v>
      </c>
      <c r="C113" s="158" t="str">
        <f>CONCATENATE(Types!B12,"P4")</f>
        <v>RFHP4</v>
      </c>
      <c r="D113" s="158" t="str">
        <f>CONCATENATE(Types!C12,", PADD 4")</f>
        <v>High Sulfur Residual Fuel Oil, PADD 4</v>
      </c>
      <c r="E113" s="158"/>
      <c r="F113" s="158"/>
      <c r="G113" s="161"/>
      <c r="H113" s="161"/>
      <c r="I113" s="161"/>
      <c r="J113" s="161"/>
    </row>
    <row r="114" spans="2:10">
      <c r="B114" s="158" t="s">
        <v>398</v>
      </c>
      <c r="C114" s="158" t="str">
        <f>CONCATENATE(Types!B13,"P4")</f>
        <v>RFLP4</v>
      </c>
      <c r="D114" s="158" t="str">
        <f>CONCATENATE(Types!C13,", PADD 4")</f>
        <v>Low Sulfur Residual Fuel Oil, PADD 4</v>
      </c>
      <c r="E114" s="158"/>
      <c r="F114" s="158"/>
      <c r="G114" s="161"/>
      <c r="H114" s="161"/>
      <c r="I114" s="161"/>
      <c r="J114" s="161"/>
    </row>
    <row r="115" spans="2:10">
      <c r="B115" s="158" t="s">
        <v>398</v>
      </c>
      <c r="C115" s="158" t="s">
        <v>290</v>
      </c>
      <c r="D115" s="158" t="s">
        <v>291</v>
      </c>
      <c r="E115" s="158"/>
      <c r="F115" s="158"/>
      <c r="G115" s="161"/>
      <c r="H115" s="161"/>
      <c r="I115" s="161"/>
      <c r="J115" s="161"/>
    </row>
    <row r="116" spans="2:10">
      <c r="B116" s="158" t="s">
        <v>398</v>
      </c>
      <c r="C116" s="158" t="str">
        <f>CONCATENATE(Types!B2,"P5")</f>
        <v>DSHP5</v>
      </c>
      <c r="D116" s="158" t="str">
        <f>CONCATENATE(Types!C2,", PADD 5")</f>
        <v>Distillate-Heating Oil No. 2, PADD 5</v>
      </c>
      <c r="E116" s="158"/>
      <c r="F116" s="158"/>
      <c r="G116" s="161"/>
      <c r="H116" s="161"/>
      <c r="I116" s="161"/>
      <c r="J116" s="161"/>
    </row>
    <row r="117" spans="2:10">
      <c r="B117" s="158" t="s">
        <v>398</v>
      </c>
      <c r="C117" s="158" t="str">
        <f>CONCATENATE(Types!B3,"P5")</f>
        <v>DSLP5</v>
      </c>
      <c r="D117" s="158" t="str">
        <f>CONCATENATE(Types!C3,", PADD 5")</f>
        <v>Distillate-Low Sulfur Highway Diesel (500 ppm), PADD 5</v>
      </c>
      <c r="E117" s="158"/>
      <c r="F117" s="158"/>
      <c r="G117" s="161"/>
      <c r="H117" s="161"/>
      <c r="I117" s="161"/>
      <c r="J117" s="161"/>
    </row>
    <row r="118" spans="2:10">
      <c r="B118" s="158" t="s">
        <v>398</v>
      </c>
      <c r="C118" s="158" t="str">
        <f>CONCATENATE(Types!B4,"P5")</f>
        <v>DSUP5</v>
      </c>
      <c r="D118" s="158" t="str">
        <f>CONCATENATE(Types!C4,", PADD 5")</f>
        <v>Distillate-Ultralow Sulfur Highway Diesel (15 ppm), PADD 5</v>
      </c>
      <c r="E118" s="158"/>
      <c r="F118" s="158"/>
      <c r="G118" s="161"/>
      <c r="H118" s="161"/>
      <c r="I118" s="161"/>
      <c r="J118" s="161"/>
    </row>
    <row r="119" spans="2:10">
      <c r="B119" s="158" t="s">
        <v>398</v>
      </c>
      <c r="C119" s="158" t="str">
        <f>CONCATENATE(Types!B5,"P5")</f>
        <v>GSCP5</v>
      </c>
      <c r="D119" s="158" t="str">
        <f>CONCATENATE(Types!C5,", PADD 5")</f>
        <v>Conventional Gasoline, PADD 5</v>
      </c>
      <c r="E119" s="158"/>
      <c r="F119" s="158"/>
      <c r="G119" s="161"/>
      <c r="H119" s="161"/>
      <c r="I119" s="161"/>
      <c r="J119" s="161"/>
    </row>
    <row r="120" spans="2:10">
      <c r="B120" s="158" t="s">
        <v>398</v>
      </c>
      <c r="C120" s="158" t="str">
        <f>CONCATENATE(Types!B6,"P5")</f>
        <v>GSRP5</v>
      </c>
      <c r="D120" s="158" t="str">
        <f>CONCATENATE(Types!C6,", PADD 5")</f>
        <v>Reformulated Gasoline, PADD 5</v>
      </c>
      <c r="E120" s="158"/>
      <c r="F120" s="158"/>
      <c r="G120" s="161"/>
      <c r="H120" s="161"/>
      <c r="I120" s="161"/>
      <c r="J120" s="161"/>
    </row>
    <row r="121" spans="2:10">
      <c r="B121" s="158" t="s">
        <v>398</v>
      </c>
      <c r="C121" s="158" t="str">
        <f>CONCATENATE(Types!B7,"P5")</f>
        <v>JTFP5</v>
      </c>
      <c r="D121" s="158" t="str">
        <f>CONCATENATE(Types!C7,", PADD 5")</f>
        <v>Jet Fuel, PADD 5</v>
      </c>
      <c r="E121" s="158"/>
      <c r="F121" s="158"/>
      <c r="G121" s="161"/>
      <c r="H121" s="161"/>
      <c r="I121" s="161"/>
      <c r="J121" s="161"/>
    </row>
    <row r="122" spans="2:10">
      <c r="B122" s="158" t="s">
        <v>398</v>
      </c>
      <c r="C122" s="158" t="str">
        <f>CONCATENATE(Types!B8,"P5")</f>
        <v>KERP5</v>
      </c>
      <c r="D122" s="158" t="str">
        <f>CONCATENATE(Types!C8,", PADD 5")</f>
        <v>Kerosene and Other Refined Products, PADD 5</v>
      </c>
      <c r="E122" s="158"/>
      <c r="F122" s="158"/>
      <c r="G122" s="161"/>
      <c r="H122" s="161"/>
      <c r="I122" s="161"/>
      <c r="J122" s="161"/>
    </row>
    <row r="123" spans="2:10">
      <c r="B123" s="158" t="s">
        <v>398</v>
      </c>
      <c r="C123" s="158" t="str">
        <f>CONCATENATE(Types!B9,"P5")</f>
        <v>LPGP5</v>
      </c>
      <c r="D123" s="158" t="str">
        <f>CONCATENATE(Types!C9,", PADD 5")</f>
        <v>LPG, PADD 5</v>
      </c>
      <c r="E123" s="158"/>
      <c r="F123" s="158"/>
      <c r="G123" s="161"/>
      <c r="H123" s="161"/>
      <c r="I123" s="161"/>
      <c r="J123" s="161"/>
    </row>
    <row r="124" spans="2:10">
      <c r="B124" s="158" t="s">
        <v>398</v>
      </c>
      <c r="C124" s="158" t="str">
        <f>CONCATENATE(Types!B10,"P5")</f>
        <v>MTHP5</v>
      </c>
      <c r="D124" s="158" t="str">
        <f>CONCATENATE(Types!C10,", PADD 5")</f>
        <v>Methanol, PADD 5</v>
      </c>
      <c r="E124" s="158"/>
      <c r="F124" s="158"/>
      <c r="G124" s="161"/>
      <c r="H124" s="161"/>
      <c r="I124" s="161"/>
      <c r="J124" s="161"/>
    </row>
    <row r="125" spans="2:10">
      <c r="B125" s="158" t="s">
        <v>398</v>
      </c>
      <c r="C125" s="158" t="str">
        <f>CONCATENATE(Types!B11,"P5")</f>
        <v>PFSP5</v>
      </c>
      <c r="D125" s="158" t="str">
        <f>CONCATENATE(Types!C11,", PADD 5")</f>
        <v>Petrochemical Feedstocks, PADD 5</v>
      </c>
      <c r="E125" s="158"/>
      <c r="F125" s="158"/>
      <c r="G125" s="161"/>
      <c r="H125" s="161"/>
      <c r="I125" s="161"/>
      <c r="J125" s="161"/>
    </row>
    <row r="126" spans="2:10">
      <c r="B126" s="158" t="s">
        <v>398</v>
      </c>
      <c r="C126" s="158" t="str">
        <f>CONCATENATE(Types!B12,"P5")</f>
        <v>RFHP5</v>
      </c>
      <c r="D126" s="158" t="str">
        <f>CONCATENATE(Types!C12,", PADD 5")</f>
        <v>High Sulfur Residual Fuel Oil, PADD 5</v>
      </c>
      <c r="E126" s="158"/>
      <c r="F126" s="158"/>
      <c r="G126" s="161"/>
      <c r="H126" s="161"/>
      <c r="I126" s="161"/>
      <c r="J126" s="161"/>
    </row>
    <row r="127" spans="2:10">
      <c r="B127" s="158" t="s">
        <v>398</v>
      </c>
      <c r="C127" s="158" t="str">
        <f>CONCATENATE(Types!B13,"P5")</f>
        <v>RFLP5</v>
      </c>
      <c r="D127" s="158" t="str">
        <f>CONCATENATE(Types!C13,", PADD 5")</f>
        <v>Low Sulfur Residual Fuel Oil, PADD 5</v>
      </c>
      <c r="E127" s="158"/>
      <c r="F127" s="158"/>
      <c r="G127" s="161"/>
      <c r="H127" s="161"/>
      <c r="I127" s="161"/>
      <c r="J127" s="161"/>
    </row>
    <row r="128" spans="2:10">
      <c r="B128" s="158" t="s">
        <v>398</v>
      </c>
      <c r="C128" s="158" t="s">
        <v>292</v>
      </c>
      <c r="D128" s="158" t="s">
        <v>293</v>
      </c>
      <c r="E128" s="158"/>
      <c r="F128" s="158"/>
      <c r="G128" s="161"/>
      <c r="H128" s="161"/>
      <c r="I128" s="161"/>
      <c r="J128" s="161"/>
    </row>
    <row r="129" spans="2:10">
      <c r="B129" s="160" t="s">
        <v>294</v>
      </c>
      <c r="C129" s="160"/>
      <c r="D129" s="160"/>
      <c r="E129" s="160"/>
      <c r="F129" s="160"/>
      <c r="G129" s="162" t="s">
        <v>398</v>
      </c>
      <c r="H129" s="157"/>
      <c r="I129" s="157"/>
      <c r="J129" s="157"/>
    </row>
    <row r="130" spans="2:10">
      <c r="B130" s="158" t="s">
        <v>1097</v>
      </c>
      <c r="C130" s="158" t="str">
        <f>CONCATENATE(C48,"R1")</f>
        <v>GSCR1</v>
      </c>
      <c r="D130" s="158" t="str">
        <f>CONCATENATE(D48," Imported from ",RIGHT(C130,2))</f>
        <v>Conventional Gasoline Imported from R1</v>
      </c>
      <c r="E130" s="158"/>
      <c r="F130" s="158" t="s">
        <v>1117</v>
      </c>
      <c r="G130" s="161"/>
      <c r="H130" s="161"/>
      <c r="I130" s="161"/>
      <c r="J130" s="161"/>
    </row>
    <row r="131" spans="2:10">
      <c r="B131" s="158" t="s">
        <v>1097</v>
      </c>
      <c r="C131" s="158" t="str">
        <f t="shared" ref="C131:C142" si="0">CONCATENATE(C49,"R1")</f>
        <v>GSRR1</v>
      </c>
      <c r="D131" s="158" t="str">
        <f t="shared" ref="D131:D142" si="1">CONCATENATE(D49," Imported from ",RIGHT(C131,2))</f>
        <v>Reformulated Gasoline Imported from R1</v>
      </c>
      <c r="E131" s="158"/>
      <c r="F131" s="158"/>
      <c r="G131" s="161"/>
      <c r="H131" s="161"/>
      <c r="I131" s="161"/>
      <c r="J131" s="161"/>
    </row>
    <row r="132" spans="2:10">
      <c r="B132" s="158" t="s">
        <v>1097</v>
      </c>
      <c r="C132" s="158" t="str">
        <f t="shared" si="0"/>
        <v>DSHR1</v>
      </c>
      <c r="D132" s="158" t="str">
        <f t="shared" si="1"/>
        <v>Distillate-Heating Oil No. 2 Imported from R1</v>
      </c>
      <c r="E132" s="158"/>
      <c r="F132" s="158"/>
      <c r="G132" s="161"/>
      <c r="H132" s="161"/>
      <c r="I132" s="161"/>
      <c r="J132" s="161"/>
    </row>
    <row r="133" spans="2:10">
      <c r="B133" s="158" t="s">
        <v>1097</v>
      </c>
      <c r="C133" s="158" t="str">
        <f t="shared" si="0"/>
        <v>DSLR1</v>
      </c>
      <c r="D133" s="158" t="str">
        <f t="shared" si="1"/>
        <v>Distillate-Low Sulfur Highway Diesel (500 ppm) Imported from R1</v>
      </c>
      <c r="E133" s="158"/>
      <c r="F133" s="158"/>
      <c r="G133" s="161"/>
      <c r="H133" s="161"/>
      <c r="I133" s="161"/>
      <c r="J133" s="161"/>
    </row>
    <row r="134" spans="2:10">
      <c r="B134" s="158" t="s">
        <v>1097</v>
      </c>
      <c r="C134" s="158" t="str">
        <f t="shared" si="0"/>
        <v>DSUR1</v>
      </c>
      <c r="D134" s="158" t="str">
        <f t="shared" si="1"/>
        <v>Distillate-Ultralow Sulfur Highway Diesel (15 ppm) Imported from R1</v>
      </c>
      <c r="E134" s="158"/>
      <c r="F134" s="158"/>
      <c r="G134" s="161"/>
      <c r="H134" s="161"/>
      <c r="I134" s="161"/>
      <c r="J134" s="161"/>
    </row>
    <row r="135" spans="2:10">
      <c r="B135" s="158" t="str">
        <f>IF(LEFT(Commodities!B$53,1)="*","*","R1,R2,R3,R4,R5,R6")</f>
        <v>*</v>
      </c>
      <c r="C135" s="158" t="str">
        <f t="shared" si="0"/>
        <v>JTFR1</v>
      </c>
      <c r="D135" s="158" t="str">
        <f t="shared" si="1"/>
        <v>Jet Fuel Imported from R1</v>
      </c>
      <c r="E135" s="158"/>
      <c r="F135" s="158"/>
      <c r="G135" s="161"/>
      <c r="H135" s="161"/>
      <c r="I135" s="161"/>
      <c r="J135" s="161"/>
    </row>
    <row r="136" spans="2:10">
      <c r="B136" s="158" t="str">
        <f>IF(LEFT(Commodities!B$54,1)="*","*","R1,R2,R3,R4,R5,R6")</f>
        <v>*</v>
      </c>
      <c r="C136" s="158" t="str">
        <f t="shared" si="0"/>
        <v>KERR1</v>
      </c>
      <c r="D136" s="158" t="str">
        <f t="shared" si="1"/>
        <v>Kerosene and Other Refined Products Imported from R1</v>
      </c>
      <c r="E136" s="158"/>
      <c r="F136" s="158"/>
      <c r="G136" s="161"/>
      <c r="H136" s="161"/>
      <c r="I136" s="161"/>
      <c r="J136" s="161"/>
    </row>
    <row r="137" spans="2:10">
      <c r="B137" s="158" t="str">
        <f>IF(LEFT(Commodities!B$55,1)="*","*","R1,R2,R3,R4,R5,R6")</f>
        <v>*</v>
      </c>
      <c r="C137" s="158" t="str">
        <f t="shared" si="0"/>
        <v>LPGR1</v>
      </c>
      <c r="D137" s="158" t="str">
        <f t="shared" si="1"/>
        <v>LPG Imported from R1</v>
      </c>
      <c r="E137" s="158"/>
      <c r="F137" s="158"/>
      <c r="G137" s="161"/>
      <c r="H137" s="161"/>
      <c r="I137" s="161"/>
      <c r="J137" s="161"/>
    </row>
    <row r="138" spans="2:10">
      <c r="B138" s="158" t="str">
        <f>IF(LEFT(Commodities!B$56,1)="*","*","R1,R2,R3,R4,R5,R6")</f>
        <v>*</v>
      </c>
      <c r="C138" s="158" t="str">
        <f t="shared" si="0"/>
        <v>MTHR1</v>
      </c>
      <c r="D138" s="158" t="str">
        <f t="shared" si="1"/>
        <v>Methanol Imported from R1</v>
      </c>
      <c r="E138" s="158"/>
      <c r="F138" s="158"/>
      <c r="G138" s="161"/>
      <c r="H138" s="161"/>
      <c r="I138" s="161"/>
      <c r="J138" s="161"/>
    </row>
    <row r="139" spans="2:10">
      <c r="B139" s="158" t="str">
        <f>IF(LEFT(Commodities!B$57,1)="*","*","R1,R2,R3,R4,R5,R6")</f>
        <v>*</v>
      </c>
      <c r="C139" s="158" t="str">
        <f t="shared" si="0"/>
        <v>PFSR1</v>
      </c>
      <c r="D139" s="158" t="str">
        <f t="shared" si="1"/>
        <v>Petrochemical Feedstocks Imported from R1</v>
      </c>
      <c r="E139" s="158"/>
      <c r="F139" s="158"/>
      <c r="G139" s="161"/>
      <c r="H139" s="161"/>
      <c r="I139" s="161"/>
      <c r="J139" s="161"/>
    </row>
    <row r="140" spans="2:10">
      <c r="B140" s="158" t="str">
        <f>IF(LEFT(Commodities!B$58,1)="*","*","R1,R2,R3,R4,R5,R6")</f>
        <v>*</v>
      </c>
      <c r="C140" s="158" t="str">
        <f t="shared" si="0"/>
        <v>RFHR1</v>
      </c>
      <c r="D140" s="158" t="str">
        <f t="shared" si="1"/>
        <v>High Sulfur Residual Fuel Oil Imported from R1</v>
      </c>
      <c r="E140" s="158"/>
      <c r="F140" s="158"/>
      <c r="G140" s="161"/>
      <c r="H140" s="161"/>
      <c r="I140" s="161"/>
      <c r="J140" s="161"/>
    </row>
    <row r="141" spans="2:10">
      <c r="B141" s="158" t="s">
        <v>1097</v>
      </c>
      <c r="C141" s="158" t="str">
        <f t="shared" si="0"/>
        <v>RFLR1</v>
      </c>
      <c r="D141" s="158" t="str">
        <f t="shared" si="1"/>
        <v>Low Sulfur Residual Fuel Oil Imported from R1</v>
      </c>
      <c r="E141" s="158"/>
      <c r="F141" s="158"/>
      <c r="G141" s="161"/>
      <c r="H141" s="161"/>
      <c r="I141" s="161"/>
      <c r="J141" s="161"/>
    </row>
    <row r="142" spans="2:10">
      <c r="B142" s="158" t="str">
        <f>IF(LEFT(Commodities!B$60,1)="*","*","R1,R2,R3,R4,R5,R6")</f>
        <v>*</v>
      </c>
      <c r="C142" s="158" t="str">
        <f t="shared" si="0"/>
        <v>ASPR1</v>
      </c>
      <c r="D142" s="158" t="str">
        <f t="shared" si="1"/>
        <v>Asphalt Imported from R1</v>
      </c>
      <c r="E142" s="158"/>
      <c r="F142" s="158"/>
      <c r="G142" s="161"/>
      <c r="H142" s="161"/>
      <c r="I142" s="161"/>
      <c r="J142" s="161"/>
    </row>
    <row r="143" spans="2:10">
      <c r="B143" s="158" t="str">
        <f>IF(OR(G$129="*",LEFT(Commodities!B$48,1)="*"),"*","R3,R4,R5")</f>
        <v>*</v>
      </c>
      <c r="C143" s="158" t="e">
        <f>CONCATENATE(C48,#REF!)</f>
        <v>#REF!</v>
      </c>
      <c r="D143" s="158" t="e">
        <f>CONCATENATE(D48," Imported from ",#REF!)</f>
        <v>#REF!</v>
      </c>
      <c r="E143" s="158"/>
      <c r="F143" s="158"/>
      <c r="G143" s="161"/>
      <c r="H143" s="161"/>
      <c r="I143" s="161"/>
      <c r="J143" s="161"/>
    </row>
    <row r="144" spans="2:10">
      <c r="B144" s="158" t="str">
        <f>IF(OR(G$129="*",LEFT(Commodities!B$49,1)="*"),"*","R3,R4,R5")</f>
        <v>*</v>
      </c>
      <c r="C144" s="158" t="e">
        <f>CONCATENATE(C49,#REF!)</f>
        <v>#REF!</v>
      </c>
      <c r="D144" s="158" t="e">
        <f>CONCATENATE(D49," Imported from ",#REF!)</f>
        <v>#REF!</v>
      </c>
      <c r="E144" s="158"/>
      <c r="F144" s="158"/>
      <c r="G144" s="161"/>
      <c r="H144" s="161"/>
      <c r="I144" s="161"/>
      <c r="J144" s="161"/>
    </row>
    <row r="145" spans="2:10">
      <c r="B145" s="158" t="str">
        <f>IF(OR(G$129="*",LEFT(Commodities!B$50,1)="*"),"*","R3,R4,R5")</f>
        <v>*</v>
      </c>
      <c r="C145" s="158" t="e">
        <f>CONCATENATE(C50,#REF!)</f>
        <v>#REF!</v>
      </c>
      <c r="D145" s="158" t="e">
        <f>CONCATENATE(D50," Imported from ",#REF!)</f>
        <v>#REF!</v>
      </c>
      <c r="E145" s="158"/>
      <c r="F145" s="158"/>
      <c r="G145" s="161"/>
      <c r="H145" s="161"/>
      <c r="I145" s="161"/>
      <c r="J145" s="161"/>
    </row>
    <row r="146" spans="2:10">
      <c r="B146" s="158" t="str">
        <f>IF(OR(G$129="*",LEFT(Commodities!B$51,1)="*"),"*","R3,R4,R5")</f>
        <v>*</v>
      </c>
      <c r="C146" s="158" t="e">
        <f>CONCATENATE(C51,#REF!)</f>
        <v>#REF!</v>
      </c>
      <c r="D146" s="158" t="e">
        <f>CONCATENATE(D51," Imported from ",#REF!)</f>
        <v>#REF!</v>
      </c>
      <c r="E146" s="158"/>
      <c r="F146" s="158"/>
      <c r="G146" s="161"/>
      <c r="H146" s="161"/>
      <c r="I146" s="161"/>
      <c r="J146" s="161"/>
    </row>
    <row r="147" spans="2:10">
      <c r="B147" s="158" t="str">
        <f>IF(OR(G$129="*",LEFT(Commodities!B$52,1)="*"),"*","R3,R4,R5")</f>
        <v>*</v>
      </c>
      <c r="C147" s="158" t="e">
        <f>CONCATENATE(C52,#REF!)</f>
        <v>#REF!</v>
      </c>
      <c r="D147" s="158" t="e">
        <f>CONCATENATE(D52," Imported from ",#REF!)</f>
        <v>#REF!</v>
      </c>
      <c r="E147" s="158"/>
      <c r="F147" s="158"/>
      <c r="G147" s="161"/>
      <c r="H147" s="161"/>
      <c r="I147" s="161"/>
      <c r="J147" s="161"/>
    </row>
    <row r="148" spans="2:10">
      <c r="B148" s="158" t="str">
        <f>IF(OR(G$129="*",LEFT(Commodities!B$53,1)="*"),"*","R3,R4,R5")</f>
        <v>*</v>
      </c>
      <c r="C148" s="158" t="e">
        <f>CONCATENATE(C53,#REF!)</f>
        <v>#REF!</v>
      </c>
      <c r="D148" s="158" t="e">
        <f>CONCATENATE(D53," Imported from ",#REF!)</f>
        <v>#REF!</v>
      </c>
      <c r="E148" s="158"/>
      <c r="F148" s="158"/>
      <c r="G148" s="161"/>
      <c r="H148" s="161"/>
      <c r="I148" s="161"/>
      <c r="J148" s="161"/>
    </row>
    <row r="149" spans="2:10">
      <c r="B149" s="158" t="str">
        <f>IF(OR(G$129="*",LEFT(Commodities!B$54,1)="*"),"*","R3,R4,R5")</f>
        <v>*</v>
      </c>
      <c r="C149" s="158" t="e">
        <f>CONCATENATE(C54,#REF!)</f>
        <v>#REF!</v>
      </c>
      <c r="D149" s="158" t="e">
        <f>CONCATENATE(D54," Imported from ",#REF!)</f>
        <v>#REF!</v>
      </c>
      <c r="E149" s="158"/>
      <c r="F149" s="158"/>
      <c r="G149" s="161"/>
      <c r="H149" s="161"/>
      <c r="I149" s="161"/>
      <c r="J149" s="161"/>
    </row>
    <row r="150" spans="2:10">
      <c r="B150" s="158" t="str">
        <f>IF(OR(G$129="*",LEFT(Commodities!B$55,1)="*"),"*","R3,R4,R5")</f>
        <v>*</v>
      </c>
      <c r="C150" s="158" t="e">
        <f>CONCATENATE(C55,#REF!)</f>
        <v>#REF!</v>
      </c>
      <c r="D150" s="158" t="e">
        <f>CONCATENATE(D55," Imported from ",#REF!)</f>
        <v>#REF!</v>
      </c>
      <c r="E150" s="158"/>
      <c r="F150" s="158"/>
      <c r="G150" s="161"/>
      <c r="H150" s="161"/>
      <c r="I150" s="161"/>
      <c r="J150" s="161"/>
    </row>
    <row r="151" spans="2:10">
      <c r="B151" s="158" t="str">
        <f>IF(OR(G$129="*",LEFT(Commodities!B$56,1)="*"),"*","R3,R4,R5")</f>
        <v>*</v>
      </c>
      <c r="C151" s="158" t="e">
        <f>CONCATENATE(C56,#REF!)</f>
        <v>#REF!</v>
      </c>
      <c r="D151" s="158" t="e">
        <f>CONCATENATE(D56," Imported from ",#REF!)</f>
        <v>#REF!</v>
      </c>
      <c r="E151" s="158"/>
      <c r="F151" s="158"/>
      <c r="G151" s="161"/>
      <c r="H151" s="161"/>
      <c r="I151" s="161"/>
      <c r="J151" s="161"/>
    </row>
    <row r="152" spans="2:10">
      <c r="B152" s="158" t="str">
        <f>IF(OR(G$129="*",LEFT(Commodities!B$57,1)="*"),"*","R3,R4,R5")</f>
        <v>*</v>
      </c>
      <c r="C152" s="158" t="e">
        <f>CONCATENATE(C57,#REF!)</f>
        <v>#REF!</v>
      </c>
      <c r="D152" s="158" t="e">
        <f>CONCATENATE(D57," Imported from ",#REF!)</f>
        <v>#REF!</v>
      </c>
      <c r="E152" s="158"/>
      <c r="F152" s="158"/>
      <c r="G152" s="161"/>
      <c r="H152" s="161"/>
      <c r="I152" s="161"/>
      <c r="J152" s="161"/>
    </row>
    <row r="153" spans="2:10">
      <c r="B153" s="158" t="str">
        <f>IF(OR(G$129="*",LEFT(Commodities!B$58,1)="*"),"*","R3,R4,R5")</f>
        <v>*</v>
      </c>
      <c r="C153" s="158" t="e">
        <f>CONCATENATE(C58,#REF!)</f>
        <v>#REF!</v>
      </c>
      <c r="D153" s="158" t="e">
        <f>CONCATENATE(D58," Imported from ",#REF!)</f>
        <v>#REF!</v>
      </c>
      <c r="E153" s="158"/>
      <c r="F153" s="158"/>
      <c r="G153" s="161"/>
      <c r="H153" s="161"/>
      <c r="I153" s="161"/>
      <c r="J153" s="161"/>
    </row>
    <row r="154" spans="2:10">
      <c r="B154" s="158" t="str">
        <f>IF(OR(G$129="*",LEFT(Commodities!B$59,1)="*"),"*","R3,R4,R5")</f>
        <v>*</v>
      </c>
      <c r="C154" s="158" t="e">
        <f>CONCATENATE(C59,#REF!)</f>
        <v>#REF!</v>
      </c>
      <c r="D154" s="158" t="e">
        <f>CONCATENATE(D59," Imported from ",#REF!)</f>
        <v>#REF!</v>
      </c>
      <c r="E154" s="158"/>
      <c r="F154" s="158"/>
      <c r="G154" s="161"/>
      <c r="H154" s="161"/>
      <c r="I154" s="161"/>
      <c r="J154" s="161"/>
    </row>
    <row r="155" spans="2:10">
      <c r="B155" s="158" t="str">
        <f>IF(OR(G$129="*",LEFT(Commodities!B$60,1)="*"),"*","R3,R4,R5")</f>
        <v>*</v>
      </c>
      <c r="C155" s="158" t="e">
        <f>CONCATENATE(C60,#REF!)</f>
        <v>#REF!</v>
      </c>
      <c r="D155" s="158" t="e">
        <f>CONCATENATE(D60," Imported from ",#REF!)</f>
        <v>#REF!</v>
      </c>
      <c r="E155" s="158"/>
      <c r="F155" s="158"/>
      <c r="G155" s="161"/>
      <c r="H155" s="161"/>
      <c r="I155" s="161"/>
      <c r="J155" s="161"/>
    </row>
    <row r="156" spans="2:10">
      <c r="B156" s="158" t="str">
        <f>IF(OR(G$129="*",LEFT(Commodities!B$48,1)="*"),"*","R2,R3,R4,R5,R6")</f>
        <v>*</v>
      </c>
      <c r="C156" s="158" t="e">
        <f>CONCATENATE(C48,#REF!)</f>
        <v>#REF!</v>
      </c>
      <c r="D156" s="158" t="e">
        <f>CONCATENATE(D48," Imported from ",#REF!)</f>
        <v>#REF!</v>
      </c>
      <c r="E156" s="158"/>
      <c r="F156" s="158"/>
      <c r="G156" s="161"/>
      <c r="H156" s="161"/>
      <c r="I156" s="161"/>
      <c r="J156" s="161"/>
    </row>
    <row r="157" spans="2:10">
      <c r="B157" s="158" t="str">
        <f>IF(OR(G$129="*",LEFT(Commodities!B$49,1)="*"),"*","R2,R3,R4,R5,R6")</f>
        <v>*</v>
      </c>
      <c r="C157" s="158" t="e">
        <f>CONCATENATE(C49,#REF!)</f>
        <v>#REF!</v>
      </c>
      <c r="D157" s="158" t="e">
        <f>CONCATENATE(D49," Imported from ",#REF!)</f>
        <v>#REF!</v>
      </c>
      <c r="E157" s="158"/>
      <c r="F157" s="158"/>
      <c r="G157" s="161"/>
      <c r="H157" s="161"/>
      <c r="I157" s="161"/>
      <c r="J157" s="161"/>
    </row>
    <row r="158" spans="2:10">
      <c r="B158" s="158" t="str">
        <f>IF(OR(G$129="*",LEFT(Commodities!B$50,1)="*"),"*","R2,R3,R4,R5,R6")</f>
        <v>*</v>
      </c>
      <c r="C158" s="158" t="e">
        <f>CONCATENATE(C50,#REF!)</f>
        <v>#REF!</v>
      </c>
      <c r="D158" s="158" t="e">
        <f>CONCATENATE(D50," Imported from ",#REF!)</f>
        <v>#REF!</v>
      </c>
      <c r="E158" s="158"/>
      <c r="F158" s="158"/>
      <c r="G158" s="161"/>
      <c r="H158" s="161"/>
      <c r="I158" s="161"/>
      <c r="J158" s="161"/>
    </row>
    <row r="159" spans="2:10">
      <c r="B159" s="158" t="str">
        <f>IF(OR(G$129="*",LEFT(Commodities!B$51,1)="*"),"*","R2,R3,R4,R5,R6")</f>
        <v>*</v>
      </c>
      <c r="C159" s="158" t="e">
        <f>CONCATENATE(C51,#REF!)</f>
        <v>#REF!</v>
      </c>
      <c r="D159" s="158" t="e">
        <f>CONCATENATE(D51," Imported from ",#REF!)</f>
        <v>#REF!</v>
      </c>
      <c r="E159" s="158"/>
      <c r="F159" s="158"/>
      <c r="G159" s="161"/>
      <c r="H159" s="161"/>
      <c r="I159" s="161"/>
      <c r="J159" s="161"/>
    </row>
    <row r="160" spans="2:10">
      <c r="B160" s="158" t="str">
        <f>IF(OR(G$129="*",LEFT(Commodities!B$52,1)="*"),"*","R2,R3,R4,R5,R6")</f>
        <v>*</v>
      </c>
      <c r="C160" s="158" t="e">
        <f>CONCATENATE(C52,#REF!)</f>
        <v>#REF!</v>
      </c>
      <c r="D160" s="158" t="e">
        <f>CONCATENATE(D52," Imported from ",#REF!)</f>
        <v>#REF!</v>
      </c>
      <c r="E160" s="158"/>
      <c r="F160" s="158"/>
      <c r="G160" s="161"/>
      <c r="H160" s="161"/>
      <c r="I160" s="161"/>
      <c r="J160" s="161"/>
    </row>
    <row r="161" spans="2:10">
      <c r="B161" s="158" t="str">
        <f>IF(OR(G$129="*",LEFT(Commodities!B$53,1)="*"),"*","R2,R3,R4,R5,R6")</f>
        <v>*</v>
      </c>
      <c r="C161" s="158" t="e">
        <f>CONCATENATE(C53,#REF!)</f>
        <v>#REF!</v>
      </c>
      <c r="D161" s="158" t="e">
        <f>CONCATENATE(D53," Imported from ",#REF!)</f>
        <v>#REF!</v>
      </c>
      <c r="E161" s="158"/>
      <c r="F161" s="158"/>
      <c r="G161" s="161"/>
      <c r="H161" s="161"/>
      <c r="I161" s="161"/>
      <c r="J161" s="161"/>
    </row>
    <row r="162" spans="2:10">
      <c r="B162" s="158" t="str">
        <f>IF(OR(G$129="*",LEFT(Commodities!B$54,1)="*"),"*","R2,R3,R4,R5,R6")</f>
        <v>*</v>
      </c>
      <c r="C162" s="158" t="e">
        <f>CONCATENATE(C54,#REF!)</f>
        <v>#REF!</v>
      </c>
      <c r="D162" s="158" t="e">
        <f>CONCATENATE(D54," Imported from ",#REF!)</f>
        <v>#REF!</v>
      </c>
      <c r="E162" s="158"/>
      <c r="F162" s="158"/>
      <c r="G162" s="161"/>
      <c r="H162" s="161"/>
      <c r="I162" s="161"/>
      <c r="J162" s="161"/>
    </row>
    <row r="163" spans="2:10">
      <c r="B163" s="158" t="str">
        <f>IF(OR(G$129="*",LEFT(Commodities!B$55,1)="*"),"*","R2,R3,R4,R5,R6")</f>
        <v>*</v>
      </c>
      <c r="C163" s="158" t="e">
        <f>CONCATENATE(C55,#REF!)</f>
        <v>#REF!</v>
      </c>
      <c r="D163" s="158" t="e">
        <f>CONCATENATE(D55," Imported from ",#REF!)</f>
        <v>#REF!</v>
      </c>
      <c r="E163" s="158"/>
      <c r="F163" s="158"/>
      <c r="G163" s="161"/>
      <c r="H163" s="161"/>
      <c r="I163" s="161"/>
      <c r="J163" s="161"/>
    </row>
    <row r="164" spans="2:10">
      <c r="B164" s="158" t="str">
        <f>IF(OR(G$129="*",LEFT(Commodities!B$56,1)="*"),"*","R2,R3,R4,R5,R6")</f>
        <v>*</v>
      </c>
      <c r="C164" s="158" t="e">
        <f>CONCATENATE(C56,#REF!)</f>
        <v>#REF!</v>
      </c>
      <c r="D164" s="158" t="e">
        <f>CONCATENATE(D56," Imported from ",#REF!)</f>
        <v>#REF!</v>
      </c>
      <c r="E164" s="158"/>
      <c r="F164" s="158"/>
      <c r="G164" s="161"/>
      <c r="H164" s="161"/>
      <c r="I164" s="161"/>
      <c r="J164" s="161"/>
    </row>
    <row r="165" spans="2:10">
      <c r="B165" s="158" t="str">
        <f>IF(OR(G$129="*",LEFT(Commodities!B$57,1)="*"),"*","R2,R3,R4,R5,R6")</f>
        <v>*</v>
      </c>
      <c r="C165" s="158" t="e">
        <f>CONCATENATE(C57,#REF!)</f>
        <v>#REF!</v>
      </c>
      <c r="D165" s="158" t="e">
        <f>CONCATENATE(D57," Imported from ",#REF!)</f>
        <v>#REF!</v>
      </c>
      <c r="E165" s="158"/>
      <c r="F165" s="158"/>
      <c r="G165" s="161"/>
      <c r="H165" s="161"/>
      <c r="I165" s="161"/>
      <c r="J165" s="161"/>
    </row>
    <row r="166" spans="2:10">
      <c r="B166" s="158" t="str">
        <f>IF(OR(G$129="*",LEFT(Commodities!B$58,1)="*"),"*","R2,R3,R4,R5,R6")</f>
        <v>*</v>
      </c>
      <c r="C166" s="158" t="e">
        <f>CONCATENATE(C58,#REF!)</f>
        <v>#REF!</v>
      </c>
      <c r="D166" s="158" t="e">
        <f>CONCATENATE(D58," Imported from ",#REF!)</f>
        <v>#REF!</v>
      </c>
      <c r="E166" s="158"/>
      <c r="F166" s="158"/>
      <c r="G166" s="161"/>
      <c r="H166" s="161"/>
      <c r="I166" s="161"/>
      <c r="J166" s="161"/>
    </row>
    <row r="167" spans="2:10">
      <c r="B167" s="158" t="str">
        <f>IF(OR(G$129="*",LEFT(Commodities!B$59,1)="*"),"*","R2,R3,R4,R5,R6")</f>
        <v>*</v>
      </c>
      <c r="C167" s="158" t="e">
        <f>CONCATENATE(C59,#REF!)</f>
        <v>#REF!</v>
      </c>
      <c r="D167" s="158" t="e">
        <f>CONCATENATE(D59," Imported from ",#REF!)</f>
        <v>#REF!</v>
      </c>
      <c r="E167" s="158"/>
      <c r="F167" s="158"/>
      <c r="G167" s="161"/>
      <c r="H167" s="161"/>
      <c r="I167" s="161"/>
      <c r="J167" s="161"/>
    </row>
    <row r="168" spans="2:10">
      <c r="B168" s="158" t="str">
        <f>IF(OR(G$129="*",LEFT(Commodities!B$60,1)="*"),"*","R2,R3,R4,R5,R6")</f>
        <v>*</v>
      </c>
      <c r="C168" s="158" t="e">
        <f>CONCATENATE(C60,#REF!)</f>
        <v>#REF!</v>
      </c>
      <c r="D168" s="158" t="e">
        <f>CONCATENATE(D60," Imported from ",#REF!)</f>
        <v>#REF!</v>
      </c>
      <c r="E168" s="158"/>
      <c r="F168" s="158"/>
      <c r="G168" s="161"/>
      <c r="H168" s="161"/>
      <c r="I168" s="161"/>
      <c r="J168" s="161"/>
    </row>
    <row r="169" spans="2:10">
      <c r="B169" s="158" t="str">
        <f>IF(OR(G$129="*",LEFT(Commodities!B$48,1)="*"),"*","R2,R5,R6")</f>
        <v>*</v>
      </c>
      <c r="C169" s="158" t="e">
        <f>CONCATENATE(C48,#REF!)</f>
        <v>#REF!</v>
      </c>
      <c r="D169" s="158" t="e">
        <f>CONCATENATE(D48," Imported from ",#REF!)</f>
        <v>#REF!</v>
      </c>
      <c r="E169" s="158"/>
      <c r="F169" s="158"/>
      <c r="G169" s="161"/>
      <c r="H169" s="161"/>
      <c r="I169" s="161"/>
      <c r="J169" s="161"/>
    </row>
    <row r="170" spans="2:10">
      <c r="B170" s="158" t="str">
        <f>IF(OR(G$129="*",LEFT(Commodities!B$49,1)="*"),"*","R2,R5,R6")</f>
        <v>*</v>
      </c>
      <c r="C170" s="158" t="e">
        <f>CONCATENATE(C49,#REF!)</f>
        <v>#REF!</v>
      </c>
      <c r="D170" s="158" t="e">
        <f>CONCATENATE(D49," Imported from ",#REF!)</f>
        <v>#REF!</v>
      </c>
      <c r="E170" s="158"/>
      <c r="F170" s="158"/>
      <c r="G170" s="161"/>
      <c r="H170" s="161"/>
      <c r="I170" s="161"/>
      <c r="J170" s="161"/>
    </row>
    <row r="171" spans="2:10">
      <c r="B171" s="158" t="str">
        <f>IF(OR(G$129="*",LEFT(Commodities!B$50,1)="*"),"*","R2,R5,R6")</f>
        <v>*</v>
      </c>
      <c r="C171" s="158" t="e">
        <f>CONCATENATE(C50,#REF!)</f>
        <v>#REF!</v>
      </c>
      <c r="D171" s="158" t="e">
        <f>CONCATENATE(D50," Imported from ",#REF!)</f>
        <v>#REF!</v>
      </c>
      <c r="E171" s="158"/>
      <c r="F171" s="158"/>
      <c r="G171" s="161"/>
      <c r="H171" s="161"/>
      <c r="I171" s="161"/>
      <c r="J171" s="161"/>
    </row>
    <row r="172" spans="2:10">
      <c r="B172" s="158" t="str">
        <f>IF(OR(G$129="*",LEFT(Commodities!B$51,1)="*"),"*","R2,R5,R6")</f>
        <v>*</v>
      </c>
      <c r="C172" s="158" t="e">
        <f>CONCATENATE(C51,#REF!)</f>
        <v>#REF!</v>
      </c>
      <c r="D172" s="158" t="e">
        <f>CONCATENATE(D51," Imported from ",#REF!)</f>
        <v>#REF!</v>
      </c>
      <c r="E172" s="158"/>
      <c r="F172" s="158"/>
      <c r="G172" s="161"/>
      <c r="H172" s="161"/>
      <c r="I172" s="161"/>
      <c r="J172" s="161"/>
    </row>
    <row r="173" spans="2:10">
      <c r="B173" s="158" t="str">
        <f>IF(OR(G$129="*",LEFT(Commodities!B$52,1)="*"),"*","R2,R5,R6")</f>
        <v>*</v>
      </c>
      <c r="C173" s="158" t="e">
        <f>CONCATENATE(C52,#REF!)</f>
        <v>#REF!</v>
      </c>
      <c r="D173" s="158" t="e">
        <f>CONCATENATE(D52," Imported from ",#REF!)</f>
        <v>#REF!</v>
      </c>
      <c r="E173" s="158"/>
      <c r="F173" s="158"/>
      <c r="G173" s="161"/>
      <c r="H173" s="161"/>
      <c r="I173" s="161"/>
      <c r="J173" s="161"/>
    </row>
    <row r="174" spans="2:10">
      <c r="B174" s="158" t="str">
        <f>IF(OR(G$129="*",LEFT(Commodities!B$53,1)="*"),"*","R2,R5,R6")</f>
        <v>*</v>
      </c>
      <c r="C174" s="158" t="e">
        <f>CONCATENATE(C53,#REF!)</f>
        <v>#REF!</v>
      </c>
      <c r="D174" s="158" t="e">
        <f>CONCATENATE(D53," Imported from ",#REF!)</f>
        <v>#REF!</v>
      </c>
      <c r="E174" s="158"/>
      <c r="F174" s="158"/>
      <c r="G174" s="161"/>
      <c r="H174" s="161"/>
      <c r="I174" s="161"/>
      <c r="J174" s="161"/>
    </row>
    <row r="175" spans="2:10">
      <c r="B175" s="158" t="str">
        <f>IF(OR(G$129="*",LEFT(Commodities!B$54,1)="*"),"*","R2,R5,R6")</f>
        <v>*</v>
      </c>
      <c r="C175" s="158" t="e">
        <f>CONCATENATE(C54,#REF!)</f>
        <v>#REF!</v>
      </c>
      <c r="D175" s="158" t="e">
        <f>CONCATENATE(D54," Imported from ",#REF!)</f>
        <v>#REF!</v>
      </c>
      <c r="E175" s="158"/>
      <c r="F175" s="158"/>
      <c r="G175" s="161"/>
      <c r="H175" s="161"/>
      <c r="I175" s="161"/>
      <c r="J175" s="161"/>
    </row>
    <row r="176" spans="2:10">
      <c r="B176" s="158" t="str">
        <f>IF(OR(G$129="*",LEFT(Commodities!B$55,1)="*"),"*","R2,R5,R6")</f>
        <v>*</v>
      </c>
      <c r="C176" s="158" t="e">
        <f>CONCATENATE(C55,#REF!)</f>
        <v>#REF!</v>
      </c>
      <c r="D176" s="158" t="e">
        <f>CONCATENATE(D55," Imported from ",#REF!)</f>
        <v>#REF!</v>
      </c>
      <c r="E176" s="158"/>
      <c r="F176" s="158"/>
      <c r="G176" s="161"/>
      <c r="H176" s="161"/>
      <c r="I176" s="161"/>
      <c r="J176" s="161"/>
    </row>
    <row r="177" spans="2:10">
      <c r="B177" s="158" t="str">
        <f>IF(OR(G$129="*",LEFT(Commodities!B$56,1)="*"),"*","R2,R5,R6")</f>
        <v>*</v>
      </c>
      <c r="C177" s="158" t="e">
        <f>CONCATENATE(C56,#REF!)</f>
        <v>#REF!</v>
      </c>
      <c r="D177" s="158" t="e">
        <f>CONCATENATE(D56," Imported from ",#REF!)</f>
        <v>#REF!</v>
      </c>
      <c r="E177" s="158"/>
      <c r="F177" s="158"/>
      <c r="G177" s="161"/>
      <c r="H177" s="161"/>
      <c r="I177" s="161"/>
      <c r="J177" s="161"/>
    </row>
    <row r="178" spans="2:10">
      <c r="B178" s="158" t="str">
        <f>IF(OR(G$129="*",LEFT(Commodities!B$57,1)="*"),"*","R2,R5,R6")</f>
        <v>*</v>
      </c>
      <c r="C178" s="158" t="e">
        <f>CONCATENATE(C57,#REF!)</f>
        <v>#REF!</v>
      </c>
      <c r="D178" s="158" t="e">
        <f>CONCATENATE(D57," Imported from ",#REF!)</f>
        <v>#REF!</v>
      </c>
      <c r="E178" s="158"/>
      <c r="F178" s="158"/>
      <c r="G178" s="161"/>
      <c r="H178" s="161"/>
      <c r="I178" s="161"/>
      <c r="J178" s="161"/>
    </row>
    <row r="179" spans="2:10">
      <c r="B179" s="158" t="str">
        <f>IF(OR(G$129="*",LEFT(Commodities!B$58,1)="*"),"*","R2,R5,R6")</f>
        <v>*</v>
      </c>
      <c r="C179" s="158" t="e">
        <f>CONCATENATE(C58,#REF!)</f>
        <v>#REF!</v>
      </c>
      <c r="D179" s="158" t="e">
        <f>CONCATENATE(D58," Imported from ",#REF!)</f>
        <v>#REF!</v>
      </c>
      <c r="E179" s="158"/>
      <c r="F179" s="158"/>
      <c r="G179" s="161"/>
      <c r="H179" s="161"/>
      <c r="I179" s="161"/>
      <c r="J179" s="161"/>
    </row>
    <row r="180" spans="2:10">
      <c r="B180" s="158" t="str">
        <f>IF(OR(G$129="*",LEFT(Commodities!B$59,1)="*"),"*","R2,R5,R6")</f>
        <v>*</v>
      </c>
      <c r="C180" s="158" t="e">
        <f>CONCATENATE(C59,#REF!)</f>
        <v>#REF!</v>
      </c>
      <c r="D180" s="158" t="e">
        <f>CONCATENATE(D59," Imported from ",#REF!)</f>
        <v>#REF!</v>
      </c>
      <c r="E180" s="158"/>
      <c r="F180" s="158"/>
      <c r="G180" s="161"/>
      <c r="H180" s="161"/>
      <c r="I180" s="161"/>
      <c r="J180" s="161"/>
    </row>
    <row r="181" spans="2:10">
      <c r="B181" s="158" t="str">
        <f>IF(OR(G$129="*",LEFT(Commodities!B$60,1)="*"),"*","R2,R5,R6")</f>
        <v>*</v>
      </c>
      <c r="C181" s="158" t="e">
        <f>CONCATENATE(C60,#REF!)</f>
        <v>#REF!</v>
      </c>
      <c r="D181" s="158" t="e">
        <f>CONCATENATE(D60," Imported from ",#REF!)</f>
        <v>#REF!</v>
      </c>
      <c r="E181" s="158"/>
      <c r="F181" s="158"/>
      <c r="G181" s="161"/>
      <c r="H181" s="161"/>
      <c r="I181" s="161"/>
      <c r="J181" s="161"/>
    </row>
    <row r="182" spans="2:10">
      <c r="B182" s="158" t="str">
        <f>IF(OR(G$129="*",LEFT(Commodities!B$48,1)="*"),"*","R2,R3,R4,R6")</f>
        <v>*</v>
      </c>
      <c r="C182" s="158" t="e">
        <f>CONCATENATE(C48,#REF!)</f>
        <v>#REF!</v>
      </c>
      <c r="D182" s="158" t="e">
        <f>CONCATENATE(D48," Imported from ",#REF!)</f>
        <v>#REF!</v>
      </c>
      <c r="E182" s="158"/>
      <c r="F182" s="158"/>
      <c r="G182" s="161"/>
      <c r="H182" s="161"/>
      <c r="I182" s="161"/>
      <c r="J182" s="161"/>
    </row>
    <row r="183" spans="2:10">
      <c r="B183" s="158" t="str">
        <f>IF(OR(G$129="*",LEFT(Commodities!B$49,1)="*"),"*","R2,R3,R4,R6")</f>
        <v>*</v>
      </c>
      <c r="C183" s="158" t="e">
        <f>CONCATENATE(C49,#REF!)</f>
        <v>#REF!</v>
      </c>
      <c r="D183" s="158" t="e">
        <f>CONCATENATE(D49," Imported from ",#REF!)</f>
        <v>#REF!</v>
      </c>
      <c r="E183" s="158"/>
      <c r="F183" s="158"/>
      <c r="G183" s="161"/>
      <c r="H183" s="161"/>
      <c r="I183" s="161"/>
      <c r="J183" s="161"/>
    </row>
    <row r="184" spans="2:10">
      <c r="B184" s="158" t="str">
        <f>IF(OR(G$129="*",LEFT(Commodities!B$50,1)="*"),"*","R2,R3,R4,R6")</f>
        <v>*</v>
      </c>
      <c r="C184" s="158" t="e">
        <f>CONCATENATE(C50,#REF!)</f>
        <v>#REF!</v>
      </c>
      <c r="D184" s="158" t="e">
        <f>CONCATENATE(D50," Imported from ",#REF!)</f>
        <v>#REF!</v>
      </c>
      <c r="E184" s="158"/>
      <c r="F184" s="158"/>
      <c r="G184" s="161"/>
      <c r="H184" s="161"/>
      <c r="I184" s="161"/>
      <c r="J184" s="161"/>
    </row>
    <row r="185" spans="2:10">
      <c r="B185" s="158" t="str">
        <f>IF(OR(G$129="*",LEFT(Commodities!B$51,1)="*"),"*","R2,R3,R4,R6")</f>
        <v>*</v>
      </c>
      <c r="C185" s="158" t="e">
        <f>CONCATENATE(C51,#REF!)</f>
        <v>#REF!</v>
      </c>
      <c r="D185" s="158" t="e">
        <f>CONCATENATE(D51," Imported from ",#REF!)</f>
        <v>#REF!</v>
      </c>
      <c r="E185" s="158"/>
      <c r="F185" s="158"/>
      <c r="G185" s="161"/>
      <c r="H185" s="161"/>
      <c r="I185" s="161"/>
      <c r="J185" s="161"/>
    </row>
    <row r="186" spans="2:10">
      <c r="B186" s="158" t="str">
        <f>IF(OR(G$129="*",LEFT(Commodities!B$52,1)="*"),"*","R2,R3,R4,R6")</f>
        <v>*</v>
      </c>
      <c r="C186" s="158" t="e">
        <f>CONCATENATE(C52,#REF!)</f>
        <v>#REF!</v>
      </c>
      <c r="D186" s="158" t="e">
        <f>CONCATENATE(D52," Imported from ",#REF!)</f>
        <v>#REF!</v>
      </c>
      <c r="E186" s="158"/>
      <c r="F186" s="158"/>
      <c r="G186" s="161"/>
      <c r="H186" s="161"/>
      <c r="I186" s="161"/>
      <c r="J186" s="161"/>
    </row>
    <row r="187" spans="2:10">
      <c r="B187" s="158" t="str">
        <f>IF(OR(G$129="*",LEFT(Commodities!B$53,1)="*"),"*","R2,R3,R4,R6")</f>
        <v>*</v>
      </c>
      <c r="C187" s="158" t="e">
        <f>CONCATENATE(C53,#REF!)</f>
        <v>#REF!</v>
      </c>
      <c r="D187" s="158" t="e">
        <f>CONCATENATE(D53," Imported from ",#REF!)</f>
        <v>#REF!</v>
      </c>
      <c r="E187" s="158"/>
      <c r="F187" s="158"/>
      <c r="G187" s="161"/>
      <c r="H187" s="161"/>
      <c r="I187" s="161"/>
      <c r="J187" s="161"/>
    </row>
    <row r="188" spans="2:10">
      <c r="B188" s="158" t="str">
        <f>IF(OR(G$129="*",LEFT(Commodities!B$54,1)="*"),"*","R2,R3,R4,R6")</f>
        <v>*</v>
      </c>
      <c r="C188" s="158" t="e">
        <f>CONCATENATE(C54,#REF!)</f>
        <v>#REF!</v>
      </c>
      <c r="D188" s="158" t="e">
        <f>CONCATENATE(D54," Imported from ",#REF!)</f>
        <v>#REF!</v>
      </c>
      <c r="E188" s="158"/>
      <c r="F188" s="158"/>
      <c r="G188" s="161"/>
      <c r="H188" s="161"/>
      <c r="I188" s="161"/>
      <c r="J188" s="161"/>
    </row>
    <row r="189" spans="2:10">
      <c r="B189" s="158" t="str">
        <f>IF(OR(G$129="*",LEFT(Commodities!B$55,1)="*"),"*","R2,R3,R4,R6")</f>
        <v>*</v>
      </c>
      <c r="C189" s="158" t="e">
        <f>CONCATENATE(C55,#REF!)</f>
        <v>#REF!</v>
      </c>
      <c r="D189" s="158" t="e">
        <f>CONCATENATE(D55," Imported from ",#REF!)</f>
        <v>#REF!</v>
      </c>
      <c r="E189" s="158"/>
      <c r="F189" s="158"/>
      <c r="G189" s="161"/>
      <c r="H189" s="161"/>
      <c r="I189" s="161"/>
      <c r="J189" s="161"/>
    </row>
    <row r="190" spans="2:10">
      <c r="B190" s="158" t="str">
        <f>IF(OR(G$129="*",LEFT(Commodities!B$56,1)="*"),"*","R2,R3,R4,R6")</f>
        <v>*</v>
      </c>
      <c r="C190" s="158" t="e">
        <f>CONCATENATE(C56,#REF!)</f>
        <v>#REF!</v>
      </c>
      <c r="D190" s="158" t="e">
        <f>CONCATENATE(D56," Imported from ",#REF!)</f>
        <v>#REF!</v>
      </c>
      <c r="E190" s="158"/>
      <c r="F190" s="158"/>
      <c r="G190" s="161"/>
      <c r="H190" s="161"/>
      <c r="I190" s="161"/>
      <c r="J190" s="161"/>
    </row>
    <row r="191" spans="2:10">
      <c r="B191" s="158" t="str">
        <f>IF(OR(G$129="*",LEFT(Commodities!B$57,1)="*"),"*","R2,R3,R4,R6")</f>
        <v>*</v>
      </c>
      <c r="C191" s="158" t="e">
        <f>CONCATENATE(C57,#REF!)</f>
        <v>#REF!</v>
      </c>
      <c r="D191" s="158" t="e">
        <f>CONCATENATE(D57," Imported from ",#REF!)</f>
        <v>#REF!</v>
      </c>
      <c r="E191" s="158"/>
      <c r="F191" s="158"/>
      <c r="G191" s="161"/>
      <c r="H191" s="161"/>
      <c r="I191" s="161"/>
      <c r="J191" s="161"/>
    </row>
    <row r="192" spans="2:10">
      <c r="B192" s="158" t="str">
        <f>IF(OR(G$129="*",LEFT(Commodities!B$58,1)="*"),"*","R2,R3,R4,R6")</f>
        <v>*</v>
      </c>
      <c r="C192" s="158" t="e">
        <f>CONCATENATE(C58,#REF!)</f>
        <v>#REF!</v>
      </c>
      <c r="D192" s="158" t="e">
        <f>CONCATENATE(D58," Imported from ",#REF!)</f>
        <v>#REF!</v>
      </c>
      <c r="E192" s="158"/>
      <c r="F192" s="158"/>
      <c r="G192" s="161"/>
      <c r="H192" s="161"/>
      <c r="I192" s="161"/>
      <c r="J192" s="161"/>
    </row>
    <row r="193" spans="2:10">
      <c r="B193" s="158" t="str">
        <f>IF(OR(G$129="*",LEFT(Commodities!B$59,1)="*"),"*","R2,R3,R4,R6")</f>
        <v>*</v>
      </c>
      <c r="C193" s="158" t="e">
        <f>CONCATENATE(C59,#REF!)</f>
        <v>#REF!</v>
      </c>
      <c r="D193" s="158" t="e">
        <f>CONCATENATE(D59," Imported from ",#REF!)</f>
        <v>#REF!</v>
      </c>
      <c r="E193" s="158"/>
      <c r="F193" s="158"/>
      <c r="G193" s="161"/>
      <c r="H193" s="161"/>
      <c r="I193" s="161"/>
      <c r="J193" s="161"/>
    </row>
    <row r="194" spans="2:10">
      <c r="B194" s="158" t="str">
        <f>IF(OR(G$129="*",LEFT(Commodities!B$60,1)="*"),"*","R2,R3,R4,R6")</f>
        <v>*</v>
      </c>
      <c r="C194" s="158" t="e">
        <f>CONCATENATE(C60,#REF!)</f>
        <v>#REF!</v>
      </c>
      <c r="D194" s="158" t="e">
        <f>CONCATENATE(D60," Imported from ",#REF!)</f>
        <v>#REF!</v>
      </c>
      <c r="E194" s="158"/>
      <c r="F194" s="158"/>
      <c r="G194" s="161"/>
      <c r="H194" s="161"/>
      <c r="I194" s="161"/>
      <c r="J194" s="161"/>
    </row>
    <row r="195" spans="2:10">
      <c r="B195" s="158" t="s">
        <v>398</v>
      </c>
      <c r="C195" s="158" t="e">
        <f>CONCATENATE(C48,#REF!)</f>
        <v>#REF!</v>
      </c>
      <c r="D195" s="158" t="e">
        <f>CONCATENATE(D48," Imported from ",#REF!)</f>
        <v>#REF!</v>
      </c>
      <c r="E195" s="158"/>
      <c r="F195" s="158"/>
      <c r="G195" s="161"/>
      <c r="H195" s="161"/>
      <c r="I195" s="161"/>
      <c r="J195" s="161"/>
    </row>
    <row r="196" spans="2:10">
      <c r="B196" s="158" t="s">
        <v>398</v>
      </c>
      <c r="C196" s="158" t="e">
        <f>CONCATENATE(C49,#REF!)</f>
        <v>#REF!</v>
      </c>
      <c r="D196" s="158" t="e">
        <f>CONCATENATE(D49," Imported from ",#REF!)</f>
        <v>#REF!</v>
      </c>
      <c r="E196" s="158"/>
      <c r="F196" s="158"/>
      <c r="G196" s="161"/>
      <c r="H196" s="161"/>
      <c r="I196" s="161"/>
      <c r="J196" s="161"/>
    </row>
    <row r="197" spans="2:10">
      <c r="B197" s="158" t="s">
        <v>398</v>
      </c>
      <c r="C197" s="158" t="e">
        <f>CONCATENATE(C50,#REF!)</f>
        <v>#REF!</v>
      </c>
      <c r="D197" s="158" t="e">
        <f>CONCATENATE(D50," Imported from ",#REF!)</f>
        <v>#REF!</v>
      </c>
      <c r="E197" s="158"/>
      <c r="F197" s="158"/>
      <c r="G197" s="161"/>
      <c r="H197" s="161"/>
      <c r="I197" s="161"/>
      <c r="J197" s="161"/>
    </row>
    <row r="198" spans="2:10">
      <c r="B198" s="158" t="s">
        <v>398</v>
      </c>
      <c r="C198" s="158" t="e">
        <f>CONCATENATE(C51,#REF!)</f>
        <v>#REF!</v>
      </c>
      <c r="D198" s="158" t="e">
        <f>CONCATENATE(D51," Imported from ",#REF!)</f>
        <v>#REF!</v>
      </c>
      <c r="E198" s="158"/>
      <c r="F198" s="158"/>
      <c r="G198" s="161"/>
      <c r="H198" s="161"/>
      <c r="I198" s="161"/>
      <c r="J198" s="161"/>
    </row>
    <row r="199" spans="2:10">
      <c r="B199" s="158" t="s">
        <v>398</v>
      </c>
      <c r="C199" s="158" t="e">
        <f>CONCATENATE(C52,#REF!)</f>
        <v>#REF!</v>
      </c>
      <c r="D199" s="158" t="e">
        <f>CONCATENATE(D52," Imported from ",#REF!)</f>
        <v>#REF!</v>
      </c>
      <c r="E199" s="158"/>
      <c r="F199" s="158"/>
      <c r="G199" s="161"/>
      <c r="H199" s="161"/>
      <c r="I199" s="161"/>
      <c r="J199" s="161"/>
    </row>
    <row r="200" spans="2:10">
      <c r="B200" s="158" t="s">
        <v>398</v>
      </c>
      <c r="C200" s="158" t="e">
        <f>CONCATENATE(C53,#REF!)</f>
        <v>#REF!</v>
      </c>
      <c r="D200" s="158" t="e">
        <f>CONCATENATE(D53," Imported from ",#REF!)</f>
        <v>#REF!</v>
      </c>
      <c r="E200" s="158"/>
      <c r="F200" s="158"/>
      <c r="G200" s="161"/>
      <c r="H200" s="161"/>
      <c r="I200" s="161"/>
      <c r="J200" s="161"/>
    </row>
    <row r="201" spans="2:10">
      <c r="B201" s="158" t="s">
        <v>398</v>
      </c>
      <c r="C201" s="158" t="e">
        <f>CONCATENATE(C54,#REF!)</f>
        <v>#REF!</v>
      </c>
      <c r="D201" s="158" t="e">
        <f>CONCATENATE(D54," Imported from ",#REF!)</f>
        <v>#REF!</v>
      </c>
      <c r="E201" s="158"/>
      <c r="F201" s="158"/>
      <c r="G201" s="161"/>
      <c r="H201" s="161"/>
      <c r="I201" s="161"/>
      <c r="J201" s="161"/>
    </row>
    <row r="202" spans="2:10">
      <c r="B202" s="158" t="s">
        <v>398</v>
      </c>
      <c r="C202" s="158" t="e">
        <f>CONCATENATE(C55,#REF!)</f>
        <v>#REF!</v>
      </c>
      <c r="D202" s="158" t="e">
        <f>CONCATENATE(D55," Imported from ",#REF!)</f>
        <v>#REF!</v>
      </c>
      <c r="E202" s="158"/>
      <c r="F202" s="158"/>
      <c r="G202" s="161"/>
      <c r="H202" s="161"/>
      <c r="I202" s="161"/>
      <c r="J202" s="161"/>
    </row>
    <row r="203" spans="2:10">
      <c r="B203" s="158" t="s">
        <v>398</v>
      </c>
      <c r="C203" s="158" t="e">
        <f>CONCATENATE(C56,#REF!)</f>
        <v>#REF!</v>
      </c>
      <c r="D203" s="158" t="e">
        <f>CONCATENATE(D56," Imported from ",#REF!)</f>
        <v>#REF!</v>
      </c>
      <c r="E203" s="158"/>
      <c r="F203" s="158"/>
      <c r="G203" s="161"/>
      <c r="H203" s="161"/>
      <c r="I203" s="161"/>
      <c r="J203" s="161"/>
    </row>
    <row r="204" spans="2:10">
      <c r="B204" s="158" t="s">
        <v>398</v>
      </c>
      <c r="C204" s="158" t="e">
        <f>CONCATENATE(C57,#REF!)</f>
        <v>#REF!</v>
      </c>
      <c r="D204" s="158" t="e">
        <f>CONCATENATE(D57," Imported from ",#REF!)</f>
        <v>#REF!</v>
      </c>
      <c r="E204" s="158"/>
      <c r="F204" s="158"/>
      <c r="G204" s="161"/>
      <c r="H204" s="161"/>
      <c r="I204" s="161"/>
      <c r="J204" s="161"/>
    </row>
    <row r="205" spans="2:10">
      <c r="B205" s="158" t="s">
        <v>398</v>
      </c>
      <c r="C205" s="158" t="e">
        <f>CONCATENATE(C58,#REF!)</f>
        <v>#REF!</v>
      </c>
      <c r="D205" s="158" t="e">
        <f>CONCATENATE(D58," Imported from ",#REF!)</f>
        <v>#REF!</v>
      </c>
      <c r="E205" s="158"/>
      <c r="F205" s="158"/>
      <c r="G205" s="161"/>
      <c r="H205" s="161"/>
      <c r="I205" s="161"/>
      <c r="J205" s="161"/>
    </row>
    <row r="206" spans="2:10">
      <c r="B206" s="158" t="s">
        <v>398</v>
      </c>
      <c r="C206" s="158" t="e">
        <f>CONCATENATE(C59,#REF!)</f>
        <v>#REF!</v>
      </c>
      <c r="D206" s="158" t="e">
        <f>CONCATENATE(D59," Imported from ",#REF!)</f>
        <v>#REF!</v>
      </c>
      <c r="E206" s="158"/>
      <c r="F206" s="158"/>
      <c r="G206" s="161"/>
      <c r="H206" s="161"/>
      <c r="I206" s="161"/>
      <c r="J206" s="161"/>
    </row>
    <row r="207" spans="2:10">
      <c r="B207" s="158" t="s">
        <v>398</v>
      </c>
      <c r="C207" s="158" t="e">
        <f>CONCATENATE(C60,#REF!)</f>
        <v>#REF!</v>
      </c>
      <c r="D207" s="158" t="e">
        <f>CONCATENATE(D60," Imported from ",#REF!)</f>
        <v>#REF!</v>
      </c>
      <c r="E207" s="158"/>
      <c r="F207" s="158"/>
      <c r="G207" s="161"/>
      <c r="H207" s="161"/>
      <c r="I207" s="161"/>
      <c r="J207" s="161"/>
    </row>
    <row r="208" spans="2:10">
      <c r="B208" s="158" t="s">
        <v>398</v>
      </c>
      <c r="C208" s="158" t="e">
        <f>CONCATENATE(C48,#REF!)</f>
        <v>#REF!</v>
      </c>
      <c r="D208" s="158" t="e">
        <f>CONCATENATE(D48," Imported from ",#REF!)</f>
        <v>#REF!</v>
      </c>
      <c r="E208" s="158"/>
      <c r="F208" s="158"/>
      <c r="G208" s="161"/>
      <c r="H208" s="161"/>
      <c r="I208" s="161"/>
      <c r="J208" s="161"/>
    </row>
    <row r="209" spans="2:10">
      <c r="B209" s="158" t="s">
        <v>398</v>
      </c>
      <c r="C209" s="158" t="e">
        <f>CONCATENATE(C49,#REF!)</f>
        <v>#REF!</v>
      </c>
      <c r="D209" s="158" t="e">
        <f>CONCATENATE(D49," Imported from ",#REF!)</f>
        <v>#REF!</v>
      </c>
      <c r="E209" s="158"/>
      <c r="F209" s="158"/>
      <c r="G209" s="161"/>
      <c r="H209" s="161"/>
      <c r="I209" s="161"/>
      <c r="J209" s="161"/>
    </row>
    <row r="210" spans="2:10">
      <c r="B210" s="158" t="s">
        <v>398</v>
      </c>
      <c r="C210" s="158" t="e">
        <f>CONCATENATE(C50,#REF!)</f>
        <v>#REF!</v>
      </c>
      <c r="D210" s="158" t="e">
        <f>CONCATENATE(D50," Imported from ",#REF!)</f>
        <v>#REF!</v>
      </c>
      <c r="E210" s="158"/>
      <c r="F210" s="158"/>
      <c r="G210" s="161"/>
      <c r="H210" s="161"/>
      <c r="I210" s="161"/>
      <c r="J210" s="161"/>
    </row>
    <row r="211" spans="2:10">
      <c r="B211" s="158" t="s">
        <v>398</v>
      </c>
      <c r="C211" s="158" t="e">
        <f>CONCATENATE(C51,#REF!)</f>
        <v>#REF!</v>
      </c>
      <c r="D211" s="158" t="e">
        <f>CONCATENATE(D51," Imported from ",#REF!)</f>
        <v>#REF!</v>
      </c>
      <c r="E211" s="158"/>
      <c r="F211" s="158"/>
      <c r="G211" s="161"/>
      <c r="H211" s="161"/>
      <c r="I211" s="161"/>
      <c r="J211" s="161"/>
    </row>
    <row r="212" spans="2:10">
      <c r="B212" s="158" t="s">
        <v>398</v>
      </c>
      <c r="C212" s="158" t="e">
        <f>CONCATENATE(C52,#REF!)</f>
        <v>#REF!</v>
      </c>
      <c r="D212" s="158" t="e">
        <f>CONCATENATE(D52," Imported from ",#REF!)</f>
        <v>#REF!</v>
      </c>
      <c r="E212" s="158"/>
      <c r="F212" s="158"/>
      <c r="G212" s="161"/>
      <c r="H212" s="161"/>
      <c r="I212" s="161"/>
      <c r="J212" s="161"/>
    </row>
    <row r="213" spans="2:10">
      <c r="B213" s="158" t="s">
        <v>398</v>
      </c>
      <c r="C213" s="158" t="e">
        <f>CONCATENATE(C53,#REF!)</f>
        <v>#REF!</v>
      </c>
      <c r="D213" s="158" t="e">
        <f>CONCATENATE(D53," Imported from ",#REF!)</f>
        <v>#REF!</v>
      </c>
      <c r="E213" s="158"/>
      <c r="F213" s="158"/>
      <c r="G213" s="161"/>
      <c r="H213" s="161"/>
      <c r="I213" s="161"/>
      <c r="J213" s="161"/>
    </row>
    <row r="214" spans="2:10">
      <c r="B214" s="158" t="s">
        <v>398</v>
      </c>
      <c r="C214" s="158" t="e">
        <f>CONCATENATE(C54,#REF!)</f>
        <v>#REF!</v>
      </c>
      <c r="D214" s="158" t="e">
        <f>CONCATENATE(D54," Imported from ",#REF!)</f>
        <v>#REF!</v>
      </c>
      <c r="E214" s="158"/>
      <c r="F214" s="158"/>
      <c r="G214" s="161"/>
      <c r="H214" s="161"/>
      <c r="I214" s="161"/>
      <c r="J214" s="161"/>
    </row>
    <row r="215" spans="2:10">
      <c r="B215" s="158" t="s">
        <v>398</v>
      </c>
      <c r="C215" s="158" t="e">
        <f>CONCATENATE(C55,#REF!)</f>
        <v>#REF!</v>
      </c>
      <c r="D215" s="158" t="e">
        <f>CONCATENATE(D55," Imported from ",#REF!)</f>
        <v>#REF!</v>
      </c>
      <c r="E215" s="158"/>
      <c r="F215" s="158"/>
      <c r="G215" s="161"/>
      <c r="H215" s="161"/>
      <c r="I215" s="161"/>
      <c r="J215" s="161"/>
    </row>
    <row r="216" spans="2:10">
      <c r="B216" s="158" t="s">
        <v>398</v>
      </c>
      <c r="C216" s="158" t="e">
        <f>CONCATENATE(C56,#REF!)</f>
        <v>#REF!</v>
      </c>
      <c r="D216" s="158" t="e">
        <f>CONCATENATE(D56," Imported from ",#REF!)</f>
        <v>#REF!</v>
      </c>
      <c r="E216" s="158"/>
      <c r="F216" s="158"/>
      <c r="G216" s="161"/>
      <c r="H216" s="161"/>
      <c r="I216" s="161"/>
      <c r="J216" s="161"/>
    </row>
    <row r="217" spans="2:10">
      <c r="B217" s="158" t="s">
        <v>398</v>
      </c>
      <c r="C217" s="158" t="e">
        <f>CONCATENATE(C57,#REF!)</f>
        <v>#REF!</v>
      </c>
      <c r="D217" s="158" t="e">
        <f>CONCATENATE(D57," Imported from ",#REF!)</f>
        <v>#REF!</v>
      </c>
      <c r="E217" s="158"/>
      <c r="F217" s="158"/>
      <c r="G217" s="161"/>
      <c r="H217" s="161"/>
      <c r="I217" s="161"/>
      <c r="J217" s="161"/>
    </row>
    <row r="218" spans="2:10">
      <c r="B218" s="158" t="s">
        <v>398</v>
      </c>
      <c r="C218" s="158" t="e">
        <f>CONCATENATE(C58,#REF!)</f>
        <v>#REF!</v>
      </c>
      <c r="D218" s="158" t="e">
        <f>CONCATENATE(D58," Imported from ",#REF!)</f>
        <v>#REF!</v>
      </c>
      <c r="E218" s="158"/>
      <c r="F218" s="158"/>
      <c r="G218" s="161"/>
      <c r="H218" s="161"/>
      <c r="I218" s="161"/>
      <c r="J218" s="161"/>
    </row>
    <row r="219" spans="2:10">
      <c r="B219" s="158" t="s">
        <v>398</v>
      </c>
      <c r="C219" s="158" t="e">
        <f>CONCATENATE(C59,#REF!)</f>
        <v>#REF!</v>
      </c>
      <c r="D219" s="158" t="e">
        <f>CONCATENATE(D59," Imported from ",#REF!)</f>
        <v>#REF!</v>
      </c>
      <c r="E219" s="158"/>
      <c r="F219" s="158"/>
      <c r="G219" s="161"/>
      <c r="H219" s="161"/>
      <c r="I219" s="161"/>
      <c r="J219" s="161"/>
    </row>
    <row r="220" spans="2:10">
      <c r="B220" s="158" t="s">
        <v>398</v>
      </c>
      <c r="C220" s="158" t="e">
        <f>CONCATENATE(C60,#REF!)</f>
        <v>#REF!</v>
      </c>
      <c r="D220" s="158" t="e">
        <f>CONCATENATE(D60," Imported from ",#REF!)</f>
        <v>#REF!</v>
      </c>
      <c r="E220" s="158"/>
      <c r="F220" s="158"/>
      <c r="G220" s="161"/>
      <c r="H220" s="161"/>
      <c r="I220" s="161"/>
      <c r="J220" s="161"/>
    </row>
    <row r="221" spans="2:10">
      <c r="B221" s="154" t="s">
        <v>296</v>
      </c>
      <c r="C221" s="160"/>
      <c r="D221" s="160"/>
      <c r="E221" s="160"/>
      <c r="F221" s="160"/>
      <c r="G221" s="157"/>
      <c r="H221" s="157"/>
      <c r="I221" s="157"/>
      <c r="J221" s="157"/>
    </row>
    <row r="222" spans="2:10">
      <c r="B222" s="158" t="str">
        <f>IF(LEFT(B48,1)="*","*R1,R2,R3,R4,R5,R6","R1,R2,R3,R4,R5,R6")</f>
        <v>R1,R2,R3,R4,R5,R6</v>
      </c>
      <c r="C222" s="158" t="e">
        <f>#REF!</f>
        <v>#REF!</v>
      </c>
      <c r="D222" s="158" t="str">
        <f>Types!C5</f>
        <v>Conventional Gasoline</v>
      </c>
      <c r="E222" s="158"/>
      <c r="F222" s="158" t="s">
        <v>1117</v>
      </c>
      <c r="G222" s="161"/>
      <c r="H222" s="161"/>
      <c r="I222" s="161"/>
      <c r="J222" s="161"/>
    </row>
    <row r="223" spans="2:10">
      <c r="B223" s="158" t="str">
        <f>IF(LEFT(B49,1)="*","*R1,R2,R3,R4,R5,R6","R1,R2,R3,R4,R5,R6")</f>
        <v>R1,R2,R3,R4,R5,R6</v>
      </c>
      <c r="C223" s="158" t="e">
        <f>#REF!</f>
        <v>#REF!</v>
      </c>
      <c r="D223" s="158" t="str">
        <f>Types!C6</f>
        <v>Reformulated Gasoline</v>
      </c>
      <c r="E223" s="158"/>
      <c r="F223" s="158"/>
      <c r="G223" s="161"/>
      <c r="H223" s="161"/>
      <c r="I223" s="161"/>
      <c r="J223" s="161"/>
    </row>
    <row r="224" spans="2:10">
      <c r="B224" s="158" t="str">
        <f>IF(LEFT(B$50,1)="*","*R1,R2,R3,R4,R5,R6","R1,R2,R3,R4,R5,R6")</f>
        <v>R1,R2,R3,R4,R5,R6</v>
      </c>
      <c r="C224" s="158" t="e">
        <f>#REF!</f>
        <v>#REF!</v>
      </c>
      <c r="D224" s="158" t="str">
        <f>CONCATENATE(Types!C2," to the Residential Sector")</f>
        <v>Distillate-Heating Oil No. 2 to the Residential Sector</v>
      </c>
      <c r="E224" s="158"/>
      <c r="F224" s="158"/>
      <c r="G224" s="161"/>
      <c r="H224" s="161"/>
      <c r="I224" s="161"/>
      <c r="J224" s="161"/>
    </row>
    <row r="225" spans="2:10">
      <c r="B225" s="158" t="str">
        <f>IF(LEFT(B$50,1)="*","*R1,R2,R3,R4,R5,R6","R1,R2,R3,R4,R5,R6")</f>
        <v>R1,R2,R3,R4,R5,R6</v>
      </c>
      <c r="C225" s="158" t="e">
        <f>#REF!</f>
        <v>#REF!</v>
      </c>
      <c r="D225" s="158" t="str">
        <f>CONCATENATE(Types!C2," to the Commercial Sector")</f>
        <v>Distillate-Heating Oil No. 2 to the Commercial Sector</v>
      </c>
      <c r="E225" s="158"/>
      <c r="F225" s="158"/>
      <c r="G225" s="161"/>
      <c r="H225" s="161"/>
      <c r="I225" s="161"/>
      <c r="J225" s="161"/>
    </row>
    <row r="226" spans="2:10">
      <c r="B226" s="158" t="str">
        <f>IF(LEFT(B$50,1)="*","*R1,R2,R3,R4,R5,R6","*R1,R2,R3,R4,R5,R6")</f>
        <v>*R1,R2,R3,R4,R5,R6</v>
      </c>
      <c r="C226" s="158" t="e">
        <f>#REF!</f>
        <v>#REF!</v>
      </c>
      <c r="D226" s="158" t="str">
        <f>CONCATENATE(Types!C2," to the Indistrial Sector")</f>
        <v>Distillate-Heating Oil No. 2 to the Indistrial Sector</v>
      </c>
      <c r="E226" s="158"/>
      <c r="F226" s="158"/>
      <c r="G226" s="161"/>
      <c r="H226" s="161"/>
      <c r="I226" s="161"/>
      <c r="J226" s="161"/>
    </row>
    <row r="227" spans="2:10">
      <c r="B227" s="158" t="s">
        <v>1096</v>
      </c>
      <c r="C227" s="158" t="e">
        <f>#REF!</f>
        <v>#REF!</v>
      </c>
      <c r="D227" s="158" t="str">
        <f>CONCATENATE(Types!C2," to the Electricity Sector")</f>
        <v>Distillate-Heating Oil No. 2 to the Electricity Sector</v>
      </c>
      <c r="E227" s="158"/>
      <c r="F227" s="158"/>
      <c r="G227" s="161"/>
      <c r="H227" s="161"/>
      <c r="I227" s="161"/>
      <c r="J227" s="161"/>
    </row>
    <row r="228" spans="2:10">
      <c r="B228" s="158" t="str">
        <f>IF(LEFT(B$51,1)="*","*R1,R2,R3,R4,R5,R6","R1,R2,R3,R4,R5,R6")</f>
        <v>R1,R2,R3,R4,R5,R6</v>
      </c>
      <c r="C228" s="158" t="e">
        <f>#REF!</f>
        <v>#REF!</v>
      </c>
      <c r="D228" s="158" t="str">
        <f>Types!C3</f>
        <v>Distillate-Low Sulfur Highway Diesel (500 ppm)</v>
      </c>
      <c r="E228" s="158"/>
      <c r="F228" s="158"/>
      <c r="G228" s="161"/>
      <c r="H228" s="161"/>
      <c r="I228" s="161"/>
      <c r="J228" s="161"/>
    </row>
    <row r="229" spans="2:10">
      <c r="B229" s="158" t="str">
        <f>IF(LEFT(B$52,1)="*","*R1,R2,R3,R4,R5,R6","R1,R2,R3,R4,R5,R6")</f>
        <v>R1,R2,R3,R4,R5,R6</v>
      </c>
      <c r="C229" s="158" t="e">
        <f>#REF!</f>
        <v>#REF!</v>
      </c>
      <c r="D229" s="158" t="str">
        <f>Types!C4</f>
        <v>Distillate-Ultralow Sulfur Highway Diesel (15 ppm)</v>
      </c>
      <c r="E229" s="158"/>
      <c r="F229" s="158"/>
      <c r="G229" s="161"/>
      <c r="H229" s="161"/>
      <c r="I229" s="161"/>
      <c r="J229" s="161"/>
    </row>
    <row r="230" spans="2:10">
      <c r="B230" s="158" t="str">
        <f>IF(LEFT(B53,1)="*","*R1,R2,R3,R4,R5,R6","R1,R2,R3,R4,R5,R6")</f>
        <v>*R1,R2,R3,R4,R5,R6</v>
      </c>
      <c r="C230" s="158" t="e">
        <f>#REF!</f>
        <v>#REF!</v>
      </c>
      <c r="D230" s="158" t="str">
        <f>Types!C7</f>
        <v>Jet Fuel</v>
      </c>
      <c r="E230" s="158"/>
      <c r="F230" s="158"/>
      <c r="G230" s="161"/>
      <c r="H230" s="161"/>
      <c r="I230" s="161"/>
      <c r="J230" s="161"/>
    </row>
    <row r="231" spans="2:10">
      <c r="B231" s="158" t="str">
        <f>IF(LEFT(B$54,1)="*","*R1,R2,R3,R4,R5,R6","R1,R2,R3,R4,R5,R6")</f>
        <v>*R1,R2,R3,R4,R5,R6</v>
      </c>
      <c r="C231" s="158" t="e">
        <f>#REF!</f>
        <v>#REF!</v>
      </c>
      <c r="D231" s="158" t="str">
        <f>CONCATENATE(Types!C8," to the Residential Sector")</f>
        <v>Kerosene and Other Refined Products to the Residential Sector</v>
      </c>
      <c r="E231" s="158"/>
      <c r="F231" s="158"/>
      <c r="G231" s="161"/>
      <c r="H231" s="161"/>
      <c r="I231" s="161"/>
      <c r="J231" s="161"/>
    </row>
    <row r="232" spans="2:10">
      <c r="B232" s="158" t="str">
        <f>IF(LEFT(B$54,1)="*","*R1,R2,R3,R4,R5,R6","R1,R2,R3,R4,R5,R6")</f>
        <v>*R1,R2,R3,R4,R5,R6</v>
      </c>
      <c r="C232" s="158" t="e">
        <f>#REF!</f>
        <v>#REF!</v>
      </c>
      <c r="D232" s="158" t="str">
        <f>CONCATENATE(Types!C8," to the Commercial Sector")</f>
        <v>Kerosene and Other Refined Products to the Commercial Sector</v>
      </c>
      <c r="E232" s="158"/>
      <c r="F232" s="158"/>
      <c r="G232" s="161"/>
      <c r="H232" s="161"/>
      <c r="I232" s="161"/>
      <c r="J232" s="161"/>
    </row>
    <row r="233" spans="2:10">
      <c r="B233" s="158" t="str">
        <f>IF(LEFT(B$54,1)="*","*R1,R2,R3,R4,R5,R6","R1,R2,R3,R4,R5,R6")</f>
        <v>*R1,R2,R3,R4,R5,R6</v>
      </c>
      <c r="C233" s="158" t="e">
        <f>#REF!</f>
        <v>#REF!</v>
      </c>
      <c r="D233" s="158" t="str">
        <f>CONCATENATE(Types!C8," to the Industrial Sector")</f>
        <v>Kerosene and Other Refined Products to the Industrial Sector</v>
      </c>
      <c r="E233" s="158"/>
      <c r="F233" s="158"/>
      <c r="G233" s="161"/>
      <c r="H233" s="161"/>
      <c r="I233" s="161"/>
      <c r="J233" s="161"/>
    </row>
    <row r="234" spans="2:10">
      <c r="B234" s="158" t="str">
        <f>IF(LEFT(B$55,1)="*","*R1,R2,R3,R4,R5,R6","R1,R2,R3,R4,R5,R6")</f>
        <v>*R1,R2,R3,R4,R5,R6</v>
      </c>
      <c r="C234" s="158" t="e">
        <f>#REF!</f>
        <v>#REF!</v>
      </c>
      <c r="D234" s="158" t="str">
        <f>CONCATENATE(Types!C9," to the Residential Sector")</f>
        <v>LPG to the Residential Sector</v>
      </c>
      <c r="E234" s="158"/>
      <c r="F234" s="158"/>
      <c r="G234" s="161"/>
      <c r="H234" s="161"/>
      <c r="I234" s="161"/>
      <c r="J234" s="161"/>
    </row>
    <row r="235" spans="2:10">
      <c r="B235" s="158" t="str">
        <f>IF(LEFT(B$55,1)="*","*R1,R2,R3,R4,R5,R6","R1,R2,R3,R4,R5,R6")</f>
        <v>*R1,R2,R3,R4,R5,R6</v>
      </c>
      <c r="C235" s="158" t="e">
        <f>#REF!</f>
        <v>#REF!</v>
      </c>
      <c r="D235" s="158" t="str">
        <f>CONCATENATE(Types!C9," to the Commercial Sector")</f>
        <v>LPG to the Commercial Sector</v>
      </c>
      <c r="E235" s="158"/>
      <c r="F235" s="158"/>
      <c r="G235" s="161"/>
      <c r="H235" s="161"/>
      <c r="I235" s="161"/>
      <c r="J235" s="161"/>
    </row>
    <row r="236" spans="2:10">
      <c r="B236" s="158" t="str">
        <f>IF(LEFT(B$55,1)="*","*R1,R2,R3,R4,R5,R6","R1,R2,R3,R4,R5,R6")</f>
        <v>*R1,R2,R3,R4,R5,R6</v>
      </c>
      <c r="C236" s="158" t="e">
        <f>#REF!</f>
        <v>#REF!</v>
      </c>
      <c r="D236" s="158" t="str">
        <f>CONCATENATE(Types!C9," to the Industrial Sector")</f>
        <v>LPG to the Industrial Sector</v>
      </c>
      <c r="E236" s="158"/>
      <c r="F236" s="158"/>
      <c r="G236" s="161"/>
      <c r="H236" s="161"/>
      <c r="I236" s="161"/>
      <c r="J236" s="161"/>
    </row>
    <row r="237" spans="2:10">
      <c r="B237" s="158" t="str">
        <f>IF(LEFT(B$55,1)="*","*R1,R2,R3,R4,R5,R6","R1,R2,R3,R4,R5,R6")</f>
        <v>*R1,R2,R3,R4,R5,R6</v>
      </c>
      <c r="C237" s="158" t="e">
        <f>#REF!</f>
        <v>#REF!</v>
      </c>
      <c r="D237" s="158" t="str">
        <f>CONCATENATE(Types!C9," to the Transportation Sector")</f>
        <v>LPG to the Transportation Sector</v>
      </c>
      <c r="E237" s="158"/>
      <c r="F237" s="158"/>
      <c r="G237" s="161"/>
      <c r="H237" s="161"/>
      <c r="I237" s="161"/>
      <c r="J237" s="161"/>
    </row>
    <row r="238" spans="2:10">
      <c r="B238" s="158" t="str">
        <f>IF(LEFT(B$56,1)="*","*R1,R2,R3,R4,R5,R6","R1,R2,R3,R4,R5,R6")</f>
        <v>*R1,R2,R3,R4,R5,R6</v>
      </c>
      <c r="C238" s="158" t="e">
        <f>#REF!</f>
        <v>#REF!</v>
      </c>
      <c r="D238" s="158" t="str">
        <f>Types!C10</f>
        <v>Methanol</v>
      </c>
      <c r="E238" s="158"/>
      <c r="F238" s="158"/>
      <c r="G238" s="161"/>
      <c r="H238" s="161"/>
      <c r="I238" s="161"/>
      <c r="J238" s="161"/>
    </row>
    <row r="239" spans="2:10">
      <c r="B239" s="158" t="str">
        <f>IF(LEFT(B$57,1)="*","*R1,R2,R3,R4,R5,R6","R1,R2,R3,R4,R5,R6")</f>
        <v>*R1,R2,R3,R4,R5,R6</v>
      </c>
      <c r="C239" s="158" t="e">
        <f>#REF!</f>
        <v>#REF!</v>
      </c>
      <c r="D239" s="158" t="str">
        <f>Types!C11</f>
        <v>Petrochemical Feedstocks</v>
      </c>
      <c r="E239" s="158"/>
      <c r="F239" s="158"/>
      <c r="G239" s="161"/>
      <c r="H239" s="161"/>
      <c r="I239" s="161"/>
      <c r="J239" s="161"/>
    </row>
    <row r="240" spans="2:10">
      <c r="B240" s="158" t="str">
        <f>IF(LEFT(B$59,1)="*","*R1,R2,R3,R4,R5,R6","*R1,R2,R3,R4,R5,R6")</f>
        <v>*R1,R2,R3,R4,R5,R6</v>
      </c>
      <c r="C240" s="158" t="s">
        <v>1048</v>
      </c>
      <c r="D240" s="158" t="str">
        <f>CONCATENATE(Types!C13," to Residential Sector")</f>
        <v>Low Sulfur Residual Fuel Oil to Residential Sector</v>
      </c>
      <c r="E240" s="158"/>
      <c r="F240" s="158"/>
      <c r="G240" s="161"/>
      <c r="H240" s="161"/>
      <c r="I240" s="161"/>
      <c r="J240" s="161"/>
    </row>
    <row r="241" spans="2:10">
      <c r="B241" s="158" t="str">
        <f>IF(LEFT(B$59,1)="*","*R1,R2,R3,R4,R5,R6","*R1,R2,R3,R4,R5,R6")</f>
        <v>*R1,R2,R3,R4,R5,R6</v>
      </c>
      <c r="C241" s="158" t="e">
        <f>#REF!</f>
        <v>#REF!</v>
      </c>
      <c r="D241" s="158" t="str">
        <f>CONCATENATE(Types!C13," to Commercial Sector")</f>
        <v>Low Sulfur Residual Fuel Oil to Commercial Sector</v>
      </c>
      <c r="E241" s="158"/>
      <c r="F241" s="158"/>
      <c r="G241" s="161"/>
      <c r="H241" s="161"/>
      <c r="I241" s="161"/>
      <c r="J241" s="161"/>
    </row>
    <row r="242" spans="2:10">
      <c r="B242" s="158" t="str">
        <f>IF(LEFT(B$59,1)="*","*R1,R2,R3,R4,R5,R6","R1,R2,R3,R4,R5,R6")</f>
        <v>R1,R2,R3,R4,R5,R6</v>
      </c>
      <c r="C242" s="158" t="e">
        <f>#REF!</f>
        <v>#REF!</v>
      </c>
      <c r="D242" s="158" t="str">
        <f>CONCATENATE(Types!C13," to Industrial Sector")</f>
        <v>Low Sulfur Residual Fuel Oil to Industrial Sector</v>
      </c>
      <c r="E242" s="158"/>
      <c r="F242" s="158"/>
      <c r="G242" s="161"/>
      <c r="H242" s="161"/>
      <c r="I242" s="161"/>
      <c r="J242" s="161"/>
    </row>
    <row r="243" spans="2:10">
      <c r="B243" s="158" t="str">
        <f>IF(LEFT(B$59,1)="*","*R1,R2,R3,R4,R5,R6","*R1,R2,R3,R4,R5,R6")</f>
        <v>*R1,R2,R3,R4,R5,R6</v>
      </c>
      <c r="C243" s="158" t="e">
        <f>#REF!</f>
        <v>#REF!</v>
      </c>
      <c r="D243" s="158" t="str">
        <f>CONCATENATE(Types!C13," to Electricity Sector")</f>
        <v>Low Sulfur Residual Fuel Oil to Electricity Sector</v>
      </c>
      <c r="E243" s="158"/>
      <c r="F243" s="158"/>
      <c r="G243" s="161"/>
      <c r="H243" s="161"/>
      <c r="I243" s="161"/>
      <c r="J243" s="161"/>
    </row>
    <row r="244" spans="2:10">
      <c r="B244" s="158" t="str">
        <f>IF(LEFT(B$58,1)="*","*R1,R2,R3,R4,R5,R6","R1,R2,R3,R4,R5,R6")</f>
        <v>*R1,R2,R3,R4,R5,R6</v>
      </c>
      <c r="C244" s="158" t="e">
        <f>#REF!</f>
        <v>#REF!</v>
      </c>
      <c r="D244" s="158" t="str">
        <f>CONCATENATE(Types!C12," to Transportation Sector")</f>
        <v>High Sulfur Residual Fuel Oil to Transportation Sector</v>
      </c>
      <c r="E244" s="158"/>
      <c r="F244" s="158"/>
      <c r="G244" s="161"/>
      <c r="H244" s="161"/>
      <c r="I244" s="161"/>
      <c r="J244" s="161"/>
    </row>
    <row r="245" spans="2:10">
      <c r="B245" s="158" t="str">
        <f>IF(LEFT(B$58,1)="*","*R1,R2,R3,R4,R5,R6","R1,R2,R3,R4,R5,R6")</f>
        <v>*R1,R2,R3,R4,R5,R6</v>
      </c>
      <c r="C245" s="158" t="e">
        <f>#REF!</f>
        <v>#REF!</v>
      </c>
      <c r="D245" s="158" t="str">
        <f>CONCATENATE(Types!C12," to Electricity Sector")</f>
        <v>High Sulfur Residual Fuel Oil to Electricity Sector</v>
      </c>
      <c r="E245" s="158"/>
      <c r="F245" s="158"/>
      <c r="G245" s="161"/>
      <c r="H245" s="161"/>
      <c r="I245" s="161"/>
      <c r="J245" s="161"/>
    </row>
    <row r="246" spans="2:10">
      <c r="B246" s="158" t="str">
        <f>IF(LEFT(B$60,1)="*","*R1,R2,R3,R4,R5,R6","R1,R2,R3,R4,R5,R6")</f>
        <v>*R1,R2,R3,R4,R5,R6</v>
      </c>
      <c r="C246" s="158" t="e">
        <f>#REF!</f>
        <v>#REF!</v>
      </c>
      <c r="D246" s="158" t="s">
        <v>297</v>
      </c>
      <c r="E246" s="158"/>
      <c r="F246" s="158"/>
      <c r="G246" s="161"/>
      <c r="H246" s="161"/>
      <c r="I246" s="161"/>
      <c r="J246" s="161"/>
    </row>
    <row r="247" spans="2:10">
      <c r="B247" s="147"/>
      <c r="C247" s="147"/>
      <c r="D247" s="147"/>
      <c r="E247" s="147"/>
      <c r="F247" s="147"/>
    </row>
    <row r="248" spans="2:10">
      <c r="B248" s="147"/>
      <c r="C248" s="147"/>
      <c r="D248" s="147"/>
      <c r="E248" s="147"/>
      <c r="F248" s="147"/>
    </row>
    <row r="249" spans="2:10">
      <c r="B249" s="147"/>
      <c r="C249" s="147"/>
      <c r="D249" s="147"/>
      <c r="E249" s="147"/>
      <c r="F249" s="147"/>
    </row>
    <row r="250" spans="2:10">
      <c r="B250" s="147"/>
      <c r="C250" s="147"/>
      <c r="D250" s="147"/>
      <c r="E250" s="147"/>
      <c r="F250" s="147"/>
    </row>
    <row r="251" spans="2:10">
      <c r="B251" s="147"/>
      <c r="C251" s="147"/>
      <c r="D251" s="147"/>
      <c r="E251" s="147"/>
      <c r="F251" s="147"/>
    </row>
    <row r="252" spans="2:10">
      <c r="B252" s="147"/>
      <c r="C252" s="147"/>
      <c r="D252" s="147"/>
      <c r="E252" s="147"/>
      <c r="F252" s="147"/>
    </row>
    <row r="253" spans="2:10">
      <c r="B253" s="147"/>
      <c r="C253" s="147"/>
      <c r="D253" s="147"/>
      <c r="E253" s="147"/>
      <c r="F253" s="147"/>
    </row>
    <row r="254" spans="2:10">
      <c r="B254" s="154" t="s">
        <v>295</v>
      </c>
      <c r="C254" s="160"/>
      <c r="D254" s="160"/>
      <c r="E254" s="160"/>
      <c r="F254" s="160"/>
      <c r="G254" s="157"/>
      <c r="H254" s="157"/>
      <c r="I254" s="157"/>
      <c r="J254" s="157"/>
    </row>
    <row r="255" spans="2:10">
      <c r="B255" s="158" t="s">
        <v>1042</v>
      </c>
      <c r="C255" s="158" t="str">
        <f t="shared" ref="C255:C267" si="2">CONCATENATE(C48,"B")</f>
        <v>GSCB</v>
      </c>
      <c r="D255" s="158" t="str">
        <f t="shared" ref="D255:D267" si="3">CONCATENATE(C48," Traded by Barge/Vessel ")</f>
        <v xml:space="preserve">GSC Traded by Barge/Vessel </v>
      </c>
      <c r="E255" s="158"/>
      <c r="F255" s="158" t="s">
        <v>1117</v>
      </c>
      <c r="G255" s="161"/>
      <c r="H255" s="161"/>
      <c r="I255" s="161"/>
      <c r="J255" s="161"/>
    </row>
    <row r="256" spans="2:10">
      <c r="B256" s="158" t="s">
        <v>1042</v>
      </c>
      <c r="C256" s="158" t="str">
        <f t="shared" si="2"/>
        <v>GSRB</v>
      </c>
      <c r="D256" s="158" t="str">
        <f t="shared" si="3"/>
        <v xml:space="preserve">GSR Traded by Barge/Vessel </v>
      </c>
      <c r="E256" s="158"/>
      <c r="F256" s="158"/>
      <c r="G256" s="161"/>
      <c r="H256" s="161"/>
      <c r="I256" s="161"/>
      <c r="J256" s="161"/>
    </row>
    <row r="257" spans="2:10">
      <c r="B257" s="158" t="s">
        <v>1042</v>
      </c>
      <c r="C257" s="158" t="str">
        <f t="shared" si="2"/>
        <v>DSHB</v>
      </c>
      <c r="D257" s="158" t="str">
        <f t="shared" si="3"/>
        <v xml:space="preserve">DSH Traded by Barge/Vessel </v>
      </c>
      <c r="E257" s="158"/>
      <c r="F257" s="158"/>
      <c r="G257" s="161"/>
      <c r="H257" s="161"/>
      <c r="I257" s="161"/>
      <c r="J257" s="161"/>
    </row>
    <row r="258" spans="2:10">
      <c r="B258" s="158" t="s">
        <v>1042</v>
      </c>
      <c r="C258" s="158" t="str">
        <f t="shared" si="2"/>
        <v>DSLB</v>
      </c>
      <c r="D258" s="158" t="str">
        <f t="shared" si="3"/>
        <v xml:space="preserve">DSL Traded by Barge/Vessel </v>
      </c>
      <c r="E258" s="158"/>
      <c r="F258" s="158"/>
      <c r="G258" s="161"/>
      <c r="H258" s="161"/>
      <c r="I258" s="161"/>
      <c r="J258" s="161"/>
    </row>
    <row r="259" spans="2:10">
      <c r="B259" s="158" t="s">
        <v>1042</v>
      </c>
      <c r="C259" s="158" t="str">
        <f t="shared" si="2"/>
        <v>DSUB</v>
      </c>
      <c r="D259" s="158" t="str">
        <f t="shared" si="3"/>
        <v xml:space="preserve">DSU Traded by Barge/Vessel </v>
      </c>
      <c r="E259" s="158"/>
      <c r="F259" s="158"/>
      <c r="G259" s="161"/>
      <c r="H259" s="161"/>
      <c r="I259" s="161"/>
      <c r="J259" s="161"/>
    </row>
    <row r="260" spans="2:10">
      <c r="B260" s="158" t="s">
        <v>1042</v>
      </c>
      <c r="C260" s="158" t="str">
        <f t="shared" si="2"/>
        <v>JTFB</v>
      </c>
      <c r="D260" s="158" t="str">
        <f t="shared" si="3"/>
        <v xml:space="preserve">JTF Traded by Barge/Vessel </v>
      </c>
      <c r="E260" s="158"/>
      <c r="F260" s="158"/>
      <c r="G260" s="161"/>
      <c r="H260" s="161"/>
      <c r="I260" s="161"/>
      <c r="J260" s="161"/>
    </row>
    <row r="261" spans="2:10">
      <c r="B261" s="158" t="s">
        <v>1042</v>
      </c>
      <c r="C261" s="158" t="str">
        <f t="shared" si="2"/>
        <v>KERB</v>
      </c>
      <c r="D261" s="158" t="str">
        <f t="shared" si="3"/>
        <v xml:space="preserve">KER Traded by Barge/Vessel </v>
      </c>
      <c r="E261" s="158"/>
      <c r="F261" s="158"/>
      <c r="G261" s="161"/>
      <c r="H261" s="161"/>
      <c r="I261" s="161"/>
      <c r="J261" s="161"/>
    </row>
    <row r="262" spans="2:10">
      <c r="B262" s="158" t="s">
        <v>1042</v>
      </c>
      <c r="C262" s="158" t="str">
        <f t="shared" si="2"/>
        <v>LPGB</v>
      </c>
      <c r="D262" s="158" t="str">
        <f t="shared" si="3"/>
        <v xml:space="preserve">LPG Traded by Barge/Vessel </v>
      </c>
      <c r="E262" s="158"/>
      <c r="F262" s="158"/>
      <c r="G262" s="161"/>
      <c r="H262" s="161"/>
      <c r="I262" s="161"/>
      <c r="J262" s="161"/>
    </row>
    <row r="263" spans="2:10">
      <c r="B263" s="158" t="s">
        <v>1042</v>
      </c>
      <c r="C263" s="158" t="str">
        <f t="shared" si="2"/>
        <v>MTHB</v>
      </c>
      <c r="D263" s="158" t="str">
        <f t="shared" si="3"/>
        <v xml:space="preserve">MTH Traded by Barge/Vessel </v>
      </c>
      <c r="E263" s="158"/>
      <c r="F263" s="158"/>
      <c r="G263" s="161"/>
      <c r="H263" s="161"/>
      <c r="I263" s="161"/>
      <c r="J263" s="161"/>
    </row>
    <row r="264" spans="2:10">
      <c r="B264" s="158" t="s">
        <v>1042</v>
      </c>
      <c r="C264" s="158" t="str">
        <f t="shared" si="2"/>
        <v>PFSB</v>
      </c>
      <c r="D264" s="158" t="str">
        <f t="shared" si="3"/>
        <v xml:space="preserve">PFS Traded by Barge/Vessel </v>
      </c>
      <c r="E264" s="158"/>
      <c r="F264" s="158"/>
      <c r="G264" s="161"/>
      <c r="H264" s="161"/>
      <c r="I264" s="161"/>
      <c r="J264" s="161"/>
    </row>
    <row r="265" spans="2:10">
      <c r="B265" s="158" t="s">
        <v>1042</v>
      </c>
      <c r="C265" s="158" t="str">
        <f t="shared" si="2"/>
        <v>RFHB</v>
      </c>
      <c r="D265" s="158" t="str">
        <f t="shared" si="3"/>
        <v xml:space="preserve">RFH Traded by Barge/Vessel </v>
      </c>
      <c r="E265" s="158"/>
      <c r="F265" s="158"/>
      <c r="G265" s="161"/>
      <c r="H265" s="161"/>
      <c r="I265" s="161"/>
      <c r="J265" s="161"/>
    </row>
    <row r="266" spans="2:10">
      <c r="B266" s="158" t="s">
        <v>1042</v>
      </c>
      <c r="C266" s="158" t="str">
        <f t="shared" si="2"/>
        <v>RFLB</v>
      </c>
      <c r="D266" s="158" t="str">
        <f t="shared" si="3"/>
        <v xml:space="preserve">RFL Traded by Barge/Vessel </v>
      </c>
      <c r="E266" s="158"/>
      <c r="F266" s="158"/>
      <c r="G266" s="161"/>
      <c r="H266" s="161"/>
      <c r="I266" s="161"/>
      <c r="J266" s="161"/>
    </row>
    <row r="267" spans="2:10">
      <c r="B267" s="158" t="s">
        <v>1042</v>
      </c>
      <c r="C267" s="158" t="str">
        <f t="shared" si="2"/>
        <v>ASPB</v>
      </c>
      <c r="D267" s="158" t="str">
        <f t="shared" si="3"/>
        <v xml:space="preserve">ASP Traded by Barge/Vessel </v>
      </c>
      <c r="E267" s="158"/>
      <c r="F267" s="158"/>
      <c r="G267" s="161"/>
      <c r="H267" s="161"/>
      <c r="I267" s="161"/>
      <c r="J267" s="161"/>
    </row>
    <row r="268" spans="2:10">
      <c r="B268" s="158" t="s">
        <v>1032</v>
      </c>
      <c r="C268" s="158" t="e">
        <f>CONCATENATE(C255,#REF!)</f>
        <v>#REF!</v>
      </c>
      <c r="D268" s="158" t="e">
        <f>CONCATENATE(D255," Imported from ",#REF!)</f>
        <v>#REF!</v>
      </c>
      <c r="E268" s="158"/>
      <c r="F268" s="158"/>
      <c r="G268" s="161"/>
      <c r="H268" s="161"/>
      <c r="I268" s="161"/>
      <c r="J268" s="161"/>
    </row>
    <row r="269" spans="2:10">
      <c r="B269" s="158" t="s">
        <v>1032</v>
      </c>
      <c r="C269" s="158" t="e">
        <f>CONCATENATE(C256,#REF!)</f>
        <v>#REF!</v>
      </c>
      <c r="D269" s="158" t="e">
        <f>CONCATENATE(D256," Imported from ",#REF!)</f>
        <v>#REF!</v>
      </c>
      <c r="E269" s="158"/>
      <c r="F269" s="158"/>
      <c r="G269" s="161"/>
      <c r="H269" s="161"/>
      <c r="I269" s="161"/>
      <c r="J269" s="161"/>
    </row>
    <row r="270" spans="2:10">
      <c r="B270" s="158" t="s">
        <v>1032</v>
      </c>
      <c r="C270" s="158" t="e">
        <f>CONCATENATE(C257,#REF!)</f>
        <v>#REF!</v>
      </c>
      <c r="D270" s="158" t="e">
        <f>CONCATENATE(D257," Imported from ",#REF!)</f>
        <v>#REF!</v>
      </c>
      <c r="E270" s="158"/>
      <c r="F270" s="158"/>
      <c r="G270" s="161"/>
      <c r="H270" s="161"/>
      <c r="I270" s="161"/>
      <c r="J270" s="161"/>
    </row>
    <row r="271" spans="2:10">
      <c r="B271" s="158" t="s">
        <v>1032</v>
      </c>
      <c r="C271" s="158" t="e">
        <f>CONCATENATE(C258,#REF!)</f>
        <v>#REF!</v>
      </c>
      <c r="D271" s="158" t="e">
        <f>CONCATENATE(D258," Imported from ",#REF!)</f>
        <v>#REF!</v>
      </c>
      <c r="E271" s="158"/>
      <c r="F271" s="158"/>
      <c r="G271" s="161"/>
      <c r="H271" s="161"/>
      <c r="I271" s="161"/>
      <c r="J271" s="161"/>
    </row>
    <row r="272" spans="2:10">
      <c r="B272" s="158" t="s">
        <v>1032</v>
      </c>
      <c r="C272" s="158" t="e">
        <f>CONCATENATE(C259,#REF!)</f>
        <v>#REF!</v>
      </c>
      <c r="D272" s="158" t="e">
        <f>CONCATENATE(D259," Imported from ",#REF!)</f>
        <v>#REF!</v>
      </c>
      <c r="E272" s="158"/>
      <c r="F272" s="158"/>
      <c r="G272" s="161"/>
      <c r="H272" s="161"/>
      <c r="I272" s="161"/>
      <c r="J272" s="161"/>
    </row>
    <row r="273" spans="2:10">
      <c r="B273" s="158" t="s">
        <v>1032</v>
      </c>
      <c r="C273" s="158" t="e">
        <f>CONCATENATE(C260,#REF!)</f>
        <v>#REF!</v>
      </c>
      <c r="D273" s="158" t="e">
        <f>CONCATENATE(D260," Imported from ",#REF!)</f>
        <v>#REF!</v>
      </c>
      <c r="E273" s="158"/>
      <c r="F273" s="158"/>
      <c r="G273" s="161"/>
      <c r="H273" s="161"/>
      <c r="I273" s="161"/>
      <c r="J273" s="161"/>
    </row>
    <row r="274" spans="2:10">
      <c r="B274" s="158" t="s">
        <v>1032</v>
      </c>
      <c r="C274" s="158" t="e">
        <f>CONCATENATE(C261,#REF!)</f>
        <v>#REF!</v>
      </c>
      <c r="D274" s="158" t="e">
        <f>CONCATENATE(D261," Imported from ",#REF!)</f>
        <v>#REF!</v>
      </c>
      <c r="E274" s="158"/>
      <c r="F274" s="158"/>
      <c r="G274" s="161"/>
      <c r="H274" s="161"/>
      <c r="I274" s="161"/>
      <c r="J274" s="161"/>
    </row>
    <row r="275" spans="2:10">
      <c r="B275" s="158" t="s">
        <v>1032</v>
      </c>
      <c r="C275" s="158" t="e">
        <f>CONCATENATE(C262,#REF!)</f>
        <v>#REF!</v>
      </c>
      <c r="D275" s="158" t="e">
        <f>CONCATENATE(D262," Imported from ",#REF!)</f>
        <v>#REF!</v>
      </c>
      <c r="E275" s="158"/>
      <c r="F275" s="158"/>
      <c r="G275" s="161"/>
      <c r="H275" s="161"/>
      <c r="I275" s="161"/>
      <c r="J275" s="161"/>
    </row>
    <row r="276" spans="2:10">
      <c r="B276" s="158" t="s">
        <v>1032</v>
      </c>
      <c r="C276" s="158" t="e">
        <f>CONCATENATE(C263,#REF!)</f>
        <v>#REF!</v>
      </c>
      <c r="D276" s="158" t="e">
        <f>CONCATENATE(D263," Imported from ",#REF!)</f>
        <v>#REF!</v>
      </c>
      <c r="E276" s="158"/>
      <c r="F276" s="158"/>
      <c r="G276" s="161"/>
      <c r="H276" s="161"/>
      <c r="I276" s="161"/>
      <c r="J276" s="161"/>
    </row>
    <row r="277" spans="2:10">
      <c r="B277" s="158" t="s">
        <v>1032</v>
      </c>
      <c r="C277" s="158" t="e">
        <f>CONCATENATE(C264,#REF!)</f>
        <v>#REF!</v>
      </c>
      <c r="D277" s="158" t="e">
        <f>CONCATENATE(D264," Imported from ",#REF!)</f>
        <v>#REF!</v>
      </c>
      <c r="E277" s="158"/>
      <c r="F277" s="158"/>
      <c r="G277" s="161"/>
      <c r="H277" s="161"/>
      <c r="I277" s="161"/>
      <c r="J277" s="161"/>
    </row>
    <row r="278" spans="2:10">
      <c r="B278" s="158" t="s">
        <v>1032</v>
      </c>
      <c r="C278" s="158" t="e">
        <f>CONCATENATE(C265,#REF!)</f>
        <v>#REF!</v>
      </c>
      <c r="D278" s="158" t="e">
        <f>CONCATENATE(D265," Imported from ",#REF!)</f>
        <v>#REF!</v>
      </c>
      <c r="E278" s="158"/>
      <c r="F278" s="158"/>
      <c r="G278" s="161"/>
      <c r="H278" s="161"/>
      <c r="I278" s="161"/>
      <c r="J278" s="161"/>
    </row>
    <row r="279" spans="2:10">
      <c r="B279" s="158" t="s">
        <v>1032</v>
      </c>
      <c r="C279" s="158" t="e">
        <f>CONCATENATE(C266,#REF!)</f>
        <v>#REF!</v>
      </c>
      <c r="D279" s="158" t="e">
        <f>CONCATENATE(D266," Imported from ",#REF!)</f>
        <v>#REF!</v>
      </c>
      <c r="E279" s="158"/>
      <c r="F279" s="158"/>
      <c r="G279" s="161"/>
      <c r="H279" s="161"/>
      <c r="I279" s="161"/>
      <c r="J279" s="161"/>
    </row>
    <row r="280" spans="2:10">
      <c r="B280" s="158" t="s">
        <v>1032</v>
      </c>
      <c r="C280" s="158" t="e">
        <f>CONCATENATE(C267,#REF!)</f>
        <v>#REF!</v>
      </c>
      <c r="D280" s="158" t="e">
        <f>CONCATENATE(D267," Imported from ",#REF!)</f>
        <v>#REF!</v>
      </c>
      <c r="E280" s="158"/>
      <c r="F280" s="158"/>
      <c r="G280" s="161"/>
      <c r="H280" s="161"/>
      <c r="I280" s="161"/>
      <c r="J280" s="161"/>
    </row>
    <row r="281" spans="2:10">
      <c r="B281" s="158" t="s">
        <v>1039</v>
      </c>
      <c r="C281" s="158" t="e">
        <f>CONCATENATE(C255,#REF!)</f>
        <v>#REF!</v>
      </c>
      <c r="D281" s="158" t="e">
        <f>CONCATENATE(D255," Imported from ",#REF!)</f>
        <v>#REF!</v>
      </c>
      <c r="E281" s="158"/>
      <c r="F281" s="158"/>
      <c r="G281" s="161"/>
      <c r="H281" s="161"/>
      <c r="I281" s="161"/>
      <c r="J281" s="161"/>
    </row>
    <row r="282" spans="2:10">
      <c r="B282" s="158" t="s">
        <v>1039</v>
      </c>
      <c r="C282" s="158" t="e">
        <f>CONCATENATE(C256,#REF!)</f>
        <v>#REF!</v>
      </c>
      <c r="D282" s="158" t="e">
        <f>CONCATENATE(D256," Imported from ",#REF!)</f>
        <v>#REF!</v>
      </c>
      <c r="E282" s="158"/>
      <c r="F282" s="158"/>
      <c r="G282" s="161"/>
      <c r="H282" s="161"/>
      <c r="I282" s="161"/>
      <c r="J282" s="161"/>
    </row>
    <row r="283" spans="2:10">
      <c r="B283" s="158" t="s">
        <v>1039</v>
      </c>
      <c r="C283" s="158" t="e">
        <f>CONCATENATE(C257,#REF!)</f>
        <v>#REF!</v>
      </c>
      <c r="D283" s="158" t="e">
        <f>CONCATENATE(D257," Imported from ",#REF!)</f>
        <v>#REF!</v>
      </c>
      <c r="E283" s="158"/>
      <c r="F283" s="158"/>
      <c r="G283" s="161"/>
      <c r="H283" s="161"/>
      <c r="I283" s="161"/>
      <c r="J283" s="161"/>
    </row>
    <row r="284" spans="2:10">
      <c r="B284" s="158" t="s">
        <v>1039</v>
      </c>
      <c r="C284" s="158" t="e">
        <f>CONCATENATE(C258,#REF!)</f>
        <v>#REF!</v>
      </c>
      <c r="D284" s="158" t="e">
        <f>CONCATENATE(D258," Imported from ",#REF!)</f>
        <v>#REF!</v>
      </c>
      <c r="E284" s="158"/>
      <c r="F284" s="158"/>
      <c r="G284" s="161"/>
      <c r="H284" s="161"/>
      <c r="I284" s="161"/>
      <c r="J284" s="161"/>
    </row>
    <row r="285" spans="2:10">
      <c r="B285" s="158" t="s">
        <v>1039</v>
      </c>
      <c r="C285" s="158" t="e">
        <f>CONCATENATE(C259,#REF!)</f>
        <v>#REF!</v>
      </c>
      <c r="D285" s="158" t="e">
        <f>CONCATENATE(D259," Imported from ",#REF!)</f>
        <v>#REF!</v>
      </c>
      <c r="E285" s="158"/>
      <c r="F285" s="158"/>
      <c r="G285" s="161"/>
      <c r="H285" s="161"/>
      <c r="I285" s="161"/>
      <c r="J285" s="161"/>
    </row>
    <row r="286" spans="2:10">
      <c r="B286" s="158" t="s">
        <v>1039</v>
      </c>
      <c r="C286" s="158" t="e">
        <f>CONCATENATE(C260,#REF!)</f>
        <v>#REF!</v>
      </c>
      <c r="D286" s="158" t="e">
        <f>CONCATENATE(D260," Imported from ",#REF!)</f>
        <v>#REF!</v>
      </c>
      <c r="E286" s="158"/>
      <c r="F286" s="158"/>
      <c r="G286" s="161"/>
      <c r="H286" s="161"/>
      <c r="I286" s="161"/>
      <c r="J286" s="161"/>
    </row>
    <row r="287" spans="2:10">
      <c r="B287" s="158" t="s">
        <v>1039</v>
      </c>
      <c r="C287" s="158" t="e">
        <f>CONCATENATE(C261,#REF!)</f>
        <v>#REF!</v>
      </c>
      <c r="D287" s="158" t="e">
        <f>CONCATENATE(D261," Imported from ",#REF!)</f>
        <v>#REF!</v>
      </c>
      <c r="E287" s="158"/>
      <c r="F287" s="158"/>
      <c r="G287" s="161"/>
      <c r="H287" s="161"/>
      <c r="I287" s="161"/>
      <c r="J287" s="161"/>
    </row>
    <row r="288" spans="2:10">
      <c r="B288" s="158" t="s">
        <v>1039</v>
      </c>
      <c r="C288" s="158" t="e">
        <f>CONCATENATE(C262,#REF!)</f>
        <v>#REF!</v>
      </c>
      <c r="D288" s="158" t="e">
        <f>CONCATENATE(D262," Imported from ",#REF!)</f>
        <v>#REF!</v>
      </c>
      <c r="E288" s="158"/>
      <c r="F288" s="158"/>
      <c r="G288" s="161"/>
      <c r="H288" s="161"/>
      <c r="I288" s="161"/>
      <c r="J288" s="161"/>
    </row>
    <row r="289" spans="2:10">
      <c r="B289" s="158" t="s">
        <v>1039</v>
      </c>
      <c r="C289" s="158" t="e">
        <f>CONCATENATE(C263,#REF!)</f>
        <v>#REF!</v>
      </c>
      <c r="D289" s="158" t="e">
        <f>CONCATENATE(D263," Imported from ",#REF!)</f>
        <v>#REF!</v>
      </c>
      <c r="E289" s="158"/>
      <c r="F289" s="158"/>
      <c r="G289" s="161"/>
      <c r="H289" s="161"/>
      <c r="I289" s="161"/>
      <c r="J289" s="161"/>
    </row>
    <row r="290" spans="2:10">
      <c r="B290" s="158" t="s">
        <v>1039</v>
      </c>
      <c r="C290" s="158" t="e">
        <f>CONCATENATE(C264,#REF!)</f>
        <v>#REF!</v>
      </c>
      <c r="D290" s="158" t="e">
        <f>CONCATENATE(D264," Imported from ",#REF!)</f>
        <v>#REF!</v>
      </c>
      <c r="E290" s="158"/>
      <c r="F290" s="158"/>
      <c r="G290" s="161"/>
      <c r="H290" s="161"/>
      <c r="I290" s="161"/>
      <c r="J290" s="161"/>
    </row>
    <row r="291" spans="2:10">
      <c r="B291" s="158" t="s">
        <v>1039</v>
      </c>
      <c r="C291" s="158" t="e">
        <f>CONCATENATE(C265,#REF!)</f>
        <v>#REF!</v>
      </c>
      <c r="D291" s="158" t="e">
        <f>CONCATENATE(D265," Imported from ",#REF!)</f>
        <v>#REF!</v>
      </c>
      <c r="E291" s="158"/>
      <c r="F291" s="158"/>
      <c r="G291" s="161"/>
      <c r="H291" s="161"/>
      <c r="I291" s="161"/>
      <c r="J291" s="161"/>
    </row>
    <row r="292" spans="2:10">
      <c r="B292" s="158" t="s">
        <v>1039</v>
      </c>
      <c r="C292" s="158" t="e">
        <f>CONCATENATE(C266,#REF!)</f>
        <v>#REF!</v>
      </c>
      <c r="D292" s="158" t="e">
        <f>CONCATENATE(D266," Imported from ",#REF!)</f>
        <v>#REF!</v>
      </c>
      <c r="E292" s="158"/>
      <c r="F292" s="158"/>
      <c r="G292" s="161"/>
      <c r="H292" s="161"/>
      <c r="I292" s="161"/>
      <c r="J292" s="161"/>
    </row>
    <row r="293" spans="2:10">
      <c r="B293" s="158" t="s">
        <v>1039</v>
      </c>
      <c r="C293" s="158" t="e">
        <f>CONCATENATE(C267,#REF!)</f>
        <v>#REF!</v>
      </c>
      <c r="D293" s="158" t="e">
        <f>CONCATENATE(D267," Imported from ",#REF!)</f>
        <v>#REF!</v>
      </c>
      <c r="E293" s="158"/>
      <c r="F293" s="158"/>
      <c r="G293" s="161"/>
      <c r="H293" s="161"/>
      <c r="I293" s="161"/>
      <c r="J293" s="161"/>
    </row>
    <row r="294" spans="2:10">
      <c r="B294" s="158" t="s">
        <v>1039</v>
      </c>
      <c r="C294" s="158" t="e">
        <f>CONCATENATE(C255,#REF!)</f>
        <v>#REF!</v>
      </c>
      <c r="D294" s="158" t="e">
        <f>CONCATENATE(D255," Imported from ",#REF!)</f>
        <v>#REF!</v>
      </c>
      <c r="E294" s="158"/>
      <c r="F294" s="158"/>
      <c r="G294" s="161"/>
      <c r="H294" s="161"/>
      <c r="I294" s="161"/>
      <c r="J294" s="161"/>
    </row>
    <row r="295" spans="2:10">
      <c r="B295" s="158" t="s">
        <v>1039</v>
      </c>
      <c r="C295" s="158" t="e">
        <f>CONCATENATE(C256,#REF!)</f>
        <v>#REF!</v>
      </c>
      <c r="D295" s="158" t="e">
        <f>CONCATENATE(D256," Imported from ",#REF!)</f>
        <v>#REF!</v>
      </c>
      <c r="E295" s="158"/>
      <c r="F295" s="158"/>
      <c r="G295" s="161"/>
      <c r="H295" s="161"/>
      <c r="I295" s="161"/>
      <c r="J295" s="161"/>
    </row>
    <row r="296" spans="2:10">
      <c r="B296" s="158" t="s">
        <v>1039</v>
      </c>
      <c r="C296" s="158" t="e">
        <f>CONCATENATE(C257,#REF!)</f>
        <v>#REF!</v>
      </c>
      <c r="D296" s="158" t="e">
        <f>CONCATENATE(D257," Imported from ",#REF!)</f>
        <v>#REF!</v>
      </c>
      <c r="E296" s="158"/>
      <c r="F296" s="158"/>
      <c r="G296" s="161"/>
      <c r="H296" s="161"/>
      <c r="I296" s="161"/>
      <c r="J296" s="161"/>
    </row>
    <row r="297" spans="2:10">
      <c r="B297" s="158" t="s">
        <v>1039</v>
      </c>
      <c r="C297" s="158" t="e">
        <f>CONCATENATE(C258,#REF!)</f>
        <v>#REF!</v>
      </c>
      <c r="D297" s="158" t="e">
        <f>CONCATENATE(D258," Imported from ",#REF!)</f>
        <v>#REF!</v>
      </c>
      <c r="E297" s="158"/>
      <c r="F297" s="158"/>
      <c r="G297" s="161"/>
      <c r="H297" s="161"/>
      <c r="I297" s="161"/>
      <c r="J297" s="161"/>
    </row>
    <row r="298" spans="2:10">
      <c r="B298" s="158" t="s">
        <v>1039</v>
      </c>
      <c r="C298" s="158" t="e">
        <f>CONCATENATE(C259,#REF!)</f>
        <v>#REF!</v>
      </c>
      <c r="D298" s="158" t="e">
        <f>CONCATENATE(D259," Imported from ",#REF!)</f>
        <v>#REF!</v>
      </c>
      <c r="E298" s="158"/>
      <c r="F298" s="158"/>
      <c r="G298" s="161"/>
      <c r="H298" s="161"/>
      <c r="I298" s="161"/>
      <c r="J298" s="161"/>
    </row>
    <row r="299" spans="2:10">
      <c r="B299" s="158" t="s">
        <v>1039</v>
      </c>
      <c r="C299" s="158" t="e">
        <f>CONCATENATE(C260,#REF!)</f>
        <v>#REF!</v>
      </c>
      <c r="D299" s="158" t="e">
        <f>CONCATENATE(D260," Imported from ",#REF!)</f>
        <v>#REF!</v>
      </c>
      <c r="E299" s="158"/>
      <c r="F299" s="158"/>
      <c r="G299" s="161"/>
      <c r="H299" s="161"/>
      <c r="I299" s="161"/>
      <c r="J299" s="161"/>
    </row>
    <row r="300" spans="2:10">
      <c r="B300" s="158" t="s">
        <v>1039</v>
      </c>
      <c r="C300" s="158" t="e">
        <f>CONCATENATE(C261,#REF!)</f>
        <v>#REF!</v>
      </c>
      <c r="D300" s="158" t="e">
        <f>CONCATENATE(D261," Imported from ",#REF!)</f>
        <v>#REF!</v>
      </c>
      <c r="E300" s="158"/>
      <c r="F300" s="158"/>
      <c r="G300" s="161"/>
      <c r="H300" s="161"/>
      <c r="I300" s="161"/>
      <c r="J300" s="161"/>
    </row>
    <row r="301" spans="2:10">
      <c r="B301" s="158" t="s">
        <v>1039</v>
      </c>
      <c r="C301" s="158" t="e">
        <f>CONCATENATE(C262,#REF!)</f>
        <v>#REF!</v>
      </c>
      <c r="D301" s="158" t="e">
        <f>CONCATENATE(D262," Imported from ",#REF!)</f>
        <v>#REF!</v>
      </c>
      <c r="E301" s="158"/>
      <c r="F301" s="158"/>
      <c r="G301" s="161"/>
      <c r="H301" s="161"/>
      <c r="I301" s="161"/>
      <c r="J301" s="161"/>
    </row>
    <row r="302" spans="2:10">
      <c r="B302" s="158" t="s">
        <v>1039</v>
      </c>
      <c r="C302" s="158" t="e">
        <f>CONCATENATE(C263,#REF!)</f>
        <v>#REF!</v>
      </c>
      <c r="D302" s="158" t="e">
        <f>CONCATENATE(D263," Imported from ",#REF!)</f>
        <v>#REF!</v>
      </c>
      <c r="E302" s="158"/>
      <c r="F302" s="158"/>
      <c r="G302" s="161"/>
      <c r="H302" s="161"/>
      <c r="I302" s="161"/>
      <c r="J302" s="161"/>
    </row>
    <row r="303" spans="2:10">
      <c r="B303" s="158" t="s">
        <v>1039</v>
      </c>
      <c r="C303" s="158" t="e">
        <f>CONCATENATE(C264,#REF!)</f>
        <v>#REF!</v>
      </c>
      <c r="D303" s="158" t="e">
        <f>CONCATENATE(D264," Imported from ",#REF!)</f>
        <v>#REF!</v>
      </c>
      <c r="E303" s="158"/>
      <c r="F303" s="158"/>
      <c r="G303" s="161"/>
      <c r="H303" s="161"/>
      <c r="I303" s="161"/>
      <c r="J303" s="161"/>
    </row>
    <row r="304" spans="2:10">
      <c r="B304" s="158" t="s">
        <v>1039</v>
      </c>
      <c r="C304" s="158" t="e">
        <f>CONCATENATE(C265,#REF!)</f>
        <v>#REF!</v>
      </c>
      <c r="D304" s="158" t="e">
        <f>CONCATENATE(D265," Imported from ",#REF!)</f>
        <v>#REF!</v>
      </c>
      <c r="E304" s="158"/>
      <c r="F304" s="158"/>
      <c r="G304" s="161"/>
      <c r="H304" s="161"/>
      <c r="I304" s="161"/>
      <c r="J304" s="161"/>
    </row>
    <row r="305" spans="2:10">
      <c r="B305" s="158" t="s">
        <v>1039</v>
      </c>
      <c r="C305" s="158" t="e">
        <f>CONCATENATE(C266,#REF!)</f>
        <v>#REF!</v>
      </c>
      <c r="D305" s="158" t="e">
        <f>CONCATENATE(D266," Imported from ",#REF!)</f>
        <v>#REF!</v>
      </c>
      <c r="E305" s="158"/>
      <c r="F305" s="158"/>
      <c r="G305" s="161"/>
      <c r="H305" s="161"/>
      <c r="I305" s="161"/>
      <c r="J305" s="161"/>
    </row>
    <row r="306" spans="2:10">
      <c r="B306" s="158" t="s">
        <v>1039</v>
      </c>
      <c r="C306" s="158" t="e">
        <f>CONCATENATE(C267,#REF!)</f>
        <v>#REF!</v>
      </c>
      <c r="D306" s="158" t="e">
        <f>CONCATENATE(D267," Imported from ",#REF!)</f>
        <v>#REF!</v>
      </c>
      <c r="E306" s="158"/>
      <c r="F306" s="158"/>
      <c r="G306" s="161"/>
      <c r="H306" s="161"/>
      <c r="I306" s="161"/>
      <c r="J306" s="161"/>
    </row>
    <row r="307" spans="2:10">
      <c r="B307" s="158" t="s">
        <v>1038</v>
      </c>
      <c r="C307" s="158" t="e">
        <f>CONCATENATE(C255,#REF!)</f>
        <v>#REF!</v>
      </c>
      <c r="D307" s="158" t="e">
        <f>CONCATENATE(D255," Imported from ",#REF!)</f>
        <v>#REF!</v>
      </c>
      <c r="E307" s="158"/>
      <c r="F307" s="158"/>
      <c r="G307" s="161"/>
      <c r="H307" s="161"/>
      <c r="I307" s="161"/>
      <c r="J307" s="161"/>
    </row>
    <row r="308" spans="2:10">
      <c r="B308" s="158" t="s">
        <v>1038</v>
      </c>
      <c r="C308" s="158" t="e">
        <f>CONCATENATE(C256,#REF!)</f>
        <v>#REF!</v>
      </c>
      <c r="D308" s="158" t="e">
        <f>CONCATENATE(D256," Imported from ",#REF!)</f>
        <v>#REF!</v>
      </c>
      <c r="E308" s="158"/>
      <c r="F308" s="158"/>
      <c r="G308" s="161"/>
      <c r="H308" s="161"/>
      <c r="I308" s="161"/>
      <c r="J308" s="161"/>
    </row>
    <row r="309" spans="2:10">
      <c r="B309" s="158" t="s">
        <v>1038</v>
      </c>
      <c r="C309" s="158" t="e">
        <f>CONCATENATE(C257,#REF!)</f>
        <v>#REF!</v>
      </c>
      <c r="D309" s="158" t="e">
        <f>CONCATENATE(D257," Imported from ",#REF!)</f>
        <v>#REF!</v>
      </c>
      <c r="E309" s="158"/>
      <c r="F309" s="158"/>
      <c r="G309" s="161"/>
      <c r="H309" s="161"/>
      <c r="I309" s="161"/>
      <c r="J309" s="161"/>
    </row>
    <row r="310" spans="2:10">
      <c r="B310" s="158" t="s">
        <v>1038</v>
      </c>
      <c r="C310" s="158" t="e">
        <f>CONCATENATE(C258,#REF!)</f>
        <v>#REF!</v>
      </c>
      <c r="D310" s="158" t="e">
        <f>CONCATENATE(D258," Imported from ",#REF!)</f>
        <v>#REF!</v>
      </c>
      <c r="E310" s="158"/>
      <c r="F310" s="158"/>
      <c r="G310" s="161"/>
      <c r="H310" s="161"/>
      <c r="I310" s="161"/>
      <c r="J310" s="161"/>
    </row>
    <row r="311" spans="2:10">
      <c r="B311" s="158" t="s">
        <v>1038</v>
      </c>
      <c r="C311" s="158" t="e">
        <f>CONCATENATE(C259,#REF!)</f>
        <v>#REF!</v>
      </c>
      <c r="D311" s="158" t="e">
        <f>CONCATENATE(D259," Imported from ",#REF!)</f>
        <v>#REF!</v>
      </c>
      <c r="E311" s="158"/>
      <c r="F311" s="158"/>
      <c r="G311" s="161"/>
      <c r="H311" s="161"/>
      <c r="I311" s="161"/>
      <c r="J311" s="161"/>
    </row>
    <row r="312" spans="2:10">
      <c r="B312" s="158" t="s">
        <v>1038</v>
      </c>
      <c r="C312" s="158" t="e">
        <f>CONCATENATE(C260,#REF!)</f>
        <v>#REF!</v>
      </c>
      <c r="D312" s="158" t="e">
        <f>CONCATENATE(D260," Imported from ",#REF!)</f>
        <v>#REF!</v>
      </c>
      <c r="E312" s="158"/>
      <c r="F312" s="158"/>
      <c r="G312" s="161"/>
      <c r="H312" s="161"/>
      <c r="I312" s="161"/>
      <c r="J312" s="161"/>
    </row>
    <row r="313" spans="2:10">
      <c r="B313" s="158" t="s">
        <v>1038</v>
      </c>
      <c r="C313" s="158" t="e">
        <f>CONCATENATE(C261,#REF!)</f>
        <v>#REF!</v>
      </c>
      <c r="D313" s="158" t="e">
        <f>CONCATENATE(D261," Imported from ",#REF!)</f>
        <v>#REF!</v>
      </c>
      <c r="E313" s="158"/>
      <c r="F313" s="158"/>
      <c r="G313" s="161"/>
      <c r="H313" s="161"/>
      <c r="I313" s="161"/>
      <c r="J313" s="161"/>
    </row>
    <row r="314" spans="2:10">
      <c r="B314" s="158" t="s">
        <v>1038</v>
      </c>
      <c r="C314" s="158" t="e">
        <f>CONCATENATE(C262,#REF!)</f>
        <v>#REF!</v>
      </c>
      <c r="D314" s="158" t="e">
        <f>CONCATENATE(D262," Imported from ",#REF!)</f>
        <v>#REF!</v>
      </c>
      <c r="E314" s="158"/>
      <c r="F314" s="158"/>
      <c r="G314" s="161"/>
      <c r="H314" s="161"/>
      <c r="I314" s="161"/>
      <c r="J314" s="161"/>
    </row>
    <row r="315" spans="2:10">
      <c r="B315" s="158" t="s">
        <v>1038</v>
      </c>
      <c r="C315" s="158" t="e">
        <f>CONCATENATE(C263,#REF!)</f>
        <v>#REF!</v>
      </c>
      <c r="D315" s="158" t="e">
        <f>CONCATENATE(D263," Imported from ",#REF!)</f>
        <v>#REF!</v>
      </c>
      <c r="E315" s="158"/>
      <c r="F315" s="158"/>
      <c r="G315" s="161"/>
      <c r="H315" s="161"/>
      <c r="I315" s="161"/>
      <c r="J315" s="161"/>
    </row>
    <row r="316" spans="2:10">
      <c r="B316" s="158" t="s">
        <v>1038</v>
      </c>
      <c r="C316" s="158" t="e">
        <f>CONCATENATE(C264,#REF!)</f>
        <v>#REF!</v>
      </c>
      <c r="D316" s="158" t="e">
        <f>CONCATENATE(D264," Imported from ",#REF!)</f>
        <v>#REF!</v>
      </c>
      <c r="E316" s="158"/>
      <c r="F316" s="158"/>
      <c r="G316" s="161"/>
      <c r="H316" s="161"/>
      <c r="I316" s="161"/>
      <c r="J316" s="161"/>
    </row>
    <row r="317" spans="2:10">
      <c r="B317" s="158" t="s">
        <v>1038</v>
      </c>
      <c r="C317" s="158" t="e">
        <f>CONCATENATE(C265,#REF!)</f>
        <v>#REF!</v>
      </c>
      <c r="D317" s="158" t="e">
        <f>CONCATENATE(D265," Imported from ",#REF!)</f>
        <v>#REF!</v>
      </c>
      <c r="E317" s="158"/>
      <c r="F317" s="158"/>
      <c r="G317" s="161"/>
      <c r="H317" s="161"/>
      <c r="I317" s="161"/>
      <c r="J317" s="161"/>
    </row>
    <row r="318" spans="2:10">
      <c r="B318" s="158" t="s">
        <v>1038</v>
      </c>
      <c r="C318" s="158" t="e">
        <f>CONCATENATE(C266,#REF!)</f>
        <v>#REF!</v>
      </c>
      <c r="D318" s="158" t="e">
        <f>CONCATENATE(D266," Imported from ",#REF!)</f>
        <v>#REF!</v>
      </c>
      <c r="E318" s="158"/>
      <c r="F318" s="158"/>
      <c r="G318" s="161"/>
      <c r="H318" s="161"/>
      <c r="I318" s="161"/>
      <c r="J318" s="161"/>
    </row>
    <row r="319" spans="2:10">
      <c r="B319" s="158" t="s">
        <v>1038</v>
      </c>
      <c r="C319" s="158" t="e">
        <f>CONCATENATE(C267,#REF!)</f>
        <v>#REF!</v>
      </c>
      <c r="D319" s="158" t="e">
        <f>CONCATENATE(D267," Imported from ",#REF!)</f>
        <v>#REF!</v>
      </c>
      <c r="E319" s="158"/>
      <c r="F319" s="158"/>
      <c r="G319" s="161"/>
      <c r="H319" s="161"/>
      <c r="I319" s="161"/>
      <c r="J319" s="161"/>
    </row>
    <row r="320" spans="2:10">
      <c r="B320" s="158" t="s">
        <v>1040</v>
      </c>
      <c r="C320" s="158" t="e">
        <f>CONCATENATE(C255,#REF!)</f>
        <v>#REF!</v>
      </c>
      <c r="D320" s="158" t="e">
        <f>CONCATENATE(D255," Imported from ",#REF!)</f>
        <v>#REF!</v>
      </c>
      <c r="E320" s="158"/>
      <c r="F320" s="158"/>
      <c r="G320" s="161"/>
      <c r="H320" s="161"/>
      <c r="I320" s="161"/>
      <c r="J320" s="161"/>
    </row>
    <row r="321" spans="2:10">
      <c r="B321" s="158" t="s">
        <v>1040</v>
      </c>
      <c r="C321" s="158" t="e">
        <f>CONCATENATE(C256,#REF!)</f>
        <v>#REF!</v>
      </c>
      <c r="D321" s="158" t="e">
        <f>CONCATENATE(D256," Imported from ",#REF!)</f>
        <v>#REF!</v>
      </c>
      <c r="E321" s="158"/>
      <c r="F321" s="158"/>
      <c r="G321" s="161"/>
      <c r="H321" s="161"/>
      <c r="I321" s="161"/>
      <c r="J321" s="161"/>
    </row>
    <row r="322" spans="2:10">
      <c r="B322" s="158" t="s">
        <v>1040</v>
      </c>
      <c r="C322" s="158" t="e">
        <f>CONCATENATE(C257,#REF!)</f>
        <v>#REF!</v>
      </c>
      <c r="D322" s="158" t="e">
        <f>CONCATENATE(D257," Imported from ",#REF!)</f>
        <v>#REF!</v>
      </c>
      <c r="E322" s="158"/>
      <c r="F322" s="158"/>
      <c r="G322" s="161"/>
      <c r="H322" s="161"/>
      <c r="I322" s="161"/>
      <c r="J322" s="161"/>
    </row>
    <row r="323" spans="2:10">
      <c r="B323" s="158" t="s">
        <v>1040</v>
      </c>
      <c r="C323" s="158" t="e">
        <f>CONCATENATE(C258,#REF!)</f>
        <v>#REF!</v>
      </c>
      <c r="D323" s="158" t="e">
        <f>CONCATENATE(D258," Imported from ",#REF!)</f>
        <v>#REF!</v>
      </c>
      <c r="E323" s="158"/>
      <c r="F323" s="158"/>
      <c r="G323" s="161"/>
      <c r="H323" s="161"/>
      <c r="I323" s="161"/>
      <c r="J323" s="161"/>
    </row>
    <row r="324" spans="2:10">
      <c r="B324" s="158" t="s">
        <v>1040</v>
      </c>
      <c r="C324" s="158" t="e">
        <f>CONCATENATE(C259,#REF!)</f>
        <v>#REF!</v>
      </c>
      <c r="D324" s="158" t="e">
        <f>CONCATENATE(D259," Imported from ",#REF!)</f>
        <v>#REF!</v>
      </c>
      <c r="E324" s="158"/>
      <c r="F324" s="158"/>
      <c r="G324" s="161"/>
      <c r="H324" s="161"/>
      <c r="I324" s="161"/>
      <c r="J324" s="161"/>
    </row>
    <row r="325" spans="2:10">
      <c r="B325" s="158" t="s">
        <v>1040</v>
      </c>
      <c r="C325" s="158" t="e">
        <f>CONCATENATE(C260,#REF!)</f>
        <v>#REF!</v>
      </c>
      <c r="D325" s="158" t="e">
        <f>CONCATENATE(D260," Imported from ",#REF!)</f>
        <v>#REF!</v>
      </c>
      <c r="E325" s="158"/>
      <c r="F325" s="158"/>
      <c r="G325" s="161"/>
      <c r="H325" s="161"/>
      <c r="I325" s="161"/>
      <c r="J325" s="161"/>
    </row>
    <row r="326" spans="2:10">
      <c r="B326" s="158" t="s">
        <v>1040</v>
      </c>
      <c r="C326" s="158" t="e">
        <f>CONCATENATE(C261,#REF!)</f>
        <v>#REF!</v>
      </c>
      <c r="D326" s="158" t="e">
        <f>CONCATENATE(D261," Imported from ",#REF!)</f>
        <v>#REF!</v>
      </c>
      <c r="E326" s="158"/>
      <c r="F326" s="158"/>
      <c r="G326" s="161"/>
      <c r="H326" s="161"/>
      <c r="I326" s="161"/>
      <c r="J326" s="161"/>
    </row>
    <row r="327" spans="2:10">
      <c r="B327" s="158" t="s">
        <v>1040</v>
      </c>
      <c r="C327" s="158" t="e">
        <f>CONCATENATE(C262,#REF!)</f>
        <v>#REF!</v>
      </c>
      <c r="D327" s="158" t="e">
        <f>CONCATENATE(D262," Imported from ",#REF!)</f>
        <v>#REF!</v>
      </c>
      <c r="E327" s="158"/>
      <c r="F327" s="158"/>
      <c r="G327" s="161"/>
      <c r="H327" s="161"/>
      <c r="I327" s="161"/>
      <c r="J327" s="161"/>
    </row>
    <row r="328" spans="2:10">
      <c r="B328" s="158" t="s">
        <v>1040</v>
      </c>
      <c r="C328" s="158" t="e">
        <f>CONCATENATE(C263,#REF!)</f>
        <v>#REF!</v>
      </c>
      <c r="D328" s="158" t="e">
        <f>CONCATENATE(D263," Imported from ",#REF!)</f>
        <v>#REF!</v>
      </c>
      <c r="E328" s="158"/>
      <c r="F328" s="158"/>
      <c r="G328" s="161"/>
      <c r="H328" s="161"/>
      <c r="I328" s="161"/>
      <c r="J328" s="161"/>
    </row>
    <row r="329" spans="2:10">
      <c r="B329" s="158" t="s">
        <v>1040</v>
      </c>
      <c r="C329" s="158" t="e">
        <f>CONCATENATE(C264,#REF!)</f>
        <v>#REF!</v>
      </c>
      <c r="D329" s="158" t="e">
        <f>CONCATENATE(D264," Imported from ",#REF!)</f>
        <v>#REF!</v>
      </c>
      <c r="E329" s="158"/>
      <c r="F329" s="158"/>
      <c r="G329" s="161"/>
      <c r="H329" s="161"/>
      <c r="I329" s="161"/>
      <c r="J329" s="161"/>
    </row>
    <row r="330" spans="2:10">
      <c r="B330" s="158" t="s">
        <v>1040</v>
      </c>
      <c r="C330" s="158" t="e">
        <f>CONCATENATE(C265,#REF!)</f>
        <v>#REF!</v>
      </c>
      <c r="D330" s="158" t="e">
        <f>CONCATENATE(D265," Imported from ",#REF!)</f>
        <v>#REF!</v>
      </c>
      <c r="E330" s="158"/>
      <c r="F330" s="158"/>
      <c r="G330" s="161"/>
      <c r="H330" s="161"/>
      <c r="I330" s="161"/>
      <c r="J330" s="161"/>
    </row>
    <row r="331" spans="2:10">
      <c r="B331" s="158" t="s">
        <v>1040</v>
      </c>
      <c r="C331" s="158" t="e">
        <f>CONCATENATE(C266,#REF!)</f>
        <v>#REF!</v>
      </c>
      <c r="D331" s="158" t="e">
        <f>CONCATENATE(D266," Imported from ",#REF!)</f>
        <v>#REF!</v>
      </c>
      <c r="E331" s="158"/>
      <c r="F331" s="158"/>
      <c r="G331" s="161"/>
      <c r="H331" s="161"/>
      <c r="I331" s="161"/>
      <c r="J331" s="161"/>
    </row>
    <row r="332" spans="2:10">
      <c r="B332" s="158" t="s">
        <v>1040</v>
      </c>
      <c r="C332" s="158" t="e">
        <f>CONCATENATE(C267,#REF!)</f>
        <v>#REF!</v>
      </c>
      <c r="D332" s="158" t="e">
        <f>CONCATENATE(D267," Imported from ",#REF!)</f>
        <v>#REF!</v>
      </c>
      <c r="E332" s="158"/>
      <c r="F332" s="158"/>
      <c r="G332" s="161"/>
      <c r="H332" s="161"/>
      <c r="I332" s="161"/>
      <c r="J332" s="161"/>
    </row>
    <row r="333" spans="2:10">
      <c r="B333" s="158" t="s">
        <v>975</v>
      </c>
      <c r="C333" s="158" t="e">
        <f>CONCATENATE(C255,#REF!)</f>
        <v>#REF!</v>
      </c>
      <c r="D333" s="158" t="e">
        <f>CONCATENATE(D255," Imported from ",#REF!)</f>
        <v>#REF!</v>
      </c>
      <c r="E333" s="158"/>
      <c r="F333" s="158"/>
      <c r="G333" s="161"/>
      <c r="H333" s="161"/>
      <c r="I333" s="161"/>
      <c r="J333" s="161"/>
    </row>
    <row r="334" spans="2:10">
      <c r="B334" s="158" t="s">
        <v>975</v>
      </c>
      <c r="C334" s="158" t="e">
        <f>CONCATENATE(C256,#REF!)</f>
        <v>#REF!</v>
      </c>
      <c r="D334" s="158" t="e">
        <f>CONCATENATE(D256," Imported from ",#REF!)</f>
        <v>#REF!</v>
      </c>
      <c r="E334" s="158"/>
      <c r="F334" s="158"/>
      <c r="G334" s="161"/>
      <c r="H334" s="161"/>
      <c r="I334" s="161"/>
      <c r="J334" s="161"/>
    </row>
    <row r="335" spans="2:10">
      <c r="B335" s="158" t="s">
        <v>975</v>
      </c>
      <c r="C335" s="158" t="e">
        <f>CONCATENATE(C257,#REF!)</f>
        <v>#REF!</v>
      </c>
      <c r="D335" s="158" t="e">
        <f>CONCATENATE(D257," Imported from ",#REF!)</f>
        <v>#REF!</v>
      </c>
      <c r="E335" s="158"/>
      <c r="F335" s="158"/>
      <c r="G335" s="161"/>
      <c r="H335" s="161"/>
      <c r="I335" s="161"/>
      <c r="J335" s="161"/>
    </row>
    <row r="336" spans="2:10">
      <c r="B336" s="158" t="s">
        <v>975</v>
      </c>
      <c r="C336" s="158" t="e">
        <f>CONCATENATE(C258,#REF!)</f>
        <v>#REF!</v>
      </c>
      <c r="D336" s="158" t="e">
        <f>CONCATENATE(D258," Imported from ",#REF!)</f>
        <v>#REF!</v>
      </c>
      <c r="E336" s="158"/>
      <c r="F336" s="158"/>
      <c r="G336" s="161"/>
      <c r="H336" s="161"/>
      <c r="I336" s="161"/>
      <c r="J336" s="161"/>
    </row>
    <row r="337" spans="2:10">
      <c r="B337" s="158" t="s">
        <v>975</v>
      </c>
      <c r="C337" s="158" t="e">
        <f>CONCATENATE(C259,#REF!)</f>
        <v>#REF!</v>
      </c>
      <c r="D337" s="158" t="e">
        <f>CONCATENATE(D259," Imported from ",#REF!)</f>
        <v>#REF!</v>
      </c>
      <c r="E337" s="158"/>
      <c r="F337" s="158"/>
      <c r="G337" s="161"/>
      <c r="H337" s="161"/>
      <c r="I337" s="161"/>
      <c r="J337" s="161"/>
    </row>
    <row r="338" spans="2:10">
      <c r="B338" s="158" t="s">
        <v>975</v>
      </c>
      <c r="C338" s="158" t="e">
        <f>CONCATENATE(C260,#REF!)</f>
        <v>#REF!</v>
      </c>
      <c r="D338" s="158" t="e">
        <f>CONCATENATE(D260," Imported from ",#REF!)</f>
        <v>#REF!</v>
      </c>
      <c r="E338" s="158"/>
      <c r="F338" s="158"/>
      <c r="G338" s="161"/>
      <c r="H338" s="161"/>
      <c r="I338" s="161"/>
      <c r="J338" s="161"/>
    </row>
    <row r="339" spans="2:10">
      <c r="B339" s="158" t="s">
        <v>975</v>
      </c>
      <c r="C339" s="158" t="e">
        <f>CONCATENATE(C261,#REF!)</f>
        <v>#REF!</v>
      </c>
      <c r="D339" s="158" t="e">
        <f>CONCATENATE(D261," Imported from ",#REF!)</f>
        <v>#REF!</v>
      </c>
      <c r="E339" s="158"/>
      <c r="F339" s="158"/>
      <c r="G339" s="161"/>
      <c r="H339" s="161"/>
      <c r="I339" s="161"/>
      <c r="J339" s="161"/>
    </row>
    <row r="340" spans="2:10">
      <c r="B340" s="158" t="s">
        <v>975</v>
      </c>
      <c r="C340" s="158" t="e">
        <f>CONCATENATE(C262,#REF!)</f>
        <v>#REF!</v>
      </c>
      <c r="D340" s="158" t="e">
        <f>CONCATENATE(D262," Imported from ",#REF!)</f>
        <v>#REF!</v>
      </c>
      <c r="E340" s="158"/>
      <c r="F340" s="158"/>
      <c r="G340" s="161"/>
      <c r="H340" s="161"/>
      <c r="I340" s="161"/>
      <c r="J340" s="161"/>
    </row>
    <row r="341" spans="2:10">
      <c r="B341" s="158" t="s">
        <v>975</v>
      </c>
      <c r="C341" s="158" t="e">
        <f>CONCATENATE(C263,#REF!)</f>
        <v>#REF!</v>
      </c>
      <c r="D341" s="158" t="e">
        <f>CONCATENATE(D263," Imported from ",#REF!)</f>
        <v>#REF!</v>
      </c>
      <c r="E341" s="158"/>
      <c r="F341" s="158"/>
      <c r="G341" s="161"/>
      <c r="H341" s="161"/>
      <c r="I341" s="161"/>
      <c r="J341" s="161"/>
    </row>
    <row r="342" spans="2:10">
      <c r="B342" s="158" t="s">
        <v>975</v>
      </c>
      <c r="C342" s="158" t="e">
        <f>CONCATENATE(C264,#REF!)</f>
        <v>#REF!</v>
      </c>
      <c r="D342" s="158" t="e">
        <f>CONCATENATE(D264," Imported from ",#REF!)</f>
        <v>#REF!</v>
      </c>
      <c r="E342" s="158"/>
      <c r="F342" s="158"/>
      <c r="G342" s="161"/>
      <c r="H342" s="161"/>
      <c r="I342" s="161"/>
      <c r="J342" s="161"/>
    </row>
    <row r="343" spans="2:10">
      <c r="B343" s="158" t="s">
        <v>975</v>
      </c>
      <c r="C343" s="158" t="e">
        <f>CONCATENATE(C265,#REF!)</f>
        <v>#REF!</v>
      </c>
      <c r="D343" s="158" t="e">
        <f>CONCATENATE(D265," Imported from ",#REF!)</f>
        <v>#REF!</v>
      </c>
      <c r="E343" s="158"/>
      <c r="F343" s="158"/>
      <c r="G343" s="161"/>
      <c r="H343" s="161"/>
      <c r="I343" s="161"/>
      <c r="J343" s="161"/>
    </row>
    <row r="344" spans="2:10">
      <c r="B344" s="158" t="s">
        <v>975</v>
      </c>
      <c r="C344" s="158" t="e">
        <f>CONCATENATE(C266,#REF!)</f>
        <v>#REF!</v>
      </c>
      <c r="D344" s="158" t="e">
        <f>CONCATENATE(D266," Imported from ",#REF!)</f>
        <v>#REF!</v>
      </c>
      <c r="E344" s="158"/>
      <c r="F344" s="158"/>
      <c r="G344" s="161"/>
      <c r="H344" s="161"/>
      <c r="I344" s="161"/>
      <c r="J344" s="161"/>
    </row>
    <row r="345" spans="2:10">
      <c r="B345" s="158" t="s">
        <v>975</v>
      </c>
      <c r="C345" s="158" t="e">
        <f>CONCATENATE(C267,#REF!)</f>
        <v>#REF!</v>
      </c>
      <c r="D345" s="158" t="e">
        <f>CONCATENATE(D267," Imported from ",#REF!)</f>
        <v>#REF!</v>
      </c>
      <c r="E345" s="158"/>
      <c r="F345" s="158"/>
      <c r="G345" s="161"/>
      <c r="H345" s="161"/>
      <c r="I345" s="161"/>
      <c r="J345" s="161"/>
    </row>
    <row r="346" spans="2:10">
      <c r="B346" s="154" t="s">
        <v>298</v>
      </c>
      <c r="C346" s="160"/>
      <c r="D346" s="160"/>
      <c r="E346" s="160"/>
      <c r="F346" s="160"/>
      <c r="G346" s="157"/>
      <c r="H346" s="157"/>
      <c r="I346" s="157"/>
      <c r="J346" s="157"/>
    </row>
    <row r="347" spans="2:10">
      <c r="B347" s="158" t="s">
        <v>1037</v>
      </c>
      <c r="C347" s="158" t="s">
        <v>299</v>
      </c>
      <c r="D347" s="158" t="str">
        <f t="shared" ref="D347:D358" si="4">CONCATENATE("Pipeline dummy commodity: ",LEFT(C347,2)," to ",B347)</f>
        <v>Pipeline dummy commodity: P1 to *R1</v>
      </c>
      <c r="E347" s="158" t="s">
        <v>196</v>
      </c>
      <c r="F347" s="158" t="s">
        <v>1118</v>
      </c>
      <c r="G347" s="161"/>
      <c r="H347" s="161"/>
      <c r="I347" s="161"/>
      <c r="J347" s="161"/>
    </row>
    <row r="348" spans="2:10">
      <c r="B348" s="158" t="s">
        <v>1031</v>
      </c>
      <c r="C348" s="158" t="s">
        <v>301</v>
      </c>
      <c r="D348" s="158" t="str">
        <f t="shared" si="4"/>
        <v>Pipeline dummy commodity: P1 to *R2</v>
      </c>
      <c r="E348" s="158"/>
      <c r="F348" s="158"/>
      <c r="G348" s="161"/>
      <c r="H348" s="161"/>
      <c r="I348" s="161"/>
      <c r="J348" s="161"/>
    </row>
    <row r="349" spans="2:10">
      <c r="B349" s="158" t="s">
        <v>1032</v>
      </c>
      <c r="C349" s="158" t="s">
        <v>1065</v>
      </c>
      <c r="D349" s="158" t="str">
        <f t="shared" si="4"/>
        <v>Pipeline dummy commodity: P1 to *R3</v>
      </c>
      <c r="E349" s="158"/>
      <c r="F349" s="158"/>
      <c r="G349" s="161"/>
      <c r="H349" s="161"/>
      <c r="I349" s="161"/>
      <c r="J349" s="161"/>
    </row>
    <row r="350" spans="2:10">
      <c r="B350" s="158" t="s">
        <v>1033</v>
      </c>
      <c r="C350" s="158" t="s">
        <v>1066</v>
      </c>
      <c r="D350" s="158" t="str">
        <f t="shared" si="4"/>
        <v>Pipeline dummy commodity: P1 to *R4</v>
      </c>
      <c r="E350" s="158"/>
      <c r="F350" s="158"/>
      <c r="G350" s="161"/>
      <c r="H350" s="161"/>
      <c r="I350" s="161"/>
      <c r="J350" s="161"/>
    </row>
    <row r="351" spans="2:10">
      <c r="B351" s="158" t="s">
        <v>1034</v>
      </c>
      <c r="C351" s="158" t="s">
        <v>302</v>
      </c>
      <c r="D351" s="158" t="str">
        <f t="shared" si="4"/>
        <v>Pipeline dummy commodity: P1 to *R5</v>
      </c>
      <c r="E351" s="158"/>
      <c r="F351" s="158"/>
      <c r="G351" s="161"/>
      <c r="H351" s="161"/>
      <c r="I351" s="161"/>
      <c r="J351" s="161"/>
    </row>
    <row r="352" spans="2:10">
      <c r="B352" s="158" t="s">
        <v>1035</v>
      </c>
      <c r="C352" s="158" t="s">
        <v>1067</v>
      </c>
      <c r="D352" s="158" t="str">
        <f t="shared" si="4"/>
        <v>Pipeline dummy commodity: P1 to *R6</v>
      </c>
      <c r="E352" s="158"/>
      <c r="F352" s="158"/>
      <c r="G352" s="161"/>
      <c r="H352" s="161"/>
      <c r="I352" s="161"/>
      <c r="J352" s="161"/>
    </row>
    <row r="353" spans="2:10">
      <c r="B353" s="158" t="s">
        <v>1037</v>
      </c>
      <c r="C353" s="158" t="s">
        <v>1055</v>
      </c>
      <c r="D353" s="158" t="str">
        <f t="shared" si="4"/>
        <v>Pipeline dummy commodity: P2 to *R1</v>
      </c>
      <c r="E353" s="158"/>
      <c r="F353" s="158"/>
      <c r="G353" s="161"/>
      <c r="H353" s="161"/>
      <c r="I353" s="161"/>
      <c r="J353" s="161"/>
    </row>
    <row r="354" spans="2:10">
      <c r="B354" s="158" t="str">
        <f t="shared" ref="B354:B358" si="5">CONCATENATE("*",MID(C354,3,2))</f>
        <v>*R4</v>
      </c>
      <c r="C354" s="158" t="s">
        <v>303</v>
      </c>
      <c r="D354" s="158" t="str">
        <f t="shared" si="4"/>
        <v>Pipeline dummy commodity: P2 to *R4</v>
      </c>
      <c r="E354" s="158"/>
      <c r="F354" s="158"/>
      <c r="G354" s="161"/>
      <c r="H354" s="161"/>
      <c r="I354" s="161"/>
      <c r="J354" s="161"/>
    </row>
    <row r="355" spans="2:10">
      <c r="B355" s="158" t="str">
        <f t="shared" si="5"/>
        <v>*R6</v>
      </c>
      <c r="C355" s="158" t="s">
        <v>304</v>
      </c>
      <c r="D355" s="158" t="str">
        <f t="shared" si="4"/>
        <v>Pipeline dummy commodity: P3 to *R6</v>
      </c>
      <c r="E355" s="158"/>
      <c r="F355" s="158"/>
      <c r="G355" s="161"/>
      <c r="H355" s="161"/>
      <c r="I355" s="161"/>
      <c r="J355" s="161"/>
    </row>
    <row r="356" spans="2:10">
      <c r="B356" s="158" t="s">
        <v>1037</v>
      </c>
      <c r="C356" s="158" t="s">
        <v>1056</v>
      </c>
      <c r="D356" s="158" t="str">
        <f t="shared" si="4"/>
        <v>Pipeline dummy commodity: P3 to *R1</v>
      </c>
      <c r="E356" s="158"/>
      <c r="F356" s="158"/>
      <c r="G356" s="161"/>
      <c r="H356" s="161"/>
      <c r="I356" s="161"/>
      <c r="J356" s="161"/>
    </row>
    <row r="357" spans="2:10">
      <c r="B357" s="158" t="str">
        <f t="shared" si="5"/>
        <v>*R8</v>
      </c>
      <c r="C357" s="158" t="s">
        <v>305</v>
      </c>
      <c r="D357" s="158" t="str">
        <f t="shared" si="4"/>
        <v>Pipeline dummy commodity: P4 to *R8</v>
      </c>
      <c r="E357" s="158"/>
      <c r="F357" s="158"/>
      <c r="G357" s="161"/>
      <c r="H357" s="161"/>
      <c r="I357" s="161"/>
      <c r="J357" s="161"/>
    </row>
    <row r="358" spans="2:10">
      <c r="B358" s="158" t="str">
        <f t="shared" si="5"/>
        <v>*R9</v>
      </c>
      <c r="C358" s="158" t="s">
        <v>306</v>
      </c>
      <c r="D358" s="158" t="str">
        <f t="shared" si="4"/>
        <v>Pipeline dummy commodity: P5 to *R9</v>
      </c>
      <c r="E358" s="158"/>
      <c r="F358" s="158"/>
      <c r="G358" s="161"/>
      <c r="H358" s="161"/>
      <c r="I358" s="161"/>
      <c r="J358" s="161"/>
    </row>
    <row r="359" spans="2:10">
      <c r="B359" s="154" t="s">
        <v>307</v>
      </c>
      <c r="C359" s="160"/>
      <c r="D359" s="160"/>
      <c r="E359" s="160"/>
      <c r="F359" s="160"/>
      <c r="G359" s="157"/>
      <c r="H359" s="157"/>
      <c r="I359" s="157"/>
      <c r="J359" s="157"/>
    </row>
    <row r="360" spans="2:10">
      <c r="B360" s="158" t="s">
        <v>1033</v>
      </c>
      <c r="C360" s="158" t="s">
        <v>1057</v>
      </c>
      <c r="D360" s="158" t="str">
        <f t="shared" ref="D360:D373" si="6">CONCATENATE("Pipeline dummy commodity: ",LEFT(C360,2)," to ",B360)</f>
        <v>Pipeline dummy commodity: R2 to *R4</v>
      </c>
      <c r="E360" s="158"/>
      <c r="F360" s="158"/>
      <c r="G360" s="161"/>
      <c r="H360" s="161"/>
      <c r="I360" s="161"/>
      <c r="J360" s="161"/>
    </row>
    <row r="361" spans="2:10">
      <c r="B361" s="158" t="s">
        <v>1033</v>
      </c>
      <c r="C361" s="158" t="s">
        <v>1064</v>
      </c>
      <c r="D361" s="158" t="str">
        <f t="shared" si="6"/>
        <v>Pipeline dummy commodity: R3 to *R4</v>
      </c>
      <c r="E361" s="158"/>
      <c r="F361" s="158"/>
      <c r="G361" s="161"/>
      <c r="H361" s="161"/>
      <c r="I361" s="161"/>
      <c r="J361" s="161"/>
    </row>
    <row r="362" spans="2:10">
      <c r="B362" s="158" t="s">
        <v>1035</v>
      </c>
      <c r="C362" s="158" t="s">
        <v>308</v>
      </c>
      <c r="D362" s="158" t="str">
        <f t="shared" si="6"/>
        <v>Pipeline dummy commodity: R3 to *R6</v>
      </c>
      <c r="E362" s="158"/>
      <c r="F362" s="158"/>
      <c r="G362" s="161"/>
      <c r="H362" s="161"/>
      <c r="I362" s="161"/>
      <c r="J362" s="161"/>
    </row>
    <row r="363" spans="2:10">
      <c r="B363" s="158" t="s">
        <v>1035</v>
      </c>
      <c r="C363" s="158" t="s">
        <v>1058</v>
      </c>
      <c r="D363" s="158" t="str">
        <f t="shared" si="6"/>
        <v>Pipeline dummy commodity: R2 to *R6</v>
      </c>
      <c r="E363" s="158"/>
      <c r="F363" s="158"/>
      <c r="G363" s="161"/>
      <c r="H363" s="161"/>
      <c r="I363" s="161"/>
      <c r="J363" s="161"/>
    </row>
    <row r="364" spans="2:10">
      <c r="B364" s="158" t="s">
        <v>1034</v>
      </c>
      <c r="C364" s="158" t="s">
        <v>1059</v>
      </c>
      <c r="D364" s="158" t="str">
        <f t="shared" si="6"/>
        <v>Pipeline dummy commodity: R2 to *R5</v>
      </c>
      <c r="E364" s="158"/>
      <c r="F364" s="158"/>
      <c r="G364" s="161"/>
      <c r="H364" s="161"/>
      <c r="I364" s="161"/>
      <c r="J364" s="161"/>
    </row>
    <row r="365" spans="2:10">
      <c r="B365" s="158" t="s">
        <v>1031</v>
      </c>
      <c r="C365" s="158" t="s">
        <v>309</v>
      </c>
      <c r="D365" s="158" t="str">
        <f t="shared" si="6"/>
        <v>Pipeline dummy commodity: R4 to *R2</v>
      </c>
      <c r="E365" s="158"/>
      <c r="F365" s="158"/>
      <c r="G365" s="161"/>
      <c r="H365" s="161"/>
      <c r="I365" s="161"/>
      <c r="J365" s="161"/>
    </row>
    <row r="366" spans="2:10">
      <c r="B366" s="158" t="s">
        <v>1035</v>
      </c>
      <c r="C366" s="158" t="s">
        <v>310</v>
      </c>
      <c r="D366" s="158" t="str">
        <f t="shared" si="6"/>
        <v>Pipeline dummy commodity: R4 to *R6</v>
      </c>
      <c r="E366" s="158"/>
      <c r="F366" s="158"/>
      <c r="G366" s="161"/>
      <c r="H366" s="161"/>
      <c r="I366" s="161"/>
      <c r="J366" s="161"/>
    </row>
    <row r="367" spans="2:10">
      <c r="B367" s="158" t="s">
        <v>1032</v>
      </c>
      <c r="C367" s="158" t="s">
        <v>1060</v>
      </c>
      <c r="D367" s="158" t="str">
        <f t="shared" si="6"/>
        <v>Pipeline dummy commodity: R4 to *R3</v>
      </c>
      <c r="E367" s="158"/>
      <c r="F367" s="158"/>
      <c r="G367" s="161"/>
      <c r="H367" s="161"/>
      <c r="I367" s="161"/>
      <c r="J367" s="161"/>
    </row>
    <row r="368" spans="2:10">
      <c r="B368" s="158" t="s">
        <v>1034</v>
      </c>
      <c r="C368" s="158" t="s">
        <v>1061</v>
      </c>
      <c r="D368" s="158" t="str">
        <f t="shared" si="6"/>
        <v>Pipeline dummy commodity: R4 to *R5</v>
      </c>
      <c r="E368" s="158"/>
      <c r="F368" s="158"/>
      <c r="G368" s="161"/>
      <c r="H368" s="161"/>
      <c r="I368" s="161"/>
      <c r="J368" s="161"/>
    </row>
    <row r="369" spans="2:10">
      <c r="B369" s="158" t="s">
        <v>1031</v>
      </c>
      <c r="C369" s="158" t="s">
        <v>311</v>
      </c>
      <c r="D369" s="158" t="str">
        <f t="shared" si="6"/>
        <v>Pipeline dummy commodity: R5 to *R2</v>
      </c>
      <c r="E369" s="158"/>
      <c r="F369" s="158"/>
      <c r="G369" s="161"/>
      <c r="H369" s="161"/>
      <c r="I369" s="161"/>
      <c r="J369" s="161"/>
    </row>
    <row r="370" spans="2:10">
      <c r="B370" s="158" t="s">
        <v>1033</v>
      </c>
      <c r="C370" s="158" t="s">
        <v>1062</v>
      </c>
      <c r="D370" s="158" t="str">
        <f t="shared" si="6"/>
        <v>Pipeline dummy commodity: R5 to *R4</v>
      </c>
      <c r="E370" s="158"/>
      <c r="F370" s="158"/>
      <c r="G370" s="161"/>
      <c r="H370" s="161"/>
      <c r="I370" s="161"/>
      <c r="J370" s="161"/>
    </row>
    <row r="371" spans="2:10">
      <c r="B371" s="158" t="s">
        <v>1032</v>
      </c>
      <c r="C371" s="158" t="s">
        <v>312</v>
      </c>
      <c r="D371" s="158" t="str">
        <f t="shared" si="6"/>
        <v>Pipeline dummy commodity: R6 to *R3</v>
      </c>
      <c r="E371" s="158"/>
      <c r="F371" s="158"/>
      <c r="G371" s="161"/>
      <c r="H371" s="161"/>
      <c r="I371" s="161"/>
      <c r="J371" s="161"/>
    </row>
    <row r="372" spans="2:10">
      <c r="B372" s="158" t="s">
        <v>1033</v>
      </c>
      <c r="C372" s="158" t="s">
        <v>313</v>
      </c>
      <c r="D372" s="158" t="str">
        <f t="shared" si="6"/>
        <v>Pipeline dummy commodity: R6 to *R4</v>
      </c>
      <c r="E372" s="158"/>
      <c r="F372" s="158"/>
      <c r="G372" s="161"/>
      <c r="H372" s="161"/>
      <c r="I372" s="161"/>
      <c r="J372" s="161"/>
    </row>
    <row r="373" spans="2:10">
      <c r="B373" s="158" t="s">
        <v>1031</v>
      </c>
      <c r="C373" s="158" t="s">
        <v>1063</v>
      </c>
      <c r="D373" s="158" t="str">
        <f t="shared" si="6"/>
        <v>Pipeline dummy commodity: R6 to *R2</v>
      </c>
      <c r="E373" s="158"/>
      <c r="F373" s="158"/>
      <c r="G373" s="161"/>
      <c r="H373" s="161"/>
      <c r="I373" s="161"/>
      <c r="J373" s="161"/>
    </row>
    <row r="374" spans="2:10">
      <c r="B374" s="158" t="s">
        <v>253</v>
      </c>
      <c r="C374" s="158" t="s">
        <v>1050</v>
      </c>
      <c r="D374" s="158" t="str">
        <f>CONCATENATE("Pipeline dummy commodity: ",LEFT(C374,2)," to ",RIGHT(B374,2))</f>
        <v>Pipeline dummy commodity: R1 to R2</v>
      </c>
      <c r="E374" s="158"/>
      <c r="F374" s="158"/>
      <c r="G374" s="161"/>
      <c r="H374" s="161"/>
      <c r="I374" s="161"/>
      <c r="J374" s="161"/>
    </row>
    <row r="375" spans="2:10">
      <c r="B375" s="158" t="s">
        <v>252</v>
      </c>
      <c r="C375" s="158" t="s">
        <v>1051</v>
      </c>
      <c r="D375" s="158" t="str">
        <f>CONCATENATE("Pipeline dummy commodity: ",LEFT(C375,2)," to ",RIGHT(B375,2))</f>
        <v>Pipeline dummy commodity: R1 to R3</v>
      </c>
      <c r="E375" s="158"/>
      <c r="F375" s="158"/>
      <c r="G375" s="161"/>
      <c r="H375" s="161"/>
      <c r="I375" s="161"/>
      <c r="J375" s="161"/>
    </row>
    <row r="376" spans="2:10">
      <c r="B376" s="158" t="s">
        <v>331</v>
      </c>
      <c r="C376" s="158" t="s">
        <v>1052</v>
      </c>
      <c r="D376" s="158" t="str">
        <f>CONCATENATE("Pipeline dummy commodity: ",LEFT(C376,2)," to ",RIGHT(B376,2))</f>
        <v>Pipeline dummy commodity: R1 to R4</v>
      </c>
      <c r="E376" s="158"/>
      <c r="F376" s="158"/>
      <c r="G376" s="161"/>
      <c r="H376" s="161"/>
      <c r="I376" s="161"/>
      <c r="J376" s="161"/>
    </row>
    <row r="377" spans="2:10">
      <c r="B377" s="158" t="s">
        <v>330</v>
      </c>
      <c r="C377" s="158" t="s">
        <v>1053</v>
      </c>
      <c r="D377" s="158" t="str">
        <f>CONCATENATE("Pipeline dummy commodity: ",LEFT(C377,2)," to ",RIGHT(B377,2))</f>
        <v>Pipeline dummy commodity: R1 to R5</v>
      </c>
      <c r="E377" s="158"/>
      <c r="F377" s="158"/>
      <c r="G377" s="161"/>
      <c r="H377" s="161"/>
      <c r="I377" s="161"/>
      <c r="J377" s="161"/>
    </row>
    <row r="378" spans="2:10">
      <c r="B378" s="158" t="s">
        <v>332</v>
      </c>
      <c r="C378" s="158" t="s">
        <v>1054</v>
      </c>
      <c r="D378" s="158" t="str">
        <f>CONCATENATE("Pipeline dummy commodity: ",LEFT(C378,2)," to ",RIGHT(B378,2))</f>
        <v>Pipeline dummy commodity: R1 to R6</v>
      </c>
      <c r="E378" s="158"/>
      <c r="F378" s="158"/>
      <c r="G378" s="161"/>
      <c r="H378" s="161"/>
      <c r="I378" s="161"/>
      <c r="J378" s="161"/>
    </row>
    <row r="379" spans="2:10">
      <c r="B379" s="158" t="str">
        <f t="shared" ref="B379:B380" si="7">CONCATENATE("*",MID(C379,3,2))</f>
        <v>*R4</v>
      </c>
      <c r="C379" s="158" t="s">
        <v>314</v>
      </c>
      <c r="D379" s="158" t="str">
        <f>CONCATENATE("Pipeline dummy commodity: ",LEFT(C379,2)," to ",B379)</f>
        <v>Pipeline dummy commodity: R8 to *R4</v>
      </c>
      <c r="E379" s="158"/>
      <c r="F379" s="158"/>
      <c r="G379" s="161"/>
      <c r="H379" s="161"/>
      <c r="I379" s="161"/>
      <c r="J379" s="161"/>
    </row>
    <row r="380" spans="2:10">
      <c r="B380" s="147" t="str">
        <f t="shared" si="7"/>
        <v>*R9</v>
      </c>
      <c r="C380" s="147" t="s">
        <v>315</v>
      </c>
      <c r="D380" s="147" t="str">
        <f>CONCATENATE("Pipeline dummy commodity: ",LEFT(C380,2)," to ",B380)</f>
        <v>Pipeline dummy commodity: R8 to *R9</v>
      </c>
      <c r="E380" s="147"/>
      <c r="F380" s="147" t="s">
        <v>300</v>
      </c>
    </row>
  </sheetData>
  <phoneticPr fontId="0" type="noConversion"/>
  <pageMargins left="0.75" right="0.75" top="1" bottom="1" header="0.5" footer="0.5"/>
  <pageSetup paperSize="9" orientation="portrait" horizont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rgb="FFFFC000"/>
  </sheetPr>
  <dimension ref="B1:O2890"/>
  <sheetViews>
    <sheetView zoomScale="80" zoomScaleNormal="80" workbookViewId="0">
      <pane xSplit="4" ySplit="7" topLeftCell="E8" activePane="bottomRight" state="frozen"/>
      <selection activeCell="N56" sqref="N56"/>
      <selection pane="topRight" activeCell="N56" sqref="N56"/>
      <selection pane="bottomLeft" activeCell="N56" sqref="N56"/>
      <selection pane="bottomRight" activeCell="A6" sqref="A6:XFD6"/>
    </sheetView>
  </sheetViews>
  <sheetFormatPr defaultColWidth="9.140625" defaultRowHeight="12.75"/>
  <cols>
    <col min="1" max="1" width="9.140625" style="147"/>
    <col min="2" max="2" width="23" style="147" customWidth="1"/>
    <col min="3" max="3" width="13.85546875" style="147" customWidth="1"/>
    <col min="4" max="4" width="75.140625" style="147" bestFit="1" customWidth="1"/>
    <col min="5" max="5" width="9.7109375" style="163" customWidth="1"/>
    <col min="6" max="6" width="9.85546875" style="163" customWidth="1"/>
    <col min="7" max="7" width="30.42578125" style="146" customWidth="1"/>
    <col min="8" max="8" width="10.42578125" style="147" customWidth="1"/>
    <col min="9" max="16384" width="9.140625" style="147"/>
  </cols>
  <sheetData>
    <row r="1" spans="2:15">
      <c r="B1" s="146" t="s">
        <v>316</v>
      </c>
      <c r="C1" s="147" t="s">
        <v>974</v>
      </c>
    </row>
    <row r="4" spans="2:15" ht="18" customHeight="1"/>
    <row r="6" spans="2:15" customFormat="1">
      <c r="B6" s="152"/>
    </row>
    <row r="7" spans="2:15" customFormat="1">
      <c r="B7" s="153" t="s">
        <v>541</v>
      </c>
      <c r="C7" s="153" t="s">
        <v>187</v>
      </c>
      <c r="D7" s="153" t="s">
        <v>188</v>
      </c>
      <c r="E7" s="168" t="s">
        <v>1119</v>
      </c>
      <c r="F7" s="168" t="s">
        <v>1120</v>
      </c>
      <c r="G7" s="153" t="s">
        <v>1121</v>
      </c>
      <c r="H7" s="168" t="s">
        <v>1122</v>
      </c>
      <c r="I7" s="168" t="s">
        <v>1123</v>
      </c>
      <c r="O7" s="153" t="s">
        <v>184</v>
      </c>
    </row>
    <row r="8" spans="2:15">
      <c r="B8" s="154" t="s">
        <v>317</v>
      </c>
      <c r="C8" s="154"/>
      <c r="D8" s="154"/>
      <c r="E8" s="194"/>
      <c r="F8" s="194"/>
      <c r="G8" s="154"/>
      <c r="H8" s="154"/>
      <c r="I8" s="160"/>
    </row>
    <row r="9" spans="2:15">
      <c r="B9" s="158" t="str">
        <f>IF(LEFT(Commodities!B$10,1)="*","*R1","R1")</f>
        <v>R1</v>
      </c>
      <c r="C9" s="158" t="s">
        <v>0</v>
      </c>
      <c r="D9" s="158" t="s">
        <v>319</v>
      </c>
      <c r="E9" s="197" t="s">
        <v>196</v>
      </c>
      <c r="F9" s="197" t="s">
        <v>318</v>
      </c>
      <c r="G9" s="181" t="s">
        <v>1152</v>
      </c>
      <c r="H9" s="158"/>
      <c r="I9" s="158"/>
    </row>
    <row r="10" spans="2:15">
      <c r="B10" s="158" t="str">
        <f>IF(LEFT(Commodities!B$10,1)="*","*R1","R1")</f>
        <v>R1</v>
      </c>
      <c r="C10" s="158" t="s">
        <v>1</v>
      </c>
      <c r="D10" s="158" t="s">
        <v>320</v>
      </c>
      <c r="E10" s="197" t="s">
        <v>196</v>
      </c>
      <c r="F10" s="197" t="s">
        <v>318</v>
      </c>
      <c r="G10" s="181"/>
      <c r="H10" s="158"/>
      <c r="I10" s="158"/>
    </row>
    <row r="11" spans="2:15">
      <c r="B11" s="158" t="str">
        <f>IF(LEFT(Commodities!B$10,1)="*","*R1","R1")</f>
        <v>R1</v>
      </c>
      <c r="C11" s="158" t="s">
        <v>2</v>
      </c>
      <c r="D11" s="158" t="s">
        <v>321</v>
      </c>
      <c r="E11" s="197" t="s">
        <v>196</v>
      </c>
      <c r="F11" s="197" t="s">
        <v>318</v>
      </c>
      <c r="G11" s="181"/>
      <c r="H11" s="158"/>
      <c r="I11" s="158"/>
    </row>
    <row r="12" spans="2:15">
      <c r="B12" s="158" t="str">
        <f>IF(LEFT(Commodities!B$10,1)="*","*R1","R1")</f>
        <v>R1</v>
      </c>
      <c r="C12" s="158" t="s">
        <v>3</v>
      </c>
      <c r="D12" s="158" t="s">
        <v>322</v>
      </c>
      <c r="E12" s="197" t="s">
        <v>196</v>
      </c>
      <c r="F12" s="197" t="s">
        <v>318</v>
      </c>
      <c r="G12" s="181"/>
      <c r="H12" s="158"/>
      <c r="I12" s="158"/>
    </row>
    <row r="13" spans="2:15">
      <c r="B13" s="158" t="str">
        <f>IF(LEFT(Commodities!B$10,1)="*","*R1","R1")</f>
        <v>R1</v>
      </c>
      <c r="C13" s="158" t="s">
        <v>4</v>
      </c>
      <c r="D13" s="158" t="s">
        <v>323</v>
      </c>
      <c r="E13" s="197" t="s">
        <v>196</v>
      </c>
      <c r="F13" s="197" t="s">
        <v>318</v>
      </c>
      <c r="G13" s="181"/>
      <c r="H13" s="158"/>
      <c r="I13" s="158"/>
    </row>
    <row r="14" spans="2:15">
      <c r="B14" s="158" t="s">
        <v>398</v>
      </c>
      <c r="C14" s="158" t="s">
        <v>893</v>
      </c>
      <c r="D14" s="158" t="s">
        <v>324</v>
      </c>
      <c r="E14" s="197" t="s">
        <v>196</v>
      </c>
      <c r="F14" s="197" t="s">
        <v>318</v>
      </c>
      <c r="G14" s="181"/>
      <c r="H14" s="158"/>
      <c r="I14" s="158"/>
    </row>
    <row r="15" spans="2:15">
      <c r="B15" s="158" t="s">
        <v>398</v>
      </c>
      <c r="C15" s="158" t="s">
        <v>894</v>
      </c>
      <c r="D15" s="158" t="s">
        <v>325</v>
      </c>
      <c r="E15" s="197" t="s">
        <v>196</v>
      </c>
      <c r="F15" s="197" t="s">
        <v>318</v>
      </c>
      <c r="G15" s="181"/>
      <c r="H15" s="158"/>
      <c r="I15" s="158"/>
    </row>
    <row r="16" spans="2:15">
      <c r="B16" s="158" t="s">
        <v>398</v>
      </c>
      <c r="C16" s="158" t="s">
        <v>895</v>
      </c>
      <c r="D16" s="158" t="s">
        <v>326</v>
      </c>
      <c r="E16" s="197" t="s">
        <v>196</v>
      </c>
      <c r="F16" s="197" t="s">
        <v>318</v>
      </c>
      <c r="G16" s="181"/>
      <c r="H16" s="158"/>
      <c r="I16" s="158"/>
    </row>
    <row r="17" spans="2:9">
      <c r="B17" s="158" t="s">
        <v>398</v>
      </c>
      <c r="C17" s="158" t="s">
        <v>896</v>
      </c>
      <c r="D17" s="158" t="s">
        <v>327</v>
      </c>
      <c r="E17" s="197" t="s">
        <v>196</v>
      </c>
      <c r="F17" s="197" t="s">
        <v>318</v>
      </c>
      <c r="G17" s="181"/>
      <c r="H17" s="158"/>
      <c r="I17" s="158"/>
    </row>
    <row r="18" spans="2:9">
      <c r="B18" s="158" t="str">
        <f>IF(LEFT(Commodities!B$10,1)="*","*R1","R1")</f>
        <v>R1</v>
      </c>
      <c r="C18" s="158" t="s">
        <v>328</v>
      </c>
      <c r="D18" s="158" t="s">
        <v>329</v>
      </c>
      <c r="E18" s="197" t="s">
        <v>196</v>
      </c>
      <c r="F18" s="197" t="s">
        <v>318</v>
      </c>
      <c r="G18" s="181" t="s">
        <v>1153</v>
      </c>
      <c r="H18" s="158"/>
      <c r="I18" s="158"/>
    </row>
    <row r="19" spans="2:9">
      <c r="B19" s="158" t="str">
        <f>IF(LEFT(Commodities!B$10,1)="*","*R1","R1")</f>
        <v>R1</v>
      </c>
      <c r="C19" s="158" t="s">
        <v>1083</v>
      </c>
      <c r="D19" s="158" t="s">
        <v>1082</v>
      </c>
      <c r="E19" s="197" t="s">
        <v>196</v>
      </c>
      <c r="F19" s="197" t="s">
        <v>318</v>
      </c>
      <c r="G19" s="181"/>
      <c r="H19" s="158"/>
      <c r="I19" s="158"/>
    </row>
    <row r="20" spans="2:9">
      <c r="B20" s="158" t="s">
        <v>1032</v>
      </c>
      <c r="C20" s="158" t="s">
        <v>737</v>
      </c>
      <c r="D20" s="158" t="s">
        <v>738</v>
      </c>
      <c r="E20" s="197" t="s">
        <v>196</v>
      </c>
      <c r="F20" s="197" t="s">
        <v>318</v>
      </c>
      <c r="G20" s="181"/>
      <c r="H20" s="158"/>
      <c r="I20" s="158"/>
    </row>
    <row r="21" spans="2:9">
      <c r="B21" s="158" t="s">
        <v>1033</v>
      </c>
      <c r="C21" s="158" t="s">
        <v>739</v>
      </c>
      <c r="D21" s="158" t="s">
        <v>740</v>
      </c>
      <c r="E21" s="197" t="s">
        <v>196</v>
      </c>
      <c r="F21" s="197" t="s">
        <v>318</v>
      </c>
      <c r="G21" s="181"/>
      <c r="H21" s="158"/>
      <c r="I21" s="158"/>
    </row>
    <row r="22" spans="2:9">
      <c r="B22" s="158" t="s">
        <v>1034</v>
      </c>
      <c r="C22" s="158" t="s">
        <v>741</v>
      </c>
      <c r="D22" s="158" t="s">
        <v>742</v>
      </c>
      <c r="E22" s="197" t="s">
        <v>196</v>
      </c>
      <c r="F22" s="197" t="s">
        <v>318</v>
      </c>
      <c r="G22" s="181"/>
      <c r="H22" s="158"/>
      <c r="I22" s="158"/>
    </row>
    <row r="23" spans="2:9">
      <c r="B23" s="158" t="s">
        <v>1035</v>
      </c>
      <c r="C23" s="158" t="s">
        <v>743</v>
      </c>
      <c r="D23" s="158" t="s">
        <v>744</v>
      </c>
      <c r="E23" s="197" t="s">
        <v>196</v>
      </c>
      <c r="F23" s="197" t="s">
        <v>318</v>
      </c>
      <c r="G23" s="181"/>
      <c r="H23" s="158"/>
      <c r="I23" s="158"/>
    </row>
    <row r="24" spans="2:9">
      <c r="B24" s="154" t="s">
        <v>1091</v>
      </c>
      <c r="C24" s="160"/>
      <c r="D24" s="160"/>
      <c r="E24" s="196"/>
      <c r="F24" s="196"/>
      <c r="G24" s="154"/>
      <c r="H24" s="160"/>
      <c r="I24" s="160"/>
    </row>
    <row r="25" spans="2:9">
      <c r="B25" s="158" t="s">
        <v>251</v>
      </c>
      <c r="C25" s="158" t="str">
        <f>TechData_R0!C32</f>
        <v>IMPOILHH13</v>
      </c>
      <c r="D25" s="158" t="str">
        <f>TechData_R0!D32</f>
        <v>Imported Imported Oil-High Sulfur, Heavy G, PADD 1, Step 3</v>
      </c>
      <c r="E25" s="197" t="s">
        <v>196</v>
      </c>
      <c r="F25" s="197" t="s">
        <v>318</v>
      </c>
      <c r="G25" s="181" t="s">
        <v>1155</v>
      </c>
      <c r="H25" s="158"/>
      <c r="I25" s="158"/>
    </row>
    <row r="26" spans="2:9">
      <c r="B26" s="158" t="s">
        <v>251</v>
      </c>
      <c r="C26" s="158" t="str">
        <f>TechData_R0!C33</f>
        <v>IMPOILHH11</v>
      </c>
      <c r="D26" s="158" t="str">
        <f>TechData_R0!D33</f>
        <v>Imported Imported Oil-High Sulfur, Heavy G, PADD 1, Step 1</v>
      </c>
      <c r="E26" s="197" t="s">
        <v>196</v>
      </c>
      <c r="F26" s="197" t="s">
        <v>318</v>
      </c>
      <c r="G26" s="181"/>
      <c r="H26" s="158"/>
      <c r="I26" s="158"/>
    </row>
    <row r="27" spans="2:9">
      <c r="B27" s="158" t="s">
        <v>251</v>
      </c>
      <c r="C27" s="158" t="str">
        <f>TechData_R0!C34</f>
        <v>IMPOILHH12</v>
      </c>
      <c r="D27" s="158" t="str">
        <f>TechData_R0!D34</f>
        <v>Imported Imported Oil-High Sulfur, Heavy G, PADD 1, Step 2</v>
      </c>
      <c r="E27" s="197" t="s">
        <v>196</v>
      </c>
      <c r="F27" s="197" t="s">
        <v>318</v>
      </c>
      <c r="G27" s="181"/>
      <c r="H27" s="158"/>
      <c r="I27" s="158"/>
    </row>
    <row r="28" spans="2:9">
      <c r="B28" s="158" t="s">
        <v>251</v>
      </c>
      <c r="C28" s="158" t="str">
        <f>TechData_R0!C35</f>
        <v>IMPOILHH14</v>
      </c>
      <c r="D28" s="158" t="str">
        <f>TechData_R0!D35</f>
        <v>Imported Imported Oil-High Sulfur, Heavy G, PADD 1, Step 4</v>
      </c>
      <c r="E28" s="197" t="s">
        <v>196</v>
      </c>
      <c r="F28" s="197" t="s">
        <v>318</v>
      </c>
      <c r="G28" s="181"/>
      <c r="H28" s="158"/>
      <c r="I28" s="158"/>
    </row>
    <row r="29" spans="2:9">
      <c r="B29" s="158" t="s">
        <v>251</v>
      </c>
      <c r="C29" s="158" t="str">
        <f>TechData_R0!C36</f>
        <v>IMPOILHH15</v>
      </c>
      <c r="D29" s="158" t="str">
        <f>TechData_R0!D36</f>
        <v>Imported Imported Oil-High Sulfur, Heavy G, PADD 1, Step 5</v>
      </c>
      <c r="E29" s="197" t="s">
        <v>196</v>
      </c>
      <c r="F29" s="197" t="s">
        <v>318</v>
      </c>
      <c r="G29" s="181"/>
      <c r="H29" s="158"/>
      <c r="I29" s="158"/>
    </row>
    <row r="30" spans="2:9">
      <c r="B30" s="158" t="s">
        <v>251</v>
      </c>
      <c r="C30" s="158" t="str">
        <f>TechData_R0!C37</f>
        <v>IMPOILHL13</v>
      </c>
      <c r="D30" s="158" t="str">
        <f>TechData_R0!D37</f>
        <v>Imported Imported Oil-High Sulfur, Low G, PADD 1, Step 3</v>
      </c>
      <c r="E30" s="197" t="s">
        <v>196</v>
      </c>
      <c r="F30" s="197" t="s">
        <v>318</v>
      </c>
      <c r="G30" s="181"/>
      <c r="H30" s="158"/>
      <c r="I30" s="158"/>
    </row>
    <row r="31" spans="2:9">
      <c r="B31" s="158" t="s">
        <v>251</v>
      </c>
      <c r="C31" s="158" t="str">
        <f>TechData_R0!C38</f>
        <v>IMPOILHL11</v>
      </c>
      <c r="D31" s="158" t="str">
        <f>TechData_R0!D38</f>
        <v>Imported Imported Oil-High Sulfur, Low G, PADD 1, Step 1</v>
      </c>
      <c r="E31" s="197" t="s">
        <v>196</v>
      </c>
      <c r="F31" s="197" t="s">
        <v>318</v>
      </c>
      <c r="G31" s="181"/>
      <c r="H31" s="158"/>
      <c r="I31" s="158"/>
    </row>
    <row r="32" spans="2:9">
      <c r="B32" s="158" t="s">
        <v>251</v>
      </c>
      <c r="C32" s="158" t="str">
        <f>TechData_R0!C39</f>
        <v>IMPOILHL12</v>
      </c>
      <c r="D32" s="158" t="str">
        <f>TechData_R0!D39</f>
        <v>Imported Imported Oil-High Sulfur, Low G, PADD 1, Step 2</v>
      </c>
      <c r="E32" s="197" t="s">
        <v>196</v>
      </c>
      <c r="F32" s="197" t="s">
        <v>318</v>
      </c>
      <c r="G32" s="181"/>
      <c r="H32" s="158"/>
      <c r="I32" s="158"/>
    </row>
    <row r="33" spans="2:9">
      <c r="B33" s="158" t="s">
        <v>251</v>
      </c>
      <c r="C33" s="158" t="str">
        <f>TechData_R0!C40</f>
        <v>IMPOILHL14</v>
      </c>
      <c r="D33" s="158" t="str">
        <f>TechData_R0!D40</f>
        <v>Imported Imported Oil-High Sulfur, Low G, PADD 1, Step 4</v>
      </c>
      <c r="E33" s="197" t="s">
        <v>196</v>
      </c>
      <c r="F33" s="197" t="s">
        <v>318</v>
      </c>
      <c r="G33" s="181"/>
      <c r="H33" s="158"/>
      <c r="I33" s="158"/>
    </row>
    <row r="34" spans="2:9">
      <c r="B34" s="158" t="s">
        <v>251</v>
      </c>
      <c r="C34" s="158" t="str">
        <f>TechData_R0!C41</f>
        <v>IMPOILHL15</v>
      </c>
      <c r="D34" s="158" t="str">
        <f>TechData_R0!D41</f>
        <v>Imported Imported Oil-High Sulfur, Low G, PADD 1, Step 5</v>
      </c>
      <c r="E34" s="197" t="s">
        <v>196</v>
      </c>
      <c r="F34" s="197" t="s">
        <v>318</v>
      </c>
      <c r="G34" s="181"/>
      <c r="H34" s="158"/>
      <c r="I34" s="158"/>
    </row>
    <row r="35" spans="2:9">
      <c r="B35" s="158" t="s">
        <v>251</v>
      </c>
      <c r="C35" s="158" t="str">
        <f>TechData_R0!C42</f>
        <v>IMPOILHV13</v>
      </c>
      <c r="D35" s="158" t="str">
        <f>TechData_R0!D42</f>
        <v>Imported Imported Oil-High Sulfur, Very HG, PADD 1, Step 3</v>
      </c>
      <c r="E35" s="197" t="s">
        <v>196</v>
      </c>
      <c r="F35" s="197" t="s">
        <v>318</v>
      </c>
      <c r="G35" s="181"/>
      <c r="H35" s="158"/>
      <c r="I35" s="158"/>
    </row>
    <row r="36" spans="2:9">
      <c r="B36" s="158" t="s">
        <v>251</v>
      </c>
      <c r="C36" s="158" t="str">
        <f>TechData_R0!C43</f>
        <v>IMPOILHV11</v>
      </c>
      <c r="D36" s="158" t="str">
        <f>TechData_R0!D43</f>
        <v>Imported Imported Oil-High Sulfur, Very HG, PADD 1, Step 1</v>
      </c>
      <c r="E36" s="197" t="s">
        <v>196</v>
      </c>
      <c r="F36" s="197" t="s">
        <v>318</v>
      </c>
      <c r="G36" s="181"/>
      <c r="H36" s="158"/>
      <c r="I36" s="158"/>
    </row>
    <row r="37" spans="2:9">
      <c r="B37" s="158" t="s">
        <v>251</v>
      </c>
      <c r="C37" s="158" t="str">
        <f>TechData_R0!C44</f>
        <v>IMPOILHV12</v>
      </c>
      <c r="D37" s="158" t="str">
        <f>TechData_R0!D44</f>
        <v>Imported Imported Oil-High Sulfur, Very HG, PADD 1, Step 2</v>
      </c>
      <c r="E37" s="197" t="s">
        <v>196</v>
      </c>
      <c r="F37" s="197" t="s">
        <v>318</v>
      </c>
      <c r="G37" s="181"/>
      <c r="H37" s="158"/>
      <c r="I37" s="158"/>
    </row>
    <row r="38" spans="2:9">
      <c r="B38" s="158" t="s">
        <v>251</v>
      </c>
      <c r="C38" s="158" t="str">
        <f>TechData_R0!C45</f>
        <v>IMPOILHV14</v>
      </c>
      <c r="D38" s="158" t="str">
        <f>TechData_R0!D45</f>
        <v>Imported Imported Oil-High Sulfur, Very HG, PADD 1, Step 4</v>
      </c>
      <c r="E38" s="197" t="s">
        <v>196</v>
      </c>
      <c r="F38" s="197" t="s">
        <v>318</v>
      </c>
      <c r="G38" s="181"/>
      <c r="H38" s="158"/>
      <c r="I38" s="158"/>
    </row>
    <row r="39" spans="2:9">
      <c r="B39" s="158" t="s">
        <v>251</v>
      </c>
      <c r="C39" s="158" t="str">
        <f>TechData_R0!C46</f>
        <v>IMPOILHV15</v>
      </c>
      <c r="D39" s="158" t="str">
        <f>TechData_R0!D46</f>
        <v>Imported Imported Oil-High Sulfur, Very HG, PADD 1, Step 5</v>
      </c>
      <c r="E39" s="197" t="s">
        <v>196</v>
      </c>
      <c r="F39" s="197" t="s">
        <v>318</v>
      </c>
      <c r="G39" s="181"/>
      <c r="H39" s="158"/>
      <c r="I39" s="158"/>
    </row>
    <row r="40" spans="2:9">
      <c r="B40" s="158" t="s">
        <v>251</v>
      </c>
      <c r="C40" s="158" t="str">
        <f>TechData_R0!C47</f>
        <v>IMPOILLL13</v>
      </c>
      <c r="D40" s="158" t="str">
        <f>TechData_R0!D47</f>
        <v>Imported Imported Oil-Low Sulfur, Low G, PADD 1, Step 3</v>
      </c>
      <c r="E40" s="197" t="s">
        <v>196</v>
      </c>
      <c r="F40" s="197" t="s">
        <v>318</v>
      </c>
      <c r="G40" s="181"/>
      <c r="H40" s="158"/>
      <c r="I40" s="158"/>
    </row>
    <row r="41" spans="2:9">
      <c r="B41" s="158" t="s">
        <v>251</v>
      </c>
      <c r="C41" s="158" t="str">
        <f>TechData_R0!C48</f>
        <v>IMPOILLL11</v>
      </c>
      <c r="D41" s="158" t="str">
        <f>TechData_R0!D48</f>
        <v>Imported Imported Oil-Low Sulfur, Low G, PADD 1, Step 1</v>
      </c>
      <c r="E41" s="197" t="s">
        <v>196</v>
      </c>
      <c r="F41" s="197" t="s">
        <v>318</v>
      </c>
      <c r="G41" s="181"/>
      <c r="H41" s="158"/>
      <c r="I41" s="158"/>
    </row>
    <row r="42" spans="2:9">
      <c r="B42" s="158" t="s">
        <v>251</v>
      </c>
      <c r="C42" s="158" t="str">
        <f>TechData_R0!C49</f>
        <v>IMPOILLL12</v>
      </c>
      <c r="D42" s="158" t="str">
        <f>TechData_R0!D49</f>
        <v>Imported Imported Oil-Low Sulfur, Low G, PADD 1, Step 2</v>
      </c>
      <c r="E42" s="197" t="s">
        <v>196</v>
      </c>
      <c r="F42" s="197" t="s">
        <v>318</v>
      </c>
      <c r="G42" s="181"/>
      <c r="H42" s="158"/>
      <c r="I42" s="158"/>
    </row>
    <row r="43" spans="2:9">
      <c r="B43" s="158" t="s">
        <v>251</v>
      </c>
      <c r="C43" s="158" t="str">
        <f>TechData_R0!C50</f>
        <v>IMPOILLL14</v>
      </c>
      <c r="D43" s="158" t="str">
        <f>TechData_R0!D50</f>
        <v>Imported Imported Oil-Low Sulfur, Low G, PADD 1, Step 4</v>
      </c>
      <c r="E43" s="197" t="s">
        <v>196</v>
      </c>
      <c r="F43" s="197" t="s">
        <v>318</v>
      </c>
      <c r="G43" s="181"/>
      <c r="H43" s="158"/>
      <c r="I43" s="158"/>
    </row>
    <row r="44" spans="2:9">
      <c r="B44" s="158" t="s">
        <v>251</v>
      </c>
      <c r="C44" s="158" t="str">
        <f>TechData_R0!C51</f>
        <v>IMPOILLL15</v>
      </c>
      <c r="D44" s="158" t="str">
        <f>TechData_R0!D51</f>
        <v>Imported Imported Oil-Low Sulfur, Low G, PADD 1, Step 5</v>
      </c>
      <c r="E44" s="197" t="s">
        <v>196</v>
      </c>
      <c r="F44" s="197" t="s">
        <v>318</v>
      </c>
      <c r="G44" s="181"/>
      <c r="H44" s="158"/>
      <c r="I44" s="158"/>
    </row>
    <row r="45" spans="2:9">
      <c r="B45" s="158" t="s">
        <v>251</v>
      </c>
      <c r="C45" s="158" t="str">
        <f>TechData_R0!C52</f>
        <v>IMPOILMH13</v>
      </c>
      <c r="D45" s="158" t="str">
        <f>TechData_R0!D52</f>
        <v>Imported Imported Oil-Medium Sulfur, HG, PADD 1, Step 3</v>
      </c>
      <c r="E45" s="197" t="s">
        <v>196</v>
      </c>
      <c r="F45" s="197" t="s">
        <v>318</v>
      </c>
      <c r="G45" s="181"/>
      <c r="H45" s="158"/>
      <c r="I45" s="158"/>
    </row>
    <row r="46" spans="2:9">
      <c r="B46" s="158" t="s">
        <v>251</v>
      </c>
      <c r="C46" s="158" t="str">
        <f>TechData_R0!C53</f>
        <v>IMPOILMH11</v>
      </c>
      <c r="D46" s="158" t="str">
        <f>TechData_R0!D53</f>
        <v>Imported Imported Oil-Medium Sulfur, HG, PADD 1, Step 1</v>
      </c>
      <c r="E46" s="197" t="s">
        <v>196</v>
      </c>
      <c r="F46" s="197" t="s">
        <v>318</v>
      </c>
      <c r="G46" s="181"/>
      <c r="H46" s="158"/>
      <c r="I46" s="158"/>
    </row>
    <row r="47" spans="2:9">
      <c r="B47" s="158" t="s">
        <v>251</v>
      </c>
      <c r="C47" s="158" t="str">
        <f>TechData_R0!C54</f>
        <v>IMPOILMH12</v>
      </c>
      <c r="D47" s="158" t="str">
        <f>TechData_R0!D54</f>
        <v>Imported Imported Oil-Medium Sulfur, HG, PADD 1, Step 2</v>
      </c>
      <c r="E47" s="197" t="s">
        <v>196</v>
      </c>
      <c r="F47" s="197" t="s">
        <v>318</v>
      </c>
      <c r="G47" s="181"/>
      <c r="H47" s="158"/>
      <c r="I47" s="158"/>
    </row>
    <row r="48" spans="2:9">
      <c r="B48" s="158" t="s">
        <v>251</v>
      </c>
      <c r="C48" s="158" t="str">
        <f>TechData_R0!C55</f>
        <v>IMPOILMH14</v>
      </c>
      <c r="D48" s="158" t="str">
        <f>TechData_R0!D55</f>
        <v>Imported Imported Oil-Medium Sulfur, HG, PADD 1, Step 4</v>
      </c>
      <c r="E48" s="197" t="s">
        <v>196</v>
      </c>
      <c r="F48" s="197" t="s">
        <v>318</v>
      </c>
      <c r="G48" s="181"/>
      <c r="H48" s="158"/>
      <c r="I48" s="158"/>
    </row>
    <row r="49" spans="2:9">
      <c r="B49" s="158" t="s">
        <v>251</v>
      </c>
      <c r="C49" s="158" t="str">
        <f>TechData_R0!C56</f>
        <v>IMPOILMH15</v>
      </c>
      <c r="D49" s="158" t="str">
        <f>TechData_R0!D56</f>
        <v>Imported Imported Oil-Medium Sulfur, HG, PADD 1, Step 5</v>
      </c>
      <c r="E49" s="197" t="s">
        <v>196</v>
      </c>
      <c r="F49" s="197" t="s">
        <v>318</v>
      </c>
      <c r="G49" s="181"/>
      <c r="H49" s="158"/>
      <c r="I49" s="158"/>
    </row>
    <row r="50" spans="2:9">
      <c r="B50" s="158" t="s">
        <v>398</v>
      </c>
      <c r="C50" s="158"/>
      <c r="D50" s="158"/>
      <c r="E50" s="197"/>
      <c r="F50" s="197"/>
      <c r="G50" s="181"/>
      <c r="H50" s="158"/>
      <c r="I50" s="158"/>
    </row>
    <row r="51" spans="2:9">
      <c r="B51" s="158" t="s">
        <v>251</v>
      </c>
      <c r="C51" s="158" t="str">
        <f>TechData_R0!C58</f>
        <v>IMPOILHH23</v>
      </c>
      <c r="D51" s="158" t="str">
        <f>TechData_R0!D58</f>
        <v>Imported Imported Oil-High Sulfur, Heavy G, PADD 2, Step 3</v>
      </c>
      <c r="E51" s="197" t="s">
        <v>196</v>
      </c>
      <c r="F51" s="197" t="s">
        <v>318</v>
      </c>
      <c r="G51" s="181"/>
      <c r="H51" s="158"/>
      <c r="I51" s="158"/>
    </row>
    <row r="52" spans="2:9">
      <c r="B52" s="158" t="s">
        <v>251</v>
      </c>
      <c r="C52" s="158" t="str">
        <f>TechData_R0!C59</f>
        <v>IMPOILHH21</v>
      </c>
      <c r="D52" s="158" t="str">
        <f>TechData_R0!D59</f>
        <v>Imported Imported Oil-High Sulfur, Heavy G, PADD 2, Step 1</v>
      </c>
      <c r="E52" s="197" t="s">
        <v>196</v>
      </c>
      <c r="F52" s="197" t="s">
        <v>318</v>
      </c>
      <c r="G52" s="181"/>
      <c r="H52" s="158"/>
      <c r="I52" s="158"/>
    </row>
    <row r="53" spans="2:9">
      <c r="B53" s="158" t="s">
        <v>251</v>
      </c>
      <c r="C53" s="158" t="str">
        <f>TechData_R0!C60</f>
        <v>IMPOILHH22</v>
      </c>
      <c r="D53" s="158" t="str">
        <f>TechData_R0!D60</f>
        <v>Imported Imported Oil-High Sulfur, Heavy G, PADD 2, Step 2</v>
      </c>
      <c r="E53" s="197" t="s">
        <v>196</v>
      </c>
      <c r="F53" s="197" t="s">
        <v>318</v>
      </c>
      <c r="G53" s="181"/>
      <c r="H53" s="158"/>
      <c r="I53" s="158"/>
    </row>
    <row r="54" spans="2:9">
      <c r="B54" s="158" t="s">
        <v>251</v>
      </c>
      <c r="C54" s="158" t="str">
        <f>TechData_R0!C61</f>
        <v>IMPOILHH24</v>
      </c>
      <c r="D54" s="158" t="str">
        <f>TechData_R0!D61</f>
        <v>Imported Imported Oil-High Sulfur, Heavy G, PADD 2, Step 4</v>
      </c>
      <c r="E54" s="197" t="s">
        <v>196</v>
      </c>
      <c r="F54" s="197" t="s">
        <v>318</v>
      </c>
      <c r="G54" s="181"/>
      <c r="H54" s="158"/>
      <c r="I54" s="158"/>
    </row>
    <row r="55" spans="2:9">
      <c r="B55" s="158" t="s">
        <v>251</v>
      </c>
      <c r="C55" s="158" t="str">
        <f>TechData_R0!C62</f>
        <v>IMPOILHH25</v>
      </c>
      <c r="D55" s="158" t="str">
        <f>TechData_R0!D62</f>
        <v>Imported Imported Oil-High Sulfur, Heavy G, PADD 2, Step 5</v>
      </c>
      <c r="E55" s="197" t="s">
        <v>196</v>
      </c>
      <c r="F55" s="197" t="s">
        <v>318</v>
      </c>
      <c r="G55" s="181"/>
      <c r="H55" s="158"/>
      <c r="I55" s="158"/>
    </row>
    <row r="56" spans="2:9">
      <c r="B56" s="158" t="s">
        <v>251</v>
      </c>
      <c r="C56" s="158" t="str">
        <f>TechData_R0!C63</f>
        <v>IMPOILHL23</v>
      </c>
      <c r="D56" s="158" t="str">
        <f>TechData_R0!D63</f>
        <v>Imported Imported Oil-High Sulfur, Low G, PADD 2, Step 3</v>
      </c>
      <c r="E56" s="197" t="s">
        <v>196</v>
      </c>
      <c r="F56" s="197" t="s">
        <v>318</v>
      </c>
      <c r="G56" s="181"/>
      <c r="H56" s="158"/>
      <c r="I56" s="158"/>
    </row>
    <row r="57" spans="2:9">
      <c r="B57" s="158" t="s">
        <v>251</v>
      </c>
      <c r="C57" s="158" t="str">
        <f>TechData_R0!C64</f>
        <v>IMPOILHL21</v>
      </c>
      <c r="D57" s="158" t="str">
        <f>TechData_R0!D64</f>
        <v>Imported Imported Oil-High Sulfur, Low G, PADD 2, Step 1</v>
      </c>
      <c r="E57" s="197" t="s">
        <v>196</v>
      </c>
      <c r="F57" s="197" t="s">
        <v>318</v>
      </c>
      <c r="G57" s="181"/>
      <c r="H57" s="158"/>
      <c r="I57" s="158"/>
    </row>
    <row r="58" spans="2:9">
      <c r="B58" s="158" t="s">
        <v>251</v>
      </c>
      <c r="C58" s="158" t="str">
        <f>TechData_R0!C65</f>
        <v>IMPOILHL22</v>
      </c>
      <c r="D58" s="158" t="str">
        <f>TechData_R0!D65</f>
        <v>Imported Imported Oil-High Sulfur, Low G, PADD 2, Step 2</v>
      </c>
      <c r="E58" s="197" t="s">
        <v>196</v>
      </c>
      <c r="F58" s="197" t="s">
        <v>318</v>
      </c>
      <c r="G58" s="181"/>
      <c r="H58" s="158"/>
      <c r="I58" s="158"/>
    </row>
    <row r="59" spans="2:9">
      <c r="B59" s="158" t="s">
        <v>251</v>
      </c>
      <c r="C59" s="158" t="str">
        <f>TechData_R0!C66</f>
        <v>IMPOILHL24</v>
      </c>
      <c r="D59" s="158" t="str">
        <f>TechData_R0!D66</f>
        <v>Imported Imported Oil-High Sulfur, Low G, PADD 2, Step 4</v>
      </c>
      <c r="E59" s="197" t="s">
        <v>196</v>
      </c>
      <c r="F59" s="197" t="s">
        <v>318</v>
      </c>
      <c r="G59" s="181"/>
      <c r="H59" s="158"/>
      <c r="I59" s="158"/>
    </row>
    <row r="60" spans="2:9">
      <c r="B60" s="158" t="s">
        <v>251</v>
      </c>
      <c r="C60" s="158" t="str">
        <f>TechData_R0!C67</f>
        <v>IMPOILHL25</v>
      </c>
      <c r="D60" s="158" t="str">
        <f>TechData_R0!D67</f>
        <v>Imported Imported Oil-High Sulfur, Low G, PADD 2, Step 5</v>
      </c>
      <c r="E60" s="197" t="s">
        <v>196</v>
      </c>
      <c r="F60" s="197" t="s">
        <v>318</v>
      </c>
      <c r="G60" s="181"/>
      <c r="H60" s="158"/>
      <c r="I60" s="158"/>
    </row>
    <row r="61" spans="2:9">
      <c r="B61" s="158" t="s">
        <v>251</v>
      </c>
      <c r="C61" s="158" t="str">
        <f>TechData_R0!C68</f>
        <v>IMPOILHV23</v>
      </c>
      <c r="D61" s="158" t="str">
        <f>TechData_R0!D68</f>
        <v>Imported Imported Oil-High Sulfur, Very HG, PADD 2, Step 3</v>
      </c>
      <c r="E61" s="197" t="s">
        <v>196</v>
      </c>
      <c r="F61" s="197" t="s">
        <v>318</v>
      </c>
      <c r="G61" s="181"/>
      <c r="H61" s="158"/>
      <c r="I61" s="158"/>
    </row>
    <row r="62" spans="2:9">
      <c r="B62" s="158" t="s">
        <v>251</v>
      </c>
      <c r="C62" s="158" t="str">
        <f>TechData_R0!C69</f>
        <v>IMPOILHV21</v>
      </c>
      <c r="D62" s="158" t="str">
        <f>TechData_R0!D69</f>
        <v>Imported Imported Oil-High Sulfur, Very HG, PADD 2, Step 1</v>
      </c>
      <c r="E62" s="197" t="s">
        <v>196</v>
      </c>
      <c r="F62" s="197" t="s">
        <v>318</v>
      </c>
      <c r="G62" s="181"/>
      <c r="H62" s="158"/>
      <c r="I62" s="158"/>
    </row>
    <row r="63" spans="2:9">
      <c r="B63" s="158" t="s">
        <v>251</v>
      </c>
      <c r="C63" s="158" t="str">
        <f>TechData_R0!C70</f>
        <v>IMPOILHV22</v>
      </c>
      <c r="D63" s="158" t="str">
        <f>TechData_R0!D70</f>
        <v>Imported Imported Oil-High Sulfur, Very HG, PADD 2, Step 2</v>
      </c>
      <c r="E63" s="197" t="s">
        <v>196</v>
      </c>
      <c r="F63" s="197" t="s">
        <v>318</v>
      </c>
      <c r="G63" s="181"/>
      <c r="H63" s="158"/>
      <c r="I63" s="158"/>
    </row>
    <row r="64" spans="2:9">
      <c r="B64" s="158" t="s">
        <v>251</v>
      </c>
      <c r="C64" s="158" t="str">
        <f>TechData_R0!C71</f>
        <v>IMPOILHV24</v>
      </c>
      <c r="D64" s="158" t="str">
        <f>TechData_R0!D71</f>
        <v>Imported Imported Oil-High Sulfur, Very HG, PADD 2, Step 4</v>
      </c>
      <c r="E64" s="197" t="s">
        <v>196</v>
      </c>
      <c r="F64" s="197" t="s">
        <v>318</v>
      </c>
      <c r="G64" s="181"/>
      <c r="H64" s="158"/>
      <c r="I64" s="158"/>
    </row>
    <row r="65" spans="2:9">
      <c r="B65" s="158" t="s">
        <v>251</v>
      </c>
      <c r="C65" s="158" t="str">
        <f>TechData_R0!C72</f>
        <v>IMPOILHV25</v>
      </c>
      <c r="D65" s="158" t="str">
        <f>TechData_R0!D72</f>
        <v>Imported Imported Oil-High Sulfur, Very HG, PADD 2, Step 5</v>
      </c>
      <c r="E65" s="197" t="s">
        <v>196</v>
      </c>
      <c r="F65" s="197" t="s">
        <v>318</v>
      </c>
      <c r="G65" s="181"/>
      <c r="H65" s="158"/>
      <c r="I65" s="158"/>
    </row>
    <row r="66" spans="2:9">
      <c r="B66" s="158" t="s">
        <v>251</v>
      </c>
      <c r="C66" s="158" t="str">
        <f>TechData_R0!C73</f>
        <v>IMPOILLL23</v>
      </c>
      <c r="D66" s="158" t="str">
        <f>TechData_R0!D73</f>
        <v>Imported Imported Oil-Low Sulfur, Low G, PADD 2, Step 3</v>
      </c>
      <c r="E66" s="197" t="s">
        <v>196</v>
      </c>
      <c r="F66" s="197" t="s">
        <v>318</v>
      </c>
      <c r="G66" s="181"/>
      <c r="H66" s="158"/>
      <c r="I66" s="158"/>
    </row>
    <row r="67" spans="2:9">
      <c r="B67" s="158" t="s">
        <v>251</v>
      </c>
      <c r="C67" s="158" t="str">
        <f>TechData_R0!C74</f>
        <v>IMPOILLL21</v>
      </c>
      <c r="D67" s="158" t="str">
        <f>TechData_R0!D74</f>
        <v>Imported Imported Oil-Low Sulfur, Low G, PADD 2, Step 1</v>
      </c>
      <c r="E67" s="197" t="s">
        <v>196</v>
      </c>
      <c r="F67" s="197" t="s">
        <v>318</v>
      </c>
      <c r="G67" s="181"/>
      <c r="H67" s="158"/>
      <c r="I67" s="158"/>
    </row>
    <row r="68" spans="2:9">
      <c r="B68" s="158" t="s">
        <v>251</v>
      </c>
      <c r="C68" s="158" t="str">
        <f>TechData_R0!C75</f>
        <v>IMPOILLL22</v>
      </c>
      <c r="D68" s="158" t="str">
        <f>TechData_R0!D75</f>
        <v>Imported Imported Oil-Low Sulfur, Low G, PADD 2, Step 2</v>
      </c>
      <c r="E68" s="197" t="s">
        <v>196</v>
      </c>
      <c r="F68" s="197" t="s">
        <v>318</v>
      </c>
      <c r="G68" s="181"/>
      <c r="H68" s="158"/>
      <c r="I68" s="158"/>
    </row>
    <row r="69" spans="2:9">
      <c r="B69" s="158" t="s">
        <v>251</v>
      </c>
      <c r="C69" s="158" t="str">
        <f>TechData_R0!C76</f>
        <v>IMPOILLL24</v>
      </c>
      <c r="D69" s="158" t="str">
        <f>TechData_R0!D76</f>
        <v>Imported Imported Oil-Low Sulfur, Low G, PADD 2, Step 4</v>
      </c>
      <c r="E69" s="197" t="s">
        <v>196</v>
      </c>
      <c r="F69" s="197" t="s">
        <v>318</v>
      </c>
      <c r="G69" s="181"/>
      <c r="H69" s="158"/>
      <c r="I69" s="158"/>
    </row>
    <row r="70" spans="2:9">
      <c r="B70" s="158" t="s">
        <v>251</v>
      </c>
      <c r="C70" s="158" t="str">
        <f>TechData_R0!C77</f>
        <v>IMPOILLL25</v>
      </c>
      <c r="D70" s="158" t="str">
        <f>TechData_R0!D77</f>
        <v>Imported Imported Oil-Low Sulfur, Low G, PADD 2, Step 5</v>
      </c>
      <c r="E70" s="197" t="s">
        <v>196</v>
      </c>
      <c r="F70" s="197" t="s">
        <v>318</v>
      </c>
      <c r="G70" s="181"/>
      <c r="H70" s="158"/>
      <c r="I70" s="158"/>
    </row>
    <row r="71" spans="2:9">
      <c r="B71" s="158" t="s">
        <v>251</v>
      </c>
      <c r="C71" s="158" t="str">
        <f>TechData_R0!C78</f>
        <v>IMPOILMH23</v>
      </c>
      <c r="D71" s="158" t="str">
        <f>TechData_R0!D78</f>
        <v>Imported Imported Oil-Medium Sulfur, HG, PADD 2, Step 3</v>
      </c>
      <c r="E71" s="197" t="s">
        <v>196</v>
      </c>
      <c r="F71" s="197" t="s">
        <v>318</v>
      </c>
      <c r="G71" s="181"/>
      <c r="H71" s="158"/>
      <c r="I71" s="158"/>
    </row>
    <row r="72" spans="2:9">
      <c r="B72" s="158" t="s">
        <v>251</v>
      </c>
      <c r="C72" s="158" t="str">
        <f>TechData_R0!C79</f>
        <v>IMPOILMH21</v>
      </c>
      <c r="D72" s="158" t="str">
        <f>TechData_R0!D79</f>
        <v>Imported Imported Oil-Medium Sulfur, HG, PADD 2, Step 1</v>
      </c>
      <c r="E72" s="197" t="s">
        <v>196</v>
      </c>
      <c r="F72" s="197" t="s">
        <v>318</v>
      </c>
      <c r="G72" s="181"/>
      <c r="H72" s="158"/>
      <c r="I72" s="158"/>
    </row>
    <row r="73" spans="2:9">
      <c r="B73" s="158" t="s">
        <v>251</v>
      </c>
      <c r="C73" s="158" t="str">
        <f>TechData_R0!C80</f>
        <v>IMPOILMH22</v>
      </c>
      <c r="D73" s="158" t="str">
        <f>TechData_R0!D80</f>
        <v>Imported Imported Oil-Medium Sulfur, HG, PADD 2, Step 2</v>
      </c>
      <c r="E73" s="197" t="s">
        <v>196</v>
      </c>
      <c r="F73" s="197" t="s">
        <v>318</v>
      </c>
      <c r="G73" s="181"/>
      <c r="H73" s="158"/>
      <c r="I73" s="158"/>
    </row>
    <row r="74" spans="2:9">
      <c r="B74" s="158" t="s">
        <v>251</v>
      </c>
      <c r="C74" s="158" t="str">
        <f>TechData_R0!C81</f>
        <v>IMPOILMH24</v>
      </c>
      <c r="D74" s="158" t="str">
        <f>TechData_R0!D81</f>
        <v>Imported Imported Oil-Medium Sulfur, HG, PADD 2, Step 4</v>
      </c>
      <c r="E74" s="197" t="s">
        <v>196</v>
      </c>
      <c r="F74" s="197" t="s">
        <v>318</v>
      </c>
      <c r="G74" s="181"/>
      <c r="H74" s="158"/>
      <c r="I74" s="158"/>
    </row>
    <row r="75" spans="2:9">
      <c r="B75" s="158" t="s">
        <v>251</v>
      </c>
      <c r="C75" s="158" t="str">
        <f>TechData_R0!C82</f>
        <v>IMPOILMH25</v>
      </c>
      <c r="D75" s="158" t="str">
        <f>TechData_R0!D82</f>
        <v>Imported Imported Oil-Medium Sulfur, HG, PADD 2, Step 5</v>
      </c>
      <c r="E75" s="197" t="s">
        <v>196</v>
      </c>
      <c r="F75" s="197" t="s">
        <v>318</v>
      </c>
      <c r="G75" s="181"/>
      <c r="H75" s="158"/>
      <c r="I75" s="158"/>
    </row>
    <row r="76" spans="2:9">
      <c r="B76" s="158" t="s">
        <v>398</v>
      </c>
      <c r="C76" s="158"/>
      <c r="D76" s="158"/>
      <c r="E76" s="197"/>
      <c r="F76" s="197"/>
      <c r="G76" s="181"/>
      <c r="H76" s="158"/>
      <c r="I76" s="158"/>
    </row>
    <row r="77" spans="2:9">
      <c r="B77" s="158" t="s">
        <v>251</v>
      </c>
      <c r="C77" s="158" t="str">
        <f>TechData_R0!C84</f>
        <v>IMPOILHH33</v>
      </c>
      <c r="D77" s="158" t="str">
        <f>TechData_R0!D84</f>
        <v>Imported Imported Oil-High Sulfur, Heavy G, PADD 3, Step 3</v>
      </c>
      <c r="E77" s="197" t="s">
        <v>196</v>
      </c>
      <c r="F77" s="197" t="s">
        <v>318</v>
      </c>
      <c r="G77" s="181"/>
      <c r="H77" s="158"/>
      <c r="I77" s="158"/>
    </row>
    <row r="78" spans="2:9">
      <c r="B78" s="158" t="s">
        <v>251</v>
      </c>
      <c r="C78" s="158" t="str">
        <f>TechData_R0!C85</f>
        <v>IMPOILHH31</v>
      </c>
      <c r="D78" s="158" t="str">
        <f>TechData_R0!D85</f>
        <v>Imported Imported Oil-High Sulfur, Heavy G, PADD 3, Step 1</v>
      </c>
      <c r="E78" s="197" t="s">
        <v>196</v>
      </c>
      <c r="F78" s="197" t="s">
        <v>318</v>
      </c>
      <c r="G78" s="181"/>
      <c r="H78" s="158"/>
      <c r="I78" s="158"/>
    </row>
    <row r="79" spans="2:9">
      <c r="B79" s="158" t="s">
        <v>251</v>
      </c>
      <c r="C79" s="158" t="str">
        <f>TechData_R0!C86</f>
        <v>IMPOILHH32</v>
      </c>
      <c r="D79" s="158" t="str">
        <f>TechData_R0!D86</f>
        <v>Imported Imported Oil-High Sulfur, Heavy G, PADD 3, Step 2</v>
      </c>
      <c r="E79" s="197" t="s">
        <v>196</v>
      </c>
      <c r="F79" s="197" t="s">
        <v>318</v>
      </c>
      <c r="G79" s="181"/>
      <c r="H79" s="158"/>
      <c r="I79" s="158"/>
    </row>
    <row r="80" spans="2:9">
      <c r="B80" s="158" t="s">
        <v>251</v>
      </c>
      <c r="C80" s="158" t="str">
        <f>TechData_R0!C87</f>
        <v>IMPOILHH34</v>
      </c>
      <c r="D80" s="158" t="str">
        <f>TechData_R0!D87</f>
        <v>Imported Imported Oil-High Sulfur, Heavy G, PADD 3, Step 4</v>
      </c>
      <c r="E80" s="197" t="s">
        <v>196</v>
      </c>
      <c r="F80" s="197" t="s">
        <v>318</v>
      </c>
      <c r="G80" s="181"/>
      <c r="H80" s="158"/>
      <c r="I80" s="158"/>
    </row>
    <row r="81" spans="2:9">
      <c r="B81" s="158" t="s">
        <v>251</v>
      </c>
      <c r="C81" s="158" t="str">
        <f>TechData_R0!C88</f>
        <v>IMPOILHH35</v>
      </c>
      <c r="D81" s="158" t="str">
        <f>TechData_R0!D88</f>
        <v>Imported Imported Oil-High Sulfur, Heavy G, PADD 3, Step 5</v>
      </c>
      <c r="E81" s="197" t="s">
        <v>196</v>
      </c>
      <c r="F81" s="197" t="s">
        <v>318</v>
      </c>
      <c r="G81" s="181"/>
      <c r="H81" s="158"/>
      <c r="I81" s="158"/>
    </row>
    <row r="82" spans="2:9">
      <c r="B82" s="158" t="s">
        <v>251</v>
      </c>
      <c r="C82" s="158" t="str">
        <f>TechData_R0!C89</f>
        <v>IMPOILHL33</v>
      </c>
      <c r="D82" s="158" t="str">
        <f>TechData_R0!D89</f>
        <v>Imported Imported Oil-High Sulfur, Low G, PADD 3, Step 3</v>
      </c>
      <c r="E82" s="197" t="s">
        <v>196</v>
      </c>
      <c r="F82" s="197" t="s">
        <v>318</v>
      </c>
      <c r="G82" s="181"/>
      <c r="H82" s="158"/>
      <c r="I82" s="158"/>
    </row>
    <row r="83" spans="2:9">
      <c r="B83" s="158" t="s">
        <v>251</v>
      </c>
      <c r="C83" s="158" t="str">
        <f>TechData_R0!C90</f>
        <v>IMPOILHL31</v>
      </c>
      <c r="D83" s="158" t="str">
        <f>TechData_R0!D90</f>
        <v>Imported Imported Oil-High Sulfur, Low G, PADD 3, Step 1</v>
      </c>
      <c r="E83" s="197" t="s">
        <v>196</v>
      </c>
      <c r="F83" s="197" t="s">
        <v>318</v>
      </c>
      <c r="G83" s="181"/>
      <c r="H83" s="158"/>
      <c r="I83" s="158"/>
    </row>
    <row r="84" spans="2:9">
      <c r="B84" s="158" t="s">
        <v>251</v>
      </c>
      <c r="C84" s="158" t="str">
        <f>TechData_R0!C91</f>
        <v>IMPOILHL32</v>
      </c>
      <c r="D84" s="158" t="str">
        <f>TechData_R0!D91</f>
        <v>Imported Imported Oil-High Sulfur, Low G, PADD 3, Step 2</v>
      </c>
      <c r="E84" s="197" t="s">
        <v>196</v>
      </c>
      <c r="F84" s="197" t="s">
        <v>318</v>
      </c>
      <c r="G84" s="181"/>
      <c r="H84" s="158"/>
      <c r="I84" s="158"/>
    </row>
    <row r="85" spans="2:9">
      <c r="B85" s="158" t="s">
        <v>251</v>
      </c>
      <c r="C85" s="158" t="str">
        <f>TechData_R0!C92</f>
        <v>IMPOILHL34</v>
      </c>
      <c r="D85" s="158" t="str">
        <f>TechData_R0!D92</f>
        <v>Imported Imported Oil-High Sulfur, Low G, PADD 3, Step 4</v>
      </c>
      <c r="E85" s="197" t="s">
        <v>196</v>
      </c>
      <c r="F85" s="197" t="s">
        <v>318</v>
      </c>
      <c r="G85" s="181"/>
      <c r="H85" s="158"/>
      <c r="I85" s="158"/>
    </row>
    <row r="86" spans="2:9">
      <c r="B86" s="158" t="s">
        <v>251</v>
      </c>
      <c r="C86" s="158" t="str">
        <f>TechData_R0!C93</f>
        <v>IMPOILHL35</v>
      </c>
      <c r="D86" s="158" t="str">
        <f>TechData_R0!D93</f>
        <v>Imported Imported Oil-High Sulfur, Low G, PADD 3, Step 5</v>
      </c>
      <c r="E86" s="197" t="s">
        <v>196</v>
      </c>
      <c r="F86" s="197" t="s">
        <v>318</v>
      </c>
      <c r="G86" s="181"/>
      <c r="H86" s="158"/>
      <c r="I86" s="158"/>
    </row>
    <row r="87" spans="2:9">
      <c r="B87" s="158" t="s">
        <v>251</v>
      </c>
      <c r="C87" s="158" t="str">
        <f>TechData_R0!C94</f>
        <v>IMPOILHV33</v>
      </c>
      <c r="D87" s="158" t="str">
        <f>TechData_R0!D94</f>
        <v>Imported Imported Oil-High Sulfur, Very HG, PADD 3, Step 3</v>
      </c>
      <c r="E87" s="197" t="s">
        <v>196</v>
      </c>
      <c r="F87" s="197" t="s">
        <v>318</v>
      </c>
      <c r="G87" s="181"/>
      <c r="H87" s="158"/>
      <c r="I87" s="158"/>
    </row>
    <row r="88" spans="2:9">
      <c r="B88" s="158" t="s">
        <v>251</v>
      </c>
      <c r="C88" s="158" t="str">
        <f>TechData_R0!C95</f>
        <v>IMPOILHV31</v>
      </c>
      <c r="D88" s="158" t="str">
        <f>TechData_R0!D95</f>
        <v>Imported Imported Oil-High Sulfur, Very HG, PADD 3, Step 1</v>
      </c>
      <c r="E88" s="197" t="s">
        <v>196</v>
      </c>
      <c r="F88" s="197" t="s">
        <v>318</v>
      </c>
      <c r="G88" s="181"/>
      <c r="H88" s="158"/>
      <c r="I88" s="158"/>
    </row>
    <row r="89" spans="2:9">
      <c r="B89" s="158" t="s">
        <v>251</v>
      </c>
      <c r="C89" s="158" t="str">
        <f>TechData_R0!C96</f>
        <v>IMPOILHV32</v>
      </c>
      <c r="D89" s="158" t="str">
        <f>TechData_R0!D96</f>
        <v>Imported Imported Oil-High Sulfur, Very HG, PADD 3, Step 2</v>
      </c>
      <c r="E89" s="197" t="s">
        <v>196</v>
      </c>
      <c r="F89" s="197" t="s">
        <v>318</v>
      </c>
      <c r="G89" s="181"/>
      <c r="H89" s="158"/>
      <c r="I89" s="158"/>
    </row>
    <row r="90" spans="2:9">
      <c r="B90" s="158" t="s">
        <v>251</v>
      </c>
      <c r="C90" s="158" t="str">
        <f>TechData_R0!C97</f>
        <v>IMPOILHV34</v>
      </c>
      <c r="D90" s="158" t="str">
        <f>TechData_R0!D97</f>
        <v>Imported Imported Oil-High Sulfur, Very HG, PADD 3, Step 4</v>
      </c>
      <c r="E90" s="197" t="s">
        <v>196</v>
      </c>
      <c r="F90" s="197" t="s">
        <v>318</v>
      </c>
      <c r="G90" s="181"/>
      <c r="H90" s="158"/>
      <c r="I90" s="158"/>
    </row>
    <row r="91" spans="2:9">
      <c r="B91" s="158" t="s">
        <v>251</v>
      </c>
      <c r="C91" s="158" t="str">
        <f>TechData_R0!C98</f>
        <v>IMPOILHV35</v>
      </c>
      <c r="D91" s="158" t="str">
        <f>TechData_R0!D98</f>
        <v>Imported Imported Oil-High Sulfur, Very HG, PADD 3, Step 5</v>
      </c>
      <c r="E91" s="197" t="s">
        <v>196</v>
      </c>
      <c r="F91" s="197" t="s">
        <v>318</v>
      </c>
      <c r="G91" s="181"/>
      <c r="H91" s="158"/>
      <c r="I91" s="158"/>
    </row>
    <row r="92" spans="2:9">
      <c r="B92" s="158" t="s">
        <v>251</v>
      </c>
      <c r="C92" s="158" t="str">
        <f>TechData_R0!C99</f>
        <v>IMPOILLL33</v>
      </c>
      <c r="D92" s="158" t="str">
        <f>TechData_R0!D99</f>
        <v>Imported Imported Oil-Low Sulfur, Low G, PADD 3, Step 3</v>
      </c>
      <c r="E92" s="197" t="s">
        <v>196</v>
      </c>
      <c r="F92" s="197" t="s">
        <v>318</v>
      </c>
      <c r="G92" s="181"/>
      <c r="H92" s="158"/>
      <c r="I92" s="158"/>
    </row>
    <row r="93" spans="2:9">
      <c r="B93" s="158" t="s">
        <v>251</v>
      </c>
      <c r="C93" s="158" t="str">
        <f>TechData_R0!C100</f>
        <v>IMPOILLL31</v>
      </c>
      <c r="D93" s="158" t="str">
        <f>TechData_R0!D100</f>
        <v>Imported Imported Oil-Low Sulfur, Low G, PADD 3, Step 1</v>
      </c>
      <c r="E93" s="197" t="s">
        <v>196</v>
      </c>
      <c r="F93" s="197" t="s">
        <v>318</v>
      </c>
      <c r="G93" s="181"/>
      <c r="H93" s="158"/>
      <c r="I93" s="158"/>
    </row>
    <row r="94" spans="2:9">
      <c r="B94" s="158" t="s">
        <v>251</v>
      </c>
      <c r="C94" s="158" t="str">
        <f>TechData_R0!C101</f>
        <v>IMPOILLL32</v>
      </c>
      <c r="D94" s="158" t="str">
        <f>TechData_R0!D101</f>
        <v>Imported Imported Oil-Low Sulfur, Low G, PADD 3, Step 2</v>
      </c>
      <c r="E94" s="197" t="s">
        <v>196</v>
      </c>
      <c r="F94" s="197" t="s">
        <v>318</v>
      </c>
      <c r="G94" s="181"/>
      <c r="H94" s="158"/>
      <c r="I94" s="158"/>
    </row>
    <row r="95" spans="2:9">
      <c r="B95" s="158" t="s">
        <v>251</v>
      </c>
      <c r="C95" s="158" t="str">
        <f>TechData_R0!C102</f>
        <v>IMPOILLL34</v>
      </c>
      <c r="D95" s="158" t="str">
        <f>TechData_R0!D102</f>
        <v>Imported Imported Oil-Low Sulfur, Low G, PADD 3, Step 4</v>
      </c>
      <c r="E95" s="197" t="s">
        <v>196</v>
      </c>
      <c r="F95" s="197" t="s">
        <v>318</v>
      </c>
      <c r="G95" s="181"/>
      <c r="H95" s="158"/>
      <c r="I95" s="158"/>
    </row>
    <row r="96" spans="2:9">
      <c r="B96" s="158" t="s">
        <v>251</v>
      </c>
      <c r="C96" s="158" t="str">
        <f>TechData_R0!C103</f>
        <v>IMPOILLL35</v>
      </c>
      <c r="D96" s="158" t="str">
        <f>TechData_R0!D103</f>
        <v>Imported Imported Oil-Low Sulfur, Low G, PADD 3, Step 5</v>
      </c>
      <c r="E96" s="197" t="s">
        <v>196</v>
      </c>
      <c r="F96" s="197" t="s">
        <v>318</v>
      </c>
      <c r="G96" s="181"/>
      <c r="H96" s="158"/>
      <c r="I96" s="158"/>
    </row>
    <row r="97" spans="2:9">
      <c r="B97" s="158" t="s">
        <v>251</v>
      </c>
      <c r="C97" s="158" t="str">
        <f>TechData_R0!C104</f>
        <v>IMPOILMH33</v>
      </c>
      <c r="D97" s="158" t="str">
        <f>TechData_R0!D104</f>
        <v>Imported Imported Oil-Medium Sulfur, HG, PADD 3, Step 3</v>
      </c>
      <c r="E97" s="197" t="s">
        <v>196</v>
      </c>
      <c r="F97" s="197" t="s">
        <v>318</v>
      </c>
      <c r="G97" s="181"/>
      <c r="H97" s="158"/>
      <c r="I97" s="158"/>
    </row>
    <row r="98" spans="2:9">
      <c r="B98" s="158" t="s">
        <v>251</v>
      </c>
      <c r="C98" s="158" t="str">
        <f>TechData_R0!C105</f>
        <v>IMPOILMH31</v>
      </c>
      <c r="D98" s="158" t="str">
        <f>TechData_R0!D105</f>
        <v>Imported Imported Oil-Medium Sulfur, HG, PADD 3, Step 1</v>
      </c>
      <c r="E98" s="197" t="s">
        <v>196</v>
      </c>
      <c r="F98" s="197" t="s">
        <v>318</v>
      </c>
      <c r="G98" s="181"/>
      <c r="H98" s="158"/>
      <c r="I98" s="158"/>
    </row>
    <row r="99" spans="2:9">
      <c r="B99" s="158" t="s">
        <v>251</v>
      </c>
      <c r="C99" s="158" t="str">
        <f>TechData_R0!C106</f>
        <v>IMPOILMH32</v>
      </c>
      <c r="D99" s="158" t="str">
        <f>TechData_R0!D106</f>
        <v>Imported Imported Oil-Medium Sulfur, HG, PADD 3, Step 2</v>
      </c>
      <c r="E99" s="197" t="s">
        <v>196</v>
      </c>
      <c r="F99" s="197" t="s">
        <v>318</v>
      </c>
      <c r="G99" s="181"/>
      <c r="H99" s="158"/>
      <c r="I99" s="158"/>
    </row>
    <row r="100" spans="2:9">
      <c r="B100" s="158" t="s">
        <v>251</v>
      </c>
      <c r="C100" s="158" t="str">
        <f>TechData_R0!C107</f>
        <v>IMPOILMH34</v>
      </c>
      <c r="D100" s="158" t="str">
        <f>TechData_R0!D107</f>
        <v>Imported Imported Oil-Medium Sulfur, HG, PADD 3, Step 4</v>
      </c>
      <c r="E100" s="197" t="s">
        <v>196</v>
      </c>
      <c r="F100" s="197" t="s">
        <v>318</v>
      </c>
      <c r="G100" s="181"/>
      <c r="H100" s="158"/>
      <c r="I100" s="158"/>
    </row>
    <row r="101" spans="2:9">
      <c r="B101" s="158" t="s">
        <v>251</v>
      </c>
      <c r="C101" s="158" t="str">
        <f>TechData_R0!C108</f>
        <v>IMPOILMH35</v>
      </c>
      <c r="D101" s="158" t="str">
        <f>TechData_R0!D108</f>
        <v>Imported Imported Oil-Medium Sulfur, HG, PADD 3, Step 5</v>
      </c>
      <c r="E101" s="197" t="s">
        <v>196</v>
      </c>
      <c r="F101" s="197" t="s">
        <v>318</v>
      </c>
      <c r="G101" s="181"/>
      <c r="H101" s="158"/>
      <c r="I101" s="158"/>
    </row>
    <row r="102" spans="2:9">
      <c r="B102" s="158" t="s">
        <v>398</v>
      </c>
      <c r="C102" s="158"/>
      <c r="D102" s="158"/>
      <c r="E102" s="197"/>
      <c r="F102" s="197"/>
      <c r="G102" s="181"/>
      <c r="H102" s="158"/>
      <c r="I102" s="158"/>
    </row>
    <row r="103" spans="2:9">
      <c r="B103" s="158" t="s">
        <v>1004</v>
      </c>
      <c r="C103" s="158" t="str">
        <f>TechData_R0!C110</f>
        <v>IMPOILHH43</v>
      </c>
      <c r="D103" s="158" t="str">
        <f>TechData_R0!D110</f>
        <v>Imported Imported Oil-High Sulfur, Heavy G, PADD 4, Step 3</v>
      </c>
      <c r="E103" s="197" t="s">
        <v>196</v>
      </c>
      <c r="F103" s="197" t="s">
        <v>318</v>
      </c>
      <c r="G103" s="181"/>
      <c r="H103" s="158"/>
      <c r="I103" s="158"/>
    </row>
    <row r="104" spans="2:9">
      <c r="B104" s="158" t="s">
        <v>1004</v>
      </c>
      <c r="C104" s="158" t="str">
        <f>TechData_R0!C111</f>
        <v>IMPOILHH41</v>
      </c>
      <c r="D104" s="158" t="str">
        <f>TechData_R0!D111</f>
        <v>Imported Imported Oil-High Sulfur, Heavy G, PADD 4, Step 1</v>
      </c>
      <c r="E104" s="197" t="s">
        <v>196</v>
      </c>
      <c r="F104" s="197" t="s">
        <v>318</v>
      </c>
      <c r="G104" s="181"/>
      <c r="H104" s="158"/>
      <c r="I104" s="158"/>
    </row>
    <row r="105" spans="2:9">
      <c r="B105" s="158" t="s">
        <v>1004</v>
      </c>
      <c r="C105" s="158" t="str">
        <f>TechData_R0!C112</f>
        <v>IMPOILHH42</v>
      </c>
      <c r="D105" s="158" t="str">
        <f>TechData_R0!D112</f>
        <v>Imported Imported Oil-High Sulfur, Heavy G, PADD 4, Step 2</v>
      </c>
      <c r="E105" s="197" t="s">
        <v>196</v>
      </c>
      <c r="F105" s="197" t="s">
        <v>318</v>
      </c>
      <c r="G105" s="181"/>
      <c r="H105" s="158"/>
      <c r="I105" s="158"/>
    </row>
    <row r="106" spans="2:9">
      <c r="B106" s="158" t="s">
        <v>1004</v>
      </c>
      <c r="C106" s="158" t="str">
        <f>TechData_R0!C113</f>
        <v>IMPOILHH44</v>
      </c>
      <c r="D106" s="158" t="str">
        <f>TechData_R0!D113</f>
        <v>Imported Imported Oil-High Sulfur, Heavy G, PADD 4, Step 4</v>
      </c>
      <c r="E106" s="197" t="s">
        <v>196</v>
      </c>
      <c r="F106" s="197" t="s">
        <v>318</v>
      </c>
      <c r="G106" s="181"/>
      <c r="H106" s="158"/>
      <c r="I106" s="158"/>
    </row>
    <row r="107" spans="2:9">
      <c r="B107" s="158" t="s">
        <v>1004</v>
      </c>
      <c r="C107" s="158" t="str">
        <f>TechData_R0!C114</f>
        <v>IMPOILHH45</v>
      </c>
      <c r="D107" s="158" t="str">
        <f>TechData_R0!D114</f>
        <v>Imported Imported Oil-High Sulfur, Heavy G, PADD 4, Step 5</v>
      </c>
      <c r="E107" s="197" t="s">
        <v>196</v>
      </c>
      <c r="F107" s="197" t="s">
        <v>318</v>
      </c>
      <c r="G107" s="181"/>
      <c r="H107" s="158"/>
      <c r="I107" s="158"/>
    </row>
    <row r="108" spans="2:9">
      <c r="B108" s="158" t="s">
        <v>1004</v>
      </c>
      <c r="C108" s="158" t="str">
        <f>TechData_R0!C115</f>
        <v>IMPOILHL43</v>
      </c>
      <c r="D108" s="158" t="str">
        <f>TechData_R0!D115</f>
        <v>Imported Imported Oil-High Sulfur, Low G, PADD 4, Step 3</v>
      </c>
      <c r="E108" s="197" t="s">
        <v>196</v>
      </c>
      <c r="F108" s="197" t="s">
        <v>318</v>
      </c>
      <c r="G108" s="181"/>
      <c r="H108" s="158"/>
      <c r="I108" s="158"/>
    </row>
    <row r="109" spans="2:9">
      <c r="B109" s="158" t="s">
        <v>1004</v>
      </c>
      <c r="C109" s="158" t="str">
        <f>TechData_R0!C116</f>
        <v>IMPOILHL41</v>
      </c>
      <c r="D109" s="158" t="str">
        <f>TechData_R0!D116</f>
        <v>Imported Imported Oil-High Sulfur, Low G, PADD 4, Step 1</v>
      </c>
      <c r="E109" s="197" t="s">
        <v>196</v>
      </c>
      <c r="F109" s="197" t="s">
        <v>318</v>
      </c>
      <c r="G109" s="181"/>
      <c r="H109" s="158"/>
      <c r="I109" s="158"/>
    </row>
    <row r="110" spans="2:9">
      <c r="B110" s="158" t="s">
        <v>1004</v>
      </c>
      <c r="C110" s="158" t="str">
        <f>TechData_R0!C117</f>
        <v>IMPOILHL42</v>
      </c>
      <c r="D110" s="158" t="str">
        <f>TechData_R0!D117</f>
        <v>Imported Imported Oil-High Sulfur, Low G, PADD 4, Step 2</v>
      </c>
      <c r="E110" s="197" t="s">
        <v>196</v>
      </c>
      <c r="F110" s="197" t="s">
        <v>318</v>
      </c>
      <c r="G110" s="181"/>
      <c r="H110" s="158"/>
      <c r="I110" s="158"/>
    </row>
    <row r="111" spans="2:9">
      <c r="B111" s="158" t="s">
        <v>1004</v>
      </c>
      <c r="C111" s="158" t="str">
        <f>TechData_R0!C118</f>
        <v>IMPOILHL44</v>
      </c>
      <c r="D111" s="158" t="str">
        <f>TechData_R0!D118</f>
        <v>Imported Imported Oil-High Sulfur, Low G, PADD 4, Step 4</v>
      </c>
      <c r="E111" s="197" t="s">
        <v>196</v>
      </c>
      <c r="F111" s="197" t="s">
        <v>318</v>
      </c>
      <c r="G111" s="181"/>
      <c r="H111" s="158"/>
      <c r="I111" s="158"/>
    </row>
    <row r="112" spans="2:9">
      <c r="B112" s="158" t="s">
        <v>1004</v>
      </c>
      <c r="C112" s="158" t="str">
        <f>TechData_R0!C119</f>
        <v>IMPOILHL45</v>
      </c>
      <c r="D112" s="158" t="str">
        <f>TechData_R0!D119</f>
        <v>Imported Imported Oil-High Sulfur, Low G, PADD 4, Step 5</v>
      </c>
      <c r="E112" s="197" t="s">
        <v>196</v>
      </c>
      <c r="F112" s="197" t="s">
        <v>318</v>
      </c>
      <c r="G112" s="181"/>
      <c r="H112" s="158"/>
      <c r="I112" s="158"/>
    </row>
    <row r="113" spans="2:9">
      <c r="B113" s="158" t="s">
        <v>1004</v>
      </c>
      <c r="C113" s="158" t="str">
        <f>TechData_R0!C120</f>
        <v>IMPOILHV43</v>
      </c>
      <c r="D113" s="158" t="str">
        <f>TechData_R0!D120</f>
        <v>Imported Imported Oil-High Sulfur, Very HG, PADD 4, Step 3</v>
      </c>
      <c r="E113" s="197" t="s">
        <v>196</v>
      </c>
      <c r="F113" s="197" t="s">
        <v>318</v>
      </c>
      <c r="G113" s="181"/>
      <c r="H113" s="158"/>
      <c r="I113" s="158"/>
    </row>
    <row r="114" spans="2:9">
      <c r="B114" s="158" t="s">
        <v>1004</v>
      </c>
      <c r="C114" s="158" t="str">
        <f>TechData_R0!C121</f>
        <v>IMPOILHV41</v>
      </c>
      <c r="D114" s="158" t="str">
        <f>TechData_R0!D121</f>
        <v>Imported Imported Oil-High Sulfur, Very HG, PADD 4, Step 1</v>
      </c>
      <c r="E114" s="197" t="s">
        <v>196</v>
      </c>
      <c r="F114" s="197" t="s">
        <v>318</v>
      </c>
      <c r="G114" s="181"/>
      <c r="H114" s="158"/>
      <c r="I114" s="158"/>
    </row>
    <row r="115" spans="2:9">
      <c r="B115" s="158" t="s">
        <v>1004</v>
      </c>
      <c r="C115" s="158" t="str">
        <f>TechData_R0!C122</f>
        <v>IMPOILHV42</v>
      </c>
      <c r="D115" s="158" t="str">
        <f>TechData_R0!D122</f>
        <v>Imported Imported Oil-High Sulfur, Very HG, PADD 4, Step 2</v>
      </c>
      <c r="E115" s="197" t="s">
        <v>196</v>
      </c>
      <c r="F115" s="197" t="s">
        <v>318</v>
      </c>
      <c r="G115" s="181"/>
      <c r="H115" s="158"/>
      <c r="I115" s="158"/>
    </row>
    <row r="116" spans="2:9">
      <c r="B116" s="158" t="s">
        <v>1004</v>
      </c>
      <c r="C116" s="158" t="str">
        <f>TechData_R0!C123</f>
        <v>IMPOILHV44</v>
      </c>
      <c r="D116" s="158" t="str">
        <f>TechData_R0!D123</f>
        <v>Imported Imported Oil-High Sulfur, Very HG, PADD 4, Step 4</v>
      </c>
      <c r="E116" s="197" t="s">
        <v>196</v>
      </c>
      <c r="F116" s="197" t="s">
        <v>318</v>
      </c>
      <c r="G116" s="181"/>
      <c r="H116" s="158"/>
      <c r="I116" s="158"/>
    </row>
    <row r="117" spans="2:9">
      <c r="B117" s="158" t="s">
        <v>1004</v>
      </c>
      <c r="C117" s="158" t="str">
        <f>TechData_R0!C124</f>
        <v>IMPOILHV45</v>
      </c>
      <c r="D117" s="158" t="str">
        <f>TechData_R0!D124</f>
        <v>Imported Imported Oil-High Sulfur, Very HG, PADD 4, Step 5</v>
      </c>
      <c r="E117" s="197" t="s">
        <v>196</v>
      </c>
      <c r="F117" s="197" t="s">
        <v>318</v>
      </c>
      <c r="G117" s="181"/>
      <c r="H117" s="158"/>
      <c r="I117" s="158"/>
    </row>
    <row r="118" spans="2:9">
      <c r="B118" s="158" t="s">
        <v>1004</v>
      </c>
      <c r="C118" s="158" t="str">
        <f>TechData_R0!C125</f>
        <v>IMPOILLL43</v>
      </c>
      <c r="D118" s="158" t="str">
        <f>TechData_R0!D125</f>
        <v>Imported Imported Oil-Low Sulfur, Low G, PADD 4, Step 3</v>
      </c>
      <c r="E118" s="197" t="s">
        <v>196</v>
      </c>
      <c r="F118" s="197" t="s">
        <v>318</v>
      </c>
      <c r="G118" s="181"/>
      <c r="H118" s="158"/>
      <c r="I118" s="158"/>
    </row>
    <row r="119" spans="2:9">
      <c r="B119" s="158" t="s">
        <v>1004</v>
      </c>
      <c r="C119" s="158" t="str">
        <f>TechData_R0!C126</f>
        <v>IMPOILLL41</v>
      </c>
      <c r="D119" s="158" t="str">
        <f>TechData_R0!D126</f>
        <v>Imported Imported Oil-Low Sulfur, Low G, PADD 4, Step 1</v>
      </c>
      <c r="E119" s="197" t="s">
        <v>196</v>
      </c>
      <c r="F119" s="197" t="s">
        <v>318</v>
      </c>
      <c r="G119" s="181"/>
      <c r="H119" s="158"/>
      <c r="I119" s="158"/>
    </row>
    <row r="120" spans="2:9">
      <c r="B120" s="158" t="s">
        <v>1004</v>
      </c>
      <c r="C120" s="158" t="str">
        <f>TechData_R0!C127</f>
        <v>IMPOILLL42</v>
      </c>
      <c r="D120" s="158" t="str">
        <f>TechData_R0!D127</f>
        <v>Imported Imported Oil-Low Sulfur, Low G, PADD 4, Step 2</v>
      </c>
      <c r="E120" s="197" t="s">
        <v>196</v>
      </c>
      <c r="F120" s="197" t="s">
        <v>318</v>
      </c>
      <c r="G120" s="181"/>
      <c r="H120" s="158"/>
      <c r="I120" s="158"/>
    </row>
    <row r="121" spans="2:9">
      <c r="B121" s="158" t="s">
        <v>1004</v>
      </c>
      <c r="C121" s="158" t="str">
        <f>TechData_R0!C128</f>
        <v>IMPOILLL44</v>
      </c>
      <c r="D121" s="158" t="str">
        <f>TechData_R0!D128</f>
        <v>Imported Imported Oil-Low Sulfur, Low G, PADD 4, Step 4</v>
      </c>
      <c r="E121" s="197" t="s">
        <v>196</v>
      </c>
      <c r="F121" s="197" t="s">
        <v>318</v>
      </c>
      <c r="G121" s="181"/>
      <c r="H121" s="158"/>
      <c r="I121" s="158"/>
    </row>
    <row r="122" spans="2:9">
      <c r="B122" s="158" t="s">
        <v>1004</v>
      </c>
      <c r="C122" s="158" t="str">
        <f>TechData_R0!C129</f>
        <v>IMPOILLL45</v>
      </c>
      <c r="D122" s="158" t="str">
        <f>TechData_R0!D129</f>
        <v>Imported Imported Oil-Low Sulfur, Low G, PADD 4, Step 5</v>
      </c>
      <c r="E122" s="197" t="s">
        <v>196</v>
      </c>
      <c r="F122" s="197" t="s">
        <v>318</v>
      </c>
      <c r="G122" s="181"/>
      <c r="H122" s="158"/>
      <c r="I122" s="158"/>
    </row>
    <row r="123" spans="2:9">
      <c r="B123" s="158" t="s">
        <v>1004</v>
      </c>
      <c r="C123" s="158" t="str">
        <f>TechData_R0!C130</f>
        <v>IMPOILMH43</v>
      </c>
      <c r="D123" s="158" t="str">
        <f>TechData_R0!D130</f>
        <v>Imported Imported Oil-Medium Sulfur, HG, PADD 4, Step 3</v>
      </c>
      <c r="E123" s="197" t="s">
        <v>196</v>
      </c>
      <c r="F123" s="197" t="s">
        <v>318</v>
      </c>
      <c r="G123" s="181"/>
      <c r="H123" s="158"/>
      <c r="I123" s="158"/>
    </row>
    <row r="124" spans="2:9">
      <c r="B124" s="158" t="s">
        <v>1004</v>
      </c>
      <c r="C124" s="158" t="str">
        <f>TechData_R0!C131</f>
        <v>IMPOILMH41</v>
      </c>
      <c r="D124" s="158" t="str">
        <f>TechData_R0!D131</f>
        <v>Imported Imported Oil-Medium Sulfur, HG, PADD 4, Step 1</v>
      </c>
      <c r="E124" s="197" t="s">
        <v>196</v>
      </c>
      <c r="F124" s="197" t="s">
        <v>318</v>
      </c>
      <c r="G124" s="181"/>
      <c r="H124" s="158"/>
      <c r="I124" s="158"/>
    </row>
    <row r="125" spans="2:9">
      <c r="B125" s="158" t="s">
        <v>1004</v>
      </c>
      <c r="C125" s="158" t="str">
        <f>TechData_R0!C132</f>
        <v>IMPOILMH42</v>
      </c>
      <c r="D125" s="158" t="str">
        <f>TechData_R0!D132</f>
        <v>Imported Imported Oil-Medium Sulfur, HG, PADD 4, Step 2</v>
      </c>
      <c r="E125" s="197" t="s">
        <v>196</v>
      </c>
      <c r="F125" s="197" t="s">
        <v>318</v>
      </c>
      <c r="G125" s="181"/>
      <c r="H125" s="158"/>
      <c r="I125" s="158"/>
    </row>
    <row r="126" spans="2:9">
      <c r="B126" s="158" t="s">
        <v>1004</v>
      </c>
      <c r="C126" s="158" t="str">
        <f>TechData_R0!C133</f>
        <v>IMPOILMH44</v>
      </c>
      <c r="D126" s="158" t="str">
        <f>TechData_R0!D133</f>
        <v>Imported Imported Oil-Medium Sulfur, HG, PADD 4, Step 4</v>
      </c>
      <c r="E126" s="197" t="s">
        <v>196</v>
      </c>
      <c r="F126" s="197" t="s">
        <v>318</v>
      </c>
      <c r="G126" s="181"/>
      <c r="H126" s="158"/>
      <c r="I126" s="158"/>
    </row>
    <row r="127" spans="2:9">
      <c r="B127" s="158" t="s">
        <v>1004</v>
      </c>
      <c r="C127" s="158" t="str">
        <f>TechData_R0!C134</f>
        <v>IMPOILMH45</v>
      </c>
      <c r="D127" s="158" t="str">
        <f>TechData_R0!D134</f>
        <v>Imported Imported Oil-Medium Sulfur, HG, PADD 4, Step 5</v>
      </c>
      <c r="E127" s="197" t="s">
        <v>196</v>
      </c>
      <c r="F127" s="197" t="s">
        <v>318</v>
      </c>
      <c r="G127" s="181"/>
      <c r="H127" s="158"/>
      <c r="I127" s="158"/>
    </row>
    <row r="128" spans="2:9">
      <c r="B128" s="158" t="s">
        <v>398</v>
      </c>
      <c r="C128" s="158"/>
      <c r="D128" s="158"/>
      <c r="E128" s="197"/>
      <c r="F128" s="197"/>
      <c r="G128" s="181"/>
      <c r="H128" s="158"/>
      <c r="I128" s="158"/>
    </row>
    <row r="129" spans="2:9">
      <c r="B129" s="158" t="s">
        <v>1004</v>
      </c>
      <c r="C129" s="158" t="str">
        <f>TechData_R0!C136</f>
        <v>IMPOILHH53</v>
      </c>
      <c r="D129" s="158" t="str">
        <f>TechData_R0!D136</f>
        <v>Imported Imported Oil-High Sulfur, Heavy G, PADD 5, Step 3</v>
      </c>
      <c r="E129" s="197" t="s">
        <v>196</v>
      </c>
      <c r="F129" s="197" t="s">
        <v>318</v>
      </c>
      <c r="G129" s="181"/>
      <c r="H129" s="158"/>
      <c r="I129" s="158"/>
    </row>
    <row r="130" spans="2:9">
      <c r="B130" s="158" t="s">
        <v>1004</v>
      </c>
      <c r="C130" s="158" t="str">
        <f>TechData_R0!C137</f>
        <v>IMPOILHH51</v>
      </c>
      <c r="D130" s="158" t="str">
        <f>TechData_R0!D137</f>
        <v>Imported Imported Oil-High Sulfur, Heavy G, PADD 5, Step 1</v>
      </c>
      <c r="E130" s="197" t="s">
        <v>196</v>
      </c>
      <c r="F130" s="197" t="s">
        <v>318</v>
      </c>
      <c r="G130" s="181"/>
      <c r="H130" s="158"/>
      <c r="I130" s="158"/>
    </row>
    <row r="131" spans="2:9">
      <c r="B131" s="158" t="s">
        <v>1004</v>
      </c>
      <c r="C131" s="158" t="str">
        <f>TechData_R0!C138</f>
        <v>IMPOILHH52</v>
      </c>
      <c r="D131" s="158" t="str">
        <f>TechData_R0!D138</f>
        <v>Imported Imported Oil-High Sulfur, Heavy G, PADD 5, Step 2</v>
      </c>
      <c r="E131" s="197" t="s">
        <v>196</v>
      </c>
      <c r="F131" s="197" t="s">
        <v>318</v>
      </c>
      <c r="G131" s="181"/>
      <c r="H131" s="158"/>
      <c r="I131" s="158"/>
    </row>
    <row r="132" spans="2:9">
      <c r="B132" s="158" t="s">
        <v>1004</v>
      </c>
      <c r="C132" s="158" t="str">
        <f>TechData_R0!C139</f>
        <v>IMPOILHH54</v>
      </c>
      <c r="D132" s="158" t="str">
        <f>TechData_R0!D139</f>
        <v>Imported Imported Oil-High Sulfur, Heavy G, PADD 5, Step 4</v>
      </c>
      <c r="E132" s="197" t="s">
        <v>196</v>
      </c>
      <c r="F132" s="197" t="s">
        <v>318</v>
      </c>
      <c r="G132" s="181"/>
      <c r="H132" s="158"/>
      <c r="I132" s="158"/>
    </row>
    <row r="133" spans="2:9">
      <c r="B133" s="158" t="s">
        <v>1004</v>
      </c>
      <c r="C133" s="158" t="str">
        <f>TechData_R0!C140</f>
        <v>IMPOILHH55</v>
      </c>
      <c r="D133" s="158" t="str">
        <f>TechData_R0!D140</f>
        <v>Imported Imported Oil-High Sulfur, Heavy G, PADD 5, Step 5</v>
      </c>
      <c r="E133" s="197" t="s">
        <v>196</v>
      </c>
      <c r="F133" s="197" t="s">
        <v>318</v>
      </c>
      <c r="G133" s="181"/>
      <c r="H133" s="158"/>
      <c r="I133" s="158"/>
    </row>
    <row r="134" spans="2:9">
      <c r="B134" s="158" t="s">
        <v>1004</v>
      </c>
      <c r="C134" s="158" t="str">
        <f>TechData_R0!C141</f>
        <v>IMPOILHL53</v>
      </c>
      <c r="D134" s="158" t="str">
        <f>TechData_R0!D141</f>
        <v>Imported Imported Oil-High Sulfur, Low G, PADD 5, Step 3</v>
      </c>
      <c r="E134" s="197" t="s">
        <v>196</v>
      </c>
      <c r="F134" s="197" t="s">
        <v>318</v>
      </c>
      <c r="G134" s="181"/>
      <c r="H134" s="158"/>
      <c r="I134" s="158"/>
    </row>
    <row r="135" spans="2:9">
      <c r="B135" s="158" t="s">
        <v>1004</v>
      </c>
      <c r="C135" s="158" t="str">
        <f>TechData_R0!C142</f>
        <v>IMPOILHL51</v>
      </c>
      <c r="D135" s="158" t="str">
        <f>TechData_R0!D142</f>
        <v>Imported Imported Oil-High Sulfur, Low G, PADD 5, Step 1</v>
      </c>
      <c r="E135" s="197" t="s">
        <v>196</v>
      </c>
      <c r="F135" s="197" t="s">
        <v>318</v>
      </c>
      <c r="G135" s="181"/>
      <c r="H135" s="158"/>
      <c r="I135" s="158"/>
    </row>
    <row r="136" spans="2:9">
      <c r="B136" s="158" t="s">
        <v>1004</v>
      </c>
      <c r="C136" s="158" t="str">
        <f>TechData_R0!C143</f>
        <v>IMPOILHL52</v>
      </c>
      <c r="D136" s="158" t="str">
        <f>TechData_R0!D143</f>
        <v>Imported Imported Oil-High Sulfur, Low G, PADD 5, Step 2</v>
      </c>
      <c r="E136" s="197" t="s">
        <v>196</v>
      </c>
      <c r="F136" s="197" t="s">
        <v>318</v>
      </c>
      <c r="G136" s="181"/>
      <c r="H136" s="158"/>
      <c r="I136" s="158"/>
    </row>
    <row r="137" spans="2:9">
      <c r="B137" s="158" t="s">
        <v>1004</v>
      </c>
      <c r="C137" s="158" t="str">
        <f>TechData_R0!C144</f>
        <v>IMPOILHL54</v>
      </c>
      <c r="D137" s="158" t="str">
        <f>TechData_R0!D144</f>
        <v>Imported Imported Oil-High Sulfur, Low G, PADD 5, Step 4</v>
      </c>
      <c r="E137" s="197" t="s">
        <v>196</v>
      </c>
      <c r="F137" s="197" t="s">
        <v>318</v>
      </c>
      <c r="G137" s="181"/>
      <c r="H137" s="158"/>
      <c r="I137" s="158"/>
    </row>
    <row r="138" spans="2:9">
      <c r="B138" s="158" t="s">
        <v>1004</v>
      </c>
      <c r="C138" s="158" t="str">
        <f>TechData_R0!C145</f>
        <v>IMPOILHL55</v>
      </c>
      <c r="D138" s="158" t="str">
        <f>TechData_R0!D145</f>
        <v>Imported Imported Oil-High Sulfur, Low G, PADD 5, Step 5</v>
      </c>
      <c r="E138" s="197" t="s">
        <v>196</v>
      </c>
      <c r="F138" s="197" t="s">
        <v>318</v>
      </c>
      <c r="G138" s="181"/>
      <c r="H138" s="158"/>
      <c r="I138" s="158"/>
    </row>
    <row r="139" spans="2:9">
      <c r="B139" s="158" t="s">
        <v>1004</v>
      </c>
      <c r="C139" s="158" t="str">
        <f>TechData_R0!C146</f>
        <v>IMPOILHV53</v>
      </c>
      <c r="D139" s="158" t="str">
        <f>TechData_R0!D146</f>
        <v>Imported Imported Oil-High Sulfur, Very HG, PADD 5, Step 3</v>
      </c>
      <c r="E139" s="197" t="s">
        <v>196</v>
      </c>
      <c r="F139" s="197" t="s">
        <v>318</v>
      </c>
      <c r="G139" s="181"/>
      <c r="H139" s="158"/>
      <c r="I139" s="158"/>
    </row>
    <row r="140" spans="2:9">
      <c r="B140" s="158" t="s">
        <v>1004</v>
      </c>
      <c r="C140" s="158" t="str">
        <f>TechData_R0!C147</f>
        <v>IMPOILHV51</v>
      </c>
      <c r="D140" s="158" t="str">
        <f>TechData_R0!D147</f>
        <v>Imported Imported Oil-High Sulfur, Very HG, PADD 5, Step 1</v>
      </c>
      <c r="E140" s="197" t="s">
        <v>196</v>
      </c>
      <c r="F140" s="197" t="s">
        <v>318</v>
      </c>
      <c r="G140" s="181"/>
      <c r="H140" s="158"/>
      <c r="I140" s="158"/>
    </row>
    <row r="141" spans="2:9">
      <c r="B141" s="158" t="s">
        <v>1004</v>
      </c>
      <c r="C141" s="158" t="str">
        <f>TechData_R0!C148</f>
        <v>IMPOILHV52</v>
      </c>
      <c r="D141" s="158" t="str">
        <f>TechData_R0!D148</f>
        <v>Imported Imported Oil-High Sulfur, Very HG, PADD 5, Step 2</v>
      </c>
      <c r="E141" s="197" t="s">
        <v>196</v>
      </c>
      <c r="F141" s="197" t="s">
        <v>318</v>
      </c>
      <c r="G141" s="181"/>
      <c r="H141" s="158"/>
      <c r="I141" s="158"/>
    </row>
    <row r="142" spans="2:9">
      <c r="B142" s="158" t="s">
        <v>1004</v>
      </c>
      <c r="C142" s="158" t="str">
        <f>TechData_R0!C149</f>
        <v>IMPOILHV54</v>
      </c>
      <c r="D142" s="158" t="str">
        <f>TechData_R0!D149</f>
        <v>Imported Imported Oil-High Sulfur, Very HG, PADD 5, Step 4</v>
      </c>
      <c r="E142" s="197" t="s">
        <v>196</v>
      </c>
      <c r="F142" s="197" t="s">
        <v>318</v>
      </c>
      <c r="G142" s="181"/>
      <c r="H142" s="158"/>
      <c r="I142" s="158"/>
    </row>
    <row r="143" spans="2:9">
      <c r="B143" s="158" t="s">
        <v>1004</v>
      </c>
      <c r="C143" s="158" t="str">
        <f>TechData_R0!C150</f>
        <v>IMPOILHV55</v>
      </c>
      <c r="D143" s="158" t="str">
        <f>TechData_R0!D150</f>
        <v>Imported Imported Oil-High Sulfur, Very HG, PADD 5, Step 5</v>
      </c>
      <c r="E143" s="197" t="s">
        <v>196</v>
      </c>
      <c r="F143" s="197" t="s">
        <v>318</v>
      </c>
      <c r="G143" s="181"/>
      <c r="H143" s="158"/>
      <c r="I143" s="158"/>
    </row>
    <row r="144" spans="2:9">
      <c r="B144" s="158" t="s">
        <v>1004</v>
      </c>
      <c r="C144" s="158" t="str">
        <f>TechData_R0!C151</f>
        <v>IMPOILLL53</v>
      </c>
      <c r="D144" s="158" t="str">
        <f>TechData_R0!D151</f>
        <v>Imported Imported Oil-Low Sulfur, Low G, PADD 5, Step 3</v>
      </c>
      <c r="E144" s="197" t="s">
        <v>196</v>
      </c>
      <c r="F144" s="197" t="s">
        <v>318</v>
      </c>
      <c r="G144" s="181"/>
      <c r="H144" s="158"/>
      <c r="I144" s="158"/>
    </row>
    <row r="145" spans="2:9">
      <c r="B145" s="158" t="s">
        <v>1004</v>
      </c>
      <c r="C145" s="158" t="str">
        <f>TechData_R0!C152</f>
        <v>IMPOILLL51</v>
      </c>
      <c r="D145" s="158" t="str">
        <f>TechData_R0!D152</f>
        <v>Imported Imported Oil-Low Sulfur, Low G, PADD 5, Step 1</v>
      </c>
      <c r="E145" s="197" t="s">
        <v>196</v>
      </c>
      <c r="F145" s="197" t="s">
        <v>318</v>
      </c>
      <c r="G145" s="181"/>
      <c r="H145" s="158"/>
      <c r="I145" s="158"/>
    </row>
    <row r="146" spans="2:9">
      <c r="B146" s="158" t="s">
        <v>1004</v>
      </c>
      <c r="C146" s="158" t="str">
        <f>TechData_R0!C153</f>
        <v>IMPOILLL52</v>
      </c>
      <c r="D146" s="158" t="str">
        <f>TechData_R0!D153</f>
        <v>Imported Imported Oil-Low Sulfur, Low G, PADD 5, Step 2</v>
      </c>
      <c r="E146" s="197" t="s">
        <v>196</v>
      </c>
      <c r="F146" s="197" t="s">
        <v>318</v>
      </c>
      <c r="G146" s="181"/>
      <c r="H146" s="158"/>
      <c r="I146" s="158"/>
    </row>
    <row r="147" spans="2:9">
      <c r="B147" s="158" t="s">
        <v>1004</v>
      </c>
      <c r="C147" s="158" t="str">
        <f>TechData_R0!C154</f>
        <v>IMPOILLL54</v>
      </c>
      <c r="D147" s="158" t="str">
        <f>TechData_R0!D154</f>
        <v>Imported Imported Oil-Low Sulfur, Low G, PADD 5, Step 4</v>
      </c>
      <c r="E147" s="197" t="s">
        <v>196</v>
      </c>
      <c r="F147" s="197" t="s">
        <v>318</v>
      </c>
      <c r="G147" s="181"/>
      <c r="H147" s="158"/>
      <c r="I147" s="158"/>
    </row>
    <row r="148" spans="2:9">
      <c r="B148" s="158" t="s">
        <v>1004</v>
      </c>
      <c r="C148" s="158" t="str">
        <f>TechData_R0!C155</f>
        <v>IMPOILLL55</v>
      </c>
      <c r="D148" s="158" t="str">
        <f>TechData_R0!D155</f>
        <v>Imported Imported Oil-Low Sulfur, Low G, PADD 5, Step 5</v>
      </c>
      <c r="E148" s="197" t="s">
        <v>196</v>
      </c>
      <c r="F148" s="197" t="s">
        <v>318</v>
      </c>
      <c r="G148" s="181"/>
      <c r="H148" s="158"/>
      <c r="I148" s="158"/>
    </row>
    <row r="149" spans="2:9">
      <c r="B149" s="158" t="s">
        <v>1004</v>
      </c>
      <c r="C149" s="158" t="str">
        <f>TechData_R0!C156</f>
        <v>IMPOILMH53</v>
      </c>
      <c r="D149" s="158" t="str">
        <f>TechData_R0!D156</f>
        <v>Imported Imported Oil-Medium Sulfur, HG, PADD 5, Step 3</v>
      </c>
      <c r="E149" s="197" t="s">
        <v>196</v>
      </c>
      <c r="F149" s="197" t="s">
        <v>318</v>
      </c>
      <c r="G149" s="181"/>
      <c r="H149" s="158"/>
      <c r="I149" s="158"/>
    </row>
    <row r="150" spans="2:9">
      <c r="B150" s="158" t="s">
        <v>1004</v>
      </c>
      <c r="C150" s="158" t="str">
        <f>TechData_R0!C157</f>
        <v>IMPOILMH51</v>
      </c>
      <c r="D150" s="158" t="str">
        <f>TechData_R0!D157</f>
        <v>Imported Imported Oil-Medium Sulfur, HG, PADD 5, Step 1</v>
      </c>
      <c r="E150" s="197" t="s">
        <v>196</v>
      </c>
      <c r="F150" s="197" t="s">
        <v>318</v>
      </c>
      <c r="G150" s="181"/>
      <c r="H150" s="158"/>
      <c r="I150" s="158"/>
    </row>
    <row r="151" spans="2:9">
      <c r="B151" s="158" t="s">
        <v>1004</v>
      </c>
      <c r="C151" s="158" t="str">
        <f>TechData_R0!C158</f>
        <v>IMPOILMH52</v>
      </c>
      <c r="D151" s="158" t="str">
        <f>TechData_R0!D158</f>
        <v>Imported Imported Oil-Medium Sulfur, HG, PADD 5, Step 2</v>
      </c>
      <c r="E151" s="197" t="s">
        <v>196</v>
      </c>
      <c r="F151" s="197" t="s">
        <v>318</v>
      </c>
      <c r="G151" s="181"/>
      <c r="H151" s="158"/>
      <c r="I151" s="158"/>
    </row>
    <row r="152" spans="2:9">
      <c r="B152" s="158" t="s">
        <v>1004</v>
      </c>
      <c r="C152" s="158" t="str">
        <f>TechData_R0!C159</f>
        <v>IMPOILMH54</v>
      </c>
      <c r="D152" s="158" t="str">
        <f>TechData_R0!D159</f>
        <v>Imported Imported Oil-Medium Sulfur, HG, PADD 5, Step 4</v>
      </c>
      <c r="E152" s="197" t="s">
        <v>196</v>
      </c>
      <c r="F152" s="197" t="s">
        <v>318</v>
      </c>
      <c r="G152" s="181"/>
      <c r="H152" s="158"/>
      <c r="I152" s="158"/>
    </row>
    <row r="153" spans="2:9">
      <c r="B153" s="158" t="s">
        <v>1004</v>
      </c>
      <c r="C153" s="158" t="str">
        <f>TechData_R0!C160</f>
        <v>IMPOILMH55</v>
      </c>
      <c r="D153" s="158" t="str">
        <f>TechData_R0!D160</f>
        <v>Imported Imported Oil-Medium Sulfur, HG, PADD 5, Step 5</v>
      </c>
      <c r="E153" s="197" t="s">
        <v>196</v>
      </c>
      <c r="F153" s="197" t="s">
        <v>318</v>
      </c>
      <c r="G153" s="181"/>
      <c r="H153" s="158"/>
      <c r="I153" s="158"/>
    </row>
    <row r="154" spans="2:9">
      <c r="B154" s="154" t="s">
        <v>337</v>
      </c>
      <c r="C154" s="160"/>
      <c r="D154" s="160"/>
      <c r="E154" s="196"/>
      <c r="F154" s="196"/>
      <c r="G154" s="154"/>
      <c r="H154" s="160"/>
      <c r="I154" s="160"/>
    </row>
    <row r="155" spans="2:9">
      <c r="B155" s="158" t="str">
        <f>IF(LEFT(Commodities!B17,1)="*","*R1","R1")</f>
        <v>R1</v>
      </c>
      <c r="C155" s="158" t="str">
        <f>CONCATENATE("X",Commodities!C22)</f>
        <v>XOILHH1</v>
      </c>
      <c r="D155" s="158" t="str">
        <f>CONCATENATE("Convert ",Commodities!C22," to OILIP",RIGHT(Commodities!C22))</f>
        <v>Convert OILHH1 to OILIP1</v>
      </c>
      <c r="E155" s="197" t="s">
        <v>196</v>
      </c>
      <c r="F155" s="197" t="s">
        <v>318</v>
      </c>
      <c r="G155" s="181" t="s">
        <v>1153</v>
      </c>
      <c r="H155" s="158"/>
      <c r="I155" s="158"/>
    </row>
    <row r="156" spans="2:9">
      <c r="B156" s="158" t="str">
        <f>IF(LEFT(Commodities!B18,1)="*","*R1","R1")</f>
        <v>R1</v>
      </c>
      <c r="C156" s="158" t="str">
        <f>CONCATENATE("X",Commodities!C23)</f>
        <v>XOILHH2</v>
      </c>
      <c r="D156" s="158" t="str">
        <f>CONCATENATE("Convert ",Commodities!C23," to OILIP",RIGHT(Commodities!C23))</f>
        <v>Convert OILHH2 to OILIP2</v>
      </c>
      <c r="E156" s="197" t="s">
        <v>196</v>
      </c>
      <c r="F156" s="197" t="s">
        <v>318</v>
      </c>
      <c r="G156" s="181"/>
      <c r="H156" s="158"/>
      <c r="I156" s="158"/>
    </row>
    <row r="157" spans="2:9">
      <c r="B157" s="158" t="str">
        <f>IF(LEFT(Commodities!B19,1)="*","*R1","R1")</f>
        <v>R1</v>
      </c>
      <c r="C157" s="158" t="str">
        <f>CONCATENATE("X",Commodities!C24)</f>
        <v>XOILHH3</v>
      </c>
      <c r="D157" s="158" t="str">
        <f>CONCATENATE("Convert ",Commodities!C24," to OILIP",RIGHT(Commodities!C24))</f>
        <v>Convert OILHH3 to OILIP3</v>
      </c>
      <c r="E157" s="197" t="s">
        <v>196</v>
      </c>
      <c r="F157" s="197" t="s">
        <v>318</v>
      </c>
      <c r="G157" s="181"/>
      <c r="H157" s="158"/>
      <c r="I157" s="158"/>
    </row>
    <row r="158" spans="2:9">
      <c r="B158" s="158" t="s">
        <v>398</v>
      </c>
      <c r="C158" s="158" t="str">
        <f>CONCATENATE("X",Commodities!C25)</f>
        <v>XOILHH4</v>
      </c>
      <c r="D158" s="158" t="str">
        <f>CONCATENATE("Convert ",Commodities!C25," to OILIP",RIGHT(Commodities!C25))</f>
        <v>Convert OILHH4 to OILIP4</v>
      </c>
      <c r="E158" s="197" t="s">
        <v>196</v>
      </c>
      <c r="F158" s="197" t="s">
        <v>318</v>
      </c>
      <c r="G158" s="181"/>
      <c r="H158" s="158"/>
      <c r="I158" s="158"/>
    </row>
    <row r="159" spans="2:9">
      <c r="B159" s="158" t="s">
        <v>398</v>
      </c>
      <c r="C159" s="158" t="str">
        <f>CONCATENATE("X",Commodities!C26)</f>
        <v>XOILHH5</v>
      </c>
      <c r="D159" s="158" t="str">
        <f>CONCATENATE("Convert ",Commodities!C26," to OILIP",RIGHT(Commodities!C26))</f>
        <v>Convert OILHH5 to OILIP5</v>
      </c>
      <c r="E159" s="197" t="s">
        <v>196</v>
      </c>
      <c r="F159" s="197" t="s">
        <v>318</v>
      </c>
      <c r="G159" s="181"/>
      <c r="H159" s="158"/>
      <c r="I159" s="158"/>
    </row>
    <row r="160" spans="2:9">
      <c r="B160" s="158" t="str">
        <f>IF(LEFT(Commodities!B22,1)="*","*R1","R1")</f>
        <v>R1</v>
      </c>
      <c r="C160" s="158" t="str">
        <f>CONCATENATE("X",Commodities!C27)</f>
        <v>XOILHL1</v>
      </c>
      <c r="D160" s="158" t="str">
        <f>CONCATENATE("Convert ",Commodities!C27," to OILIP",RIGHT(Commodities!C27))</f>
        <v>Convert OILHL1 to OILIP1</v>
      </c>
      <c r="E160" s="197" t="s">
        <v>196</v>
      </c>
      <c r="F160" s="197" t="s">
        <v>318</v>
      </c>
      <c r="G160" s="181"/>
      <c r="H160" s="158"/>
      <c r="I160" s="158"/>
    </row>
    <row r="161" spans="2:9">
      <c r="B161" s="158" t="str">
        <f>IF(LEFT(Commodities!B23,1)="*","*R1","R1")</f>
        <v>R1</v>
      </c>
      <c r="C161" s="158" t="str">
        <f>CONCATENATE("X",Commodities!C28)</f>
        <v>XOILHL2</v>
      </c>
      <c r="D161" s="158" t="str">
        <f>CONCATENATE("Convert ",Commodities!C28," to OILIP",RIGHT(Commodities!C28))</f>
        <v>Convert OILHL2 to OILIP2</v>
      </c>
      <c r="E161" s="197" t="s">
        <v>196</v>
      </c>
      <c r="F161" s="197" t="s">
        <v>318</v>
      </c>
      <c r="G161" s="181"/>
      <c r="H161" s="158"/>
      <c r="I161" s="158"/>
    </row>
    <row r="162" spans="2:9">
      <c r="B162" s="158" t="str">
        <f>IF(LEFT(Commodities!B24,1)="*","*R1","R1")</f>
        <v>R1</v>
      </c>
      <c r="C162" s="158" t="str">
        <f>CONCATENATE("X",Commodities!C29)</f>
        <v>XOILHL3</v>
      </c>
      <c r="D162" s="158" t="str">
        <f>CONCATENATE("Convert ",Commodities!C29," to OILIP",RIGHT(Commodities!C29))</f>
        <v>Convert OILHL3 to OILIP3</v>
      </c>
      <c r="E162" s="197" t="s">
        <v>196</v>
      </c>
      <c r="F162" s="197" t="s">
        <v>318</v>
      </c>
      <c r="G162" s="181"/>
      <c r="H162" s="158"/>
      <c r="I162" s="158"/>
    </row>
    <row r="163" spans="2:9">
      <c r="B163" s="158" t="s">
        <v>398</v>
      </c>
      <c r="C163" s="158" t="str">
        <f>CONCATENATE("X",Commodities!C30)</f>
        <v>XOILHL4</v>
      </c>
      <c r="D163" s="158" t="str">
        <f>CONCATENATE("Convert ",Commodities!C30," to OILIP",RIGHT(Commodities!C30))</f>
        <v>Convert OILHL4 to OILIP4</v>
      </c>
      <c r="E163" s="197" t="s">
        <v>196</v>
      </c>
      <c r="F163" s="197" t="s">
        <v>318</v>
      </c>
      <c r="G163" s="181"/>
      <c r="H163" s="158"/>
      <c r="I163" s="158"/>
    </row>
    <row r="164" spans="2:9">
      <c r="B164" s="158" t="s">
        <v>398</v>
      </c>
      <c r="C164" s="158" t="str">
        <f>CONCATENATE("X",Commodities!C31)</f>
        <v>XOILHL5</v>
      </c>
      <c r="D164" s="158" t="str">
        <f>CONCATENATE("Convert ",Commodities!C31," to OILIP",RIGHT(Commodities!C31))</f>
        <v>Convert OILHL5 to OILIP5</v>
      </c>
      <c r="E164" s="197" t="s">
        <v>196</v>
      </c>
      <c r="F164" s="197" t="s">
        <v>318</v>
      </c>
      <c r="G164" s="181"/>
      <c r="H164" s="158"/>
      <c r="I164" s="158"/>
    </row>
    <row r="165" spans="2:9">
      <c r="B165" s="158" t="str">
        <f>IF(LEFT(Commodities!B27,1)="*","*R1","R1")</f>
        <v>R1</v>
      </c>
      <c r="C165" s="158" t="str">
        <f>CONCATENATE("X",Commodities!C32)</f>
        <v>XOILHV1</v>
      </c>
      <c r="D165" s="158" t="str">
        <f>CONCATENATE("Convert ",Commodities!C32," to OILIP",RIGHT(Commodities!C32))</f>
        <v>Convert OILHV1 to OILIP1</v>
      </c>
      <c r="E165" s="197" t="s">
        <v>196</v>
      </c>
      <c r="F165" s="197" t="s">
        <v>318</v>
      </c>
      <c r="G165" s="181"/>
      <c r="H165" s="158"/>
      <c r="I165" s="158"/>
    </row>
    <row r="166" spans="2:9">
      <c r="B166" s="158" t="str">
        <f>IF(LEFT(Commodities!B28,1)="*","*R1","R1")</f>
        <v>R1</v>
      </c>
      <c r="C166" s="158" t="str">
        <f>CONCATENATE("X",Commodities!C33)</f>
        <v>XOILHV2</v>
      </c>
      <c r="D166" s="158" t="str">
        <f>CONCATENATE("Convert ",Commodities!C33," to OILIP",RIGHT(Commodities!C33))</f>
        <v>Convert OILHV2 to OILIP2</v>
      </c>
      <c r="E166" s="197" t="s">
        <v>196</v>
      </c>
      <c r="F166" s="197" t="s">
        <v>318</v>
      </c>
      <c r="G166" s="181"/>
      <c r="H166" s="158"/>
      <c r="I166" s="158"/>
    </row>
    <row r="167" spans="2:9">
      <c r="B167" s="158" t="str">
        <f>IF(LEFT(Commodities!B29,1)="*","*R1","R1")</f>
        <v>R1</v>
      </c>
      <c r="C167" s="158" t="str">
        <f>CONCATENATE("X",Commodities!C34)</f>
        <v>XOILHV3</v>
      </c>
      <c r="D167" s="158" t="str">
        <f>CONCATENATE("Convert ",Commodities!C34," to OILIP",RIGHT(Commodities!C34))</f>
        <v>Convert OILHV3 to OILIP3</v>
      </c>
      <c r="E167" s="197" t="s">
        <v>196</v>
      </c>
      <c r="F167" s="197" t="s">
        <v>318</v>
      </c>
      <c r="G167" s="181"/>
      <c r="H167" s="158"/>
      <c r="I167" s="158"/>
    </row>
    <row r="168" spans="2:9">
      <c r="B168" s="158" t="s">
        <v>398</v>
      </c>
      <c r="C168" s="158" t="str">
        <f>CONCATENATE("X",Commodities!C35)</f>
        <v>XOILHV4</v>
      </c>
      <c r="D168" s="158" t="str">
        <f>CONCATENATE("Convert ",Commodities!C35," to OILIP",RIGHT(Commodities!C35))</f>
        <v>Convert OILHV4 to OILIP4</v>
      </c>
      <c r="E168" s="197" t="s">
        <v>196</v>
      </c>
      <c r="F168" s="197" t="s">
        <v>318</v>
      </c>
      <c r="G168" s="181"/>
      <c r="H168" s="158"/>
      <c r="I168" s="158"/>
    </row>
    <row r="169" spans="2:9">
      <c r="B169" s="158" t="s">
        <v>398</v>
      </c>
      <c r="C169" s="158" t="str">
        <f>CONCATENATE("X",Commodities!C36)</f>
        <v>XOILHV5</v>
      </c>
      <c r="D169" s="158" t="str">
        <f>CONCATENATE("Convert ",Commodities!C36," to OILIP",RIGHT(Commodities!C36))</f>
        <v>Convert OILHV5 to OILIP5</v>
      </c>
      <c r="E169" s="197" t="s">
        <v>196</v>
      </c>
      <c r="F169" s="197" t="s">
        <v>318</v>
      </c>
      <c r="G169" s="181"/>
      <c r="H169" s="158"/>
      <c r="I169" s="158"/>
    </row>
    <row r="170" spans="2:9">
      <c r="B170" s="158" t="str">
        <f>IF(LEFT(Commodities!B32,1)="*","*R1","R1")</f>
        <v>R1</v>
      </c>
      <c r="C170" s="158" t="str">
        <f>CONCATENATE("X",Commodities!C37)</f>
        <v>XOILLL1</v>
      </c>
      <c r="D170" s="158" t="str">
        <f>CONCATENATE("Convert ",Commodities!C37," to OILIP",RIGHT(Commodities!C37))</f>
        <v>Convert OILLL1 to OILIP1</v>
      </c>
      <c r="E170" s="197" t="s">
        <v>196</v>
      </c>
      <c r="F170" s="197" t="s">
        <v>318</v>
      </c>
      <c r="G170" s="181"/>
      <c r="H170" s="158"/>
      <c r="I170" s="158"/>
    </row>
    <row r="171" spans="2:9">
      <c r="B171" s="158" t="str">
        <f>IF(LEFT(Commodities!B33,1)="*","*R1","R1")</f>
        <v>R1</v>
      </c>
      <c r="C171" s="158" t="str">
        <f>CONCATENATE("X",Commodities!C38)</f>
        <v>XOILLL2</v>
      </c>
      <c r="D171" s="158" t="str">
        <f>CONCATENATE("Convert ",Commodities!C38," to OILIP",RIGHT(Commodities!C38))</f>
        <v>Convert OILLL2 to OILIP2</v>
      </c>
      <c r="E171" s="197" t="s">
        <v>196</v>
      </c>
      <c r="F171" s="197" t="s">
        <v>318</v>
      </c>
      <c r="G171" s="181"/>
      <c r="H171" s="158"/>
      <c r="I171" s="158"/>
    </row>
    <row r="172" spans="2:9">
      <c r="B172" s="158" t="str">
        <f>IF(LEFT(Commodities!B34,1)="*","*R1","R1")</f>
        <v>R1</v>
      </c>
      <c r="C172" s="158" t="str">
        <f>CONCATENATE("X",Commodities!C39)</f>
        <v>XOILLL3</v>
      </c>
      <c r="D172" s="158" t="str">
        <f>CONCATENATE("Convert ",Commodities!C39," to OILIP",RIGHT(Commodities!C39))</f>
        <v>Convert OILLL3 to OILIP3</v>
      </c>
      <c r="E172" s="197" t="s">
        <v>196</v>
      </c>
      <c r="F172" s="197" t="s">
        <v>318</v>
      </c>
      <c r="G172" s="181"/>
      <c r="H172" s="158"/>
      <c r="I172" s="158"/>
    </row>
    <row r="173" spans="2:9">
      <c r="B173" s="158" t="s">
        <v>398</v>
      </c>
      <c r="C173" s="158" t="str">
        <f>CONCATENATE("X",Commodities!C40)</f>
        <v>XOILLL4</v>
      </c>
      <c r="D173" s="158" t="str">
        <f>CONCATENATE("Convert ",Commodities!C40," to OILIP",RIGHT(Commodities!C40))</f>
        <v>Convert OILLL4 to OILIP4</v>
      </c>
      <c r="E173" s="197" t="s">
        <v>196</v>
      </c>
      <c r="F173" s="197" t="s">
        <v>318</v>
      </c>
      <c r="G173" s="181"/>
      <c r="H173" s="158"/>
      <c r="I173" s="158"/>
    </row>
    <row r="174" spans="2:9">
      <c r="B174" s="158" t="s">
        <v>398</v>
      </c>
      <c r="C174" s="158" t="str">
        <f>CONCATENATE("X",Commodities!C41)</f>
        <v>XOILLL5</v>
      </c>
      <c r="D174" s="158" t="str">
        <f>CONCATENATE("Convert ",Commodities!C41," to OILIP",RIGHT(Commodities!C41))</f>
        <v>Convert OILLL5 to OILIP5</v>
      </c>
      <c r="E174" s="197" t="s">
        <v>196</v>
      </c>
      <c r="F174" s="197" t="s">
        <v>318</v>
      </c>
      <c r="G174" s="181"/>
      <c r="H174" s="158"/>
      <c r="I174" s="158"/>
    </row>
    <row r="175" spans="2:9">
      <c r="B175" s="158" t="str">
        <f>IF(LEFT(Commodities!B37,1)="*","*R1","R1")</f>
        <v>R1</v>
      </c>
      <c r="C175" s="158" t="str">
        <f>CONCATENATE("X",Commodities!C42)</f>
        <v>XOILMH1</v>
      </c>
      <c r="D175" s="158" t="str">
        <f>CONCATENATE("Convert ",Commodities!C42," to OILIP",RIGHT(Commodities!C42))</f>
        <v>Convert OILMH1 to OILIP1</v>
      </c>
      <c r="E175" s="197" t="s">
        <v>196</v>
      </c>
      <c r="F175" s="197" t="s">
        <v>318</v>
      </c>
      <c r="G175" s="181"/>
      <c r="H175" s="158"/>
      <c r="I175" s="158"/>
    </row>
    <row r="176" spans="2:9">
      <c r="B176" s="158" t="str">
        <f>IF(LEFT(Commodities!B38,1)="*","*R1","R1")</f>
        <v>R1</v>
      </c>
      <c r="C176" s="158" t="str">
        <f>CONCATENATE("X",Commodities!C43)</f>
        <v>XOILMH2</v>
      </c>
      <c r="D176" s="158" t="str">
        <f>CONCATENATE("Convert ",Commodities!C43," to OILIP",RIGHT(Commodities!C43))</f>
        <v>Convert OILMH2 to OILIP2</v>
      </c>
      <c r="E176" s="197" t="s">
        <v>196</v>
      </c>
      <c r="F176" s="197" t="s">
        <v>318</v>
      </c>
      <c r="G176" s="181"/>
      <c r="H176" s="158"/>
      <c r="I176" s="158"/>
    </row>
    <row r="177" spans="2:9">
      <c r="B177" s="158" t="str">
        <f>IF(LEFT(Commodities!B39,1)="*","*R1","R1")</f>
        <v>R1</v>
      </c>
      <c r="C177" s="158" t="str">
        <f>CONCATENATE("X",Commodities!C44)</f>
        <v>XOILMH3</v>
      </c>
      <c r="D177" s="158" t="str">
        <f>CONCATENATE("Convert ",Commodities!C44," to OILIP",RIGHT(Commodities!C44))</f>
        <v>Convert OILMH3 to OILIP3</v>
      </c>
      <c r="E177" s="197" t="s">
        <v>196</v>
      </c>
      <c r="F177" s="197" t="s">
        <v>318</v>
      </c>
      <c r="G177" s="181"/>
      <c r="H177" s="158"/>
      <c r="I177" s="158"/>
    </row>
    <row r="178" spans="2:9">
      <c r="B178" s="158" t="s">
        <v>398</v>
      </c>
      <c r="C178" s="158" t="str">
        <f>CONCATENATE("X",Commodities!C45)</f>
        <v>XOILMH4</v>
      </c>
      <c r="D178" s="158" t="str">
        <f>CONCATENATE("Convert ",Commodities!C45," to OILIP",RIGHT(Commodities!C45))</f>
        <v>Convert OILMH4 to OILIP4</v>
      </c>
      <c r="E178" s="197" t="s">
        <v>196</v>
      </c>
      <c r="F178" s="197" t="s">
        <v>318</v>
      </c>
      <c r="G178" s="181"/>
      <c r="H178" s="158"/>
      <c r="I178" s="158"/>
    </row>
    <row r="179" spans="2:9">
      <c r="B179" s="158" t="s">
        <v>398</v>
      </c>
      <c r="C179" s="158" t="str">
        <f>CONCATENATE("X",Commodities!C46)</f>
        <v>XOILMH5</v>
      </c>
      <c r="D179" s="158" t="str">
        <f>CONCATENATE("Convert ",Commodities!C46," to OILIP",RIGHT(Commodities!C46))</f>
        <v>Convert OILMH5 to OILIP5</v>
      </c>
      <c r="E179" s="197" t="s">
        <v>196</v>
      </c>
      <c r="F179" s="197" t="s">
        <v>318</v>
      </c>
      <c r="G179" s="181"/>
      <c r="H179" s="158"/>
      <c r="I179" s="158"/>
    </row>
    <row r="180" spans="2:9">
      <c r="B180" s="154" t="s">
        <v>340</v>
      </c>
      <c r="C180" s="160"/>
      <c r="D180" s="160"/>
      <c r="E180" s="196"/>
      <c r="F180" s="196"/>
      <c r="G180" s="154"/>
      <c r="H180" s="160"/>
      <c r="I180" s="160"/>
    </row>
    <row r="181" spans="2:9">
      <c r="B181" s="158" t="str">
        <f>IF(LEFT(Commodities!B17,1)="*","*",Commodities!B17)</f>
        <v>R1</v>
      </c>
      <c r="C181" s="158" t="str">
        <f>CONCATENATE("X",Commodities!C17)</f>
        <v>XOILIP1</v>
      </c>
      <c r="D181" s="158" t="s">
        <v>341</v>
      </c>
      <c r="E181" s="197" t="s">
        <v>196</v>
      </c>
      <c r="F181" s="197" t="s">
        <v>318</v>
      </c>
      <c r="G181" s="181" t="s">
        <v>1153</v>
      </c>
      <c r="H181" s="158"/>
      <c r="I181" s="158"/>
    </row>
    <row r="182" spans="2:9">
      <c r="B182" s="158" t="str">
        <f>IF(LEFT(Commodities!B18,1)="*","*",Commodities!B18)</f>
        <v>R1</v>
      </c>
      <c r="C182" s="158" t="str">
        <f>CONCATENATE("X",Commodities!C18)</f>
        <v>XOILIP2</v>
      </c>
      <c r="D182" s="158" t="s">
        <v>342</v>
      </c>
      <c r="E182" s="197" t="s">
        <v>196</v>
      </c>
      <c r="F182" s="197" t="s">
        <v>318</v>
      </c>
      <c r="G182" s="181"/>
      <c r="H182" s="158"/>
      <c r="I182" s="158"/>
    </row>
    <row r="183" spans="2:9">
      <c r="B183" s="158" t="str">
        <f>IF(LEFT(Commodities!B19,1)="*","*",Commodities!B19)</f>
        <v>R1</v>
      </c>
      <c r="C183" s="158" t="str">
        <f>CONCATENATE("X",Commodities!C19)</f>
        <v>XOILIP3</v>
      </c>
      <c r="D183" s="158" t="s">
        <v>343</v>
      </c>
      <c r="E183" s="197" t="s">
        <v>196</v>
      </c>
      <c r="F183" s="197" t="s">
        <v>318</v>
      </c>
      <c r="G183" s="181"/>
      <c r="H183" s="158"/>
      <c r="I183" s="158"/>
    </row>
    <row r="184" spans="2:9">
      <c r="B184" s="158" t="str">
        <f>IF(LEFT(Commodities!B20,1)="*","*",Commodities!B20)</f>
        <v>*</v>
      </c>
      <c r="C184" s="158" t="str">
        <f>CONCATENATE("X",Commodities!C20)</f>
        <v>XOILIP4</v>
      </c>
      <c r="D184" s="158" t="s">
        <v>344</v>
      </c>
      <c r="E184" s="197" t="s">
        <v>196</v>
      </c>
      <c r="F184" s="197" t="s">
        <v>318</v>
      </c>
      <c r="G184" s="181"/>
      <c r="H184" s="158"/>
      <c r="I184" s="158"/>
    </row>
    <row r="185" spans="2:9">
      <c r="B185" s="158" t="str">
        <f>IF(LEFT(Commodities!B21,1)="*","*",Commodities!B21)</f>
        <v>*</v>
      </c>
      <c r="C185" s="158" t="str">
        <f>CONCATENATE("X",Commodities!C21)</f>
        <v>XOILIP5</v>
      </c>
      <c r="D185" s="158" t="s">
        <v>345</v>
      </c>
      <c r="E185" s="197" t="s">
        <v>196</v>
      </c>
      <c r="F185" s="197" t="s">
        <v>318</v>
      </c>
      <c r="G185" s="181"/>
      <c r="H185" s="158"/>
      <c r="I185" s="158"/>
    </row>
    <row r="186" spans="2:9">
      <c r="B186" s="154" t="s">
        <v>1169</v>
      </c>
      <c r="C186" s="160"/>
      <c r="D186" s="160"/>
      <c r="E186" s="196"/>
      <c r="F186" s="196"/>
      <c r="G186" s="154"/>
      <c r="H186" s="160"/>
      <c r="I186" s="160"/>
    </row>
    <row r="187" spans="2:9">
      <c r="B187" s="158" t="s">
        <v>1097</v>
      </c>
      <c r="C187" s="158" t="str">
        <f>TechData_DelOILNYC!C26</f>
        <v>XGSC</v>
      </c>
      <c r="D187" s="158" t="str">
        <f>TechData_DelOILNYC!D26</f>
        <v>Convert GSC to GSCR1</v>
      </c>
      <c r="E187" s="197" t="s">
        <v>196</v>
      </c>
      <c r="F187" s="197" t="s">
        <v>1170</v>
      </c>
      <c r="G187" s="181" t="s">
        <v>1153</v>
      </c>
      <c r="H187" s="158"/>
      <c r="I187" s="158"/>
    </row>
    <row r="188" spans="2:9">
      <c r="B188" s="158" t="s">
        <v>1097</v>
      </c>
      <c r="C188" s="158" t="str">
        <f>TechData_DelOILNYC!C27</f>
        <v>XGSR</v>
      </c>
      <c r="D188" s="158" t="str">
        <f>TechData_DelOILNYC!D27</f>
        <v>Convert GSR to GSRR1</v>
      </c>
      <c r="E188" s="197" t="s">
        <v>196</v>
      </c>
      <c r="F188" s="197" t="s">
        <v>1170</v>
      </c>
      <c r="G188" s="181"/>
      <c r="H188" s="158"/>
      <c r="I188" s="158"/>
    </row>
    <row r="189" spans="2:9">
      <c r="B189" s="158" t="s">
        <v>1097</v>
      </c>
      <c r="C189" s="158" t="str">
        <f>TechData_DelOILNYC!C28</f>
        <v>XDSH</v>
      </c>
      <c r="D189" s="158" t="str">
        <f>TechData_DelOILNYC!D28</f>
        <v>Convert DSH to DSHR1</v>
      </c>
      <c r="E189" s="197" t="s">
        <v>196</v>
      </c>
      <c r="F189" s="197" t="s">
        <v>1170</v>
      </c>
      <c r="G189" s="181"/>
      <c r="H189" s="158"/>
      <c r="I189" s="158"/>
    </row>
    <row r="190" spans="2:9">
      <c r="B190" s="158" t="s">
        <v>1097</v>
      </c>
      <c r="C190" s="158" t="str">
        <f>TechData_DelOILNYC!C29</f>
        <v>XDSL</v>
      </c>
      <c r="D190" s="158" t="str">
        <f>TechData_DelOILNYC!D29</f>
        <v>Convert DSL to DSLR1</v>
      </c>
      <c r="E190" s="197" t="s">
        <v>196</v>
      </c>
      <c r="F190" s="197" t="s">
        <v>1170</v>
      </c>
      <c r="G190" s="181"/>
      <c r="H190" s="158"/>
      <c r="I190" s="158"/>
    </row>
    <row r="191" spans="2:9">
      <c r="B191" s="158" t="s">
        <v>1097</v>
      </c>
      <c r="C191" s="158" t="str">
        <f>TechData_DelOILNYC!C30</f>
        <v>XDSU</v>
      </c>
      <c r="D191" s="158" t="str">
        <f>TechData_DelOILNYC!D30</f>
        <v>Convert DSU to DSUR1</v>
      </c>
      <c r="E191" s="197" t="s">
        <v>196</v>
      </c>
      <c r="F191" s="197" t="s">
        <v>1170</v>
      </c>
      <c r="G191" s="181"/>
      <c r="H191" s="158"/>
      <c r="I191" s="158"/>
    </row>
    <row r="192" spans="2:9">
      <c r="B192" s="158" t="s">
        <v>1097</v>
      </c>
      <c r="C192" s="158" t="str">
        <f>TechData_DelOILNYC!C31</f>
        <v>XRFL</v>
      </c>
      <c r="D192" s="158" t="str">
        <f>TechData_DelOILNYC!D31</f>
        <v>Convert RFL to RFLR1</v>
      </c>
      <c r="E192" s="197" t="s">
        <v>196</v>
      </c>
      <c r="F192" s="197" t="s">
        <v>1170</v>
      </c>
      <c r="G192" s="181"/>
      <c r="H192" s="158"/>
      <c r="I192" s="158"/>
    </row>
    <row r="193" spans="2:9">
      <c r="B193" s="154" t="s">
        <v>346</v>
      </c>
      <c r="C193" s="160"/>
      <c r="D193" s="160"/>
      <c r="E193" s="196"/>
      <c r="F193" s="196"/>
      <c r="G193" s="154"/>
      <c r="H193" s="160"/>
      <c r="I193" s="160"/>
    </row>
    <row r="194" spans="2:9">
      <c r="B194" s="158" t="str">
        <f>IF(OR(G$193="*",LEFT(Commodities!B$49,1)="*"),"*R0,R1,R2,R3,R4,R5,R6","R0,R1,R2,R3,R4,R5,R6")</f>
        <v>R0,R1,R2,R3,R4,R5,R6</v>
      </c>
      <c r="C194" s="158" t="str">
        <f>'Imp Refined'!E13</f>
        <v>IMPGSRP13</v>
      </c>
      <c r="D194" s="158" t="str">
        <f>'Imp Refined'!F13</f>
        <v>Imported Reformulated Gasoline, PADD 1, Step 3</v>
      </c>
      <c r="E194" s="197" t="s">
        <v>196</v>
      </c>
      <c r="F194" s="197" t="s">
        <v>318</v>
      </c>
      <c r="G194" s="181" t="s">
        <v>1155</v>
      </c>
      <c r="H194" s="158"/>
      <c r="I194" s="158"/>
    </row>
    <row r="195" spans="2:9">
      <c r="B195" s="158" t="str">
        <f>IF(OR(G$193="*",LEFT(Commodities!B$49,1)="*"),"*R0,R1,R2,R3,R4,R5,R6","R0,R1,R2,R3,R4,R5,R6")</f>
        <v>R0,R1,R2,R3,R4,R5,R6</v>
      </c>
      <c r="C195" s="158" t="str">
        <f>'Imp Refined'!E14</f>
        <v>IMPGSRP11</v>
      </c>
      <c r="D195" s="158" t="str">
        <f>'Imp Refined'!F14</f>
        <v>Imported Reformulated Gasoline, PADD 1, Step 1</v>
      </c>
      <c r="E195" s="197" t="s">
        <v>196</v>
      </c>
      <c r="F195" s="197" t="s">
        <v>318</v>
      </c>
      <c r="G195" s="181"/>
      <c r="H195" s="158"/>
      <c r="I195" s="158"/>
    </row>
    <row r="196" spans="2:9">
      <c r="B196" s="158" t="str">
        <f>IF(OR(G$193="*",LEFT(Commodities!B$49,1)="*"),"*R0,R1,R2,R3,R4,R5,R6","R0,R1,R2,R3,R4,R5,R6")</f>
        <v>R0,R1,R2,R3,R4,R5,R6</v>
      </c>
      <c r="C196" s="158" t="str">
        <f>'Imp Refined'!E15</f>
        <v>IMPGSRP12</v>
      </c>
      <c r="D196" s="158" t="str">
        <f>'Imp Refined'!F15</f>
        <v>Imported Reformulated Gasoline, PADD 1, Step 2</v>
      </c>
      <c r="E196" s="197" t="s">
        <v>196</v>
      </c>
      <c r="F196" s="197" t="s">
        <v>318</v>
      </c>
      <c r="G196" s="181"/>
      <c r="H196" s="158"/>
      <c r="I196" s="158"/>
    </row>
    <row r="197" spans="2:9">
      <c r="B197" s="158" t="str">
        <f>IF(OR(G$193="*",LEFT(Commodities!B$49,1)="*"),"*R0,R1,R2,R3,R4,R5,R6","R0,R1,R2,R3,R4,R5,R6")</f>
        <v>R0,R1,R2,R3,R4,R5,R6</v>
      </c>
      <c r="C197" s="158" t="str">
        <f>'Imp Refined'!E16</f>
        <v>IMPGSRP14</v>
      </c>
      <c r="D197" s="158" t="str">
        <f>'Imp Refined'!F16</f>
        <v>Imported Reformulated Gasoline, PADD 1, Step 4</v>
      </c>
      <c r="E197" s="197" t="s">
        <v>196</v>
      </c>
      <c r="F197" s="197" t="s">
        <v>318</v>
      </c>
      <c r="G197" s="181"/>
      <c r="H197" s="158"/>
      <c r="I197" s="158"/>
    </row>
    <row r="198" spans="2:9">
      <c r="B198" s="158" t="str">
        <f>IF(OR(G$193="*",LEFT(Commodities!B$49,1)="*"),"*R0,R1,R2,R3,R4,R5,R6","R0,R1,R2,R3,R4,R5,R6")</f>
        <v>R0,R1,R2,R3,R4,R5,R6</v>
      </c>
      <c r="C198" s="158" t="str">
        <f>'Imp Refined'!E17</f>
        <v>IMPGSRP15</v>
      </c>
      <c r="D198" s="158" t="str">
        <f>'Imp Refined'!F17</f>
        <v>Imported Reformulated Gasoline, PADD 1, Step 5</v>
      </c>
      <c r="E198" s="197" t="s">
        <v>196</v>
      </c>
      <c r="F198" s="197" t="s">
        <v>318</v>
      </c>
      <c r="G198" s="181"/>
      <c r="H198" s="158"/>
      <c r="I198" s="158"/>
    </row>
    <row r="199" spans="2:9">
      <c r="B199" s="158" t="str">
        <f>IF(OR(G$193="*",LEFT(Commodities!B$48,1)="*"),"*R0,R1,R2,R3,R4,R5,R6","R0,R1,R2,R3,R4,R5,R6")</f>
        <v>R0,R1,R2,R3,R4,R5,R6</v>
      </c>
      <c r="C199" s="158" t="str">
        <f>'Imp Refined'!E18</f>
        <v>IMPGSCP13</v>
      </c>
      <c r="D199" s="158" t="str">
        <f>'Imp Refined'!F18</f>
        <v>Imported Conventional Gasoline, PADD 1, Step 3</v>
      </c>
      <c r="E199" s="197" t="s">
        <v>196</v>
      </c>
      <c r="F199" s="197" t="s">
        <v>318</v>
      </c>
      <c r="G199" s="181"/>
      <c r="H199" s="158"/>
      <c r="I199" s="158"/>
    </row>
    <row r="200" spans="2:9">
      <c r="B200" s="158" t="str">
        <f>IF(OR(G$193="*",LEFT(Commodities!B$48,1)="*"),"*R0,R1,R2,R3,R4,R5,R6","R0,R1,R2,R3,R4,R5,R6")</f>
        <v>R0,R1,R2,R3,R4,R5,R6</v>
      </c>
      <c r="C200" s="158" t="str">
        <f>'Imp Refined'!E19</f>
        <v>IMPGSCP11</v>
      </c>
      <c r="D200" s="158" t="str">
        <f>'Imp Refined'!F19</f>
        <v>Imported Conventional Gasoline, PADD 1, Step 1</v>
      </c>
      <c r="E200" s="197" t="s">
        <v>196</v>
      </c>
      <c r="F200" s="197" t="s">
        <v>318</v>
      </c>
      <c r="G200" s="181"/>
      <c r="H200" s="158"/>
      <c r="I200" s="158"/>
    </row>
    <row r="201" spans="2:9">
      <c r="B201" s="158" t="str">
        <f>IF(OR(G$193="*",LEFT(Commodities!B$48,1)="*"),"*R0,R1,R2,R3,R4,R5,R6","R0,R1,R2,R3,R4,R5,R6")</f>
        <v>R0,R1,R2,R3,R4,R5,R6</v>
      </c>
      <c r="C201" s="158" t="str">
        <f>'Imp Refined'!E20</f>
        <v>IMPGSCP12</v>
      </c>
      <c r="D201" s="158" t="str">
        <f>'Imp Refined'!F20</f>
        <v>Imported Conventional Gasoline, PADD 1, Step 2</v>
      </c>
      <c r="E201" s="197" t="s">
        <v>196</v>
      </c>
      <c r="F201" s="197" t="s">
        <v>318</v>
      </c>
      <c r="G201" s="181"/>
      <c r="H201" s="158"/>
      <c r="I201" s="158"/>
    </row>
    <row r="202" spans="2:9">
      <c r="B202" s="158" t="str">
        <f>IF(OR(G$193="*",LEFT(Commodities!B$48,1)="*"),"*R0,R1,R2,R3,R4,R5,R6","R0,R1,R2,R3,R4,R5,R6")</f>
        <v>R0,R1,R2,R3,R4,R5,R6</v>
      </c>
      <c r="C202" s="158" t="str">
        <f>'Imp Refined'!E21</f>
        <v>IMPGSCP14</v>
      </c>
      <c r="D202" s="158" t="str">
        <f>'Imp Refined'!F21</f>
        <v>Imported Conventional Gasoline, PADD 1, Step 4</v>
      </c>
      <c r="E202" s="197" t="s">
        <v>196</v>
      </c>
      <c r="F202" s="197" t="s">
        <v>318</v>
      </c>
      <c r="G202" s="181"/>
      <c r="H202" s="158"/>
      <c r="I202" s="158"/>
    </row>
    <row r="203" spans="2:9">
      <c r="B203" s="158" t="str">
        <f>IF(OR(G$193="*",LEFT(Commodities!B$48,1)="*"),"*R0,R1,R2,R3,R4,R5,R6","R0,R1,R2,R3,R4,R5,R6")</f>
        <v>R0,R1,R2,R3,R4,R5,R6</v>
      </c>
      <c r="C203" s="158" t="str">
        <f>'Imp Refined'!E22</f>
        <v>IMPGSCP15</v>
      </c>
      <c r="D203" s="158" t="str">
        <f>'Imp Refined'!F22</f>
        <v>Imported Conventional Gasoline, PADD 1, Step 5</v>
      </c>
      <c r="E203" s="197" t="s">
        <v>196</v>
      </c>
      <c r="F203" s="197" t="s">
        <v>318</v>
      </c>
      <c r="G203" s="181"/>
      <c r="H203" s="158"/>
      <c r="I203" s="158"/>
    </row>
    <row r="204" spans="2:9">
      <c r="B204" s="158" t="str">
        <f>IF(OR(G$193="*",LEFT(Commodities!B$50,1)="*"),"*R0,R1,R2,R3,R4,R5,R6","R0,R1,R2,R3,R4,R5,R6")</f>
        <v>R0,R1,R2,R3,R4,R5,R6</v>
      </c>
      <c r="C204" s="158" t="str">
        <f>'Imp Refined'!E23</f>
        <v>IMPDSHP13</v>
      </c>
      <c r="D204" s="158" t="str">
        <f>'Imp Refined'!F23</f>
        <v>Imported Distillate-Heating Oil No. 2, PADD 1, Step 3</v>
      </c>
      <c r="E204" s="197" t="s">
        <v>196</v>
      </c>
      <c r="F204" s="197" t="s">
        <v>318</v>
      </c>
      <c r="G204" s="181"/>
      <c r="H204" s="158"/>
      <c r="I204" s="158"/>
    </row>
    <row r="205" spans="2:9">
      <c r="B205" s="158" t="str">
        <f>IF(OR(G$193="*",LEFT(Commodities!B$50,1)="*"),"*R0,R1,R2,R3,R4,R5,R6","R0,R1,R2,R3,R4,R5,R6")</f>
        <v>R0,R1,R2,R3,R4,R5,R6</v>
      </c>
      <c r="C205" s="158" t="str">
        <f>'Imp Refined'!E24</f>
        <v>IMPDSHP11</v>
      </c>
      <c r="D205" s="158" t="str">
        <f>'Imp Refined'!F24</f>
        <v>Imported Distillate-Heating Oil No. 2, PADD 1, Step 1</v>
      </c>
      <c r="E205" s="197" t="s">
        <v>196</v>
      </c>
      <c r="F205" s="197" t="s">
        <v>318</v>
      </c>
      <c r="G205" s="181"/>
      <c r="H205" s="158"/>
      <c r="I205" s="158"/>
    </row>
    <row r="206" spans="2:9">
      <c r="B206" s="158" t="str">
        <f>IF(OR(G$193="*",LEFT(Commodities!B$50,1)="*"),"*R0,R1,R2,R3,R4,R5,R6","R0,R1,R2,R3,R4,R5,R6")</f>
        <v>R0,R1,R2,R3,R4,R5,R6</v>
      </c>
      <c r="C206" s="158" t="str">
        <f>'Imp Refined'!E25</f>
        <v>IMPDSHP12</v>
      </c>
      <c r="D206" s="158" t="str">
        <f>'Imp Refined'!F25</f>
        <v>Imported Distillate-Heating Oil No. 2, PADD 1, Step 2</v>
      </c>
      <c r="E206" s="197" t="s">
        <v>196</v>
      </c>
      <c r="F206" s="197" t="s">
        <v>318</v>
      </c>
      <c r="G206" s="181"/>
      <c r="H206" s="158"/>
      <c r="I206" s="158"/>
    </row>
    <row r="207" spans="2:9">
      <c r="B207" s="158" t="str">
        <f>IF(OR(G$193="*",LEFT(Commodities!B$50,1)="*"),"*R0,R1,R2,R3,R4,R5,R6","R0,R1,R2,R3,R4,R5,R6")</f>
        <v>R0,R1,R2,R3,R4,R5,R6</v>
      </c>
      <c r="C207" s="158" t="str">
        <f>'Imp Refined'!E26</f>
        <v>IMPDSHP14</v>
      </c>
      <c r="D207" s="158" t="str">
        <f>'Imp Refined'!F26</f>
        <v>Imported Distillate-Heating Oil No. 2, PADD 1, Step 4</v>
      </c>
      <c r="E207" s="197" t="s">
        <v>196</v>
      </c>
      <c r="F207" s="197" t="s">
        <v>318</v>
      </c>
      <c r="G207" s="181"/>
      <c r="H207" s="158"/>
      <c r="I207" s="158"/>
    </row>
    <row r="208" spans="2:9">
      <c r="B208" s="158" t="str">
        <f>IF(OR(G$193="*",LEFT(Commodities!B$50,1)="*"),"*R0,R1,R2,R3,R4,R5,R6","R0,R1,R2,R3,R4,R5,R6")</f>
        <v>R0,R1,R2,R3,R4,R5,R6</v>
      </c>
      <c r="C208" s="158" t="str">
        <f>'Imp Refined'!E27</f>
        <v>IMPDSHP15</v>
      </c>
      <c r="D208" s="158" t="str">
        <f>'Imp Refined'!F27</f>
        <v>Imported Distillate-Heating Oil No. 2, PADD 1, Step 5</v>
      </c>
      <c r="E208" s="197" t="s">
        <v>196</v>
      </c>
      <c r="F208" s="197" t="s">
        <v>318</v>
      </c>
      <c r="G208" s="181"/>
      <c r="H208" s="158"/>
      <c r="I208" s="158"/>
    </row>
    <row r="209" spans="2:9">
      <c r="B209" s="158" t="str">
        <f>IF(OR(G$193="*",LEFT(Commodities!B$51,1)="*"),"*R0,R1,R2,R3,R4,R5,R6","R0,R1,R2,R3,R4,R5,R6")</f>
        <v>R0,R1,R2,R3,R4,R5,R6</v>
      </c>
      <c r="C209" s="158" t="str">
        <f>'Imp Refined'!E28</f>
        <v>IMPDSLP13</v>
      </c>
      <c r="D209" s="158" t="str">
        <f>'Imp Refined'!F28</f>
        <v>Imported Distillate-Low Sulfur Highway Diesel (500 ppm), PADD 1, Step 3</v>
      </c>
      <c r="E209" s="197" t="s">
        <v>196</v>
      </c>
      <c r="F209" s="197" t="s">
        <v>318</v>
      </c>
      <c r="G209" s="181"/>
      <c r="H209" s="158"/>
      <c r="I209" s="158"/>
    </row>
    <row r="210" spans="2:9">
      <c r="B210" s="158" t="str">
        <f>IF(OR(G$193="*",LEFT(Commodities!B$51,1)="*"),"*R0,R1,R2,R3,R4,R5,R6","R0,R1,R2,R3,R4,R5,R6")</f>
        <v>R0,R1,R2,R3,R4,R5,R6</v>
      </c>
      <c r="C210" s="158" t="str">
        <f>'Imp Refined'!E29</f>
        <v>IMPDSLP11</v>
      </c>
      <c r="D210" s="158" t="str">
        <f>'Imp Refined'!F29</f>
        <v>Imported Distillate-Low Sulfur Highway Diesel (500 ppm), PADD 1, Step 1</v>
      </c>
      <c r="E210" s="197" t="s">
        <v>196</v>
      </c>
      <c r="F210" s="197" t="s">
        <v>318</v>
      </c>
      <c r="G210" s="181"/>
      <c r="H210" s="158"/>
      <c r="I210" s="158"/>
    </row>
    <row r="211" spans="2:9">
      <c r="B211" s="158" t="str">
        <f>IF(OR(G$193="*",LEFT(Commodities!B$51,1)="*"),"*R0,R1,R2,R3,R4,R5,R6","R0,R1,R2,R3,R4,R5,R6")</f>
        <v>R0,R1,R2,R3,R4,R5,R6</v>
      </c>
      <c r="C211" s="158" t="str">
        <f>'Imp Refined'!E30</f>
        <v>IMPDSLP12</v>
      </c>
      <c r="D211" s="158" t="str">
        <f>'Imp Refined'!F30</f>
        <v>Imported Distillate-Low Sulfur Highway Diesel (500 ppm), PADD 1, Step 2</v>
      </c>
      <c r="E211" s="197" t="s">
        <v>196</v>
      </c>
      <c r="F211" s="197" t="s">
        <v>318</v>
      </c>
      <c r="G211" s="181"/>
      <c r="H211" s="158"/>
      <c r="I211" s="158"/>
    </row>
    <row r="212" spans="2:9">
      <c r="B212" s="158" t="str">
        <f>IF(OR(G$193="*",LEFT(Commodities!B$51,1)="*"),"*R0,R1,R2,R3,R4,R5,R6","R0,R1,R2,R3,R4,R5,R6")</f>
        <v>R0,R1,R2,R3,R4,R5,R6</v>
      </c>
      <c r="C212" s="158" t="str">
        <f>'Imp Refined'!E31</f>
        <v>IMPDSLP14</v>
      </c>
      <c r="D212" s="158" t="str">
        <f>'Imp Refined'!F31</f>
        <v>Imported Distillate-Low Sulfur Highway Diesel (500 ppm), PADD 1, Step 4</v>
      </c>
      <c r="E212" s="197" t="s">
        <v>196</v>
      </c>
      <c r="F212" s="197" t="s">
        <v>318</v>
      </c>
      <c r="G212" s="181"/>
      <c r="H212" s="158"/>
      <c r="I212" s="158"/>
    </row>
    <row r="213" spans="2:9">
      <c r="B213" s="158" t="str">
        <f>IF(OR(G$193="*",LEFT(Commodities!B$51,1)="*"),"*R0,R1,R2,R3,R4,R5,R6","R0,R1,R2,R3,R4,R5,R6")</f>
        <v>R0,R1,R2,R3,R4,R5,R6</v>
      </c>
      <c r="C213" s="158" t="str">
        <f>'Imp Refined'!E32</f>
        <v>IMPDSLP15</v>
      </c>
      <c r="D213" s="158" t="str">
        <f>'Imp Refined'!F32</f>
        <v>Imported Distillate-Low Sulfur Highway Diesel (500 ppm), PADD 1, Step 5</v>
      </c>
      <c r="E213" s="197" t="s">
        <v>196</v>
      </c>
      <c r="F213" s="197" t="s">
        <v>318</v>
      </c>
      <c r="G213" s="181"/>
      <c r="H213" s="158"/>
      <c r="I213" s="158"/>
    </row>
    <row r="214" spans="2:9">
      <c r="B214" s="158" t="str">
        <f>IF(OR(G$193="*",LEFT(Commodities!B$59,1)="*"),"*R0,R1,R2,R3,R4,R5,R6","R0,R1,R2,R3,R4,R5,R6")</f>
        <v>R0,R1,R2,R3,R4,R5,R6</v>
      </c>
      <c r="C214" s="158" t="str">
        <f>'Imp Refined'!E33</f>
        <v>IMPRFLP13</v>
      </c>
      <c r="D214" s="158" t="str">
        <f>'Imp Refined'!F33</f>
        <v>Imported Low Sulfur Residual Fuel Oil, PADD 1, Step 3</v>
      </c>
      <c r="E214" s="197" t="s">
        <v>196</v>
      </c>
      <c r="F214" s="197" t="s">
        <v>318</v>
      </c>
      <c r="G214" s="181"/>
      <c r="H214" s="158"/>
      <c r="I214" s="158"/>
    </row>
    <row r="215" spans="2:9">
      <c r="B215" s="158" t="str">
        <f>IF(OR(G$193="*",LEFT(Commodities!B$59,1)="*"),"*R0,R1,R2,R3,R4,R5,R6","R0,R1,R2,R3,R4,R5,R6")</f>
        <v>R0,R1,R2,R3,R4,R5,R6</v>
      </c>
      <c r="C215" s="158" t="str">
        <f>'Imp Refined'!E34</f>
        <v>IMPRFLP11</v>
      </c>
      <c r="D215" s="158" t="str">
        <f>'Imp Refined'!F34</f>
        <v>Imported Low Sulfur Residual Fuel Oil, PADD 1, Step 1</v>
      </c>
      <c r="E215" s="197" t="s">
        <v>196</v>
      </c>
      <c r="F215" s="197" t="s">
        <v>318</v>
      </c>
      <c r="G215" s="181"/>
      <c r="H215" s="158"/>
      <c r="I215" s="158"/>
    </row>
    <row r="216" spans="2:9">
      <c r="B216" s="158" t="str">
        <f>IF(OR(G$193="*",LEFT(Commodities!B$59,1)="*"),"*R0,R1,R2,R3,R4,R5,R6","R0,R1,R2,R3,R4,R5,R6")</f>
        <v>R0,R1,R2,R3,R4,R5,R6</v>
      </c>
      <c r="C216" s="158" t="str">
        <f>'Imp Refined'!E35</f>
        <v>IMPRFLP12</v>
      </c>
      <c r="D216" s="158" t="str">
        <f>'Imp Refined'!F35</f>
        <v>Imported Low Sulfur Residual Fuel Oil, PADD 1, Step 2</v>
      </c>
      <c r="E216" s="197" t="s">
        <v>196</v>
      </c>
      <c r="F216" s="197" t="s">
        <v>318</v>
      </c>
      <c r="G216" s="181"/>
      <c r="H216" s="158"/>
      <c r="I216" s="158"/>
    </row>
    <row r="217" spans="2:9">
      <c r="B217" s="158" t="str">
        <f>IF(OR(G$193="*",LEFT(Commodities!B$59,1)="*"),"*R0,R1,R2,R3,R4,R5,R6","R0,R1,R2,R3,R4,R5,R6")</f>
        <v>R0,R1,R2,R3,R4,R5,R6</v>
      </c>
      <c r="C217" s="158" t="str">
        <f>'Imp Refined'!E36</f>
        <v>IMPRFLP14</v>
      </c>
      <c r="D217" s="158" t="str">
        <f>'Imp Refined'!F36</f>
        <v>Imported Low Sulfur Residual Fuel Oil, PADD 1, Step 4</v>
      </c>
      <c r="E217" s="197" t="s">
        <v>196</v>
      </c>
      <c r="F217" s="197" t="s">
        <v>318</v>
      </c>
      <c r="G217" s="181"/>
      <c r="H217" s="158"/>
      <c r="I217" s="158"/>
    </row>
    <row r="218" spans="2:9">
      <c r="B218" s="158" t="str">
        <f>IF(OR(G$193="*",LEFT(Commodities!B$59,1)="*"),"*R0,R1,R2,R3,R4,R5,R6","R0,R1,R2,R3,R4,R5,R6")</f>
        <v>R0,R1,R2,R3,R4,R5,R6</v>
      </c>
      <c r="C218" s="158" t="str">
        <f>'Imp Refined'!E37</f>
        <v>IMPRFLP15</v>
      </c>
      <c r="D218" s="158" t="str">
        <f>'Imp Refined'!F37</f>
        <v>Imported Low Sulfur Residual Fuel Oil, PADD 1, Step 5</v>
      </c>
      <c r="E218" s="197" t="s">
        <v>196</v>
      </c>
      <c r="F218" s="197" t="s">
        <v>318</v>
      </c>
      <c r="G218" s="181"/>
      <c r="H218" s="158"/>
      <c r="I218" s="158"/>
    </row>
    <row r="219" spans="2:9">
      <c r="B219" s="158" t="str">
        <f>IF(OR(G$193="*",LEFT(Commodities!B$58,1)="*"),"*R0,R1,R2,R3,R4,R5,R6","R0,R1,R2,R3,R4,R5,R6")</f>
        <v>*R0,R1,R2,R3,R4,R5,R6</v>
      </c>
      <c r="C219" s="158" t="str">
        <f>'Imp Refined'!E38</f>
        <v>IMPRFHP13</v>
      </c>
      <c r="D219" s="158" t="str">
        <f>'Imp Refined'!F38</f>
        <v>Imported High Sulfur Residual Fuel Oil, PADD 1, Step 3</v>
      </c>
      <c r="E219" s="197" t="s">
        <v>196</v>
      </c>
      <c r="F219" s="197" t="s">
        <v>318</v>
      </c>
      <c r="G219" s="181"/>
      <c r="H219" s="158"/>
      <c r="I219" s="158"/>
    </row>
    <row r="220" spans="2:9">
      <c r="B220" s="158" t="str">
        <f>IF(OR(G$193="*",LEFT(Commodities!B$58,1)="*"),"*R0,R1,R2,R3,R4,R5,R6","R0,R1,R2,R3,R4,R5,R6")</f>
        <v>*R0,R1,R2,R3,R4,R5,R6</v>
      </c>
      <c r="C220" s="158" t="str">
        <f>'Imp Refined'!E39</f>
        <v>IMPRFHP11</v>
      </c>
      <c r="D220" s="158" t="str">
        <f>'Imp Refined'!F39</f>
        <v>Imported High Sulfur Residual Fuel Oil, PADD 1, Step 1</v>
      </c>
      <c r="E220" s="197" t="s">
        <v>196</v>
      </c>
      <c r="F220" s="197" t="s">
        <v>318</v>
      </c>
      <c r="G220" s="181"/>
      <c r="H220" s="158"/>
      <c r="I220" s="158"/>
    </row>
    <row r="221" spans="2:9">
      <c r="B221" s="158" t="str">
        <f>IF(OR(G$193="*",LEFT(Commodities!B$58,1)="*"),"*R0,R1,R2,R3,R4,R5,R6","R0,R1,R2,R3,R4,R5,R6")</f>
        <v>*R0,R1,R2,R3,R4,R5,R6</v>
      </c>
      <c r="C221" s="158" t="str">
        <f>'Imp Refined'!E40</f>
        <v>IMPRFHP12</v>
      </c>
      <c r="D221" s="158" t="str">
        <f>'Imp Refined'!F40</f>
        <v>Imported High Sulfur Residual Fuel Oil, PADD 1, Step 2</v>
      </c>
      <c r="E221" s="197" t="s">
        <v>196</v>
      </c>
      <c r="F221" s="197" t="s">
        <v>318</v>
      </c>
      <c r="G221" s="181"/>
      <c r="H221" s="158"/>
      <c r="I221" s="158"/>
    </row>
    <row r="222" spans="2:9">
      <c r="B222" s="158" t="str">
        <f>IF(OR(G$193="*",LEFT(Commodities!B$58,1)="*"),"*R0,R1,R2,R3,R4,R5,R6","R0,R1,R2,R3,R4,R5,R6")</f>
        <v>*R0,R1,R2,R3,R4,R5,R6</v>
      </c>
      <c r="C222" s="158" t="str">
        <f>'Imp Refined'!E41</f>
        <v>IMPRFHP14</v>
      </c>
      <c r="D222" s="158" t="str">
        <f>'Imp Refined'!F41</f>
        <v>Imported High Sulfur Residual Fuel Oil, PADD 1, Step 4</v>
      </c>
      <c r="E222" s="197" t="s">
        <v>196</v>
      </c>
      <c r="F222" s="197" t="s">
        <v>318</v>
      </c>
      <c r="G222" s="181"/>
      <c r="H222" s="158"/>
      <c r="I222" s="158"/>
    </row>
    <row r="223" spans="2:9">
      <c r="B223" s="158" t="str">
        <f>IF(OR(G$193="*",LEFT(Commodities!B$58,1)="*"),"*R0,R1,R2,R3,R4,R5,R6","R0,R1,R2,R3,R4,R5,R6")</f>
        <v>*R0,R1,R2,R3,R4,R5,R6</v>
      </c>
      <c r="C223" s="158" t="str">
        <f>'Imp Refined'!E42</f>
        <v>IMPRFHP15</v>
      </c>
      <c r="D223" s="158" t="str">
        <f>'Imp Refined'!F42</f>
        <v>Imported High Sulfur Residual Fuel Oil, PADD 1, Step 5</v>
      </c>
      <c r="E223" s="197" t="s">
        <v>196</v>
      </c>
      <c r="F223" s="197" t="s">
        <v>318</v>
      </c>
      <c r="G223" s="181"/>
      <c r="H223" s="158"/>
      <c r="I223" s="158"/>
    </row>
    <row r="224" spans="2:9">
      <c r="B224" s="158" t="str">
        <f>IF(OR(G$193="*",LEFT(Commodities!B$53,1)="*"),"*R0,R1,R2,R3,R4,R5,R6","R0,R1,R2,R3,R4,R5,R6")</f>
        <v>*R0,R1,R2,R3,R4,R5,R6</v>
      </c>
      <c r="C224" s="158" t="str">
        <f>'Imp Refined'!E43</f>
        <v>IMPJTFP13</v>
      </c>
      <c r="D224" s="158" t="str">
        <f>'Imp Refined'!F43</f>
        <v>Imported Jet Fuel, PADD 1, Step 3</v>
      </c>
      <c r="E224" s="197" t="s">
        <v>196</v>
      </c>
      <c r="F224" s="197" t="s">
        <v>318</v>
      </c>
      <c r="G224" s="181"/>
      <c r="H224" s="158"/>
      <c r="I224" s="158"/>
    </row>
    <row r="225" spans="2:9">
      <c r="B225" s="158" t="str">
        <f>IF(OR(G$193="*",LEFT(Commodities!B$53,1)="*"),"*R0,R1,R2,R3,R4,R5,R6","R0,R1,R2,R3,R4,R5,R6")</f>
        <v>*R0,R1,R2,R3,R4,R5,R6</v>
      </c>
      <c r="C225" s="158" t="str">
        <f>'Imp Refined'!E44</f>
        <v>IMPJTFP11</v>
      </c>
      <c r="D225" s="158" t="str">
        <f>'Imp Refined'!F44</f>
        <v>Imported Jet Fuel, PADD 1, Step 1</v>
      </c>
      <c r="E225" s="197" t="s">
        <v>196</v>
      </c>
      <c r="F225" s="197" t="s">
        <v>318</v>
      </c>
      <c r="G225" s="181"/>
      <c r="H225" s="158"/>
      <c r="I225" s="158"/>
    </row>
    <row r="226" spans="2:9">
      <c r="B226" s="158" t="str">
        <f>IF(OR(G$193="*",LEFT(Commodities!B$53,1)="*"),"*R0,R1,R2,R3,R4,R5,R6","R0,R1,R2,R3,R4,R5,R6")</f>
        <v>*R0,R1,R2,R3,R4,R5,R6</v>
      </c>
      <c r="C226" s="158" t="str">
        <f>'Imp Refined'!E45</f>
        <v>IMPJTFP12</v>
      </c>
      <c r="D226" s="158" t="str">
        <f>'Imp Refined'!F45</f>
        <v>Imported Jet Fuel, PADD 1, Step 2</v>
      </c>
      <c r="E226" s="197" t="s">
        <v>196</v>
      </c>
      <c r="F226" s="197" t="s">
        <v>318</v>
      </c>
      <c r="G226" s="181"/>
      <c r="H226" s="158"/>
      <c r="I226" s="158"/>
    </row>
    <row r="227" spans="2:9">
      <c r="B227" s="158" t="str">
        <f>IF(OR(G$193="*",LEFT(Commodities!B$53,1)="*"),"*R0,R1,R2,R3,R4,R5,R6","R0,R1,R2,R3,R4,R5,R6")</f>
        <v>*R0,R1,R2,R3,R4,R5,R6</v>
      </c>
      <c r="C227" s="158" t="str">
        <f>'Imp Refined'!E46</f>
        <v>IMPJTFP14</v>
      </c>
      <c r="D227" s="158" t="str">
        <f>'Imp Refined'!F46</f>
        <v>Imported Jet Fuel, PADD 1, Step 4</v>
      </c>
      <c r="E227" s="197" t="s">
        <v>196</v>
      </c>
      <c r="F227" s="197" t="s">
        <v>318</v>
      </c>
      <c r="G227" s="181"/>
      <c r="H227" s="158"/>
      <c r="I227" s="158"/>
    </row>
    <row r="228" spans="2:9">
      <c r="B228" s="158" t="str">
        <f>IF(OR(G$193="*",LEFT(Commodities!B$53,1)="*"),"*R0,R1,R2,R3,R4,R5,R6","R0,R1,R2,R3,R4,R5,R6")</f>
        <v>*R0,R1,R2,R3,R4,R5,R6</v>
      </c>
      <c r="C228" s="158" t="str">
        <f>'Imp Refined'!E47</f>
        <v>IMPJTFP15</v>
      </c>
      <c r="D228" s="158" t="str">
        <f>'Imp Refined'!F47</f>
        <v>Imported Jet Fuel, PADD 1, Step 5</v>
      </c>
      <c r="E228" s="197" t="s">
        <v>196</v>
      </c>
      <c r="F228" s="197" t="s">
        <v>318</v>
      </c>
      <c r="G228" s="181"/>
      <c r="H228" s="158"/>
      <c r="I228" s="158"/>
    </row>
    <row r="229" spans="2:9">
      <c r="B229" s="158" t="str">
        <f>IF(OR(G$193="*",LEFT(Commodities!B$55,1)="*"),"*R0,R1,R2,R3,R4,R5,R6","R0,R1,R2,R3,R4,R5,R6")</f>
        <v>*R0,R1,R2,R3,R4,R5,R6</v>
      </c>
      <c r="C229" s="158" t="str">
        <f>'Imp Refined'!E48</f>
        <v>IMPLPGP13</v>
      </c>
      <c r="D229" s="158" t="str">
        <f>'Imp Refined'!F48</f>
        <v>Imported LPG, PADD 1, Step 3</v>
      </c>
      <c r="E229" s="197" t="s">
        <v>196</v>
      </c>
      <c r="F229" s="197" t="s">
        <v>318</v>
      </c>
      <c r="G229" s="181"/>
      <c r="H229" s="158"/>
      <c r="I229" s="158"/>
    </row>
    <row r="230" spans="2:9">
      <c r="B230" s="158" t="str">
        <f>IF(OR(G$193="*",LEFT(Commodities!B$55,1)="*"),"*R0,R1,R2,R3,R4,R5,R6","R0,R1,R2,R3,R4,R5,R6")</f>
        <v>*R0,R1,R2,R3,R4,R5,R6</v>
      </c>
      <c r="C230" s="158" t="str">
        <f>'Imp Refined'!E49</f>
        <v>IMPLPGP11</v>
      </c>
      <c r="D230" s="158" t="str">
        <f>'Imp Refined'!F49</f>
        <v>Imported LPG, PADD 1, Step 1</v>
      </c>
      <c r="E230" s="197" t="s">
        <v>196</v>
      </c>
      <c r="F230" s="197" t="s">
        <v>318</v>
      </c>
      <c r="G230" s="181"/>
      <c r="H230" s="158"/>
      <c r="I230" s="158"/>
    </row>
    <row r="231" spans="2:9">
      <c r="B231" s="158" t="str">
        <f>IF(OR(G$193="*",LEFT(Commodities!B$55,1)="*"),"*R0,R1,R2,R3,R4,R5,R6","R0,R1,R2,R3,R4,R5,R6")</f>
        <v>*R0,R1,R2,R3,R4,R5,R6</v>
      </c>
      <c r="C231" s="158" t="str">
        <f>'Imp Refined'!E50</f>
        <v>IMPLPGP12</v>
      </c>
      <c r="D231" s="158" t="str">
        <f>'Imp Refined'!F50</f>
        <v>Imported LPG, PADD 1, Step 2</v>
      </c>
      <c r="E231" s="197" t="s">
        <v>196</v>
      </c>
      <c r="F231" s="197" t="s">
        <v>318</v>
      </c>
      <c r="G231" s="181"/>
      <c r="H231" s="158"/>
      <c r="I231" s="158"/>
    </row>
    <row r="232" spans="2:9">
      <c r="B232" s="158" t="str">
        <f>IF(OR(G$193="*",LEFT(Commodities!B$55,1)="*"),"*R0,R1,R2,R3,R4,R5,R6","R0,R1,R2,R3,R4,R5,R6")</f>
        <v>*R0,R1,R2,R3,R4,R5,R6</v>
      </c>
      <c r="C232" s="158" t="str">
        <f>'Imp Refined'!E51</f>
        <v>IMPLPGP14</v>
      </c>
      <c r="D232" s="158" t="str">
        <f>'Imp Refined'!F51</f>
        <v>Imported LPG, PADD 1, Step 4</v>
      </c>
      <c r="E232" s="197" t="s">
        <v>196</v>
      </c>
      <c r="F232" s="197" t="s">
        <v>318</v>
      </c>
      <c r="G232" s="181"/>
      <c r="H232" s="158"/>
      <c r="I232" s="158"/>
    </row>
    <row r="233" spans="2:9">
      <c r="B233" s="158" t="str">
        <f>IF(OR(G$193="*",LEFT(Commodities!B$55,1)="*"),"*R0,R1,R2,R3,R4,R5,R6","R0,R1,R2,R3,R4,R5,R6")</f>
        <v>*R0,R1,R2,R3,R4,R5,R6</v>
      </c>
      <c r="C233" s="158" t="str">
        <f>'Imp Refined'!E52</f>
        <v>IMPLPGP15</v>
      </c>
      <c r="D233" s="158" t="str">
        <f>'Imp Refined'!F52</f>
        <v>Imported LPG, PADD 1, Step 5</v>
      </c>
      <c r="E233" s="197" t="s">
        <v>196</v>
      </c>
      <c r="F233" s="197" t="s">
        <v>318</v>
      </c>
      <c r="G233" s="181"/>
      <c r="H233" s="158"/>
      <c r="I233" s="158"/>
    </row>
    <row r="234" spans="2:9">
      <c r="B234" s="158" t="str">
        <f>IF(OR(G$193="*",LEFT(Commodities!B$57,1)="*"),"*R0,R1,R2,R3,R4,R5,R6","R0,R1,R2,R3,R4,R5,R6")</f>
        <v>*R0,R1,R2,R3,R4,R5,R6</v>
      </c>
      <c r="C234" s="158" t="str">
        <f>'Imp Refined'!E53</f>
        <v>IMPPFSP13</v>
      </c>
      <c r="D234" s="158" t="str">
        <f>'Imp Refined'!F53</f>
        <v>Imported Petrochemical Feedstocks, PADD 1, Step 3</v>
      </c>
      <c r="E234" s="197" t="s">
        <v>196</v>
      </c>
      <c r="F234" s="197" t="s">
        <v>318</v>
      </c>
      <c r="G234" s="181"/>
      <c r="H234" s="158"/>
      <c r="I234" s="158"/>
    </row>
    <row r="235" spans="2:9">
      <c r="B235" s="158" t="str">
        <f>IF(OR(G$193="*",LEFT(Commodities!B$57,1)="*"),"*R0,R1,R2,R3,R4,R5,R6","R0,R1,R2,R3,R4,R5,R6")</f>
        <v>*R0,R1,R2,R3,R4,R5,R6</v>
      </c>
      <c r="C235" s="158" t="str">
        <f>'Imp Refined'!E54</f>
        <v>IMPPFSP11</v>
      </c>
      <c r="D235" s="158" t="str">
        <f>'Imp Refined'!F54</f>
        <v>Imported Petrochemical Feedstocks, PADD 1, Step 1</v>
      </c>
      <c r="E235" s="197" t="s">
        <v>196</v>
      </c>
      <c r="F235" s="197" t="s">
        <v>318</v>
      </c>
      <c r="G235" s="181"/>
      <c r="H235" s="158"/>
      <c r="I235" s="158"/>
    </row>
    <row r="236" spans="2:9">
      <c r="B236" s="158" t="str">
        <f>IF(OR(G$193="*",LEFT(Commodities!B$57,1)="*"),"*R0,R1,R2,R3,R4,R5,R6","R0,R1,R2,R3,R4,R5,R6")</f>
        <v>*R0,R1,R2,R3,R4,R5,R6</v>
      </c>
      <c r="C236" s="158" t="str">
        <f>'Imp Refined'!E55</f>
        <v>IMPPFSP12</v>
      </c>
      <c r="D236" s="158" t="str">
        <f>'Imp Refined'!F55</f>
        <v>Imported Petrochemical Feedstocks, PADD 1, Step 2</v>
      </c>
      <c r="E236" s="197" t="s">
        <v>196</v>
      </c>
      <c r="F236" s="197" t="s">
        <v>318</v>
      </c>
      <c r="G236" s="181"/>
      <c r="H236" s="158"/>
      <c r="I236" s="158"/>
    </row>
    <row r="237" spans="2:9">
      <c r="B237" s="158" t="str">
        <f>IF(OR(G$193="*",LEFT(Commodities!B$57,1)="*"),"*R0,R1,R2,R3,R4,R5,R6","R0,R1,R2,R3,R4,R5,R6")</f>
        <v>*R0,R1,R2,R3,R4,R5,R6</v>
      </c>
      <c r="C237" s="158" t="str">
        <f>'Imp Refined'!E56</f>
        <v>IMPPFSP14</v>
      </c>
      <c r="D237" s="158" t="str">
        <f>'Imp Refined'!F56</f>
        <v>Imported Petrochemical Feedstocks, PADD 1, Step 4</v>
      </c>
      <c r="E237" s="197" t="s">
        <v>196</v>
      </c>
      <c r="F237" s="197" t="s">
        <v>318</v>
      </c>
      <c r="G237" s="181"/>
      <c r="H237" s="158"/>
      <c r="I237" s="158"/>
    </row>
    <row r="238" spans="2:9">
      <c r="B238" s="158" t="str">
        <f>IF(OR(G$193="*",LEFT(Commodities!B$57,1)="*"),"*R0,R1,R2,R3,R4,R5,R6","R0,R1,R2,R3,R4,R5,R6")</f>
        <v>*R0,R1,R2,R3,R4,R5,R6</v>
      </c>
      <c r="C238" s="158" t="str">
        <f>'Imp Refined'!E57</f>
        <v>IMPPFSP15</v>
      </c>
      <c r="D238" s="158" t="str">
        <f>'Imp Refined'!F57</f>
        <v>Imported Petrochemical Feedstocks, PADD 1, Step 5</v>
      </c>
      <c r="E238" s="197" t="s">
        <v>196</v>
      </c>
      <c r="F238" s="197" t="s">
        <v>318</v>
      </c>
      <c r="G238" s="181"/>
      <c r="H238" s="158"/>
      <c r="I238" s="158"/>
    </row>
    <row r="239" spans="2:9">
      <c r="B239" s="158" t="str">
        <f>IF(OR(G$193="*",LEFT(Commodities!B$54,1)="*"),"*R0,R1,R2,R3,R4,R5,R6","R0,R1,R2,R3,R4,R5,R6")</f>
        <v>*R0,R1,R2,R3,R4,R5,R6</v>
      </c>
      <c r="C239" s="158" t="str">
        <f>'Imp Refined'!E58</f>
        <v>IMPKERP13</v>
      </c>
      <c r="D239" s="158" t="str">
        <f>'Imp Refined'!F58</f>
        <v>Imported Kerosene and Other Refined Products, PADD 1, Step 3</v>
      </c>
      <c r="E239" s="197" t="s">
        <v>196</v>
      </c>
      <c r="F239" s="197" t="s">
        <v>318</v>
      </c>
      <c r="G239" s="181"/>
      <c r="H239" s="158"/>
      <c r="I239" s="158"/>
    </row>
    <row r="240" spans="2:9">
      <c r="B240" s="158" t="str">
        <f>IF(OR(G$193="*",LEFT(Commodities!B$54,1)="*"),"*R0,R1,R2,R3,R4,R5,R6","R0,R1,R2,R3,R4,R5,R6")</f>
        <v>*R0,R1,R2,R3,R4,R5,R6</v>
      </c>
      <c r="C240" s="158" t="str">
        <f>'Imp Refined'!E59</f>
        <v>IMPKERP11</v>
      </c>
      <c r="D240" s="158" t="str">
        <f>'Imp Refined'!F59</f>
        <v>Imported Kerosene and Other Refined Products, PADD 1, Step 1</v>
      </c>
      <c r="E240" s="197" t="s">
        <v>196</v>
      </c>
      <c r="F240" s="197" t="s">
        <v>318</v>
      </c>
      <c r="G240" s="181"/>
      <c r="H240" s="158"/>
      <c r="I240" s="158"/>
    </row>
    <row r="241" spans="2:9">
      <c r="B241" s="158" t="str">
        <f>IF(OR(G$193="*",LEFT(Commodities!B$54,1)="*"),"*R0,R1,R2,R3,R4,R5,R6","R0,R1,R2,R3,R4,R5,R6")</f>
        <v>*R0,R1,R2,R3,R4,R5,R6</v>
      </c>
      <c r="C241" s="158" t="str">
        <f>'Imp Refined'!E60</f>
        <v>IMPKERP12</v>
      </c>
      <c r="D241" s="158" t="str">
        <f>'Imp Refined'!F60</f>
        <v>Imported Kerosene and Other Refined Products, PADD 1, Step 2</v>
      </c>
      <c r="E241" s="197" t="s">
        <v>196</v>
      </c>
      <c r="F241" s="197" t="s">
        <v>318</v>
      </c>
      <c r="G241" s="181"/>
      <c r="H241" s="158"/>
      <c r="I241" s="158"/>
    </row>
    <row r="242" spans="2:9">
      <c r="B242" s="158" t="str">
        <f>IF(OR(G$193="*",LEFT(Commodities!B$54,1)="*"),"*R0,R1,R2,R3,R4,R5,R6","R0,R1,R2,R3,R4,R5,R6")</f>
        <v>*R0,R1,R2,R3,R4,R5,R6</v>
      </c>
      <c r="C242" s="158" t="str">
        <f>'Imp Refined'!E61</f>
        <v>IMPKERP14</v>
      </c>
      <c r="D242" s="158" t="str">
        <f>'Imp Refined'!F61</f>
        <v>Imported Kerosene and Other Refined Products, PADD 1, Step 4</v>
      </c>
      <c r="E242" s="197" t="s">
        <v>196</v>
      </c>
      <c r="F242" s="197" t="s">
        <v>318</v>
      </c>
      <c r="G242" s="181"/>
      <c r="H242" s="158"/>
      <c r="I242" s="158"/>
    </row>
    <row r="243" spans="2:9">
      <c r="B243" s="158" t="str">
        <f>IF(OR(G$193="*",LEFT(Commodities!B$54,1)="*"),"*R0,R1,R2,R3,R4,R5,R6","R0,R1,R2,R3,R4,R5,R6")</f>
        <v>*R0,R1,R2,R3,R4,R5,R6</v>
      </c>
      <c r="C243" s="158" t="str">
        <f>'Imp Refined'!E62</f>
        <v>IMPKERP15</v>
      </c>
      <c r="D243" s="158" t="str">
        <f>'Imp Refined'!F62</f>
        <v>Imported Kerosene and Other Refined Products, PADD 1, Step 5</v>
      </c>
      <c r="E243" s="197" t="s">
        <v>196</v>
      </c>
      <c r="F243" s="197" t="s">
        <v>318</v>
      </c>
      <c r="G243" s="181"/>
      <c r="H243" s="158"/>
      <c r="I243" s="158"/>
    </row>
    <row r="244" spans="2:9">
      <c r="B244" s="158" t="str">
        <f>IF(OR(G$193="*",LEFT(Commodities!B$56,1)="*"),"*R0,R1,R2,R3,R4,R5,R6","R0,R1,R2,R3,R4,R5,R6")</f>
        <v>*R0,R1,R2,R3,R4,R5,R6</v>
      </c>
      <c r="C244" s="158" t="str">
        <f>'Imp Refined'!E63</f>
        <v>IMPMTHP13</v>
      </c>
      <c r="D244" s="158" t="str">
        <f>'Imp Refined'!F63</f>
        <v>Imported Methanol, PADD 1, Step 3</v>
      </c>
      <c r="E244" s="197" t="s">
        <v>196</v>
      </c>
      <c r="F244" s="197" t="s">
        <v>318</v>
      </c>
      <c r="G244" s="181"/>
      <c r="H244" s="158"/>
      <c r="I244" s="158"/>
    </row>
    <row r="245" spans="2:9">
      <c r="B245" s="158" t="str">
        <f>IF(OR(G$193="*",LEFT(Commodities!B$56,1)="*"),"*R0,R1,R2,R3,R4,R5,R6","R0,R1,R2,R3,R4,R5,R6")</f>
        <v>*R0,R1,R2,R3,R4,R5,R6</v>
      </c>
      <c r="C245" s="158" t="str">
        <f>'Imp Refined'!E64</f>
        <v>IMPMTHP11</v>
      </c>
      <c r="D245" s="158" t="str">
        <f>'Imp Refined'!F64</f>
        <v>Imported Methanol, PADD 1, Step 1</v>
      </c>
      <c r="E245" s="197" t="s">
        <v>196</v>
      </c>
      <c r="F245" s="197" t="s">
        <v>318</v>
      </c>
      <c r="G245" s="181"/>
      <c r="H245" s="158"/>
      <c r="I245" s="158"/>
    </row>
    <row r="246" spans="2:9">
      <c r="B246" s="158" t="str">
        <f>IF(OR(G$193="*",LEFT(Commodities!B$56,1)="*"),"*R0,R1,R2,R3,R4,R5,R6","R0,R1,R2,R3,R4,R5,R6")</f>
        <v>*R0,R1,R2,R3,R4,R5,R6</v>
      </c>
      <c r="C246" s="158" t="str">
        <f>'Imp Refined'!E65</f>
        <v>IMPMTHP12</v>
      </c>
      <c r="D246" s="158" t="str">
        <f>'Imp Refined'!F65</f>
        <v>Imported Methanol, PADD 1, Step 2</v>
      </c>
      <c r="E246" s="197" t="s">
        <v>196</v>
      </c>
      <c r="F246" s="197" t="s">
        <v>318</v>
      </c>
      <c r="G246" s="181"/>
      <c r="H246" s="158"/>
      <c r="I246" s="158"/>
    </row>
    <row r="247" spans="2:9">
      <c r="B247" s="158" t="str">
        <f>IF(OR(G$193="*",LEFT(Commodities!B$56,1)="*"),"*R0,R1,R2,R3,R4,R5,R6","R0,R1,R2,R3,R4,R5,R6")</f>
        <v>*R0,R1,R2,R3,R4,R5,R6</v>
      </c>
      <c r="C247" s="158" t="str">
        <f>'Imp Refined'!E66</f>
        <v>IMPMTHP14</v>
      </c>
      <c r="D247" s="158" t="str">
        <f>'Imp Refined'!F66</f>
        <v>Imported Methanol, PADD 1, Step 4</v>
      </c>
      <c r="E247" s="197" t="s">
        <v>196</v>
      </c>
      <c r="F247" s="197" t="s">
        <v>318</v>
      </c>
      <c r="G247" s="181"/>
      <c r="H247" s="158"/>
      <c r="I247" s="158"/>
    </row>
    <row r="248" spans="2:9">
      <c r="B248" s="158" t="str">
        <f>IF(OR(G$193="*",LEFT(Commodities!B$56,1)="*"),"*R0,R1,R2,R3,R4,R5,R6","R0,R1,R2,R3,R4,R5,R6")</f>
        <v>*R0,R1,R2,R3,R4,R5,R6</v>
      </c>
      <c r="C248" s="158" t="str">
        <f>'Imp Refined'!E67</f>
        <v>IMPMTHP15</v>
      </c>
      <c r="D248" s="158" t="str">
        <f>'Imp Refined'!F67</f>
        <v>Imported Methanol, PADD 1, Step 5</v>
      </c>
      <c r="E248" s="197" t="s">
        <v>196</v>
      </c>
      <c r="F248" s="197" t="s">
        <v>318</v>
      </c>
      <c r="G248" s="181"/>
      <c r="H248" s="158"/>
      <c r="I248" s="158"/>
    </row>
    <row r="249" spans="2:9">
      <c r="B249" s="158" t="str">
        <f>IF(OR(G$193="*",LEFT(Commodities!B$52,1)="*"),"*R0,R1,R2,R3,R4,R5,R6","R0,R1,R2,R3,R4,R5,R6")</f>
        <v>R0,R1,R2,R3,R4,R5,R6</v>
      </c>
      <c r="C249" s="158" t="str">
        <f>'Imp Refined'!E68</f>
        <v>IMPDSUP13</v>
      </c>
      <c r="D249" s="158" t="str">
        <f>'Imp Refined'!F68</f>
        <v>Imported Distillate-Ultralow Sulfur Highway Diesel (15 ppm), PADD 1, Step 3</v>
      </c>
      <c r="E249" s="197" t="s">
        <v>196</v>
      </c>
      <c r="F249" s="197" t="s">
        <v>318</v>
      </c>
      <c r="G249" s="181"/>
      <c r="H249" s="158"/>
      <c r="I249" s="158"/>
    </row>
    <row r="250" spans="2:9">
      <c r="B250" s="158" t="str">
        <f>IF(OR(G$193="*",LEFT(Commodities!B$52,1)="*"),"*R0,R1,R2,R3,R4,R5,R6","R0,R1,R2,R3,R4,R5,R6")</f>
        <v>R0,R1,R2,R3,R4,R5,R6</v>
      </c>
      <c r="C250" s="158" t="str">
        <f>'Imp Refined'!E69</f>
        <v>IMPDSUP11</v>
      </c>
      <c r="D250" s="158" t="str">
        <f>'Imp Refined'!F69</f>
        <v>Imported Distillate-Ultralow Sulfur Highway Diesel (15 ppm), PADD 1, Step 1</v>
      </c>
      <c r="E250" s="197" t="s">
        <v>196</v>
      </c>
      <c r="F250" s="197" t="s">
        <v>318</v>
      </c>
      <c r="G250" s="181"/>
      <c r="H250" s="158"/>
      <c r="I250" s="158"/>
    </row>
    <row r="251" spans="2:9">
      <c r="B251" s="158" t="str">
        <f>IF(OR(G$193="*",LEFT(Commodities!B$52,1)="*"),"*R0,R1,R2,R3,R4,R5,R6","R0,R1,R2,R3,R4,R5,R6")</f>
        <v>R0,R1,R2,R3,R4,R5,R6</v>
      </c>
      <c r="C251" s="158" t="str">
        <f>'Imp Refined'!E70</f>
        <v>IMPDSUP12</v>
      </c>
      <c r="D251" s="158" t="str">
        <f>'Imp Refined'!F70</f>
        <v>Imported Distillate-Ultralow Sulfur Highway Diesel (15 ppm), PADD 1, Step 2</v>
      </c>
      <c r="E251" s="197" t="s">
        <v>196</v>
      </c>
      <c r="F251" s="197" t="s">
        <v>318</v>
      </c>
      <c r="G251" s="181"/>
      <c r="H251" s="158"/>
      <c r="I251" s="158"/>
    </row>
    <row r="252" spans="2:9">
      <c r="B252" s="158" t="str">
        <f>IF(OR(G$193="*",LEFT(Commodities!B$52,1)="*"),"*R0,R1,R2,R3,R4,R5,R6","R0,R1,R2,R3,R4,R5,R6")</f>
        <v>R0,R1,R2,R3,R4,R5,R6</v>
      </c>
      <c r="C252" s="158" t="str">
        <f>'Imp Refined'!E71</f>
        <v>IMPDSUP14</v>
      </c>
      <c r="D252" s="158" t="str">
        <f>'Imp Refined'!F71</f>
        <v>Imported Distillate-Ultralow Sulfur Highway Diesel (15 ppm), PADD 1, Step 4</v>
      </c>
      <c r="E252" s="197" t="s">
        <v>196</v>
      </c>
      <c r="F252" s="197" t="s">
        <v>318</v>
      </c>
      <c r="G252" s="181"/>
      <c r="H252" s="158"/>
      <c r="I252" s="158"/>
    </row>
    <row r="253" spans="2:9">
      <c r="B253" s="158" t="str">
        <f>IF(OR(G$193="*",LEFT(Commodities!B$52,1)="*"),"*R0,R1,R2,R3,R4,R5,R6","R0,R1,R2,R3,R4,R5,R6")</f>
        <v>R0,R1,R2,R3,R4,R5,R6</v>
      </c>
      <c r="C253" s="158" t="str">
        <f>'Imp Refined'!E72</f>
        <v>IMPDSUP15</v>
      </c>
      <c r="D253" s="158" t="str">
        <f>'Imp Refined'!F72</f>
        <v>Imported Distillate-Ultralow Sulfur Highway Diesel (15 ppm), PADD 1, Step 5</v>
      </c>
      <c r="E253" s="197" t="s">
        <v>196</v>
      </c>
      <c r="F253" s="197" t="s">
        <v>318</v>
      </c>
      <c r="G253" s="181"/>
      <c r="H253" s="158"/>
      <c r="I253" s="158"/>
    </row>
    <row r="254" spans="2:9">
      <c r="B254" s="158" t="s">
        <v>398</v>
      </c>
      <c r="C254" s="158"/>
      <c r="D254" s="158"/>
      <c r="E254" s="197"/>
      <c r="F254" s="197"/>
      <c r="G254" s="181"/>
      <c r="H254" s="158"/>
      <c r="I254" s="158"/>
    </row>
    <row r="255" spans="2:9">
      <c r="B255" s="158" t="s">
        <v>398</v>
      </c>
      <c r="C255" s="158"/>
      <c r="D255" s="158"/>
      <c r="E255" s="197"/>
      <c r="F255" s="197"/>
      <c r="G255" s="181"/>
      <c r="H255" s="158"/>
      <c r="I255" s="158"/>
    </row>
    <row r="256" spans="2:9">
      <c r="B256" s="158" t="str">
        <f>IF(OR(G$193="*",LEFT(Commodities!B$49,1)="*"),"*R0,R1,R2,R3,R4,R5,R6","R0,R1,R2,R3,R4,R5,R6")</f>
        <v>R0,R1,R2,R3,R4,R5,R6</v>
      </c>
      <c r="C256" s="158" t="str">
        <f>'Imp Refined'!E75</f>
        <v>IMPGSRP23</v>
      </c>
      <c r="D256" s="158" t="str">
        <f>'Imp Refined'!F75</f>
        <v>Imported Reformulated Gasoline, PADD 2, Step 3</v>
      </c>
      <c r="E256" s="197" t="s">
        <v>196</v>
      </c>
      <c r="F256" s="197" t="s">
        <v>318</v>
      </c>
      <c r="G256" s="181"/>
      <c r="H256" s="158"/>
      <c r="I256" s="158"/>
    </row>
    <row r="257" spans="2:9">
      <c r="B257" s="158" t="str">
        <f>IF(OR(G$193="*",LEFT(Commodities!B$49,1)="*"),"*R0,R1,R2,R3,R4,R5,R6","R0,R1,R2,R3,R4,R5,R6")</f>
        <v>R0,R1,R2,R3,R4,R5,R6</v>
      </c>
      <c r="C257" s="158" t="str">
        <f>'Imp Refined'!E76</f>
        <v>IMPGSRP21</v>
      </c>
      <c r="D257" s="158" t="str">
        <f>'Imp Refined'!F76</f>
        <v>Imported Reformulated Gasoline, PADD 2, Step 1</v>
      </c>
      <c r="E257" s="197" t="s">
        <v>196</v>
      </c>
      <c r="F257" s="197" t="s">
        <v>318</v>
      </c>
      <c r="G257" s="181"/>
      <c r="H257" s="158"/>
      <c r="I257" s="158"/>
    </row>
    <row r="258" spans="2:9">
      <c r="B258" s="158" t="str">
        <f>IF(OR(G$193="*",LEFT(Commodities!B$49,1)="*"),"*R0,R1,R2,R3,R4,R5,R6","R0,R1,R2,R3,R4,R5,R6")</f>
        <v>R0,R1,R2,R3,R4,R5,R6</v>
      </c>
      <c r="C258" s="158" t="str">
        <f>'Imp Refined'!E77</f>
        <v>IMPGSRP22</v>
      </c>
      <c r="D258" s="158" t="str">
        <f>'Imp Refined'!F77</f>
        <v>Imported Reformulated Gasoline, PADD 2, Step 2</v>
      </c>
      <c r="E258" s="197" t="s">
        <v>196</v>
      </c>
      <c r="F258" s="197" t="s">
        <v>318</v>
      </c>
      <c r="G258" s="181"/>
      <c r="H258" s="158"/>
      <c r="I258" s="158"/>
    </row>
    <row r="259" spans="2:9">
      <c r="B259" s="158" t="str">
        <f>IF(OR(G$193="*",LEFT(Commodities!B$49,1)="*"),"*R0,R1,R2,R3,R4,R5,R6","R0,R1,R2,R3,R4,R5,R6")</f>
        <v>R0,R1,R2,R3,R4,R5,R6</v>
      </c>
      <c r="C259" s="158" t="str">
        <f>'Imp Refined'!E78</f>
        <v>IMPGSRP24</v>
      </c>
      <c r="D259" s="158" t="str">
        <f>'Imp Refined'!F78</f>
        <v>Imported Reformulated Gasoline, PADD 2, Step 4</v>
      </c>
      <c r="E259" s="197" t="s">
        <v>196</v>
      </c>
      <c r="F259" s="197" t="s">
        <v>318</v>
      </c>
      <c r="G259" s="181"/>
      <c r="H259" s="158"/>
      <c r="I259" s="158"/>
    </row>
    <row r="260" spans="2:9">
      <c r="B260" s="158" t="str">
        <f>IF(OR(G$193="*",LEFT(Commodities!B$49,1)="*"),"*R0,R1,R2,R3,R4,R5,R6","R0,R1,R2,R3,R4,R5,R6")</f>
        <v>R0,R1,R2,R3,R4,R5,R6</v>
      </c>
      <c r="C260" s="158" t="str">
        <f>'Imp Refined'!E79</f>
        <v>IMPGSRP25</v>
      </c>
      <c r="D260" s="158" t="str">
        <f>'Imp Refined'!F79</f>
        <v>Imported Reformulated Gasoline, PADD 2, Step 5</v>
      </c>
      <c r="E260" s="197" t="s">
        <v>196</v>
      </c>
      <c r="F260" s="197" t="s">
        <v>318</v>
      </c>
      <c r="G260" s="181"/>
      <c r="H260" s="158"/>
      <c r="I260" s="158"/>
    </row>
    <row r="261" spans="2:9">
      <c r="B261" s="158" t="str">
        <f>IF(OR(G$193="*",LEFT(Commodities!B$48,1)="*"),"*R0,R1,R2,R3,R4,R5,R6","R0,R1,R2,R3,R4,R5,R6")</f>
        <v>R0,R1,R2,R3,R4,R5,R6</v>
      </c>
      <c r="C261" s="158" t="str">
        <f>'Imp Refined'!E80</f>
        <v>IMPGSCP23</v>
      </c>
      <c r="D261" s="158" t="str">
        <f>'Imp Refined'!F80</f>
        <v>Imported Conventional Gasoline, PADD 2, Step 3</v>
      </c>
      <c r="E261" s="197" t="s">
        <v>196</v>
      </c>
      <c r="F261" s="197" t="s">
        <v>318</v>
      </c>
      <c r="G261" s="181"/>
      <c r="H261" s="158"/>
      <c r="I261" s="158"/>
    </row>
    <row r="262" spans="2:9">
      <c r="B262" s="158" t="str">
        <f>IF(OR(G$193="*",LEFT(Commodities!B$48,1)="*"),"*R0,R1,R2,R3,R4,R5,R6","R0,R1,R2,R3,R4,R5,R6")</f>
        <v>R0,R1,R2,R3,R4,R5,R6</v>
      </c>
      <c r="C262" s="158" t="str">
        <f>'Imp Refined'!E81</f>
        <v>IMPGSCP21</v>
      </c>
      <c r="D262" s="158" t="str">
        <f>'Imp Refined'!F81</f>
        <v>Imported Conventional Gasoline, PADD 2, Step 1</v>
      </c>
      <c r="E262" s="197" t="s">
        <v>196</v>
      </c>
      <c r="F262" s="197" t="s">
        <v>318</v>
      </c>
      <c r="G262" s="181"/>
      <c r="H262" s="158"/>
      <c r="I262" s="158"/>
    </row>
    <row r="263" spans="2:9">
      <c r="B263" s="158" t="str">
        <f>IF(OR(G$193="*",LEFT(Commodities!B$48,1)="*"),"*R0,R1,R2,R3,R4,R5,R6","R0,R1,R2,R3,R4,R5,R6")</f>
        <v>R0,R1,R2,R3,R4,R5,R6</v>
      </c>
      <c r="C263" s="158" t="str">
        <f>'Imp Refined'!E82</f>
        <v>IMPGSCP22</v>
      </c>
      <c r="D263" s="158" t="str">
        <f>'Imp Refined'!F82</f>
        <v>Imported Conventional Gasoline, PADD 2, Step 2</v>
      </c>
      <c r="E263" s="197" t="s">
        <v>196</v>
      </c>
      <c r="F263" s="197" t="s">
        <v>318</v>
      </c>
      <c r="G263" s="181"/>
      <c r="H263" s="158"/>
      <c r="I263" s="158"/>
    </row>
    <row r="264" spans="2:9">
      <c r="B264" s="158" t="str">
        <f>IF(OR(G$193="*",LEFT(Commodities!B$48,1)="*"),"*R0,R1,R2,R3,R4,R5,R6","R0,R1,R2,R3,R4,R5,R6")</f>
        <v>R0,R1,R2,R3,R4,R5,R6</v>
      </c>
      <c r="C264" s="158" t="str">
        <f>'Imp Refined'!E83</f>
        <v>IMPGSCP24</v>
      </c>
      <c r="D264" s="158" t="str">
        <f>'Imp Refined'!F83</f>
        <v>Imported Conventional Gasoline, PADD 2, Step 4</v>
      </c>
      <c r="E264" s="197" t="s">
        <v>196</v>
      </c>
      <c r="F264" s="197" t="s">
        <v>318</v>
      </c>
      <c r="G264" s="181"/>
      <c r="H264" s="158"/>
      <c r="I264" s="158"/>
    </row>
    <row r="265" spans="2:9">
      <c r="B265" s="158" t="str">
        <f>IF(OR(G$193="*",LEFT(Commodities!B$48,1)="*"),"*R0,R1,R2,R3,R4,R5,R6","R0,R1,R2,R3,R4,R5,R6")</f>
        <v>R0,R1,R2,R3,R4,R5,R6</v>
      </c>
      <c r="C265" s="158" t="str">
        <f>'Imp Refined'!E84</f>
        <v>IMPGSCP25</v>
      </c>
      <c r="D265" s="158" t="str">
        <f>'Imp Refined'!F84</f>
        <v>Imported Conventional Gasoline, PADD 2, Step 5</v>
      </c>
      <c r="E265" s="197" t="s">
        <v>196</v>
      </c>
      <c r="F265" s="197" t="s">
        <v>318</v>
      </c>
      <c r="G265" s="181"/>
      <c r="H265" s="158"/>
      <c r="I265" s="158"/>
    </row>
    <row r="266" spans="2:9">
      <c r="B266" s="158" t="str">
        <f>IF(OR(G$193="*",LEFT(Commodities!B$50,1)="*"),"*R0,R1,R2,R3,R4,R5,R6","R0,R1,R2,R3,R4,R5,R6")</f>
        <v>R0,R1,R2,R3,R4,R5,R6</v>
      </c>
      <c r="C266" s="158" t="str">
        <f>'Imp Refined'!E85</f>
        <v>IMPDSHP23</v>
      </c>
      <c r="D266" s="158" t="str">
        <f>'Imp Refined'!F85</f>
        <v>Imported Distillate-Heating Oil No. 2, PADD 2, Step 3</v>
      </c>
      <c r="E266" s="197" t="s">
        <v>196</v>
      </c>
      <c r="F266" s="197" t="s">
        <v>318</v>
      </c>
      <c r="G266" s="181"/>
      <c r="H266" s="158"/>
      <c r="I266" s="158"/>
    </row>
    <row r="267" spans="2:9">
      <c r="B267" s="158" t="str">
        <f>IF(OR(G$193="*",LEFT(Commodities!B$50,1)="*"),"*R0,R1,R2,R3,R4,R5,R6","R0,R1,R2,R3,R4,R5,R6")</f>
        <v>R0,R1,R2,R3,R4,R5,R6</v>
      </c>
      <c r="C267" s="158" t="str">
        <f>'Imp Refined'!E86</f>
        <v>IMPDSHP21</v>
      </c>
      <c r="D267" s="158" t="str">
        <f>'Imp Refined'!F86</f>
        <v>Imported Distillate-Heating Oil No. 2, PADD 2, Step 1</v>
      </c>
      <c r="E267" s="197" t="s">
        <v>196</v>
      </c>
      <c r="F267" s="197" t="s">
        <v>318</v>
      </c>
      <c r="G267" s="181"/>
      <c r="H267" s="158"/>
      <c r="I267" s="158"/>
    </row>
    <row r="268" spans="2:9">
      <c r="B268" s="158" t="str">
        <f>IF(OR(G$193="*",LEFT(Commodities!B$50,1)="*"),"*R0,R1,R2,R3,R4,R5,R6","R0,R1,R2,R3,R4,R5,R6")</f>
        <v>R0,R1,R2,R3,R4,R5,R6</v>
      </c>
      <c r="C268" s="158" t="str">
        <f>'Imp Refined'!E87</f>
        <v>IMPDSHP22</v>
      </c>
      <c r="D268" s="158" t="str">
        <f>'Imp Refined'!F87</f>
        <v>Imported Distillate-Heating Oil No. 2, PADD 2, Step 2</v>
      </c>
      <c r="E268" s="197" t="s">
        <v>196</v>
      </c>
      <c r="F268" s="197" t="s">
        <v>318</v>
      </c>
      <c r="G268" s="181"/>
      <c r="H268" s="158"/>
      <c r="I268" s="158"/>
    </row>
    <row r="269" spans="2:9">
      <c r="B269" s="158" t="str">
        <f>IF(OR(G$193="*",LEFT(Commodities!B$50,1)="*"),"*R0,R1,R2,R3,R4,R5,R6","R0,R1,R2,R3,R4,R5,R6")</f>
        <v>R0,R1,R2,R3,R4,R5,R6</v>
      </c>
      <c r="C269" s="158" t="str">
        <f>'Imp Refined'!E88</f>
        <v>IMPDSHP24</v>
      </c>
      <c r="D269" s="158" t="str">
        <f>'Imp Refined'!F88</f>
        <v>Imported Distillate-Heating Oil No. 2, PADD 2, Step 4</v>
      </c>
      <c r="E269" s="197" t="s">
        <v>196</v>
      </c>
      <c r="F269" s="197" t="s">
        <v>318</v>
      </c>
      <c r="G269" s="181"/>
      <c r="H269" s="158"/>
      <c r="I269" s="158"/>
    </row>
    <row r="270" spans="2:9">
      <c r="B270" s="158" t="str">
        <f>IF(OR(G$193="*",LEFT(Commodities!B$50,1)="*"),"*R0,R1,R2,R3,R4,R5,R6","R0,R1,R2,R3,R4,R5,R6")</f>
        <v>R0,R1,R2,R3,R4,R5,R6</v>
      </c>
      <c r="C270" s="158" t="str">
        <f>'Imp Refined'!E89</f>
        <v>IMPDSHP25</v>
      </c>
      <c r="D270" s="158" t="str">
        <f>'Imp Refined'!F89</f>
        <v>Imported Distillate-Heating Oil No. 2, PADD 2, Step 5</v>
      </c>
      <c r="E270" s="197" t="s">
        <v>196</v>
      </c>
      <c r="F270" s="197" t="s">
        <v>318</v>
      </c>
      <c r="G270" s="181"/>
      <c r="H270" s="158"/>
      <c r="I270" s="158"/>
    </row>
    <row r="271" spans="2:9">
      <c r="B271" s="158" t="str">
        <f>IF(OR(G$193="*",LEFT(Commodities!B$51,1)="*"),"*R0,R1,R2,R3,R4,R5,R6","R0,R1,R2,R3,R4,R5,R6")</f>
        <v>R0,R1,R2,R3,R4,R5,R6</v>
      </c>
      <c r="C271" s="158" t="str">
        <f>'Imp Refined'!E90</f>
        <v>IMPDSLP23</v>
      </c>
      <c r="D271" s="158" t="str">
        <f>'Imp Refined'!F90</f>
        <v>Imported Distillate-Low Sulfur Highway Diesel (500 ppm), PADD 2, Step 3</v>
      </c>
      <c r="E271" s="197" t="s">
        <v>196</v>
      </c>
      <c r="F271" s="197" t="s">
        <v>318</v>
      </c>
      <c r="G271" s="181"/>
      <c r="H271" s="158"/>
      <c r="I271" s="158"/>
    </row>
    <row r="272" spans="2:9">
      <c r="B272" s="158" t="str">
        <f>IF(OR(G$193="*",LEFT(Commodities!B$51,1)="*"),"*R0,R1,R2,R3,R4,R5,R6","R0,R1,R2,R3,R4,R5,R6")</f>
        <v>R0,R1,R2,R3,R4,R5,R6</v>
      </c>
      <c r="C272" s="158" t="str">
        <f>'Imp Refined'!E91</f>
        <v>IMPDSLP21</v>
      </c>
      <c r="D272" s="158" t="str">
        <f>'Imp Refined'!F91</f>
        <v>Imported Distillate-Low Sulfur Highway Diesel (500 ppm), PADD 2, Step 1</v>
      </c>
      <c r="E272" s="197" t="s">
        <v>196</v>
      </c>
      <c r="F272" s="197" t="s">
        <v>318</v>
      </c>
      <c r="G272" s="181"/>
      <c r="H272" s="158"/>
      <c r="I272" s="158"/>
    </row>
    <row r="273" spans="2:9">
      <c r="B273" s="158" t="str">
        <f>IF(OR(G$193="*",LEFT(Commodities!B$51,1)="*"),"*R0,R1,R2,R3,R4,R5,R6","R0,R1,R2,R3,R4,R5,R6")</f>
        <v>R0,R1,R2,R3,R4,R5,R6</v>
      </c>
      <c r="C273" s="158" t="str">
        <f>'Imp Refined'!E92</f>
        <v>IMPDSLP22</v>
      </c>
      <c r="D273" s="158" t="str">
        <f>'Imp Refined'!F92</f>
        <v>Imported Distillate-Low Sulfur Highway Diesel (500 ppm), PADD 2, Step 2</v>
      </c>
      <c r="E273" s="197" t="s">
        <v>196</v>
      </c>
      <c r="F273" s="197" t="s">
        <v>318</v>
      </c>
      <c r="G273" s="181"/>
      <c r="H273" s="158"/>
      <c r="I273" s="158"/>
    </row>
    <row r="274" spans="2:9">
      <c r="B274" s="158" t="str">
        <f>IF(OR(G$193="*",LEFT(Commodities!B$51,1)="*"),"*R0,R1,R2,R3,R4,R5,R6","R0,R1,R2,R3,R4,R5,R6")</f>
        <v>R0,R1,R2,R3,R4,R5,R6</v>
      </c>
      <c r="C274" s="158" t="str">
        <f>'Imp Refined'!E93</f>
        <v>IMPDSLP24</v>
      </c>
      <c r="D274" s="158" t="str">
        <f>'Imp Refined'!F93</f>
        <v>Imported Distillate-Low Sulfur Highway Diesel (500 ppm), PADD 2, Step 4</v>
      </c>
      <c r="E274" s="197" t="s">
        <v>196</v>
      </c>
      <c r="F274" s="197" t="s">
        <v>318</v>
      </c>
      <c r="G274" s="181"/>
      <c r="H274" s="158"/>
      <c r="I274" s="158"/>
    </row>
    <row r="275" spans="2:9">
      <c r="B275" s="158" t="str">
        <f>IF(OR(G$193="*",LEFT(Commodities!B$51,1)="*"),"*R0,R1,R2,R3,R4,R5,R6","R0,R1,R2,R3,R4,R5,R6")</f>
        <v>R0,R1,R2,R3,R4,R5,R6</v>
      </c>
      <c r="C275" s="158" t="str">
        <f>'Imp Refined'!E94</f>
        <v>IMPDSLP25</v>
      </c>
      <c r="D275" s="158" t="str">
        <f>'Imp Refined'!F94</f>
        <v>Imported Distillate-Low Sulfur Highway Diesel (500 ppm), PADD 2, Step 5</v>
      </c>
      <c r="E275" s="197" t="s">
        <v>196</v>
      </c>
      <c r="F275" s="197" t="s">
        <v>318</v>
      </c>
      <c r="G275" s="181"/>
      <c r="H275" s="158"/>
      <c r="I275" s="158"/>
    </row>
    <row r="276" spans="2:9">
      <c r="B276" s="158" t="str">
        <f>IF(OR(G$193="*",LEFT(Commodities!B$59,1)="*"),"*R0,R1,R2,R3,R4,R5,R6","R0,R1,R2,R3,R4,R5,R6")</f>
        <v>R0,R1,R2,R3,R4,R5,R6</v>
      </c>
      <c r="C276" s="158" t="str">
        <f>'Imp Refined'!E95</f>
        <v>IMPRFLP23</v>
      </c>
      <c r="D276" s="158" t="str">
        <f>'Imp Refined'!F95</f>
        <v>Imported Low Sulfur Residual Fuel Oil, PADD 2, Step 3</v>
      </c>
      <c r="E276" s="197" t="s">
        <v>196</v>
      </c>
      <c r="F276" s="197" t="s">
        <v>318</v>
      </c>
      <c r="G276" s="181"/>
      <c r="H276" s="158"/>
      <c r="I276" s="158"/>
    </row>
    <row r="277" spans="2:9">
      <c r="B277" s="158" t="str">
        <f>IF(OR(G$193="*",LEFT(Commodities!B$59,1)="*"),"*R0,R1,R2,R3,R4,R5,R6","R0,R1,R2,R3,R4,R5,R6")</f>
        <v>R0,R1,R2,R3,R4,R5,R6</v>
      </c>
      <c r="C277" s="158" t="str">
        <f>'Imp Refined'!E96</f>
        <v>IMPRFLP21</v>
      </c>
      <c r="D277" s="158" t="str">
        <f>'Imp Refined'!F96</f>
        <v>Imported Low Sulfur Residual Fuel Oil, PADD 2, Step 1</v>
      </c>
      <c r="E277" s="197" t="s">
        <v>196</v>
      </c>
      <c r="F277" s="197" t="s">
        <v>318</v>
      </c>
      <c r="G277" s="181"/>
      <c r="H277" s="158"/>
      <c r="I277" s="158"/>
    </row>
    <row r="278" spans="2:9">
      <c r="B278" s="158" t="str">
        <f>IF(OR(G$193="*",LEFT(Commodities!B$59,1)="*"),"*R0,R1,R2,R3,R4,R5,R6","R0,R1,R2,R3,R4,R5,R6")</f>
        <v>R0,R1,R2,R3,R4,R5,R6</v>
      </c>
      <c r="C278" s="158" t="str">
        <f>'Imp Refined'!E97</f>
        <v>IMPRFLP22</v>
      </c>
      <c r="D278" s="158" t="str">
        <f>'Imp Refined'!F97</f>
        <v>Imported Low Sulfur Residual Fuel Oil, PADD 2, Step 2</v>
      </c>
      <c r="E278" s="197" t="s">
        <v>196</v>
      </c>
      <c r="F278" s="197" t="s">
        <v>318</v>
      </c>
      <c r="G278" s="181"/>
      <c r="H278" s="158"/>
      <c r="I278" s="158"/>
    </row>
    <row r="279" spans="2:9">
      <c r="B279" s="158" t="str">
        <f>IF(OR(G$193="*",LEFT(Commodities!B$59,1)="*"),"*R0,R1,R2,R3,R4,R5,R6","R0,R1,R2,R3,R4,R5,R6")</f>
        <v>R0,R1,R2,R3,R4,R5,R6</v>
      </c>
      <c r="C279" s="158" t="str">
        <f>'Imp Refined'!E98</f>
        <v>IMPRFLP24</v>
      </c>
      <c r="D279" s="158" t="str">
        <f>'Imp Refined'!F98</f>
        <v>Imported Low Sulfur Residual Fuel Oil, PADD 2, Step 4</v>
      </c>
      <c r="E279" s="197" t="s">
        <v>196</v>
      </c>
      <c r="F279" s="197" t="s">
        <v>318</v>
      </c>
      <c r="G279" s="181"/>
      <c r="H279" s="158"/>
      <c r="I279" s="158"/>
    </row>
    <row r="280" spans="2:9">
      <c r="B280" s="158" t="str">
        <f>IF(OR(G$193="*",LEFT(Commodities!B$59,1)="*"),"*R0,R1,R2,R3,R4,R5,R6","R0,R1,R2,R3,R4,R5,R6")</f>
        <v>R0,R1,R2,R3,R4,R5,R6</v>
      </c>
      <c r="C280" s="158" t="str">
        <f>'Imp Refined'!E99</f>
        <v>IMPRFLP25</v>
      </c>
      <c r="D280" s="158" t="str">
        <f>'Imp Refined'!F99</f>
        <v>Imported Low Sulfur Residual Fuel Oil, PADD 2, Step 5</v>
      </c>
      <c r="E280" s="197" t="s">
        <v>196</v>
      </c>
      <c r="F280" s="197" t="s">
        <v>318</v>
      </c>
      <c r="G280" s="181"/>
      <c r="H280" s="158"/>
      <c r="I280" s="158"/>
    </row>
    <row r="281" spans="2:9">
      <c r="B281" s="158" t="str">
        <f>IF(OR(G$193="*",LEFT(Commodities!B$58,1)="*"),"*R0,R1,R2,R3,R4,R5,R6","R0,R1,R2,R3,R4,R5,R6")</f>
        <v>*R0,R1,R2,R3,R4,R5,R6</v>
      </c>
      <c r="C281" s="158" t="str">
        <f>'Imp Refined'!E100</f>
        <v>IMPRFHP23</v>
      </c>
      <c r="D281" s="158" t="str">
        <f>'Imp Refined'!F100</f>
        <v>Imported High Sulfur Residual Fuel Oil, PADD 2, Step 3</v>
      </c>
      <c r="E281" s="197" t="s">
        <v>196</v>
      </c>
      <c r="F281" s="197" t="s">
        <v>318</v>
      </c>
      <c r="G281" s="181"/>
      <c r="H281" s="158"/>
      <c r="I281" s="158"/>
    </row>
    <row r="282" spans="2:9">
      <c r="B282" s="158" t="str">
        <f>IF(OR(G$193="*",LEFT(Commodities!B$58,1)="*"),"*R0,R1,R2,R3,R4,R5,R6","R0,R1,R2,R3,R4,R5,R6")</f>
        <v>*R0,R1,R2,R3,R4,R5,R6</v>
      </c>
      <c r="C282" s="158" t="str">
        <f>'Imp Refined'!E101</f>
        <v>IMPRFHP21</v>
      </c>
      <c r="D282" s="158" t="str">
        <f>'Imp Refined'!F101</f>
        <v>Imported High Sulfur Residual Fuel Oil, PADD 2, Step 1</v>
      </c>
      <c r="E282" s="197" t="s">
        <v>196</v>
      </c>
      <c r="F282" s="197" t="s">
        <v>318</v>
      </c>
      <c r="G282" s="181"/>
      <c r="H282" s="158"/>
      <c r="I282" s="158"/>
    </row>
    <row r="283" spans="2:9">
      <c r="B283" s="158" t="str">
        <f>IF(OR(G$193="*",LEFT(Commodities!B$58,1)="*"),"*R0,R1,R2,R3,R4,R5,R6","R0,R1,R2,R3,R4,R5,R6")</f>
        <v>*R0,R1,R2,R3,R4,R5,R6</v>
      </c>
      <c r="C283" s="158" t="str">
        <f>'Imp Refined'!E102</f>
        <v>IMPRFHP22</v>
      </c>
      <c r="D283" s="158" t="str">
        <f>'Imp Refined'!F102</f>
        <v>Imported High Sulfur Residual Fuel Oil, PADD 2, Step 2</v>
      </c>
      <c r="E283" s="197" t="s">
        <v>196</v>
      </c>
      <c r="F283" s="197" t="s">
        <v>318</v>
      </c>
      <c r="G283" s="181"/>
      <c r="H283" s="158"/>
      <c r="I283" s="158"/>
    </row>
    <row r="284" spans="2:9">
      <c r="B284" s="158" t="str">
        <f>IF(OR(G$193="*",LEFT(Commodities!B$58,1)="*"),"*R0,R1,R2,R3,R4,R5,R6","R0,R1,R2,R3,R4,R5,R6")</f>
        <v>*R0,R1,R2,R3,R4,R5,R6</v>
      </c>
      <c r="C284" s="158" t="str">
        <f>'Imp Refined'!E103</f>
        <v>IMPRFHP24</v>
      </c>
      <c r="D284" s="158" t="str">
        <f>'Imp Refined'!F103</f>
        <v>Imported High Sulfur Residual Fuel Oil, PADD 2, Step 4</v>
      </c>
      <c r="E284" s="197" t="s">
        <v>196</v>
      </c>
      <c r="F284" s="197" t="s">
        <v>318</v>
      </c>
      <c r="G284" s="181"/>
      <c r="H284" s="158"/>
      <c r="I284" s="158"/>
    </row>
    <row r="285" spans="2:9">
      <c r="B285" s="158" t="str">
        <f>IF(OR(G$193="*",LEFT(Commodities!B$58,1)="*"),"*R0,R1,R2,R3,R4,R5,R6","R0,R1,R2,R3,R4,R5,R6")</f>
        <v>*R0,R1,R2,R3,R4,R5,R6</v>
      </c>
      <c r="C285" s="158" t="str">
        <f>'Imp Refined'!E104</f>
        <v>IMPRFHP25</v>
      </c>
      <c r="D285" s="158" t="str">
        <f>'Imp Refined'!F104</f>
        <v>Imported High Sulfur Residual Fuel Oil, PADD 2, Step 5</v>
      </c>
      <c r="E285" s="197" t="s">
        <v>196</v>
      </c>
      <c r="F285" s="197" t="s">
        <v>318</v>
      </c>
      <c r="G285" s="181"/>
      <c r="H285" s="158"/>
      <c r="I285" s="158"/>
    </row>
    <row r="286" spans="2:9">
      <c r="B286" s="158" t="str">
        <f>IF(OR(G$193="*",LEFT(Commodities!B$53,1)="*"),"*R0,R1,R2,R3,R4,R5,R6","R0,R1,R2,R3,R4,R5,R6")</f>
        <v>*R0,R1,R2,R3,R4,R5,R6</v>
      </c>
      <c r="C286" s="158" t="str">
        <f>'Imp Refined'!E105</f>
        <v>IMPJTFP23</v>
      </c>
      <c r="D286" s="158" t="str">
        <f>'Imp Refined'!F105</f>
        <v>Imported Jet Fuel, PADD 2, Step 3</v>
      </c>
      <c r="E286" s="197" t="s">
        <v>196</v>
      </c>
      <c r="F286" s="197" t="s">
        <v>318</v>
      </c>
      <c r="G286" s="181"/>
      <c r="H286" s="158"/>
      <c r="I286" s="158"/>
    </row>
    <row r="287" spans="2:9">
      <c r="B287" s="158" t="str">
        <f>IF(OR(G$193="*",LEFT(Commodities!B$53,1)="*"),"*R0,R1,R2,R3,R4,R5,R6","R0,R1,R2,R3,R4,R5,R6")</f>
        <v>*R0,R1,R2,R3,R4,R5,R6</v>
      </c>
      <c r="C287" s="158" t="str">
        <f>'Imp Refined'!E106</f>
        <v>IMPJTFP21</v>
      </c>
      <c r="D287" s="158" t="str">
        <f>'Imp Refined'!F106</f>
        <v>Imported Jet Fuel, PADD 2, Step 1</v>
      </c>
      <c r="E287" s="197" t="s">
        <v>196</v>
      </c>
      <c r="F287" s="197" t="s">
        <v>318</v>
      </c>
      <c r="G287" s="181"/>
      <c r="H287" s="158"/>
      <c r="I287" s="158"/>
    </row>
    <row r="288" spans="2:9">
      <c r="B288" s="158" t="str">
        <f>IF(OR(G$193="*",LEFT(Commodities!B$53,1)="*"),"*R0,R1,R2,R3,R4,R5,R6","R0,R1,R2,R3,R4,R5,R6")</f>
        <v>*R0,R1,R2,R3,R4,R5,R6</v>
      </c>
      <c r="C288" s="158" t="str">
        <f>'Imp Refined'!E107</f>
        <v>IMPJTFP22</v>
      </c>
      <c r="D288" s="158" t="str">
        <f>'Imp Refined'!F107</f>
        <v>Imported Jet Fuel, PADD 2, Step 2</v>
      </c>
      <c r="E288" s="197" t="s">
        <v>196</v>
      </c>
      <c r="F288" s="197" t="s">
        <v>318</v>
      </c>
      <c r="G288" s="181"/>
      <c r="H288" s="158"/>
      <c r="I288" s="158"/>
    </row>
    <row r="289" spans="2:9">
      <c r="B289" s="158" t="str">
        <f>IF(OR(G$193="*",LEFT(Commodities!B$53,1)="*"),"*R0,R1,R2,R3,R4,R5,R6","R0,R1,R2,R3,R4,R5,R6")</f>
        <v>*R0,R1,R2,R3,R4,R5,R6</v>
      </c>
      <c r="C289" s="158" t="str">
        <f>'Imp Refined'!E108</f>
        <v>IMPJTFP24</v>
      </c>
      <c r="D289" s="158" t="str">
        <f>'Imp Refined'!F108</f>
        <v>Imported Jet Fuel, PADD 2, Step 4</v>
      </c>
      <c r="E289" s="197" t="s">
        <v>196</v>
      </c>
      <c r="F289" s="197" t="s">
        <v>318</v>
      </c>
      <c r="G289" s="181"/>
      <c r="H289" s="158"/>
      <c r="I289" s="158"/>
    </row>
    <row r="290" spans="2:9">
      <c r="B290" s="158" t="str">
        <f>IF(OR(G$193="*",LEFT(Commodities!B$53,1)="*"),"*R0,R1,R2,R3,R4,R5,R6","R0,R1,R2,R3,R4,R5,R6")</f>
        <v>*R0,R1,R2,R3,R4,R5,R6</v>
      </c>
      <c r="C290" s="158" t="str">
        <f>'Imp Refined'!E109</f>
        <v>IMPJTFP25</v>
      </c>
      <c r="D290" s="158" t="str">
        <f>'Imp Refined'!F109</f>
        <v>Imported Jet Fuel, PADD 2, Step 5</v>
      </c>
      <c r="E290" s="197" t="s">
        <v>196</v>
      </c>
      <c r="F290" s="197" t="s">
        <v>318</v>
      </c>
      <c r="G290" s="181"/>
      <c r="H290" s="158"/>
      <c r="I290" s="158"/>
    </row>
    <row r="291" spans="2:9">
      <c r="B291" s="158" t="str">
        <f>IF(OR(G$193="*",LEFT(Commodities!B$55,1)="*"),"*R0,R1,R2,R3,R4,R5,R6","R0,R1,R2,R3,R4,R5,R6")</f>
        <v>*R0,R1,R2,R3,R4,R5,R6</v>
      </c>
      <c r="C291" s="158" t="str">
        <f>'Imp Refined'!E110</f>
        <v>IMPLPGP23</v>
      </c>
      <c r="D291" s="158" t="str">
        <f>'Imp Refined'!F110</f>
        <v>Imported LPG, PADD 2, Step 3</v>
      </c>
      <c r="E291" s="197" t="s">
        <v>196</v>
      </c>
      <c r="F291" s="197" t="s">
        <v>318</v>
      </c>
      <c r="G291" s="181"/>
      <c r="H291" s="158"/>
      <c r="I291" s="158"/>
    </row>
    <row r="292" spans="2:9">
      <c r="B292" s="158" t="str">
        <f>IF(OR(G$193="*",LEFT(Commodities!B$55,1)="*"),"*R0,R1,R2,R3,R4,R5,R6","R0,R1,R2,R3,R4,R5,R6")</f>
        <v>*R0,R1,R2,R3,R4,R5,R6</v>
      </c>
      <c r="C292" s="158" t="str">
        <f>'Imp Refined'!E111</f>
        <v>IMPLPGP21</v>
      </c>
      <c r="D292" s="158" t="str">
        <f>'Imp Refined'!F111</f>
        <v>Imported LPG, PADD 2, Step 1</v>
      </c>
      <c r="E292" s="197" t="s">
        <v>196</v>
      </c>
      <c r="F292" s="197" t="s">
        <v>318</v>
      </c>
      <c r="G292" s="181"/>
      <c r="H292" s="158"/>
      <c r="I292" s="158"/>
    </row>
    <row r="293" spans="2:9">
      <c r="B293" s="158" t="str">
        <f>IF(OR(G$193="*",LEFT(Commodities!B$55,1)="*"),"*R0,R1,R2,R3,R4,R5,R6","R0,R1,R2,R3,R4,R5,R6")</f>
        <v>*R0,R1,R2,R3,R4,R5,R6</v>
      </c>
      <c r="C293" s="158" t="str">
        <f>'Imp Refined'!E112</f>
        <v>IMPLPGP22</v>
      </c>
      <c r="D293" s="158" t="str">
        <f>'Imp Refined'!F112</f>
        <v>Imported LPG, PADD 2, Step 2</v>
      </c>
      <c r="E293" s="197" t="s">
        <v>196</v>
      </c>
      <c r="F293" s="197" t="s">
        <v>318</v>
      </c>
      <c r="G293" s="181"/>
      <c r="H293" s="158"/>
      <c r="I293" s="158"/>
    </row>
    <row r="294" spans="2:9">
      <c r="B294" s="158" t="str">
        <f>IF(OR(G$193="*",LEFT(Commodities!B$55,1)="*"),"*R0,R1,R2,R3,R4,R5,R6","R0,R1,R2,R3,R4,R5,R6")</f>
        <v>*R0,R1,R2,R3,R4,R5,R6</v>
      </c>
      <c r="C294" s="158" t="str">
        <f>'Imp Refined'!E113</f>
        <v>IMPLPGP24</v>
      </c>
      <c r="D294" s="158" t="str">
        <f>'Imp Refined'!F113</f>
        <v>Imported LPG, PADD 2, Step 4</v>
      </c>
      <c r="E294" s="197" t="s">
        <v>196</v>
      </c>
      <c r="F294" s="197" t="s">
        <v>318</v>
      </c>
      <c r="G294" s="181"/>
      <c r="H294" s="158"/>
      <c r="I294" s="158"/>
    </row>
    <row r="295" spans="2:9">
      <c r="B295" s="158" t="str">
        <f>IF(OR(G$193="*",LEFT(Commodities!B$55,1)="*"),"*R0,R1,R2,R3,R4,R5,R6","R0,R1,R2,R3,R4,R5,R6")</f>
        <v>*R0,R1,R2,R3,R4,R5,R6</v>
      </c>
      <c r="C295" s="158" t="str">
        <f>'Imp Refined'!E114</f>
        <v>IMPLPGP25</v>
      </c>
      <c r="D295" s="158" t="str">
        <f>'Imp Refined'!F114</f>
        <v>Imported LPG, PADD 2, Step 5</v>
      </c>
      <c r="E295" s="197" t="s">
        <v>196</v>
      </c>
      <c r="F295" s="197" t="s">
        <v>318</v>
      </c>
      <c r="G295" s="181"/>
      <c r="H295" s="158"/>
      <c r="I295" s="158"/>
    </row>
    <row r="296" spans="2:9">
      <c r="B296" s="158" t="str">
        <f>IF(OR(G$193="*",LEFT(Commodities!B$57,1)="*"),"*R0,R1,R2,R3,R4,R5,R6","R0,R1,R2,R3,R4,R5,R6")</f>
        <v>*R0,R1,R2,R3,R4,R5,R6</v>
      </c>
      <c r="C296" s="158" t="str">
        <f>'Imp Refined'!E115</f>
        <v>IMPPFSP23</v>
      </c>
      <c r="D296" s="158" t="str">
        <f>'Imp Refined'!F115</f>
        <v>Imported Petrochemical Feedstocks, PADD 2, Step 3</v>
      </c>
      <c r="E296" s="197" t="s">
        <v>196</v>
      </c>
      <c r="F296" s="197" t="s">
        <v>318</v>
      </c>
      <c r="G296" s="181"/>
      <c r="H296" s="158"/>
      <c r="I296" s="158"/>
    </row>
    <row r="297" spans="2:9">
      <c r="B297" s="158" t="str">
        <f>IF(OR(G$193="*",LEFT(Commodities!B$57,1)="*"),"*R0,R1,R2,R3,R4,R5,R6","R0,R1,R2,R3,R4,R5,R6")</f>
        <v>*R0,R1,R2,R3,R4,R5,R6</v>
      </c>
      <c r="C297" s="158" t="str">
        <f>'Imp Refined'!E116</f>
        <v>IMPPFSP21</v>
      </c>
      <c r="D297" s="158" t="str">
        <f>'Imp Refined'!F116</f>
        <v>Imported Petrochemical Feedstocks, PADD 2, Step 1</v>
      </c>
      <c r="E297" s="197" t="s">
        <v>196</v>
      </c>
      <c r="F297" s="197" t="s">
        <v>318</v>
      </c>
      <c r="G297" s="181"/>
      <c r="H297" s="158"/>
      <c r="I297" s="158"/>
    </row>
    <row r="298" spans="2:9">
      <c r="B298" s="158" t="str">
        <f>IF(OR(G$193="*",LEFT(Commodities!B$57,1)="*"),"*R0,R1,R2,R3,R4,R5,R6","R0,R1,R2,R3,R4,R5,R6")</f>
        <v>*R0,R1,R2,R3,R4,R5,R6</v>
      </c>
      <c r="C298" s="158" t="str">
        <f>'Imp Refined'!E117</f>
        <v>IMPPFSP22</v>
      </c>
      <c r="D298" s="158" t="str">
        <f>'Imp Refined'!F117</f>
        <v>Imported Petrochemical Feedstocks, PADD 2, Step 2</v>
      </c>
      <c r="E298" s="197" t="s">
        <v>196</v>
      </c>
      <c r="F298" s="197" t="s">
        <v>318</v>
      </c>
      <c r="G298" s="181"/>
      <c r="H298" s="158"/>
      <c r="I298" s="158"/>
    </row>
    <row r="299" spans="2:9">
      <c r="B299" s="158" t="str">
        <f>IF(OR(G$193="*",LEFT(Commodities!B$57,1)="*"),"*R0,R1,R2,R3,R4,R5,R6","R0,R1,R2,R3,R4,R5,R6")</f>
        <v>*R0,R1,R2,R3,R4,R5,R6</v>
      </c>
      <c r="C299" s="158" t="str">
        <f>'Imp Refined'!E118</f>
        <v>IMPPFSP24</v>
      </c>
      <c r="D299" s="158" t="str">
        <f>'Imp Refined'!F118</f>
        <v>Imported Petrochemical Feedstocks, PADD 2, Step 4</v>
      </c>
      <c r="E299" s="197" t="s">
        <v>196</v>
      </c>
      <c r="F299" s="197" t="s">
        <v>318</v>
      </c>
      <c r="G299" s="181"/>
      <c r="H299" s="158"/>
      <c r="I299" s="158"/>
    </row>
    <row r="300" spans="2:9">
      <c r="B300" s="158" t="str">
        <f>IF(OR(G$193="*",LEFT(Commodities!B$57,1)="*"),"*R0,R1,R2,R3,R4,R5,R6","R0,R1,R2,R3,R4,R5,R6")</f>
        <v>*R0,R1,R2,R3,R4,R5,R6</v>
      </c>
      <c r="C300" s="158" t="str">
        <f>'Imp Refined'!E119</f>
        <v>IMPPFSP25</v>
      </c>
      <c r="D300" s="158" t="str">
        <f>'Imp Refined'!F119</f>
        <v>Imported Petrochemical Feedstocks, PADD 2, Step 5</v>
      </c>
      <c r="E300" s="197" t="s">
        <v>196</v>
      </c>
      <c r="F300" s="197" t="s">
        <v>318</v>
      </c>
      <c r="G300" s="181"/>
      <c r="H300" s="158"/>
      <c r="I300" s="158"/>
    </row>
    <row r="301" spans="2:9">
      <c r="B301" s="158" t="str">
        <f>IF(OR(G$193="*",LEFT(Commodities!B$54,1)="*"),"*R0,R1,R2,R3,R4,R5,R6","R0,R1,R2,R3,R4,R5,R6")</f>
        <v>*R0,R1,R2,R3,R4,R5,R6</v>
      </c>
      <c r="C301" s="158" t="str">
        <f>'Imp Refined'!E120</f>
        <v>IMPKERP23</v>
      </c>
      <c r="D301" s="158" t="str">
        <f>'Imp Refined'!F120</f>
        <v>Imported Kerosene and Other Refined Products, PADD 2, Step 3</v>
      </c>
      <c r="E301" s="197" t="s">
        <v>196</v>
      </c>
      <c r="F301" s="197" t="s">
        <v>318</v>
      </c>
      <c r="G301" s="181"/>
      <c r="H301" s="158"/>
      <c r="I301" s="158"/>
    </row>
    <row r="302" spans="2:9">
      <c r="B302" s="158" t="str">
        <f>IF(OR(G$193="*",LEFT(Commodities!B$54,1)="*"),"*R0,R1,R2,R3,R4,R5,R6","R0,R1,R2,R3,R4,R5,R6")</f>
        <v>*R0,R1,R2,R3,R4,R5,R6</v>
      </c>
      <c r="C302" s="158" t="str">
        <f>'Imp Refined'!E121</f>
        <v>IMPKERP21</v>
      </c>
      <c r="D302" s="158" t="str">
        <f>'Imp Refined'!F121</f>
        <v>Imported Kerosene and Other Refined Products, PADD 2, Step 1</v>
      </c>
      <c r="E302" s="197" t="s">
        <v>196</v>
      </c>
      <c r="F302" s="197" t="s">
        <v>318</v>
      </c>
      <c r="G302" s="181"/>
      <c r="H302" s="158"/>
      <c r="I302" s="158"/>
    </row>
    <row r="303" spans="2:9">
      <c r="B303" s="158" t="str">
        <f>IF(OR(G$193="*",LEFT(Commodities!B$54,1)="*"),"*R0,R1,R2,R3,R4,R5,R6","R0,R1,R2,R3,R4,R5,R6")</f>
        <v>*R0,R1,R2,R3,R4,R5,R6</v>
      </c>
      <c r="C303" s="158" t="str">
        <f>'Imp Refined'!E122</f>
        <v>IMPKERP22</v>
      </c>
      <c r="D303" s="158" t="str">
        <f>'Imp Refined'!F122</f>
        <v>Imported Kerosene and Other Refined Products, PADD 2, Step 2</v>
      </c>
      <c r="E303" s="197" t="s">
        <v>196</v>
      </c>
      <c r="F303" s="197" t="s">
        <v>318</v>
      </c>
      <c r="G303" s="181"/>
      <c r="H303" s="158"/>
      <c r="I303" s="158"/>
    </row>
    <row r="304" spans="2:9">
      <c r="B304" s="158" t="str">
        <f>IF(OR(G$193="*",LEFT(Commodities!B$54,1)="*"),"*R0,R1,R2,R3,R4,R5,R6","R0,R1,R2,R3,R4,R5,R6")</f>
        <v>*R0,R1,R2,R3,R4,R5,R6</v>
      </c>
      <c r="C304" s="158" t="str">
        <f>'Imp Refined'!E123</f>
        <v>IMPKERP24</v>
      </c>
      <c r="D304" s="158" t="str">
        <f>'Imp Refined'!F123</f>
        <v>Imported Kerosene and Other Refined Products, PADD 2, Step 4</v>
      </c>
      <c r="E304" s="197" t="s">
        <v>196</v>
      </c>
      <c r="F304" s="197" t="s">
        <v>318</v>
      </c>
      <c r="G304" s="181"/>
      <c r="H304" s="158"/>
      <c r="I304" s="158"/>
    </row>
    <row r="305" spans="2:9">
      <c r="B305" s="158" t="str">
        <f>IF(OR(G$193="*",LEFT(Commodities!B$54,1)="*"),"*R0,R1,R2,R3,R4,R5,R6","R0,R1,R2,R3,R4,R5,R6")</f>
        <v>*R0,R1,R2,R3,R4,R5,R6</v>
      </c>
      <c r="C305" s="158" t="str">
        <f>'Imp Refined'!E124</f>
        <v>IMPKERP25</v>
      </c>
      <c r="D305" s="158" t="str">
        <f>'Imp Refined'!F124</f>
        <v>Imported Kerosene and Other Refined Products, PADD 2, Step 5</v>
      </c>
      <c r="E305" s="197" t="s">
        <v>196</v>
      </c>
      <c r="F305" s="197" t="s">
        <v>318</v>
      </c>
      <c r="G305" s="181"/>
      <c r="H305" s="158"/>
      <c r="I305" s="158"/>
    </row>
    <row r="306" spans="2:9">
      <c r="B306" s="158" t="str">
        <f>IF(OR(G$193="*",LEFT(Commodities!B$56,1)="*"),"*R0,R1,R2,R3,R4,R5,R6","R0,R1,R2,R3,R4,R5,R6")</f>
        <v>*R0,R1,R2,R3,R4,R5,R6</v>
      </c>
      <c r="C306" s="158" t="str">
        <f>'Imp Refined'!E125</f>
        <v>IMPMTHP23</v>
      </c>
      <c r="D306" s="158" t="str">
        <f>'Imp Refined'!F125</f>
        <v>Imported Methanol, PADD 2, Step 3</v>
      </c>
      <c r="E306" s="197" t="s">
        <v>196</v>
      </c>
      <c r="F306" s="197" t="s">
        <v>318</v>
      </c>
      <c r="G306" s="181"/>
      <c r="H306" s="158"/>
      <c r="I306" s="158"/>
    </row>
    <row r="307" spans="2:9">
      <c r="B307" s="158" t="str">
        <f>IF(OR(G$193="*",LEFT(Commodities!B$56,1)="*"),"*R0,R1,R2,R3,R4,R5,R6","R0,R1,R2,R3,R4,R5,R6")</f>
        <v>*R0,R1,R2,R3,R4,R5,R6</v>
      </c>
      <c r="C307" s="158" t="str">
        <f>'Imp Refined'!E126</f>
        <v>IMPMTHP21</v>
      </c>
      <c r="D307" s="158" t="str">
        <f>'Imp Refined'!F126</f>
        <v>Imported Methanol, PADD 2, Step 1</v>
      </c>
      <c r="E307" s="197" t="s">
        <v>196</v>
      </c>
      <c r="F307" s="197" t="s">
        <v>318</v>
      </c>
      <c r="G307" s="181"/>
      <c r="H307" s="158"/>
      <c r="I307" s="158"/>
    </row>
    <row r="308" spans="2:9">
      <c r="B308" s="158" t="str">
        <f>IF(OR(G$193="*",LEFT(Commodities!B$56,1)="*"),"*R0,R1,R2,R3,R4,R5,R6","R0,R1,R2,R3,R4,R5,R6")</f>
        <v>*R0,R1,R2,R3,R4,R5,R6</v>
      </c>
      <c r="C308" s="158" t="str">
        <f>'Imp Refined'!E127</f>
        <v>IMPMTHP22</v>
      </c>
      <c r="D308" s="158" t="str">
        <f>'Imp Refined'!F127</f>
        <v>Imported Methanol, PADD 2, Step 2</v>
      </c>
      <c r="E308" s="197" t="s">
        <v>196</v>
      </c>
      <c r="F308" s="197" t="s">
        <v>318</v>
      </c>
      <c r="G308" s="181"/>
      <c r="H308" s="158"/>
      <c r="I308" s="158"/>
    </row>
    <row r="309" spans="2:9">
      <c r="B309" s="158" t="str">
        <f>IF(OR(G$193="*",LEFT(Commodities!B$56,1)="*"),"*R0,R1,R2,R3,R4,R5,R6","R0,R1,R2,R3,R4,R5,R6")</f>
        <v>*R0,R1,R2,R3,R4,R5,R6</v>
      </c>
      <c r="C309" s="158" t="str">
        <f>'Imp Refined'!E128</f>
        <v>IMPMTHP24</v>
      </c>
      <c r="D309" s="158" t="str">
        <f>'Imp Refined'!F128</f>
        <v>Imported Methanol, PADD 2, Step 4</v>
      </c>
      <c r="E309" s="197" t="s">
        <v>196</v>
      </c>
      <c r="F309" s="197" t="s">
        <v>318</v>
      </c>
      <c r="G309" s="181"/>
      <c r="H309" s="158"/>
      <c r="I309" s="158"/>
    </row>
    <row r="310" spans="2:9">
      <c r="B310" s="158" t="str">
        <f>IF(OR(G$193="*",LEFT(Commodities!B$56,1)="*"),"*R0,R1,R2,R3,R4,R5,R6","R0,R1,R2,R3,R4,R5,R6")</f>
        <v>*R0,R1,R2,R3,R4,R5,R6</v>
      </c>
      <c r="C310" s="158" t="str">
        <f>'Imp Refined'!E129</f>
        <v>IMPMTHP25</v>
      </c>
      <c r="D310" s="158" t="str">
        <f>'Imp Refined'!F129</f>
        <v>Imported Methanol, PADD 2, Step 5</v>
      </c>
      <c r="E310" s="197" t="s">
        <v>196</v>
      </c>
      <c r="F310" s="197" t="s">
        <v>318</v>
      </c>
      <c r="G310" s="181"/>
      <c r="H310" s="158"/>
      <c r="I310" s="158"/>
    </row>
    <row r="311" spans="2:9">
      <c r="B311" s="158" t="str">
        <f>IF(OR(G$193="*",LEFT(Commodities!B$52,1)="*"),"*R0,R1,R2,R3,R4,R5,R6","R0,R1,R2,R3,R4,R5,R6")</f>
        <v>R0,R1,R2,R3,R4,R5,R6</v>
      </c>
      <c r="C311" s="158" t="str">
        <f>'Imp Refined'!E130</f>
        <v>IMPDSUP23</v>
      </c>
      <c r="D311" s="158" t="str">
        <f>'Imp Refined'!F130</f>
        <v>Imported Distillate-Ultralow Sulfur Highway Diesel (15 ppm), PADD 2, Step 3</v>
      </c>
      <c r="E311" s="197" t="s">
        <v>196</v>
      </c>
      <c r="F311" s="197" t="s">
        <v>318</v>
      </c>
      <c r="G311" s="181"/>
      <c r="H311" s="158"/>
      <c r="I311" s="158"/>
    </row>
    <row r="312" spans="2:9">
      <c r="B312" s="158" t="str">
        <f>IF(OR(G$193="*",LEFT(Commodities!B$52,1)="*"),"*R0,R1,R2,R3,R4,R5,R6","R0,R1,R2,R3,R4,R5,R6")</f>
        <v>R0,R1,R2,R3,R4,R5,R6</v>
      </c>
      <c r="C312" s="158" t="str">
        <f>'Imp Refined'!E131</f>
        <v>IMPDSUP21</v>
      </c>
      <c r="D312" s="158" t="str">
        <f>'Imp Refined'!F131</f>
        <v>Imported Distillate-Ultralow Sulfur Highway Diesel (15 ppm), PADD 2, Step 1</v>
      </c>
      <c r="E312" s="197" t="s">
        <v>196</v>
      </c>
      <c r="F312" s="197" t="s">
        <v>318</v>
      </c>
      <c r="G312" s="181"/>
      <c r="H312" s="158"/>
      <c r="I312" s="158"/>
    </row>
    <row r="313" spans="2:9">
      <c r="B313" s="158" t="str">
        <f>IF(OR(G$193="*",LEFT(Commodities!B$52,1)="*"),"*R0,R1,R2,R3,R4,R5,R6","R0,R1,R2,R3,R4,R5,R6")</f>
        <v>R0,R1,R2,R3,R4,R5,R6</v>
      </c>
      <c r="C313" s="158" t="str">
        <f>'Imp Refined'!E132</f>
        <v>IMPDSUP22</v>
      </c>
      <c r="D313" s="158" t="str">
        <f>'Imp Refined'!F132</f>
        <v>Imported Distillate-Ultralow Sulfur Highway Diesel (15 ppm), PADD 2, Step 2</v>
      </c>
      <c r="E313" s="197" t="s">
        <v>196</v>
      </c>
      <c r="F313" s="197" t="s">
        <v>318</v>
      </c>
      <c r="G313" s="181"/>
      <c r="H313" s="158"/>
      <c r="I313" s="158"/>
    </row>
    <row r="314" spans="2:9">
      <c r="B314" s="158" t="str">
        <f>IF(OR(G$193="*",LEFT(Commodities!B$52,1)="*"),"*R0,R1,R2,R3,R4,R5,R6","R0,R1,R2,R3,R4,R5,R6")</f>
        <v>R0,R1,R2,R3,R4,R5,R6</v>
      </c>
      <c r="C314" s="158" t="str">
        <f>'Imp Refined'!E133</f>
        <v>IMPDSUP24</v>
      </c>
      <c r="D314" s="158" t="str">
        <f>'Imp Refined'!F133</f>
        <v>Imported Distillate-Ultralow Sulfur Highway Diesel (15 ppm), PADD 2, Step 4</v>
      </c>
      <c r="E314" s="197" t="s">
        <v>196</v>
      </c>
      <c r="F314" s="197" t="s">
        <v>318</v>
      </c>
      <c r="G314" s="181"/>
      <c r="H314" s="158"/>
      <c r="I314" s="158"/>
    </row>
    <row r="315" spans="2:9">
      <c r="B315" s="158" t="str">
        <f>IF(OR(G$193="*",LEFT(Commodities!B$52,1)="*"),"*R0,R1,R2,R3,R4,R5,R6","R0,R1,R2,R3,R4,R5,R6")</f>
        <v>R0,R1,R2,R3,R4,R5,R6</v>
      </c>
      <c r="C315" s="158" t="str">
        <f>'Imp Refined'!E134</f>
        <v>IMPDSUP25</v>
      </c>
      <c r="D315" s="158" t="str">
        <f>'Imp Refined'!F134</f>
        <v>Imported Distillate-Ultralow Sulfur Highway Diesel (15 ppm), PADD 2, Step 5</v>
      </c>
      <c r="E315" s="197" t="s">
        <v>196</v>
      </c>
      <c r="F315" s="197" t="s">
        <v>318</v>
      </c>
      <c r="G315" s="181"/>
      <c r="H315" s="158"/>
      <c r="I315" s="158"/>
    </row>
    <row r="316" spans="2:9">
      <c r="B316" s="158" t="s">
        <v>398</v>
      </c>
      <c r="C316" s="158"/>
      <c r="D316" s="158"/>
      <c r="E316" s="197"/>
      <c r="F316" s="197"/>
      <c r="G316" s="181"/>
      <c r="H316" s="158"/>
      <c r="I316" s="158"/>
    </row>
    <row r="317" spans="2:9">
      <c r="B317" s="158" t="s">
        <v>398</v>
      </c>
      <c r="C317" s="158"/>
      <c r="D317" s="158"/>
      <c r="E317" s="197"/>
      <c r="F317" s="197"/>
      <c r="G317" s="181"/>
      <c r="H317" s="158"/>
      <c r="I317" s="158"/>
    </row>
    <row r="318" spans="2:9">
      <c r="B318" s="158" t="str">
        <f>IF(OR(G$193="*",LEFT(Commodities!B$49,1)="*"),"*R0,R1,R2,R3,R4,R5,R6","R0,R1,R2,R3,R4,R5,R6")</f>
        <v>R0,R1,R2,R3,R4,R5,R6</v>
      </c>
      <c r="C318" s="158" t="str">
        <f>'Imp Refined'!E137</f>
        <v>IMPGSRP33</v>
      </c>
      <c r="D318" s="158" t="str">
        <f>'Imp Refined'!F137</f>
        <v>Imported Reformulated Gasoline, PADD 3, Step 3</v>
      </c>
      <c r="E318" s="197" t="s">
        <v>196</v>
      </c>
      <c r="F318" s="197" t="s">
        <v>318</v>
      </c>
      <c r="G318" s="181"/>
      <c r="H318" s="158"/>
      <c r="I318" s="158"/>
    </row>
    <row r="319" spans="2:9">
      <c r="B319" s="158" t="str">
        <f>IF(OR(G$193="*",LEFT(Commodities!B$49,1)="*"),"*R0,R1,R2,R3,R4,R5,R6","R0,R1,R2,R3,R4,R5,R6")</f>
        <v>R0,R1,R2,R3,R4,R5,R6</v>
      </c>
      <c r="C319" s="158" t="str">
        <f>'Imp Refined'!E138</f>
        <v>IMPGSRP31</v>
      </c>
      <c r="D319" s="158" t="str">
        <f>'Imp Refined'!F138</f>
        <v>Imported Reformulated Gasoline, PADD 3, Step 1</v>
      </c>
      <c r="E319" s="197" t="s">
        <v>196</v>
      </c>
      <c r="F319" s="197" t="s">
        <v>318</v>
      </c>
      <c r="G319" s="181"/>
      <c r="H319" s="158"/>
      <c r="I319" s="158"/>
    </row>
    <row r="320" spans="2:9">
      <c r="B320" s="158" t="str">
        <f>IF(OR(G$193="*",LEFT(Commodities!B$49,1)="*"),"*R0,R1,R2,R3,R4,R5,R6","R0,R1,R2,R3,R4,R5,R6")</f>
        <v>R0,R1,R2,R3,R4,R5,R6</v>
      </c>
      <c r="C320" s="158" t="str">
        <f>'Imp Refined'!E139</f>
        <v>IMPGSRP32</v>
      </c>
      <c r="D320" s="158" t="str">
        <f>'Imp Refined'!F139</f>
        <v>Imported Reformulated Gasoline, PADD 3, Step 2</v>
      </c>
      <c r="E320" s="197" t="s">
        <v>196</v>
      </c>
      <c r="F320" s="197" t="s">
        <v>318</v>
      </c>
      <c r="G320" s="181"/>
      <c r="H320" s="158"/>
      <c r="I320" s="158"/>
    </row>
    <row r="321" spans="2:9">
      <c r="B321" s="158" t="str">
        <f>IF(OR(G$193="*",LEFT(Commodities!B$49,1)="*"),"*R0,R1,R2,R3,R4,R5,R6","R0,R1,R2,R3,R4,R5,R6")</f>
        <v>R0,R1,R2,R3,R4,R5,R6</v>
      </c>
      <c r="C321" s="158" t="str">
        <f>'Imp Refined'!E140</f>
        <v>IMPGSRP34</v>
      </c>
      <c r="D321" s="158" t="str">
        <f>'Imp Refined'!F140</f>
        <v>Imported Reformulated Gasoline, PADD 3, Step 4</v>
      </c>
      <c r="E321" s="197" t="s">
        <v>196</v>
      </c>
      <c r="F321" s="197" t="s">
        <v>318</v>
      </c>
      <c r="G321" s="181"/>
      <c r="H321" s="158"/>
      <c r="I321" s="158"/>
    </row>
    <row r="322" spans="2:9">
      <c r="B322" s="158" t="str">
        <f>IF(OR(G$193="*",LEFT(Commodities!B$49,1)="*"),"*R0,R1,R2,R3,R4,R5,R6","R0,R1,R2,R3,R4,R5,R6")</f>
        <v>R0,R1,R2,R3,R4,R5,R6</v>
      </c>
      <c r="C322" s="158" t="str">
        <f>'Imp Refined'!E141</f>
        <v>IMPGSRP35</v>
      </c>
      <c r="D322" s="158" t="str">
        <f>'Imp Refined'!F141</f>
        <v>Imported Reformulated Gasoline, PADD 3, Step 5</v>
      </c>
      <c r="E322" s="197" t="s">
        <v>196</v>
      </c>
      <c r="F322" s="197" t="s">
        <v>318</v>
      </c>
      <c r="G322" s="181"/>
      <c r="H322" s="158"/>
      <c r="I322" s="158"/>
    </row>
    <row r="323" spans="2:9">
      <c r="B323" s="158" t="str">
        <f>IF(OR(G$193="*",LEFT(Commodities!B$48,1)="*"),"*R0,R1,R2,R3,R4,R5,R6","R0,R1,R2,R3,R4,R5,R6")</f>
        <v>R0,R1,R2,R3,R4,R5,R6</v>
      </c>
      <c r="C323" s="158" t="str">
        <f>'Imp Refined'!E142</f>
        <v>IMPGSCP33</v>
      </c>
      <c r="D323" s="158" t="str">
        <f>'Imp Refined'!F142</f>
        <v>Imported Conventional Gasoline, PADD 3, Step 3</v>
      </c>
      <c r="E323" s="197" t="s">
        <v>196</v>
      </c>
      <c r="F323" s="197" t="s">
        <v>318</v>
      </c>
      <c r="G323" s="181"/>
      <c r="H323" s="158"/>
      <c r="I323" s="158"/>
    </row>
    <row r="324" spans="2:9">
      <c r="B324" s="158" t="str">
        <f>IF(OR(G$193="*",LEFT(Commodities!B$48,1)="*"),"*R0,R1,R2,R3,R4,R5,R6","R0,R1,R2,R3,R4,R5,R6")</f>
        <v>R0,R1,R2,R3,R4,R5,R6</v>
      </c>
      <c r="C324" s="158" t="str">
        <f>'Imp Refined'!E143</f>
        <v>IMPGSCP31</v>
      </c>
      <c r="D324" s="158" t="str">
        <f>'Imp Refined'!F143</f>
        <v>Imported Conventional Gasoline, PADD 3, Step 1</v>
      </c>
      <c r="E324" s="197" t="s">
        <v>196</v>
      </c>
      <c r="F324" s="197" t="s">
        <v>318</v>
      </c>
      <c r="G324" s="181"/>
      <c r="H324" s="158"/>
      <c r="I324" s="158"/>
    </row>
    <row r="325" spans="2:9">
      <c r="B325" s="158" t="str">
        <f>IF(OR(G$193="*",LEFT(Commodities!B$48,1)="*"),"*R0,R1,R2,R3,R4,R5,R6","R0,R1,R2,R3,R4,R5,R6")</f>
        <v>R0,R1,R2,R3,R4,R5,R6</v>
      </c>
      <c r="C325" s="158" t="str">
        <f>'Imp Refined'!E144</f>
        <v>IMPGSCP32</v>
      </c>
      <c r="D325" s="158" t="str">
        <f>'Imp Refined'!F144</f>
        <v>Imported Conventional Gasoline, PADD 3, Step 2</v>
      </c>
      <c r="E325" s="197" t="s">
        <v>196</v>
      </c>
      <c r="F325" s="197" t="s">
        <v>318</v>
      </c>
      <c r="G325" s="181"/>
      <c r="H325" s="158"/>
      <c r="I325" s="158"/>
    </row>
    <row r="326" spans="2:9">
      <c r="B326" s="158" t="str">
        <f>IF(OR(G$193="*",LEFT(Commodities!B$48,1)="*"),"*R0,R1,R2,R3,R4,R5,R6","R0,R1,R2,R3,R4,R5,R6")</f>
        <v>R0,R1,R2,R3,R4,R5,R6</v>
      </c>
      <c r="C326" s="158" t="str">
        <f>'Imp Refined'!E145</f>
        <v>IMPGSCP34</v>
      </c>
      <c r="D326" s="158" t="str">
        <f>'Imp Refined'!F145</f>
        <v>Imported Conventional Gasoline, PADD 3, Step 4</v>
      </c>
      <c r="E326" s="197" t="s">
        <v>196</v>
      </c>
      <c r="F326" s="197" t="s">
        <v>318</v>
      </c>
      <c r="G326" s="181"/>
      <c r="H326" s="158"/>
      <c r="I326" s="158"/>
    </row>
    <row r="327" spans="2:9">
      <c r="B327" s="158" t="str">
        <f>IF(OR(G$193="*",LEFT(Commodities!B$48,1)="*"),"*R0,R1,R2,R3,R4,R5,R6","R0,R1,R2,R3,R4,R5,R6")</f>
        <v>R0,R1,R2,R3,R4,R5,R6</v>
      </c>
      <c r="C327" s="158" t="str">
        <f>'Imp Refined'!E146</f>
        <v>IMPGSCP35</v>
      </c>
      <c r="D327" s="158" t="str">
        <f>'Imp Refined'!F146</f>
        <v>Imported Conventional Gasoline, PADD 3, Step 5</v>
      </c>
      <c r="E327" s="197" t="s">
        <v>196</v>
      </c>
      <c r="F327" s="197" t="s">
        <v>318</v>
      </c>
      <c r="G327" s="181"/>
      <c r="H327" s="158"/>
      <c r="I327" s="158"/>
    </row>
    <row r="328" spans="2:9">
      <c r="B328" s="158" t="str">
        <f>IF(OR(G$193="*",LEFT(Commodities!B$50,1)="*"),"*R0,R1,R2,R3,R4,R5,R6","R0,R1,R2,R3,R4,R5,R6")</f>
        <v>R0,R1,R2,R3,R4,R5,R6</v>
      </c>
      <c r="C328" s="158" t="str">
        <f>'Imp Refined'!E147</f>
        <v>IMPDSHP33</v>
      </c>
      <c r="D328" s="158" t="str">
        <f>'Imp Refined'!F147</f>
        <v>Imported Distillate-Heating Oil No. 2, PADD 3, Step 3</v>
      </c>
      <c r="E328" s="197" t="s">
        <v>196</v>
      </c>
      <c r="F328" s="197" t="s">
        <v>318</v>
      </c>
      <c r="G328" s="181"/>
      <c r="H328" s="158"/>
      <c r="I328" s="158"/>
    </row>
    <row r="329" spans="2:9">
      <c r="B329" s="158" t="str">
        <f>IF(OR(G$193="*",LEFT(Commodities!B$50,1)="*"),"*R0,R1,R2,R3,R4,R5,R6","R0,R1,R2,R3,R4,R5,R6")</f>
        <v>R0,R1,R2,R3,R4,R5,R6</v>
      </c>
      <c r="C329" s="158" t="str">
        <f>'Imp Refined'!E148</f>
        <v>IMPDSHP31</v>
      </c>
      <c r="D329" s="158" t="str">
        <f>'Imp Refined'!F148</f>
        <v>Imported Distillate-Heating Oil No. 2, PADD 3, Step 1</v>
      </c>
      <c r="E329" s="197" t="s">
        <v>196</v>
      </c>
      <c r="F329" s="197" t="s">
        <v>318</v>
      </c>
      <c r="G329" s="181"/>
      <c r="H329" s="158"/>
      <c r="I329" s="158"/>
    </row>
    <row r="330" spans="2:9">
      <c r="B330" s="158" t="str">
        <f>IF(OR(G$193="*",LEFT(Commodities!B$50,1)="*"),"*R0,R1,R2,R3,R4,R5,R6","R0,R1,R2,R3,R4,R5,R6")</f>
        <v>R0,R1,R2,R3,R4,R5,R6</v>
      </c>
      <c r="C330" s="158" t="str">
        <f>'Imp Refined'!E149</f>
        <v>IMPDSHP32</v>
      </c>
      <c r="D330" s="158" t="str">
        <f>'Imp Refined'!F149</f>
        <v>Imported Distillate-Heating Oil No. 2, PADD 3, Step 2</v>
      </c>
      <c r="E330" s="197" t="s">
        <v>196</v>
      </c>
      <c r="F330" s="197" t="s">
        <v>318</v>
      </c>
      <c r="G330" s="181"/>
      <c r="H330" s="158"/>
      <c r="I330" s="158"/>
    </row>
    <row r="331" spans="2:9">
      <c r="B331" s="158" t="str">
        <f>IF(OR(G$193="*",LEFT(Commodities!B$50,1)="*"),"*R0,R1,R2,R3,R4,R5,R6","R0,R1,R2,R3,R4,R5,R6")</f>
        <v>R0,R1,R2,R3,R4,R5,R6</v>
      </c>
      <c r="C331" s="158" t="str">
        <f>'Imp Refined'!E150</f>
        <v>IMPDSHP34</v>
      </c>
      <c r="D331" s="158" t="str">
        <f>'Imp Refined'!F150</f>
        <v>Imported Distillate-Heating Oil No. 2, PADD 3, Step 4</v>
      </c>
      <c r="E331" s="197" t="s">
        <v>196</v>
      </c>
      <c r="F331" s="197" t="s">
        <v>318</v>
      </c>
      <c r="G331" s="181"/>
      <c r="H331" s="158"/>
      <c r="I331" s="158"/>
    </row>
    <row r="332" spans="2:9">
      <c r="B332" s="158" t="str">
        <f>IF(OR(G$193="*",LEFT(Commodities!B$50,1)="*"),"*R0,R1,R2,R3,R4,R5,R6","R0,R1,R2,R3,R4,R5,R6")</f>
        <v>R0,R1,R2,R3,R4,R5,R6</v>
      </c>
      <c r="C332" s="158" t="str">
        <f>'Imp Refined'!E151</f>
        <v>IMPDSHP35</v>
      </c>
      <c r="D332" s="158" t="str">
        <f>'Imp Refined'!F151</f>
        <v>Imported Distillate-Heating Oil No. 2, PADD 3, Step 5</v>
      </c>
      <c r="E332" s="197" t="s">
        <v>196</v>
      </c>
      <c r="F332" s="197" t="s">
        <v>318</v>
      </c>
      <c r="G332" s="181"/>
      <c r="H332" s="158"/>
      <c r="I332" s="158"/>
    </row>
    <row r="333" spans="2:9">
      <c r="B333" s="158" t="str">
        <f>IF(OR(G$193="*",LEFT(Commodities!B$51,1)="*"),"*R0,R1,R2,R3,R4,R5,R6","R0,R1,R2,R3,R4,R5,R6")</f>
        <v>R0,R1,R2,R3,R4,R5,R6</v>
      </c>
      <c r="C333" s="158" t="str">
        <f>'Imp Refined'!E152</f>
        <v>IMPDSLP33</v>
      </c>
      <c r="D333" s="158" t="str">
        <f>'Imp Refined'!F152</f>
        <v>Imported Distillate-Low Sulfur Highway Diesel (500 ppm), PADD 3, Step 3</v>
      </c>
      <c r="E333" s="197" t="s">
        <v>196</v>
      </c>
      <c r="F333" s="197" t="s">
        <v>318</v>
      </c>
      <c r="G333" s="181"/>
      <c r="H333" s="158"/>
      <c r="I333" s="158"/>
    </row>
    <row r="334" spans="2:9">
      <c r="B334" s="158" t="str">
        <f>IF(OR(G$193="*",LEFT(Commodities!B$51,1)="*"),"*R0,R1,R2,R3,R4,R5,R6","R0,R1,R2,R3,R4,R5,R6")</f>
        <v>R0,R1,R2,R3,R4,R5,R6</v>
      </c>
      <c r="C334" s="158" t="str">
        <f>'Imp Refined'!E153</f>
        <v>IMPDSLP31</v>
      </c>
      <c r="D334" s="158" t="str">
        <f>'Imp Refined'!F153</f>
        <v>Imported Distillate-Low Sulfur Highway Diesel (500 ppm), PADD 3, Step 1</v>
      </c>
      <c r="E334" s="197" t="s">
        <v>196</v>
      </c>
      <c r="F334" s="197" t="s">
        <v>318</v>
      </c>
      <c r="G334" s="181"/>
      <c r="H334" s="158"/>
      <c r="I334" s="158"/>
    </row>
    <row r="335" spans="2:9">
      <c r="B335" s="158" t="str">
        <f>IF(OR(G$193="*",LEFT(Commodities!B$51,1)="*"),"*R0,R1,R2,R3,R4,R5,R6","R0,R1,R2,R3,R4,R5,R6")</f>
        <v>R0,R1,R2,R3,R4,R5,R6</v>
      </c>
      <c r="C335" s="158" t="str">
        <f>'Imp Refined'!E154</f>
        <v>IMPDSLP32</v>
      </c>
      <c r="D335" s="158" t="str">
        <f>'Imp Refined'!F154</f>
        <v>Imported Distillate-Low Sulfur Highway Diesel (500 ppm), PADD 3, Step 2</v>
      </c>
      <c r="E335" s="197" t="s">
        <v>196</v>
      </c>
      <c r="F335" s="197" t="s">
        <v>318</v>
      </c>
      <c r="G335" s="181"/>
      <c r="H335" s="158"/>
      <c r="I335" s="158"/>
    </row>
    <row r="336" spans="2:9">
      <c r="B336" s="158" t="str">
        <f>IF(OR(G$193="*",LEFT(Commodities!B$51,1)="*"),"*R0,R1,R2,R3,R4,R5,R6","R0,R1,R2,R3,R4,R5,R6")</f>
        <v>R0,R1,R2,R3,R4,R5,R6</v>
      </c>
      <c r="C336" s="158" t="str">
        <f>'Imp Refined'!E155</f>
        <v>IMPDSLP34</v>
      </c>
      <c r="D336" s="158" t="str">
        <f>'Imp Refined'!F155</f>
        <v>Imported Distillate-Low Sulfur Highway Diesel (500 ppm), PADD 3, Step 4</v>
      </c>
      <c r="E336" s="197" t="s">
        <v>196</v>
      </c>
      <c r="F336" s="197" t="s">
        <v>318</v>
      </c>
      <c r="G336" s="181"/>
      <c r="H336" s="158"/>
      <c r="I336" s="158"/>
    </row>
    <row r="337" spans="2:9">
      <c r="B337" s="158" t="str">
        <f>IF(OR(G$193="*",LEFT(Commodities!B$51,1)="*"),"*R0,R1,R2,R3,R4,R5,R6","R0,R1,R2,R3,R4,R5,R6")</f>
        <v>R0,R1,R2,R3,R4,R5,R6</v>
      </c>
      <c r="C337" s="158" t="str">
        <f>'Imp Refined'!E156</f>
        <v>IMPDSLP35</v>
      </c>
      <c r="D337" s="158" t="str">
        <f>'Imp Refined'!F156</f>
        <v>Imported Distillate-Low Sulfur Highway Diesel (500 ppm), PADD 3, Step 5</v>
      </c>
      <c r="E337" s="197" t="s">
        <v>196</v>
      </c>
      <c r="F337" s="197" t="s">
        <v>318</v>
      </c>
      <c r="G337" s="181"/>
      <c r="H337" s="158"/>
      <c r="I337" s="158"/>
    </row>
    <row r="338" spans="2:9">
      <c r="B338" s="158" t="str">
        <f>IF(OR(G$193="*",LEFT(Commodities!B$59,1)="*"),"*R0,R1,R2,R3,R4,R5,R6","R0,R1,R2,R3,R4,R5,R6")</f>
        <v>R0,R1,R2,R3,R4,R5,R6</v>
      </c>
      <c r="C338" s="158" t="str">
        <f>'Imp Refined'!E157</f>
        <v>IMPRFLP33</v>
      </c>
      <c r="D338" s="158" t="str">
        <f>'Imp Refined'!F157</f>
        <v>Imported Low Sulfur Residual Fuel Oil, PADD 3, Step 3</v>
      </c>
      <c r="E338" s="197" t="s">
        <v>196</v>
      </c>
      <c r="F338" s="197" t="s">
        <v>318</v>
      </c>
      <c r="G338" s="181"/>
      <c r="H338" s="158"/>
      <c r="I338" s="158"/>
    </row>
    <row r="339" spans="2:9">
      <c r="B339" s="158" t="str">
        <f>IF(OR(G$193="*",LEFT(Commodities!B$59,1)="*"),"*R0,R1,R2,R3,R4,R5,R6","R0,R1,R2,R3,R4,R5,R6")</f>
        <v>R0,R1,R2,R3,R4,R5,R6</v>
      </c>
      <c r="C339" s="158" t="str">
        <f>'Imp Refined'!E158</f>
        <v>IMPRFLP31</v>
      </c>
      <c r="D339" s="158" t="str">
        <f>'Imp Refined'!F158</f>
        <v>Imported Low Sulfur Residual Fuel Oil, PADD 3, Step 1</v>
      </c>
      <c r="E339" s="197" t="s">
        <v>196</v>
      </c>
      <c r="F339" s="197" t="s">
        <v>318</v>
      </c>
      <c r="G339" s="181"/>
      <c r="H339" s="158"/>
      <c r="I339" s="158"/>
    </row>
    <row r="340" spans="2:9">
      <c r="B340" s="158" t="str">
        <f>IF(OR(G$193="*",LEFT(Commodities!B$59,1)="*"),"*R0,R1,R2,R3,R4,R5,R6","R0,R1,R2,R3,R4,R5,R6")</f>
        <v>R0,R1,R2,R3,R4,R5,R6</v>
      </c>
      <c r="C340" s="158" t="str">
        <f>'Imp Refined'!E159</f>
        <v>IMPRFLP32</v>
      </c>
      <c r="D340" s="158" t="str">
        <f>'Imp Refined'!F159</f>
        <v>Imported Low Sulfur Residual Fuel Oil, PADD 3, Step 2</v>
      </c>
      <c r="E340" s="197" t="s">
        <v>196</v>
      </c>
      <c r="F340" s="197" t="s">
        <v>318</v>
      </c>
      <c r="G340" s="181"/>
      <c r="H340" s="158"/>
      <c r="I340" s="158"/>
    </row>
    <row r="341" spans="2:9">
      <c r="B341" s="158" t="str">
        <f>IF(OR(G$193="*",LEFT(Commodities!B$59,1)="*"),"*R0,R1,R2,R3,R4,R5,R6","R0,R1,R2,R3,R4,R5,R6")</f>
        <v>R0,R1,R2,R3,R4,R5,R6</v>
      </c>
      <c r="C341" s="158" t="str">
        <f>'Imp Refined'!E160</f>
        <v>IMPRFLP34</v>
      </c>
      <c r="D341" s="158" t="str">
        <f>'Imp Refined'!F160</f>
        <v>Imported Low Sulfur Residual Fuel Oil, PADD 3, Step 4</v>
      </c>
      <c r="E341" s="197" t="s">
        <v>196</v>
      </c>
      <c r="F341" s="197" t="s">
        <v>318</v>
      </c>
      <c r="G341" s="181"/>
      <c r="H341" s="158"/>
      <c r="I341" s="158"/>
    </row>
    <row r="342" spans="2:9">
      <c r="B342" s="158" t="str">
        <f>IF(OR(G$193="*",LEFT(Commodities!B$59,1)="*"),"*R0,R1,R2,R3,R4,R5,R6","R0,R1,R2,R3,R4,R5,R6")</f>
        <v>R0,R1,R2,R3,R4,R5,R6</v>
      </c>
      <c r="C342" s="158" t="str">
        <f>'Imp Refined'!E161</f>
        <v>IMPRFLP35</v>
      </c>
      <c r="D342" s="158" t="str">
        <f>'Imp Refined'!F161</f>
        <v>Imported Low Sulfur Residual Fuel Oil, PADD 3, Step 5</v>
      </c>
      <c r="E342" s="197" t="s">
        <v>196</v>
      </c>
      <c r="F342" s="197" t="s">
        <v>318</v>
      </c>
      <c r="G342" s="181"/>
      <c r="H342" s="158"/>
      <c r="I342" s="158"/>
    </row>
    <row r="343" spans="2:9">
      <c r="B343" s="158" t="str">
        <f>IF(OR(G$193="*",LEFT(Commodities!B$58,1)="*"),"*R0,R1,R2,R3,R4,R5,R6","R0,R1,R2,R3,R4,R5,R6")</f>
        <v>*R0,R1,R2,R3,R4,R5,R6</v>
      </c>
      <c r="C343" s="158" t="str">
        <f>'Imp Refined'!E162</f>
        <v>IMPRFHP33</v>
      </c>
      <c r="D343" s="158" t="str">
        <f>'Imp Refined'!F162</f>
        <v>Imported High Sulfur Residual Fuel Oil, PADD 3, Step 3</v>
      </c>
      <c r="E343" s="197" t="s">
        <v>196</v>
      </c>
      <c r="F343" s="197" t="s">
        <v>318</v>
      </c>
      <c r="G343" s="181"/>
      <c r="H343" s="158"/>
      <c r="I343" s="158"/>
    </row>
    <row r="344" spans="2:9">
      <c r="B344" s="158" t="str">
        <f>IF(OR(G$193="*",LEFT(Commodities!B$58,1)="*"),"*R0,R1,R2,R3,R4,R5,R6","R0,R1,R2,R3,R4,R5,R6")</f>
        <v>*R0,R1,R2,R3,R4,R5,R6</v>
      </c>
      <c r="C344" s="158" t="str">
        <f>'Imp Refined'!E163</f>
        <v>IMPRFHP31</v>
      </c>
      <c r="D344" s="158" t="str">
        <f>'Imp Refined'!F163</f>
        <v>Imported High Sulfur Residual Fuel Oil, PADD 3, Step 1</v>
      </c>
      <c r="E344" s="197" t="s">
        <v>196</v>
      </c>
      <c r="F344" s="197" t="s">
        <v>318</v>
      </c>
      <c r="G344" s="181"/>
      <c r="H344" s="158"/>
      <c r="I344" s="158"/>
    </row>
    <row r="345" spans="2:9">
      <c r="B345" s="158" t="str">
        <f>IF(OR(G$193="*",LEFT(Commodities!B$58,1)="*"),"*R0,R1,R2,R3,R4,R5,R6","R0,R1,R2,R3,R4,R5,R6")</f>
        <v>*R0,R1,R2,R3,R4,R5,R6</v>
      </c>
      <c r="C345" s="158" t="str">
        <f>'Imp Refined'!E164</f>
        <v>IMPRFHP32</v>
      </c>
      <c r="D345" s="158" t="str">
        <f>'Imp Refined'!F164</f>
        <v>Imported High Sulfur Residual Fuel Oil, PADD 3, Step 2</v>
      </c>
      <c r="E345" s="197" t="s">
        <v>196</v>
      </c>
      <c r="F345" s="197" t="s">
        <v>318</v>
      </c>
      <c r="G345" s="181"/>
      <c r="H345" s="158"/>
      <c r="I345" s="158"/>
    </row>
    <row r="346" spans="2:9">
      <c r="B346" s="158" t="str">
        <f>IF(OR(G$193="*",LEFT(Commodities!B$58,1)="*"),"*R0,R1,R2,R3,R4,R5,R6","R0,R1,R2,R3,R4,R5,R6")</f>
        <v>*R0,R1,R2,R3,R4,R5,R6</v>
      </c>
      <c r="C346" s="158" t="str">
        <f>'Imp Refined'!E165</f>
        <v>IMPRFHP34</v>
      </c>
      <c r="D346" s="158" t="str">
        <f>'Imp Refined'!F165</f>
        <v>Imported High Sulfur Residual Fuel Oil, PADD 3, Step 4</v>
      </c>
      <c r="E346" s="197" t="s">
        <v>196</v>
      </c>
      <c r="F346" s="197" t="s">
        <v>318</v>
      </c>
      <c r="G346" s="181"/>
      <c r="H346" s="158"/>
      <c r="I346" s="158"/>
    </row>
    <row r="347" spans="2:9">
      <c r="B347" s="158" t="str">
        <f>IF(OR(G$193="*",LEFT(Commodities!B$58,1)="*"),"*R0,R1,R2,R3,R4,R5,R6","R0,R1,R2,R3,R4,R5,R6")</f>
        <v>*R0,R1,R2,R3,R4,R5,R6</v>
      </c>
      <c r="C347" s="158" t="str">
        <f>'Imp Refined'!E166</f>
        <v>IMPRFHP35</v>
      </c>
      <c r="D347" s="158" t="str">
        <f>'Imp Refined'!F166</f>
        <v>Imported High Sulfur Residual Fuel Oil, PADD 3, Step 5</v>
      </c>
      <c r="E347" s="197" t="s">
        <v>196</v>
      </c>
      <c r="F347" s="197" t="s">
        <v>318</v>
      </c>
      <c r="G347" s="181"/>
      <c r="H347" s="158"/>
      <c r="I347" s="158"/>
    </row>
    <row r="348" spans="2:9">
      <c r="B348" s="158" t="str">
        <f>IF(OR(G$193="*",LEFT(Commodities!B$53,1)="*"),"*R0,R1,R2,R3,R4,R5,R6","R0,R1,R2,R3,R4,R5,R6")</f>
        <v>*R0,R1,R2,R3,R4,R5,R6</v>
      </c>
      <c r="C348" s="158" t="str">
        <f>'Imp Refined'!E167</f>
        <v>IMPJTFP33</v>
      </c>
      <c r="D348" s="158" t="str">
        <f>'Imp Refined'!F167</f>
        <v>Imported Jet Fuel, PADD 3, Step 3</v>
      </c>
      <c r="E348" s="197" t="s">
        <v>196</v>
      </c>
      <c r="F348" s="197" t="s">
        <v>318</v>
      </c>
      <c r="G348" s="181"/>
      <c r="H348" s="158"/>
      <c r="I348" s="158"/>
    </row>
    <row r="349" spans="2:9">
      <c r="B349" s="158" t="str">
        <f>IF(OR(G$193="*",LEFT(Commodities!B$53,1)="*"),"*R0,R1,R2,R3,R4,R5,R6","R0,R1,R2,R3,R4,R5,R6")</f>
        <v>*R0,R1,R2,R3,R4,R5,R6</v>
      </c>
      <c r="C349" s="158" t="str">
        <f>'Imp Refined'!E168</f>
        <v>IMPJTFP31</v>
      </c>
      <c r="D349" s="158" t="str">
        <f>'Imp Refined'!F168</f>
        <v>Imported Jet Fuel, PADD 3, Step 1</v>
      </c>
      <c r="E349" s="197" t="s">
        <v>196</v>
      </c>
      <c r="F349" s="197" t="s">
        <v>318</v>
      </c>
      <c r="G349" s="181"/>
      <c r="H349" s="158"/>
      <c r="I349" s="158"/>
    </row>
    <row r="350" spans="2:9">
      <c r="B350" s="158" t="str">
        <f>IF(OR(G$193="*",LEFT(Commodities!B$53,1)="*"),"*R0,R1,R2,R3,R4,R5,R6","R0,R1,R2,R3,R4,R5,R6")</f>
        <v>*R0,R1,R2,R3,R4,R5,R6</v>
      </c>
      <c r="C350" s="158" t="str">
        <f>'Imp Refined'!E169</f>
        <v>IMPJTFP32</v>
      </c>
      <c r="D350" s="158" t="str">
        <f>'Imp Refined'!F169</f>
        <v>Imported Jet Fuel, PADD 3, Step 2</v>
      </c>
      <c r="E350" s="197" t="s">
        <v>196</v>
      </c>
      <c r="F350" s="197" t="s">
        <v>318</v>
      </c>
      <c r="G350" s="181"/>
      <c r="H350" s="158"/>
      <c r="I350" s="158"/>
    </row>
    <row r="351" spans="2:9">
      <c r="B351" s="158" t="str">
        <f>IF(OR(G$193="*",LEFT(Commodities!B$53,1)="*"),"*R0,R1,R2,R3,R4,R5,R6","R0,R1,R2,R3,R4,R5,R6")</f>
        <v>*R0,R1,R2,R3,R4,R5,R6</v>
      </c>
      <c r="C351" s="158" t="str">
        <f>'Imp Refined'!E170</f>
        <v>IMPJTFP34</v>
      </c>
      <c r="D351" s="158" t="str">
        <f>'Imp Refined'!F170</f>
        <v>Imported Jet Fuel, PADD 3, Step 4</v>
      </c>
      <c r="E351" s="197" t="s">
        <v>196</v>
      </c>
      <c r="F351" s="197" t="s">
        <v>318</v>
      </c>
      <c r="G351" s="181"/>
      <c r="H351" s="158"/>
      <c r="I351" s="158"/>
    </row>
    <row r="352" spans="2:9">
      <c r="B352" s="158" t="str">
        <f>IF(OR(G$193="*",LEFT(Commodities!B$53,1)="*"),"*R0,R1,R2,R3,R4,R5,R6","R0,R1,R2,R3,R4,R5,R6")</f>
        <v>*R0,R1,R2,R3,R4,R5,R6</v>
      </c>
      <c r="C352" s="158" t="str">
        <f>'Imp Refined'!E171</f>
        <v>IMPJTFP35</v>
      </c>
      <c r="D352" s="158" t="str">
        <f>'Imp Refined'!F171</f>
        <v>Imported Jet Fuel, PADD 3, Step 5</v>
      </c>
      <c r="E352" s="197" t="s">
        <v>196</v>
      </c>
      <c r="F352" s="197" t="s">
        <v>318</v>
      </c>
      <c r="G352" s="181"/>
      <c r="H352" s="158"/>
      <c r="I352" s="158"/>
    </row>
    <row r="353" spans="2:9">
      <c r="B353" s="158" t="str">
        <f>IF(OR(G$193="*",LEFT(Commodities!B$55,1)="*"),"*R0,R1,R2,R3,R4,R5,R6","R0,R1,R2,R3,R4,R5,R6")</f>
        <v>*R0,R1,R2,R3,R4,R5,R6</v>
      </c>
      <c r="C353" s="158" t="str">
        <f>'Imp Refined'!E172</f>
        <v>IMPLPGP33</v>
      </c>
      <c r="D353" s="158" t="str">
        <f>'Imp Refined'!F172</f>
        <v>Imported LPG, PADD 3, Step 3</v>
      </c>
      <c r="E353" s="197" t="s">
        <v>196</v>
      </c>
      <c r="F353" s="197" t="s">
        <v>318</v>
      </c>
      <c r="G353" s="181"/>
      <c r="H353" s="158"/>
      <c r="I353" s="158"/>
    </row>
    <row r="354" spans="2:9">
      <c r="B354" s="158" t="str">
        <f>IF(OR(G$193="*",LEFT(Commodities!B$55,1)="*"),"*R0,R1,R2,R3,R4,R5,R6","R0,R1,R2,R3,R4,R5,R6")</f>
        <v>*R0,R1,R2,R3,R4,R5,R6</v>
      </c>
      <c r="C354" s="158" t="str">
        <f>'Imp Refined'!E173</f>
        <v>IMPLPGP31</v>
      </c>
      <c r="D354" s="158" t="str">
        <f>'Imp Refined'!F173</f>
        <v>Imported LPG, PADD 3, Step 1</v>
      </c>
      <c r="E354" s="197" t="s">
        <v>196</v>
      </c>
      <c r="F354" s="197" t="s">
        <v>318</v>
      </c>
      <c r="G354" s="181"/>
      <c r="H354" s="158"/>
      <c r="I354" s="158"/>
    </row>
    <row r="355" spans="2:9">
      <c r="B355" s="158" t="str">
        <f>IF(OR(G$193="*",LEFT(Commodities!B$55,1)="*"),"*R0,R1,R2,R3,R4,R5,R6","R0,R1,R2,R3,R4,R5,R6")</f>
        <v>*R0,R1,R2,R3,R4,R5,R6</v>
      </c>
      <c r="C355" s="158" t="str">
        <f>'Imp Refined'!E174</f>
        <v>IMPLPGP32</v>
      </c>
      <c r="D355" s="158" t="str">
        <f>'Imp Refined'!F174</f>
        <v>Imported LPG, PADD 3, Step 2</v>
      </c>
      <c r="E355" s="197" t="s">
        <v>196</v>
      </c>
      <c r="F355" s="197" t="s">
        <v>318</v>
      </c>
      <c r="G355" s="181"/>
      <c r="H355" s="158"/>
      <c r="I355" s="158"/>
    </row>
    <row r="356" spans="2:9">
      <c r="B356" s="158" t="str">
        <f>IF(OR(G$193="*",LEFT(Commodities!B$55,1)="*"),"*R0,R1,R2,R3,R4,R5,R6","R0,R1,R2,R3,R4,R5,R6")</f>
        <v>*R0,R1,R2,R3,R4,R5,R6</v>
      </c>
      <c r="C356" s="158" t="str">
        <f>'Imp Refined'!E175</f>
        <v>IMPLPGP34</v>
      </c>
      <c r="D356" s="158" t="str">
        <f>'Imp Refined'!F175</f>
        <v>Imported LPG, PADD 3, Step 4</v>
      </c>
      <c r="E356" s="197" t="s">
        <v>196</v>
      </c>
      <c r="F356" s="197" t="s">
        <v>318</v>
      </c>
      <c r="G356" s="181"/>
      <c r="H356" s="158"/>
      <c r="I356" s="158"/>
    </row>
    <row r="357" spans="2:9">
      <c r="B357" s="158" t="str">
        <f>IF(OR(G$193="*",LEFT(Commodities!B$55,1)="*"),"*R0,R1,R2,R3,R4,R5,R6","R0,R1,R2,R3,R4,R5,R6")</f>
        <v>*R0,R1,R2,R3,R4,R5,R6</v>
      </c>
      <c r="C357" s="158" t="str">
        <f>'Imp Refined'!E176</f>
        <v>IMPLPGP35</v>
      </c>
      <c r="D357" s="158" t="str">
        <f>'Imp Refined'!F176</f>
        <v>Imported LPG, PADD 3, Step 5</v>
      </c>
      <c r="E357" s="197" t="s">
        <v>196</v>
      </c>
      <c r="F357" s="197" t="s">
        <v>318</v>
      </c>
      <c r="G357" s="181"/>
      <c r="H357" s="158"/>
      <c r="I357" s="158"/>
    </row>
    <row r="358" spans="2:9">
      <c r="B358" s="158" t="str">
        <f>IF(OR(G$193="*",LEFT(Commodities!B$57,1)="*"),"*R0,R1,R2,R3,R4,R5,R6","R0,R1,R2,R3,R4,R5,R6")</f>
        <v>*R0,R1,R2,R3,R4,R5,R6</v>
      </c>
      <c r="C358" s="158" t="str">
        <f>'Imp Refined'!E177</f>
        <v>IMPPFSP33</v>
      </c>
      <c r="D358" s="158" t="str">
        <f>'Imp Refined'!F177</f>
        <v>Imported Petrochemical Feedstocks, PADD 3, Step 3</v>
      </c>
      <c r="E358" s="197" t="s">
        <v>196</v>
      </c>
      <c r="F358" s="197" t="s">
        <v>318</v>
      </c>
      <c r="G358" s="181"/>
      <c r="H358" s="158"/>
      <c r="I358" s="158"/>
    </row>
    <row r="359" spans="2:9">
      <c r="B359" s="158" t="str">
        <f>IF(OR(G$193="*",LEFT(Commodities!B$57,1)="*"),"*R0,R1,R2,R3,R4,R5,R6","R0,R1,R2,R3,R4,R5,R6")</f>
        <v>*R0,R1,R2,R3,R4,R5,R6</v>
      </c>
      <c r="C359" s="158" t="str">
        <f>'Imp Refined'!E178</f>
        <v>IMPPFSP31</v>
      </c>
      <c r="D359" s="158" t="str">
        <f>'Imp Refined'!F178</f>
        <v>Imported Petrochemical Feedstocks, PADD 3, Step 1</v>
      </c>
      <c r="E359" s="197" t="s">
        <v>196</v>
      </c>
      <c r="F359" s="197" t="s">
        <v>318</v>
      </c>
      <c r="G359" s="181"/>
      <c r="H359" s="158"/>
      <c r="I359" s="158"/>
    </row>
    <row r="360" spans="2:9">
      <c r="B360" s="158" t="str">
        <f>IF(OR(G$193="*",LEFT(Commodities!B$57,1)="*"),"*R0,R1,R2,R3,R4,R5,R6","R0,R1,R2,R3,R4,R5,R6")</f>
        <v>*R0,R1,R2,R3,R4,R5,R6</v>
      </c>
      <c r="C360" s="158" t="str">
        <f>'Imp Refined'!E179</f>
        <v>IMPPFSP32</v>
      </c>
      <c r="D360" s="158" t="str">
        <f>'Imp Refined'!F179</f>
        <v>Imported Petrochemical Feedstocks, PADD 3, Step 2</v>
      </c>
      <c r="E360" s="197" t="s">
        <v>196</v>
      </c>
      <c r="F360" s="197" t="s">
        <v>318</v>
      </c>
      <c r="G360" s="181"/>
      <c r="H360" s="158"/>
      <c r="I360" s="158"/>
    </row>
    <row r="361" spans="2:9">
      <c r="B361" s="158" t="str">
        <f>IF(OR(G$193="*",LEFT(Commodities!B$57,1)="*"),"*R0,R1,R2,R3,R4,R5,R6","R0,R1,R2,R3,R4,R5,R6")</f>
        <v>*R0,R1,R2,R3,R4,R5,R6</v>
      </c>
      <c r="C361" s="158" t="str">
        <f>'Imp Refined'!E180</f>
        <v>IMPPFSP34</v>
      </c>
      <c r="D361" s="158" t="str">
        <f>'Imp Refined'!F180</f>
        <v>Imported Petrochemical Feedstocks, PADD 3, Step 4</v>
      </c>
      <c r="E361" s="197" t="s">
        <v>196</v>
      </c>
      <c r="F361" s="197" t="s">
        <v>318</v>
      </c>
      <c r="G361" s="181"/>
      <c r="H361" s="158"/>
      <c r="I361" s="158"/>
    </row>
    <row r="362" spans="2:9">
      <c r="B362" s="158" t="str">
        <f>IF(OR(G$193="*",LEFT(Commodities!B$57,1)="*"),"*R0,R1,R2,R3,R4,R5,R6","R0,R1,R2,R3,R4,R5,R6")</f>
        <v>*R0,R1,R2,R3,R4,R5,R6</v>
      </c>
      <c r="C362" s="158" t="str">
        <f>'Imp Refined'!E181</f>
        <v>IMPPFSP35</v>
      </c>
      <c r="D362" s="158" t="str">
        <f>'Imp Refined'!F181</f>
        <v>Imported Petrochemical Feedstocks, PADD 3, Step 5</v>
      </c>
      <c r="E362" s="197" t="s">
        <v>196</v>
      </c>
      <c r="F362" s="197" t="s">
        <v>318</v>
      </c>
      <c r="G362" s="181"/>
      <c r="H362" s="158"/>
      <c r="I362" s="158"/>
    </row>
    <row r="363" spans="2:9">
      <c r="B363" s="158" t="str">
        <f>IF(OR(G$193="*",LEFT(Commodities!B$54,1)="*"),"*R0,R1,R2,R3,R4,R5,R6","R0,R1,R2,R3,R4,R5,R6")</f>
        <v>*R0,R1,R2,R3,R4,R5,R6</v>
      </c>
      <c r="C363" s="158" t="str">
        <f>'Imp Refined'!E182</f>
        <v>IMPKERP33</v>
      </c>
      <c r="D363" s="158" t="str">
        <f>'Imp Refined'!F182</f>
        <v>Imported Kerosene and Other Refined Products, PADD 3, Step 3</v>
      </c>
      <c r="E363" s="197" t="s">
        <v>196</v>
      </c>
      <c r="F363" s="197" t="s">
        <v>318</v>
      </c>
      <c r="G363" s="181"/>
      <c r="H363" s="158"/>
      <c r="I363" s="158"/>
    </row>
    <row r="364" spans="2:9">
      <c r="B364" s="158" t="str">
        <f>IF(OR(G$193="*",LEFT(Commodities!B$54,1)="*"),"*R0,R1,R2,R3,R4,R5,R6","R0,R1,R2,R3,R4,R5,R6")</f>
        <v>*R0,R1,R2,R3,R4,R5,R6</v>
      </c>
      <c r="C364" s="158" t="str">
        <f>'Imp Refined'!E183</f>
        <v>IMPKERP31</v>
      </c>
      <c r="D364" s="158" t="str">
        <f>'Imp Refined'!F183</f>
        <v>Imported Kerosene and Other Refined Products, PADD 3, Step 1</v>
      </c>
      <c r="E364" s="197" t="s">
        <v>196</v>
      </c>
      <c r="F364" s="197" t="s">
        <v>318</v>
      </c>
      <c r="G364" s="181"/>
      <c r="H364" s="158"/>
      <c r="I364" s="158"/>
    </row>
    <row r="365" spans="2:9">
      <c r="B365" s="158" t="str">
        <f>IF(OR(G$193="*",LEFT(Commodities!B$54,1)="*"),"*R0,R1,R2,R3,R4,R5,R6","R0,R1,R2,R3,R4,R5,R6")</f>
        <v>*R0,R1,R2,R3,R4,R5,R6</v>
      </c>
      <c r="C365" s="158" t="str">
        <f>'Imp Refined'!E184</f>
        <v>IMPKERP32</v>
      </c>
      <c r="D365" s="158" t="str">
        <f>'Imp Refined'!F184</f>
        <v>Imported Kerosene and Other Refined Products, PADD 3, Step 2</v>
      </c>
      <c r="E365" s="197" t="s">
        <v>196</v>
      </c>
      <c r="F365" s="197" t="s">
        <v>318</v>
      </c>
      <c r="G365" s="181"/>
      <c r="H365" s="158"/>
      <c r="I365" s="158"/>
    </row>
    <row r="366" spans="2:9">
      <c r="B366" s="158" t="str">
        <f>IF(OR(G$193="*",LEFT(Commodities!B$54,1)="*"),"*R0,R1,R2,R3,R4,R5,R6","R0,R1,R2,R3,R4,R5,R6")</f>
        <v>*R0,R1,R2,R3,R4,R5,R6</v>
      </c>
      <c r="C366" s="158" t="str">
        <f>'Imp Refined'!E185</f>
        <v>IMPKERP34</v>
      </c>
      <c r="D366" s="158" t="str">
        <f>'Imp Refined'!F185</f>
        <v>Imported Kerosene and Other Refined Products, PADD 3, Step 4</v>
      </c>
      <c r="E366" s="197" t="s">
        <v>196</v>
      </c>
      <c r="F366" s="197" t="s">
        <v>318</v>
      </c>
      <c r="G366" s="181"/>
      <c r="H366" s="158"/>
      <c r="I366" s="158"/>
    </row>
    <row r="367" spans="2:9">
      <c r="B367" s="158" t="str">
        <f>IF(OR(G$193="*",LEFT(Commodities!B$54,1)="*"),"*R0,R1,R2,R3,R4,R5,R6","R0,R1,R2,R3,R4,R5,R6")</f>
        <v>*R0,R1,R2,R3,R4,R5,R6</v>
      </c>
      <c r="C367" s="158" t="str">
        <f>'Imp Refined'!E186</f>
        <v>IMPKERP35</v>
      </c>
      <c r="D367" s="158" t="str">
        <f>'Imp Refined'!F186</f>
        <v>Imported Kerosene and Other Refined Products, PADD 3, Step 5</v>
      </c>
      <c r="E367" s="197" t="s">
        <v>196</v>
      </c>
      <c r="F367" s="197" t="s">
        <v>318</v>
      </c>
      <c r="G367" s="181"/>
      <c r="H367" s="158"/>
      <c r="I367" s="158"/>
    </row>
    <row r="368" spans="2:9">
      <c r="B368" s="158" t="str">
        <f>IF(OR(G$193="*",LEFT(Commodities!B$56,1)="*"),"*R0,R1,R2,R3,R4,R5,R6","R0,R1,R2,R3,R4,R5,R6")</f>
        <v>*R0,R1,R2,R3,R4,R5,R6</v>
      </c>
      <c r="C368" s="158" t="str">
        <f>'Imp Refined'!E187</f>
        <v>IMPMTHP33</v>
      </c>
      <c r="D368" s="158" t="str">
        <f>'Imp Refined'!F187</f>
        <v>Imported Methanol, PADD 3, Step 3</v>
      </c>
      <c r="E368" s="197" t="s">
        <v>196</v>
      </c>
      <c r="F368" s="197" t="s">
        <v>318</v>
      </c>
      <c r="G368" s="181"/>
      <c r="H368" s="158"/>
      <c r="I368" s="158"/>
    </row>
    <row r="369" spans="2:9">
      <c r="B369" s="158" t="str">
        <f>IF(OR(G$193="*",LEFT(Commodities!B$56,1)="*"),"*R0,R1,R2,R3,R4,R5,R6","R0,R1,R2,R3,R4,R5,R6")</f>
        <v>*R0,R1,R2,R3,R4,R5,R6</v>
      </c>
      <c r="C369" s="158" t="str">
        <f>'Imp Refined'!E188</f>
        <v>IMPMTHP31</v>
      </c>
      <c r="D369" s="158" t="str">
        <f>'Imp Refined'!F188</f>
        <v>Imported Methanol, PADD 3, Step 1</v>
      </c>
      <c r="E369" s="197" t="s">
        <v>196</v>
      </c>
      <c r="F369" s="197" t="s">
        <v>318</v>
      </c>
      <c r="G369" s="181"/>
      <c r="H369" s="158"/>
      <c r="I369" s="158"/>
    </row>
    <row r="370" spans="2:9">
      <c r="B370" s="158" t="str">
        <f>IF(OR(G$193="*",LEFT(Commodities!B$56,1)="*"),"*R0,R1,R2,R3,R4,R5,R6","R0,R1,R2,R3,R4,R5,R6")</f>
        <v>*R0,R1,R2,R3,R4,R5,R6</v>
      </c>
      <c r="C370" s="158" t="str">
        <f>'Imp Refined'!E189</f>
        <v>IMPMTHP32</v>
      </c>
      <c r="D370" s="158" t="str">
        <f>'Imp Refined'!F189</f>
        <v>Imported Methanol, PADD 3, Step 2</v>
      </c>
      <c r="E370" s="197" t="s">
        <v>196</v>
      </c>
      <c r="F370" s="197" t="s">
        <v>318</v>
      </c>
      <c r="G370" s="181"/>
      <c r="H370" s="158"/>
      <c r="I370" s="158"/>
    </row>
    <row r="371" spans="2:9">
      <c r="B371" s="158" t="str">
        <f>IF(OR(G$193="*",LEFT(Commodities!B$56,1)="*"),"*R0,R1,R2,R3,R4,R5,R6","R0,R1,R2,R3,R4,R5,R6")</f>
        <v>*R0,R1,R2,R3,R4,R5,R6</v>
      </c>
      <c r="C371" s="158" t="str">
        <f>'Imp Refined'!E190</f>
        <v>IMPMTHP34</v>
      </c>
      <c r="D371" s="158" t="str">
        <f>'Imp Refined'!F190</f>
        <v>Imported Methanol, PADD 3, Step 4</v>
      </c>
      <c r="E371" s="197" t="s">
        <v>196</v>
      </c>
      <c r="F371" s="197" t="s">
        <v>318</v>
      </c>
      <c r="G371" s="181"/>
      <c r="H371" s="158"/>
      <c r="I371" s="158"/>
    </row>
    <row r="372" spans="2:9">
      <c r="B372" s="158" t="str">
        <f>IF(OR(G$193="*",LEFT(Commodities!B$56,1)="*"),"*R0,R1,R2,R3,R4,R5,R6","R0,R1,R2,R3,R4,R5,R6")</f>
        <v>*R0,R1,R2,R3,R4,R5,R6</v>
      </c>
      <c r="C372" s="158" t="str">
        <f>'Imp Refined'!E191</f>
        <v>IMPMTHP35</v>
      </c>
      <c r="D372" s="158" t="str">
        <f>'Imp Refined'!F191</f>
        <v>Imported Methanol, PADD 3, Step 5</v>
      </c>
      <c r="E372" s="197" t="s">
        <v>196</v>
      </c>
      <c r="F372" s="197" t="s">
        <v>318</v>
      </c>
      <c r="G372" s="181"/>
      <c r="H372" s="158"/>
      <c r="I372" s="158"/>
    </row>
    <row r="373" spans="2:9">
      <c r="B373" s="158" t="str">
        <f>IF(OR(G$193="*",LEFT(Commodities!B$52,1)="*"),"*R0,R1,R2,R3,R4,R5,R6","R0,R1,R2,R3,R4,R5,R6")</f>
        <v>R0,R1,R2,R3,R4,R5,R6</v>
      </c>
      <c r="C373" s="158" t="str">
        <f>'Imp Refined'!E192</f>
        <v>IMPDSUP33</v>
      </c>
      <c r="D373" s="158" t="str">
        <f>'Imp Refined'!F192</f>
        <v>Imported Distillate-Ultralow Sulfur Highway Diesel (15 ppm), PADD 3, Step 3</v>
      </c>
      <c r="E373" s="197" t="s">
        <v>196</v>
      </c>
      <c r="F373" s="197" t="s">
        <v>318</v>
      </c>
      <c r="G373" s="181"/>
      <c r="H373" s="158"/>
      <c r="I373" s="158"/>
    </row>
    <row r="374" spans="2:9">
      <c r="B374" s="158" t="str">
        <f>IF(OR(G$193="*",LEFT(Commodities!B$52,1)="*"),"*R0,R1,R2,R3,R4,R5,R6","R0,R1,R2,R3,R4,R5,R6")</f>
        <v>R0,R1,R2,R3,R4,R5,R6</v>
      </c>
      <c r="C374" s="158" t="str">
        <f>'Imp Refined'!E193</f>
        <v>IMPDSUP31</v>
      </c>
      <c r="D374" s="158" t="str">
        <f>'Imp Refined'!F193</f>
        <v>Imported Distillate-Ultralow Sulfur Highway Diesel (15 ppm), PADD 3, Step 1</v>
      </c>
      <c r="E374" s="197" t="s">
        <v>196</v>
      </c>
      <c r="F374" s="197" t="s">
        <v>318</v>
      </c>
      <c r="G374" s="181"/>
      <c r="H374" s="158"/>
      <c r="I374" s="158"/>
    </row>
    <row r="375" spans="2:9">
      <c r="B375" s="158" t="str">
        <f>IF(OR(G$193="*",LEFT(Commodities!B$52,1)="*"),"*R0,R1,R2,R3,R4,R5,R6","R0,R1,R2,R3,R4,R5,R6")</f>
        <v>R0,R1,R2,R3,R4,R5,R6</v>
      </c>
      <c r="C375" s="158" t="str">
        <f>'Imp Refined'!E194</f>
        <v>IMPDSUP32</v>
      </c>
      <c r="D375" s="158" t="str">
        <f>'Imp Refined'!F194</f>
        <v>Imported Distillate-Ultralow Sulfur Highway Diesel (15 ppm), PADD 3, Step 2</v>
      </c>
      <c r="E375" s="197" t="s">
        <v>196</v>
      </c>
      <c r="F375" s="197" t="s">
        <v>318</v>
      </c>
      <c r="G375" s="181"/>
      <c r="H375" s="158"/>
      <c r="I375" s="158"/>
    </row>
    <row r="376" spans="2:9">
      <c r="B376" s="158" t="str">
        <f>IF(OR(G$193="*",LEFT(Commodities!B$52,1)="*"),"*R0,R1,R2,R3,R4,R5,R6","R0,R1,R2,R3,R4,R5,R6")</f>
        <v>R0,R1,R2,R3,R4,R5,R6</v>
      </c>
      <c r="C376" s="158" t="str">
        <f>'Imp Refined'!E195</f>
        <v>IMPDSUP34</v>
      </c>
      <c r="D376" s="158" t="str">
        <f>'Imp Refined'!F195</f>
        <v>Imported Distillate-Ultralow Sulfur Highway Diesel (15 ppm), PADD 3, Step 4</v>
      </c>
      <c r="E376" s="197" t="s">
        <v>196</v>
      </c>
      <c r="F376" s="197" t="s">
        <v>318</v>
      </c>
      <c r="G376" s="181"/>
      <c r="H376" s="158"/>
      <c r="I376" s="158"/>
    </row>
    <row r="377" spans="2:9">
      <c r="B377" s="158" t="str">
        <f>IF(OR(G$193="*",LEFT(Commodities!B$52,1)="*"),"*R0,R1,R2,R3,R4,R5,R6","R0,R1,R2,R3,R4,R5,R6")</f>
        <v>R0,R1,R2,R3,R4,R5,R6</v>
      </c>
      <c r="C377" s="158" t="str">
        <f>'Imp Refined'!E196</f>
        <v>IMPDSUP35</v>
      </c>
      <c r="D377" s="158" t="str">
        <f>'Imp Refined'!F196</f>
        <v>Imported Distillate-Ultralow Sulfur Highway Diesel (15 ppm), PADD 3, Step 5</v>
      </c>
      <c r="E377" s="197" t="s">
        <v>196</v>
      </c>
      <c r="F377" s="197" t="s">
        <v>318</v>
      </c>
      <c r="G377" s="181"/>
      <c r="H377" s="158"/>
      <c r="I377" s="158"/>
    </row>
    <row r="378" spans="2:9">
      <c r="B378" s="158" t="s">
        <v>398</v>
      </c>
      <c r="C378" s="158"/>
      <c r="D378" s="158"/>
      <c r="E378" s="197"/>
      <c r="F378" s="197"/>
      <c r="G378" s="181"/>
      <c r="H378" s="158"/>
      <c r="I378" s="158"/>
    </row>
    <row r="379" spans="2:9">
      <c r="B379" s="158" t="s">
        <v>398</v>
      </c>
      <c r="C379" s="158"/>
      <c r="D379" s="158"/>
      <c r="E379" s="197"/>
      <c r="F379" s="197"/>
      <c r="G379" s="181"/>
      <c r="H379" s="158"/>
      <c r="I379" s="158"/>
    </row>
    <row r="380" spans="2:9">
      <c r="B380" s="158" t="s">
        <v>1004</v>
      </c>
      <c r="C380" s="158" t="str">
        <f>'Imp Refined'!E199</f>
        <v>IMPGSRP43</v>
      </c>
      <c r="D380" s="158" t="str">
        <f>'Imp Refined'!F199</f>
        <v>Imported Reformulated Gasoline, PADD 4, Step 3</v>
      </c>
      <c r="E380" s="197" t="s">
        <v>196</v>
      </c>
      <c r="F380" s="197" t="s">
        <v>318</v>
      </c>
      <c r="G380" s="181"/>
      <c r="H380" s="158"/>
      <c r="I380" s="158"/>
    </row>
    <row r="381" spans="2:9">
      <c r="B381" s="158" t="s">
        <v>1004</v>
      </c>
      <c r="C381" s="158" t="str">
        <f>'Imp Refined'!E200</f>
        <v>IMPGSRP41</v>
      </c>
      <c r="D381" s="158" t="str">
        <f>'Imp Refined'!F200</f>
        <v>Imported Reformulated Gasoline, PADD 4, Step 1</v>
      </c>
      <c r="E381" s="197" t="s">
        <v>196</v>
      </c>
      <c r="F381" s="197" t="s">
        <v>318</v>
      </c>
      <c r="G381" s="181"/>
      <c r="H381" s="158"/>
      <c r="I381" s="158"/>
    </row>
    <row r="382" spans="2:9">
      <c r="B382" s="158" t="s">
        <v>1004</v>
      </c>
      <c r="C382" s="158" t="str">
        <f>'Imp Refined'!E201</f>
        <v>IMPGSRP42</v>
      </c>
      <c r="D382" s="158" t="str">
        <f>'Imp Refined'!F201</f>
        <v>Imported Reformulated Gasoline, PADD 4, Step 2</v>
      </c>
      <c r="E382" s="197" t="s">
        <v>196</v>
      </c>
      <c r="F382" s="197" t="s">
        <v>318</v>
      </c>
      <c r="G382" s="181"/>
      <c r="H382" s="158"/>
      <c r="I382" s="158"/>
    </row>
    <row r="383" spans="2:9">
      <c r="B383" s="158" t="s">
        <v>1004</v>
      </c>
      <c r="C383" s="158" t="str">
        <f>'Imp Refined'!E202</f>
        <v>IMPGSRP44</v>
      </c>
      <c r="D383" s="158" t="str">
        <f>'Imp Refined'!F202</f>
        <v>Imported Reformulated Gasoline, PADD 4, Step 4</v>
      </c>
      <c r="E383" s="197" t="s">
        <v>196</v>
      </c>
      <c r="F383" s="197" t="s">
        <v>318</v>
      </c>
      <c r="G383" s="181"/>
      <c r="H383" s="158"/>
      <c r="I383" s="158"/>
    </row>
    <row r="384" spans="2:9">
      <c r="B384" s="158" t="s">
        <v>1004</v>
      </c>
      <c r="C384" s="158" t="str">
        <f>'Imp Refined'!E203</f>
        <v>IMPGSRP45</v>
      </c>
      <c r="D384" s="158" t="str">
        <f>'Imp Refined'!F203</f>
        <v>Imported Reformulated Gasoline, PADD 4, Step 5</v>
      </c>
      <c r="E384" s="197" t="s">
        <v>196</v>
      </c>
      <c r="F384" s="197" t="s">
        <v>318</v>
      </c>
      <c r="G384" s="181"/>
      <c r="H384" s="158"/>
      <c r="I384" s="158"/>
    </row>
    <row r="385" spans="2:9">
      <c r="B385" s="158" t="s">
        <v>1004</v>
      </c>
      <c r="C385" s="158" t="str">
        <f>'Imp Refined'!E204</f>
        <v>IMPGSCP43</v>
      </c>
      <c r="D385" s="158" t="str">
        <f>'Imp Refined'!F204</f>
        <v>Imported Conventional Gasoline, PADD 4, Step 3</v>
      </c>
      <c r="E385" s="197" t="s">
        <v>196</v>
      </c>
      <c r="F385" s="197" t="s">
        <v>318</v>
      </c>
      <c r="G385" s="181"/>
      <c r="H385" s="158"/>
      <c r="I385" s="158"/>
    </row>
    <row r="386" spans="2:9">
      <c r="B386" s="158" t="s">
        <v>1004</v>
      </c>
      <c r="C386" s="158" t="str">
        <f>'Imp Refined'!E205</f>
        <v>IMPGSCP41</v>
      </c>
      <c r="D386" s="158" t="str">
        <f>'Imp Refined'!F205</f>
        <v>Imported Conventional Gasoline, PADD 4, Step 1</v>
      </c>
      <c r="E386" s="197" t="s">
        <v>196</v>
      </c>
      <c r="F386" s="197" t="s">
        <v>318</v>
      </c>
      <c r="G386" s="181"/>
      <c r="H386" s="158"/>
      <c r="I386" s="158"/>
    </row>
    <row r="387" spans="2:9">
      <c r="B387" s="158" t="s">
        <v>1004</v>
      </c>
      <c r="C387" s="158" t="str">
        <f>'Imp Refined'!E206</f>
        <v>IMPGSCP42</v>
      </c>
      <c r="D387" s="158" t="str">
        <f>'Imp Refined'!F206</f>
        <v>Imported Conventional Gasoline, PADD 4, Step 2</v>
      </c>
      <c r="E387" s="197" t="s">
        <v>196</v>
      </c>
      <c r="F387" s="197" t="s">
        <v>318</v>
      </c>
      <c r="G387" s="181"/>
      <c r="H387" s="158"/>
      <c r="I387" s="158"/>
    </row>
    <row r="388" spans="2:9">
      <c r="B388" s="158" t="s">
        <v>1004</v>
      </c>
      <c r="C388" s="158" t="str">
        <f>'Imp Refined'!E207</f>
        <v>IMPGSCP44</v>
      </c>
      <c r="D388" s="158" t="str">
        <f>'Imp Refined'!F207</f>
        <v>Imported Conventional Gasoline, PADD 4, Step 4</v>
      </c>
      <c r="E388" s="197" t="s">
        <v>196</v>
      </c>
      <c r="F388" s="197" t="s">
        <v>318</v>
      </c>
      <c r="G388" s="181"/>
      <c r="H388" s="158"/>
      <c r="I388" s="158"/>
    </row>
    <row r="389" spans="2:9">
      <c r="B389" s="158" t="s">
        <v>1004</v>
      </c>
      <c r="C389" s="158" t="str">
        <f>'Imp Refined'!E208</f>
        <v>IMPGSCP45</v>
      </c>
      <c r="D389" s="158" t="str">
        <f>'Imp Refined'!F208</f>
        <v>Imported Conventional Gasoline, PADD 4, Step 5</v>
      </c>
      <c r="E389" s="197" t="s">
        <v>196</v>
      </c>
      <c r="F389" s="197" t="s">
        <v>318</v>
      </c>
      <c r="G389" s="181"/>
      <c r="H389" s="158"/>
      <c r="I389" s="158"/>
    </row>
    <row r="390" spans="2:9">
      <c r="B390" s="158" t="s">
        <v>1004</v>
      </c>
      <c r="C390" s="158" t="str">
        <f>'Imp Refined'!E209</f>
        <v>IMPDSHP43</v>
      </c>
      <c r="D390" s="158" t="str">
        <f>'Imp Refined'!F209</f>
        <v>Imported Distillate-Heating Oil No. 2, PADD 4, Step 3</v>
      </c>
      <c r="E390" s="197" t="s">
        <v>196</v>
      </c>
      <c r="F390" s="197" t="s">
        <v>318</v>
      </c>
      <c r="G390" s="181"/>
      <c r="H390" s="158"/>
      <c r="I390" s="158"/>
    </row>
    <row r="391" spans="2:9">
      <c r="B391" s="158" t="s">
        <v>1004</v>
      </c>
      <c r="C391" s="158" t="str">
        <f>'Imp Refined'!E210</f>
        <v>IMPDSHP41</v>
      </c>
      <c r="D391" s="158" t="str">
        <f>'Imp Refined'!F210</f>
        <v>Imported Distillate-Heating Oil No. 2, PADD 4, Step 1</v>
      </c>
      <c r="E391" s="197" t="s">
        <v>196</v>
      </c>
      <c r="F391" s="197" t="s">
        <v>318</v>
      </c>
      <c r="G391" s="181"/>
      <c r="H391" s="158"/>
      <c r="I391" s="158"/>
    </row>
    <row r="392" spans="2:9">
      <c r="B392" s="158" t="s">
        <v>1004</v>
      </c>
      <c r="C392" s="158" t="str">
        <f>'Imp Refined'!E211</f>
        <v>IMPDSHP42</v>
      </c>
      <c r="D392" s="158" t="str">
        <f>'Imp Refined'!F211</f>
        <v>Imported Distillate-Heating Oil No. 2, PADD 4, Step 2</v>
      </c>
      <c r="E392" s="197" t="s">
        <v>196</v>
      </c>
      <c r="F392" s="197" t="s">
        <v>318</v>
      </c>
      <c r="G392" s="181"/>
      <c r="H392" s="158"/>
      <c r="I392" s="158"/>
    </row>
    <row r="393" spans="2:9">
      <c r="B393" s="158" t="s">
        <v>1004</v>
      </c>
      <c r="C393" s="158" t="str">
        <f>'Imp Refined'!E212</f>
        <v>IMPDSHP44</v>
      </c>
      <c r="D393" s="158" t="str">
        <f>'Imp Refined'!F212</f>
        <v>Imported Distillate-Heating Oil No. 2, PADD 4, Step 4</v>
      </c>
      <c r="E393" s="197" t="s">
        <v>196</v>
      </c>
      <c r="F393" s="197" t="s">
        <v>318</v>
      </c>
      <c r="G393" s="181"/>
      <c r="H393" s="158"/>
      <c r="I393" s="158"/>
    </row>
    <row r="394" spans="2:9">
      <c r="B394" s="158" t="s">
        <v>1004</v>
      </c>
      <c r="C394" s="158" t="str">
        <f>'Imp Refined'!E213</f>
        <v>IMPDSHP45</v>
      </c>
      <c r="D394" s="158" t="str">
        <f>'Imp Refined'!F213</f>
        <v>Imported Distillate-Heating Oil No. 2, PADD 4, Step 5</v>
      </c>
      <c r="E394" s="197" t="s">
        <v>196</v>
      </c>
      <c r="F394" s="197" t="s">
        <v>318</v>
      </c>
      <c r="G394" s="181"/>
      <c r="H394" s="158"/>
      <c r="I394" s="158"/>
    </row>
    <row r="395" spans="2:9">
      <c r="B395" s="158" t="s">
        <v>1004</v>
      </c>
      <c r="C395" s="158" t="str">
        <f>'Imp Refined'!E214</f>
        <v>IMPDSLP43</v>
      </c>
      <c r="D395" s="158" t="str">
        <f>'Imp Refined'!F214</f>
        <v>Imported Distillate-Low Sulfur Highway Diesel (500 ppm), PADD 4, Step 3</v>
      </c>
      <c r="E395" s="197" t="s">
        <v>196</v>
      </c>
      <c r="F395" s="197" t="s">
        <v>318</v>
      </c>
      <c r="G395" s="181"/>
      <c r="H395" s="158"/>
      <c r="I395" s="158"/>
    </row>
    <row r="396" spans="2:9">
      <c r="B396" s="158" t="s">
        <v>1004</v>
      </c>
      <c r="C396" s="158" t="str">
        <f>'Imp Refined'!E215</f>
        <v>IMPDSLP41</v>
      </c>
      <c r="D396" s="158" t="str">
        <f>'Imp Refined'!F215</f>
        <v>Imported Distillate-Low Sulfur Highway Diesel (500 ppm), PADD 4, Step 1</v>
      </c>
      <c r="E396" s="197" t="s">
        <v>196</v>
      </c>
      <c r="F396" s="197" t="s">
        <v>318</v>
      </c>
      <c r="G396" s="181"/>
      <c r="H396" s="158"/>
      <c r="I396" s="158"/>
    </row>
    <row r="397" spans="2:9">
      <c r="B397" s="158" t="s">
        <v>1004</v>
      </c>
      <c r="C397" s="158" t="str">
        <f>'Imp Refined'!E216</f>
        <v>IMPDSLP42</v>
      </c>
      <c r="D397" s="158" t="str">
        <f>'Imp Refined'!F216</f>
        <v>Imported Distillate-Low Sulfur Highway Diesel (500 ppm), PADD 4, Step 2</v>
      </c>
      <c r="E397" s="197" t="s">
        <v>196</v>
      </c>
      <c r="F397" s="197" t="s">
        <v>318</v>
      </c>
      <c r="G397" s="181"/>
      <c r="H397" s="158"/>
      <c r="I397" s="158"/>
    </row>
    <row r="398" spans="2:9">
      <c r="B398" s="158" t="s">
        <v>1004</v>
      </c>
      <c r="C398" s="158" t="str">
        <f>'Imp Refined'!E217</f>
        <v>IMPDSLP44</v>
      </c>
      <c r="D398" s="158" t="str">
        <f>'Imp Refined'!F217</f>
        <v>Imported Distillate-Low Sulfur Highway Diesel (500 ppm), PADD 4, Step 4</v>
      </c>
      <c r="E398" s="197" t="s">
        <v>196</v>
      </c>
      <c r="F398" s="197" t="s">
        <v>318</v>
      </c>
      <c r="G398" s="181"/>
      <c r="H398" s="158"/>
      <c r="I398" s="158"/>
    </row>
    <row r="399" spans="2:9">
      <c r="B399" s="158" t="s">
        <v>1004</v>
      </c>
      <c r="C399" s="158" t="str">
        <f>'Imp Refined'!E218</f>
        <v>IMPDSLP45</v>
      </c>
      <c r="D399" s="158" t="str">
        <f>'Imp Refined'!F218</f>
        <v>Imported Distillate-Low Sulfur Highway Diesel (500 ppm), PADD 4, Step 5</v>
      </c>
      <c r="E399" s="197" t="s">
        <v>196</v>
      </c>
      <c r="F399" s="197" t="s">
        <v>318</v>
      </c>
      <c r="G399" s="181"/>
      <c r="H399" s="158"/>
      <c r="I399" s="158"/>
    </row>
    <row r="400" spans="2:9">
      <c r="B400" s="158" t="s">
        <v>1004</v>
      </c>
      <c r="C400" s="158" t="str">
        <f>'Imp Refined'!E219</f>
        <v>IMPRFLP43</v>
      </c>
      <c r="D400" s="158" t="str">
        <f>'Imp Refined'!F219</f>
        <v>Imported Low Sulfur Residual Fuel Oil, PADD 4, Step 3</v>
      </c>
      <c r="E400" s="197" t="s">
        <v>196</v>
      </c>
      <c r="F400" s="197" t="s">
        <v>318</v>
      </c>
      <c r="G400" s="181"/>
      <c r="H400" s="158"/>
      <c r="I400" s="158"/>
    </row>
    <row r="401" spans="2:9">
      <c r="B401" s="158" t="s">
        <v>1004</v>
      </c>
      <c r="C401" s="158" t="str">
        <f>'Imp Refined'!E220</f>
        <v>IMPRFLP41</v>
      </c>
      <c r="D401" s="158" t="str">
        <f>'Imp Refined'!F220</f>
        <v>Imported Low Sulfur Residual Fuel Oil, PADD 4, Step 1</v>
      </c>
      <c r="E401" s="197" t="s">
        <v>196</v>
      </c>
      <c r="F401" s="197" t="s">
        <v>318</v>
      </c>
      <c r="G401" s="181"/>
      <c r="H401" s="158"/>
      <c r="I401" s="158"/>
    </row>
    <row r="402" spans="2:9">
      <c r="B402" s="158" t="s">
        <v>1004</v>
      </c>
      <c r="C402" s="158" t="str">
        <f>'Imp Refined'!E221</f>
        <v>IMPRFLP42</v>
      </c>
      <c r="D402" s="158" t="str">
        <f>'Imp Refined'!F221</f>
        <v>Imported Low Sulfur Residual Fuel Oil, PADD 4, Step 2</v>
      </c>
      <c r="E402" s="197" t="s">
        <v>196</v>
      </c>
      <c r="F402" s="197" t="s">
        <v>318</v>
      </c>
      <c r="G402" s="181"/>
      <c r="H402" s="158"/>
      <c r="I402" s="158"/>
    </row>
    <row r="403" spans="2:9">
      <c r="B403" s="158" t="s">
        <v>1004</v>
      </c>
      <c r="C403" s="158" t="str">
        <f>'Imp Refined'!E222</f>
        <v>IMPRFLP44</v>
      </c>
      <c r="D403" s="158" t="str">
        <f>'Imp Refined'!F222</f>
        <v>Imported Low Sulfur Residual Fuel Oil, PADD 4, Step 4</v>
      </c>
      <c r="E403" s="197" t="s">
        <v>196</v>
      </c>
      <c r="F403" s="197" t="s">
        <v>318</v>
      </c>
      <c r="G403" s="181"/>
      <c r="H403" s="158"/>
      <c r="I403" s="158"/>
    </row>
    <row r="404" spans="2:9">
      <c r="B404" s="158" t="s">
        <v>1004</v>
      </c>
      <c r="C404" s="158" t="str">
        <f>'Imp Refined'!E223</f>
        <v>IMPRFLP45</v>
      </c>
      <c r="D404" s="158" t="str">
        <f>'Imp Refined'!F223</f>
        <v>Imported Low Sulfur Residual Fuel Oil, PADD 4, Step 5</v>
      </c>
      <c r="E404" s="197" t="s">
        <v>196</v>
      </c>
      <c r="F404" s="197" t="s">
        <v>318</v>
      </c>
      <c r="G404" s="181"/>
      <c r="H404" s="158"/>
      <c r="I404" s="158"/>
    </row>
    <row r="405" spans="2:9">
      <c r="B405" s="158" t="s">
        <v>1004</v>
      </c>
      <c r="C405" s="158" t="str">
        <f>'Imp Refined'!E224</f>
        <v>IMPRFHP43</v>
      </c>
      <c r="D405" s="158" t="str">
        <f>'Imp Refined'!F224</f>
        <v>Imported High Sulfur Residual Fuel Oil, PADD 4, Step 3</v>
      </c>
      <c r="E405" s="197" t="s">
        <v>196</v>
      </c>
      <c r="F405" s="197" t="s">
        <v>318</v>
      </c>
      <c r="G405" s="181"/>
      <c r="H405" s="158"/>
      <c r="I405" s="158"/>
    </row>
    <row r="406" spans="2:9">
      <c r="B406" s="158" t="s">
        <v>1004</v>
      </c>
      <c r="C406" s="158" t="str">
        <f>'Imp Refined'!E225</f>
        <v>IMPRFHP41</v>
      </c>
      <c r="D406" s="158" t="str">
        <f>'Imp Refined'!F225</f>
        <v>Imported High Sulfur Residual Fuel Oil, PADD 4, Step 1</v>
      </c>
      <c r="E406" s="197" t="s">
        <v>196</v>
      </c>
      <c r="F406" s="197" t="s">
        <v>318</v>
      </c>
      <c r="G406" s="181"/>
      <c r="H406" s="158"/>
      <c r="I406" s="158"/>
    </row>
    <row r="407" spans="2:9">
      <c r="B407" s="158" t="s">
        <v>1004</v>
      </c>
      <c r="C407" s="158" t="str">
        <f>'Imp Refined'!E226</f>
        <v>IMPRFHP42</v>
      </c>
      <c r="D407" s="158" t="str">
        <f>'Imp Refined'!F226</f>
        <v>Imported High Sulfur Residual Fuel Oil, PADD 4, Step 2</v>
      </c>
      <c r="E407" s="197" t="s">
        <v>196</v>
      </c>
      <c r="F407" s="197" t="s">
        <v>318</v>
      </c>
      <c r="G407" s="181"/>
      <c r="H407" s="158"/>
      <c r="I407" s="158"/>
    </row>
    <row r="408" spans="2:9">
      <c r="B408" s="158" t="s">
        <v>1004</v>
      </c>
      <c r="C408" s="158" t="str">
        <f>'Imp Refined'!E227</f>
        <v>IMPRFHP44</v>
      </c>
      <c r="D408" s="158" t="str">
        <f>'Imp Refined'!F227</f>
        <v>Imported High Sulfur Residual Fuel Oil, PADD 4, Step 4</v>
      </c>
      <c r="E408" s="197" t="s">
        <v>196</v>
      </c>
      <c r="F408" s="197" t="s">
        <v>318</v>
      </c>
      <c r="G408" s="181"/>
      <c r="H408" s="158"/>
      <c r="I408" s="158"/>
    </row>
    <row r="409" spans="2:9">
      <c r="B409" s="158" t="s">
        <v>1004</v>
      </c>
      <c r="C409" s="158" t="str">
        <f>'Imp Refined'!E228</f>
        <v>IMPRFHP45</v>
      </c>
      <c r="D409" s="158" t="str">
        <f>'Imp Refined'!F228</f>
        <v>Imported High Sulfur Residual Fuel Oil, PADD 4, Step 5</v>
      </c>
      <c r="E409" s="197" t="s">
        <v>196</v>
      </c>
      <c r="F409" s="197" t="s">
        <v>318</v>
      </c>
      <c r="G409" s="181"/>
      <c r="H409" s="158"/>
      <c r="I409" s="158"/>
    </row>
    <row r="410" spans="2:9">
      <c r="B410" s="158" t="s">
        <v>1004</v>
      </c>
      <c r="C410" s="158" t="str">
        <f>'Imp Refined'!E229</f>
        <v>IMPJTFP43</v>
      </c>
      <c r="D410" s="158" t="str">
        <f>'Imp Refined'!F229</f>
        <v>Imported Jet Fuel, PADD 4, Step 3</v>
      </c>
      <c r="E410" s="197" t="s">
        <v>196</v>
      </c>
      <c r="F410" s="197" t="s">
        <v>318</v>
      </c>
      <c r="G410" s="181"/>
      <c r="H410" s="158"/>
      <c r="I410" s="158"/>
    </row>
    <row r="411" spans="2:9">
      <c r="B411" s="158" t="s">
        <v>1004</v>
      </c>
      <c r="C411" s="158" t="str">
        <f>'Imp Refined'!E230</f>
        <v>IMPJTFP41</v>
      </c>
      <c r="D411" s="158" t="str">
        <f>'Imp Refined'!F230</f>
        <v>Imported Jet Fuel, PADD 4, Step 1</v>
      </c>
      <c r="E411" s="197" t="s">
        <v>196</v>
      </c>
      <c r="F411" s="197" t="s">
        <v>318</v>
      </c>
      <c r="G411" s="181"/>
      <c r="H411" s="158"/>
      <c r="I411" s="158"/>
    </row>
    <row r="412" spans="2:9">
      <c r="B412" s="158" t="s">
        <v>1004</v>
      </c>
      <c r="C412" s="158" t="str">
        <f>'Imp Refined'!E231</f>
        <v>IMPJTFP42</v>
      </c>
      <c r="D412" s="158" t="str">
        <f>'Imp Refined'!F231</f>
        <v>Imported Jet Fuel, PADD 4, Step 2</v>
      </c>
      <c r="E412" s="197" t="s">
        <v>196</v>
      </c>
      <c r="F412" s="197" t="s">
        <v>318</v>
      </c>
      <c r="G412" s="181"/>
      <c r="H412" s="158"/>
      <c r="I412" s="158"/>
    </row>
    <row r="413" spans="2:9">
      <c r="B413" s="158" t="s">
        <v>1004</v>
      </c>
      <c r="C413" s="158" t="str">
        <f>'Imp Refined'!E232</f>
        <v>IMPJTFP44</v>
      </c>
      <c r="D413" s="158" t="str">
        <f>'Imp Refined'!F232</f>
        <v>Imported Jet Fuel, PADD 4, Step 4</v>
      </c>
      <c r="E413" s="197" t="s">
        <v>196</v>
      </c>
      <c r="F413" s="197" t="s">
        <v>318</v>
      </c>
      <c r="G413" s="181"/>
      <c r="H413" s="158"/>
      <c r="I413" s="158"/>
    </row>
    <row r="414" spans="2:9">
      <c r="B414" s="158" t="s">
        <v>1004</v>
      </c>
      <c r="C414" s="158" t="str">
        <f>'Imp Refined'!E233</f>
        <v>IMPJTFP45</v>
      </c>
      <c r="D414" s="158" t="str">
        <f>'Imp Refined'!F233</f>
        <v>Imported Jet Fuel, PADD 4, Step 5</v>
      </c>
      <c r="E414" s="197" t="s">
        <v>196</v>
      </c>
      <c r="F414" s="197" t="s">
        <v>318</v>
      </c>
      <c r="G414" s="181"/>
      <c r="H414" s="158"/>
      <c r="I414" s="158"/>
    </row>
    <row r="415" spans="2:9">
      <c r="B415" s="158" t="s">
        <v>1004</v>
      </c>
      <c r="C415" s="158" t="str">
        <f>'Imp Refined'!E234</f>
        <v>IMPLPGP43</v>
      </c>
      <c r="D415" s="158" t="str">
        <f>'Imp Refined'!F234</f>
        <v>Imported LPG, PADD 4, Step 3</v>
      </c>
      <c r="E415" s="197" t="s">
        <v>196</v>
      </c>
      <c r="F415" s="197" t="s">
        <v>318</v>
      </c>
      <c r="G415" s="181"/>
      <c r="H415" s="158"/>
      <c r="I415" s="158"/>
    </row>
    <row r="416" spans="2:9">
      <c r="B416" s="158" t="s">
        <v>1004</v>
      </c>
      <c r="C416" s="158" t="str">
        <f>'Imp Refined'!E235</f>
        <v>IMPLPGP41</v>
      </c>
      <c r="D416" s="158" t="str">
        <f>'Imp Refined'!F235</f>
        <v>Imported LPG, PADD 4, Step 1</v>
      </c>
      <c r="E416" s="197" t="s">
        <v>196</v>
      </c>
      <c r="F416" s="197" t="s">
        <v>318</v>
      </c>
      <c r="G416" s="181"/>
      <c r="H416" s="158"/>
      <c r="I416" s="158"/>
    </row>
    <row r="417" spans="2:9">
      <c r="B417" s="158" t="s">
        <v>1004</v>
      </c>
      <c r="C417" s="158" t="str">
        <f>'Imp Refined'!E236</f>
        <v>IMPLPGP42</v>
      </c>
      <c r="D417" s="158" t="str">
        <f>'Imp Refined'!F236</f>
        <v>Imported LPG, PADD 4, Step 2</v>
      </c>
      <c r="E417" s="197" t="s">
        <v>196</v>
      </c>
      <c r="F417" s="197" t="s">
        <v>318</v>
      </c>
      <c r="G417" s="181"/>
      <c r="H417" s="158"/>
      <c r="I417" s="158"/>
    </row>
    <row r="418" spans="2:9">
      <c r="B418" s="158" t="s">
        <v>1004</v>
      </c>
      <c r="C418" s="158" t="str">
        <f>'Imp Refined'!E237</f>
        <v>IMPLPGP44</v>
      </c>
      <c r="D418" s="158" t="str">
        <f>'Imp Refined'!F237</f>
        <v>Imported LPG, PADD 4, Step 4</v>
      </c>
      <c r="E418" s="197" t="s">
        <v>196</v>
      </c>
      <c r="F418" s="197" t="s">
        <v>318</v>
      </c>
      <c r="G418" s="181"/>
      <c r="H418" s="158"/>
      <c r="I418" s="158"/>
    </row>
    <row r="419" spans="2:9">
      <c r="B419" s="158" t="s">
        <v>1004</v>
      </c>
      <c r="C419" s="158" t="str">
        <f>'Imp Refined'!E238</f>
        <v>IMPLPGP45</v>
      </c>
      <c r="D419" s="158" t="str">
        <f>'Imp Refined'!F238</f>
        <v>Imported LPG, PADD 4, Step 5</v>
      </c>
      <c r="E419" s="197" t="s">
        <v>196</v>
      </c>
      <c r="F419" s="197" t="s">
        <v>318</v>
      </c>
      <c r="G419" s="181"/>
      <c r="H419" s="158"/>
      <c r="I419" s="158"/>
    </row>
    <row r="420" spans="2:9">
      <c r="B420" s="158" t="s">
        <v>1004</v>
      </c>
      <c r="C420" s="158" t="str">
        <f>'Imp Refined'!E239</f>
        <v>IMPPFSP43</v>
      </c>
      <c r="D420" s="158" t="str">
        <f>'Imp Refined'!F239</f>
        <v>Imported Petrochemical Feedstocks, PADD 4, Step 3</v>
      </c>
      <c r="E420" s="197" t="s">
        <v>196</v>
      </c>
      <c r="F420" s="197" t="s">
        <v>318</v>
      </c>
      <c r="G420" s="181"/>
      <c r="H420" s="158"/>
      <c r="I420" s="158"/>
    </row>
    <row r="421" spans="2:9">
      <c r="B421" s="158" t="s">
        <v>1004</v>
      </c>
      <c r="C421" s="158" t="str">
        <f>'Imp Refined'!E240</f>
        <v>IMPPFSP41</v>
      </c>
      <c r="D421" s="158" t="str">
        <f>'Imp Refined'!F240</f>
        <v>Imported Petrochemical Feedstocks, PADD 4, Step 1</v>
      </c>
      <c r="E421" s="197" t="s">
        <v>196</v>
      </c>
      <c r="F421" s="197" t="s">
        <v>318</v>
      </c>
      <c r="G421" s="181"/>
      <c r="H421" s="158"/>
      <c r="I421" s="158"/>
    </row>
    <row r="422" spans="2:9">
      <c r="B422" s="158" t="s">
        <v>1004</v>
      </c>
      <c r="C422" s="158" t="str">
        <f>'Imp Refined'!E241</f>
        <v>IMPPFSP42</v>
      </c>
      <c r="D422" s="158" t="str">
        <f>'Imp Refined'!F241</f>
        <v>Imported Petrochemical Feedstocks, PADD 4, Step 2</v>
      </c>
      <c r="E422" s="197" t="s">
        <v>196</v>
      </c>
      <c r="F422" s="197" t="s">
        <v>318</v>
      </c>
      <c r="G422" s="181"/>
      <c r="H422" s="158"/>
      <c r="I422" s="158"/>
    </row>
    <row r="423" spans="2:9">
      <c r="B423" s="158" t="s">
        <v>1004</v>
      </c>
      <c r="C423" s="158" t="str">
        <f>'Imp Refined'!E242</f>
        <v>IMPPFSP44</v>
      </c>
      <c r="D423" s="158" t="str">
        <f>'Imp Refined'!F242</f>
        <v>Imported Petrochemical Feedstocks, PADD 4, Step 4</v>
      </c>
      <c r="E423" s="197" t="s">
        <v>196</v>
      </c>
      <c r="F423" s="197" t="s">
        <v>318</v>
      </c>
      <c r="G423" s="181"/>
      <c r="H423" s="158"/>
      <c r="I423" s="158"/>
    </row>
    <row r="424" spans="2:9">
      <c r="B424" s="158" t="s">
        <v>1004</v>
      </c>
      <c r="C424" s="158" t="str">
        <f>'Imp Refined'!E243</f>
        <v>IMPPFSP45</v>
      </c>
      <c r="D424" s="158" t="str">
        <f>'Imp Refined'!F243</f>
        <v>Imported Petrochemical Feedstocks, PADD 4, Step 5</v>
      </c>
      <c r="E424" s="197" t="s">
        <v>196</v>
      </c>
      <c r="F424" s="197" t="s">
        <v>318</v>
      </c>
      <c r="G424" s="181"/>
      <c r="H424" s="158"/>
      <c r="I424" s="158"/>
    </row>
    <row r="425" spans="2:9">
      <c r="B425" s="158" t="s">
        <v>1004</v>
      </c>
      <c r="C425" s="158" t="str">
        <f>'Imp Refined'!E244</f>
        <v>IMPKERP43</v>
      </c>
      <c r="D425" s="158" t="str">
        <f>'Imp Refined'!F244</f>
        <v>Imported Kerosene and Other Refined Products, PADD 4, Step 3</v>
      </c>
      <c r="E425" s="197" t="s">
        <v>196</v>
      </c>
      <c r="F425" s="197" t="s">
        <v>318</v>
      </c>
      <c r="G425" s="181"/>
      <c r="H425" s="158"/>
      <c r="I425" s="158"/>
    </row>
    <row r="426" spans="2:9">
      <c r="B426" s="158" t="s">
        <v>1004</v>
      </c>
      <c r="C426" s="158" t="str">
        <f>'Imp Refined'!E245</f>
        <v>IMPKERP41</v>
      </c>
      <c r="D426" s="158" t="str">
        <f>'Imp Refined'!F245</f>
        <v>Imported Kerosene and Other Refined Products, PADD 4, Step 1</v>
      </c>
      <c r="E426" s="197" t="s">
        <v>196</v>
      </c>
      <c r="F426" s="197" t="s">
        <v>318</v>
      </c>
      <c r="G426" s="181"/>
      <c r="H426" s="158"/>
      <c r="I426" s="158"/>
    </row>
    <row r="427" spans="2:9">
      <c r="B427" s="158" t="s">
        <v>1004</v>
      </c>
      <c r="C427" s="158" t="str">
        <f>'Imp Refined'!E246</f>
        <v>IMPKERP42</v>
      </c>
      <c r="D427" s="158" t="str">
        <f>'Imp Refined'!F246</f>
        <v>Imported Kerosene and Other Refined Products, PADD 4, Step 2</v>
      </c>
      <c r="E427" s="197" t="s">
        <v>196</v>
      </c>
      <c r="F427" s="197" t="s">
        <v>318</v>
      </c>
      <c r="G427" s="181"/>
      <c r="H427" s="158"/>
      <c r="I427" s="158"/>
    </row>
    <row r="428" spans="2:9">
      <c r="B428" s="158" t="s">
        <v>1004</v>
      </c>
      <c r="C428" s="158" t="str">
        <f>'Imp Refined'!E247</f>
        <v>IMPKERP44</v>
      </c>
      <c r="D428" s="158" t="str">
        <f>'Imp Refined'!F247</f>
        <v>Imported Kerosene and Other Refined Products, PADD 4, Step 4</v>
      </c>
      <c r="E428" s="197" t="s">
        <v>196</v>
      </c>
      <c r="F428" s="197" t="s">
        <v>318</v>
      </c>
      <c r="G428" s="181"/>
      <c r="H428" s="158"/>
      <c r="I428" s="158"/>
    </row>
    <row r="429" spans="2:9">
      <c r="B429" s="158" t="s">
        <v>1004</v>
      </c>
      <c r="C429" s="158" t="str">
        <f>'Imp Refined'!E248</f>
        <v>IMPKERP45</v>
      </c>
      <c r="D429" s="158" t="str">
        <f>'Imp Refined'!F248</f>
        <v>Imported Kerosene and Other Refined Products, PADD 4, Step 5</v>
      </c>
      <c r="E429" s="197" t="s">
        <v>196</v>
      </c>
      <c r="F429" s="197" t="s">
        <v>318</v>
      </c>
      <c r="G429" s="181"/>
      <c r="H429" s="158"/>
      <c r="I429" s="158"/>
    </row>
    <row r="430" spans="2:9">
      <c r="B430" s="158" t="s">
        <v>1004</v>
      </c>
      <c r="C430" s="158" t="str">
        <f>'Imp Refined'!E249</f>
        <v>IMPMTHP43</v>
      </c>
      <c r="D430" s="158" t="str">
        <f>'Imp Refined'!F249</f>
        <v>Imported Methanol, PADD 4, Step 3</v>
      </c>
      <c r="E430" s="197" t="s">
        <v>196</v>
      </c>
      <c r="F430" s="197" t="s">
        <v>318</v>
      </c>
      <c r="G430" s="181"/>
      <c r="H430" s="158"/>
      <c r="I430" s="158"/>
    </row>
    <row r="431" spans="2:9">
      <c r="B431" s="158" t="s">
        <v>1004</v>
      </c>
      <c r="C431" s="158" t="str">
        <f>'Imp Refined'!E250</f>
        <v>IMPMTHP41</v>
      </c>
      <c r="D431" s="158" t="str">
        <f>'Imp Refined'!F250</f>
        <v>Imported Methanol, PADD 4, Step 1</v>
      </c>
      <c r="E431" s="197" t="s">
        <v>196</v>
      </c>
      <c r="F431" s="197" t="s">
        <v>318</v>
      </c>
      <c r="G431" s="181"/>
      <c r="H431" s="158"/>
      <c r="I431" s="158"/>
    </row>
    <row r="432" spans="2:9">
      <c r="B432" s="158" t="s">
        <v>1004</v>
      </c>
      <c r="C432" s="158" t="str">
        <f>'Imp Refined'!E251</f>
        <v>IMPMTHP42</v>
      </c>
      <c r="D432" s="158" t="str">
        <f>'Imp Refined'!F251</f>
        <v>Imported Methanol, PADD 4, Step 2</v>
      </c>
      <c r="E432" s="197" t="s">
        <v>196</v>
      </c>
      <c r="F432" s="197" t="s">
        <v>318</v>
      </c>
      <c r="G432" s="181"/>
      <c r="H432" s="158"/>
      <c r="I432" s="158"/>
    </row>
    <row r="433" spans="2:9">
      <c r="B433" s="158" t="s">
        <v>1004</v>
      </c>
      <c r="C433" s="158" t="str">
        <f>'Imp Refined'!E252</f>
        <v>IMPMTHP44</v>
      </c>
      <c r="D433" s="158" t="str">
        <f>'Imp Refined'!F252</f>
        <v>Imported Methanol, PADD 4, Step 4</v>
      </c>
      <c r="E433" s="197" t="s">
        <v>196</v>
      </c>
      <c r="F433" s="197" t="s">
        <v>318</v>
      </c>
      <c r="G433" s="181"/>
      <c r="H433" s="158"/>
      <c r="I433" s="158"/>
    </row>
    <row r="434" spans="2:9">
      <c r="B434" s="158" t="s">
        <v>1004</v>
      </c>
      <c r="C434" s="158" t="str">
        <f>'Imp Refined'!E253</f>
        <v>IMPMTHP45</v>
      </c>
      <c r="D434" s="158" t="str">
        <f>'Imp Refined'!F253</f>
        <v>Imported Methanol, PADD 4, Step 5</v>
      </c>
      <c r="E434" s="197" t="s">
        <v>196</v>
      </c>
      <c r="F434" s="197" t="s">
        <v>318</v>
      </c>
      <c r="G434" s="181"/>
      <c r="H434" s="158"/>
      <c r="I434" s="158"/>
    </row>
    <row r="435" spans="2:9">
      <c r="B435" s="158" t="s">
        <v>1004</v>
      </c>
      <c r="C435" s="158" t="str">
        <f>'Imp Refined'!E254</f>
        <v>IMPDSUP43</v>
      </c>
      <c r="D435" s="158" t="str">
        <f>'Imp Refined'!F254</f>
        <v>Imported Distillate-Ultralow Sulfur Highway Diesel (15 ppm), PADD 4, Step 3</v>
      </c>
      <c r="E435" s="197" t="s">
        <v>196</v>
      </c>
      <c r="F435" s="197" t="s">
        <v>318</v>
      </c>
      <c r="G435" s="181"/>
      <c r="H435" s="158"/>
      <c r="I435" s="158"/>
    </row>
    <row r="436" spans="2:9">
      <c r="B436" s="158" t="s">
        <v>1004</v>
      </c>
      <c r="C436" s="158" t="str">
        <f>'Imp Refined'!E255</f>
        <v>IMPDSUP41</v>
      </c>
      <c r="D436" s="158" t="str">
        <f>'Imp Refined'!F255</f>
        <v>Imported Distillate-Ultralow Sulfur Highway Diesel (15 ppm), PADD 4, Step 1</v>
      </c>
      <c r="E436" s="197" t="s">
        <v>196</v>
      </c>
      <c r="F436" s="197" t="s">
        <v>318</v>
      </c>
      <c r="G436" s="181"/>
      <c r="H436" s="158"/>
      <c r="I436" s="158"/>
    </row>
    <row r="437" spans="2:9">
      <c r="B437" s="158" t="s">
        <v>1004</v>
      </c>
      <c r="C437" s="158" t="str">
        <f>'Imp Refined'!E256</f>
        <v>IMPDSUP42</v>
      </c>
      <c r="D437" s="158" t="str">
        <f>'Imp Refined'!F256</f>
        <v>Imported Distillate-Ultralow Sulfur Highway Diesel (15 ppm), PADD 4, Step 2</v>
      </c>
      <c r="E437" s="197" t="s">
        <v>196</v>
      </c>
      <c r="F437" s="197" t="s">
        <v>318</v>
      </c>
      <c r="G437" s="181"/>
      <c r="H437" s="158"/>
      <c r="I437" s="158"/>
    </row>
    <row r="438" spans="2:9">
      <c r="B438" s="158" t="s">
        <v>1004</v>
      </c>
      <c r="C438" s="158" t="str">
        <f>'Imp Refined'!E257</f>
        <v>IMPDSUP44</v>
      </c>
      <c r="D438" s="158" t="str">
        <f>'Imp Refined'!F257</f>
        <v>Imported Distillate-Ultralow Sulfur Highway Diesel (15 ppm), PADD 4, Step 4</v>
      </c>
      <c r="E438" s="197" t="s">
        <v>196</v>
      </c>
      <c r="F438" s="197" t="s">
        <v>318</v>
      </c>
      <c r="G438" s="181"/>
      <c r="H438" s="158"/>
      <c r="I438" s="158"/>
    </row>
    <row r="439" spans="2:9">
      <c r="B439" s="158" t="s">
        <v>1004</v>
      </c>
      <c r="C439" s="158" t="str">
        <f>'Imp Refined'!E258</f>
        <v>IMPDSUP45</v>
      </c>
      <c r="D439" s="158" t="str">
        <f>'Imp Refined'!F258</f>
        <v>Imported Distillate-Ultralow Sulfur Highway Diesel (15 ppm), PADD 4, Step 5</v>
      </c>
      <c r="E439" s="197" t="s">
        <v>196</v>
      </c>
      <c r="F439" s="197" t="s">
        <v>318</v>
      </c>
      <c r="G439" s="181"/>
      <c r="H439" s="158"/>
      <c r="I439" s="158"/>
    </row>
    <row r="440" spans="2:9">
      <c r="B440" s="158" t="s">
        <v>398</v>
      </c>
      <c r="C440" s="158"/>
      <c r="D440" s="158"/>
      <c r="E440" s="197"/>
      <c r="F440" s="197"/>
      <c r="G440" s="181"/>
      <c r="H440" s="158"/>
      <c r="I440" s="158"/>
    </row>
    <row r="441" spans="2:9">
      <c r="B441" s="158" t="s">
        <v>398</v>
      </c>
      <c r="C441" s="158"/>
      <c r="D441" s="158"/>
      <c r="E441" s="197"/>
      <c r="F441" s="197"/>
      <c r="G441" s="181"/>
      <c r="H441" s="158"/>
      <c r="I441" s="158"/>
    </row>
    <row r="442" spans="2:9">
      <c r="B442" s="158" t="s">
        <v>1004</v>
      </c>
      <c r="C442" s="158" t="str">
        <f>'Imp Refined'!E261</f>
        <v>IMPGSRP53</v>
      </c>
      <c r="D442" s="158" t="str">
        <f>'Imp Refined'!F261</f>
        <v>Imported Reformulated Gasoline, PADD 5, Step 3</v>
      </c>
      <c r="E442" s="197" t="s">
        <v>196</v>
      </c>
      <c r="F442" s="197" t="s">
        <v>318</v>
      </c>
      <c r="G442" s="181"/>
      <c r="H442" s="158"/>
      <c r="I442" s="158"/>
    </row>
    <row r="443" spans="2:9">
      <c r="B443" s="158" t="s">
        <v>1004</v>
      </c>
      <c r="C443" s="158" t="str">
        <f>'Imp Refined'!E262</f>
        <v>IMPGSRP51</v>
      </c>
      <c r="D443" s="158" t="str">
        <f>'Imp Refined'!F262</f>
        <v>Imported Reformulated Gasoline, PADD 5, Step 1</v>
      </c>
      <c r="E443" s="197" t="s">
        <v>196</v>
      </c>
      <c r="F443" s="197" t="s">
        <v>318</v>
      </c>
      <c r="G443" s="181"/>
      <c r="H443" s="158"/>
      <c r="I443" s="158"/>
    </row>
    <row r="444" spans="2:9">
      <c r="B444" s="158" t="s">
        <v>1004</v>
      </c>
      <c r="C444" s="158" t="str">
        <f>'Imp Refined'!E263</f>
        <v>IMPGSRP52</v>
      </c>
      <c r="D444" s="158" t="str">
        <f>'Imp Refined'!F263</f>
        <v>Imported Reformulated Gasoline, PADD 5, Step 2</v>
      </c>
      <c r="E444" s="197" t="s">
        <v>196</v>
      </c>
      <c r="F444" s="197" t="s">
        <v>318</v>
      </c>
      <c r="G444" s="181"/>
      <c r="H444" s="158"/>
      <c r="I444" s="158"/>
    </row>
    <row r="445" spans="2:9">
      <c r="B445" s="158" t="s">
        <v>1004</v>
      </c>
      <c r="C445" s="158" t="str">
        <f>'Imp Refined'!E264</f>
        <v>IMPGSRP54</v>
      </c>
      <c r="D445" s="158" t="str">
        <f>'Imp Refined'!F264</f>
        <v>Imported Reformulated Gasoline, PADD 5, Step 4</v>
      </c>
      <c r="E445" s="197" t="s">
        <v>196</v>
      </c>
      <c r="F445" s="197" t="s">
        <v>318</v>
      </c>
      <c r="G445" s="181"/>
      <c r="H445" s="158"/>
      <c r="I445" s="158"/>
    </row>
    <row r="446" spans="2:9">
      <c r="B446" s="158" t="s">
        <v>1004</v>
      </c>
      <c r="C446" s="158" t="str">
        <f>'Imp Refined'!E265</f>
        <v>IMPGSRP55</v>
      </c>
      <c r="D446" s="158" t="str">
        <f>'Imp Refined'!F265</f>
        <v>Imported Reformulated Gasoline, PADD 5, Step 5</v>
      </c>
      <c r="E446" s="197" t="s">
        <v>196</v>
      </c>
      <c r="F446" s="197" t="s">
        <v>318</v>
      </c>
      <c r="G446" s="181"/>
      <c r="H446" s="158"/>
      <c r="I446" s="158"/>
    </row>
    <row r="447" spans="2:9">
      <c r="B447" s="158" t="s">
        <v>1004</v>
      </c>
      <c r="C447" s="158" t="str">
        <f>'Imp Refined'!E266</f>
        <v>IMPGSCP53</v>
      </c>
      <c r="D447" s="158" t="str">
        <f>'Imp Refined'!F266</f>
        <v>Imported Conventional Gasoline, PADD 5, Step 3</v>
      </c>
      <c r="E447" s="197" t="s">
        <v>196</v>
      </c>
      <c r="F447" s="197" t="s">
        <v>318</v>
      </c>
      <c r="G447" s="181"/>
      <c r="H447" s="158"/>
      <c r="I447" s="158"/>
    </row>
    <row r="448" spans="2:9">
      <c r="B448" s="158" t="s">
        <v>1004</v>
      </c>
      <c r="C448" s="158" t="str">
        <f>'Imp Refined'!E267</f>
        <v>IMPGSCP51</v>
      </c>
      <c r="D448" s="158" t="str">
        <f>'Imp Refined'!F267</f>
        <v>Imported Conventional Gasoline, PADD 5, Step 1</v>
      </c>
      <c r="E448" s="197" t="s">
        <v>196</v>
      </c>
      <c r="F448" s="197" t="s">
        <v>318</v>
      </c>
      <c r="G448" s="181"/>
      <c r="H448" s="158"/>
      <c r="I448" s="158"/>
    </row>
    <row r="449" spans="2:9">
      <c r="B449" s="158" t="s">
        <v>1004</v>
      </c>
      <c r="C449" s="158" t="str">
        <f>'Imp Refined'!E268</f>
        <v>IMPGSCP52</v>
      </c>
      <c r="D449" s="158" t="str">
        <f>'Imp Refined'!F268</f>
        <v>Imported Conventional Gasoline, PADD 5, Step 2</v>
      </c>
      <c r="E449" s="197" t="s">
        <v>196</v>
      </c>
      <c r="F449" s="197" t="s">
        <v>318</v>
      </c>
      <c r="G449" s="181"/>
      <c r="H449" s="158"/>
      <c r="I449" s="158"/>
    </row>
    <row r="450" spans="2:9">
      <c r="B450" s="158" t="s">
        <v>1004</v>
      </c>
      <c r="C450" s="158" t="str">
        <f>'Imp Refined'!E269</f>
        <v>IMPGSCP54</v>
      </c>
      <c r="D450" s="158" t="str">
        <f>'Imp Refined'!F269</f>
        <v>Imported Conventional Gasoline, PADD 5, Step 4</v>
      </c>
      <c r="E450" s="197" t="s">
        <v>196</v>
      </c>
      <c r="F450" s="197" t="s">
        <v>318</v>
      </c>
      <c r="G450" s="181"/>
      <c r="H450" s="158"/>
      <c r="I450" s="158"/>
    </row>
    <row r="451" spans="2:9">
      <c r="B451" s="158" t="s">
        <v>1004</v>
      </c>
      <c r="C451" s="158" t="str">
        <f>'Imp Refined'!E270</f>
        <v>IMPGSCP55</v>
      </c>
      <c r="D451" s="158" t="str">
        <f>'Imp Refined'!F270</f>
        <v>Imported Conventional Gasoline, PADD 5, Step 5</v>
      </c>
      <c r="E451" s="197" t="s">
        <v>196</v>
      </c>
      <c r="F451" s="197" t="s">
        <v>318</v>
      </c>
      <c r="G451" s="181"/>
      <c r="H451" s="158"/>
      <c r="I451" s="158"/>
    </row>
    <row r="452" spans="2:9">
      <c r="B452" s="158" t="s">
        <v>1004</v>
      </c>
      <c r="C452" s="158" t="str">
        <f>'Imp Refined'!E271</f>
        <v>IMPDSHP53</v>
      </c>
      <c r="D452" s="158" t="str">
        <f>'Imp Refined'!F271</f>
        <v>Imported Distillate-Heating Oil No. 2, PADD 5, Step 3</v>
      </c>
      <c r="E452" s="197" t="s">
        <v>196</v>
      </c>
      <c r="F452" s="197" t="s">
        <v>318</v>
      </c>
      <c r="G452" s="181"/>
      <c r="H452" s="158"/>
      <c r="I452" s="158"/>
    </row>
    <row r="453" spans="2:9">
      <c r="B453" s="158" t="s">
        <v>1004</v>
      </c>
      <c r="C453" s="158" t="str">
        <f>'Imp Refined'!E272</f>
        <v>IMPDSHP51</v>
      </c>
      <c r="D453" s="158" t="str">
        <f>'Imp Refined'!F272</f>
        <v>Imported Distillate-Heating Oil No. 2, PADD 5, Step 1</v>
      </c>
      <c r="E453" s="197" t="s">
        <v>196</v>
      </c>
      <c r="F453" s="197" t="s">
        <v>318</v>
      </c>
      <c r="G453" s="181"/>
      <c r="H453" s="158"/>
      <c r="I453" s="158"/>
    </row>
    <row r="454" spans="2:9">
      <c r="B454" s="158" t="s">
        <v>1004</v>
      </c>
      <c r="C454" s="158" t="str">
        <f>'Imp Refined'!E273</f>
        <v>IMPDSHP52</v>
      </c>
      <c r="D454" s="158" t="str">
        <f>'Imp Refined'!F273</f>
        <v>Imported Distillate-Heating Oil No. 2, PADD 5, Step 2</v>
      </c>
      <c r="E454" s="197" t="s">
        <v>196</v>
      </c>
      <c r="F454" s="197" t="s">
        <v>318</v>
      </c>
      <c r="G454" s="181"/>
      <c r="H454" s="158"/>
      <c r="I454" s="158"/>
    </row>
    <row r="455" spans="2:9">
      <c r="B455" s="158" t="s">
        <v>1004</v>
      </c>
      <c r="C455" s="158" t="str">
        <f>'Imp Refined'!E274</f>
        <v>IMPDSHP54</v>
      </c>
      <c r="D455" s="158" t="str">
        <f>'Imp Refined'!F274</f>
        <v>Imported Distillate-Heating Oil No. 2, PADD 5, Step 4</v>
      </c>
      <c r="E455" s="197" t="s">
        <v>196</v>
      </c>
      <c r="F455" s="197" t="s">
        <v>318</v>
      </c>
      <c r="G455" s="181"/>
      <c r="H455" s="158"/>
      <c r="I455" s="158"/>
    </row>
    <row r="456" spans="2:9">
      <c r="B456" s="158" t="s">
        <v>1004</v>
      </c>
      <c r="C456" s="158" t="str">
        <f>'Imp Refined'!E275</f>
        <v>IMPDSHP55</v>
      </c>
      <c r="D456" s="158" t="str">
        <f>'Imp Refined'!F275</f>
        <v>Imported Distillate-Heating Oil No. 2, PADD 5, Step 5</v>
      </c>
      <c r="E456" s="197" t="s">
        <v>196</v>
      </c>
      <c r="F456" s="197" t="s">
        <v>318</v>
      </c>
      <c r="G456" s="181"/>
      <c r="H456" s="158"/>
      <c r="I456" s="158"/>
    </row>
    <row r="457" spans="2:9">
      <c r="B457" s="158" t="s">
        <v>1004</v>
      </c>
      <c r="C457" s="158" t="str">
        <f>'Imp Refined'!E276</f>
        <v>IMPDSLP53</v>
      </c>
      <c r="D457" s="158" t="str">
        <f>'Imp Refined'!F276</f>
        <v>Imported Distillate-Low Sulfur Highway Diesel (500 ppm), PADD 5, Step 3</v>
      </c>
      <c r="E457" s="197" t="s">
        <v>196</v>
      </c>
      <c r="F457" s="197" t="s">
        <v>318</v>
      </c>
      <c r="G457" s="181"/>
      <c r="H457" s="158"/>
      <c r="I457" s="158"/>
    </row>
    <row r="458" spans="2:9">
      <c r="B458" s="158" t="s">
        <v>1004</v>
      </c>
      <c r="C458" s="158" t="str">
        <f>'Imp Refined'!E277</f>
        <v>IMPDSLP51</v>
      </c>
      <c r="D458" s="158" t="str">
        <f>'Imp Refined'!F277</f>
        <v>Imported Distillate-Low Sulfur Highway Diesel (500 ppm), PADD 5, Step 1</v>
      </c>
      <c r="E458" s="197" t="s">
        <v>196</v>
      </c>
      <c r="F458" s="197" t="s">
        <v>318</v>
      </c>
      <c r="G458" s="181"/>
      <c r="H458" s="158"/>
      <c r="I458" s="158"/>
    </row>
    <row r="459" spans="2:9">
      <c r="B459" s="158" t="s">
        <v>1004</v>
      </c>
      <c r="C459" s="158" t="str">
        <f>'Imp Refined'!E278</f>
        <v>IMPDSLP52</v>
      </c>
      <c r="D459" s="158" t="str">
        <f>'Imp Refined'!F278</f>
        <v>Imported Distillate-Low Sulfur Highway Diesel (500 ppm), PADD 5, Step 2</v>
      </c>
      <c r="E459" s="197" t="s">
        <v>196</v>
      </c>
      <c r="F459" s="197" t="s">
        <v>318</v>
      </c>
      <c r="G459" s="181"/>
      <c r="H459" s="158"/>
      <c r="I459" s="158"/>
    </row>
    <row r="460" spans="2:9">
      <c r="B460" s="158" t="s">
        <v>1004</v>
      </c>
      <c r="C460" s="158" t="str">
        <f>'Imp Refined'!E279</f>
        <v>IMPDSLP54</v>
      </c>
      <c r="D460" s="158" t="str">
        <f>'Imp Refined'!F279</f>
        <v>Imported Distillate-Low Sulfur Highway Diesel (500 ppm), PADD 5, Step 4</v>
      </c>
      <c r="E460" s="197" t="s">
        <v>196</v>
      </c>
      <c r="F460" s="197" t="s">
        <v>318</v>
      </c>
      <c r="G460" s="181"/>
      <c r="H460" s="158"/>
      <c r="I460" s="158"/>
    </row>
    <row r="461" spans="2:9">
      <c r="B461" s="158" t="s">
        <v>1004</v>
      </c>
      <c r="C461" s="158" t="str">
        <f>'Imp Refined'!E280</f>
        <v>IMPDSLP55</v>
      </c>
      <c r="D461" s="158" t="str">
        <f>'Imp Refined'!F280</f>
        <v>Imported Distillate-Low Sulfur Highway Diesel (500 ppm), PADD 5, Step 5</v>
      </c>
      <c r="E461" s="197" t="s">
        <v>196</v>
      </c>
      <c r="F461" s="197" t="s">
        <v>318</v>
      </c>
      <c r="G461" s="181"/>
      <c r="H461" s="158"/>
      <c r="I461" s="158"/>
    </row>
    <row r="462" spans="2:9">
      <c r="B462" s="158" t="s">
        <v>1004</v>
      </c>
      <c r="C462" s="158" t="str">
        <f>'Imp Refined'!E281</f>
        <v>IMPRFLP53</v>
      </c>
      <c r="D462" s="158" t="str">
        <f>'Imp Refined'!F281</f>
        <v>Imported Low Sulfur Residual Fuel Oil, PADD 5, Step 3</v>
      </c>
      <c r="E462" s="197" t="s">
        <v>196</v>
      </c>
      <c r="F462" s="197" t="s">
        <v>318</v>
      </c>
      <c r="G462" s="181"/>
      <c r="H462" s="158"/>
      <c r="I462" s="158"/>
    </row>
    <row r="463" spans="2:9">
      <c r="B463" s="158" t="s">
        <v>1004</v>
      </c>
      <c r="C463" s="158" t="str">
        <f>'Imp Refined'!E282</f>
        <v>IMPRFLP51</v>
      </c>
      <c r="D463" s="158" t="str">
        <f>'Imp Refined'!F282</f>
        <v>Imported Low Sulfur Residual Fuel Oil, PADD 5, Step 1</v>
      </c>
      <c r="E463" s="197" t="s">
        <v>196</v>
      </c>
      <c r="F463" s="197" t="s">
        <v>318</v>
      </c>
      <c r="G463" s="181"/>
      <c r="H463" s="158"/>
      <c r="I463" s="158"/>
    </row>
    <row r="464" spans="2:9">
      <c r="B464" s="158" t="s">
        <v>1004</v>
      </c>
      <c r="C464" s="158" t="str">
        <f>'Imp Refined'!E283</f>
        <v>IMPRFLP52</v>
      </c>
      <c r="D464" s="158" t="str">
        <f>'Imp Refined'!F283</f>
        <v>Imported Low Sulfur Residual Fuel Oil, PADD 5, Step 2</v>
      </c>
      <c r="E464" s="197" t="s">
        <v>196</v>
      </c>
      <c r="F464" s="197" t="s">
        <v>318</v>
      </c>
      <c r="G464" s="181"/>
      <c r="H464" s="158"/>
      <c r="I464" s="158"/>
    </row>
    <row r="465" spans="2:9">
      <c r="B465" s="158" t="s">
        <v>1004</v>
      </c>
      <c r="C465" s="158" t="str">
        <f>'Imp Refined'!E284</f>
        <v>IMPRFLP54</v>
      </c>
      <c r="D465" s="158" t="str">
        <f>'Imp Refined'!F284</f>
        <v>Imported Low Sulfur Residual Fuel Oil, PADD 5, Step 4</v>
      </c>
      <c r="E465" s="197" t="s">
        <v>196</v>
      </c>
      <c r="F465" s="197" t="s">
        <v>318</v>
      </c>
      <c r="G465" s="181"/>
      <c r="H465" s="158"/>
      <c r="I465" s="158"/>
    </row>
    <row r="466" spans="2:9">
      <c r="B466" s="158" t="s">
        <v>1004</v>
      </c>
      <c r="C466" s="158" t="str">
        <f>'Imp Refined'!E285</f>
        <v>IMPRFLP55</v>
      </c>
      <c r="D466" s="158" t="str">
        <f>'Imp Refined'!F285</f>
        <v>Imported Low Sulfur Residual Fuel Oil, PADD 5, Step 5</v>
      </c>
      <c r="E466" s="197" t="s">
        <v>196</v>
      </c>
      <c r="F466" s="197" t="s">
        <v>318</v>
      </c>
      <c r="G466" s="181"/>
      <c r="H466" s="158"/>
      <c r="I466" s="158"/>
    </row>
    <row r="467" spans="2:9">
      <c r="B467" s="158" t="s">
        <v>1004</v>
      </c>
      <c r="C467" s="158" t="str">
        <f>'Imp Refined'!E286</f>
        <v>IMPRFHP53</v>
      </c>
      <c r="D467" s="158" t="str">
        <f>'Imp Refined'!F286</f>
        <v>Imported High Sulfur Residual Fuel Oil, PADD 5, Step 3</v>
      </c>
      <c r="E467" s="197" t="s">
        <v>196</v>
      </c>
      <c r="F467" s="197" t="s">
        <v>318</v>
      </c>
      <c r="G467" s="181"/>
      <c r="H467" s="158"/>
      <c r="I467" s="158"/>
    </row>
    <row r="468" spans="2:9">
      <c r="B468" s="158" t="s">
        <v>1004</v>
      </c>
      <c r="C468" s="158" t="str">
        <f>'Imp Refined'!E287</f>
        <v>IMPRFHP51</v>
      </c>
      <c r="D468" s="158" t="str">
        <f>'Imp Refined'!F287</f>
        <v>Imported High Sulfur Residual Fuel Oil, PADD 5, Step 1</v>
      </c>
      <c r="E468" s="197" t="s">
        <v>196</v>
      </c>
      <c r="F468" s="197" t="s">
        <v>318</v>
      </c>
      <c r="G468" s="181"/>
      <c r="H468" s="158"/>
      <c r="I468" s="158"/>
    </row>
    <row r="469" spans="2:9">
      <c r="B469" s="158" t="s">
        <v>1004</v>
      </c>
      <c r="C469" s="158" t="str">
        <f>'Imp Refined'!E288</f>
        <v>IMPRFHP52</v>
      </c>
      <c r="D469" s="158" t="str">
        <f>'Imp Refined'!F288</f>
        <v>Imported High Sulfur Residual Fuel Oil, PADD 5, Step 2</v>
      </c>
      <c r="E469" s="197" t="s">
        <v>196</v>
      </c>
      <c r="F469" s="197" t="s">
        <v>318</v>
      </c>
      <c r="G469" s="181"/>
      <c r="H469" s="158"/>
      <c r="I469" s="158"/>
    </row>
    <row r="470" spans="2:9">
      <c r="B470" s="158" t="s">
        <v>1004</v>
      </c>
      <c r="C470" s="158" t="str">
        <f>'Imp Refined'!E289</f>
        <v>IMPRFHP54</v>
      </c>
      <c r="D470" s="158" t="str">
        <f>'Imp Refined'!F289</f>
        <v>Imported High Sulfur Residual Fuel Oil, PADD 5, Step 4</v>
      </c>
      <c r="E470" s="197" t="s">
        <v>196</v>
      </c>
      <c r="F470" s="197" t="s">
        <v>318</v>
      </c>
      <c r="G470" s="181"/>
      <c r="H470" s="158"/>
      <c r="I470" s="158"/>
    </row>
    <row r="471" spans="2:9">
      <c r="B471" s="158" t="s">
        <v>1004</v>
      </c>
      <c r="C471" s="158" t="str">
        <f>'Imp Refined'!E290</f>
        <v>IMPRFHP55</v>
      </c>
      <c r="D471" s="158" t="str">
        <f>'Imp Refined'!F290</f>
        <v>Imported High Sulfur Residual Fuel Oil, PADD 5, Step 5</v>
      </c>
      <c r="E471" s="197" t="s">
        <v>196</v>
      </c>
      <c r="F471" s="197" t="s">
        <v>318</v>
      </c>
      <c r="G471" s="181"/>
      <c r="H471" s="158"/>
      <c r="I471" s="158"/>
    </row>
    <row r="472" spans="2:9">
      <c r="B472" s="158" t="s">
        <v>1004</v>
      </c>
      <c r="C472" s="158" t="str">
        <f>'Imp Refined'!E291</f>
        <v>IMPJTFP53</v>
      </c>
      <c r="D472" s="158" t="str">
        <f>'Imp Refined'!F291</f>
        <v>Imported Jet Fuel, PADD 5, Step 3</v>
      </c>
      <c r="E472" s="197" t="s">
        <v>196</v>
      </c>
      <c r="F472" s="197" t="s">
        <v>318</v>
      </c>
      <c r="G472" s="181"/>
      <c r="H472" s="158"/>
      <c r="I472" s="158"/>
    </row>
    <row r="473" spans="2:9">
      <c r="B473" s="158" t="s">
        <v>1004</v>
      </c>
      <c r="C473" s="158" t="str">
        <f>'Imp Refined'!E292</f>
        <v>IMPJTFP51</v>
      </c>
      <c r="D473" s="158" t="str">
        <f>'Imp Refined'!F292</f>
        <v>Imported Jet Fuel, PADD 5, Step 1</v>
      </c>
      <c r="E473" s="197" t="s">
        <v>196</v>
      </c>
      <c r="F473" s="197" t="s">
        <v>318</v>
      </c>
      <c r="G473" s="181"/>
      <c r="H473" s="158"/>
      <c r="I473" s="158"/>
    </row>
    <row r="474" spans="2:9">
      <c r="B474" s="158" t="s">
        <v>1004</v>
      </c>
      <c r="C474" s="158" t="str">
        <f>'Imp Refined'!E293</f>
        <v>IMPJTFP52</v>
      </c>
      <c r="D474" s="158" t="str">
        <f>'Imp Refined'!F293</f>
        <v>Imported Jet Fuel, PADD 5, Step 2</v>
      </c>
      <c r="E474" s="197" t="s">
        <v>196</v>
      </c>
      <c r="F474" s="197" t="s">
        <v>318</v>
      </c>
      <c r="G474" s="181"/>
      <c r="H474" s="158"/>
      <c r="I474" s="158"/>
    </row>
    <row r="475" spans="2:9">
      <c r="B475" s="158" t="s">
        <v>1004</v>
      </c>
      <c r="C475" s="158" t="str">
        <f>'Imp Refined'!E294</f>
        <v>IMPJTFP54</v>
      </c>
      <c r="D475" s="158" t="str">
        <f>'Imp Refined'!F294</f>
        <v>Imported Jet Fuel, PADD 5, Step 4</v>
      </c>
      <c r="E475" s="197" t="s">
        <v>196</v>
      </c>
      <c r="F475" s="197" t="s">
        <v>318</v>
      </c>
      <c r="G475" s="181"/>
      <c r="H475" s="158"/>
      <c r="I475" s="158"/>
    </row>
    <row r="476" spans="2:9">
      <c r="B476" s="158" t="s">
        <v>1004</v>
      </c>
      <c r="C476" s="158" t="str">
        <f>'Imp Refined'!E295</f>
        <v>IMPJTFP55</v>
      </c>
      <c r="D476" s="158" t="str">
        <f>'Imp Refined'!F295</f>
        <v>Imported Jet Fuel, PADD 5, Step 5</v>
      </c>
      <c r="E476" s="197" t="s">
        <v>196</v>
      </c>
      <c r="F476" s="197" t="s">
        <v>318</v>
      </c>
      <c r="G476" s="181"/>
      <c r="H476" s="158"/>
      <c r="I476" s="158"/>
    </row>
    <row r="477" spans="2:9">
      <c r="B477" s="158" t="s">
        <v>1004</v>
      </c>
      <c r="C477" s="158" t="str">
        <f>'Imp Refined'!E296</f>
        <v>IMPLPGP53</v>
      </c>
      <c r="D477" s="158" t="str">
        <f>'Imp Refined'!F296</f>
        <v>Imported LPG, PADD 5, Step 3</v>
      </c>
      <c r="E477" s="197" t="s">
        <v>196</v>
      </c>
      <c r="F477" s="197" t="s">
        <v>318</v>
      </c>
      <c r="G477" s="181"/>
      <c r="H477" s="158"/>
      <c r="I477" s="158"/>
    </row>
    <row r="478" spans="2:9">
      <c r="B478" s="158" t="s">
        <v>1004</v>
      </c>
      <c r="C478" s="158" t="str">
        <f>'Imp Refined'!E297</f>
        <v>IMPLPGP51</v>
      </c>
      <c r="D478" s="158" t="str">
        <f>'Imp Refined'!F297</f>
        <v>Imported LPG, PADD 5, Step 1</v>
      </c>
      <c r="E478" s="197" t="s">
        <v>196</v>
      </c>
      <c r="F478" s="197" t="s">
        <v>318</v>
      </c>
      <c r="G478" s="181"/>
      <c r="H478" s="158"/>
      <c r="I478" s="158"/>
    </row>
    <row r="479" spans="2:9">
      <c r="B479" s="158" t="s">
        <v>1004</v>
      </c>
      <c r="C479" s="158" t="str">
        <f>'Imp Refined'!E298</f>
        <v>IMPLPGP52</v>
      </c>
      <c r="D479" s="158" t="str">
        <f>'Imp Refined'!F298</f>
        <v>Imported LPG, PADD 5, Step 2</v>
      </c>
      <c r="E479" s="197" t="s">
        <v>196</v>
      </c>
      <c r="F479" s="197" t="s">
        <v>318</v>
      </c>
      <c r="G479" s="181"/>
      <c r="H479" s="158"/>
      <c r="I479" s="158"/>
    </row>
    <row r="480" spans="2:9">
      <c r="B480" s="158" t="s">
        <v>1004</v>
      </c>
      <c r="C480" s="158" t="str">
        <f>'Imp Refined'!E299</f>
        <v>IMPLPGP54</v>
      </c>
      <c r="D480" s="158" t="str">
        <f>'Imp Refined'!F299</f>
        <v>Imported LPG, PADD 5, Step 4</v>
      </c>
      <c r="E480" s="197" t="s">
        <v>196</v>
      </c>
      <c r="F480" s="197" t="s">
        <v>318</v>
      </c>
      <c r="G480" s="181"/>
      <c r="H480" s="158"/>
      <c r="I480" s="158"/>
    </row>
    <row r="481" spans="2:9">
      <c r="B481" s="158" t="s">
        <v>1004</v>
      </c>
      <c r="C481" s="158" t="str">
        <f>'Imp Refined'!E300</f>
        <v>IMPLPGP55</v>
      </c>
      <c r="D481" s="158" t="str">
        <f>'Imp Refined'!F300</f>
        <v>Imported LPG, PADD 5, Step 5</v>
      </c>
      <c r="E481" s="197" t="s">
        <v>196</v>
      </c>
      <c r="F481" s="197" t="s">
        <v>318</v>
      </c>
      <c r="G481" s="181"/>
      <c r="H481" s="158"/>
      <c r="I481" s="158"/>
    </row>
    <row r="482" spans="2:9">
      <c r="B482" s="158" t="s">
        <v>1004</v>
      </c>
      <c r="C482" s="158" t="str">
        <f>'Imp Refined'!E301</f>
        <v>IMPPFSP53</v>
      </c>
      <c r="D482" s="158" t="str">
        <f>'Imp Refined'!F301</f>
        <v>Imported Petrochemical Feedstocks, PADD 5, Step 3</v>
      </c>
      <c r="E482" s="197" t="s">
        <v>196</v>
      </c>
      <c r="F482" s="197" t="s">
        <v>318</v>
      </c>
      <c r="G482" s="181"/>
      <c r="H482" s="158"/>
      <c r="I482" s="158"/>
    </row>
    <row r="483" spans="2:9">
      <c r="B483" s="158" t="s">
        <v>1004</v>
      </c>
      <c r="C483" s="158" t="str">
        <f>'Imp Refined'!E302</f>
        <v>IMPPFSP51</v>
      </c>
      <c r="D483" s="158" t="str">
        <f>'Imp Refined'!F302</f>
        <v>Imported Petrochemical Feedstocks, PADD 5, Step 1</v>
      </c>
      <c r="E483" s="197" t="s">
        <v>196</v>
      </c>
      <c r="F483" s="197" t="s">
        <v>318</v>
      </c>
      <c r="G483" s="181"/>
      <c r="H483" s="158"/>
      <c r="I483" s="158"/>
    </row>
    <row r="484" spans="2:9">
      <c r="B484" s="158" t="s">
        <v>1004</v>
      </c>
      <c r="C484" s="158" t="str">
        <f>'Imp Refined'!E303</f>
        <v>IMPPFSP52</v>
      </c>
      <c r="D484" s="158" t="str">
        <f>'Imp Refined'!F303</f>
        <v>Imported Petrochemical Feedstocks, PADD 5, Step 2</v>
      </c>
      <c r="E484" s="197" t="s">
        <v>196</v>
      </c>
      <c r="F484" s="197" t="s">
        <v>318</v>
      </c>
      <c r="G484" s="181"/>
      <c r="H484" s="158"/>
      <c r="I484" s="158"/>
    </row>
    <row r="485" spans="2:9">
      <c r="B485" s="158" t="s">
        <v>1004</v>
      </c>
      <c r="C485" s="158" t="str">
        <f>'Imp Refined'!E304</f>
        <v>IMPPFSP54</v>
      </c>
      <c r="D485" s="158" t="str">
        <f>'Imp Refined'!F304</f>
        <v>Imported Petrochemical Feedstocks, PADD 5, Step 4</v>
      </c>
      <c r="E485" s="197" t="s">
        <v>196</v>
      </c>
      <c r="F485" s="197" t="s">
        <v>318</v>
      </c>
      <c r="G485" s="181"/>
      <c r="H485" s="158"/>
      <c r="I485" s="158"/>
    </row>
    <row r="486" spans="2:9">
      <c r="B486" s="158" t="s">
        <v>1004</v>
      </c>
      <c r="C486" s="158" t="str">
        <f>'Imp Refined'!E305</f>
        <v>IMPPFSP55</v>
      </c>
      <c r="D486" s="158" t="str">
        <f>'Imp Refined'!F305</f>
        <v>Imported Petrochemical Feedstocks, PADD 5, Step 5</v>
      </c>
      <c r="E486" s="197" t="s">
        <v>196</v>
      </c>
      <c r="F486" s="197" t="s">
        <v>318</v>
      </c>
      <c r="G486" s="181"/>
      <c r="H486" s="158"/>
      <c r="I486" s="158"/>
    </row>
    <row r="487" spans="2:9">
      <c r="B487" s="158" t="s">
        <v>1004</v>
      </c>
      <c r="C487" s="158" t="str">
        <f>'Imp Refined'!E306</f>
        <v>IMPKERP53</v>
      </c>
      <c r="D487" s="158" t="str">
        <f>'Imp Refined'!F306</f>
        <v>Imported Kerosene and Other Refined Products, PADD 5, Step 3</v>
      </c>
      <c r="E487" s="197" t="s">
        <v>196</v>
      </c>
      <c r="F487" s="197" t="s">
        <v>318</v>
      </c>
      <c r="G487" s="181"/>
      <c r="H487" s="158"/>
      <c r="I487" s="158"/>
    </row>
    <row r="488" spans="2:9">
      <c r="B488" s="158" t="s">
        <v>1004</v>
      </c>
      <c r="C488" s="158" t="str">
        <f>'Imp Refined'!E307</f>
        <v>IMPKERP51</v>
      </c>
      <c r="D488" s="158" t="str">
        <f>'Imp Refined'!F307</f>
        <v>Imported Kerosene and Other Refined Products, PADD 5, Step 1</v>
      </c>
      <c r="E488" s="197" t="s">
        <v>196</v>
      </c>
      <c r="F488" s="197" t="s">
        <v>318</v>
      </c>
      <c r="G488" s="181"/>
      <c r="H488" s="158"/>
      <c r="I488" s="158"/>
    </row>
    <row r="489" spans="2:9">
      <c r="B489" s="158" t="s">
        <v>1004</v>
      </c>
      <c r="C489" s="158" t="str">
        <f>'Imp Refined'!E308</f>
        <v>IMPKERP52</v>
      </c>
      <c r="D489" s="158" t="str">
        <f>'Imp Refined'!F308</f>
        <v>Imported Kerosene and Other Refined Products, PADD 5, Step 2</v>
      </c>
      <c r="E489" s="197" t="s">
        <v>196</v>
      </c>
      <c r="F489" s="197" t="s">
        <v>318</v>
      </c>
      <c r="G489" s="181"/>
      <c r="H489" s="158"/>
      <c r="I489" s="158"/>
    </row>
    <row r="490" spans="2:9">
      <c r="B490" s="158" t="s">
        <v>1004</v>
      </c>
      <c r="C490" s="158" t="str">
        <f>'Imp Refined'!E309</f>
        <v>IMPKERP54</v>
      </c>
      <c r="D490" s="158" t="str">
        <f>'Imp Refined'!F309</f>
        <v>Imported Kerosene and Other Refined Products, PADD 5, Step 4</v>
      </c>
      <c r="E490" s="197" t="s">
        <v>196</v>
      </c>
      <c r="F490" s="197" t="s">
        <v>318</v>
      </c>
      <c r="G490" s="181"/>
      <c r="H490" s="158"/>
      <c r="I490" s="158"/>
    </row>
    <row r="491" spans="2:9">
      <c r="B491" s="158" t="s">
        <v>1004</v>
      </c>
      <c r="C491" s="158" t="str">
        <f>'Imp Refined'!E310</f>
        <v>IMPKERP55</v>
      </c>
      <c r="D491" s="158" t="str">
        <f>'Imp Refined'!F310</f>
        <v>Imported Kerosene and Other Refined Products, PADD 5, Step 5</v>
      </c>
      <c r="E491" s="197" t="s">
        <v>196</v>
      </c>
      <c r="F491" s="197" t="s">
        <v>318</v>
      </c>
      <c r="G491" s="181"/>
      <c r="H491" s="158"/>
      <c r="I491" s="158"/>
    </row>
    <row r="492" spans="2:9">
      <c r="B492" s="158" t="s">
        <v>1004</v>
      </c>
      <c r="C492" s="158" t="str">
        <f>'Imp Refined'!E311</f>
        <v>IMPMTHP53</v>
      </c>
      <c r="D492" s="158" t="str">
        <f>'Imp Refined'!F311</f>
        <v>Imported Methanol, PADD 5, Step 3</v>
      </c>
      <c r="E492" s="197" t="s">
        <v>196</v>
      </c>
      <c r="F492" s="197" t="s">
        <v>318</v>
      </c>
      <c r="G492" s="181"/>
      <c r="H492" s="158"/>
      <c r="I492" s="158"/>
    </row>
    <row r="493" spans="2:9">
      <c r="B493" s="158" t="s">
        <v>1004</v>
      </c>
      <c r="C493" s="158" t="str">
        <f>'Imp Refined'!E312</f>
        <v>IMPMTHP51</v>
      </c>
      <c r="D493" s="158" t="str">
        <f>'Imp Refined'!F312</f>
        <v>Imported Methanol, PADD 5, Step 1</v>
      </c>
      <c r="E493" s="197" t="s">
        <v>196</v>
      </c>
      <c r="F493" s="197" t="s">
        <v>318</v>
      </c>
      <c r="G493" s="181"/>
      <c r="H493" s="158"/>
      <c r="I493" s="158"/>
    </row>
    <row r="494" spans="2:9">
      <c r="B494" s="158" t="s">
        <v>1004</v>
      </c>
      <c r="C494" s="158" t="str">
        <f>'Imp Refined'!E313</f>
        <v>IMPMTHP52</v>
      </c>
      <c r="D494" s="158" t="str">
        <f>'Imp Refined'!F313</f>
        <v>Imported Methanol, PADD 5, Step 2</v>
      </c>
      <c r="E494" s="197" t="s">
        <v>196</v>
      </c>
      <c r="F494" s="197" t="s">
        <v>318</v>
      </c>
      <c r="G494" s="181"/>
      <c r="H494" s="158"/>
      <c r="I494" s="158"/>
    </row>
    <row r="495" spans="2:9">
      <c r="B495" s="158" t="s">
        <v>1004</v>
      </c>
      <c r="C495" s="158" t="str">
        <f>'Imp Refined'!E314</f>
        <v>IMPMTHP54</v>
      </c>
      <c r="D495" s="158" t="str">
        <f>'Imp Refined'!F314</f>
        <v>Imported Methanol, PADD 5, Step 4</v>
      </c>
      <c r="E495" s="197" t="s">
        <v>196</v>
      </c>
      <c r="F495" s="197" t="s">
        <v>318</v>
      </c>
      <c r="G495" s="181"/>
      <c r="H495" s="158"/>
      <c r="I495" s="158"/>
    </row>
    <row r="496" spans="2:9">
      <c r="B496" s="158" t="s">
        <v>1004</v>
      </c>
      <c r="C496" s="158" t="str">
        <f>'Imp Refined'!E315</f>
        <v>IMPMTHP55</v>
      </c>
      <c r="D496" s="158" t="str">
        <f>'Imp Refined'!F315</f>
        <v>Imported Methanol, PADD 5, Step 5</v>
      </c>
      <c r="E496" s="197" t="s">
        <v>196</v>
      </c>
      <c r="F496" s="197" t="s">
        <v>318</v>
      </c>
      <c r="G496" s="181"/>
      <c r="H496" s="158"/>
      <c r="I496" s="158"/>
    </row>
    <row r="497" spans="2:9">
      <c r="B497" s="158" t="s">
        <v>1004</v>
      </c>
      <c r="C497" s="158" t="str">
        <f>'Imp Refined'!E316</f>
        <v>IMPDSUP53</v>
      </c>
      <c r="D497" s="158" t="str">
        <f>'Imp Refined'!F316</f>
        <v>Imported Distillate-Ultralow Sulfur Highway Diesel (15 ppm), PADD 5, Step 3</v>
      </c>
      <c r="E497" s="197" t="s">
        <v>196</v>
      </c>
      <c r="F497" s="197" t="s">
        <v>318</v>
      </c>
      <c r="G497" s="181"/>
      <c r="H497" s="158"/>
      <c r="I497" s="158"/>
    </row>
    <row r="498" spans="2:9">
      <c r="B498" s="158" t="s">
        <v>1004</v>
      </c>
      <c r="C498" s="158" t="str">
        <f>'Imp Refined'!E317</f>
        <v>IMPDSUP51</v>
      </c>
      <c r="D498" s="158" t="str">
        <f>'Imp Refined'!F317</f>
        <v>Imported Distillate-Ultralow Sulfur Highway Diesel (15 ppm), PADD 5, Step 1</v>
      </c>
      <c r="E498" s="197" t="s">
        <v>196</v>
      </c>
      <c r="F498" s="197" t="s">
        <v>318</v>
      </c>
      <c r="G498" s="181"/>
      <c r="H498" s="158"/>
      <c r="I498" s="158"/>
    </row>
    <row r="499" spans="2:9">
      <c r="B499" s="158" t="s">
        <v>1004</v>
      </c>
      <c r="C499" s="158" t="str">
        <f>'Imp Refined'!E318</f>
        <v>IMPDSUP52</v>
      </c>
      <c r="D499" s="158" t="str">
        <f>'Imp Refined'!F318</f>
        <v>Imported Distillate-Ultralow Sulfur Highway Diesel (15 ppm), PADD 5, Step 2</v>
      </c>
      <c r="E499" s="197" t="s">
        <v>196</v>
      </c>
      <c r="F499" s="197" t="s">
        <v>318</v>
      </c>
      <c r="G499" s="181"/>
      <c r="H499" s="158"/>
      <c r="I499" s="158"/>
    </row>
    <row r="500" spans="2:9">
      <c r="B500" s="158" t="s">
        <v>1004</v>
      </c>
      <c r="C500" s="158" t="str">
        <f>'Imp Refined'!E319</f>
        <v>IMPDSUP54</v>
      </c>
      <c r="D500" s="158" t="str">
        <f>'Imp Refined'!F319</f>
        <v>Imported Distillate-Ultralow Sulfur Highway Diesel (15 ppm), PADD 5, Step 4</v>
      </c>
      <c r="E500" s="197" t="s">
        <v>196</v>
      </c>
      <c r="F500" s="197" t="s">
        <v>318</v>
      </c>
      <c r="G500" s="181"/>
      <c r="H500" s="158"/>
      <c r="I500" s="158"/>
    </row>
    <row r="501" spans="2:9">
      <c r="B501" s="158" t="s">
        <v>1004</v>
      </c>
      <c r="C501" s="158" t="str">
        <f>'Imp Refined'!E320</f>
        <v>IMPDSUP55</v>
      </c>
      <c r="D501" s="158" t="str">
        <f>'Imp Refined'!F320</f>
        <v>Imported Distillate-Ultralow Sulfur Highway Diesel (15 ppm), PADD 5, Step 5</v>
      </c>
      <c r="E501" s="197" t="s">
        <v>196</v>
      </c>
      <c r="F501" s="197" t="s">
        <v>318</v>
      </c>
      <c r="G501" s="181"/>
      <c r="H501" s="158"/>
      <c r="I501" s="158"/>
    </row>
    <row r="502" spans="2:9">
      <c r="B502" s="158" t="s">
        <v>398</v>
      </c>
      <c r="C502" s="158"/>
      <c r="D502" s="158"/>
      <c r="E502" s="197"/>
      <c r="F502" s="197"/>
      <c r="G502" s="181"/>
      <c r="H502" s="158"/>
      <c r="I502" s="158"/>
    </row>
    <row r="503" spans="2:9">
      <c r="B503" s="158" t="s">
        <v>1004</v>
      </c>
      <c r="C503" s="158" t="s">
        <v>347</v>
      </c>
      <c r="D503" s="158" t="s">
        <v>534</v>
      </c>
      <c r="E503" s="197" t="s">
        <v>196</v>
      </c>
      <c r="F503" s="197" t="s">
        <v>318</v>
      </c>
      <c r="G503" s="181"/>
      <c r="H503" s="158"/>
      <c r="I503" s="158"/>
    </row>
    <row r="504" spans="2:9">
      <c r="B504" s="158" t="s">
        <v>1004</v>
      </c>
      <c r="C504" s="158" t="s">
        <v>349</v>
      </c>
      <c r="D504" s="158" t="s">
        <v>535</v>
      </c>
      <c r="E504" s="197" t="s">
        <v>196</v>
      </c>
      <c r="F504" s="197" t="s">
        <v>318</v>
      </c>
      <c r="G504" s="181"/>
      <c r="H504" s="158"/>
      <c r="I504" s="158"/>
    </row>
    <row r="505" spans="2:9">
      <c r="B505" s="158" t="s">
        <v>1004</v>
      </c>
      <c r="C505" s="158" t="s">
        <v>351</v>
      </c>
      <c r="D505" s="158" t="s">
        <v>536</v>
      </c>
      <c r="E505" s="197" t="s">
        <v>196</v>
      </c>
      <c r="F505" s="197" t="s">
        <v>318</v>
      </c>
      <c r="G505" s="181"/>
      <c r="H505" s="158"/>
      <c r="I505" s="158"/>
    </row>
    <row r="506" spans="2:9">
      <c r="B506" s="158" t="s">
        <v>1004</v>
      </c>
      <c r="C506" s="158" t="s">
        <v>353</v>
      </c>
      <c r="D506" s="158" t="s">
        <v>537</v>
      </c>
      <c r="E506" s="197" t="s">
        <v>196</v>
      </c>
      <c r="F506" s="197" t="s">
        <v>318</v>
      </c>
      <c r="G506" s="181"/>
      <c r="H506" s="158"/>
      <c r="I506" s="158"/>
    </row>
    <row r="507" spans="2:9">
      <c r="B507" s="158" t="s">
        <v>1004</v>
      </c>
      <c r="C507" s="158" t="s">
        <v>354</v>
      </c>
      <c r="D507" s="158" t="s">
        <v>533</v>
      </c>
      <c r="E507" s="197" t="s">
        <v>196</v>
      </c>
      <c r="F507" s="197" t="s">
        <v>318</v>
      </c>
      <c r="G507" s="181"/>
      <c r="H507" s="158"/>
      <c r="I507" s="158"/>
    </row>
    <row r="508" spans="2:9">
      <c r="B508" s="154" t="s">
        <v>385</v>
      </c>
      <c r="C508" s="160"/>
      <c r="D508" s="160"/>
      <c r="E508" s="196"/>
      <c r="F508" s="196"/>
      <c r="G508" s="154"/>
      <c r="H508" s="160"/>
      <c r="I508" s="160"/>
    </row>
    <row r="509" spans="2:9">
      <c r="B509" s="158" t="str">
        <f>IF(OR(G$508="*",LEFT(Commodities!B$48,1)="*"),"*",Commodities!B$49)</f>
        <v>R0,R1,R2,R3,R4,R5,R6</v>
      </c>
      <c r="C509" s="158" t="e">
        <f>CONCATENATE("XI",Commodities!$C$222)&amp;"P1"</f>
        <v>#REF!</v>
      </c>
      <c r="D509" s="158" t="str">
        <f>CONCATENATE("Delivery of Imported ",Commodities!$D$222)</f>
        <v>Delivery of Imported Conventional Gasoline</v>
      </c>
      <c r="E509" s="197" t="s">
        <v>196</v>
      </c>
      <c r="F509" s="197" t="s">
        <v>318</v>
      </c>
      <c r="G509" s="181" t="s">
        <v>1153</v>
      </c>
      <c r="H509" s="158"/>
      <c r="I509" s="158"/>
    </row>
    <row r="510" spans="2:9">
      <c r="B510" s="158" t="str">
        <f>IF(OR(G$508="*",LEFT(Commodities!B$49,1)="*"),"*",Commodities!B$48)</f>
        <v>R0,R1,R2,R3,R4,R5,R6</v>
      </c>
      <c r="C510" s="158" t="e">
        <f>CONCATENATE("XI",Commodities!$C$223)&amp;"P1"</f>
        <v>#REF!</v>
      </c>
      <c r="D510" s="158" t="str">
        <f>CONCATENATE("Delivery of Imported ",Commodities!$D$223)</f>
        <v>Delivery of Imported Reformulated Gasoline</v>
      </c>
      <c r="E510" s="197" t="s">
        <v>196</v>
      </c>
      <c r="F510" s="197" t="s">
        <v>318</v>
      </c>
      <c r="G510" s="181"/>
      <c r="H510" s="158"/>
      <c r="I510" s="158"/>
    </row>
    <row r="511" spans="2:9">
      <c r="B511" s="158" t="str">
        <f>IF(OR(G$508="*",LEFT(Commodities!B$224,1)="*"),"*",Commodities!B$224)</f>
        <v>R1,R2,R3,R4,R5,R6</v>
      </c>
      <c r="C511" s="158" t="e">
        <f>CONCATENATE("XI",Commodities!$C$224)&amp;"P1"</f>
        <v>#REF!</v>
      </c>
      <c r="D511" s="158" t="str">
        <f>CONCATENATE("Delivery of Imported ",Commodities!$D$224)</f>
        <v>Delivery of Imported Distillate-Heating Oil No. 2 to the Residential Sector</v>
      </c>
      <c r="E511" s="197" t="s">
        <v>196</v>
      </c>
      <c r="F511" s="197" t="s">
        <v>318</v>
      </c>
      <c r="G511" s="181"/>
      <c r="H511" s="158"/>
      <c r="I511" s="158"/>
    </row>
    <row r="512" spans="2:9">
      <c r="B512" s="158" t="str">
        <f>IF(OR(G$508="*",LEFT(Commodities!B$225,1)="*"),"*",Commodities!B$225)</f>
        <v>R1,R2,R3,R4,R5,R6</v>
      </c>
      <c r="C512" s="158" t="e">
        <f>CONCATENATE("XI",Commodities!$C$225)&amp;"P1"</f>
        <v>#REF!</v>
      </c>
      <c r="D512" s="158" t="str">
        <f>CONCATENATE("Delivery of Imported ",Commodities!$D$225)</f>
        <v>Delivery of Imported Distillate-Heating Oil No. 2 to the Commercial Sector</v>
      </c>
      <c r="E512" s="197" t="s">
        <v>196</v>
      </c>
      <c r="F512" s="197" t="s">
        <v>318</v>
      </c>
      <c r="G512" s="181"/>
      <c r="H512" s="158"/>
      <c r="I512" s="158"/>
    </row>
    <row r="513" spans="2:9">
      <c r="B513" s="158" t="str">
        <f>IF(OR(G$508="*",LEFT(Commodities!B$226,1)="*"),"*",Commodities!B$226)</f>
        <v>*</v>
      </c>
      <c r="C513" s="158" t="e">
        <f>CONCATENATE("XI",Commodities!$C$226)&amp;"P1"</f>
        <v>#REF!</v>
      </c>
      <c r="D513" s="158" t="str">
        <f>CONCATENATE("Delivery of Imported ",Commodities!$D$226)</f>
        <v>Delivery of Imported Distillate-Heating Oil No. 2 to the Indistrial Sector</v>
      </c>
      <c r="E513" s="197" t="s">
        <v>196</v>
      </c>
      <c r="F513" s="197" t="s">
        <v>318</v>
      </c>
      <c r="G513" s="181"/>
      <c r="H513" s="158"/>
      <c r="I513" s="158"/>
    </row>
    <row r="514" spans="2:9">
      <c r="B514" s="158" t="s">
        <v>1096</v>
      </c>
      <c r="C514" s="158" t="e">
        <f>CONCATENATE("XI",Commodities!$C$227)&amp;"P1"</f>
        <v>#REF!</v>
      </c>
      <c r="D514" s="158" t="str">
        <f>CONCATENATE("Delivery of Imported ",Commodities!$D$227)</f>
        <v>Delivery of Imported Distillate-Heating Oil No. 2 to the Electricity Sector</v>
      </c>
      <c r="E514" s="197" t="s">
        <v>196</v>
      </c>
      <c r="F514" s="197" t="s">
        <v>318</v>
      </c>
      <c r="G514" s="181"/>
      <c r="H514" s="158"/>
      <c r="I514" s="158"/>
    </row>
    <row r="515" spans="2:9">
      <c r="B515" s="158" t="str">
        <f>IF(OR(G$508="*",LEFT(Commodities!B$51,1)="*"),"*",Commodities!B$51)</f>
        <v>R0,R1,R2,R3,R4,R5,R6</v>
      </c>
      <c r="C515" s="158" t="e">
        <f>CONCATENATE("XI",Commodities!$C$228)&amp;"P1"</f>
        <v>#REF!</v>
      </c>
      <c r="D515" s="158" t="str">
        <f>CONCATENATE("Delivery of Imported ",Commodities!$D$228)</f>
        <v>Delivery of Imported Distillate-Low Sulfur Highway Diesel (500 ppm)</v>
      </c>
      <c r="E515" s="197" t="s">
        <v>196</v>
      </c>
      <c r="F515" s="197" t="s">
        <v>318</v>
      </c>
      <c r="G515" s="181"/>
      <c r="H515" s="158"/>
      <c r="I515" s="158"/>
    </row>
    <row r="516" spans="2:9">
      <c r="B516" s="158" t="str">
        <f>IF(OR(G$508="*",LEFT(Commodities!B$52,1)="*"),"*",Commodities!B$52)</f>
        <v>R0,R1,R2,R3,R4,R5,R6</v>
      </c>
      <c r="C516" s="158" t="e">
        <f>CONCATENATE("XI",Commodities!$C$229)&amp;"P1"</f>
        <v>#REF!</v>
      </c>
      <c r="D516" s="158" t="str">
        <f>CONCATENATE("Delivery of Imported ",Commodities!$D$229)</f>
        <v>Delivery of Imported Distillate-Ultralow Sulfur Highway Diesel (15 ppm)</v>
      </c>
      <c r="E516" s="197" t="s">
        <v>196</v>
      </c>
      <c r="F516" s="197" t="s">
        <v>318</v>
      </c>
      <c r="G516" s="181"/>
      <c r="H516" s="158"/>
      <c r="I516" s="158"/>
    </row>
    <row r="517" spans="2:9">
      <c r="B517" s="158" t="str">
        <f>IF(OR(G$508="*",LEFT(Commodities!B$53,1)="*"),"*",Commodities!B$53)</f>
        <v>*</v>
      </c>
      <c r="C517" s="158" t="e">
        <f>CONCATENATE("XI",Commodities!$C$230)&amp;"P1"</f>
        <v>#REF!</v>
      </c>
      <c r="D517" s="158" t="str">
        <f>CONCATENATE("Delivery of Imported ",Commodities!$D$230)</f>
        <v>Delivery of Imported Jet Fuel</v>
      </c>
      <c r="E517" s="197" t="s">
        <v>196</v>
      </c>
      <c r="F517" s="197" t="s">
        <v>318</v>
      </c>
      <c r="G517" s="181"/>
      <c r="H517" s="158"/>
      <c r="I517" s="158"/>
    </row>
    <row r="518" spans="2:9">
      <c r="B518" s="158" t="str">
        <f>IF(OR(G$508="*",LEFT(Commodities!B$231,1)="*"),"*",Commodities!B$231)</f>
        <v>*</v>
      </c>
      <c r="C518" s="158" t="e">
        <f>CONCATENATE("XI",Commodities!$C$231)&amp;"P1"</f>
        <v>#REF!</v>
      </c>
      <c r="D518" s="158" t="str">
        <f>CONCATENATE("Delivery of Imported ",Commodities!$D$231)</f>
        <v>Delivery of Imported Kerosene and Other Refined Products to the Residential Sector</v>
      </c>
      <c r="E518" s="197" t="s">
        <v>196</v>
      </c>
      <c r="F518" s="197" t="s">
        <v>318</v>
      </c>
      <c r="G518" s="181"/>
      <c r="H518" s="158"/>
      <c r="I518" s="158"/>
    </row>
    <row r="519" spans="2:9">
      <c r="B519" s="158" t="str">
        <f>IF(OR(G$508="*",LEFT(Commodities!B$232,1)="*"),"*",Commodities!B$232)</f>
        <v>*</v>
      </c>
      <c r="C519" s="158" t="e">
        <f>CONCATENATE("XI",Commodities!$C$232)&amp;"P1"</f>
        <v>#REF!</v>
      </c>
      <c r="D519" s="158" t="str">
        <f>CONCATENATE("Delivery of Imported ",Commodities!$D$232)</f>
        <v>Delivery of Imported Kerosene and Other Refined Products to the Commercial Sector</v>
      </c>
      <c r="E519" s="197" t="s">
        <v>196</v>
      </c>
      <c r="F519" s="197" t="s">
        <v>318</v>
      </c>
      <c r="G519" s="181"/>
      <c r="H519" s="158"/>
      <c r="I519" s="158"/>
    </row>
    <row r="520" spans="2:9">
      <c r="B520" s="158" t="str">
        <f>IF(OR(G$508="*",LEFT(Commodities!B$233,1)="*"),"*",Commodities!B$233)</f>
        <v>*</v>
      </c>
      <c r="C520" s="158" t="e">
        <f>CONCATENATE("XI",Commodities!$C$233)&amp;"P1"</f>
        <v>#REF!</v>
      </c>
      <c r="D520" s="158" t="str">
        <f>CONCATENATE("Delivery of Imported ",Commodities!$D$233)</f>
        <v>Delivery of Imported Kerosene and Other Refined Products to the Industrial Sector</v>
      </c>
      <c r="E520" s="197" t="s">
        <v>196</v>
      </c>
      <c r="F520" s="197" t="s">
        <v>318</v>
      </c>
      <c r="G520" s="181"/>
      <c r="H520" s="158"/>
      <c r="I520" s="158"/>
    </row>
    <row r="521" spans="2:9">
      <c r="B521" s="158" t="str">
        <f>IF(OR(G$508="*",LEFT(Commodities!B$234,1)="*"),"*",Commodities!B$234)</f>
        <v>*</v>
      </c>
      <c r="C521" s="158" t="e">
        <f>CONCATENATE("XI",Commodities!$C$234)&amp;"P1"</f>
        <v>#REF!</v>
      </c>
      <c r="D521" s="158" t="str">
        <f>CONCATENATE("Delivery of Imported ",Commodities!$D$234)</f>
        <v>Delivery of Imported LPG to the Residential Sector</v>
      </c>
      <c r="E521" s="197" t="s">
        <v>196</v>
      </c>
      <c r="F521" s="197" t="s">
        <v>318</v>
      </c>
      <c r="G521" s="181"/>
      <c r="H521" s="158"/>
      <c r="I521" s="158"/>
    </row>
    <row r="522" spans="2:9">
      <c r="B522" s="158" t="str">
        <f>IF(OR(G$508="*",LEFT(Commodities!B$235,1)="*"),"*",Commodities!B$235)</f>
        <v>*</v>
      </c>
      <c r="C522" s="158" t="e">
        <f>CONCATENATE("XI",Commodities!$C$235)&amp;"P1"</f>
        <v>#REF!</v>
      </c>
      <c r="D522" s="158" t="str">
        <f>CONCATENATE("Delivery of Imported ",Commodities!$D$235)</f>
        <v>Delivery of Imported LPG to the Commercial Sector</v>
      </c>
      <c r="E522" s="197" t="s">
        <v>196</v>
      </c>
      <c r="F522" s="197" t="s">
        <v>318</v>
      </c>
      <c r="G522" s="181"/>
      <c r="H522" s="158"/>
      <c r="I522" s="158"/>
    </row>
    <row r="523" spans="2:9">
      <c r="B523" s="158" t="str">
        <f>IF(OR(G$508="*",LEFT(Commodities!B$236,1)="*"),"*",Commodities!B$236)</f>
        <v>*</v>
      </c>
      <c r="C523" s="158" t="e">
        <f>CONCATENATE("XI",Commodities!$C$236)&amp;"P1"</f>
        <v>#REF!</v>
      </c>
      <c r="D523" s="158" t="str">
        <f>CONCATENATE("Delivery of Imported ",Commodities!$D$236)</f>
        <v>Delivery of Imported LPG to the Industrial Sector</v>
      </c>
      <c r="E523" s="197" t="s">
        <v>196</v>
      </c>
      <c r="F523" s="197" t="s">
        <v>318</v>
      </c>
      <c r="G523" s="181"/>
      <c r="H523" s="158"/>
      <c r="I523" s="158"/>
    </row>
    <row r="524" spans="2:9">
      <c r="B524" s="158" t="str">
        <f>IF(OR(G$508="*",LEFT(Commodities!B$237,1)="*"),"*",Commodities!B$237)</f>
        <v>*</v>
      </c>
      <c r="C524" s="158" t="e">
        <f>CONCATENATE("XI",Commodities!$C$237)&amp;"P1"</f>
        <v>#REF!</v>
      </c>
      <c r="D524" s="158" t="str">
        <f>CONCATENATE("Delivery of Imported ",Commodities!$D$237)</f>
        <v>Delivery of Imported LPG to the Transportation Sector</v>
      </c>
      <c r="E524" s="197" t="s">
        <v>196</v>
      </c>
      <c r="F524" s="197" t="s">
        <v>318</v>
      </c>
      <c r="G524" s="181"/>
      <c r="H524" s="158"/>
      <c r="I524" s="158"/>
    </row>
    <row r="525" spans="2:9">
      <c r="B525" s="158" t="str">
        <f>IF(OR(G$508="*",LEFT(Commodities!B$238,1)="*"),"*",Commodities!B$238)</f>
        <v>*</v>
      </c>
      <c r="C525" s="158" t="e">
        <f>CONCATENATE("XI",Commodities!$C$238)&amp;"P1"</f>
        <v>#REF!</v>
      </c>
      <c r="D525" s="158" t="str">
        <f>CONCATENATE("Delivery of Imported ",Commodities!$D$238)</f>
        <v>Delivery of Imported Methanol</v>
      </c>
      <c r="E525" s="197" t="s">
        <v>196</v>
      </c>
      <c r="F525" s="197" t="s">
        <v>318</v>
      </c>
      <c r="G525" s="181"/>
      <c r="H525" s="158"/>
      <c r="I525" s="158"/>
    </row>
    <row r="526" spans="2:9">
      <c r="B526" s="158" t="str">
        <f>IF(OR(G$508="*",LEFT(Commodities!B$239,1)="*"),"*",Commodities!B$239)</f>
        <v>*</v>
      </c>
      <c r="C526" s="158" t="e">
        <f>CONCATENATE("XI",Commodities!$C$239)&amp;"P1"</f>
        <v>#REF!</v>
      </c>
      <c r="D526" s="158" t="str">
        <f>CONCATENATE("Delivery of Imported ",Commodities!$D$239)</f>
        <v>Delivery of Imported Petrochemical Feedstocks</v>
      </c>
      <c r="E526" s="197" t="s">
        <v>196</v>
      </c>
      <c r="F526" s="197" t="s">
        <v>318</v>
      </c>
      <c r="G526" s="181"/>
      <c r="H526" s="158"/>
      <c r="I526" s="158"/>
    </row>
    <row r="527" spans="2:9">
      <c r="B527" s="158" t="str">
        <f>IF(OR(G$508="*",LEFT(Commodities!B$240,1)="*"),"*",Commodities!B$240)</f>
        <v>*</v>
      </c>
      <c r="C527" s="158" t="str">
        <f>CONCATENATE("XI",Commodities!$C$240)&amp;"P1"</f>
        <v>XIRESRFLP1</v>
      </c>
      <c r="D527" s="158" t="str">
        <f>CONCATENATE("Delivery of Imported ",Commodities!$D$240)</f>
        <v>Delivery of Imported Low Sulfur Residual Fuel Oil to Residential Sector</v>
      </c>
      <c r="E527" s="197" t="s">
        <v>196</v>
      </c>
      <c r="F527" s="197" t="s">
        <v>318</v>
      </c>
      <c r="G527" s="181"/>
      <c r="H527" s="158"/>
      <c r="I527" s="158"/>
    </row>
    <row r="528" spans="2:9">
      <c r="B528" s="158" t="str">
        <f>IF(OR(G$508="*",LEFT(Commodities!B$241,1)="*"),"*",Commodities!B$241)</f>
        <v>*</v>
      </c>
      <c r="C528" s="158" t="e">
        <f>CONCATENATE("XI",Commodities!$C$241)&amp;"P1"</f>
        <v>#REF!</v>
      </c>
      <c r="D528" s="158" t="str">
        <f>CONCATENATE("Delivery of Imported ",Commodities!$D$241)</f>
        <v>Delivery of Imported Low Sulfur Residual Fuel Oil to Commercial Sector</v>
      </c>
      <c r="E528" s="197" t="s">
        <v>196</v>
      </c>
      <c r="F528" s="197" t="s">
        <v>318</v>
      </c>
      <c r="G528" s="181"/>
      <c r="H528" s="158"/>
      <c r="I528" s="158"/>
    </row>
    <row r="529" spans="2:9">
      <c r="B529" s="158" t="str">
        <f>IF(OR(G$508="*",LEFT(Commodities!B$242,1)="*"),"*",Commodities!B$242)</f>
        <v>R1,R2,R3,R4,R5,R6</v>
      </c>
      <c r="C529" s="158" t="e">
        <f>CONCATENATE("XI",Commodities!$C$242)&amp;"P1"</f>
        <v>#REF!</v>
      </c>
      <c r="D529" s="158" t="str">
        <f>CONCATENATE("Delivery of Imported ",Commodities!$D$242)</f>
        <v>Delivery of Imported Low Sulfur Residual Fuel Oil to Industrial Sector</v>
      </c>
      <c r="E529" s="197" t="s">
        <v>196</v>
      </c>
      <c r="F529" s="197" t="s">
        <v>318</v>
      </c>
      <c r="G529" s="181"/>
      <c r="H529" s="158"/>
      <c r="I529" s="158"/>
    </row>
    <row r="530" spans="2:9">
      <c r="B530" s="158" t="str">
        <f>IF(OR(G$508="*",LEFT(Commodities!B$243,1)="*"),"*",Commodities!B$243)</f>
        <v>*</v>
      </c>
      <c r="C530" s="158" t="e">
        <f>CONCATENATE("XI",Commodities!$C$243)&amp;"P1"</f>
        <v>#REF!</v>
      </c>
      <c r="D530" s="158" t="str">
        <f>CONCATENATE("Delivery of Imported ",Commodities!$D$243)</f>
        <v>Delivery of Imported Low Sulfur Residual Fuel Oil to Electricity Sector</v>
      </c>
      <c r="E530" s="197" t="s">
        <v>196</v>
      </c>
      <c r="F530" s="197" t="s">
        <v>318</v>
      </c>
      <c r="G530" s="181"/>
      <c r="H530" s="158"/>
      <c r="I530" s="158"/>
    </row>
    <row r="531" spans="2:9">
      <c r="B531" s="158" t="str">
        <f>IF(OR(G$508="*",LEFT(Commodities!B$244,1)="*"),"*",Commodities!B$244)</f>
        <v>*</v>
      </c>
      <c r="C531" s="158" t="e">
        <f>CONCATENATE("XI",Commodities!$C$244)&amp;"P1"</f>
        <v>#REF!</v>
      </c>
      <c r="D531" s="158" t="str">
        <f>CONCATENATE("Delivery of Imported ",Commodities!$D$244)</f>
        <v>Delivery of Imported High Sulfur Residual Fuel Oil to Transportation Sector</v>
      </c>
      <c r="E531" s="197" t="s">
        <v>196</v>
      </c>
      <c r="F531" s="197" t="s">
        <v>318</v>
      </c>
      <c r="G531" s="181"/>
      <c r="H531" s="158"/>
      <c r="I531" s="158"/>
    </row>
    <row r="532" spans="2:9">
      <c r="B532" s="158" t="str">
        <f>IF(OR(G$508="*",LEFT(Commodities!B$245,1)="*"),"*",Commodities!B$245)</f>
        <v>*</v>
      </c>
      <c r="C532" s="158" t="e">
        <f>CONCATENATE("XI",Commodities!$C$245)&amp;"P1"</f>
        <v>#REF!</v>
      </c>
      <c r="D532" s="158" t="str">
        <f>CONCATENATE("Delivery of Imported ",Commodities!$D$245)</f>
        <v>Delivery of Imported High Sulfur Residual Fuel Oil to Electricity Sector</v>
      </c>
      <c r="E532" s="197" t="s">
        <v>196</v>
      </c>
      <c r="F532" s="197" t="s">
        <v>318</v>
      </c>
      <c r="G532" s="181"/>
      <c r="H532" s="158"/>
      <c r="I532" s="158"/>
    </row>
    <row r="533" spans="2:9">
      <c r="B533" s="158" t="str">
        <f>IF(OR(G$508="*",LEFT(Commodities!B$246,1)="*"),"*",Commodities!B$246)</f>
        <v>*</v>
      </c>
      <c r="C533" s="158" t="s">
        <v>1171</v>
      </c>
      <c r="D533" s="158" t="s">
        <v>386</v>
      </c>
      <c r="E533" s="197" t="s">
        <v>196</v>
      </c>
      <c r="F533" s="197" t="s">
        <v>318</v>
      </c>
      <c r="G533" s="181"/>
      <c r="H533" s="158"/>
      <c r="I533" s="158"/>
    </row>
    <row r="534" spans="2:9">
      <c r="B534" s="158" t="str">
        <f>IF(OR(G$508="*",LEFT(Commodities!B$48,1)="*"),"*",Commodities!B$49)</f>
        <v>R0,R1,R2,R3,R4,R5,R6</v>
      </c>
      <c r="C534" s="158" t="e">
        <f>CONCATENATE("XI",Commodities!$C$222)&amp;"P2"</f>
        <v>#REF!</v>
      </c>
      <c r="D534" s="158" t="str">
        <f>CONCATENATE("Delivery of Imported ",Commodities!$D$222)</f>
        <v>Delivery of Imported Conventional Gasoline</v>
      </c>
      <c r="E534" s="197" t="s">
        <v>196</v>
      </c>
      <c r="F534" s="197" t="s">
        <v>318</v>
      </c>
      <c r="G534" s="181" t="s">
        <v>1153</v>
      </c>
      <c r="H534" s="158"/>
      <c r="I534" s="158"/>
    </row>
    <row r="535" spans="2:9">
      <c r="B535" s="158" t="str">
        <f>IF(OR(G$508="*",LEFT(Commodities!B$49,1)="*"),"*",Commodities!B$48)</f>
        <v>R0,R1,R2,R3,R4,R5,R6</v>
      </c>
      <c r="C535" s="158" t="e">
        <f>CONCATENATE("XI",Commodities!$C$223)&amp;"P2"</f>
        <v>#REF!</v>
      </c>
      <c r="D535" s="158" t="str">
        <f>CONCATENATE("Delivery of Imported ",Commodities!$D$223)</f>
        <v>Delivery of Imported Reformulated Gasoline</v>
      </c>
      <c r="E535" s="197" t="s">
        <v>196</v>
      </c>
      <c r="F535" s="197" t="s">
        <v>318</v>
      </c>
      <c r="G535" s="181"/>
      <c r="H535" s="158"/>
      <c r="I535" s="158"/>
    </row>
    <row r="536" spans="2:9">
      <c r="B536" s="158" t="str">
        <f>IF(OR(G$508="*",LEFT(Commodities!B$224,1)="*"),"*",Commodities!B$224)</f>
        <v>R1,R2,R3,R4,R5,R6</v>
      </c>
      <c r="C536" s="158" t="e">
        <f>CONCATENATE("XI",Commodities!$C$224)&amp;"P2"</f>
        <v>#REF!</v>
      </c>
      <c r="D536" s="158" t="str">
        <f>CONCATENATE("Delivery of Imported ",Commodities!$D$224)</f>
        <v>Delivery of Imported Distillate-Heating Oil No. 2 to the Residential Sector</v>
      </c>
      <c r="E536" s="197" t="s">
        <v>196</v>
      </c>
      <c r="F536" s="197" t="s">
        <v>318</v>
      </c>
      <c r="G536" s="181"/>
      <c r="H536" s="158"/>
      <c r="I536" s="158"/>
    </row>
    <row r="537" spans="2:9">
      <c r="B537" s="158" t="str">
        <f>IF(OR(G$508="*",LEFT(Commodities!B$225,1)="*"),"*",Commodities!B$225)</f>
        <v>R1,R2,R3,R4,R5,R6</v>
      </c>
      <c r="C537" s="158" t="e">
        <f>CONCATENATE("XI",Commodities!$C$225)&amp;"P2"</f>
        <v>#REF!</v>
      </c>
      <c r="D537" s="158" t="str">
        <f>CONCATENATE("Delivery of Imported ",Commodities!$D$225)</f>
        <v>Delivery of Imported Distillate-Heating Oil No. 2 to the Commercial Sector</v>
      </c>
      <c r="E537" s="197" t="s">
        <v>196</v>
      </c>
      <c r="F537" s="197" t="s">
        <v>318</v>
      </c>
      <c r="G537" s="181"/>
      <c r="H537" s="158"/>
      <c r="I537" s="158"/>
    </row>
    <row r="538" spans="2:9">
      <c r="B538" s="158" t="str">
        <f>IF(OR(G$508="*",LEFT(Commodities!B$226,1)="*"),"*",Commodities!B$226)</f>
        <v>*</v>
      </c>
      <c r="C538" s="158" t="e">
        <f>CONCATENATE("XI",Commodities!$C$226)&amp;"P2"</f>
        <v>#REF!</v>
      </c>
      <c r="D538" s="158" t="str">
        <f>CONCATENATE("Delivery of Imported ",Commodities!$D$226)</f>
        <v>Delivery of Imported Distillate-Heating Oil No. 2 to the Indistrial Sector</v>
      </c>
      <c r="E538" s="197" t="s">
        <v>196</v>
      </c>
      <c r="F538" s="197" t="s">
        <v>318</v>
      </c>
      <c r="G538" s="181"/>
      <c r="H538" s="158"/>
      <c r="I538" s="158"/>
    </row>
    <row r="539" spans="2:9">
      <c r="B539" s="158" t="s">
        <v>1096</v>
      </c>
      <c r="C539" s="158" t="e">
        <f>CONCATENATE("XI",Commodities!$C$227)&amp;"P2"</f>
        <v>#REF!</v>
      </c>
      <c r="D539" s="158" t="str">
        <f>CONCATENATE("Delivery of Imported ",Commodities!$D$227)</f>
        <v>Delivery of Imported Distillate-Heating Oil No. 2 to the Electricity Sector</v>
      </c>
      <c r="E539" s="197" t="s">
        <v>196</v>
      </c>
      <c r="F539" s="197" t="s">
        <v>318</v>
      </c>
      <c r="G539" s="181"/>
      <c r="H539" s="158"/>
      <c r="I539" s="158"/>
    </row>
    <row r="540" spans="2:9">
      <c r="B540" s="158" t="str">
        <f>IF(OR(G$508="*",LEFT(Commodities!B$51,1)="*"),"*",Commodities!B$51)</f>
        <v>R0,R1,R2,R3,R4,R5,R6</v>
      </c>
      <c r="C540" s="158" t="e">
        <f>CONCATENATE("XI",Commodities!$C$228)&amp;"P2"</f>
        <v>#REF!</v>
      </c>
      <c r="D540" s="158" t="str">
        <f>CONCATENATE("Delivery of Imported ",Commodities!$D$228)</f>
        <v>Delivery of Imported Distillate-Low Sulfur Highway Diesel (500 ppm)</v>
      </c>
      <c r="E540" s="197" t="s">
        <v>196</v>
      </c>
      <c r="F540" s="197" t="s">
        <v>318</v>
      </c>
      <c r="G540" s="181"/>
      <c r="H540" s="158"/>
      <c r="I540" s="158"/>
    </row>
    <row r="541" spans="2:9">
      <c r="B541" s="158" t="str">
        <f>IF(OR(G$508="*",LEFT(Commodities!B$52,1)="*"),"*",Commodities!B$52)</f>
        <v>R0,R1,R2,R3,R4,R5,R6</v>
      </c>
      <c r="C541" s="158" t="e">
        <f>CONCATENATE("XI",Commodities!$C$229)&amp;"P2"</f>
        <v>#REF!</v>
      </c>
      <c r="D541" s="158" t="str">
        <f>CONCATENATE("Delivery of Imported ",Commodities!$D$229)</f>
        <v>Delivery of Imported Distillate-Ultralow Sulfur Highway Diesel (15 ppm)</v>
      </c>
      <c r="E541" s="197" t="s">
        <v>196</v>
      </c>
      <c r="F541" s="197" t="s">
        <v>318</v>
      </c>
      <c r="G541" s="181"/>
      <c r="H541" s="158"/>
      <c r="I541" s="158"/>
    </row>
    <row r="542" spans="2:9">
      <c r="B542" s="158" t="str">
        <f>IF(OR(G$508="*",LEFT(Commodities!B$53,1)="*"),"*",Commodities!B$53)</f>
        <v>*</v>
      </c>
      <c r="C542" s="158" t="e">
        <f>CONCATENATE("XI",Commodities!$C$230)&amp;"P2"</f>
        <v>#REF!</v>
      </c>
      <c r="D542" s="158" t="str">
        <f>CONCATENATE("Delivery of Imported ",Commodities!$D$230)</f>
        <v>Delivery of Imported Jet Fuel</v>
      </c>
      <c r="E542" s="197" t="s">
        <v>196</v>
      </c>
      <c r="F542" s="197" t="s">
        <v>318</v>
      </c>
      <c r="G542" s="181"/>
      <c r="H542" s="158"/>
      <c r="I542" s="158"/>
    </row>
    <row r="543" spans="2:9">
      <c r="B543" s="158" t="str">
        <f>IF(OR(G$508="*",LEFT(Commodities!B$231,1)="*"),"*",Commodities!B$231)</f>
        <v>*</v>
      </c>
      <c r="C543" s="158" t="e">
        <f>CONCATENATE("XI",Commodities!$C$231)&amp;"P2"</f>
        <v>#REF!</v>
      </c>
      <c r="D543" s="158" t="str">
        <f>CONCATENATE("Delivery of Imported ",Commodities!$D$231)</f>
        <v>Delivery of Imported Kerosene and Other Refined Products to the Residential Sector</v>
      </c>
      <c r="E543" s="197" t="s">
        <v>196</v>
      </c>
      <c r="F543" s="197" t="s">
        <v>318</v>
      </c>
      <c r="G543" s="181"/>
      <c r="H543" s="158"/>
      <c r="I543" s="158"/>
    </row>
    <row r="544" spans="2:9">
      <c r="B544" s="158" t="str">
        <f>IF(OR(G$508="*",LEFT(Commodities!B$232,1)="*"),"*",Commodities!B$232)</f>
        <v>*</v>
      </c>
      <c r="C544" s="158" t="e">
        <f>CONCATENATE("XI",Commodities!$C$232)&amp;"P2"</f>
        <v>#REF!</v>
      </c>
      <c r="D544" s="158" t="str">
        <f>CONCATENATE("Delivery of Imported ",Commodities!$D$232)</f>
        <v>Delivery of Imported Kerosene and Other Refined Products to the Commercial Sector</v>
      </c>
      <c r="E544" s="197" t="s">
        <v>196</v>
      </c>
      <c r="F544" s="197" t="s">
        <v>318</v>
      </c>
      <c r="G544" s="181"/>
      <c r="H544" s="158"/>
      <c r="I544" s="158"/>
    </row>
    <row r="545" spans="2:9">
      <c r="B545" s="158" t="str">
        <f>IF(OR(G$508="*",LEFT(Commodities!B$233,1)="*"),"*",Commodities!B$233)</f>
        <v>*</v>
      </c>
      <c r="C545" s="158" t="e">
        <f>CONCATENATE("XI",Commodities!$C$233)&amp;"P2"</f>
        <v>#REF!</v>
      </c>
      <c r="D545" s="158" t="str">
        <f>CONCATENATE("Delivery of Imported ",Commodities!$D$233)</f>
        <v>Delivery of Imported Kerosene and Other Refined Products to the Industrial Sector</v>
      </c>
      <c r="E545" s="197" t="s">
        <v>196</v>
      </c>
      <c r="F545" s="197" t="s">
        <v>318</v>
      </c>
      <c r="G545" s="181"/>
      <c r="H545" s="158"/>
      <c r="I545" s="158"/>
    </row>
    <row r="546" spans="2:9">
      <c r="B546" s="158" t="str">
        <f>IF(OR(G$508="*",LEFT(Commodities!B$234,1)="*"),"*",Commodities!B$234)</f>
        <v>*</v>
      </c>
      <c r="C546" s="158" t="e">
        <f>CONCATENATE("XI",Commodities!$C$234)&amp;"P2"</f>
        <v>#REF!</v>
      </c>
      <c r="D546" s="158" t="str">
        <f>CONCATENATE("Delivery of Imported ",Commodities!$D$234)</f>
        <v>Delivery of Imported LPG to the Residential Sector</v>
      </c>
      <c r="E546" s="197" t="s">
        <v>196</v>
      </c>
      <c r="F546" s="197" t="s">
        <v>318</v>
      </c>
      <c r="G546" s="181"/>
      <c r="H546" s="158"/>
      <c r="I546" s="158"/>
    </row>
    <row r="547" spans="2:9">
      <c r="B547" s="158" t="str">
        <f>IF(OR(G$508="*",LEFT(Commodities!B$235,1)="*"),"*",Commodities!B$235)</f>
        <v>*</v>
      </c>
      <c r="C547" s="158" t="e">
        <f>CONCATENATE("XI",Commodities!$C$235)&amp;"P2"</f>
        <v>#REF!</v>
      </c>
      <c r="D547" s="158" t="str">
        <f>CONCATENATE("Delivery of Imported ",Commodities!$D$235)</f>
        <v>Delivery of Imported LPG to the Commercial Sector</v>
      </c>
      <c r="E547" s="197" t="s">
        <v>196</v>
      </c>
      <c r="F547" s="197" t="s">
        <v>318</v>
      </c>
      <c r="G547" s="181"/>
      <c r="H547" s="158"/>
      <c r="I547" s="158"/>
    </row>
    <row r="548" spans="2:9">
      <c r="B548" s="158" t="str">
        <f>IF(OR(G$508="*",LEFT(Commodities!B$236,1)="*"),"*",Commodities!B$236)</f>
        <v>*</v>
      </c>
      <c r="C548" s="158" t="e">
        <f>CONCATENATE("XI",Commodities!$C$236)&amp;"P2"</f>
        <v>#REF!</v>
      </c>
      <c r="D548" s="158" t="str">
        <f>CONCATENATE("Delivery of Imported ",Commodities!$D$236)</f>
        <v>Delivery of Imported LPG to the Industrial Sector</v>
      </c>
      <c r="E548" s="197" t="s">
        <v>196</v>
      </c>
      <c r="F548" s="197" t="s">
        <v>318</v>
      </c>
      <c r="G548" s="181"/>
      <c r="H548" s="158"/>
      <c r="I548" s="158"/>
    </row>
    <row r="549" spans="2:9">
      <c r="B549" s="158" t="str">
        <f>IF(OR(G$508="*",LEFT(Commodities!B$237,1)="*"),"*",Commodities!B$237)</f>
        <v>*</v>
      </c>
      <c r="C549" s="158" t="e">
        <f>CONCATENATE("XI",Commodities!$C$237)&amp;"P2"</f>
        <v>#REF!</v>
      </c>
      <c r="D549" s="158" t="str">
        <f>CONCATENATE("Delivery of Imported ",Commodities!$D$237)</f>
        <v>Delivery of Imported LPG to the Transportation Sector</v>
      </c>
      <c r="E549" s="197" t="s">
        <v>196</v>
      </c>
      <c r="F549" s="197" t="s">
        <v>318</v>
      </c>
      <c r="G549" s="181"/>
      <c r="H549" s="158"/>
      <c r="I549" s="158"/>
    </row>
    <row r="550" spans="2:9">
      <c r="B550" s="158" t="str">
        <f>IF(OR(G$508="*",LEFT(Commodities!B$238,1)="*"),"*",Commodities!B$238)</f>
        <v>*</v>
      </c>
      <c r="C550" s="158" t="e">
        <f>CONCATENATE("XI",Commodities!$C$238)&amp;"P2"</f>
        <v>#REF!</v>
      </c>
      <c r="D550" s="158" t="str">
        <f>CONCATENATE("Delivery of Imported ",Commodities!$D$238)</f>
        <v>Delivery of Imported Methanol</v>
      </c>
      <c r="E550" s="197" t="s">
        <v>196</v>
      </c>
      <c r="F550" s="197" t="s">
        <v>318</v>
      </c>
      <c r="G550" s="181"/>
      <c r="H550" s="158"/>
      <c r="I550" s="158"/>
    </row>
    <row r="551" spans="2:9">
      <c r="B551" s="158" t="str">
        <f>IF(OR(G$508="*",LEFT(Commodities!B$239,1)="*"),"*",Commodities!B$239)</f>
        <v>*</v>
      </c>
      <c r="C551" s="158" t="e">
        <f>CONCATENATE("XI",Commodities!$C$239)&amp;"P2"</f>
        <v>#REF!</v>
      </c>
      <c r="D551" s="158" t="str">
        <f>CONCATENATE("Delivery of Imported ",Commodities!$D$239)</f>
        <v>Delivery of Imported Petrochemical Feedstocks</v>
      </c>
      <c r="E551" s="197" t="s">
        <v>196</v>
      </c>
      <c r="F551" s="197" t="s">
        <v>318</v>
      </c>
      <c r="G551" s="181"/>
      <c r="H551" s="158"/>
      <c r="I551" s="158"/>
    </row>
    <row r="552" spans="2:9">
      <c r="B552" s="158" t="str">
        <f>IF(OR(G$508="*",LEFT(Commodities!B$240,1)="*"),"*",Commodities!B$240)</f>
        <v>*</v>
      </c>
      <c r="C552" s="158" t="str">
        <f>CONCATENATE("XI",Commodities!$C$240)&amp;"P2"</f>
        <v>XIRESRFLP2</v>
      </c>
      <c r="D552" s="158" t="str">
        <f>CONCATENATE("Delivery of Imported ",Commodities!$D$240)</f>
        <v>Delivery of Imported Low Sulfur Residual Fuel Oil to Residential Sector</v>
      </c>
      <c r="E552" s="197" t="s">
        <v>196</v>
      </c>
      <c r="F552" s="197" t="s">
        <v>318</v>
      </c>
      <c r="G552" s="181"/>
      <c r="H552" s="158"/>
      <c r="I552" s="158"/>
    </row>
    <row r="553" spans="2:9">
      <c r="B553" s="158" t="str">
        <f>IF(OR(G$508="*",LEFT(Commodities!B$241,1)="*"),"*",Commodities!B$241)</f>
        <v>*</v>
      </c>
      <c r="C553" s="158" t="e">
        <f>CONCATENATE("XI",Commodities!$C$241)&amp;"P2"</f>
        <v>#REF!</v>
      </c>
      <c r="D553" s="158" t="str">
        <f>CONCATENATE("Delivery of Imported ",Commodities!$D$241)</f>
        <v>Delivery of Imported Low Sulfur Residual Fuel Oil to Commercial Sector</v>
      </c>
      <c r="E553" s="197" t="s">
        <v>196</v>
      </c>
      <c r="F553" s="197" t="s">
        <v>318</v>
      </c>
      <c r="G553" s="181"/>
      <c r="H553" s="158"/>
      <c r="I553" s="158"/>
    </row>
    <row r="554" spans="2:9">
      <c r="B554" s="158" t="str">
        <f>IF(OR(G$508="*",LEFT(Commodities!B$242,1)="*"),"*",Commodities!B$242)</f>
        <v>R1,R2,R3,R4,R5,R6</v>
      </c>
      <c r="C554" s="158" t="e">
        <f>CONCATENATE("XI",Commodities!$C$242)&amp;"P2"</f>
        <v>#REF!</v>
      </c>
      <c r="D554" s="158" t="str">
        <f>CONCATENATE("Delivery of Imported ",Commodities!$D$242)</f>
        <v>Delivery of Imported Low Sulfur Residual Fuel Oil to Industrial Sector</v>
      </c>
      <c r="E554" s="197" t="s">
        <v>196</v>
      </c>
      <c r="F554" s="197" t="s">
        <v>318</v>
      </c>
      <c r="G554" s="181"/>
      <c r="H554" s="158"/>
      <c r="I554" s="158"/>
    </row>
    <row r="555" spans="2:9">
      <c r="B555" s="158" t="str">
        <f>IF(OR(G$508="*",LEFT(Commodities!B$243,1)="*"),"*",Commodities!B$243)</f>
        <v>*</v>
      </c>
      <c r="C555" s="158" t="e">
        <f>CONCATENATE("XI",Commodities!$C$243)&amp;"P2"</f>
        <v>#REF!</v>
      </c>
      <c r="D555" s="158" t="str">
        <f>CONCATENATE("Delivery of Imported ",Commodities!$D$243)</f>
        <v>Delivery of Imported Low Sulfur Residual Fuel Oil to Electricity Sector</v>
      </c>
      <c r="E555" s="197" t="s">
        <v>196</v>
      </c>
      <c r="F555" s="197" t="s">
        <v>318</v>
      </c>
      <c r="G555" s="181"/>
      <c r="H555" s="158"/>
      <c r="I555" s="158"/>
    </row>
    <row r="556" spans="2:9">
      <c r="B556" s="158" t="str">
        <f>IF(OR(G$508="*",LEFT(Commodities!B$244,1)="*"),"*",Commodities!B$244)</f>
        <v>*</v>
      </c>
      <c r="C556" s="158" t="e">
        <f>CONCATENATE("XI",Commodities!$C$244)&amp;"P2"</f>
        <v>#REF!</v>
      </c>
      <c r="D556" s="158" t="str">
        <f>CONCATENATE("Delivery of Imported ",Commodities!$D$244)</f>
        <v>Delivery of Imported High Sulfur Residual Fuel Oil to Transportation Sector</v>
      </c>
      <c r="E556" s="197" t="s">
        <v>196</v>
      </c>
      <c r="F556" s="197" t="s">
        <v>318</v>
      </c>
      <c r="G556" s="181"/>
      <c r="H556" s="158"/>
      <c r="I556" s="158"/>
    </row>
    <row r="557" spans="2:9">
      <c r="B557" s="158" t="str">
        <f>IF(OR(G$508="*",LEFT(Commodities!B$245,1)="*"),"*",Commodities!B$245)</f>
        <v>*</v>
      </c>
      <c r="C557" s="158" t="e">
        <f>CONCATENATE("XI",Commodities!$C$245)&amp;"P2"</f>
        <v>#REF!</v>
      </c>
      <c r="D557" s="158" t="str">
        <f>CONCATENATE("Delivery of Imported ",Commodities!$D$245)</f>
        <v>Delivery of Imported High Sulfur Residual Fuel Oil to Electricity Sector</v>
      </c>
      <c r="E557" s="197" t="s">
        <v>196</v>
      </c>
      <c r="F557" s="197" t="s">
        <v>318</v>
      </c>
      <c r="G557" s="181"/>
      <c r="H557" s="158"/>
      <c r="I557" s="158"/>
    </row>
    <row r="558" spans="2:9">
      <c r="B558" s="158" t="str">
        <f>IF(OR(G$508="*",LEFT(Commodities!B$246,1)="*"),"*",Commodities!B$246)</f>
        <v>*</v>
      </c>
      <c r="C558" s="158" t="s">
        <v>1172</v>
      </c>
      <c r="D558" s="158" t="s">
        <v>386</v>
      </c>
      <c r="E558" s="197" t="s">
        <v>196</v>
      </c>
      <c r="F558" s="197" t="s">
        <v>318</v>
      </c>
      <c r="G558" s="181"/>
      <c r="H558" s="158"/>
      <c r="I558" s="158"/>
    </row>
    <row r="559" spans="2:9">
      <c r="B559" s="158" t="str">
        <f>IF(OR(G$508="*",LEFT(Commodities!B$48,1)="*"),"*",Commodities!B$49)</f>
        <v>R0,R1,R2,R3,R4,R5,R6</v>
      </c>
      <c r="C559" s="158" t="e">
        <f>CONCATENATE("XI",Commodities!$C$222)&amp;"P3"</f>
        <v>#REF!</v>
      </c>
      <c r="D559" s="158" t="str">
        <f>CONCATENATE("Delivery of Imported ",Commodities!$D$222)</f>
        <v>Delivery of Imported Conventional Gasoline</v>
      </c>
      <c r="E559" s="197" t="s">
        <v>196</v>
      </c>
      <c r="F559" s="197" t="s">
        <v>318</v>
      </c>
      <c r="G559" s="181" t="s">
        <v>1153</v>
      </c>
      <c r="H559" s="158"/>
      <c r="I559" s="158"/>
    </row>
    <row r="560" spans="2:9">
      <c r="B560" s="158" t="str">
        <f>IF(OR(G$508="*",LEFT(Commodities!B$49,1)="*"),"*",Commodities!B$48)</f>
        <v>R0,R1,R2,R3,R4,R5,R6</v>
      </c>
      <c r="C560" s="158" t="e">
        <f>CONCATENATE("XI",Commodities!$C$223)&amp;"P3"</f>
        <v>#REF!</v>
      </c>
      <c r="D560" s="158" t="str">
        <f>CONCATENATE("Delivery of Imported ",Commodities!$D$223)</f>
        <v>Delivery of Imported Reformulated Gasoline</v>
      </c>
      <c r="E560" s="197" t="s">
        <v>196</v>
      </c>
      <c r="F560" s="197" t="s">
        <v>318</v>
      </c>
      <c r="G560" s="181"/>
      <c r="H560" s="158"/>
      <c r="I560" s="158"/>
    </row>
    <row r="561" spans="2:9">
      <c r="B561" s="158" t="str">
        <f>IF(OR(G$508="*",LEFT(Commodities!B$224,1)="*"),"*",Commodities!B$224)</f>
        <v>R1,R2,R3,R4,R5,R6</v>
      </c>
      <c r="C561" s="158" t="e">
        <f>CONCATENATE("XI",Commodities!$C$224)&amp;"P3"</f>
        <v>#REF!</v>
      </c>
      <c r="D561" s="158" t="str">
        <f>CONCATENATE("Delivery of Imported ",Commodities!$D$224)</f>
        <v>Delivery of Imported Distillate-Heating Oil No. 2 to the Residential Sector</v>
      </c>
      <c r="E561" s="197" t="s">
        <v>196</v>
      </c>
      <c r="F561" s="197" t="s">
        <v>318</v>
      </c>
      <c r="G561" s="181"/>
      <c r="H561" s="158"/>
      <c r="I561" s="158"/>
    </row>
    <row r="562" spans="2:9">
      <c r="B562" s="158" t="str">
        <f>IF(OR(G$508="*",LEFT(Commodities!B$225,1)="*"),"*",Commodities!B$225)</f>
        <v>R1,R2,R3,R4,R5,R6</v>
      </c>
      <c r="C562" s="158" t="e">
        <f>CONCATENATE("XI",Commodities!$C$225)&amp;"P3"</f>
        <v>#REF!</v>
      </c>
      <c r="D562" s="158" t="str">
        <f>CONCATENATE("Delivery of Imported ",Commodities!$D$225)</f>
        <v>Delivery of Imported Distillate-Heating Oil No. 2 to the Commercial Sector</v>
      </c>
      <c r="E562" s="197" t="s">
        <v>196</v>
      </c>
      <c r="F562" s="197" t="s">
        <v>318</v>
      </c>
      <c r="G562" s="181"/>
      <c r="H562" s="158"/>
      <c r="I562" s="158"/>
    </row>
    <row r="563" spans="2:9">
      <c r="B563" s="158" t="str">
        <f>IF(OR(G$508="*",LEFT(Commodities!B$226,1)="*"),"*",Commodities!B$226)</f>
        <v>*</v>
      </c>
      <c r="C563" s="158" t="e">
        <f>CONCATENATE("XI",Commodities!$C$226)&amp;"P3"</f>
        <v>#REF!</v>
      </c>
      <c r="D563" s="158" t="str">
        <f>CONCATENATE("Delivery of Imported ",Commodities!$D$226)</f>
        <v>Delivery of Imported Distillate-Heating Oil No. 2 to the Indistrial Sector</v>
      </c>
      <c r="E563" s="197" t="s">
        <v>196</v>
      </c>
      <c r="F563" s="197" t="s">
        <v>318</v>
      </c>
      <c r="G563" s="181"/>
      <c r="H563" s="158"/>
      <c r="I563" s="158"/>
    </row>
    <row r="564" spans="2:9">
      <c r="B564" s="158" t="s">
        <v>1096</v>
      </c>
      <c r="C564" s="158" t="e">
        <f>CONCATENATE("XI",Commodities!$C$227)&amp;"P3"</f>
        <v>#REF!</v>
      </c>
      <c r="D564" s="158" t="str">
        <f>CONCATENATE("Delivery of Imported ",Commodities!$D$227)</f>
        <v>Delivery of Imported Distillate-Heating Oil No. 2 to the Electricity Sector</v>
      </c>
      <c r="E564" s="197" t="s">
        <v>196</v>
      </c>
      <c r="F564" s="197" t="s">
        <v>318</v>
      </c>
      <c r="G564" s="181"/>
      <c r="H564" s="158"/>
      <c r="I564" s="158"/>
    </row>
    <row r="565" spans="2:9">
      <c r="B565" s="158" t="str">
        <f>IF(OR(G$508="*",LEFT(Commodities!B$51,1)="*"),"*",Commodities!B$51)</f>
        <v>R0,R1,R2,R3,R4,R5,R6</v>
      </c>
      <c r="C565" s="158" t="e">
        <f>CONCATENATE("XI",Commodities!$C$228)&amp;"P3"</f>
        <v>#REF!</v>
      </c>
      <c r="D565" s="158" t="str">
        <f>CONCATENATE("Delivery of Imported ",Commodities!$D$228)</f>
        <v>Delivery of Imported Distillate-Low Sulfur Highway Diesel (500 ppm)</v>
      </c>
      <c r="E565" s="197" t="s">
        <v>196</v>
      </c>
      <c r="F565" s="197" t="s">
        <v>318</v>
      </c>
      <c r="G565" s="181"/>
      <c r="H565" s="158"/>
      <c r="I565" s="158"/>
    </row>
    <row r="566" spans="2:9">
      <c r="B566" s="158" t="str">
        <f>IF(OR(G$508="*",LEFT(Commodities!B$52,1)="*"),"*",Commodities!B$52)</f>
        <v>R0,R1,R2,R3,R4,R5,R6</v>
      </c>
      <c r="C566" s="158" t="e">
        <f>CONCATENATE("XI",Commodities!$C$229)&amp;"P3"</f>
        <v>#REF!</v>
      </c>
      <c r="D566" s="158" t="str">
        <f>CONCATENATE("Delivery of Imported ",Commodities!$D$229)</f>
        <v>Delivery of Imported Distillate-Ultralow Sulfur Highway Diesel (15 ppm)</v>
      </c>
      <c r="E566" s="197" t="s">
        <v>196</v>
      </c>
      <c r="F566" s="197" t="s">
        <v>318</v>
      </c>
      <c r="G566" s="181"/>
      <c r="H566" s="158"/>
      <c r="I566" s="158"/>
    </row>
    <row r="567" spans="2:9">
      <c r="B567" s="158" t="str">
        <f>IF(OR(G$508="*",LEFT(Commodities!B$53,1)="*"),"*",Commodities!B$53)</f>
        <v>*</v>
      </c>
      <c r="C567" s="158" t="e">
        <f>CONCATENATE("XI",Commodities!$C$230)&amp;"P3"</f>
        <v>#REF!</v>
      </c>
      <c r="D567" s="158" t="str">
        <f>CONCATENATE("Delivery of Imported ",Commodities!$D$230)</f>
        <v>Delivery of Imported Jet Fuel</v>
      </c>
      <c r="E567" s="197" t="s">
        <v>196</v>
      </c>
      <c r="F567" s="197" t="s">
        <v>318</v>
      </c>
      <c r="G567" s="181"/>
      <c r="H567" s="158"/>
      <c r="I567" s="158"/>
    </row>
    <row r="568" spans="2:9">
      <c r="B568" s="158" t="str">
        <f>IF(OR(G$508="*",LEFT(Commodities!B$231,1)="*"),"*",Commodities!B$231)</f>
        <v>*</v>
      </c>
      <c r="C568" s="158" t="e">
        <f>CONCATENATE("XI",Commodities!$C$231)&amp;"P3"</f>
        <v>#REF!</v>
      </c>
      <c r="D568" s="158" t="str">
        <f>CONCATENATE("Delivery of Imported ",Commodities!$D$231)</f>
        <v>Delivery of Imported Kerosene and Other Refined Products to the Residential Sector</v>
      </c>
      <c r="E568" s="197" t="s">
        <v>196</v>
      </c>
      <c r="F568" s="197" t="s">
        <v>318</v>
      </c>
      <c r="G568" s="181"/>
      <c r="H568" s="158"/>
      <c r="I568" s="158"/>
    </row>
    <row r="569" spans="2:9">
      <c r="B569" s="158" t="str">
        <f>IF(OR(G$508="*",LEFT(Commodities!B$232,1)="*"),"*",Commodities!B$232)</f>
        <v>*</v>
      </c>
      <c r="C569" s="158" t="e">
        <f>CONCATENATE("XI",Commodities!$C$232)&amp;"P3"</f>
        <v>#REF!</v>
      </c>
      <c r="D569" s="158" t="str">
        <f>CONCATENATE("Delivery of Imported ",Commodities!$D$232)</f>
        <v>Delivery of Imported Kerosene and Other Refined Products to the Commercial Sector</v>
      </c>
      <c r="E569" s="197" t="s">
        <v>196</v>
      </c>
      <c r="F569" s="197" t="s">
        <v>318</v>
      </c>
      <c r="G569" s="181"/>
      <c r="H569" s="158"/>
      <c r="I569" s="158"/>
    </row>
    <row r="570" spans="2:9">
      <c r="B570" s="158" t="str">
        <f>IF(OR(G$508="*",LEFT(Commodities!B$233,1)="*"),"*",Commodities!B$233)</f>
        <v>*</v>
      </c>
      <c r="C570" s="158" t="e">
        <f>CONCATENATE("XI",Commodities!$C$233)&amp;"P3"</f>
        <v>#REF!</v>
      </c>
      <c r="D570" s="158" t="str">
        <f>CONCATENATE("Delivery of Imported ",Commodities!$D$233)</f>
        <v>Delivery of Imported Kerosene and Other Refined Products to the Industrial Sector</v>
      </c>
      <c r="E570" s="197" t="s">
        <v>196</v>
      </c>
      <c r="F570" s="197" t="s">
        <v>318</v>
      </c>
      <c r="G570" s="181"/>
      <c r="H570" s="158"/>
      <c r="I570" s="158"/>
    </row>
    <row r="571" spans="2:9">
      <c r="B571" s="158" t="str">
        <f>IF(OR(G$508="*",LEFT(Commodities!B$234,1)="*"),"*",Commodities!B$234)</f>
        <v>*</v>
      </c>
      <c r="C571" s="158" t="e">
        <f>CONCATENATE("XI",Commodities!$C$234)&amp;"P3"</f>
        <v>#REF!</v>
      </c>
      <c r="D571" s="158" t="str">
        <f>CONCATENATE("Delivery of Imported ",Commodities!$D$234)</f>
        <v>Delivery of Imported LPG to the Residential Sector</v>
      </c>
      <c r="E571" s="197" t="s">
        <v>196</v>
      </c>
      <c r="F571" s="197" t="s">
        <v>318</v>
      </c>
      <c r="G571" s="181"/>
      <c r="H571" s="158"/>
      <c r="I571" s="158"/>
    </row>
    <row r="572" spans="2:9">
      <c r="B572" s="158" t="str">
        <f>IF(OR(G$508="*",LEFT(Commodities!B$235,1)="*"),"*",Commodities!B$235)</f>
        <v>*</v>
      </c>
      <c r="C572" s="158" t="e">
        <f>CONCATENATE("XI",Commodities!$C$235)&amp;"P3"</f>
        <v>#REF!</v>
      </c>
      <c r="D572" s="158" t="str">
        <f>CONCATENATE("Delivery of Imported ",Commodities!$D$235)</f>
        <v>Delivery of Imported LPG to the Commercial Sector</v>
      </c>
      <c r="E572" s="197" t="s">
        <v>196</v>
      </c>
      <c r="F572" s="197" t="s">
        <v>318</v>
      </c>
      <c r="G572" s="181"/>
      <c r="H572" s="158"/>
      <c r="I572" s="158"/>
    </row>
    <row r="573" spans="2:9">
      <c r="B573" s="158" t="str">
        <f>IF(OR(G$508="*",LEFT(Commodities!B$236,1)="*"),"*",Commodities!B$236)</f>
        <v>*</v>
      </c>
      <c r="C573" s="158" t="e">
        <f>CONCATENATE("XI",Commodities!$C$236)&amp;"P3"</f>
        <v>#REF!</v>
      </c>
      <c r="D573" s="158" t="str">
        <f>CONCATENATE("Delivery of Imported ",Commodities!$D$236)</f>
        <v>Delivery of Imported LPG to the Industrial Sector</v>
      </c>
      <c r="E573" s="197" t="s">
        <v>196</v>
      </c>
      <c r="F573" s="197" t="s">
        <v>318</v>
      </c>
      <c r="G573" s="181"/>
      <c r="H573" s="158"/>
      <c r="I573" s="158"/>
    </row>
    <row r="574" spans="2:9">
      <c r="B574" s="158" t="str">
        <f>IF(OR(G$508="*",LEFT(Commodities!B$237,1)="*"),"*",Commodities!B$237)</f>
        <v>*</v>
      </c>
      <c r="C574" s="158" t="e">
        <f>CONCATENATE("XI",Commodities!$C$237)&amp;"P3"</f>
        <v>#REF!</v>
      </c>
      <c r="D574" s="158" t="str">
        <f>CONCATENATE("Delivery of Imported ",Commodities!$D$237)</f>
        <v>Delivery of Imported LPG to the Transportation Sector</v>
      </c>
      <c r="E574" s="197" t="s">
        <v>196</v>
      </c>
      <c r="F574" s="197" t="s">
        <v>318</v>
      </c>
      <c r="G574" s="181"/>
      <c r="H574" s="158"/>
      <c r="I574" s="158"/>
    </row>
    <row r="575" spans="2:9">
      <c r="B575" s="158" t="str">
        <f>IF(OR(G$508="*",LEFT(Commodities!B$238,1)="*"),"*",Commodities!B$238)</f>
        <v>*</v>
      </c>
      <c r="C575" s="158" t="e">
        <f>CONCATENATE("XI",Commodities!$C$238)&amp;"P3"</f>
        <v>#REF!</v>
      </c>
      <c r="D575" s="158" t="str">
        <f>CONCATENATE("Delivery of Imported ",Commodities!$D$238)</f>
        <v>Delivery of Imported Methanol</v>
      </c>
      <c r="E575" s="197" t="s">
        <v>196</v>
      </c>
      <c r="F575" s="197" t="s">
        <v>318</v>
      </c>
      <c r="G575" s="181"/>
      <c r="H575" s="158"/>
      <c r="I575" s="158"/>
    </row>
    <row r="576" spans="2:9">
      <c r="B576" s="158" t="str">
        <f>IF(OR(G$508="*",LEFT(Commodities!B$239,1)="*"),"*",Commodities!B$239)</f>
        <v>*</v>
      </c>
      <c r="C576" s="158" t="e">
        <f>CONCATENATE("XI",Commodities!$C$239)&amp;"P3"</f>
        <v>#REF!</v>
      </c>
      <c r="D576" s="158" t="str">
        <f>CONCATENATE("Delivery of Imported ",Commodities!$D$239)</f>
        <v>Delivery of Imported Petrochemical Feedstocks</v>
      </c>
      <c r="E576" s="197" t="s">
        <v>196</v>
      </c>
      <c r="F576" s="197" t="s">
        <v>318</v>
      </c>
      <c r="G576" s="181"/>
      <c r="H576" s="158"/>
      <c r="I576" s="158"/>
    </row>
    <row r="577" spans="2:9">
      <c r="B577" s="158" t="str">
        <f>IF(OR(G$508="*",LEFT(Commodities!B$240,1)="*"),"*",Commodities!B$240)</f>
        <v>*</v>
      </c>
      <c r="C577" s="158" t="str">
        <f>CONCATENATE("XI",Commodities!$C$240)&amp;"P3"</f>
        <v>XIRESRFLP3</v>
      </c>
      <c r="D577" s="158" t="str">
        <f>CONCATENATE("Delivery of Imported ",Commodities!$D$240)</f>
        <v>Delivery of Imported Low Sulfur Residual Fuel Oil to Residential Sector</v>
      </c>
      <c r="E577" s="197" t="s">
        <v>196</v>
      </c>
      <c r="F577" s="197" t="s">
        <v>318</v>
      </c>
      <c r="G577" s="181"/>
      <c r="H577" s="158"/>
      <c r="I577" s="158"/>
    </row>
    <row r="578" spans="2:9">
      <c r="B578" s="158" t="str">
        <f>IF(OR(G$508="*",LEFT(Commodities!B$241,1)="*"),"*",Commodities!B$241)</f>
        <v>*</v>
      </c>
      <c r="C578" s="158" t="e">
        <f>CONCATENATE("XI",Commodities!$C$241)&amp;"P3"</f>
        <v>#REF!</v>
      </c>
      <c r="D578" s="158" t="str">
        <f>CONCATENATE("Delivery of Imported ",Commodities!$D$241)</f>
        <v>Delivery of Imported Low Sulfur Residual Fuel Oil to Commercial Sector</v>
      </c>
      <c r="E578" s="197" t="s">
        <v>196</v>
      </c>
      <c r="F578" s="197" t="s">
        <v>318</v>
      </c>
      <c r="G578" s="181"/>
      <c r="H578" s="158"/>
      <c r="I578" s="158"/>
    </row>
    <row r="579" spans="2:9">
      <c r="B579" s="158" t="str">
        <f>IF(OR(G$508="*",LEFT(Commodities!B$242,1)="*"),"*",Commodities!B$242)</f>
        <v>R1,R2,R3,R4,R5,R6</v>
      </c>
      <c r="C579" s="158" t="e">
        <f>CONCATENATE("XI",Commodities!$C$242)&amp;"P3"</f>
        <v>#REF!</v>
      </c>
      <c r="D579" s="158" t="str">
        <f>CONCATENATE("Delivery of Imported ",Commodities!$D$242)</f>
        <v>Delivery of Imported Low Sulfur Residual Fuel Oil to Industrial Sector</v>
      </c>
      <c r="E579" s="197" t="s">
        <v>196</v>
      </c>
      <c r="F579" s="197" t="s">
        <v>318</v>
      </c>
      <c r="G579" s="181"/>
      <c r="H579" s="158"/>
      <c r="I579" s="158"/>
    </row>
    <row r="580" spans="2:9">
      <c r="B580" s="158" t="str">
        <f>IF(OR(G$508="*",LEFT(Commodities!B$243,1)="*"),"*",Commodities!B$243)</f>
        <v>*</v>
      </c>
      <c r="C580" s="158" t="e">
        <f>CONCATENATE("XI",Commodities!$C$243)&amp;"P3"</f>
        <v>#REF!</v>
      </c>
      <c r="D580" s="158" t="str">
        <f>CONCATENATE("Delivery of Imported ",Commodities!$D$243)</f>
        <v>Delivery of Imported Low Sulfur Residual Fuel Oil to Electricity Sector</v>
      </c>
      <c r="E580" s="197" t="s">
        <v>196</v>
      </c>
      <c r="F580" s="197" t="s">
        <v>318</v>
      </c>
      <c r="G580" s="181"/>
      <c r="H580" s="158"/>
      <c r="I580" s="158"/>
    </row>
    <row r="581" spans="2:9">
      <c r="B581" s="158" t="str">
        <f>IF(OR(G$508="*",LEFT(Commodities!B$244,1)="*"),"*",Commodities!B$244)</f>
        <v>*</v>
      </c>
      <c r="C581" s="158" t="e">
        <f>CONCATENATE("XI",Commodities!$C$244)&amp;"P3"</f>
        <v>#REF!</v>
      </c>
      <c r="D581" s="158" t="str">
        <f>CONCATENATE("Delivery of Imported ",Commodities!$D$244)</f>
        <v>Delivery of Imported High Sulfur Residual Fuel Oil to Transportation Sector</v>
      </c>
      <c r="E581" s="197" t="s">
        <v>196</v>
      </c>
      <c r="F581" s="197" t="s">
        <v>318</v>
      </c>
      <c r="G581" s="181"/>
      <c r="H581" s="158"/>
      <c r="I581" s="158"/>
    </row>
    <row r="582" spans="2:9">
      <c r="B582" s="158" t="str">
        <f>IF(OR(G$508="*",LEFT(Commodities!B$245,1)="*"),"*",Commodities!B$245)</f>
        <v>*</v>
      </c>
      <c r="C582" s="158" t="e">
        <f>CONCATENATE("XI",Commodities!$C$245)&amp;"P3"</f>
        <v>#REF!</v>
      </c>
      <c r="D582" s="158" t="str">
        <f>CONCATENATE("Delivery of Imported ",Commodities!$D$245)</f>
        <v>Delivery of Imported High Sulfur Residual Fuel Oil to Electricity Sector</v>
      </c>
      <c r="E582" s="197" t="s">
        <v>196</v>
      </c>
      <c r="F582" s="197" t="s">
        <v>318</v>
      </c>
      <c r="G582" s="181"/>
      <c r="H582" s="158"/>
      <c r="I582" s="158"/>
    </row>
    <row r="583" spans="2:9">
      <c r="B583" s="158" t="str">
        <f>IF(OR(G$508="*",LEFT(Commodities!B$246,1)="*"),"*",Commodities!B$246)</f>
        <v>*</v>
      </c>
      <c r="C583" s="158" t="s">
        <v>1173</v>
      </c>
      <c r="D583" s="158" t="s">
        <v>386</v>
      </c>
      <c r="E583" s="197" t="s">
        <v>196</v>
      </c>
      <c r="F583" s="197" t="s">
        <v>318</v>
      </c>
      <c r="G583" s="181"/>
      <c r="H583" s="158"/>
      <c r="I583" s="158"/>
    </row>
    <row r="584" spans="2:9">
      <c r="B584" s="181" t="s">
        <v>391</v>
      </c>
      <c r="C584" s="158"/>
      <c r="D584" s="158"/>
      <c r="E584" s="197"/>
      <c r="F584" s="197"/>
      <c r="G584" s="181"/>
      <c r="H584" s="158"/>
      <c r="I584" s="158"/>
    </row>
    <row r="585" spans="2:9">
      <c r="B585" s="158" t="str">
        <f>IF(OR(LEFT(Commodities!B$222,1)="*",LEFT(Commodities!B$130,1)="*"),"*","R1,R2,R3,R4,R5,R6")</f>
        <v>R1,R2,R3,R4,R5,R6</v>
      </c>
      <c r="C585" s="158" t="e">
        <f>CONCATENATE("XP",Commodities!C$222,#REF!)</f>
        <v>#REF!</v>
      </c>
      <c r="D585" s="158" t="e">
        <f xml:space="preserve"> CONCATENATE("Delivery of Pipeline Traded ",Commodities!C$222," from ",#REF!)</f>
        <v>#REF!</v>
      </c>
      <c r="E585" s="197" t="s">
        <v>196</v>
      </c>
      <c r="F585" s="197" t="s">
        <v>318</v>
      </c>
      <c r="G585" s="181" t="s">
        <v>1153</v>
      </c>
      <c r="H585" s="175"/>
      <c r="I585" s="158"/>
    </row>
    <row r="586" spans="2:9">
      <c r="B586" s="158" t="str">
        <f>IF(OR(LEFT(Commodities!B$223,1)="*",LEFT(Commodities!B$131,1)="*"),"*","R1,R2,R3,R4,R5,R6")</f>
        <v>R1,R2,R3,R4,R5,R6</v>
      </c>
      <c r="C586" s="158" t="e">
        <f>CONCATENATE("XP",Commodities!C$223,#REF!)</f>
        <v>#REF!</v>
      </c>
      <c r="D586" s="158" t="e">
        <f xml:space="preserve"> CONCATENATE("Delivery of Pipeline Traded ",Commodities!C$223," from ",#REF!)</f>
        <v>#REF!</v>
      </c>
      <c r="E586" s="197" t="s">
        <v>196</v>
      </c>
      <c r="F586" s="197" t="s">
        <v>318</v>
      </c>
      <c r="G586" s="181"/>
      <c r="H586" s="175"/>
      <c r="I586" s="158"/>
    </row>
    <row r="587" spans="2:9">
      <c r="B587" s="158" t="str">
        <f>IF(OR(LEFT(Commodities!B$224,1)="*",LEFT(Commodities!B$132,1)="*"),"*","R1,R2,R3,R4,R5,R6")</f>
        <v>R1,R2,R3,R4,R5,R6</v>
      </c>
      <c r="C587" s="158" t="e">
        <f>CONCATENATE("XP",Commodities!C$224,#REF!)</f>
        <v>#REF!</v>
      </c>
      <c r="D587" s="158" t="e">
        <f xml:space="preserve"> CONCATENATE("Delivery of Pipeline Traded ",Commodities!C$224," from ",#REF!)</f>
        <v>#REF!</v>
      </c>
      <c r="E587" s="197" t="s">
        <v>196</v>
      </c>
      <c r="F587" s="197" t="s">
        <v>318</v>
      </c>
      <c r="G587" s="181"/>
      <c r="H587" s="175"/>
      <c r="I587" s="158"/>
    </row>
    <row r="588" spans="2:9">
      <c r="B588" s="158" t="str">
        <f>IF(OR(LEFT(Commodities!B$225,1)="*",LEFT(Commodities!B$132,1)="*"),"*","R1,R2,R3,R4,R5,R6")</f>
        <v>R1,R2,R3,R4,R5,R6</v>
      </c>
      <c r="C588" s="158" t="e">
        <f>CONCATENATE("XP",Commodities!C$225,#REF!)</f>
        <v>#REF!</v>
      </c>
      <c r="D588" s="158" t="e">
        <f xml:space="preserve"> CONCATENATE("Delivery of Pipeline Traded ",Commodities!C$225," from ",#REF!)</f>
        <v>#REF!</v>
      </c>
      <c r="E588" s="197" t="s">
        <v>196</v>
      </c>
      <c r="F588" s="197" t="s">
        <v>318</v>
      </c>
      <c r="G588" s="181"/>
      <c r="H588" s="175"/>
      <c r="I588" s="158"/>
    </row>
    <row r="589" spans="2:9">
      <c r="B589" s="158" t="str">
        <f>IF(OR(LEFT(Commodities!B$226,1)="*",LEFT(Commodities!B$132,1)="*"),"*","R1,R2,R3,R4,R5,R6")</f>
        <v>*</v>
      </c>
      <c r="C589" s="158" t="e">
        <f>CONCATENATE("XP",Commodities!C$226,#REF!)</f>
        <v>#REF!</v>
      </c>
      <c r="D589" s="158" t="e">
        <f xml:space="preserve"> CONCATENATE("Delivery of Pipeline Traded ",Commodities!C$226," from ",#REF!)</f>
        <v>#REF!</v>
      </c>
      <c r="E589" s="197" t="s">
        <v>196</v>
      </c>
      <c r="F589" s="197" t="s">
        <v>318</v>
      </c>
      <c r="G589" s="181"/>
      <c r="H589" s="175"/>
      <c r="I589" s="158"/>
    </row>
    <row r="590" spans="2:9">
      <c r="B590" s="158" t="str">
        <f>IF(OR(LEFT(Commodities!B$227,1)="*",LEFT(Commodities!B$132,1)="*"),"*","R1,R2,R3,R4,R5,R6")</f>
        <v>R1,R2,R3,R4,R5,R6</v>
      </c>
      <c r="C590" s="158" t="e">
        <f>CONCATENATE("XP",Commodities!C$227,#REF!)</f>
        <v>#REF!</v>
      </c>
      <c r="D590" s="158" t="e">
        <f xml:space="preserve"> CONCATENATE("Delivery of Pipeline Traded ",Commodities!C$227," from ",#REF!)</f>
        <v>#REF!</v>
      </c>
      <c r="E590" s="197" t="s">
        <v>196</v>
      </c>
      <c r="F590" s="197" t="s">
        <v>318</v>
      </c>
      <c r="G590" s="181"/>
      <c r="H590" s="175"/>
      <c r="I590" s="158"/>
    </row>
    <row r="591" spans="2:9">
      <c r="B591" s="158" t="str">
        <f>IF(OR(LEFT(Commodities!B$228,1)="*",LEFT(Commodities!B$133,1)="*"),"*","R1,R2,R3,R4,R5,R6")</f>
        <v>R1,R2,R3,R4,R5,R6</v>
      </c>
      <c r="C591" s="158" t="e">
        <f>CONCATENATE("XP",Commodities!C$228,#REF!)</f>
        <v>#REF!</v>
      </c>
      <c r="D591" s="158" t="e">
        <f xml:space="preserve"> CONCATENATE("Delivery of Pipeline Traded ",Commodities!C$228," from ",#REF!)</f>
        <v>#REF!</v>
      </c>
      <c r="E591" s="197" t="s">
        <v>196</v>
      </c>
      <c r="F591" s="197" t="s">
        <v>318</v>
      </c>
      <c r="G591" s="181"/>
      <c r="H591" s="175"/>
      <c r="I591" s="158"/>
    </row>
    <row r="592" spans="2:9">
      <c r="B592" s="158" t="str">
        <f>IF(OR(LEFT(Commodities!B$229,1)="*",LEFT(Commodities!B$134,1)="*"),"*","R1,R2,R3,R4,R5,R6")</f>
        <v>R1,R2,R3,R4,R5,R6</v>
      </c>
      <c r="C592" s="158" t="e">
        <f>CONCATENATE("XP",Commodities!C$229,#REF!)</f>
        <v>#REF!</v>
      </c>
      <c r="D592" s="158" t="e">
        <f xml:space="preserve"> CONCATENATE("Delivery of Pipeline Traded ",Commodities!C$229," from ",#REF!)</f>
        <v>#REF!</v>
      </c>
      <c r="E592" s="197" t="s">
        <v>196</v>
      </c>
      <c r="F592" s="197" t="s">
        <v>318</v>
      </c>
      <c r="G592" s="181"/>
      <c r="H592" s="175"/>
      <c r="I592" s="158"/>
    </row>
    <row r="593" spans="2:9">
      <c r="B593" s="158" t="str">
        <f>IF(OR(LEFT(Commodities!B$230,1)="*",LEFT(Commodities!B$135,1)="*"),"*","R1,R2,R3,R4,R5,R6")</f>
        <v>*</v>
      </c>
      <c r="C593" s="158" t="e">
        <f>CONCATENATE("XP",Commodities!C$230,#REF!)</f>
        <v>#REF!</v>
      </c>
      <c r="D593" s="158" t="e">
        <f xml:space="preserve"> CONCATENATE("Delivery of Pipeline Traded ",Commodities!C$230," from ",#REF!)</f>
        <v>#REF!</v>
      </c>
      <c r="E593" s="197" t="s">
        <v>196</v>
      </c>
      <c r="F593" s="197" t="s">
        <v>318</v>
      </c>
      <c r="G593" s="181"/>
      <c r="H593" s="175"/>
      <c r="I593" s="158"/>
    </row>
    <row r="594" spans="2:9">
      <c r="B594" s="158" t="str">
        <f>IF(OR(LEFT(Commodities!B$231,1)="*",LEFT(Commodities!B$136,1)="*"),"*","R1,R2,R3,R4,R5,R6")</f>
        <v>*</v>
      </c>
      <c r="C594" s="158" t="e">
        <f>CONCATENATE("XP",Commodities!C$231,#REF!)</f>
        <v>#REF!</v>
      </c>
      <c r="D594" s="158" t="e">
        <f xml:space="preserve"> CONCATENATE("Delivery of Pipeline Traded ",Commodities!C$231," from ",#REF!)</f>
        <v>#REF!</v>
      </c>
      <c r="E594" s="197" t="s">
        <v>196</v>
      </c>
      <c r="F594" s="197" t="s">
        <v>318</v>
      </c>
      <c r="G594" s="181"/>
      <c r="H594" s="175"/>
      <c r="I594" s="158"/>
    </row>
    <row r="595" spans="2:9">
      <c r="B595" s="158" t="str">
        <f>IF(OR(LEFT(Commodities!B$232,1)="*",LEFT(Commodities!B$136,1)="*"),"*","R1,R2,R3,R4,R5,R6")</f>
        <v>*</v>
      </c>
      <c r="C595" s="158" t="e">
        <f>CONCATENATE("XP",Commodities!C$232,#REF!)</f>
        <v>#REF!</v>
      </c>
      <c r="D595" s="158" t="e">
        <f xml:space="preserve"> CONCATENATE("Delivery of Pipeline Traded ",Commodities!C$232," from ",#REF!)</f>
        <v>#REF!</v>
      </c>
      <c r="E595" s="197" t="s">
        <v>196</v>
      </c>
      <c r="F595" s="197" t="s">
        <v>318</v>
      </c>
      <c r="G595" s="181"/>
      <c r="H595" s="175"/>
      <c r="I595" s="158"/>
    </row>
    <row r="596" spans="2:9">
      <c r="B596" s="158" t="str">
        <f>IF(OR(LEFT(Commodities!B$233,1)="*",LEFT(Commodities!B$136,1)="*"),"*","R1,R2,R3,R4,R5,R6")</f>
        <v>*</v>
      </c>
      <c r="C596" s="158" t="e">
        <f>CONCATENATE("XP",Commodities!C$233,#REF!)</f>
        <v>#REF!</v>
      </c>
      <c r="D596" s="158" t="e">
        <f xml:space="preserve"> CONCATENATE("Delivery of Pipeline Traded ",Commodities!C$233," from ",#REF!)</f>
        <v>#REF!</v>
      </c>
      <c r="E596" s="197" t="s">
        <v>196</v>
      </c>
      <c r="F596" s="197" t="s">
        <v>318</v>
      </c>
      <c r="G596" s="181"/>
      <c r="H596" s="175"/>
      <c r="I596" s="158"/>
    </row>
    <row r="597" spans="2:9">
      <c r="B597" s="158" t="str">
        <f>IF(OR(LEFT(Commodities!B$234,1)="*",LEFT(Commodities!B$137,1)="*"),"*","R1,R2,R3,R4,R5,R6")</f>
        <v>*</v>
      </c>
      <c r="C597" s="158" t="e">
        <f>CONCATENATE("XP",Commodities!C$234,#REF!)</f>
        <v>#REF!</v>
      </c>
      <c r="D597" s="158" t="e">
        <f xml:space="preserve"> CONCATENATE("Delivery of Pipeline Traded ",Commodities!C$234," from ",#REF!)</f>
        <v>#REF!</v>
      </c>
      <c r="E597" s="197" t="s">
        <v>196</v>
      </c>
      <c r="F597" s="197" t="s">
        <v>318</v>
      </c>
      <c r="G597" s="181"/>
      <c r="H597" s="175"/>
      <c r="I597" s="158"/>
    </row>
    <row r="598" spans="2:9">
      <c r="B598" s="158" t="str">
        <f>IF(OR(LEFT(Commodities!B$235,1)="*",LEFT(Commodities!B$137,1)="*"),"*","R1,R2,R3,R4,R5,R6")</f>
        <v>*</v>
      </c>
      <c r="C598" s="158" t="e">
        <f>CONCATENATE("XP",Commodities!C$235,#REF!)</f>
        <v>#REF!</v>
      </c>
      <c r="D598" s="158" t="e">
        <f xml:space="preserve"> CONCATENATE("Delivery of Pipeline Traded ",Commodities!C$235," from ",#REF!)</f>
        <v>#REF!</v>
      </c>
      <c r="E598" s="197" t="s">
        <v>196</v>
      </c>
      <c r="F598" s="197" t="s">
        <v>318</v>
      </c>
      <c r="G598" s="181"/>
      <c r="H598" s="175"/>
      <c r="I598" s="158"/>
    </row>
    <row r="599" spans="2:9">
      <c r="B599" s="158" t="str">
        <f>IF(OR(LEFT(Commodities!B$236,1)="*",LEFT(Commodities!B$137,1)="*"),"*","R1,R2,R3,R4,R5,R6")</f>
        <v>*</v>
      </c>
      <c r="C599" s="158" t="e">
        <f>CONCATENATE("XP",Commodities!C$236,#REF!)</f>
        <v>#REF!</v>
      </c>
      <c r="D599" s="158" t="e">
        <f xml:space="preserve"> CONCATENATE("Delivery of Pipeline Traded ",Commodities!C$236," from ",#REF!)</f>
        <v>#REF!</v>
      </c>
      <c r="E599" s="197" t="s">
        <v>196</v>
      </c>
      <c r="F599" s="197" t="s">
        <v>318</v>
      </c>
      <c r="G599" s="181"/>
      <c r="H599" s="175"/>
      <c r="I599" s="158"/>
    </row>
    <row r="600" spans="2:9">
      <c r="B600" s="158" t="str">
        <f>IF(OR(LEFT(Commodities!B$237,1)="*",LEFT(Commodities!B$137,1)="*"),"*","R1,R2,R3,R4,R5,R6")</f>
        <v>*</v>
      </c>
      <c r="C600" s="158" t="e">
        <f>CONCATENATE("XP",Commodities!C$237,#REF!)</f>
        <v>#REF!</v>
      </c>
      <c r="D600" s="158" t="e">
        <f xml:space="preserve"> CONCATENATE("Delivery of Pipeline Traded ",Commodities!C$237," from ",#REF!)</f>
        <v>#REF!</v>
      </c>
      <c r="E600" s="197" t="s">
        <v>196</v>
      </c>
      <c r="F600" s="197" t="s">
        <v>318</v>
      </c>
      <c r="G600" s="181"/>
      <c r="H600" s="175"/>
      <c r="I600" s="158"/>
    </row>
    <row r="601" spans="2:9">
      <c r="B601" s="158" t="str">
        <f>IF(OR(LEFT(Commodities!B$238,1)="*",LEFT(Commodities!B$138,1)="*"),"*","R1,R2,R3,R4,R5,R6")</f>
        <v>*</v>
      </c>
      <c r="C601" s="158" t="e">
        <f>CONCATENATE("XP",Commodities!C$238,#REF!)</f>
        <v>#REF!</v>
      </c>
      <c r="D601" s="158" t="e">
        <f xml:space="preserve"> CONCATENATE("Delivery of Pipeline Traded ",Commodities!C$238," from ",#REF!)</f>
        <v>#REF!</v>
      </c>
      <c r="E601" s="197" t="s">
        <v>196</v>
      </c>
      <c r="F601" s="197" t="s">
        <v>318</v>
      </c>
      <c r="G601" s="181"/>
      <c r="H601" s="175"/>
      <c r="I601" s="158"/>
    </row>
    <row r="602" spans="2:9">
      <c r="B602" s="158" t="str">
        <f>IF(OR(LEFT(Commodities!B$239,1)="*",LEFT(Commodities!B$139,1)="*"),"*","R1,R2,R3,R4,R5,R6")</f>
        <v>*</v>
      </c>
      <c r="C602" s="158" t="e">
        <f>CONCATENATE("XP",Commodities!C$239,#REF!)</f>
        <v>#REF!</v>
      </c>
      <c r="D602" s="158" t="e">
        <f xml:space="preserve"> CONCATENATE("Delivery of Pipeline Traded ",Commodities!C$239," from ",#REF!)</f>
        <v>#REF!</v>
      </c>
      <c r="E602" s="197" t="s">
        <v>196</v>
      </c>
      <c r="F602" s="197" t="s">
        <v>318</v>
      </c>
      <c r="G602" s="181"/>
      <c r="H602" s="175"/>
      <c r="I602" s="158"/>
    </row>
    <row r="603" spans="2:9">
      <c r="B603" s="158" t="str">
        <f>IF(OR(LEFT(Commodities!B$240,1)="*",LEFT(Commodities!B$141,1)="*"),"*","R1,R2,R3,R4,R5,R6")</f>
        <v>*</v>
      </c>
      <c r="C603" s="158" t="e">
        <f>CONCATENATE("XP",Commodities!C$240,#REF!)</f>
        <v>#REF!</v>
      </c>
      <c r="D603" s="158" t="e">
        <f xml:space="preserve"> CONCATENATE("Delivery of Pipeline Traded ",Commodities!C$240," from ",#REF!)</f>
        <v>#REF!</v>
      </c>
      <c r="E603" s="197" t="s">
        <v>196</v>
      </c>
      <c r="F603" s="197" t="s">
        <v>318</v>
      </c>
      <c r="G603" s="181"/>
      <c r="H603" s="175"/>
      <c r="I603" s="158"/>
    </row>
    <row r="604" spans="2:9">
      <c r="B604" s="158" t="str">
        <f>IF(OR(LEFT(Commodities!B$241,1)="*",LEFT(Commodities!B$141,1)="*"),"*","R1,R2,R3,R4,R5,R6")</f>
        <v>*</v>
      </c>
      <c r="C604" s="158" t="e">
        <f>CONCATENATE("XP",Commodities!C$241,#REF!)</f>
        <v>#REF!</v>
      </c>
      <c r="D604" s="158" t="e">
        <f xml:space="preserve"> CONCATENATE("Delivery of Pipeline Traded ",Commodities!C$241," from ",#REF!)</f>
        <v>#REF!</v>
      </c>
      <c r="E604" s="197" t="s">
        <v>196</v>
      </c>
      <c r="F604" s="197" t="s">
        <v>318</v>
      </c>
      <c r="G604" s="181"/>
      <c r="H604" s="175"/>
      <c r="I604" s="158"/>
    </row>
    <row r="605" spans="2:9">
      <c r="B605" s="158" t="str">
        <f>IF(OR(LEFT(Commodities!B$242,1)="*",LEFT(Commodities!B$141,1)="*"),"*","R1,R2,R3,R4,R5,R6")</f>
        <v>R1,R2,R3,R4,R5,R6</v>
      </c>
      <c r="C605" s="158" t="e">
        <f>CONCATENATE("XP",Commodities!C$242,#REF!)</f>
        <v>#REF!</v>
      </c>
      <c r="D605" s="158" t="e">
        <f xml:space="preserve"> CONCATENATE("Delivery of Pipeline Traded ",Commodities!C$242," from ",#REF!)</f>
        <v>#REF!</v>
      </c>
      <c r="E605" s="197" t="s">
        <v>196</v>
      </c>
      <c r="F605" s="197" t="s">
        <v>318</v>
      </c>
      <c r="G605" s="181"/>
      <c r="H605" s="175"/>
      <c r="I605" s="158"/>
    </row>
    <row r="606" spans="2:9">
      <c r="B606" s="158" t="str">
        <f>IF(OR(LEFT(Commodities!B$243,1)="*",LEFT(Commodities!B$141,1)="*"),"*","R1,R2,R3,R4,R5,R6")</f>
        <v>*</v>
      </c>
      <c r="C606" s="158" t="e">
        <f>CONCATENATE("XP",Commodities!C$243,#REF!)</f>
        <v>#REF!</v>
      </c>
      <c r="D606" s="158" t="e">
        <f xml:space="preserve"> CONCATENATE("Delivery of Pipeline Traded ",Commodities!C$243," from ",#REF!)</f>
        <v>#REF!</v>
      </c>
      <c r="E606" s="197" t="s">
        <v>196</v>
      </c>
      <c r="F606" s="197" t="s">
        <v>318</v>
      </c>
      <c r="G606" s="181"/>
      <c r="H606" s="175"/>
      <c r="I606" s="158"/>
    </row>
    <row r="607" spans="2:9">
      <c r="B607" s="158" t="str">
        <f>IF(OR(LEFT(Commodities!B$244,1)="*",LEFT(Commodities!B$140,1)="*"),"*","R1,R2,R3,R4,R5,R6")</f>
        <v>*</v>
      </c>
      <c r="C607" s="158" t="e">
        <f>CONCATENATE("XP",Commodities!C$244,#REF!)</f>
        <v>#REF!</v>
      </c>
      <c r="D607" s="158" t="e">
        <f xml:space="preserve"> CONCATENATE("Delivery of Pipeline Traded ",Commodities!C$244," from ",#REF!)</f>
        <v>#REF!</v>
      </c>
      <c r="E607" s="197" t="s">
        <v>196</v>
      </c>
      <c r="F607" s="197" t="s">
        <v>318</v>
      </c>
      <c r="G607" s="181"/>
      <c r="H607" s="175"/>
      <c r="I607" s="158"/>
    </row>
    <row r="608" spans="2:9">
      <c r="B608" s="158" t="str">
        <f>IF(OR(LEFT(Commodities!B$245,1)="*",LEFT(Commodities!B$140,1)="*"),"*","R1,R2,R3,R4,R5,R6")</f>
        <v>*</v>
      </c>
      <c r="C608" s="158" t="e">
        <f>CONCATENATE("XP",Commodities!C$245,#REF!)</f>
        <v>#REF!</v>
      </c>
      <c r="D608" s="158" t="e">
        <f xml:space="preserve"> CONCATENATE("Delivery of Pipeline Traded ",Commodities!C$245," from ",#REF!)</f>
        <v>#REF!</v>
      </c>
      <c r="E608" s="197" t="s">
        <v>196</v>
      </c>
      <c r="F608" s="197" t="s">
        <v>318</v>
      </c>
      <c r="G608" s="181"/>
      <c r="H608" s="175"/>
      <c r="I608" s="158"/>
    </row>
    <row r="609" spans="2:9">
      <c r="B609" s="158" t="str">
        <f>IF(OR(LEFT(Commodities!B$246,1)="*",LEFT(Commodities!B$142,1)="*"),"*","R1,R2,R3,R4,R5,R6")</f>
        <v>*</v>
      </c>
      <c r="C609" s="158" t="e">
        <f>CONCATENATE("XP",Commodities!C$246,#REF!)</f>
        <v>#REF!</v>
      </c>
      <c r="D609" s="158" t="e">
        <f xml:space="preserve"> CONCATENATE("Delivery of Pipeline Traded ",Commodities!C$246," from ",#REF!)</f>
        <v>#REF!</v>
      </c>
      <c r="E609" s="197" t="s">
        <v>196</v>
      </c>
      <c r="F609" s="197" t="s">
        <v>318</v>
      </c>
      <c r="G609" s="181"/>
      <c r="H609" s="175"/>
      <c r="I609" s="158"/>
    </row>
    <row r="610" spans="2:9">
      <c r="B610" s="158" t="str">
        <f>IF(LEFT(Commodities!B143,1)="*","*","R4,R6")</f>
        <v>*</v>
      </c>
      <c r="C610" s="158" t="e">
        <f>CONCATENATE("XP",Commodities!C$222,#REF!)</f>
        <v>#REF!</v>
      </c>
      <c r="D610" s="158" t="e">
        <f xml:space="preserve"> CONCATENATE("Delivery of Pipeline Traded ",Commodities!C$222," from ",#REF!)</f>
        <v>#REF!</v>
      </c>
      <c r="E610" s="197" t="s">
        <v>196</v>
      </c>
      <c r="F610" s="197" t="s">
        <v>318</v>
      </c>
      <c r="G610" s="181"/>
      <c r="H610" s="175"/>
      <c r="I610" s="158"/>
    </row>
    <row r="611" spans="2:9">
      <c r="B611" s="158" t="str">
        <f>IF(LEFT(Commodities!B144,1)="*","*","R4,R6")</f>
        <v>*</v>
      </c>
      <c r="C611" s="158" t="e">
        <f>CONCATENATE("XP",Commodities!C$223,#REF!)</f>
        <v>#REF!</v>
      </c>
      <c r="D611" s="158" t="e">
        <f xml:space="preserve"> CONCATENATE("Delivery of Pipeline Traded ",Commodities!C$223," from ",#REF!)</f>
        <v>#REF!</v>
      </c>
      <c r="E611" s="197" t="s">
        <v>196</v>
      </c>
      <c r="F611" s="197" t="s">
        <v>318</v>
      </c>
      <c r="G611" s="181"/>
      <c r="H611" s="175"/>
      <c r="I611" s="158"/>
    </row>
    <row r="612" spans="2:9">
      <c r="B612" s="158" t="str">
        <f>IF(LEFT(Commodities!B$145,1)="*","*","R4,R6")</f>
        <v>*</v>
      </c>
      <c r="C612" s="158" t="e">
        <f>CONCATENATE("XP",Commodities!C$224,#REF!)</f>
        <v>#REF!</v>
      </c>
      <c r="D612" s="158" t="e">
        <f xml:space="preserve"> CONCATENATE("Delivery of Pipeline Traded ",Commodities!C$224," from ",#REF!)</f>
        <v>#REF!</v>
      </c>
      <c r="E612" s="197" t="s">
        <v>196</v>
      </c>
      <c r="F612" s="197" t="s">
        <v>318</v>
      </c>
      <c r="G612" s="181"/>
      <c r="H612" s="175"/>
      <c r="I612" s="158"/>
    </row>
    <row r="613" spans="2:9">
      <c r="B613" s="158" t="str">
        <f>IF(LEFT(Commodities!B$145,1)="*","*","R4,R6")</f>
        <v>*</v>
      </c>
      <c r="C613" s="158" t="e">
        <f>CONCATENATE("XP",Commodities!C$225,#REF!)</f>
        <v>#REF!</v>
      </c>
      <c r="D613" s="158" t="e">
        <f xml:space="preserve"> CONCATENATE("Delivery of Pipeline Traded ",Commodities!C$225," from ",#REF!)</f>
        <v>#REF!</v>
      </c>
      <c r="E613" s="197" t="s">
        <v>196</v>
      </c>
      <c r="F613" s="197" t="s">
        <v>318</v>
      </c>
      <c r="G613" s="181"/>
      <c r="H613" s="175"/>
      <c r="I613" s="158"/>
    </row>
    <row r="614" spans="2:9">
      <c r="B614" s="158" t="str">
        <f>IF(LEFT(Commodities!B$145,1)="*","*","R4,R6")</f>
        <v>*</v>
      </c>
      <c r="C614" s="158" t="e">
        <f>CONCATENATE("XP",Commodities!C$226,#REF!)</f>
        <v>#REF!</v>
      </c>
      <c r="D614" s="158" t="e">
        <f xml:space="preserve"> CONCATENATE("Delivery of Pipeline Traded ",Commodities!C$226," from ",#REF!)</f>
        <v>#REF!</v>
      </c>
      <c r="E614" s="197" t="s">
        <v>196</v>
      </c>
      <c r="F614" s="197" t="s">
        <v>318</v>
      </c>
      <c r="G614" s="181"/>
      <c r="H614" s="175"/>
      <c r="I614" s="158"/>
    </row>
    <row r="615" spans="2:9">
      <c r="B615" s="158" t="str">
        <f>IF(LEFT(Commodities!B$145,1)="*","*","R4,R6")</f>
        <v>*</v>
      </c>
      <c r="C615" s="158" t="e">
        <f>CONCATENATE("XP",Commodities!C$227,#REF!)</f>
        <v>#REF!</v>
      </c>
      <c r="D615" s="158" t="e">
        <f xml:space="preserve"> CONCATENATE("Delivery of Pipeline Traded ",Commodities!C$227," from ",#REF!)</f>
        <v>#REF!</v>
      </c>
      <c r="E615" s="197" t="s">
        <v>196</v>
      </c>
      <c r="F615" s="197" t="s">
        <v>318</v>
      </c>
      <c r="G615" s="181"/>
      <c r="H615" s="175"/>
      <c r="I615" s="158"/>
    </row>
    <row r="616" spans="2:9">
      <c r="B616" s="158" t="str">
        <f>IF(OR(LEFT(Commodities!B$146,1)="*",LEFT(Commodities!B$51,1)="*"),"*","R4,R6")</f>
        <v>*</v>
      </c>
      <c r="C616" s="158" t="e">
        <f>CONCATENATE("XP",Commodities!C$228,#REF!)</f>
        <v>#REF!</v>
      </c>
      <c r="D616" s="158" t="e">
        <f xml:space="preserve"> CONCATENATE("Delivery of Pipeline Traded ",Commodities!C$228," from ",#REF!)</f>
        <v>#REF!</v>
      </c>
      <c r="E616" s="197" t="s">
        <v>196</v>
      </c>
      <c r="F616" s="197" t="s">
        <v>318</v>
      </c>
      <c r="G616" s="181"/>
      <c r="H616" s="175"/>
      <c r="I616" s="158"/>
    </row>
    <row r="617" spans="2:9">
      <c r="B617" s="158" t="str">
        <f>IF(OR(LEFT(Commodities!B$147,1)="*",LEFT(Commodities!B$52,1)="*"),"*","R4,R6")</f>
        <v>*</v>
      </c>
      <c r="C617" s="158" t="e">
        <f>CONCATENATE("XP",Commodities!C$229,#REF!)</f>
        <v>#REF!</v>
      </c>
      <c r="D617" s="158" t="e">
        <f xml:space="preserve"> CONCATENATE("Delivery of Pipeline Traded ",Commodities!C$229," from ",#REF!)</f>
        <v>#REF!</v>
      </c>
      <c r="E617" s="197" t="s">
        <v>196</v>
      </c>
      <c r="F617" s="197" t="s">
        <v>318</v>
      </c>
      <c r="G617" s="181"/>
      <c r="H617" s="175"/>
      <c r="I617" s="158"/>
    </row>
    <row r="618" spans="2:9">
      <c r="B618" s="158" t="str">
        <f>IF(LEFT(Commodities!B$53,1)="*","*","R4,R6")</f>
        <v>*</v>
      </c>
      <c r="C618" s="158" t="e">
        <f>CONCATENATE("XP",Commodities!C$230,#REF!)</f>
        <v>#REF!</v>
      </c>
      <c r="D618" s="158" t="e">
        <f xml:space="preserve"> CONCATENATE("Delivery of Pipeline Traded ",Commodities!C$230," from ",#REF!)</f>
        <v>#REF!</v>
      </c>
      <c r="E618" s="197" t="s">
        <v>196</v>
      </c>
      <c r="F618" s="197" t="s">
        <v>318</v>
      </c>
      <c r="G618" s="181"/>
      <c r="H618" s="175"/>
      <c r="I618" s="158"/>
    </row>
    <row r="619" spans="2:9">
      <c r="B619" s="158" t="str">
        <f>IF(LEFT(Commodities!B$231,1)="*","*","R4,R6")</f>
        <v>*</v>
      </c>
      <c r="C619" s="158" t="e">
        <f>CONCATENATE("XP",Commodities!C$231,#REF!)</f>
        <v>#REF!</v>
      </c>
      <c r="D619" s="158" t="e">
        <f xml:space="preserve"> CONCATENATE("Delivery of Pipeline Traded ",Commodities!C$231," from ",#REF!)</f>
        <v>#REF!</v>
      </c>
      <c r="E619" s="197" t="s">
        <v>196</v>
      </c>
      <c r="F619" s="197" t="s">
        <v>318</v>
      </c>
      <c r="G619" s="181"/>
      <c r="H619" s="175"/>
      <c r="I619" s="158"/>
    </row>
    <row r="620" spans="2:9">
      <c r="B620" s="158" t="str">
        <f>IF(LEFT(Commodities!B$232,1)="*","*","R4,R6")</f>
        <v>*</v>
      </c>
      <c r="C620" s="158" t="e">
        <f>CONCATENATE("XP",Commodities!C$232,#REF!)</f>
        <v>#REF!</v>
      </c>
      <c r="D620" s="158" t="e">
        <f xml:space="preserve"> CONCATENATE("Delivery of Pipeline Traded ",Commodities!C$232," from ",#REF!)</f>
        <v>#REF!</v>
      </c>
      <c r="E620" s="197" t="s">
        <v>196</v>
      </c>
      <c r="F620" s="197" t="s">
        <v>318</v>
      </c>
      <c r="G620" s="181"/>
      <c r="H620" s="175"/>
      <c r="I620" s="158"/>
    </row>
    <row r="621" spans="2:9">
      <c r="B621" s="158" t="str">
        <f>IF(LEFT(Commodities!B$233,1)="*","*","R4,R6")</f>
        <v>*</v>
      </c>
      <c r="C621" s="158" t="e">
        <f>CONCATENATE("XP",Commodities!C$233,#REF!)</f>
        <v>#REF!</v>
      </c>
      <c r="D621" s="158" t="e">
        <f xml:space="preserve"> CONCATENATE("Delivery of Pipeline Traded ",Commodities!C$233," from ",#REF!)</f>
        <v>#REF!</v>
      </c>
      <c r="E621" s="197" t="s">
        <v>196</v>
      </c>
      <c r="F621" s="197" t="s">
        <v>318</v>
      </c>
      <c r="G621" s="181"/>
      <c r="H621" s="175"/>
      <c r="I621" s="158"/>
    </row>
    <row r="622" spans="2:9">
      <c r="B622" s="158" t="str">
        <f>IF(LEFT(Commodities!B$234,1)="*","*","R4,R6")</f>
        <v>*</v>
      </c>
      <c r="C622" s="158" t="e">
        <f>CONCATENATE("XP",Commodities!C$234,#REF!)</f>
        <v>#REF!</v>
      </c>
      <c r="D622" s="158" t="e">
        <f xml:space="preserve"> CONCATENATE("Delivery of Pipeline Traded ",Commodities!C$234," from ",#REF!)</f>
        <v>#REF!</v>
      </c>
      <c r="E622" s="197" t="s">
        <v>196</v>
      </c>
      <c r="F622" s="197" t="s">
        <v>318</v>
      </c>
      <c r="G622" s="181"/>
      <c r="H622" s="175"/>
      <c r="I622" s="158"/>
    </row>
    <row r="623" spans="2:9">
      <c r="B623" s="158" t="str">
        <f>IF(LEFT(Commodities!B$235,1)="*","*","R4,R6")</f>
        <v>*</v>
      </c>
      <c r="C623" s="158" t="e">
        <f>CONCATENATE("XP",Commodities!C$235,#REF!)</f>
        <v>#REF!</v>
      </c>
      <c r="D623" s="158" t="e">
        <f xml:space="preserve"> CONCATENATE("Delivery of Pipeline Traded ",Commodities!C$235," from ",#REF!)</f>
        <v>#REF!</v>
      </c>
      <c r="E623" s="197" t="s">
        <v>196</v>
      </c>
      <c r="F623" s="197" t="s">
        <v>318</v>
      </c>
      <c r="G623" s="181"/>
      <c r="H623" s="175"/>
      <c r="I623" s="158"/>
    </row>
    <row r="624" spans="2:9">
      <c r="B624" s="158" t="str">
        <f>IF(LEFT(Commodities!B$236,1)="*","*","R4,R6")</f>
        <v>*</v>
      </c>
      <c r="C624" s="158" t="e">
        <f>CONCATENATE("XP",Commodities!C$236,#REF!)</f>
        <v>#REF!</v>
      </c>
      <c r="D624" s="158" t="e">
        <f xml:space="preserve"> CONCATENATE("Delivery of Pipeline Traded ",Commodities!C$236," from ",#REF!)</f>
        <v>#REF!</v>
      </c>
      <c r="E624" s="197" t="s">
        <v>196</v>
      </c>
      <c r="F624" s="197" t="s">
        <v>318</v>
      </c>
      <c r="G624" s="181"/>
      <c r="H624" s="175"/>
      <c r="I624" s="158"/>
    </row>
    <row r="625" spans="2:9">
      <c r="B625" s="158" t="str">
        <f>IF(LEFT(Commodities!B$237,1)="*","*","R4,R6")</f>
        <v>*</v>
      </c>
      <c r="C625" s="158" t="e">
        <f>CONCATENATE("XP",Commodities!C$237,#REF!)</f>
        <v>#REF!</v>
      </c>
      <c r="D625" s="158" t="e">
        <f xml:space="preserve"> CONCATENATE("Delivery of Pipeline Traded ",Commodities!C$237," from ",#REF!)</f>
        <v>#REF!</v>
      </c>
      <c r="E625" s="197" t="s">
        <v>196</v>
      </c>
      <c r="F625" s="197" t="s">
        <v>318</v>
      </c>
      <c r="G625" s="181"/>
      <c r="H625" s="175"/>
      <c r="I625" s="158"/>
    </row>
    <row r="626" spans="2:9">
      <c r="B626" s="158" t="str">
        <f>IF(LEFT(Commodities!B$238,1)="*","*","R4,R6")</f>
        <v>*</v>
      </c>
      <c r="C626" s="158" t="e">
        <f>CONCATENATE("XP",Commodities!C$238,#REF!)</f>
        <v>#REF!</v>
      </c>
      <c r="D626" s="158" t="e">
        <f xml:space="preserve"> CONCATENATE("Delivery of Pipeline Traded ",Commodities!C$238," from ",#REF!)</f>
        <v>#REF!</v>
      </c>
      <c r="E626" s="197" t="s">
        <v>196</v>
      </c>
      <c r="F626" s="197" t="s">
        <v>318</v>
      </c>
      <c r="G626" s="181"/>
      <c r="H626" s="175"/>
      <c r="I626" s="158"/>
    </row>
    <row r="627" spans="2:9">
      <c r="B627" s="158" t="str">
        <f>IF(LEFT(Commodities!B$239,1)="*","*","R4,R6")</f>
        <v>*</v>
      </c>
      <c r="C627" s="158" t="e">
        <f>CONCATENATE("XP",Commodities!C$239,#REF!)</f>
        <v>#REF!</v>
      </c>
      <c r="D627" s="158" t="e">
        <f xml:space="preserve"> CONCATENATE("Delivery of Pipeline Traded ",Commodities!C$239," from ",#REF!)</f>
        <v>#REF!</v>
      </c>
      <c r="E627" s="197" t="s">
        <v>196</v>
      </c>
      <c r="F627" s="197" t="s">
        <v>318</v>
      </c>
      <c r="G627" s="181"/>
      <c r="H627" s="175"/>
      <c r="I627" s="158"/>
    </row>
    <row r="628" spans="2:9">
      <c r="B628" s="158" t="str">
        <f>IF(LEFT(Commodities!B$154,1)="*","*","R4,R6")</f>
        <v>*</v>
      </c>
      <c r="C628" s="158" t="e">
        <f>CONCATENATE("XP",Commodities!C$240,#REF!)</f>
        <v>#REF!</v>
      </c>
      <c r="D628" s="158" t="e">
        <f xml:space="preserve"> CONCATENATE("Delivery of Pipeline Traded ",Commodities!C$240," from ",#REF!)</f>
        <v>#REF!</v>
      </c>
      <c r="E628" s="197" t="s">
        <v>196</v>
      </c>
      <c r="F628" s="197" t="s">
        <v>318</v>
      </c>
      <c r="G628" s="181"/>
      <c r="H628" s="175"/>
      <c r="I628" s="158"/>
    </row>
    <row r="629" spans="2:9">
      <c r="B629" s="158" t="str">
        <f>IF(LEFT(Commodities!B$154,1)="*","*","R4,R6")</f>
        <v>*</v>
      </c>
      <c r="C629" s="158" t="e">
        <f>CONCATENATE("XP",Commodities!C$241,#REF!)</f>
        <v>#REF!</v>
      </c>
      <c r="D629" s="158" t="e">
        <f xml:space="preserve"> CONCATENATE("Delivery of Pipeline Traded ",Commodities!C$241," from ",#REF!)</f>
        <v>#REF!</v>
      </c>
      <c r="E629" s="197" t="s">
        <v>196</v>
      </c>
      <c r="F629" s="197" t="s">
        <v>318</v>
      </c>
      <c r="G629" s="181"/>
      <c r="H629" s="175"/>
      <c r="I629" s="158"/>
    </row>
    <row r="630" spans="2:9">
      <c r="B630" s="158" t="str">
        <f>IF(LEFT(Commodities!B$154,1)="*","*","R4,R6")</f>
        <v>*</v>
      </c>
      <c r="C630" s="158" t="e">
        <f>CONCATENATE("XP",Commodities!C$242,#REF!)</f>
        <v>#REF!</v>
      </c>
      <c r="D630" s="158" t="e">
        <f xml:space="preserve"> CONCATENATE("Delivery of Pipeline Traded ",Commodities!C$242," from ",#REF!)</f>
        <v>#REF!</v>
      </c>
      <c r="E630" s="197" t="s">
        <v>196</v>
      </c>
      <c r="F630" s="197" t="s">
        <v>318</v>
      </c>
      <c r="G630" s="181"/>
      <c r="H630" s="175"/>
      <c r="I630" s="158"/>
    </row>
    <row r="631" spans="2:9">
      <c r="B631" s="158" t="str">
        <f>IF(LEFT(Commodities!B$154,1)="*","*","R4,R6")</f>
        <v>*</v>
      </c>
      <c r="C631" s="158" t="e">
        <f>CONCATENATE("XP",Commodities!C$243,#REF!)</f>
        <v>#REF!</v>
      </c>
      <c r="D631" s="158" t="e">
        <f xml:space="preserve"> CONCATENATE("Delivery of Pipeline Traded ",Commodities!C$243," from ",#REF!)</f>
        <v>#REF!</v>
      </c>
      <c r="E631" s="197" t="s">
        <v>196</v>
      </c>
      <c r="F631" s="197" t="s">
        <v>318</v>
      </c>
      <c r="G631" s="181"/>
      <c r="H631" s="175"/>
      <c r="I631" s="158"/>
    </row>
    <row r="632" spans="2:9">
      <c r="B632" s="158" t="str">
        <f>IF(LEFT(Commodities!B$244,1)="*","*","R4,R6")</f>
        <v>*</v>
      </c>
      <c r="C632" s="158" t="e">
        <f>CONCATENATE("XP",Commodities!C$244,#REF!)</f>
        <v>#REF!</v>
      </c>
      <c r="D632" s="158" t="e">
        <f xml:space="preserve"> CONCATENATE("Delivery of Pipeline Traded ",Commodities!C$244," from ",#REF!)</f>
        <v>#REF!</v>
      </c>
      <c r="E632" s="197" t="s">
        <v>196</v>
      </c>
      <c r="F632" s="197" t="s">
        <v>318</v>
      </c>
      <c r="G632" s="181"/>
      <c r="H632" s="175"/>
      <c r="I632" s="158"/>
    </row>
    <row r="633" spans="2:9">
      <c r="B633" s="158" t="str">
        <f>IF(LEFT(Commodities!B$245,1)="*","*","R4,R6")</f>
        <v>*</v>
      </c>
      <c r="C633" s="158" t="e">
        <f>CONCATENATE("XP",Commodities!C$245,#REF!)</f>
        <v>#REF!</v>
      </c>
      <c r="D633" s="158" t="e">
        <f xml:space="preserve"> CONCATENATE("Delivery of Pipeline Traded ",Commodities!C$245," from ",#REF!)</f>
        <v>#REF!</v>
      </c>
      <c r="E633" s="197" t="s">
        <v>196</v>
      </c>
      <c r="F633" s="197" t="s">
        <v>318</v>
      </c>
      <c r="G633" s="181"/>
      <c r="H633" s="175"/>
      <c r="I633" s="158"/>
    </row>
    <row r="634" spans="2:9">
      <c r="B634" s="158" t="str">
        <f>IF(LEFT(Commodities!B$246,1)="*","*","R4,R6")</f>
        <v>*</v>
      </c>
      <c r="C634" s="158" t="e">
        <f>CONCATENATE("XP",Commodities!C$246,#REF!)</f>
        <v>#REF!</v>
      </c>
      <c r="D634" s="158" t="e">
        <f xml:space="preserve"> CONCATENATE("Delivery of Pipeline Traded ",Commodities!C$246," from ",#REF!)</f>
        <v>#REF!</v>
      </c>
      <c r="E634" s="197" t="s">
        <v>196</v>
      </c>
      <c r="F634" s="197" t="s">
        <v>318</v>
      </c>
      <c r="G634" s="181"/>
      <c r="H634" s="175"/>
      <c r="I634" s="158"/>
    </row>
    <row r="635" spans="2:9">
      <c r="B635" s="158" t="str">
        <f>IF(OR(LEFT(Commodities!B156,1)="*",LEFT(Commodities!B$48,1)="*"),"*","R2,R3,R5,R6")</f>
        <v>*</v>
      </c>
      <c r="C635" s="158" t="e">
        <f>CONCATENATE("XP",Commodities!C222,#REF!)</f>
        <v>#REF!</v>
      </c>
      <c r="D635" s="158" t="e">
        <f xml:space="preserve"> CONCATENATE("Delivery of Pipeline Traded ",Commodities!C222," from ",#REF!)</f>
        <v>#REF!</v>
      </c>
      <c r="E635" s="197" t="s">
        <v>196</v>
      </c>
      <c r="F635" s="197" t="s">
        <v>318</v>
      </c>
      <c r="G635" s="181"/>
      <c r="H635" s="158"/>
      <c r="I635" s="158"/>
    </row>
    <row r="636" spans="2:9">
      <c r="B636" s="158" t="str">
        <f>IF(OR(LEFT(Commodities!B157,1)="*",LEFT(Commodities!B$49,1)="*"),"*","R2,R3,R5,R6")</f>
        <v>*</v>
      </c>
      <c r="C636" s="158" t="e">
        <f>CONCATENATE("XP",Commodities!C223,#REF!)</f>
        <v>#REF!</v>
      </c>
      <c r="D636" s="158" t="e">
        <f xml:space="preserve"> CONCATENATE("Delivery of Pipeline Traded ",Commodities!C223," from ",#REF!)</f>
        <v>#REF!</v>
      </c>
      <c r="E636" s="197" t="s">
        <v>196</v>
      </c>
      <c r="F636" s="197" t="s">
        <v>318</v>
      </c>
      <c r="G636" s="181"/>
      <c r="H636" s="158"/>
      <c r="I636" s="158"/>
    </row>
    <row r="637" spans="2:9">
      <c r="B637" s="158" t="str">
        <f>IF(LEFT(Commodities!B$156,1)="*","*","R2,R3,R5,R6")</f>
        <v>*</v>
      </c>
      <c r="C637" s="158" t="e">
        <f>CONCATENATE("XP",Commodities!C224,#REF!)</f>
        <v>#REF!</v>
      </c>
      <c r="D637" s="158" t="e">
        <f xml:space="preserve"> CONCATENATE("Delivery of Pipeline Traded ",Commodities!C224," from ",#REF!)</f>
        <v>#REF!</v>
      </c>
      <c r="E637" s="197" t="s">
        <v>196</v>
      </c>
      <c r="F637" s="197" t="s">
        <v>318</v>
      </c>
      <c r="G637" s="181"/>
      <c r="H637" s="158"/>
      <c r="I637" s="158"/>
    </row>
    <row r="638" spans="2:9">
      <c r="B638" s="158" t="str">
        <f>IF(LEFT(Commodities!B$156,1)="*","*","R2,R3,R5,R6")</f>
        <v>*</v>
      </c>
      <c r="C638" s="158" t="e">
        <f>CONCATENATE("XP",Commodities!C225,#REF!)</f>
        <v>#REF!</v>
      </c>
      <c r="D638" s="158" t="e">
        <f xml:space="preserve"> CONCATENATE("Delivery of Pipeline Traded ",Commodities!C225," from ",#REF!)</f>
        <v>#REF!</v>
      </c>
      <c r="E638" s="197" t="s">
        <v>196</v>
      </c>
      <c r="F638" s="197" t="s">
        <v>318</v>
      </c>
      <c r="G638" s="181"/>
      <c r="H638" s="158"/>
      <c r="I638" s="158"/>
    </row>
    <row r="639" spans="2:9">
      <c r="B639" s="158" t="str">
        <f>IF(LEFT(Commodities!B$156,1)="*","*","R2,R3,R5,R6")</f>
        <v>*</v>
      </c>
      <c r="C639" s="158" t="e">
        <f>CONCATENATE("XP",Commodities!C226,#REF!)</f>
        <v>#REF!</v>
      </c>
      <c r="D639" s="158" t="e">
        <f xml:space="preserve"> CONCATENATE("Delivery of Pipeline Traded ",Commodities!C226," from ",#REF!)</f>
        <v>#REF!</v>
      </c>
      <c r="E639" s="197" t="s">
        <v>196</v>
      </c>
      <c r="F639" s="197" t="s">
        <v>318</v>
      </c>
      <c r="G639" s="181"/>
      <c r="H639" s="158"/>
      <c r="I639" s="158"/>
    </row>
    <row r="640" spans="2:9">
      <c r="B640" s="158" t="str">
        <f>IF(LEFT(Commodities!B$156,1)="*","*","R2,R3,R5,R6")</f>
        <v>*</v>
      </c>
      <c r="C640" s="158" t="e">
        <f>CONCATENATE("XP",Commodities!C227,#REF!)</f>
        <v>#REF!</v>
      </c>
      <c r="D640" s="158" t="e">
        <f xml:space="preserve"> CONCATENATE("Delivery of Pipeline Traded ",Commodities!C227," from ",#REF!)</f>
        <v>#REF!</v>
      </c>
      <c r="E640" s="197" t="s">
        <v>196</v>
      </c>
      <c r="F640" s="197" t="s">
        <v>318</v>
      </c>
      <c r="G640" s="181"/>
      <c r="H640" s="158"/>
      <c r="I640" s="158"/>
    </row>
    <row r="641" spans="2:9">
      <c r="B641" s="158" t="str">
        <f>IF(OR(LEFT(Commodities!B159,1)="*",LEFT(Commodities!B$51,1)="*"),"*","R2,R3,R5,R6")</f>
        <v>*</v>
      </c>
      <c r="C641" s="158" t="e">
        <f>CONCATENATE("XP",Commodities!C228,#REF!)</f>
        <v>#REF!</v>
      </c>
      <c r="D641" s="158" t="e">
        <f xml:space="preserve"> CONCATENATE("Delivery of Pipeline Traded ",Commodities!C228," from ",#REF!)</f>
        <v>#REF!</v>
      </c>
      <c r="E641" s="197" t="s">
        <v>196</v>
      </c>
      <c r="F641" s="197" t="s">
        <v>318</v>
      </c>
      <c r="G641" s="181"/>
      <c r="H641" s="158"/>
      <c r="I641" s="158"/>
    </row>
    <row r="642" spans="2:9">
      <c r="B642" s="158" t="str">
        <f>IF(OR(LEFT(Commodities!B160,1)="*",LEFT(Commodities!B$52,1)="*"),"*","R2,R3,R5,R6")</f>
        <v>*</v>
      </c>
      <c r="C642" s="158" t="e">
        <f>CONCATENATE("XP",Commodities!C229,#REF!)</f>
        <v>#REF!</v>
      </c>
      <c r="D642" s="158" t="e">
        <f xml:space="preserve"> CONCATENATE("Delivery of Pipeline Traded ",Commodities!C229," from ",#REF!)</f>
        <v>#REF!</v>
      </c>
      <c r="E642" s="197" t="s">
        <v>196</v>
      </c>
      <c r="F642" s="197" t="s">
        <v>318</v>
      </c>
      <c r="G642" s="181"/>
      <c r="H642" s="158"/>
      <c r="I642" s="158"/>
    </row>
    <row r="643" spans="2:9">
      <c r="B643" s="158" t="str">
        <f>IF(LEFT(Commodities!B$53,1)="*","*","R2,R3,R5,R6")</f>
        <v>*</v>
      </c>
      <c r="C643" s="158" t="e">
        <f>CONCATENATE("XP",Commodities!C230,#REF!)</f>
        <v>#REF!</v>
      </c>
      <c r="D643" s="158" t="e">
        <f xml:space="preserve"> CONCATENATE("Delivery of Pipeline Traded ",Commodities!C230," from ",#REF!)</f>
        <v>#REF!</v>
      </c>
      <c r="E643" s="197" t="s">
        <v>196</v>
      </c>
      <c r="F643" s="197" t="s">
        <v>318</v>
      </c>
      <c r="G643" s="181"/>
      <c r="H643" s="158"/>
      <c r="I643" s="158"/>
    </row>
    <row r="644" spans="2:9">
      <c r="B644" s="158" t="str">
        <f>IF(LEFT(Commodities!B$231,1)="*","*","R2,R3,R5,R6")</f>
        <v>*</v>
      </c>
      <c r="C644" s="158" t="e">
        <f>CONCATENATE("XP",Commodities!C231,#REF!)</f>
        <v>#REF!</v>
      </c>
      <c r="D644" s="158" t="e">
        <f xml:space="preserve"> CONCATENATE("Delivery of Pipeline Traded ",Commodities!C231," from ",#REF!)</f>
        <v>#REF!</v>
      </c>
      <c r="E644" s="197" t="s">
        <v>196</v>
      </c>
      <c r="F644" s="197" t="s">
        <v>318</v>
      </c>
      <c r="G644" s="181"/>
      <c r="H644" s="158"/>
      <c r="I644" s="158"/>
    </row>
    <row r="645" spans="2:9">
      <c r="B645" s="158" t="str">
        <f>IF(LEFT(Commodities!B$232,1)="*","*","R2,R3,R5,R6")</f>
        <v>*</v>
      </c>
      <c r="C645" s="158" t="e">
        <f>CONCATENATE("XP",Commodities!C232,#REF!)</f>
        <v>#REF!</v>
      </c>
      <c r="D645" s="158" t="e">
        <f xml:space="preserve"> CONCATENATE("Delivery of Pipeline Traded ",Commodities!C232," from ",#REF!)</f>
        <v>#REF!</v>
      </c>
      <c r="E645" s="197" t="s">
        <v>196</v>
      </c>
      <c r="F645" s="197" t="s">
        <v>318</v>
      </c>
      <c r="G645" s="181"/>
      <c r="H645" s="158"/>
      <c r="I645" s="158"/>
    </row>
    <row r="646" spans="2:9">
      <c r="B646" s="158" t="str">
        <f>IF(LEFT(Commodities!B$233,1)="*","*","R2,R3,R5,R6")</f>
        <v>*</v>
      </c>
      <c r="C646" s="158" t="e">
        <f>CONCATENATE("XP",Commodities!C233,#REF!)</f>
        <v>#REF!</v>
      </c>
      <c r="D646" s="158" t="e">
        <f xml:space="preserve"> CONCATENATE("Delivery of Pipeline Traded ",Commodities!C233," from ",#REF!)</f>
        <v>#REF!</v>
      </c>
      <c r="E646" s="197" t="s">
        <v>196</v>
      </c>
      <c r="F646" s="197" t="s">
        <v>318</v>
      </c>
      <c r="G646" s="181"/>
      <c r="H646" s="158"/>
      <c r="I646" s="158"/>
    </row>
    <row r="647" spans="2:9">
      <c r="B647" s="158" t="str">
        <f>IF(LEFT(Commodities!B$234,1)="*","*","R2,R3,R5,R6")</f>
        <v>*</v>
      </c>
      <c r="C647" s="158" t="e">
        <f>CONCATENATE("XP",Commodities!C234,#REF!)</f>
        <v>#REF!</v>
      </c>
      <c r="D647" s="158" t="e">
        <f xml:space="preserve"> CONCATENATE("Delivery of Pipeline Traded ",Commodities!C234," from ",#REF!)</f>
        <v>#REF!</v>
      </c>
      <c r="E647" s="197" t="s">
        <v>196</v>
      </c>
      <c r="F647" s="197" t="s">
        <v>318</v>
      </c>
      <c r="G647" s="181"/>
      <c r="H647" s="158"/>
      <c r="I647" s="158"/>
    </row>
    <row r="648" spans="2:9">
      <c r="B648" s="158" t="str">
        <f>IF(LEFT(Commodities!B$235,1)="*","*","R2,R3,R5,R6")</f>
        <v>*</v>
      </c>
      <c r="C648" s="158" t="e">
        <f>CONCATENATE("XP",Commodities!C235,#REF!)</f>
        <v>#REF!</v>
      </c>
      <c r="D648" s="158" t="e">
        <f xml:space="preserve"> CONCATENATE("Delivery of Pipeline Traded ",Commodities!C235," from ",#REF!)</f>
        <v>#REF!</v>
      </c>
      <c r="E648" s="197" t="s">
        <v>196</v>
      </c>
      <c r="F648" s="197" t="s">
        <v>318</v>
      </c>
      <c r="G648" s="181"/>
      <c r="H648" s="158"/>
      <c r="I648" s="158"/>
    </row>
    <row r="649" spans="2:9">
      <c r="B649" s="158" t="str">
        <f>IF(LEFT(Commodities!B$236,1)="*","*","R2,R3,R5,R6")</f>
        <v>*</v>
      </c>
      <c r="C649" s="158" t="e">
        <f>CONCATENATE("XP",Commodities!C236,#REF!)</f>
        <v>#REF!</v>
      </c>
      <c r="D649" s="158" t="e">
        <f xml:space="preserve"> CONCATENATE("Delivery of Pipeline Traded ",Commodities!C236," from ",#REF!)</f>
        <v>#REF!</v>
      </c>
      <c r="E649" s="197" t="s">
        <v>196</v>
      </c>
      <c r="F649" s="197" t="s">
        <v>318</v>
      </c>
      <c r="G649" s="181"/>
      <c r="H649" s="158"/>
      <c r="I649" s="158"/>
    </row>
    <row r="650" spans="2:9">
      <c r="B650" s="158" t="str">
        <f>IF(LEFT(Commodities!B$237,1)="*","*","R2,R3,R5,R6")</f>
        <v>*</v>
      </c>
      <c r="C650" s="158" t="e">
        <f>CONCATENATE("XP",Commodities!C237,#REF!)</f>
        <v>#REF!</v>
      </c>
      <c r="D650" s="158" t="e">
        <f xml:space="preserve"> CONCATENATE("Delivery of Pipeline Traded ",Commodities!C237," from ",#REF!)</f>
        <v>#REF!</v>
      </c>
      <c r="E650" s="197" t="s">
        <v>196</v>
      </c>
      <c r="F650" s="197" t="s">
        <v>318</v>
      </c>
      <c r="G650" s="181"/>
      <c r="H650" s="158"/>
      <c r="I650" s="158"/>
    </row>
    <row r="651" spans="2:9">
      <c r="B651" s="158" t="str">
        <f>IF(LEFT(Commodities!B$238,1)="*","*","R2,R3,R5,R6")</f>
        <v>*</v>
      </c>
      <c r="C651" s="158" t="e">
        <f>CONCATENATE("XP",Commodities!C238,#REF!)</f>
        <v>#REF!</v>
      </c>
      <c r="D651" s="158" t="e">
        <f xml:space="preserve"> CONCATENATE("Delivery of Pipeline Traded ",Commodities!C238," from ",#REF!)</f>
        <v>#REF!</v>
      </c>
      <c r="E651" s="197" t="s">
        <v>196</v>
      </c>
      <c r="F651" s="197" t="s">
        <v>318</v>
      </c>
      <c r="G651" s="181"/>
      <c r="H651" s="158"/>
      <c r="I651" s="158"/>
    </row>
    <row r="652" spans="2:9">
      <c r="B652" s="158" t="str">
        <f>IF(LEFT(Commodities!B$239,1)="*","*","R2,R3,R5,R6")</f>
        <v>*</v>
      </c>
      <c r="C652" s="158" t="e">
        <f>CONCATENATE("XP",Commodities!C239,#REF!)</f>
        <v>#REF!</v>
      </c>
      <c r="D652" s="158" t="e">
        <f xml:space="preserve"> CONCATENATE("Delivery of Pipeline Traded ",Commodities!C239," from ",#REF!)</f>
        <v>#REF!</v>
      </c>
      <c r="E652" s="197" t="s">
        <v>196</v>
      </c>
      <c r="F652" s="197" t="s">
        <v>318</v>
      </c>
      <c r="G652" s="181"/>
      <c r="H652" s="158"/>
      <c r="I652" s="158"/>
    </row>
    <row r="653" spans="2:9">
      <c r="B653" s="158" t="str">
        <f>IF(LEFT(Commodities!B$167,1)="*","*","R2,R3,R5,R6")</f>
        <v>*</v>
      </c>
      <c r="C653" s="158" t="e">
        <f>CONCATENATE("XP",Commodities!C240,#REF!)</f>
        <v>#REF!</v>
      </c>
      <c r="D653" s="158" t="e">
        <f xml:space="preserve"> CONCATENATE("Delivery of Pipeline Traded ",Commodities!C240," from ",#REF!)</f>
        <v>#REF!</v>
      </c>
      <c r="E653" s="197" t="s">
        <v>196</v>
      </c>
      <c r="F653" s="197" t="s">
        <v>318</v>
      </c>
      <c r="G653" s="181"/>
      <c r="H653" s="158"/>
      <c r="I653" s="158"/>
    </row>
    <row r="654" spans="2:9">
      <c r="B654" s="158" t="str">
        <f>IF(LEFT(Commodities!B$167,1)="*","*","R2,R3,R5,R6")</f>
        <v>*</v>
      </c>
      <c r="C654" s="158" t="e">
        <f>CONCATENATE("XP",Commodities!C241,#REF!)</f>
        <v>#REF!</v>
      </c>
      <c r="D654" s="158" t="e">
        <f xml:space="preserve"> CONCATENATE("Delivery of Pipeline Traded ",Commodities!C241," from ",#REF!)</f>
        <v>#REF!</v>
      </c>
      <c r="E654" s="197" t="s">
        <v>196</v>
      </c>
      <c r="F654" s="197" t="s">
        <v>318</v>
      </c>
      <c r="G654" s="181"/>
      <c r="H654" s="158"/>
      <c r="I654" s="158"/>
    </row>
    <row r="655" spans="2:9">
      <c r="B655" s="158" t="str">
        <f>IF(LEFT(Commodities!B$167,1)="*","*","R2,R3,R5,R6")</f>
        <v>*</v>
      </c>
      <c r="C655" s="158" t="e">
        <f>CONCATENATE("XP",Commodities!C242,#REF!)</f>
        <v>#REF!</v>
      </c>
      <c r="D655" s="158" t="e">
        <f xml:space="preserve"> CONCATENATE("Delivery of Pipeline Traded ",Commodities!C242," from ",#REF!)</f>
        <v>#REF!</v>
      </c>
      <c r="E655" s="197" t="s">
        <v>196</v>
      </c>
      <c r="F655" s="197" t="s">
        <v>318</v>
      </c>
      <c r="G655" s="181"/>
      <c r="H655" s="158"/>
      <c r="I655" s="158"/>
    </row>
    <row r="656" spans="2:9">
      <c r="B656" s="158" t="str">
        <f>IF(LEFT(Commodities!B$167,1)="*","*","R2,R3,R5,R6")</f>
        <v>*</v>
      </c>
      <c r="C656" s="158" t="e">
        <f>CONCATENATE("XP",Commodities!C243,#REF!)</f>
        <v>#REF!</v>
      </c>
      <c r="D656" s="158" t="e">
        <f xml:space="preserve"> CONCATENATE("Delivery of Pipeline Traded ",Commodities!C243," from ",#REF!)</f>
        <v>#REF!</v>
      </c>
      <c r="E656" s="197" t="s">
        <v>196</v>
      </c>
      <c r="F656" s="197" t="s">
        <v>318</v>
      </c>
      <c r="G656" s="181"/>
      <c r="H656" s="158"/>
      <c r="I656" s="158"/>
    </row>
    <row r="657" spans="2:9">
      <c r="B657" s="158" t="str">
        <f>IF(LEFT(Commodities!B$244,1)="*","*","R2,R3,R5,R6")</f>
        <v>*</v>
      </c>
      <c r="C657" s="158" t="e">
        <f>CONCATENATE("XP",Commodities!C244,#REF!)</f>
        <v>#REF!</v>
      </c>
      <c r="D657" s="158" t="e">
        <f xml:space="preserve"> CONCATENATE("Delivery of Pipeline Traded ",Commodities!C244," from ",#REF!)</f>
        <v>#REF!</v>
      </c>
      <c r="E657" s="197" t="s">
        <v>196</v>
      </c>
      <c r="F657" s="197" t="s">
        <v>318</v>
      </c>
      <c r="G657" s="181"/>
      <c r="H657" s="158"/>
      <c r="I657" s="158"/>
    </row>
    <row r="658" spans="2:9">
      <c r="B658" s="158" t="str">
        <f>IF(LEFT(Commodities!B$245,1)="*","*","R2,R3,R5,R6")</f>
        <v>*</v>
      </c>
      <c r="C658" s="158" t="e">
        <f>CONCATENATE("XP",Commodities!C245,#REF!)</f>
        <v>#REF!</v>
      </c>
      <c r="D658" s="158" t="e">
        <f xml:space="preserve"> CONCATENATE("Delivery of Pipeline Traded ",Commodities!C245," from ",#REF!)</f>
        <v>#REF!</v>
      </c>
      <c r="E658" s="197" t="s">
        <v>196</v>
      </c>
      <c r="F658" s="197" t="s">
        <v>318</v>
      </c>
      <c r="G658" s="181"/>
      <c r="H658" s="158"/>
      <c r="I658" s="158"/>
    </row>
    <row r="659" spans="2:9">
      <c r="B659" s="158" t="str">
        <f>IF(LEFT(Commodities!B$246,1)="*","*","R2,R3,R5,R6")</f>
        <v>*</v>
      </c>
      <c r="C659" s="158" t="e">
        <f>CONCATENATE("XP",Commodities!C246,#REF!)</f>
        <v>#REF!</v>
      </c>
      <c r="D659" s="158" t="e">
        <f xml:space="preserve"> CONCATENATE("Delivery of Pipeline Traded ",Commodities!C246," from ",#REF!)</f>
        <v>#REF!</v>
      </c>
      <c r="E659" s="197" t="s">
        <v>196</v>
      </c>
      <c r="F659" s="197" t="s">
        <v>318</v>
      </c>
      <c r="G659" s="181"/>
      <c r="H659" s="158"/>
      <c r="I659" s="158"/>
    </row>
    <row r="660" spans="2:9">
      <c r="B660" s="158" t="str">
        <f>IF(OR(LEFT(Commodities!B169,1)="*",LEFT(Commodities!B$48,1)="*"),"*","R2,R5")</f>
        <v>*</v>
      </c>
      <c r="C660" s="158" t="e">
        <f>CONCATENATE("XP",Commodities!C222,#REF!)</f>
        <v>#REF!</v>
      </c>
      <c r="D660" s="158" t="e">
        <f xml:space="preserve"> CONCATENATE("Delivery of Pipeline Traded ",Commodities!C222," from ",#REF!)</f>
        <v>#REF!</v>
      </c>
      <c r="E660" s="197" t="s">
        <v>196</v>
      </c>
      <c r="F660" s="197" t="s">
        <v>318</v>
      </c>
      <c r="G660" s="181"/>
      <c r="H660" s="158"/>
      <c r="I660" s="158"/>
    </row>
    <row r="661" spans="2:9">
      <c r="B661" s="158" t="str">
        <f>IF(OR(LEFT(Commodities!B170,1)="*",LEFT(Commodities!B$49,1)="*"),"*","R2,R5")</f>
        <v>*</v>
      </c>
      <c r="C661" s="158" t="e">
        <f>CONCATENATE("XP",Commodities!C223,#REF!)</f>
        <v>#REF!</v>
      </c>
      <c r="D661" s="158" t="e">
        <f xml:space="preserve"> CONCATENATE("Delivery of Pipeline Traded ",Commodities!C223," from ",#REF!)</f>
        <v>#REF!</v>
      </c>
      <c r="E661" s="197" t="s">
        <v>196</v>
      </c>
      <c r="F661" s="197" t="s">
        <v>318</v>
      </c>
      <c r="G661" s="181"/>
      <c r="H661" s="158"/>
      <c r="I661" s="158"/>
    </row>
    <row r="662" spans="2:9">
      <c r="B662" s="158" t="str">
        <f>IF(LEFT(Commodities!B$169,1)="*","*","R2,R5")</f>
        <v>*</v>
      </c>
      <c r="C662" s="158" t="e">
        <f>CONCATENATE("XP",Commodities!C224,#REF!)</f>
        <v>#REF!</v>
      </c>
      <c r="D662" s="158" t="e">
        <f xml:space="preserve"> CONCATENATE("Delivery of Pipeline Traded ",Commodities!C224," from ",#REF!)</f>
        <v>#REF!</v>
      </c>
      <c r="E662" s="197" t="s">
        <v>196</v>
      </c>
      <c r="F662" s="197" t="s">
        <v>318</v>
      </c>
      <c r="G662" s="181"/>
      <c r="H662" s="158"/>
      <c r="I662" s="158"/>
    </row>
    <row r="663" spans="2:9">
      <c r="B663" s="158" t="str">
        <f>IF(LEFT(Commodities!B$169,1)="*","*","R2,R5")</f>
        <v>*</v>
      </c>
      <c r="C663" s="158" t="e">
        <f>CONCATENATE("XP",Commodities!C225,#REF!)</f>
        <v>#REF!</v>
      </c>
      <c r="D663" s="158" t="e">
        <f xml:space="preserve"> CONCATENATE("Delivery of Pipeline Traded ",Commodities!C225," from ",#REF!)</f>
        <v>#REF!</v>
      </c>
      <c r="E663" s="197" t="s">
        <v>196</v>
      </c>
      <c r="F663" s="197" t="s">
        <v>318</v>
      </c>
      <c r="G663" s="181"/>
      <c r="H663" s="158"/>
      <c r="I663" s="158"/>
    </row>
    <row r="664" spans="2:9">
      <c r="B664" s="158" t="str">
        <f>IF(LEFT(Commodities!B$169,1)="*","*","R2,R5")</f>
        <v>*</v>
      </c>
      <c r="C664" s="158" t="e">
        <f>CONCATENATE("XP",Commodities!C226,#REF!)</f>
        <v>#REF!</v>
      </c>
      <c r="D664" s="158" t="e">
        <f xml:space="preserve"> CONCATENATE("Delivery of Pipeline Traded ",Commodities!C226," from ",#REF!)</f>
        <v>#REF!</v>
      </c>
      <c r="E664" s="197" t="s">
        <v>196</v>
      </c>
      <c r="F664" s="197" t="s">
        <v>318</v>
      </c>
      <c r="G664" s="181"/>
      <c r="H664" s="158"/>
      <c r="I664" s="158"/>
    </row>
    <row r="665" spans="2:9">
      <c r="B665" s="158" t="str">
        <f>IF(LEFT(Commodities!B$169,1)="*","*","R2,R5")</f>
        <v>*</v>
      </c>
      <c r="C665" s="158" t="e">
        <f>CONCATENATE("XP",Commodities!C227,#REF!)</f>
        <v>#REF!</v>
      </c>
      <c r="D665" s="158" t="e">
        <f xml:space="preserve"> CONCATENATE("Delivery of Pipeline Traded ",Commodities!C227," from ",#REF!)</f>
        <v>#REF!</v>
      </c>
      <c r="E665" s="197" t="s">
        <v>196</v>
      </c>
      <c r="F665" s="197" t="s">
        <v>318</v>
      </c>
      <c r="G665" s="181"/>
      <c r="H665" s="158"/>
      <c r="I665" s="158"/>
    </row>
    <row r="666" spans="2:9">
      <c r="B666" s="158" t="str">
        <f>IF(OR(LEFT(Commodities!B172,1)="*",LEFT(Commodities!B$51,1)="*"),"*","R2,R5")</f>
        <v>*</v>
      </c>
      <c r="C666" s="158" t="e">
        <f>CONCATENATE("XP",Commodities!C228,#REF!)</f>
        <v>#REF!</v>
      </c>
      <c r="D666" s="158" t="e">
        <f xml:space="preserve"> CONCATENATE("Delivery of Pipeline Traded ",Commodities!C228," from ",#REF!)</f>
        <v>#REF!</v>
      </c>
      <c r="E666" s="197" t="s">
        <v>196</v>
      </c>
      <c r="F666" s="197" t="s">
        <v>318</v>
      </c>
      <c r="G666" s="181"/>
      <c r="H666" s="158"/>
      <c r="I666" s="158"/>
    </row>
    <row r="667" spans="2:9">
      <c r="B667" s="158" t="str">
        <f>IF(OR(LEFT(Commodities!B173,1)="*",LEFT(Commodities!B$52,1)="*"),"*","R2,R5")</f>
        <v>*</v>
      </c>
      <c r="C667" s="158" t="e">
        <f>CONCATENATE("XP",Commodities!C229,#REF!)</f>
        <v>#REF!</v>
      </c>
      <c r="D667" s="158" t="e">
        <f xml:space="preserve"> CONCATENATE("Delivery of Pipeline Traded ",Commodities!C229," from ",#REF!)</f>
        <v>#REF!</v>
      </c>
      <c r="E667" s="197" t="s">
        <v>196</v>
      </c>
      <c r="F667" s="197" t="s">
        <v>318</v>
      </c>
      <c r="G667" s="181"/>
      <c r="H667" s="158"/>
      <c r="I667" s="158"/>
    </row>
    <row r="668" spans="2:9">
      <c r="B668" s="158" t="str">
        <f>IF(LEFT(Commodities!B$53,1)="*","*","R2,R5")</f>
        <v>*</v>
      </c>
      <c r="C668" s="158" t="e">
        <f>CONCATENATE("XP",Commodities!C230,#REF!)</f>
        <v>#REF!</v>
      </c>
      <c r="D668" s="158" t="e">
        <f xml:space="preserve"> CONCATENATE("Delivery of Pipeline Traded ",Commodities!C230," from ",#REF!)</f>
        <v>#REF!</v>
      </c>
      <c r="E668" s="197" t="s">
        <v>196</v>
      </c>
      <c r="F668" s="197" t="s">
        <v>318</v>
      </c>
      <c r="G668" s="181"/>
      <c r="H668" s="158"/>
      <c r="I668" s="158"/>
    </row>
    <row r="669" spans="2:9">
      <c r="B669" s="158" t="str">
        <f>IF(LEFT(Commodities!B$231,1)="*","*","R2,R5")</f>
        <v>*</v>
      </c>
      <c r="C669" s="158" t="e">
        <f>CONCATENATE("XP",Commodities!C231,#REF!)</f>
        <v>#REF!</v>
      </c>
      <c r="D669" s="158" t="e">
        <f xml:space="preserve"> CONCATENATE("Delivery of Pipeline Traded ",Commodities!C231," from ",#REF!)</f>
        <v>#REF!</v>
      </c>
      <c r="E669" s="197" t="s">
        <v>196</v>
      </c>
      <c r="F669" s="197" t="s">
        <v>318</v>
      </c>
      <c r="G669" s="181"/>
      <c r="H669" s="158"/>
      <c r="I669" s="158"/>
    </row>
    <row r="670" spans="2:9">
      <c r="B670" s="158" t="str">
        <f>IF(LEFT(Commodities!B$232,1)="*","*","R2,R5")</f>
        <v>*</v>
      </c>
      <c r="C670" s="158" t="e">
        <f>CONCATENATE("XP",Commodities!C232,#REF!)</f>
        <v>#REF!</v>
      </c>
      <c r="D670" s="158" t="e">
        <f xml:space="preserve"> CONCATENATE("Delivery of Pipeline Traded ",Commodities!C232," from ",#REF!)</f>
        <v>#REF!</v>
      </c>
      <c r="E670" s="197" t="s">
        <v>196</v>
      </c>
      <c r="F670" s="197" t="s">
        <v>318</v>
      </c>
      <c r="G670" s="181"/>
      <c r="H670" s="158"/>
      <c r="I670" s="158"/>
    </row>
    <row r="671" spans="2:9">
      <c r="B671" s="158" t="str">
        <f>IF(LEFT(Commodities!B$233,1)="*","*","R2,R5")</f>
        <v>*</v>
      </c>
      <c r="C671" s="158" t="e">
        <f>CONCATENATE("XP",Commodities!C233,#REF!)</f>
        <v>#REF!</v>
      </c>
      <c r="D671" s="158" t="e">
        <f xml:space="preserve"> CONCATENATE("Delivery of Pipeline Traded ",Commodities!C233," from ",#REF!)</f>
        <v>#REF!</v>
      </c>
      <c r="E671" s="197" t="s">
        <v>196</v>
      </c>
      <c r="F671" s="197" t="s">
        <v>318</v>
      </c>
      <c r="G671" s="181"/>
      <c r="H671" s="158"/>
      <c r="I671" s="158"/>
    </row>
    <row r="672" spans="2:9">
      <c r="B672" s="158" t="str">
        <f>IF(LEFT(Commodities!B$234,1)="*","*","R2,R5")</f>
        <v>*</v>
      </c>
      <c r="C672" s="158" t="e">
        <f>CONCATENATE("XP",Commodities!C234,#REF!)</f>
        <v>#REF!</v>
      </c>
      <c r="D672" s="158" t="e">
        <f xml:space="preserve"> CONCATENATE("Delivery of Pipeline Traded ",Commodities!C234," from ",#REF!)</f>
        <v>#REF!</v>
      </c>
      <c r="E672" s="197" t="s">
        <v>196</v>
      </c>
      <c r="F672" s="197" t="s">
        <v>318</v>
      </c>
      <c r="G672" s="181"/>
      <c r="H672" s="158"/>
      <c r="I672" s="158"/>
    </row>
    <row r="673" spans="2:9">
      <c r="B673" s="158" t="str">
        <f>IF(LEFT(Commodities!B$235,1)="*","*","R2,R5")</f>
        <v>*</v>
      </c>
      <c r="C673" s="158" t="e">
        <f>CONCATENATE("XP",Commodities!C235,#REF!)</f>
        <v>#REF!</v>
      </c>
      <c r="D673" s="158" t="e">
        <f xml:space="preserve"> CONCATENATE("Delivery of Pipeline Traded ",Commodities!C235," from ",#REF!)</f>
        <v>#REF!</v>
      </c>
      <c r="E673" s="197" t="s">
        <v>196</v>
      </c>
      <c r="F673" s="197" t="s">
        <v>318</v>
      </c>
      <c r="G673" s="181"/>
      <c r="H673" s="158"/>
      <c r="I673" s="158"/>
    </row>
    <row r="674" spans="2:9">
      <c r="B674" s="158" t="str">
        <f>IF(LEFT(Commodities!B$236,1)="*","*","R2,R5")</f>
        <v>*</v>
      </c>
      <c r="C674" s="158" t="e">
        <f>CONCATENATE("XP",Commodities!C236,#REF!)</f>
        <v>#REF!</v>
      </c>
      <c r="D674" s="158" t="e">
        <f xml:space="preserve"> CONCATENATE("Delivery of Pipeline Traded ",Commodities!C236," from ",#REF!)</f>
        <v>#REF!</v>
      </c>
      <c r="E674" s="197" t="s">
        <v>196</v>
      </c>
      <c r="F674" s="197" t="s">
        <v>318</v>
      </c>
      <c r="G674" s="181"/>
      <c r="H674" s="158"/>
      <c r="I674" s="158"/>
    </row>
    <row r="675" spans="2:9">
      <c r="B675" s="158" t="str">
        <f>IF(LEFT(Commodities!B$237,1)="*","*","R2,R5")</f>
        <v>*</v>
      </c>
      <c r="C675" s="158" t="e">
        <f>CONCATENATE("XP",Commodities!C237,#REF!)</f>
        <v>#REF!</v>
      </c>
      <c r="D675" s="158" t="e">
        <f xml:space="preserve"> CONCATENATE("Delivery of Pipeline Traded ",Commodities!C237," from ",#REF!)</f>
        <v>#REF!</v>
      </c>
      <c r="E675" s="197" t="s">
        <v>196</v>
      </c>
      <c r="F675" s="197" t="s">
        <v>318</v>
      </c>
      <c r="G675" s="181"/>
      <c r="H675" s="158"/>
      <c r="I675" s="158"/>
    </row>
    <row r="676" spans="2:9">
      <c r="B676" s="158" t="str">
        <f>IF(LEFT(Commodities!B$238,1)="*","*","R2,R5")</f>
        <v>*</v>
      </c>
      <c r="C676" s="158" t="e">
        <f>CONCATENATE("XP",Commodities!C238,#REF!)</f>
        <v>#REF!</v>
      </c>
      <c r="D676" s="158" t="e">
        <f xml:space="preserve"> CONCATENATE("Delivery of Pipeline Traded ",Commodities!C238," from ",#REF!)</f>
        <v>#REF!</v>
      </c>
      <c r="E676" s="197" t="s">
        <v>196</v>
      </c>
      <c r="F676" s="197" t="s">
        <v>318</v>
      </c>
      <c r="G676" s="181"/>
      <c r="H676" s="158"/>
      <c r="I676" s="158"/>
    </row>
    <row r="677" spans="2:9">
      <c r="B677" s="158" t="str">
        <f>IF(LEFT(Commodities!B$239,1)="*","*","R2,R5")</f>
        <v>*</v>
      </c>
      <c r="C677" s="158" t="e">
        <f>CONCATENATE("XP",Commodities!C239,#REF!)</f>
        <v>#REF!</v>
      </c>
      <c r="D677" s="158" t="e">
        <f xml:space="preserve"> CONCATENATE("Delivery of Pipeline Traded ",Commodities!C239," from ",#REF!)</f>
        <v>#REF!</v>
      </c>
      <c r="E677" s="197" t="s">
        <v>196</v>
      </c>
      <c r="F677" s="197" t="s">
        <v>318</v>
      </c>
      <c r="G677" s="181"/>
      <c r="H677" s="158"/>
      <c r="I677" s="158"/>
    </row>
    <row r="678" spans="2:9">
      <c r="B678" s="158" t="str">
        <f>IF(LEFT(Commodities!B$180,1)="*","*","R2,R5")</f>
        <v>*</v>
      </c>
      <c r="C678" s="158" t="e">
        <f>CONCATENATE("XP",Commodities!C240,#REF!)</f>
        <v>#REF!</v>
      </c>
      <c r="D678" s="158" t="e">
        <f xml:space="preserve"> CONCATENATE("Delivery of Pipeline Traded ",Commodities!C240," from ",#REF!)</f>
        <v>#REF!</v>
      </c>
      <c r="E678" s="197" t="s">
        <v>196</v>
      </c>
      <c r="F678" s="197" t="s">
        <v>318</v>
      </c>
      <c r="G678" s="181"/>
      <c r="H678" s="158"/>
      <c r="I678" s="158"/>
    </row>
    <row r="679" spans="2:9">
      <c r="B679" s="158" t="str">
        <f>IF(LEFT(Commodities!B$180,1)="*","*","R2,R5")</f>
        <v>*</v>
      </c>
      <c r="C679" s="158" t="e">
        <f>CONCATENATE("XP",Commodities!C241,#REF!)</f>
        <v>#REF!</v>
      </c>
      <c r="D679" s="158" t="e">
        <f xml:space="preserve"> CONCATENATE("Delivery of Pipeline Traded ",Commodities!C241," from ",#REF!)</f>
        <v>#REF!</v>
      </c>
      <c r="E679" s="197" t="s">
        <v>196</v>
      </c>
      <c r="F679" s="197" t="s">
        <v>318</v>
      </c>
      <c r="G679" s="181"/>
      <c r="H679" s="158"/>
      <c r="I679" s="158"/>
    </row>
    <row r="680" spans="2:9">
      <c r="B680" s="158" t="str">
        <f>IF(LEFT(Commodities!B$180,1)="*","*","R2,R5")</f>
        <v>*</v>
      </c>
      <c r="C680" s="158" t="e">
        <f>CONCATENATE("XP",Commodities!C242,#REF!)</f>
        <v>#REF!</v>
      </c>
      <c r="D680" s="158" t="e">
        <f xml:space="preserve"> CONCATENATE("Delivery of Pipeline Traded ",Commodities!C242," from ",#REF!)</f>
        <v>#REF!</v>
      </c>
      <c r="E680" s="197" t="s">
        <v>196</v>
      </c>
      <c r="F680" s="197" t="s">
        <v>318</v>
      </c>
      <c r="G680" s="181"/>
      <c r="H680" s="158"/>
      <c r="I680" s="158"/>
    </row>
    <row r="681" spans="2:9">
      <c r="B681" s="158" t="str">
        <f>IF(LEFT(Commodities!B$180,1)="*","*","R2,R5")</f>
        <v>*</v>
      </c>
      <c r="C681" s="158" t="e">
        <f>CONCATENATE("XP",Commodities!C243,#REF!)</f>
        <v>#REF!</v>
      </c>
      <c r="D681" s="158" t="e">
        <f xml:space="preserve"> CONCATENATE("Delivery of Pipeline Traded ",Commodities!C243," from ",#REF!)</f>
        <v>#REF!</v>
      </c>
      <c r="E681" s="197" t="s">
        <v>196</v>
      </c>
      <c r="F681" s="197" t="s">
        <v>318</v>
      </c>
      <c r="G681" s="181"/>
      <c r="H681" s="158"/>
      <c r="I681" s="158"/>
    </row>
    <row r="682" spans="2:9">
      <c r="B682" s="158" t="str">
        <f>IF(LEFT(Commodities!B$244,1)="*","*","R2,R5")</f>
        <v>*</v>
      </c>
      <c r="C682" s="158" t="e">
        <f>CONCATENATE("XP",Commodities!C244,#REF!)</f>
        <v>#REF!</v>
      </c>
      <c r="D682" s="158" t="e">
        <f xml:space="preserve"> CONCATENATE("Delivery of Pipeline Traded ",Commodities!C244," from ",#REF!)</f>
        <v>#REF!</v>
      </c>
      <c r="E682" s="197" t="s">
        <v>196</v>
      </c>
      <c r="F682" s="197" t="s">
        <v>318</v>
      </c>
      <c r="G682" s="181"/>
      <c r="H682" s="158"/>
      <c r="I682" s="158"/>
    </row>
    <row r="683" spans="2:9">
      <c r="B683" s="158" t="str">
        <f>IF(LEFT(Commodities!B$245,1)="*","*","R2,R5")</f>
        <v>*</v>
      </c>
      <c r="C683" s="158" t="e">
        <f>CONCATENATE("XP",Commodities!C245,#REF!)</f>
        <v>#REF!</v>
      </c>
      <c r="D683" s="158" t="e">
        <f xml:space="preserve"> CONCATENATE("Delivery of Pipeline Traded ",Commodities!C245," from ",#REF!)</f>
        <v>#REF!</v>
      </c>
      <c r="E683" s="197" t="s">
        <v>196</v>
      </c>
      <c r="F683" s="197" t="s">
        <v>318</v>
      </c>
      <c r="G683" s="181"/>
      <c r="H683" s="158"/>
      <c r="I683" s="158"/>
    </row>
    <row r="684" spans="2:9">
      <c r="B684" s="158" t="str">
        <f>IF(LEFT(Commodities!B$246,1)="*","*","R2,R5")</f>
        <v>*</v>
      </c>
      <c r="C684" s="158" t="e">
        <f>CONCATENATE("XP",Commodities!C246,#REF!)</f>
        <v>#REF!</v>
      </c>
      <c r="D684" s="158" t="e">
        <f xml:space="preserve"> CONCATENATE("Delivery of Pipeline Traded ",Commodities!C246," from ",#REF!)</f>
        <v>#REF!</v>
      </c>
      <c r="E684" s="197" t="s">
        <v>196</v>
      </c>
      <c r="F684" s="197" t="s">
        <v>318</v>
      </c>
      <c r="G684" s="181"/>
      <c r="H684" s="158"/>
      <c r="I684" s="158"/>
    </row>
    <row r="685" spans="2:9">
      <c r="B685" s="158" t="str">
        <f>IF(OR(LEFT(Commodities!B182,1)="*",LEFT(Commodities!B$48,1)="*"),"*","R2,R3,R4")</f>
        <v>*</v>
      </c>
      <c r="C685" s="158" t="e">
        <f>CONCATENATE("XP",Commodities!C222,#REF!)</f>
        <v>#REF!</v>
      </c>
      <c r="D685" s="158" t="e">
        <f xml:space="preserve"> CONCATENATE("Delivery of Pipeline Traded ",Commodities!C222," from ",#REF!)</f>
        <v>#REF!</v>
      </c>
      <c r="E685" s="197" t="s">
        <v>196</v>
      </c>
      <c r="F685" s="197" t="s">
        <v>318</v>
      </c>
      <c r="G685" s="181"/>
      <c r="H685" s="158"/>
      <c r="I685" s="158"/>
    </row>
    <row r="686" spans="2:9">
      <c r="B686" s="158" t="str">
        <f>IF(OR(LEFT(Commodities!B183,1)="*",LEFT(Commodities!B$49,1)="*"),"*","R2,R3,R4")</f>
        <v>*</v>
      </c>
      <c r="C686" s="158" t="e">
        <f>CONCATENATE("XP",Commodities!C223,#REF!)</f>
        <v>#REF!</v>
      </c>
      <c r="D686" s="158" t="e">
        <f xml:space="preserve"> CONCATENATE("Delivery of Pipeline Traded ",Commodities!C223," from ",#REF!)</f>
        <v>#REF!</v>
      </c>
      <c r="E686" s="197" t="s">
        <v>196</v>
      </c>
      <c r="F686" s="197" t="s">
        <v>318</v>
      </c>
      <c r="G686" s="181"/>
      <c r="H686" s="158"/>
      <c r="I686" s="158"/>
    </row>
    <row r="687" spans="2:9">
      <c r="B687" s="158" t="str">
        <f>IF(LEFT(Commodities!B$182,1)="*","*","R2,R3,R4")</f>
        <v>*</v>
      </c>
      <c r="C687" s="158" t="e">
        <f>CONCATENATE("XP",Commodities!C224,#REF!)</f>
        <v>#REF!</v>
      </c>
      <c r="D687" s="158" t="e">
        <f xml:space="preserve"> CONCATENATE("Delivery of Pipeline Traded ",Commodities!C224," from ",#REF!)</f>
        <v>#REF!</v>
      </c>
      <c r="E687" s="197" t="s">
        <v>196</v>
      </c>
      <c r="F687" s="197" t="s">
        <v>318</v>
      </c>
      <c r="G687" s="181"/>
      <c r="H687" s="158"/>
      <c r="I687" s="158"/>
    </row>
    <row r="688" spans="2:9">
      <c r="B688" s="158" t="str">
        <f>IF(LEFT(Commodities!B$182,1)="*","*","R2,R3,R4")</f>
        <v>*</v>
      </c>
      <c r="C688" s="158" t="e">
        <f>CONCATENATE("XP",Commodities!C225,#REF!)</f>
        <v>#REF!</v>
      </c>
      <c r="D688" s="158" t="e">
        <f xml:space="preserve"> CONCATENATE("Delivery of Pipeline Traded ",Commodities!C225," from ",#REF!)</f>
        <v>#REF!</v>
      </c>
      <c r="E688" s="197" t="s">
        <v>196</v>
      </c>
      <c r="F688" s="197" t="s">
        <v>318</v>
      </c>
      <c r="G688" s="181"/>
      <c r="H688" s="158"/>
      <c r="I688" s="158"/>
    </row>
    <row r="689" spans="2:9">
      <c r="B689" s="158" t="str">
        <f>IF(LEFT(Commodities!B$182,1)="*","*","R2,R3,R4")</f>
        <v>*</v>
      </c>
      <c r="C689" s="158" t="e">
        <f>CONCATENATE("XP",Commodities!C226,#REF!)</f>
        <v>#REF!</v>
      </c>
      <c r="D689" s="158" t="e">
        <f xml:space="preserve"> CONCATENATE("Delivery of Pipeline Traded ",Commodities!C226," from ",#REF!)</f>
        <v>#REF!</v>
      </c>
      <c r="E689" s="197" t="s">
        <v>196</v>
      </c>
      <c r="F689" s="197" t="s">
        <v>318</v>
      </c>
      <c r="G689" s="181"/>
      <c r="H689" s="158"/>
      <c r="I689" s="158"/>
    </row>
    <row r="690" spans="2:9">
      <c r="B690" s="158" t="str">
        <f>IF(LEFT(Commodities!B$182,1)="*","*","R2,R3,R4")</f>
        <v>*</v>
      </c>
      <c r="C690" s="158" t="e">
        <f>CONCATENATE("XP",Commodities!C227,#REF!)</f>
        <v>#REF!</v>
      </c>
      <c r="D690" s="158" t="e">
        <f xml:space="preserve"> CONCATENATE("Delivery of Pipeline Traded ",Commodities!C227," from ",#REF!)</f>
        <v>#REF!</v>
      </c>
      <c r="E690" s="197" t="s">
        <v>196</v>
      </c>
      <c r="F690" s="197" t="s">
        <v>318</v>
      </c>
      <c r="G690" s="181"/>
      <c r="H690" s="158"/>
      <c r="I690" s="158"/>
    </row>
    <row r="691" spans="2:9">
      <c r="B691" s="158" t="str">
        <f>IF(OR(LEFT(Commodities!B185,1)="*",LEFT(Commodities!B$51,1)="*"),"*","R2,R3,R4")</f>
        <v>*</v>
      </c>
      <c r="C691" s="158" t="e">
        <f>CONCATENATE("XP",Commodities!C228,#REF!)</f>
        <v>#REF!</v>
      </c>
      <c r="D691" s="158" t="e">
        <f xml:space="preserve"> CONCATENATE("Delivery of Pipeline Traded ",Commodities!C228," from ",#REF!)</f>
        <v>#REF!</v>
      </c>
      <c r="E691" s="197" t="s">
        <v>196</v>
      </c>
      <c r="F691" s="197" t="s">
        <v>318</v>
      </c>
      <c r="G691" s="181"/>
      <c r="H691" s="158"/>
      <c r="I691" s="158"/>
    </row>
    <row r="692" spans="2:9">
      <c r="B692" s="158" t="str">
        <f>IF(OR(LEFT(Commodities!B186,1)="*",LEFT(Commodities!B$52,1)="*"),"*","R2,R3,R4")</f>
        <v>*</v>
      </c>
      <c r="C692" s="158" t="e">
        <f>CONCATENATE("XP",Commodities!C229,#REF!)</f>
        <v>#REF!</v>
      </c>
      <c r="D692" s="158" t="e">
        <f xml:space="preserve"> CONCATENATE("Delivery of Pipeline Traded ",Commodities!C229," from ",#REF!)</f>
        <v>#REF!</v>
      </c>
      <c r="E692" s="197" t="s">
        <v>196</v>
      </c>
      <c r="F692" s="197" t="s">
        <v>318</v>
      </c>
      <c r="G692" s="181"/>
      <c r="H692" s="158"/>
      <c r="I692" s="158"/>
    </row>
    <row r="693" spans="2:9">
      <c r="B693" s="158" t="str">
        <f>IF(LEFT(Commodities!B$53,1)="*","*","R2,R3,R4")</f>
        <v>*</v>
      </c>
      <c r="C693" s="158" t="e">
        <f>CONCATENATE("XP",Commodities!C230,#REF!)</f>
        <v>#REF!</v>
      </c>
      <c r="D693" s="158" t="e">
        <f xml:space="preserve"> CONCATENATE("Delivery of Pipeline Traded ",Commodities!C230," from ",#REF!)</f>
        <v>#REF!</v>
      </c>
      <c r="E693" s="197" t="s">
        <v>196</v>
      </c>
      <c r="F693" s="197" t="s">
        <v>318</v>
      </c>
      <c r="G693" s="181"/>
      <c r="H693" s="158"/>
      <c r="I693" s="158"/>
    </row>
    <row r="694" spans="2:9">
      <c r="B694" s="158" t="str">
        <f>IF(LEFT(Commodities!B$231,1)="*","*","R2,R3,R4")</f>
        <v>*</v>
      </c>
      <c r="C694" s="158" t="e">
        <f>CONCATENATE("XP",Commodities!C231,#REF!)</f>
        <v>#REF!</v>
      </c>
      <c r="D694" s="158" t="e">
        <f xml:space="preserve"> CONCATENATE("Delivery of Pipeline Traded ",Commodities!C231," from ",#REF!)</f>
        <v>#REF!</v>
      </c>
      <c r="E694" s="197" t="s">
        <v>196</v>
      </c>
      <c r="F694" s="197" t="s">
        <v>318</v>
      </c>
      <c r="G694" s="181"/>
      <c r="H694" s="158"/>
      <c r="I694" s="158"/>
    </row>
    <row r="695" spans="2:9">
      <c r="B695" s="158" t="str">
        <f>IF(LEFT(Commodities!B$232,1)="*","*","R2,R3,R4")</f>
        <v>*</v>
      </c>
      <c r="C695" s="158" t="e">
        <f>CONCATENATE("XP",Commodities!C232,#REF!)</f>
        <v>#REF!</v>
      </c>
      <c r="D695" s="158" t="e">
        <f xml:space="preserve"> CONCATENATE("Delivery of Pipeline Traded ",Commodities!C232," from ",#REF!)</f>
        <v>#REF!</v>
      </c>
      <c r="E695" s="197" t="s">
        <v>196</v>
      </c>
      <c r="F695" s="197" t="s">
        <v>318</v>
      </c>
      <c r="G695" s="181"/>
      <c r="H695" s="158"/>
      <c r="I695" s="158"/>
    </row>
    <row r="696" spans="2:9">
      <c r="B696" s="158" t="str">
        <f>IF(LEFT(Commodities!B$233,1)="*","*","R2,R3,R4")</f>
        <v>*</v>
      </c>
      <c r="C696" s="158" t="e">
        <f>CONCATENATE("XP",Commodities!C233,#REF!)</f>
        <v>#REF!</v>
      </c>
      <c r="D696" s="158" t="e">
        <f xml:space="preserve"> CONCATENATE("Delivery of Pipeline Traded ",Commodities!C233," from ",#REF!)</f>
        <v>#REF!</v>
      </c>
      <c r="E696" s="197" t="s">
        <v>196</v>
      </c>
      <c r="F696" s="197" t="s">
        <v>318</v>
      </c>
      <c r="G696" s="181"/>
      <c r="H696" s="158"/>
      <c r="I696" s="158"/>
    </row>
    <row r="697" spans="2:9">
      <c r="B697" s="158" t="str">
        <f>IF(LEFT(Commodities!B$234,1)="*","*","R2,R3,R4")</f>
        <v>*</v>
      </c>
      <c r="C697" s="158" t="e">
        <f>CONCATENATE("XP",Commodities!C234,#REF!)</f>
        <v>#REF!</v>
      </c>
      <c r="D697" s="158" t="e">
        <f xml:space="preserve"> CONCATENATE("Delivery of Pipeline Traded ",Commodities!C234," from ",#REF!)</f>
        <v>#REF!</v>
      </c>
      <c r="E697" s="197" t="s">
        <v>196</v>
      </c>
      <c r="F697" s="197" t="s">
        <v>318</v>
      </c>
      <c r="G697" s="181"/>
      <c r="H697" s="158"/>
      <c r="I697" s="158"/>
    </row>
    <row r="698" spans="2:9">
      <c r="B698" s="158" t="str">
        <f>IF(LEFT(Commodities!B$235,1)="*","*","R2,R3,R4")</f>
        <v>*</v>
      </c>
      <c r="C698" s="158" t="e">
        <f>CONCATENATE("XP",Commodities!C235,#REF!)</f>
        <v>#REF!</v>
      </c>
      <c r="D698" s="158" t="e">
        <f xml:space="preserve"> CONCATENATE("Delivery of Pipeline Traded ",Commodities!C235," from ",#REF!)</f>
        <v>#REF!</v>
      </c>
      <c r="E698" s="197" t="s">
        <v>196</v>
      </c>
      <c r="F698" s="197" t="s">
        <v>318</v>
      </c>
      <c r="G698" s="181"/>
      <c r="H698" s="158"/>
      <c r="I698" s="158"/>
    </row>
    <row r="699" spans="2:9">
      <c r="B699" s="158" t="str">
        <f>IF(LEFT(Commodities!B$236,1)="*","*","R2,R3,R4")</f>
        <v>*</v>
      </c>
      <c r="C699" s="158" t="e">
        <f>CONCATENATE("XP",Commodities!C236,#REF!)</f>
        <v>#REF!</v>
      </c>
      <c r="D699" s="158" t="e">
        <f xml:space="preserve"> CONCATENATE("Delivery of Pipeline Traded ",Commodities!C236," from ",#REF!)</f>
        <v>#REF!</v>
      </c>
      <c r="E699" s="197" t="s">
        <v>196</v>
      </c>
      <c r="F699" s="197" t="s">
        <v>318</v>
      </c>
      <c r="G699" s="181"/>
      <c r="H699" s="158"/>
      <c r="I699" s="158"/>
    </row>
    <row r="700" spans="2:9">
      <c r="B700" s="158" t="str">
        <f>IF(LEFT(Commodities!B$237,1)="*","*","R2,R3,R4")</f>
        <v>*</v>
      </c>
      <c r="C700" s="158" t="e">
        <f>CONCATENATE("XP",Commodities!C237,#REF!)</f>
        <v>#REF!</v>
      </c>
      <c r="D700" s="158" t="e">
        <f xml:space="preserve"> CONCATENATE("Delivery of Pipeline Traded ",Commodities!C237," from ",#REF!)</f>
        <v>#REF!</v>
      </c>
      <c r="E700" s="197" t="s">
        <v>196</v>
      </c>
      <c r="F700" s="197" t="s">
        <v>318</v>
      </c>
      <c r="G700" s="181"/>
      <c r="H700" s="158"/>
      <c r="I700" s="158"/>
    </row>
    <row r="701" spans="2:9">
      <c r="B701" s="158" t="str">
        <f>IF(LEFT(Commodities!B$238,1)="*","*","R2,R3,R4")</f>
        <v>*</v>
      </c>
      <c r="C701" s="158" t="e">
        <f>CONCATENATE("XP",Commodities!C238,#REF!)</f>
        <v>#REF!</v>
      </c>
      <c r="D701" s="158" t="e">
        <f xml:space="preserve"> CONCATENATE("Delivery of Pipeline Traded ",Commodities!C238," from ",#REF!)</f>
        <v>#REF!</v>
      </c>
      <c r="E701" s="197" t="s">
        <v>196</v>
      </c>
      <c r="F701" s="197" t="s">
        <v>318</v>
      </c>
      <c r="G701" s="181"/>
      <c r="H701" s="158"/>
      <c r="I701" s="158"/>
    </row>
    <row r="702" spans="2:9">
      <c r="B702" s="158" t="str">
        <f>IF(LEFT(Commodities!B$239,1)="*","*","R2,R3,R4")</f>
        <v>*</v>
      </c>
      <c r="C702" s="158" t="e">
        <f>CONCATENATE("XP",Commodities!C239,#REF!)</f>
        <v>#REF!</v>
      </c>
      <c r="D702" s="158" t="e">
        <f xml:space="preserve"> CONCATENATE("Delivery of Pipeline Traded ",Commodities!C239," from ",#REF!)</f>
        <v>#REF!</v>
      </c>
      <c r="E702" s="197" t="s">
        <v>196</v>
      </c>
      <c r="F702" s="197" t="s">
        <v>318</v>
      </c>
      <c r="G702" s="181"/>
      <c r="H702" s="158"/>
      <c r="I702" s="158"/>
    </row>
    <row r="703" spans="2:9">
      <c r="B703" s="158" t="str">
        <f>IF(LEFT(Commodities!B$193,1)="*","*","R2,R3,R4")</f>
        <v>*</v>
      </c>
      <c r="C703" s="158" t="e">
        <f>CONCATENATE("XP",Commodities!C240,#REF!)</f>
        <v>#REF!</v>
      </c>
      <c r="D703" s="158" t="e">
        <f xml:space="preserve"> CONCATENATE("Delivery of Pipeline Traded ",Commodities!C240," from ",#REF!)</f>
        <v>#REF!</v>
      </c>
      <c r="E703" s="197" t="s">
        <v>196</v>
      </c>
      <c r="F703" s="197" t="s">
        <v>318</v>
      </c>
      <c r="G703" s="181"/>
      <c r="H703" s="158"/>
      <c r="I703" s="158"/>
    </row>
    <row r="704" spans="2:9">
      <c r="B704" s="158" t="str">
        <f>IF(LEFT(Commodities!B$193,1)="*","*","R2,R3,R4")</f>
        <v>*</v>
      </c>
      <c r="C704" s="158" t="e">
        <f>CONCATENATE("XP",Commodities!C241,#REF!)</f>
        <v>#REF!</v>
      </c>
      <c r="D704" s="158" t="e">
        <f xml:space="preserve"> CONCATENATE("Delivery of Pipeline Traded ",Commodities!C241," from ",#REF!)</f>
        <v>#REF!</v>
      </c>
      <c r="E704" s="197" t="s">
        <v>196</v>
      </c>
      <c r="F704" s="197" t="s">
        <v>318</v>
      </c>
      <c r="G704" s="181"/>
      <c r="H704" s="158"/>
      <c r="I704" s="158"/>
    </row>
    <row r="705" spans="2:9">
      <c r="B705" s="158" t="str">
        <f>IF(LEFT(Commodities!B$193,1)="*","*","R2,R3,R4")</f>
        <v>*</v>
      </c>
      <c r="C705" s="158" t="e">
        <f>CONCATENATE("XP",Commodities!C242,#REF!)</f>
        <v>#REF!</v>
      </c>
      <c r="D705" s="158" t="e">
        <f xml:space="preserve"> CONCATENATE("Delivery of Pipeline Traded ",Commodities!C242," from ",#REF!)</f>
        <v>#REF!</v>
      </c>
      <c r="E705" s="197" t="s">
        <v>196</v>
      </c>
      <c r="F705" s="197" t="s">
        <v>318</v>
      </c>
      <c r="G705" s="181"/>
      <c r="H705" s="158"/>
      <c r="I705" s="158"/>
    </row>
    <row r="706" spans="2:9">
      <c r="B706" s="158" t="str">
        <f>IF(LEFT(Commodities!B$193,1)="*","*","R2,R3,R4")</f>
        <v>*</v>
      </c>
      <c r="C706" s="158" t="e">
        <f>CONCATENATE("XP",Commodities!C243,#REF!)</f>
        <v>#REF!</v>
      </c>
      <c r="D706" s="158" t="e">
        <f xml:space="preserve"> CONCATENATE("Delivery of Pipeline Traded ",Commodities!C243," from ",#REF!)</f>
        <v>#REF!</v>
      </c>
      <c r="E706" s="197" t="s">
        <v>196</v>
      </c>
      <c r="F706" s="197" t="s">
        <v>318</v>
      </c>
      <c r="G706" s="181"/>
      <c r="H706" s="158"/>
      <c r="I706" s="158"/>
    </row>
    <row r="707" spans="2:9">
      <c r="B707" s="158" t="str">
        <f>IF(LEFT(Commodities!B$244,1)="*","*","R2,R3,R4")</f>
        <v>*</v>
      </c>
      <c r="C707" s="158" t="e">
        <f>CONCATENATE("XP",Commodities!C244,#REF!)</f>
        <v>#REF!</v>
      </c>
      <c r="D707" s="158" t="e">
        <f xml:space="preserve"> CONCATENATE("Delivery of Pipeline Traded ",Commodities!C244," from ",#REF!)</f>
        <v>#REF!</v>
      </c>
      <c r="E707" s="197" t="s">
        <v>196</v>
      </c>
      <c r="F707" s="197" t="s">
        <v>318</v>
      </c>
      <c r="G707" s="181"/>
      <c r="H707" s="158"/>
      <c r="I707" s="158"/>
    </row>
    <row r="708" spans="2:9">
      <c r="B708" s="158" t="str">
        <f>IF(LEFT(Commodities!B$245,1)="*","*","R2,R3,R4")</f>
        <v>*</v>
      </c>
      <c r="C708" s="158" t="e">
        <f>CONCATENATE("XP",Commodities!C245,#REF!)</f>
        <v>#REF!</v>
      </c>
      <c r="D708" s="158" t="e">
        <f xml:space="preserve"> CONCATENATE("Delivery of Pipeline Traded ",Commodities!C245," from ",#REF!)</f>
        <v>#REF!</v>
      </c>
      <c r="E708" s="197" t="s">
        <v>196</v>
      </c>
      <c r="F708" s="197" t="s">
        <v>318</v>
      </c>
      <c r="G708" s="181"/>
      <c r="H708" s="158"/>
      <c r="I708" s="158"/>
    </row>
    <row r="709" spans="2:9">
      <c r="B709" s="158" t="str">
        <f>IF(LEFT(Commodities!B$246,1)="*","*","R2,R3,R4")</f>
        <v>*</v>
      </c>
      <c r="C709" s="158" t="e">
        <f>CONCATENATE("XP",Commodities!C246,#REF!)</f>
        <v>#REF!</v>
      </c>
      <c r="D709" s="158" t="e">
        <f xml:space="preserve"> CONCATENATE("Delivery of Pipeline Traded ",Commodities!C246," from ",#REF!)</f>
        <v>#REF!</v>
      </c>
      <c r="E709" s="197" t="s">
        <v>196</v>
      </c>
      <c r="F709" s="197" t="s">
        <v>318</v>
      </c>
      <c r="G709" s="181"/>
      <c r="H709" s="158"/>
      <c r="I709" s="158"/>
    </row>
    <row r="710" spans="2:9">
      <c r="B710" s="158" t="s">
        <v>398</v>
      </c>
      <c r="C710" s="158" t="e">
        <f>CONCATENATE("XP",Commodities!C222,#REF!)</f>
        <v>#REF!</v>
      </c>
      <c r="D710" s="158" t="e">
        <f xml:space="preserve"> CONCATENATE("Delivery of Pipeline Traded ",Commodities!C222," from ",#REF!)</f>
        <v>#REF!</v>
      </c>
      <c r="E710" s="197" t="s">
        <v>196</v>
      </c>
      <c r="F710" s="197" t="s">
        <v>318</v>
      </c>
      <c r="G710" s="181"/>
      <c r="H710" s="158"/>
      <c r="I710" s="158"/>
    </row>
    <row r="711" spans="2:9">
      <c r="B711" s="158" t="s">
        <v>398</v>
      </c>
      <c r="C711" s="158" t="e">
        <f>CONCATENATE("XP",Commodities!C223,#REF!)</f>
        <v>#REF!</v>
      </c>
      <c r="D711" s="158" t="e">
        <f xml:space="preserve"> CONCATENATE("Delivery of Pipeline Traded ",Commodities!C223," from ",#REF!)</f>
        <v>#REF!</v>
      </c>
      <c r="E711" s="197" t="s">
        <v>196</v>
      </c>
      <c r="F711" s="197" t="s">
        <v>318</v>
      </c>
      <c r="G711" s="181"/>
      <c r="H711" s="158"/>
      <c r="I711" s="158"/>
    </row>
    <row r="712" spans="2:9">
      <c r="B712" s="158" t="s">
        <v>398</v>
      </c>
      <c r="C712" s="158" t="e">
        <f>CONCATENATE("XP",Commodities!C224,#REF!)</f>
        <v>#REF!</v>
      </c>
      <c r="D712" s="158" t="e">
        <f xml:space="preserve"> CONCATENATE("Delivery of Pipeline Traded ",Commodities!C224," from ",#REF!)</f>
        <v>#REF!</v>
      </c>
      <c r="E712" s="197" t="s">
        <v>196</v>
      </c>
      <c r="F712" s="197" t="s">
        <v>318</v>
      </c>
      <c r="G712" s="181"/>
      <c r="H712" s="158"/>
      <c r="I712" s="158"/>
    </row>
    <row r="713" spans="2:9">
      <c r="B713" s="158" t="s">
        <v>398</v>
      </c>
      <c r="C713" s="158" t="e">
        <f>CONCATENATE("XP",Commodities!C225,#REF!)</f>
        <v>#REF!</v>
      </c>
      <c r="D713" s="158" t="e">
        <f xml:space="preserve"> CONCATENATE("Delivery of Pipeline Traded ",Commodities!C225," from ",#REF!)</f>
        <v>#REF!</v>
      </c>
      <c r="E713" s="197" t="s">
        <v>196</v>
      </c>
      <c r="F713" s="197" t="s">
        <v>318</v>
      </c>
      <c r="G713" s="181"/>
      <c r="H713" s="158"/>
      <c r="I713" s="158"/>
    </row>
    <row r="714" spans="2:9">
      <c r="B714" s="158" t="s">
        <v>398</v>
      </c>
      <c r="C714" s="158" t="e">
        <f>CONCATENATE("XP",Commodities!C226,#REF!)</f>
        <v>#REF!</v>
      </c>
      <c r="D714" s="158" t="e">
        <f xml:space="preserve"> CONCATENATE("Delivery of Pipeline Traded ",Commodities!C226," from ",#REF!)</f>
        <v>#REF!</v>
      </c>
      <c r="E714" s="197" t="s">
        <v>196</v>
      </c>
      <c r="F714" s="197" t="s">
        <v>318</v>
      </c>
      <c r="G714" s="181"/>
      <c r="H714" s="158"/>
      <c r="I714" s="158"/>
    </row>
    <row r="715" spans="2:9">
      <c r="B715" s="158" t="s">
        <v>398</v>
      </c>
      <c r="C715" s="158" t="e">
        <f>CONCATENATE("XP",Commodities!C227,#REF!)</f>
        <v>#REF!</v>
      </c>
      <c r="D715" s="158" t="e">
        <f xml:space="preserve"> CONCATENATE("Delivery of Pipeline Traded ",Commodities!C227," from ",#REF!)</f>
        <v>#REF!</v>
      </c>
      <c r="E715" s="197" t="s">
        <v>196</v>
      </c>
      <c r="F715" s="197" t="s">
        <v>318</v>
      </c>
      <c r="G715" s="181"/>
      <c r="H715" s="158"/>
      <c r="I715" s="158"/>
    </row>
    <row r="716" spans="2:9">
      <c r="B716" s="158" t="s">
        <v>398</v>
      </c>
      <c r="C716" s="158" t="e">
        <f>CONCATENATE("XP",Commodities!C228,#REF!)</f>
        <v>#REF!</v>
      </c>
      <c r="D716" s="158" t="e">
        <f xml:space="preserve"> CONCATENATE("Delivery of Pipeline Traded ",Commodities!C228," from ",#REF!)</f>
        <v>#REF!</v>
      </c>
      <c r="E716" s="197" t="s">
        <v>196</v>
      </c>
      <c r="F716" s="197" t="s">
        <v>318</v>
      </c>
      <c r="G716" s="181"/>
      <c r="H716" s="158"/>
      <c r="I716" s="158"/>
    </row>
    <row r="717" spans="2:9">
      <c r="B717" s="158" t="s">
        <v>398</v>
      </c>
      <c r="C717" s="158" t="e">
        <f>CONCATENATE("XP",Commodities!C229,#REF!)</f>
        <v>#REF!</v>
      </c>
      <c r="D717" s="158" t="e">
        <f xml:space="preserve"> CONCATENATE("Delivery of Pipeline Traded ",Commodities!C229," from ",#REF!)</f>
        <v>#REF!</v>
      </c>
      <c r="E717" s="197" t="s">
        <v>196</v>
      </c>
      <c r="F717" s="197" t="s">
        <v>318</v>
      </c>
      <c r="G717" s="181"/>
      <c r="H717" s="158"/>
      <c r="I717" s="158"/>
    </row>
    <row r="718" spans="2:9">
      <c r="B718" s="158" t="s">
        <v>398</v>
      </c>
      <c r="C718" s="158" t="e">
        <f>CONCATENATE("XP",Commodities!C230,#REF!)</f>
        <v>#REF!</v>
      </c>
      <c r="D718" s="158" t="e">
        <f xml:space="preserve"> CONCATENATE("Delivery of Pipeline Traded ",Commodities!C230," from ",#REF!)</f>
        <v>#REF!</v>
      </c>
      <c r="E718" s="197" t="s">
        <v>196</v>
      </c>
      <c r="F718" s="197" t="s">
        <v>318</v>
      </c>
      <c r="G718" s="181"/>
      <c r="H718" s="158"/>
      <c r="I718" s="158"/>
    </row>
    <row r="719" spans="2:9">
      <c r="B719" s="158" t="s">
        <v>398</v>
      </c>
      <c r="C719" s="158" t="e">
        <f>CONCATENATE("XP",Commodities!C231,#REF!)</f>
        <v>#REF!</v>
      </c>
      <c r="D719" s="158" t="e">
        <f xml:space="preserve"> CONCATENATE("Delivery of Pipeline Traded ",Commodities!C231," from ",#REF!)</f>
        <v>#REF!</v>
      </c>
      <c r="E719" s="197" t="s">
        <v>196</v>
      </c>
      <c r="F719" s="197" t="s">
        <v>318</v>
      </c>
      <c r="G719" s="181"/>
      <c r="H719" s="158"/>
      <c r="I719" s="158"/>
    </row>
    <row r="720" spans="2:9">
      <c r="B720" s="158" t="s">
        <v>398</v>
      </c>
      <c r="C720" s="158" t="e">
        <f>CONCATENATE("XP",Commodities!C232,#REF!)</f>
        <v>#REF!</v>
      </c>
      <c r="D720" s="158" t="e">
        <f xml:space="preserve"> CONCATENATE("Delivery of Pipeline Traded ",Commodities!C232," from ",#REF!)</f>
        <v>#REF!</v>
      </c>
      <c r="E720" s="197" t="s">
        <v>196</v>
      </c>
      <c r="F720" s="197" t="s">
        <v>318</v>
      </c>
      <c r="G720" s="181"/>
      <c r="H720" s="158"/>
      <c r="I720" s="158"/>
    </row>
    <row r="721" spans="2:9">
      <c r="B721" s="158" t="s">
        <v>398</v>
      </c>
      <c r="C721" s="158" t="e">
        <f>CONCATENATE("XP",Commodities!C233,#REF!)</f>
        <v>#REF!</v>
      </c>
      <c r="D721" s="158" t="e">
        <f xml:space="preserve"> CONCATENATE("Delivery of Pipeline Traded ",Commodities!C233," from ",#REF!)</f>
        <v>#REF!</v>
      </c>
      <c r="E721" s="197" t="s">
        <v>196</v>
      </c>
      <c r="F721" s="197" t="s">
        <v>318</v>
      </c>
      <c r="G721" s="181"/>
      <c r="H721" s="158"/>
      <c r="I721" s="158"/>
    </row>
    <row r="722" spans="2:9">
      <c r="B722" s="158" t="s">
        <v>398</v>
      </c>
      <c r="C722" s="158" t="e">
        <f>CONCATENATE("XP",Commodities!C234,#REF!)</f>
        <v>#REF!</v>
      </c>
      <c r="D722" s="158" t="e">
        <f xml:space="preserve"> CONCATENATE("Delivery of Pipeline Traded ",Commodities!C234," from ",#REF!)</f>
        <v>#REF!</v>
      </c>
      <c r="E722" s="197" t="s">
        <v>196</v>
      </c>
      <c r="F722" s="197" t="s">
        <v>318</v>
      </c>
      <c r="G722" s="181"/>
      <c r="H722" s="158"/>
      <c r="I722" s="158"/>
    </row>
    <row r="723" spans="2:9">
      <c r="B723" s="158" t="s">
        <v>398</v>
      </c>
      <c r="C723" s="158" t="e">
        <f>CONCATENATE("XP",Commodities!C235,#REF!)</f>
        <v>#REF!</v>
      </c>
      <c r="D723" s="158" t="e">
        <f xml:space="preserve"> CONCATENATE("Delivery of Pipeline Traded ",Commodities!C235," from ",#REF!)</f>
        <v>#REF!</v>
      </c>
      <c r="E723" s="197" t="s">
        <v>196</v>
      </c>
      <c r="F723" s="197" t="s">
        <v>318</v>
      </c>
      <c r="G723" s="181"/>
      <c r="H723" s="158"/>
      <c r="I723" s="158"/>
    </row>
    <row r="724" spans="2:9">
      <c r="B724" s="158" t="s">
        <v>398</v>
      </c>
      <c r="C724" s="158" t="e">
        <f>CONCATENATE("XP",Commodities!C236,#REF!)</f>
        <v>#REF!</v>
      </c>
      <c r="D724" s="158" t="e">
        <f xml:space="preserve"> CONCATENATE("Delivery of Pipeline Traded ",Commodities!C236," from ",#REF!)</f>
        <v>#REF!</v>
      </c>
      <c r="E724" s="197" t="s">
        <v>196</v>
      </c>
      <c r="F724" s="197" t="s">
        <v>318</v>
      </c>
      <c r="G724" s="181"/>
      <c r="H724" s="158"/>
      <c r="I724" s="158"/>
    </row>
    <row r="725" spans="2:9">
      <c r="B725" s="158" t="s">
        <v>398</v>
      </c>
      <c r="C725" s="158" t="e">
        <f>CONCATENATE("XP",Commodities!C237,#REF!)</f>
        <v>#REF!</v>
      </c>
      <c r="D725" s="158" t="e">
        <f xml:space="preserve"> CONCATENATE("Delivery of Pipeline Traded ",Commodities!C237," from ",#REF!)</f>
        <v>#REF!</v>
      </c>
      <c r="E725" s="197" t="s">
        <v>196</v>
      </c>
      <c r="F725" s="197" t="s">
        <v>318</v>
      </c>
      <c r="G725" s="181"/>
      <c r="H725" s="158"/>
      <c r="I725" s="158"/>
    </row>
    <row r="726" spans="2:9">
      <c r="B726" s="158" t="s">
        <v>398</v>
      </c>
      <c r="C726" s="158" t="e">
        <f>CONCATENATE("XP",Commodities!C238,#REF!)</f>
        <v>#REF!</v>
      </c>
      <c r="D726" s="158" t="e">
        <f xml:space="preserve"> CONCATENATE("Delivery of Pipeline Traded ",Commodities!C238," from ",#REF!)</f>
        <v>#REF!</v>
      </c>
      <c r="E726" s="197" t="s">
        <v>196</v>
      </c>
      <c r="F726" s="197" t="s">
        <v>318</v>
      </c>
      <c r="G726" s="181"/>
      <c r="H726" s="158"/>
      <c r="I726" s="158"/>
    </row>
    <row r="727" spans="2:9">
      <c r="B727" s="158" t="s">
        <v>398</v>
      </c>
      <c r="C727" s="158" t="e">
        <f>CONCATENATE("XP",Commodities!C239,#REF!)</f>
        <v>#REF!</v>
      </c>
      <c r="D727" s="158" t="e">
        <f xml:space="preserve"> CONCATENATE("Delivery of Pipeline Traded ",Commodities!C239," from ",#REF!)</f>
        <v>#REF!</v>
      </c>
      <c r="E727" s="197" t="s">
        <v>196</v>
      </c>
      <c r="F727" s="197" t="s">
        <v>318</v>
      </c>
      <c r="G727" s="181"/>
      <c r="H727" s="158"/>
      <c r="I727" s="158"/>
    </row>
    <row r="728" spans="2:9">
      <c r="B728" s="158" t="s">
        <v>398</v>
      </c>
      <c r="C728" s="158" t="e">
        <f>CONCATENATE("XP",Commodities!C241,#REF!)</f>
        <v>#REF!</v>
      </c>
      <c r="D728" s="158" t="e">
        <f xml:space="preserve"> CONCATENATE("Delivery of Pipeline Traded ",Commodities!C241," from ",#REF!)</f>
        <v>#REF!</v>
      </c>
      <c r="E728" s="197" t="s">
        <v>196</v>
      </c>
      <c r="F728" s="197" t="s">
        <v>318</v>
      </c>
      <c r="G728" s="181"/>
      <c r="H728" s="158"/>
      <c r="I728" s="158"/>
    </row>
    <row r="729" spans="2:9">
      <c r="B729" s="158" t="s">
        <v>398</v>
      </c>
      <c r="C729" s="158" t="e">
        <f>CONCATENATE("XP",Commodities!C242,#REF!)</f>
        <v>#REF!</v>
      </c>
      <c r="D729" s="158" t="e">
        <f xml:space="preserve"> CONCATENATE("Delivery of Pipeline Traded ",Commodities!C242," from ",#REF!)</f>
        <v>#REF!</v>
      </c>
      <c r="E729" s="197" t="s">
        <v>196</v>
      </c>
      <c r="F729" s="197" t="s">
        <v>318</v>
      </c>
      <c r="G729" s="181"/>
      <c r="H729" s="158"/>
      <c r="I729" s="158"/>
    </row>
    <row r="730" spans="2:9">
      <c r="B730" s="158" t="s">
        <v>398</v>
      </c>
      <c r="C730" s="158" t="e">
        <f>CONCATENATE("XP",Commodities!C243,#REF!)</f>
        <v>#REF!</v>
      </c>
      <c r="D730" s="158" t="e">
        <f xml:space="preserve"> CONCATENATE("Delivery of Pipeline Traded ",Commodities!C243," from ",#REF!)</f>
        <v>#REF!</v>
      </c>
      <c r="E730" s="197" t="s">
        <v>196</v>
      </c>
      <c r="F730" s="197" t="s">
        <v>318</v>
      </c>
      <c r="G730" s="181"/>
      <c r="H730" s="158"/>
      <c r="I730" s="158"/>
    </row>
    <row r="731" spans="2:9">
      <c r="B731" s="158" t="s">
        <v>398</v>
      </c>
      <c r="C731" s="158" t="e">
        <f>CONCATENATE("XP",Commodities!C244,#REF!)</f>
        <v>#REF!</v>
      </c>
      <c r="D731" s="158" t="e">
        <f xml:space="preserve"> CONCATENATE("Delivery of Pipeline Traded ",Commodities!C244," from ",#REF!)</f>
        <v>#REF!</v>
      </c>
      <c r="E731" s="197" t="s">
        <v>196</v>
      </c>
      <c r="F731" s="197" t="s">
        <v>318</v>
      </c>
      <c r="G731" s="181"/>
      <c r="H731" s="158"/>
      <c r="I731" s="158"/>
    </row>
    <row r="732" spans="2:9">
      <c r="B732" s="158" t="s">
        <v>398</v>
      </c>
      <c r="C732" s="158" t="e">
        <f>CONCATENATE("XP",Commodities!C245,#REF!)</f>
        <v>#REF!</v>
      </c>
      <c r="D732" s="158" t="e">
        <f xml:space="preserve"> CONCATENATE("Delivery of Pipeline Traded ",Commodities!C245," from ",#REF!)</f>
        <v>#REF!</v>
      </c>
      <c r="E732" s="197" t="s">
        <v>196</v>
      </c>
      <c r="F732" s="197" t="s">
        <v>318</v>
      </c>
      <c r="G732" s="181"/>
      <c r="H732" s="158"/>
      <c r="I732" s="158"/>
    </row>
    <row r="733" spans="2:9">
      <c r="B733" s="158" t="s">
        <v>398</v>
      </c>
      <c r="C733" s="158" t="e">
        <f>CONCATENATE("XP",Commodities!C246,#REF!)</f>
        <v>#REF!</v>
      </c>
      <c r="D733" s="158" t="e">
        <f xml:space="preserve"> CONCATENATE("Delivery of Pipeline Traded ",Commodities!C246," from ",#REF!)</f>
        <v>#REF!</v>
      </c>
      <c r="E733" s="197" t="s">
        <v>196</v>
      </c>
      <c r="F733" s="197" t="s">
        <v>318</v>
      </c>
      <c r="G733" s="181"/>
      <c r="H733" s="158"/>
      <c r="I733" s="158"/>
    </row>
    <row r="734" spans="2:9">
      <c r="B734" s="158" t="s">
        <v>398</v>
      </c>
      <c r="C734" s="158" t="e">
        <f>CONCATENATE("XP",Commodities!C222,#REF!)</f>
        <v>#REF!</v>
      </c>
      <c r="D734" s="158" t="e">
        <f xml:space="preserve"> CONCATENATE("Delivery of Pipeline Traded ",Commodities!C222," from ",#REF!)</f>
        <v>#REF!</v>
      </c>
      <c r="E734" s="197" t="s">
        <v>196</v>
      </c>
      <c r="F734" s="197" t="s">
        <v>318</v>
      </c>
      <c r="G734" s="181"/>
      <c r="H734" s="158"/>
      <c r="I734" s="158"/>
    </row>
    <row r="735" spans="2:9">
      <c r="B735" s="158" t="s">
        <v>398</v>
      </c>
      <c r="C735" s="158" t="e">
        <f>CONCATENATE("XP",Commodities!C223,#REF!)</f>
        <v>#REF!</v>
      </c>
      <c r="D735" s="158" t="e">
        <f xml:space="preserve"> CONCATENATE("Delivery of Pipeline Traded ",Commodities!C223," from ",#REF!)</f>
        <v>#REF!</v>
      </c>
      <c r="E735" s="197" t="s">
        <v>196</v>
      </c>
      <c r="F735" s="197" t="s">
        <v>318</v>
      </c>
      <c r="G735" s="181"/>
      <c r="H735" s="158"/>
      <c r="I735" s="158"/>
    </row>
    <row r="736" spans="2:9">
      <c r="B736" s="158" t="s">
        <v>398</v>
      </c>
      <c r="C736" s="158" t="e">
        <f>CONCATENATE("XP",Commodities!C224,#REF!)</f>
        <v>#REF!</v>
      </c>
      <c r="D736" s="158" t="e">
        <f xml:space="preserve"> CONCATENATE("Delivery of Pipeline Traded ",Commodities!C224," from ",#REF!)</f>
        <v>#REF!</v>
      </c>
      <c r="E736" s="197" t="s">
        <v>196</v>
      </c>
      <c r="F736" s="197" t="s">
        <v>318</v>
      </c>
      <c r="G736" s="181"/>
      <c r="H736" s="158"/>
      <c r="I736" s="158"/>
    </row>
    <row r="737" spans="2:9">
      <c r="B737" s="158" t="s">
        <v>398</v>
      </c>
      <c r="C737" s="158" t="e">
        <f>CONCATENATE("XP",Commodities!C225,#REF!)</f>
        <v>#REF!</v>
      </c>
      <c r="D737" s="158" t="e">
        <f xml:space="preserve"> CONCATENATE("Delivery of Pipeline Traded ",Commodities!C225," from ",#REF!)</f>
        <v>#REF!</v>
      </c>
      <c r="E737" s="197" t="s">
        <v>196</v>
      </c>
      <c r="F737" s="197" t="s">
        <v>318</v>
      </c>
      <c r="G737" s="181"/>
      <c r="H737" s="158"/>
      <c r="I737" s="158"/>
    </row>
    <row r="738" spans="2:9">
      <c r="B738" s="158" t="s">
        <v>398</v>
      </c>
      <c r="C738" s="158" t="e">
        <f>CONCATENATE("XP",Commodities!C226,#REF!)</f>
        <v>#REF!</v>
      </c>
      <c r="D738" s="158" t="e">
        <f xml:space="preserve"> CONCATENATE("Delivery of Pipeline Traded ",Commodities!C226," from ",#REF!)</f>
        <v>#REF!</v>
      </c>
      <c r="E738" s="197" t="s">
        <v>196</v>
      </c>
      <c r="F738" s="197" t="s">
        <v>318</v>
      </c>
      <c r="G738" s="181"/>
      <c r="H738" s="158"/>
      <c r="I738" s="158"/>
    </row>
    <row r="739" spans="2:9">
      <c r="B739" s="158" t="s">
        <v>398</v>
      </c>
      <c r="C739" s="158" t="e">
        <f>CONCATENATE("XP",Commodities!C227,#REF!)</f>
        <v>#REF!</v>
      </c>
      <c r="D739" s="158" t="e">
        <f xml:space="preserve"> CONCATENATE("Delivery of Pipeline Traded ",Commodities!C227," from ",#REF!)</f>
        <v>#REF!</v>
      </c>
      <c r="E739" s="197" t="s">
        <v>196</v>
      </c>
      <c r="F739" s="197" t="s">
        <v>318</v>
      </c>
      <c r="G739" s="181"/>
      <c r="H739" s="158"/>
      <c r="I739" s="158"/>
    </row>
    <row r="740" spans="2:9">
      <c r="B740" s="158" t="s">
        <v>398</v>
      </c>
      <c r="C740" s="158" t="e">
        <f>CONCATENATE("XP",Commodities!C228,#REF!)</f>
        <v>#REF!</v>
      </c>
      <c r="D740" s="158" t="e">
        <f xml:space="preserve"> CONCATENATE("Delivery of Pipeline Traded ",Commodities!C228," from ",#REF!)</f>
        <v>#REF!</v>
      </c>
      <c r="E740" s="197" t="s">
        <v>196</v>
      </c>
      <c r="F740" s="197" t="s">
        <v>318</v>
      </c>
      <c r="G740" s="181"/>
      <c r="H740" s="158"/>
      <c r="I740" s="158"/>
    </row>
    <row r="741" spans="2:9">
      <c r="B741" s="158" t="s">
        <v>398</v>
      </c>
      <c r="C741" s="158" t="e">
        <f>CONCATENATE("XP",Commodities!C229,#REF!)</f>
        <v>#REF!</v>
      </c>
      <c r="D741" s="158" t="e">
        <f xml:space="preserve"> CONCATENATE("Delivery of Pipeline Traded ",Commodities!C229," from ",#REF!)</f>
        <v>#REF!</v>
      </c>
      <c r="E741" s="197" t="s">
        <v>196</v>
      </c>
      <c r="F741" s="197" t="s">
        <v>318</v>
      </c>
      <c r="G741" s="181"/>
      <c r="H741" s="158"/>
      <c r="I741" s="158"/>
    </row>
    <row r="742" spans="2:9">
      <c r="B742" s="158" t="s">
        <v>398</v>
      </c>
      <c r="C742" s="158" t="e">
        <f>CONCATENATE("XP",Commodities!C230,#REF!)</f>
        <v>#REF!</v>
      </c>
      <c r="D742" s="158" t="e">
        <f xml:space="preserve"> CONCATENATE("Delivery of Pipeline Traded ",Commodities!C230," from ",#REF!)</f>
        <v>#REF!</v>
      </c>
      <c r="E742" s="197" t="s">
        <v>196</v>
      </c>
      <c r="F742" s="197" t="s">
        <v>318</v>
      </c>
      <c r="G742" s="181"/>
      <c r="H742" s="158"/>
      <c r="I742" s="158"/>
    </row>
    <row r="743" spans="2:9">
      <c r="B743" s="158" t="s">
        <v>398</v>
      </c>
      <c r="C743" s="158" t="e">
        <f>CONCATENATE("XP",Commodities!C231,#REF!)</f>
        <v>#REF!</v>
      </c>
      <c r="D743" s="158" t="e">
        <f xml:space="preserve"> CONCATENATE("Delivery of Pipeline Traded ",Commodities!C231," from ",#REF!)</f>
        <v>#REF!</v>
      </c>
      <c r="E743" s="197" t="s">
        <v>196</v>
      </c>
      <c r="F743" s="197" t="s">
        <v>318</v>
      </c>
      <c r="G743" s="181"/>
      <c r="H743" s="158"/>
      <c r="I743" s="158"/>
    </row>
    <row r="744" spans="2:9">
      <c r="B744" s="158" t="s">
        <v>398</v>
      </c>
      <c r="C744" s="158" t="e">
        <f>CONCATENATE("XP",Commodities!C232,#REF!)</f>
        <v>#REF!</v>
      </c>
      <c r="D744" s="158" t="e">
        <f xml:space="preserve"> CONCATENATE("Delivery of Pipeline Traded ",Commodities!C232," from ",#REF!)</f>
        <v>#REF!</v>
      </c>
      <c r="E744" s="197" t="s">
        <v>196</v>
      </c>
      <c r="F744" s="197" t="s">
        <v>318</v>
      </c>
      <c r="G744" s="181"/>
      <c r="H744" s="158"/>
      <c r="I744" s="158"/>
    </row>
    <row r="745" spans="2:9">
      <c r="B745" s="158" t="s">
        <v>398</v>
      </c>
      <c r="C745" s="158" t="e">
        <f>CONCATENATE("XP",Commodities!C233,#REF!)</f>
        <v>#REF!</v>
      </c>
      <c r="D745" s="158" t="e">
        <f xml:space="preserve"> CONCATENATE("Delivery of Pipeline Traded ",Commodities!C233," from ",#REF!)</f>
        <v>#REF!</v>
      </c>
      <c r="E745" s="197" t="s">
        <v>196</v>
      </c>
      <c r="F745" s="197" t="s">
        <v>318</v>
      </c>
      <c r="G745" s="181"/>
      <c r="H745" s="158"/>
      <c r="I745" s="158"/>
    </row>
    <row r="746" spans="2:9">
      <c r="B746" s="158" t="s">
        <v>398</v>
      </c>
      <c r="C746" s="158" t="e">
        <f>CONCATENATE("XP",Commodities!C234,#REF!)</f>
        <v>#REF!</v>
      </c>
      <c r="D746" s="158" t="e">
        <f xml:space="preserve"> CONCATENATE("Delivery of Pipeline Traded ",Commodities!C234," from ",#REF!)</f>
        <v>#REF!</v>
      </c>
      <c r="E746" s="197" t="s">
        <v>196</v>
      </c>
      <c r="F746" s="197" t="s">
        <v>318</v>
      </c>
      <c r="G746" s="181"/>
      <c r="H746" s="158"/>
      <c r="I746" s="158"/>
    </row>
    <row r="747" spans="2:9">
      <c r="B747" s="158" t="s">
        <v>398</v>
      </c>
      <c r="C747" s="158" t="e">
        <f>CONCATENATE("XP",Commodities!C235,#REF!)</f>
        <v>#REF!</v>
      </c>
      <c r="D747" s="158" t="e">
        <f xml:space="preserve"> CONCATENATE("Delivery of Pipeline Traded ",Commodities!C235," from ",#REF!)</f>
        <v>#REF!</v>
      </c>
      <c r="E747" s="197" t="s">
        <v>196</v>
      </c>
      <c r="F747" s="197" t="s">
        <v>318</v>
      </c>
      <c r="G747" s="181"/>
      <c r="H747" s="158"/>
      <c r="I747" s="158"/>
    </row>
    <row r="748" spans="2:9">
      <c r="B748" s="158" t="s">
        <v>398</v>
      </c>
      <c r="C748" s="158" t="e">
        <f>CONCATENATE("XP",Commodities!C236,#REF!)</f>
        <v>#REF!</v>
      </c>
      <c r="D748" s="158" t="e">
        <f xml:space="preserve"> CONCATENATE("Delivery of Pipeline Traded ",Commodities!C236," from ",#REF!)</f>
        <v>#REF!</v>
      </c>
      <c r="E748" s="197" t="s">
        <v>196</v>
      </c>
      <c r="F748" s="197" t="s">
        <v>318</v>
      </c>
      <c r="G748" s="181"/>
      <c r="H748" s="158"/>
      <c r="I748" s="158"/>
    </row>
    <row r="749" spans="2:9">
      <c r="B749" s="158" t="s">
        <v>398</v>
      </c>
      <c r="C749" s="158" t="e">
        <f>CONCATENATE("XP",Commodities!C237,#REF!)</f>
        <v>#REF!</v>
      </c>
      <c r="D749" s="158" t="e">
        <f xml:space="preserve"> CONCATENATE("Delivery of Pipeline Traded ",Commodities!C237," from ",#REF!)</f>
        <v>#REF!</v>
      </c>
      <c r="E749" s="197" t="s">
        <v>196</v>
      </c>
      <c r="F749" s="197" t="s">
        <v>318</v>
      </c>
      <c r="G749" s="181"/>
      <c r="H749" s="158"/>
      <c r="I749" s="158"/>
    </row>
    <row r="750" spans="2:9">
      <c r="B750" s="158" t="s">
        <v>398</v>
      </c>
      <c r="C750" s="158" t="e">
        <f>CONCATENATE("XP",Commodities!C238,#REF!)</f>
        <v>#REF!</v>
      </c>
      <c r="D750" s="158" t="e">
        <f xml:space="preserve"> CONCATENATE("Delivery of Pipeline Traded ",Commodities!C238," from ",#REF!)</f>
        <v>#REF!</v>
      </c>
      <c r="E750" s="197" t="s">
        <v>196</v>
      </c>
      <c r="F750" s="197" t="s">
        <v>318</v>
      </c>
      <c r="G750" s="181"/>
      <c r="H750" s="158"/>
      <c r="I750" s="158"/>
    </row>
    <row r="751" spans="2:9">
      <c r="B751" s="158" t="s">
        <v>398</v>
      </c>
      <c r="C751" s="158" t="e">
        <f>CONCATENATE("XP",Commodities!C239,#REF!)</f>
        <v>#REF!</v>
      </c>
      <c r="D751" s="158" t="e">
        <f xml:space="preserve"> CONCATENATE("Delivery of Pipeline Traded ",Commodities!C239," from ",#REF!)</f>
        <v>#REF!</v>
      </c>
      <c r="E751" s="197" t="s">
        <v>196</v>
      </c>
      <c r="F751" s="197" t="s">
        <v>318</v>
      </c>
      <c r="G751" s="181"/>
      <c r="H751" s="158"/>
      <c r="I751" s="158"/>
    </row>
    <row r="752" spans="2:9">
      <c r="B752" s="158" t="s">
        <v>398</v>
      </c>
      <c r="C752" s="158" t="e">
        <f>CONCATENATE("XP",Commodities!C241,#REF!)</f>
        <v>#REF!</v>
      </c>
      <c r="D752" s="158" t="e">
        <f xml:space="preserve"> CONCATENATE("Delivery of Pipeline Traded ",Commodities!C241," from ",#REF!)</f>
        <v>#REF!</v>
      </c>
      <c r="E752" s="197" t="s">
        <v>196</v>
      </c>
      <c r="F752" s="197" t="s">
        <v>318</v>
      </c>
      <c r="G752" s="181"/>
      <c r="H752" s="158"/>
      <c r="I752" s="158"/>
    </row>
    <row r="753" spans="2:9">
      <c r="B753" s="158" t="s">
        <v>398</v>
      </c>
      <c r="C753" s="158" t="e">
        <f>CONCATENATE("XP",Commodities!C242,#REF!)</f>
        <v>#REF!</v>
      </c>
      <c r="D753" s="158" t="e">
        <f xml:space="preserve"> CONCATENATE("Delivery of Pipeline Traded ",Commodities!C242," from ",#REF!)</f>
        <v>#REF!</v>
      </c>
      <c r="E753" s="197" t="s">
        <v>196</v>
      </c>
      <c r="F753" s="197" t="s">
        <v>318</v>
      </c>
      <c r="G753" s="181"/>
      <c r="H753" s="158"/>
      <c r="I753" s="158"/>
    </row>
    <row r="754" spans="2:9">
      <c r="B754" s="158" t="s">
        <v>398</v>
      </c>
      <c r="C754" s="158" t="e">
        <f>CONCATENATE("XP",Commodities!C243,#REF!)</f>
        <v>#REF!</v>
      </c>
      <c r="D754" s="158" t="e">
        <f xml:space="preserve"> CONCATENATE("Delivery of Pipeline Traded ",Commodities!C243," from ",#REF!)</f>
        <v>#REF!</v>
      </c>
      <c r="E754" s="197" t="s">
        <v>196</v>
      </c>
      <c r="F754" s="197" t="s">
        <v>318</v>
      </c>
      <c r="G754" s="181"/>
      <c r="H754" s="158"/>
      <c r="I754" s="158"/>
    </row>
    <row r="755" spans="2:9">
      <c r="B755" s="158" t="s">
        <v>398</v>
      </c>
      <c r="C755" s="158" t="e">
        <f>CONCATENATE("XP",Commodities!C244,#REF!)</f>
        <v>#REF!</v>
      </c>
      <c r="D755" s="158" t="e">
        <f xml:space="preserve"> CONCATENATE("Delivery of Pipeline Traded ",Commodities!C244," from ",#REF!)</f>
        <v>#REF!</v>
      </c>
      <c r="E755" s="197" t="s">
        <v>196</v>
      </c>
      <c r="F755" s="197" t="s">
        <v>318</v>
      </c>
      <c r="G755" s="181"/>
      <c r="H755" s="158"/>
      <c r="I755" s="158"/>
    </row>
    <row r="756" spans="2:9">
      <c r="B756" s="158" t="s">
        <v>398</v>
      </c>
      <c r="C756" s="158" t="e">
        <f>CONCATENATE("XP",Commodities!C245,#REF!)</f>
        <v>#REF!</v>
      </c>
      <c r="D756" s="158" t="e">
        <f xml:space="preserve"> CONCATENATE("Delivery of Pipeline Traded ",Commodities!C245," from ",#REF!)</f>
        <v>#REF!</v>
      </c>
      <c r="E756" s="197" t="s">
        <v>196</v>
      </c>
      <c r="F756" s="197" t="s">
        <v>318</v>
      </c>
      <c r="G756" s="181"/>
      <c r="H756" s="158"/>
      <c r="I756" s="158"/>
    </row>
    <row r="757" spans="2:9">
      <c r="B757" s="158" t="s">
        <v>398</v>
      </c>
      <c r="C757" s="158" t="e">
        <f>CONCATENATE("XP",Commodities!C246,#REF!)</f>
        <v>#REF!</v>
      </c>
      <c r="D757" s="158" t="e">
        <f xml:space="preserve"> CONCATENATE("Delivery of Pipeline Traded ",Commodities!C246," from ",#REF!)</f>
        <v>#REF!</v>
      </c>
      <c r="E757" s="197" t="s">
        <v>196</v>
      </c>
      <c r="F757" s="197" t="s">
        <v>318</v>
      </c>
      <c r="G757" s="181"/>
      <c r="H757" s="158"/>
      <c r="I757" s="158"/>
    </row>
    <row r="764" spans="2:9">
      <c r="B764" s="146" t="s">
        <v>394</v>
      </c>
    </row>
    <row r="765" spans="2:9">
      <c r="B765" s="147" t="str">
        <f>Commodities!B347</f>
        <v>*R1</v>
      </c>
      <c r="C765" s="147" t="str">
        <f>CONCATENATE("PCAP",LEFT(Commodities!C347,4))</f>
        <v>PCAPP1R1</v>
      </c>
      <c r="D765" s="147" t="str">
        <f>CONCATENATE("Capacity Limit of Pipeline for ",RIGHT(Commodities!D347,8))</f>
        <v>Capacity Limit of Pipeline for 1 to *R1</v>
      </c>
      <c r="E765" s="163" t="s">
        <v>196</v>
      </c>
      <c r="F765" s="163" t="s">
        <v>318</v>
      </c>
      <c r="G765" s="146" t="s">
        <v>395</v>
      </c>
    </row>
    <row r="766" spans="2:9">
      <c r="B766" s="147" t="s">
        <v>398</v>
      </c>
      <c r="C766" s="147" t="str">
        <f>CONCATENATE("PCAP",LEFT(Commodities!C348,4))</f>
        <v>PCAPP1R2</v>
      </c>
      <c r="D766" s="147" t="str">
        <f>CONCATENATE("Capacity Limit of Pipeline for ",RIGHT(Commodities!D348,8))</f>
        <v>Capacity Limit of Pipeline for 1 to *R2</v>
      </c>
      <c r="E766" s="163" t="s">
        <v>196</v>
      </c>
      <c r="F766" s="163" t="s">
        <v>318</v>
      </c>
      <c r="G766" s="146" t="s">
        <v>395</v>
      </c>
    </row>
    <row r="767" spans="2:9">
      <c r="B767" s="147" t="s">
        <v>398</v>
      </c>
      <c r="C767" s="147" t="str">
        <f>CONCATENATE("PCAP",LEFT(Commodities!C349,4))</f>
        <v>PCAPP1R3</v>
      </c>
      <c r="D767" s="147" t="str">
        <f>CONCATENATE("Capacity Limit of Pipeline for ",RIGHT(Commodities!D349,8))</f>
        <v>Capacity Limit of Pipeline for 1 to *R3</v>
      </c>
      <c r="E767" s="163" t="s">
        <v>196</v>
      </c>
      <c r="F767" s="163" t="s">
        <v>318</v>
      </c>
      <c r="G767" s="146" t="s">
        <v>395</v>
      </c>
    </row>
    <row r="768" spans="2:9">
      <c r="B768" s="147" t="s">
        <v>398</v>
      </c>
      <c r="C768" s="147" t="str">
        <f>CONCATENATE("PCAP",LEFT(Commodities!C350,4))</f>
        <v>PCAPP1R4</v>
      </c>
      <c r="D768" s="147" t="str">
        <f>CONCATENATE("Capacity Limit of Pipeline for ",RIGHT(Commodities!D350,8))</f>
        <v>Capacity Limit of Pipeline for 1 to *R4</v>
      </c>
      <c r="E768" s="163" t="s">
        <v>196</v>
      </c>
      <c r="F768" s="163" t="s">
        <v>318</v>
      </c>
      <c r="G768" s="146" t="s">
        <v>395</v>
      </c>
    </row>
    <row r="769" spans="2:7">
      <c r="B769" s="147" t="s">
        <v>398</v>
      </c>
      <c r="C769" s="147" t="str">
        <f>CONCATENATE("PCAP",LEFT(Commodities!C351,4))</f>
        <v>PCAPP1R5</v>
      </c>
      <c r="D769" s="147" t="str">
        <f>CONCATENATE("Capacity Limit of Pipeline for ",RIGHT(Commodities!D351,8))</f>
        <v>Capacity Limit of Pipeline for 1 to *R5</v>
      </c>
      <c r="E769" s="163" t="s">
        <v>196</v>
      </c>
      <c r="F769" s="163" t="s">
        <v>318</v>
      </c>
      <c r="G769" s="146" t="s">
        <v>395</v>
      </c>
    </row>
    <row r="770" spans="2:7">
      <c r="B770" s="147" t="s">
        <v>398</v>
      </c>
      <c r="C770" s="147" t="str">
        <f>CONCATENATE("PCAP",LEFT(Commodities!C352,4))</f>
        <v>PCAPP1R6</v>
      </c>
      <c r="D770" s="147" t="str">
        <f>CONCATENATE("Capacity Limit of Pipeline for ",RIGHT(Commodities!D352,8))</f>
        <v>Capacity Limit of Pipeline for 1 to *R6</v>
      </c>
      <c r="E770" s="163" t="s">
        <v>196</v>
      </c>
      <c r="F770" s="163" t="s">
        <v>318</v>
      </c>
      <c r="G770" s="146" t="s">
        <v>395</v>
      </c>
    </row>
    <row r="771" spans="2:7">
      <c r="B771" s="147" t="str">
        <f>Commodities!B353</f>
        <v>*R1</v>
      </c>
      <c r="C771" s="147" t="str">
        <f>CONCATENATE("PCAP",LEFT(Commodities!C353,4))</f>
        <v>PCAPP2R1</v>
      </c>
      <c r="D771" s="147" t="str">
        <f>CONCATENATE("Capacity Limit of Pipeline for ",RIGHT(Commodities!D353,8))</f>
        <v>Capacity Limit of Pipeline for 2 to *R1</v>
      </c>
      <c r="E771" s="163" t="s">
        <v>196</v>
      </c>
      <c r="F771" s="163" t="s">
        <v>318</v>
      </c>
      <c r="G771" s="146" t="s">
        <v>395</v>
      </c>
    </row>
    <row r="772" spans="2:7">
      <c r="B772" s="147" t="str">
        <f>Commodities!B354</f>
        <v>*R4</v>
      </c>
      <c r="C772" s="147" t="str">
        <f>CONCATENATE("PCAP",LEFT(Commodities!C354,4))</f>
        <v>PCAPP2R4</v>
      </c>
      <c r="D772" s="147" t="str">
        <f>CONCATENATE("Capacity Limit of Pipeline for ",RIGHT(Commodities!D354,8))</f>
        <v>Capacity Limit of Pipeline for 2 to *R4</v>
      </c>
      <c r="E772" s="163" t="s">
        <v>196</v>
      </c>
      <c r="F772" s="163" t="s">
        <v>318</v>
      </c>
      <c r="G772" s="146" t="s">
        <v>395</v>
      </c>
    </row>
    <row r="773" spans="2:7">
      <c r="B773" s="147" t="str">
        <f>Commodities!B355</f>
        <v>*R6</v>
      </c>
      <c r="C773" s="147" t="str">
        <f>CONCATENATE("PCAP",LEFT(Commodities!C355,4))</f>
        <v>PCAPP3R6</v>
      </c>
      <c r="D773" s="147" t="str">
        <f>CONCATENATE("Capacity Limit of Pipeline for ",RIGHT(Commodities!D355,8))</f>
        <v>Capacity Limit of Pipeline for 3 to *R6</v>
      </c>
      <c r="E773" s="163" t="s">
        <v>196</v>
      </c>
      <c r="F773" s="163" t="s">
        <v>318</v>
      </c>
      <c r="G773" s="146" t="s">
        <v>395</v>
      </c>
    </row>
    <row r="774" spans="2:7">
      <c r="B774" s="147" t="str">
        <f>Commodities!B356</f>
        <v>*R1</v>
      </c>
      <c r="C774" s="147" t="str">
        <f>CONCATENATE("PCAP",LEFT(Commodities!C356,4))</f>
        <v>PCAPP3R1</v>
      </c>
      <c r="D774" s="147" t="str">
        <f>CONCATENATE("Capacity Limit of Pipeline for ",RIGHT(Commodities!D356,8))</f>
        <v>Capacity Limit of Pipeline for 3 to *R1</v>
      </c>
      <c r="E774" s="163" t="s">
        <v>196</v>
      </c>
      <c r="F774" s="163" t="s">
        <v>318</v>
      </c>
      <c r="G774" s="146" t="s">
        <v>395</v>
      </c>
    </row>
    <row r="775" spans="2:7">
      <c r="B775" s="147" t="str">
        <f>Commodities!B357</f>
        <v>*R8</v>
      </c>
      <c r="C775" s="147" t="str">
        <f>CONCATENATE("PCAP",LEFT(Commodities!C357,4))</f>
        <v>PCAPP4R8</v>
      </c>
      <c r="D775" s="147" t="str">
        <f>CONCATENATE("Capacity Limit of Pipeline for ",RIGHT(Commodities!D357,8))</f>
        <v>Capacity Limit of Pipeline for 4 to *R8</v>
      </c>
      <c r="E775" s="163" t="s">
        <v>196</v>
      </c>
      <c r="F775" s="163" t="s">
        <v>318</v>
      </c>
      <c r="G775" s="146" t="s">
        <v>395</v>
      </c>
    </row>
    <row r="776" spans="2:7">
      <c r="B776" s="147" t="str">
        <f>Commodities!B358</f>
        <v>*R9</v>
      </c>
      <c r="C776" s="147" t="str">
        <f>CONCATENATE("PCAP",LEFT(Commodities!C358,4))</f>
        <v>PCAPP5R9</v>
      </c>
      <c r="D776" s="147" t="str">
        <f>CONCATENATE("Capacity Limit of Pipeline for ",RIGHT(Commodities!D358,8))</f>
        <v>Capacity Limit of Pipeline for 5 to *R9</v>
      </c>
      <c r="E776" s="163" t="s">
        <v>196</v>
      </c>
      <c r="F776" s="163" t="s">
        <v>318</v>
      </c>
      <c r="G776" s="146" t="s">
        <v>395</v>
      </c>
    </row>
    <row r="777" spans="2:7">
      <c r="B777" s="147" t="str">
        <f>Commodities!B347</f>
        <v>*R1</v>
      </c>
      <c r="C777" s="147" t="str">
        <f>CONCATENATE("PINV",LEFT(Commodities!C347,4))</f>
        <v>PINVP1R1</v>
      </c>
      <c r="D777" s="147" t="str">
        <f>CONCATENATE("Investment in Pipeline Expansion for ",RIGHT(Commodities!D347,8))</f>
        <v>Investment in Pipeline Expansion for 1 to *R1</v>
      </c>
      <c r="E777" s="163" t="s">
        <v>196</v>
      </c>
      <c r="F777" s="163" t="s">
        <v>318</v>
      </c>
      <c r="G777" s="146" t="s">
        <v>395</v>
      </c>
    </row>
    <row r="778" spans="2:7">
      <c r="B778" s="147" t="str">
        <f>Commodities!B348</f>
        <v>*R2</v>
      </c>
      <c r="C778" s="147" t="str">
        <f>CONCATENATE("PINV",LEFT(Commodities!C348,4))</f>
        <v>PINVP1R2</v>
      </c>
      <c r="D778" s="147" t="str">
        <f>CONCATENATE("Investment in Pipeline Expansion for ",RIGHT(Commodities!D348,8))</f>
        <v>Investment in Pipeline Expansion for 1 to *R2</v>
      </c>
      <c r="E778" s="163" t="s">
        <v>196</v>
      </c>
      <c r="F778" s="163" t="s">
        <v>318</v>
      </c>
      <c r="G778" s="146" t="s">
        <v>395</v>
      </c>
    </row>
    <row r="779" spans="2:7">
      <c r="B779" s="147" t="str">
        <f>Commodities!B351</f>
        <v>*R5</v>
      </c>
      <c r="C779" s="147" t="str">
        <f>CONCATENATE("PINV",LEFT(Commodities!C351,4))</f>
        <v>PINVP1R5</v>
      </c>
      <c r="D779" s="147" t="str">
        <f>CONCATENATE("Investment in Pipeline Expansion for ",RIGHT(Commodities!D351,8))</f>
        <v>Investment in Pipeline Expansion for 1 to *R5</v>
      </c>
      <c r="E779" s="163" t="s">
        <v>196</v>
      </c>
      <c r="F779" s="163" t="s">
        <v>318</v>
      </c>
      <c r="G779" s="146" t="s">
        <v>395</v>
      </c>
    </row>
    <row r="780" spans="2:7">
      <c r="B780" s="147" t="str">
        <f>Commodities!B353</f>
        <v>*R1</v>
      </c>
      <c r="C780" s="147" t="str">
        <f>CONCATENATE("PINV",LEFT(Commodities!C353,4))</f>
        <v>PINVP2R1</v>
      </c>
      <c r="D780" s="147" t="str">
        <f>CONCATENATE("Investment in Pipeline Expansion for ",RIGHT(Commodities!D353,8))</f>
        <v>Investment in Pipeline Expansion for 2 to *R1</v>
      </c>
      <c r="E780" s="163" t="s">
        <v>196</v>
      </c>
      <c r="F780" s="163" t="s">
        <v>318</v>
      </c>
      <c r="G780" s="146" t="s">
        <v>395</v>
      </c>
    </row>
    <row r="781" spans="2:7">
      <c r="B781" s="147" t="str">
        <f>Commodities!B354</f>
        <v>*R4</v>
      </c>
      <c r="C781" s="147" t="str">
        <f>CONCATENATE("PINV",LEFT(Commodities!C354,4))</f>
        <v>PINVP2R4</v>
      </c>
      <c r="D781" s="147" t="str">
        <f>CONCATENATE("Investment in Pipeline Expansion for ",RIGHT(Commodities!D354,8))</f>
        <v>Investment in Pipeline Expansion for 2 to *R4</v>
      </c>
      <c r="E781" s="163" t="s">
        <v>196</v>
      </c>
      <c r="F781" s="163" t="s">
        <v>318</v>
      </c>
      <c r="G781" s="146" t="s">
        <v>395</v>
      </c>
    </row>
    <row r="782" spans="2:7">
      <c r="B782" s="147" t="str">
        <f>Commodities!B355</f>
        <v>*R6</v>
      </c>
      <c r="C782" s="147" t="str">
        <f>CONCATENATE("PINV",LEFT(Commodities!C355,4))</f>
        <v>PINVP3R6</v>
      </c>
      <c r="D782" s="147" t="str">
        <f>CONCATENATE("Investment in Pipeline Expansion for ",RIGHT(Commodities!D355,8))</f>
        <v>Investment in Pipeline Expansion for 3 to *R6</v>
      </c>
      <c r="E782" s="163" t="s">
        <v>196</v>
      </c>
      <c r="F782" s="163" t="s">
        <v>318</v>
      </c>
      <c r="G782" s="146" t="s">
        <v>395</v>
      </c>
    </row>
    <row r="783" spans="2:7">
      <c r="B783" s="147" t="str">
        <f>Commodities!B356</f>
        <v>*R1</v>
      </c>
      <c r="C783" s="147" t="str">
        <f>CONCATENATE("PINV",LEFT(Commodities!C356,4))</f>
        <v>PINVP3R1</v>
      </c>
      <c r="D783" s="147" t="str">
        <f>CONCATENATE("Investment in Pipeline Expansion for ",RIGHT(Commodities!D356,8))</f>
        <v>Investment in Pipeline Expansion for 3 to *R1</v>
      </c>
      <c r="E783" s="163" t="s">
        <v>196</v>
      </c>
      <c r="F783" s="163" t="s">
        <v>318</v>
      </c>
      <c r="G783" s="146" t="s">
        <v>395</v>
      </c>
    </row>
    <row r="784" spans="2:7">
      <c r="B784" s="147" t="str">
        <f>Commodities!B357</f>
        <v>*R8</v>
      </c>
      <c r="C784" s="147" t="str">
        <f>CONCATENATE("PINV",LEFT(Commodities!C357,4))</f>
        <v>PINVP4R8</v>
      </c>
      <c r="D784" s="147" t="str">
        <f>CONCATENATE("Investment in Pipeline Expansion for ",RIGHT(Commodities!D357,8))</f>
        <v>Investment in Pipeline Expansion for 4 to *R8</v>
      </c>
      <c r="E784" s="163" t="s">
        <v>196</v>
      </c>
      <c r="F784" s="163" t="s">
        <v>318</v>
      </c>
      <c r="G784" s="146" t="s">
        <v>395</v>
      </c>
    </row>
    <row r="785" spans="2:7">
      <c r="B785" s="147" t="str">
        <f>Commodities!B358</f>
        <v>*R9</v>
      </c>
      <c r="C785" s="147" t="str">
        <f>CONCATENATE("PINV",LEFT(Commodities!C358,4))</f>
        <v>PINVP5R9</v>
      </c>
      <c r="D785" s="147" t="str">
        <f>CONCATENATE("Investment in Pipeline Expansion for ",RIGHT(Commodities!D358,8))</f>
        <v>Investment in Pipeline Expansion for 5 to *R9</v>
      </c>
      <c r="E785" s="163" t="s">
        <v>196</v>
      </c>
      <c r="F785" s="163" t="s">
        <v>318</v>
      </c>
      <c r="G785" s="146" t="s">
        <v>395</v>
      </c>
    </row>
    <row r="786" spans="2:7">
      <c r="B786" s="146" t="s">
        <v>396</v>
      </c>
    </row>
    <row r="787" spans="2:7">
      <c r="B787" s="147" t="str">
        <f>Commodities!B361</f>
        <v>*R4</v>
      </c>
      <c r="C787" s="147" t="str">
        <f>CONCATENATE("PCAP",LEFT(Commodities!C361,4))</f>
        <v>PCAPR3R4</v>
      </c>
      <c r="D787" s="147" t="str">
        <f>CONCATENATE("Capacity Limit of Pipeline for ",RIGHT(Commodities!D361,8))</f>
        <v>Capacity Limit of Pipeline for 3 to *R4</v>
      </c>
      <c r="E787" s="163" t="s">
        <v>196</v>
      </c>
      <c r="F787" s="163" t="s">
        <v>318</v>
      </c>
      <c r="G787" s="146" t="s">
        <v>395</v>
      </c>
    </row>
    <row r="788" spans="2:7">
      <c r="B788" s="147" t="str">
        <f>Commodities!B362</f>
        <v>*R6</v>
      </c>
      <c r="C788" s="147" t="str">
        <f>CONCATENATE("PCAP",LEFT(Commodities!C362,4))</f>
        <v>PCAPR3R6</v>
      </c>
      <c r="D788" s="147" t="str">
        <f>CONCATENATE("Capacity Limit of Pipeline for ",RIGHT(Commodities!D362,8))</f>
        <v>Capacity Limit of Pipeline for 3 to *R6</v>
      </c>
      <c r="E788" s="163" t="s">
        <v>196</v>
      </c>
      <c r="F788" s="163" t="s">
        <v>318</v>
      </c>
      <c r="G788" s="146" t="s">
        <v>395</v>
      </c>
    </row>
    <row r="789" spans="2:7">
      <c r="B789" s="147" t="str">
        <f>Commodities!B363</f>
        <v>*R6</v>
      </c>
      <c r="C789" s="147" t="str">
        <f>CONCATENATE("PCAP",LEFT(Commodities!C363,4))</f>
        <v>PCAPR2R6</v>
      </c>
      <c r="D789" s="147" t="str">
        <f>CONCATENATE("Capacity Limit of Pipeline for ",RIGHT(Commodities!D363,8))</f>
        <v>Capacity Limit of Pipeline for 2 to *R6</v>
      </c>
      <c r="E789" s="163" t="s">
        <v>196</v>
      </c>
      <c r="F789" s="163" t="s">
        <v>318</v>
      </c>
      <c r="G789" s="146" t="s">
        <v>395</v>
      </c>
    </row>
    <row r="790" spans="2:7">
      <c r="B790" s="147" t="str">
        <f>Commodities!B364</f>
        <v>*R5</v>
      </c>
      <c r="C790" s="147" t="str">
        <f>CONCATENATE("PCAP",LEFT(Commodities!C364,4))</f>
        <v>PCAPR2R5</v>
      </c>
      <c r="D790" s="147" t="str">
        <f>CONCATENATE("Capacity Limit of Pipeline for ",RIGHT(Commodities!D364,8))</f>
        <v>Capacity Limit of Pipeline for 2 to *R5</v>
      </c>
      <c r="E790" s="163" t="s">
        <v>196</v>
      </c>
      <c r="F790" s="163" t="s">
        <v>318</v>
      </c>
      <c r="G790" s="146" t="s">
        <v>395</v>
      </c>
    </row>
    <row r="791" spans="2:7">
      <c r="B791" s="147" t="str">
        <f>Commodities!B365</f>
        <v>*R2</v>
      </c>
      <c r="C791" s="147" t="str">
        <f>CONCATENATE("PCAP",LEFT(Commodities!C365,4))</f>
        <v>PCAPR4R2</v>
      </c>
      <c r="D791" s="147" t="str">
        <f>CONCATENATE("Capacity Limit of Pipeline for ",RIGHT(Commodities!D365,8))</f>
        <v>Capacity Limit of Pipeline for 4 to *R2</v>
      </c>
      <c r="E791" s="163" t="s">
        <v>196</v>
      </c>
      <c r="F791" s="163" t="s">
        <v>318</v>
      </c>
      <c r="G791" s="146" t="s">
        <v>395</v>
      </c>
    </row>
    <row r="792" spans="2:7">
      <c r="B792" s="147" t="str">
        <f>Commodities!B366</f>
        <v>*R6</v>
      </c>
      <c r="C792" s="147" t="str">
        <f>CONCATENATE("PCAP",LEFT(Commodities!C366,4))</f>
        <v>PCAPR4R6</v>
      </c>
      <c r="D792" s="147" t="str">
        <f>CONCATENATE("Capacity Limit of Pipeline for ",RIGHT(Commodities!D366,8))</f>
        <v>Capacity Limit of Pipeline for 4 to *R6</v>
      </c>
      <c r="E792" s="163" t="s">
        <v>196</v>
      </c>
      <c r="F792" s="163" t="s">
        <v>318</v>
      </c>
      <c r="G792" s="146" t="s">
        <v>395</v>
      </c>
    </row>
    <row r="793" spans="2:7">
      <c r="B793" s="147" t="str">
        <f>Commodities!B367</f>
        <v>*R3</v>
      </c>
      <c r="C793" s="147" t="str">
        <f>CONCATENATE("PCAP",LEFT(Commodities!C367,4))</f>
        <v>PCAPR4R3</v>
      </c>
      <c r="D793" s="147" t="str">
        <f>CONCATENATE("Capacity Limit of Pipeline for ",RIGHT(Commodities!D367,8))</f>
        <v>Capacity Limit of Pipeline for 4 to *R3</v>
      </c>
      <c r="E793" s="163" t="s">
        <v>196</v>
      </c>
      <c r="F793" s="163" t="s">
        <v>318</v>
      </c>
      <c r="G793" s="146" t="s">
        <v>395</v>
      </c>
    </row>
    <row r="794" spans="2:7">
      <c r="B794" s="147" t="str">
        <f>Commodities!B368</f>
        <v>*R5</v>
      </c>
      <c r="C794" s="147" t="str">
        <f>CONCATENATE("PCAP",LEFT(Commodities!C368,4))</f>
        <v>PCAPR4R5</v>
      </c>
      <c r="D794" s="147" t="str">
        <f>CONCATENATE("Capacity Limit of Pipeline for ",RIGHT(Commodities!D368,8))</f>
        <v>Capacity Limit of Pipeline for 4 to *R5</v>
      </c>
      <c r="E794" s="163" t="s">
        <v>196</v>
      </c>
      <c r="F794" s="163" t="s">
        <v>318</v>
      </c>
      <c r="G794" s="146" t="s">
        <v>395</v>
      </c>
    </row>
    <row r="795" spans="2:7">
      <c r="B795" s="147" t="str">
        <f>Commodities!B369</f>
        <v>*R2</v>
      </c>
      <c r="C795" s="147" t="str">
        <f>CONCATENATE("PCAP",LEFT(Commodities!C369,4))</f>
        <v>PCAPR5R2</v>
      </c>
      <c r="D795" s="147" t="str">
        <f>CONCATENATE("Capacity Limit of Pipeline for ",RIGHT(Commodities!D369,8))</f>
        <v>Capacity Limit of Pipeline for 5 to *R2</v>
      </c>
      <c r="E795" s="163" t="s">
        <v>196</v>
      </c>
      <c r="F795" s="163" t="s">
        <v>318</v>
      </c>
      <c r="G795" s="146" t="s">
        <v>395</v>
      </c>
    </row>
    <row r="796" spans="2:7">
      <c r="B796" s="147" t="str">
        <f>Commodities!B370</f>
        <v>*R4</v>
      </c>
      <c r="C796" s="147" t="str">
        <f>CONCATENATE("PCAP",LEFT(Commodities!C370,4))</f>
        <v>PCAPR5R4</v>
      </c>
      <c r="D796" s="147" t="str">
        <f>CONCATENATE("Capacity Limit of Pipeline for ",RIGHT(Commodities!D370,8))</f>
        <v>Capacity Limit of Pipeline for 5 to *R4</v>
      </c>
      <c r="E796" s="163" t="s">
        <v>196</v>
      </c>
      <c r="F796" s="163" t="s">
        <v>318</v>
      </c>
      <c r="G796" s="146" t="s">
        <v>395</v>
      </c>
    </row>
    <row r="797" spans="2:7">
      <c r="B797" s="147" t="str">
        <f>Commodities!B371</f>
        <v>*R3</v>
      </c>
      <c r="C797" s="147" t="str">
        <f>CONCATENATE("PCAP",LEFT(Commodities!C371,4))</f>
        <v>PCAPR6R3</v>
      </c>
      <c r="D797" s="147" t="str">
        <f>CONCATENATE("Capacity Limit of Pipeline for ",RIGHT(Commodities!D371,8))</f>
        <v>Capacity Limit of Pipeline for 6 to *R3</v>
      </c>
      <c r="E797" s="163" t="s">
        <v>196</v>
      </c>
      <c r="F797" s="163" t="s">
        <v>318</v>
      </c>
      <c r="G797" s="146" t="s">
        <v>395</v>
      </c>
    </row>
    <row r="798" spans="2:7">
      <c r="B798" s="147" t="str">
        <f>Commodities!B372</f>
        <v>*R4</v>
      </c>
      <c r="C798" s="147" t="str">
        <f>CONCATENATE("PCAP",LEFT(Commodities!C372,4))</f>
        <v>PCAPR6R4</v>
      </c>
      <c r="D798" s="147" t="str">
        <f>CONCATENATE("Capacity Limit of Pipeline for ",RIGHT(Commodities!D372,8))</f>
        <v>Capacity Limit of Pipeline for 6 to *R4</v>
      </c>
      <c r="E798" s="163" t="s">
        <v>196</v>
      </c>
      <c r="F798" s="163" t="s">
        <v>318</v>
      </c>
      <c r="G798" s="146" t="s">
        <v>395</v>
      </c>
    </row>
    <row r="799" spans="2:7">
      <c r="B799" s="147" t="str">
        <f>Commodities!B373</f>
        <v>*R2</v>
      </c>
      <c r="C799" s="147" t="str">
        <f>CONCATENATE("PCAP",LEFT(Commodities!C373,4))</f>
        <v>PCAPR6R2</v>
      </c>
      <c r="D799" s="147" t="str">
        <f>CONCATENATE("Capacity Limit of Pipeline for ",RIGHT(Commodities!D373,8))</f>
        <v>Capacity Limit of Pipeline for 6 to *R2</v>
      </c>
      <c r="E799" s="163" t="s">
        <v>196</v>
      </c>
      <c r="F799" s="163" t="s">
        <v>318</v>
      </c>
      <c r="G799" s="146" t="s">
        <v>395</v>
      </c>
    </row>
    <row r="800" spans="2:7">
      <c r="B800" s="147" t="str">
        <f>Commodities!B374</f>
        <v>R2</v>
      </c>
      <c r="C800" s="147" t="str">
        <f>CONCATENATE("PCAP",LEFT(Commodities!C374,4))</f>
        <v>PCAPR1R2</v>
      </c>
      <c r="D800" s="147" t="str">
        <f>CONCATENATE("Capacity Limit of Pipeline for ",RIGHT(Commodities!D374,8))</f>
        <v>Capacity Limit of Pipeline for R1 to R2</v>
      </c>
      <c r="E800" s="163" t="s">
        <v>196</v>
      </c>
      <c r="F800" s="163" t="s">
        <v>318</v>
      </c>
      <c r="G800" s="146" t="s">
        <v>395</v>
      </c>
    </row>
    <row r="801" spans="2:7">
      <c r="B801" s="147" t="str">
        <f>Commodities!B375</f>
        <v>R3</v>
      </c>
      <c r="C801" s="147" t="str">
        <f>CONCATENATE("PCAP",LEFT(Commodities!C375,4))</f>
        <v>PCAPR1R3</v>
      </c>
      <c r="D801" s="147" t="str">
        <f>CONCATENATE("Capacity Limit of Pipeline for ",RIGHT(Commodities!D375,8))</f>
        <v>Capacity Limit of Pipeline for R1 to R3</v>
      </c>
      <c r="E801" s="163" t="s">
        <v>196</v>
      </c>
      <c r="F801" s="163" t="s">
        <v>318</v>
      </c>
      <c r="G801" s="146" t="s">
        <v>395</v>
      </c>
    </row>
    <row r="802" spans="2:7">
      <c r="B802" s="147" t="str">
        <f>Commodities!B376</f>
        <v>R4</v>
      </c>
      <c r="C802" s="147" t="str">
        <f>CONCATENATE("PCAP",LEFT(Commodities!C376,4))</f>
        <v>PCAPR1R4</v>
      </c>
      <c r="D802" s="147" t="str">
        <f>CONCATENATE("Capacity Limit of Pipeline for ",RIGHT(Commodities!D376,8))</f>
        <v>Capacity Limit of Pipeline for R1 to R4</v>
      </c>
      <c r="E802" s="163" t="s">
        <v>196</v>
      </c>
      <c r="F802" s="163" t="s">
        <v>318</v>
      </c>
      <c r="G802" s="146" t="s">
        <v>395</v>
      </c>
    </row>
    <row r="803" spans="2:7">
      <c r="B803" s="147" t="str">
        <f>Commodities!B377</f>
        <v>R5</v>
      </c>
      <c r="C803" s="147" t="str">
        <f>CONCATENATE("PCAP",LEFT(Commodities!C377,4))</f>
        <v>PCAPR1R5</v>
      </c>
      <c r="D803" s="147" t="str">
        <f>CONCATENATE("Capacity Limit of Pipeline for ",RIGHT(Commodities!D377,8))</f>
        <v>Capacity Limit of Pipeline for R1 to R5</v>
      </c>
      <c r="E803" s="163" t="s">
        <v>196</v>
      </c>
      <c r="F803" s="163" t="s">
        <v>318</v>
      </c>
      <c r="G803" s="146" t="s">
        <v>395</v>
      </c>
    </row>
    <row r="804" spans="2:7">
      <c r="B804" s="147" t="str">
        <f>Commodities!B378</f>
        <v>R6</v>
      </c>
      <c r="C804" s="147" t="str">
        <f>CONCATENATE("PCAP",LEFT(Commodities!C378,4))</f>
        <v>PCAPR1R6</v>
      </c>
      <c r="D804" s="147" t="str">
        <f>CONCATENATE("Capacity Limit of Pipeline for ",RIGHT(Commodities!D378,8))</f>
        <v>Capacity Limit of Pipeline for R1 to R6</v>
      </c>
      <c r="E804" s="163" t="s">
        <v>196</v>
      </c>
      <c r="F804" s="163" t="s">
        <v>318</v>
      </c>
      <c r="G804" s="146" t="s">
        <v>395</v>
      </c>
    </row>
    <row r="805" spans="2:7">
      <c r="B805" s="147" t="str">
        <f>Commodities!B379</f>
        <v>*R4</v>
      </c>
      <c r="C805" s="147" t="str">
        <f>CONCATENATE("PCAP",LEFT(Commodities!C379,4))</f>
        <v>PCAPR8R4</v>
      </c>
      <c r="D805" s="147" t="str">
        <f>CONCATENATE("Capacity Limit of Pipeline for ",RIGHT(Commodities!D379,8))</f>
        <v>Capacity Limit of Pipeline for 8 to *R4</v>
      </c>
      <c r="E805" s="163" t="s">
        <v>196</v>
      </c>
      <c r="F805" s="163" t="s">
        <v>318</v>
      </c>
      <c r="G805" s="146" t="s">
        <v>395</v>
      </c>
    </row>
    <row r="806" spans="2:7">
      <c r="B806" s="147" t="str">
        <f>Commodities!B380</f>
        <v>*R9</v>
      </c>
      <c r="C806" s="147" t="str">
        <f>CONCATENATE("PCAP",LEFT(Commodities!C380,4))</f>
        <v>PCAPR8R9</v>
      </c>
      <c r="D806" s="147" t="str">
        <f>CONCATENATE("Capacity Limit of Pipeline for ",RIGHT(Commodities!D380,8))</f>
        <v>Capacity Limit of Pipeline for 8 to *R9</v>
      </c>
      <c r="E806" s="163" t="s">
        <v>196</v>
      </c>
      <c r="F806" s="163" t="s">
        <v>318</v>
      </c>
      <c r="G806" s="146" t="s">
        <v>395</v>
      </c>
    </row>
    <row r="807" spans="2:7">
      <c r="B807" s="147" t="str">
        <f>Commodities!B361</f>
        <v>*R4</v>
      </c>
      <c r="C807" s="147" t="str">
        <f>CONCATENATE("PINV",LEFT(Commodities!C361,4))</f>
        <v>PINVR3R4</v>
      </c>
      <c r="D807" s="147" t="str">
        <f>CONCATENATE("Investment in Pipeline Expansion for ",RIGHT(Commodities!D361,8))</f>
        <v>Investment in Pipeline Expansion for 3 to *R4</v>
      </c>
      <c r="E807" s="163" t="s">
        <v>196</v>
      </c>
      <c r="F807" s="163" t="s">
        <v>318</v>
      </c>
      <c r="G807" s="146" t="s">
        <v>395</v>
      </c>
    </row>
    <row r="808" spans="2:7">
      <c r="B808" s="147" t="str">
        <f>Commodities!B362</f>
        <v>*R6</v>
      </c>
      <c r="C808" s="147" t="str">
        <f>CONCATENATE("PINV",LEFT(Commodities!C362,4))</f>
        <v>PINVR3R6</v>
      </c>
      <c r="D808" s="147" t="str">
        <f>CONCATENATE("Investment in Pipeline Expansion for ",RIGHT(Commodities!D362,8))</f>
        <v>Investment in Pipeline Expansion for 3 to *R6</v>
      </c>
      <c r="E808" s="163" t="s">
        <v>196</v>
      </c>
      <c r="F808" s="163" t="s">
        <v>318</v>
      </c>
      <c r="G808" s="146" t="s">
        <v>395</v>
      </c>
    </row>
    <row r="809" spans="2:7">
      <c r="B809" s="147" t="str">
        <f>Commodities!B363</f>
        <v>*R6</v>
      </c>
      <c r="C809" s="147" t="str">
        <f>CONCATENATE("PINV",LEFT(Commodities!C363,4))</f>
        <v>PINVR2R6</v>
      </c>
      <c r="D809" s="147" t="str">
        <f>CONCATENATE("Investment in Pipeline Expansion for ",RIGHT(Commodities!D363,8))</f>
        <v>Investment in Pipeline Expansion for 2 to *R6</v>
      </c>
      <c r="E809" s="163" t="s">
        <v>196</v>
      </c>
      <c r="F809" s="163" t="s">
        <v>318</v>
      </c>
      <c r="G809" s="146" t="s">
        <v>395</v>
      </c>
    </row>
    <row r="810" spans="2:7">
      <c r="B810" s="147" t="str">
        <f>Commodities!B364</f>
        <v>*R5</v>
      </c>
      <c r="C810" s="147" t="str">
        <f>CONCATENATE("PINV",LEFT(Commodities!C364,4))</f>
        <v>PINVR2R5</v>
      </c>
      <c r="D810" s="147" t="str">
        <f>CONCATENATE("Investment in Pipeline Expansion for ",RIGHT(Commodities!D364,8))</f>
        <v>Investment in Pipeline Expansion for 2 to *R5</v>
      </c>
      <c r="E810" s="163" t="s">
        <v>196</v>
      </c>
      <c r="F810" s="163" t="s">
        <v>318</v>
      </c>
      <c r="G810" s="146" t="s">
        <v>395</v>
      </c>
    </row>
    <row r="811" spans="2:7">
      <c r="B811" s="147" t="str">
        <f>Commodities!B365</f>
        <v>*R2</v>
      </c>
      <c r="C811" s="147" t="str">
        <f>CONCATENATE("PINV",LEFT(Commodities!C365,4))</f>
        <v>PINVR4R2</v>
      </c>
      <c r="D811" s="147" t="str">
        <f>CONCATENATE("Investment in Pipeline Expansion for ",RIGHT(Commodities!D365,8))</f>
        <v>Investment in Pipeline Expansion for 4 to *R2</v>
      </c>
      <c r="E811" s="163" t="s">
        <v>196</v>
      </c>
      <c r="F811" s="163" t="s">
        <v>318</v>
      </c>
      <c r="G811" s="146" t="s">
        <v>395</v>
      </c>
    </row>
    <row r="812" spans="2:7">
      <c r="B812" s="147" t="str">
        <f>Commodities!B366</f>
        <v>*R6</v>
      </c>
      <c r="C812" s="147" t="str">
        <f>CONCATENATE("PINV",LEFT(Commodities!C366,4))</f>
        <v>PINVR4R6</v>
      </c>
      <c r="D812" s="147" t="str">
        <f>CONCATENATE("Investment in Pipeline Expansion for ",RIGHT(Commodities!D366,8))</f>
        <v>Investment in Pipeline Expansion for 4 to *R6</v>
      </c>
      <c r="E812" s="163" t="s">
        <v>196</v>
      </c>
      <c r="F812" s="163" t="s">
        <v>318</v>
      </c>
      <c r="G812" s="146" t="s">
        <v>395</v>
      </c>
    </row>
    <row r="813" spans="2:7">
      <c r="B813" s="147" t="str">
        <f>Commodities!B367</f>
        <v>*R3</v>
      </c>
      <c r="C813" s="147" t="str">
        <f>CONCATENATE("PINV",LEFT(Commodities!C367,4))</f>
        <v>PINVR4R3</v>
      </c>
      <c r="D813" s="147" t="str">
        <f>CONCATENATE("Investment in Pipeline Expansion for ",RIGHT(Commodities!D367,8))</f>
        <v>Investment in Pipeline Expansion for 4 to *R3</v>
      </c>
      <c r="E813" s="163" t="s">
        <v>196</v>
      </c>
      <c r="F813" s="163" t="s">
        <v>318</v>
      </c>
      <c r="G813" s="146" t="s">
        <v>395</v>
      </c>
    </row>
    <row r="814" spans="2:7">
      <c r="B814" s="147" t="str">
        <f>Commodities!B368</f>
        <v>*R5</v>
      </c>
      <c r="C814" s="147" t="str">
        <f>CONCATENATE("PINV",LEFT(Commodities!C368,4))</f>
        <v>PINVR4R5</v>
      </c>
      <c r="D814" s="147" t="str">
        <f>CONCATENATE("Investment in Pipeline Expansion for ",RIGHT(Commodities!D368,8))</f>
        <v>Investment in Pipeline Expansion for 4 to *R5</v>
      </c>
      <c r="E814" s="163" t="s">
        <v>196</v>
      </c>
      <c r="F814" s="163" t="s">
        <v>318</v>
      </c>
      <c r="G814" s="146" t="s">
        <v>395</v>
      </c>
    </row>
    <row r="815" spans="2:7">
      <c r="B815" s="147" t="str">
        <f>Commodities!B369</f>
        <v>*R2</v>
      </c>
      <c r="C815" s="147" t="str">
        <f>CONCATENATE("PINV",LEFT(Commodities!C369,4))</f>
        <v>PINVR5R2</v>
      </c>
      <c r="D815" s="147" t="str">
        <f>CONCATENATE("Investment in Pipeline Expansion for ",RIGHT(Commodities!D369,8))</f>
        <v>Investment in Pipeline Expansion for 5 to *R2</v>
      </c>
      <c r="E815" s="163" t="s">
        <v>196</v>
      </c>
      <c r="F815" s="163" t="s">
        <v>318</v>
      </c>
      <c r="G815" s="146" t="s">
        <v>395</v>
      </c>
    </row>
    <row r="816" spans="2:7">
      <c r="B816" s="147" t="str">
        <f>Commodities!B370</f>
        <v>*R4</v>
      </c>
      <c r="C816" s="147" t="str">
        <f>CONCATENATE("PINV",LEFT(Commodities!C370,4))</f>
        <v>PINVR5R4</v>
      </c>
      <c r="D816" s="147" t="str">
        <f>CONCATENATE("Investment in Pipeline Expansion for ",RIGHT(Commodities!D370,8))</f>
        <v>Investment in Pipeline Expansion for 5 to *R4</v>
      </c>
      <c r="E816" s="163" t="s">
        <v>196</v>
      </c>
      <c r="F816" s="163" t="s">
        <v>318</v>
      </c>
      <c r="G816" s="146" t="s">
        <v>395</v>
      </c>
    </row>
    <row r="817" spans="2:8">
      <c r="B817" s="147" t="str">
        <f>Commodities!B371</f>
        <v>*R3</v>
      </c>
      <c r="C817" s="147" t="str">
        <f>CONCATENATE("PINV",LEFT(Commodities!C371,4))</f>
        <v>PINVR6R3</v>
      </c>
      <c r="D817" s="147" t="str">
        <f>CONCATENATE("Investment in Pipeline Expansion for ",RIGHT(Commodities!D371,8))</f>
        <v>Investment in Pipeline Expansion for 6 to *R3</v>
      </c>
      <c r="E817" s="163" t="s">
        <v>196</v>
      </c>
      <c r="F817" s="163" t="s">
        <v>318</v>
      </c>
      <c r="G817" s="146" t="s">
        <v>395</v>
      </c>
    </row>
    <row r="818" spans="2:8">
      <c r="B818" s="147" t="str">
        <f>Commodities!B372</f>
        <v>*R4</v>
      </c>
      <c r="C818" s="147" t="str">
        <f>CONCATENATE("PINV",LEFT(Commodities!C372,4))</f>
        <v>PINVR6R4</v>
      </c>
      <c r="D818" s="147" t="str">
        <f>CONCATENATE("Investment in Pipeline Expansion for ",RIGHT(Commodities!D372,8))</f>
        <v>Investment in Pipeline Expansion for 6 to *R4</v>
      </c>
      <c r="E818" s="163" t="s">
        <v>196</v>
      </c>
      <c r="F818" s="163" t="s">
        <v>318</v>
      </c>
      <c r="G818" s="146" t="s">
        <v>395</v>
      </c>
    </row>
    <row r="819" spans="2:8">
      <c r="B819" s="147" t="str">
        <f>Commodities!B373</f>
        <v>*R2</v>
      </c>
      <c r="C819" s="147" t="str">
        <f>CONCATENATE("PINV",LEFT(Commodities!C373,4))</f>
        <v>PINVR6R2</v>
      </c>
      <c r="D819" s="147" t="str">
        <f>CONCATENATE("Investment in Pipeline Expansion for ",RIGHT(Commodities!D373,8))</f>
        <v>Investment in Pipeline Expansion for 6 to *R2</v>
      </c>
      <c r="E819" s="163" t="s">
        <v>196</v>
      </c>
      <c r="F819" s="163" t="s">
        <v>318</v>
      </c>
      <c r="G819" s="146" t="s">
        <v>395</v>
      </c>
    </row>
    <row r="820" spans="2:8">
      <c r="B820" s="147" t="str">
        <f>Commodities!B374</f>
        <v>R2</v>
      </c>
      <c r="C820" s="147" t="str">
        <f>CONCATENATE("PINV",LEFT(Commodities!C374,4))</f>
        <v>PINVR1R2</v>
      </c>
      <c r="D820" s="147" t="str">
        <f>CONCATENATE("Investment in Pipeline Expansion for ",RIGHT(Commodities!D374,8))</f>
        <v>Investment in Pipeline Expansion for R1 to R2</v>
      </c>
      <c r="E820" s="163" t="s">
        <v>196</v>
      </c>
      <c r="F820" s="163" t="s">
        <v>318</v>
      </c>
      <c r="G820" s="146" t="s">
        <v>395</v>
      </c>
    </row>
    <row r="821" spans="2:8">
      <c r="B821" s="147" t="str">
        <f>Commodities!B375</f>
        <v>R3</v>
      </c>
      <c r="C821" s="147" t="str">
        <f>CONCATENATE("PINV",LEFT(Commodities!C375,4))</f>
        <v>PINVR1R3</v>
      </c>
      <c r="D821" s="147" t="str">
        <f>CONCATENATE("Investment in Pipeline Expansion for ",RIGHT(Commodities!D375,8))</f>
        <v>Investment in Pipeline Expansion for R1 to R3</v>
      </c>
      <c r="E821" s="163" t="s">
        <v>196</v>
      </c>
      <c r="F821" s="163" t="s">
        <v>318</v>
      </c>
      <c r="G821" s="146" t="s">
        <v>395</v>
      </c>
    </row>
    <row r="822" spans="2:8">
      <c r="B822" s="147" t="str">
        <f>Commodities!B376</f>
        <v>R4</v>
      </c>
      <c r="C822" s="147" t="str">
        <f>CONCATENATE("PINV",LEFT(Commodities!C376,4))</f>
        <v>PINVR1R4</v>
      </c>
      <c r="D822" s="147" t="str">
        <f>CONCATENATE("Investment in Pipeline Expansion for ",RIGHT(Commodities!D376,8))</f>
        <v>Investment in Pipeline Expansion for R1 to R4</v>
      </c>
      <c r="E822" s="163" t="s">
        <v>196</v>
      </c>
      <c r="F822" s="163" t="s">
        <v>318</v>
      </c>
      <c r="G822" s="146" t="s">
        <v>395</v>
      </c>
    </row>
    <row r="823" spans="2:8">
      <c r="B823" s="147" t="str">
        <f>Commodities!B377</f>
        <v>R5</v>
      </c>
      <c r="C823" s="147" t="str">
        <f>CONCATENATE("PINV",LEFT(Commodities!C377,4))</f>
        <v>PINVR1R5</v>
      </c>
      <c r="D823" s="147" t="str">
        <f>CONCATENATE("Investment in Pipeline Expansion for ",RIGHT(Commodities!D377,8))</f>
        <v>Investment in Pipeline Expansion for R1 to R5</v>
      </c>
      <c r="E823" s="163" t="s">
        <v>196</v>
      </c>
      <c r="F823" s="163" t="s">
        <v>318</v>
      </c>
      <c r="G823" s="146" t="s">
        <v>395</v>
      </c>
    </row>
    <row r="824" spans="2:8">
      <c r="B824" s="147" t="str">
        <f>Commodities!B378</f>
        <v>R6</v>
      </c>
      <c r="C824" s="147" t="str">
        <f>CONCATENATE("PINV",LEFT(Commodities!C378,4))</f>
        <v>PINVR1R6</v>
      </c>
      <c r="D824" s="147" t="str">
        <f>CONCATENATE("Investment in Pipeline Expansion for ",RIGHT(Commodities!D378,8))</f>
        <v>Investment in Pipeline Expansion for R1 to R6</v>
      </c>
      <c r="E824" s="163" t="s">
        <v>196</v>
      </c>
      <c r="F824" s="163" t="s">
        <v>318</v>
      </c>
      <c r="G824" s="146" t="s">
        <v>395</v>
      </c>
    </row>
    <row r="825" spans="2:8">
      <c r="B825" s="147" t="str">
        <f>Commodities!B379</f>
        <v>*R4</v>
      </c>
      <c r="C825" s="147" t="str">
        <f>CONCATENATE("PINV",LEFT(Commodities!C379,4))</f>
        <v>PINVR8R4</v>
      </c>
      <c r="D825" s="147" t="str">
        <f>CONCATENATE("Investment in Pipeline Expansion for ",RIGHT(Commodities!D379,8))</f>
        <v>Investment in Pipeline Expansion for 8 to *R4</v>
      </c>
      <c r="E825" s="163" t="s">
        <v>196</v>
      </c>
      <c r="F825" s="163" t="s">
        <v>318</v>
      </c>
      <c r="G825" s="146" t="s">
        <v>395</v>
      </c>
    </row>
    <row r="826" spans="2:8">
      <c r="B826" s="147" t="str">
        <f>Commodities!B380</f>
        <v>*R9</v>
      </c>
      <c r="C826" s="147" t="str">
        <f>CONCATENATE("PINV",LEFT(Commodities!C380,4))</f>
        <v>PINVR8R9</v>
      </c>
      <c r="D826" s="147" t="str">
        <f>CONCATENATE("Investment in Pipeline Expansion for ",RIGHT(Commodities!D380,8))</f>
        <v>Investment in Pipeline Expansion for 8 to *R9</v>
      </c>
      <c r="E826" s="163" t="s">
        <v>196</v>
      </c>
      <c r="F826" s="163" t="s">
        <v>318</v>
      </c>
      <c r="G826" s="146" t="s">
        <v>395</v>
      </c>
    </row>
    <row r="827" spans="2:8">
      <c r="B827" s="146"/>
      <c r="D827" s="165"/>
      <c r="F827" s="166"/>
    </row>
    <row r="828" spans="2:8">
      <c r="D828" s="165"/>
      <c r="F828" s="166"/>
    </row>
    <row r="829" spans="2:8">
      <c r="D829" s="165"/>
      <c r="F829" s="166"/>
    </row>
    <row r="830" spans="2:8">
      <c r="D830" s="165"/>
      <c r="F830" s="166"/>
      <c r="H830" s="146"/>
    </row>
    <row r="831" spans="2:8">
      <c r="B831" s="146"/>
      <c r="D831" s="165"/>
    </row>
    <row r="832" spans="2:8">
      <c r="D832" s="165"/>
      <c r="E832" s="164"/>
      <c r="F832" s="167"/>
    </row>
    <row r="833" spans="2:6">
      <c r="D833" s="165"/>
    </row>
    <row r="834" spans="2:6">
      <c r="D834" s="165"/>
    </row>
    <row r="835" spans="2:6">
      <c r="D835" s="165"/>
    </row>
    <row r="836" spans="2:6">
      <c r="D836" s="165"/>
    </row>
    <row r="837" spans="2:6">
      <c r="B837" s="147" t="s">
        <v>398</v>
      </c>
      <c r="E837" s="163" t="s">
        <v>196</v>
      </c>
      <c r="F837" s="163" t="s">
        <v>318</v>
      </c>
    </row>
    <row r="838" spans="2:6">
      <c r="B838" s="147" t="s">
        <v>1032</v>
      </c>
      <c r="C838" s="147" t="s">
        <v>745</v>
      </c>
      <c r="D838" s="147" t="s">
        <v>772</v>
      </c>
      <c r="E838" s="163" t="s">
        <v>196</v>
      </c>
      <c r="F838" s="163" t="s">
        <v>318</v>
      </c>
    </row>
    <row r="839" spans="2:6">
      <c r="B839" s="147" t="s">
        <v>1033</v>
      </c>
      <c r="C839" s="147" t="s">
        <v>746</v>
      </c>
      <c r="D839" s="147" t="s">
        <v>773</v>
      </c>
      <c r="E839" s="163" t="s">
        <v>196</v>
      </c>
      <c r="F839" s="163" t="s">
        <v>318</v>
      </c>
    </row>
    <row r="840" spans="2:6">
      <c r="B840" s="147" t="s">
        <v>1034</v>
      </c>
      <c r="C840" s="147" t="s">
        <v>1029</v>
      </c>
      <c r="D840" s="147" t="s">
        <v>1030</v>
      </c>
      <c r="E840" s="163" t="s">
        <v>196</v>
      </c>
      <c r="F840" s="163" t="s">
        <v>318</v>
      </c>
    </row>
    <row r="841" spans="2:6">
      <c r="B841" s="147" t="s">
        <v>1035</v>
      </c>
      <c r="C841" s="147" t="s">
        <v>747</v>
      </c>
      <c r="D841" s="147" t="s">
        <v>774</v>
      </c>
      <c r="E841" s="163" t="s">
        <v>196</v>
      </c>
      <c r="F841" s="163" t="s">
        <v>318</v>
      </c>
    </row>
    <row r="842" spans="2:6">
      <c r="B842" s="147" t="s">
        <v>1032</v>
      </c>
      <c r="C842" s="147" t="s">
        <v>748</v>
      </c>
      <c r="D842" s="147" t="s">
        <v>775</v>
      </c>
      <c r="E842" s="163" t="s">
        <v>196</v>
      </c>
      <c r="F842" s="163" t="s">
        <v>318</v>
      </c>
    </row>
    <row r="843" spans="2:6">
      <c r="B843" s="147" t="s">
        <v>1033</v>
      </c>
      <c r="C843" s="147" t="s">
        <v>749</v>
      </c>
      <c r="D843" s="147" t="s">
        <v>776</v>
      </c>
      <c r="E843" s="163" t="s">
        <v>196</v>
      </c>
      <c r="F843" s="163" t="s">
        <v>318</v>
      </c>
    </row>
    <row r="844" spans="2:6">
      <c r="B844" s="147" t="s">
        <v>1035</v>
      </c>
      <c r="C844" s="147" t="s">
        <v>750</v>
      </c>
      <c r="D844" s="147" t="s">
        <v>777</v>
      </c>
      <c r="E844" s="163" t="s">
        <v>196</v>
      </c>
      <c r="F844" s="163" t="s">
        <v>318</v>
      </c>
    </row>
    <row r="845" spans="2:6">
      <c r="B845" s="147" t="s">
        <v>1017</v>
      </c>
      <c r="C845" s="147" t="s">
        <v>751</v>
      </c>
      <c r="D845" s="147" t="s">
        <v>1010</v>
      </c>
      <c r="E845" s="163" t="s">
        <v>196</v>
      </c>
      <c r="F845" s="163" t="s">
        <v>318</v>
      </c>
    </row>
    <row r="846" spans="2:6">
      <c r="B846" s="147" t="s">
        <v>1031</v>
      </c>
      <c r="C846" s="147" t="s">
        <v>788</v>
      </c>
      <c r="D846" s="147" t="s">
        <v>778</v>
      </c>
      <c r="E846" s="163" t="s">
        <v>196</v>
      </c>
      <c r="F846" s="163" t="s">
        <v>318</v>
      </c>
    </row>
    <row r="847" spans="2:6">
      <c r="B847" s="147" t="s">
        <v>1034</v>
      </c>
      <c r="C847" s="147" t="s">
        <v>752</v>
      </c>
      <c r="D847" s="147" t="s">
        <v>779</v>
      </c>
      <c r="E847" s="163" t="s">
        <v>196</v>
      </c>
      <c r="F847" s="163" t="s">
        <v>318</v>
      </c>
    </row>
    <row r="848" spans="2:6">
      <c r="B848" s="147" t="s">
        <v>1035</v>
      </c>
      <c r="C848" s="147" t="s">
        <v>753</v>
      </c>
      <c r="D848" s="147" t="s">
        <v>780</v>
      </c>
      <c r="E848" s="163" t="s">
        <v>196</v>
      </c>
      <c r="F848" s="163" t="s">
        <v>318</v>
      </c>
    </row>
    <row r="849" spans="2:6">
      <c r="B849" s="147" t="s">
        <v>1005</v>
      </c>
      <c r="C849" s="147" t="s">
        <v>754</v>
      </c>
      <c r="D849" s="147" t="s">
        <v>1011</v>
      </c>
      <c r="E849" s="163" t="s">
        <v>196</v>
      </c>
      <c r="F849" s="163" t="s">
        <v>318</v>
      </c>
    </row>
    <row r="850" spans="2:6">
      <c r="B850" s="147" t="s">
        <v>971</v>
      </c>
      <c r="C850" s="147" t="s">
        <v>755</v>
      </c>
      <c r="D850" s="147" t="s">
        <v>1018</v>
      </c>
      <c r="E850" s="163" t="s">
        <v>196</v>
      </c>
      <c r="F850" s="163" t="s">
        <v>318</v>
      </c>
    </row>
    <row r="851" spans="2:6">
      <c r="B851" s="147" t="s">
        <v>1031</v>
      </c>
      <c r="C851" s="147" t="s">
        <v>789</v>
      </c>
      <c r="D851" s="147" t="s">
        <v>781</v>
      </c>
      <c r="E851" s="163" t="s">
        <v>196</v>
      </c>
      <c r="F851" s="163" t="s">
        <v>318</v>
      </c>
    </row>
    <row r="852" spans="2:6">
      <c r="B852" s="147" t="s">
        <v>1034</v>
      </c>
      <c r="C852" s="147" t="s">
        <v>756</v>
      </c>
      <c r="D852" s="147" t="s">
        <v>782</v>
      </c>
      <c r="E852" s="163" t="s">
        <v>196</v>
      </c>
      <c r="F852" s="163" t="s">
        <v>318</v>
      </c>
    </row>
    <row r="853" spans="2:6">
      <c r="B853" s="147" t="s">
        <v>1035</v>
      </c>
      <c r="C853" s="147" t="s">
        <v>757</v>
      </c>
      <c r="D853" s="147" t="s">
        <v>783</v>
      </c>
      <c r="E853" s="163" t="s">
        <v>196</v>
      </c>
      <c r="F853" s="163" t="s">
        <v>318</v>
      </c>
    </row>
    <row r="854" spans="2:6">
      <c r="B854" s="147" t="s">
        <v>1005</v>
      </c>
      <c r="C854" s="147" t="s">
        <v>758</v>
      </c>
      <c r="D854" s="147" t="s">
        <v>1012</v>
      </c>
      <c r="E854" s="163" t="s">
        <v>196</v>
      </c>
      <c r="F854" s="163" t="s">
        <v>318</v>
      </c>
    </row>
    <row r="855" spans="2:6">
      <c r="B855" s="147" t="s">
        <v>971</v>
      </c>
      <c r="C855" s="147" t="s">
        <v>759</v>
      </c>
      <c r="D855" s="147" t="s">
        <v>1019</v>
      </c>
      <c r="E855" s="163" t="s">
        <v>196</v>
      </c>
      <c r="F855" s="163" t="s">
        <v>318</v>
      </c>
    </row>
    <row r="856" spans="2:6">
      <c r="B856" s="147" t="s">
        <v>1031</v>
      </c>
      <c r="C856" s="147" t="s">
        <v>760</v>
      </c>
      <c r="D856" s="147" t="s">
        <v>784</v>
      </c>
      <c r="E856" s="163" t="s">
        <v>196</v>
      </c>
      <c r="F856" s="163" t="s">
        <v>318</v>
      </c>
    </row>
    <row r="857" spans="2:6">
      <c r="B857" s="147" t="s">
        <v>1032</v>
      </c>
      <c r="C857" s="147" t="s">
        <v>790</v>
      </c>
      <c r="D857" s="147" t="s">
        <v>785</v>
      </c>
      <c r="E857" s="163" t="s">
        <v>196</v>
      </c>
      <c r="F857" s="163" t="s">
        <v>318</v>
      </c>
    </row>
    <row r="858" spans="2:6">
      <c r="B858" s="147" t="s">
        <v>1033</v>
      </c>
      <c r="C858" s="147" t="s">
        <v>761</v>
      </c>
      <c r="D858" s="147" t="s">
        <v>786</v>
      </c>
      <c r="E858" s="163" t="s">
        <v>196</v>
      </c>
      <c r="F858" s="163" t="s">
        <v>318</v>
      </c>
    </row>
    <row r="859" spans="2:6">
      <c r="B859" s="147" t="s">
        <v>1034</v>
      </c>
      <c r="C859" s="147" t="s">
        <v>762</v>
      </c>
      <c r="D859" s="147" t="s">
        <v>787</v>
      </c>
      <c r="E859" s="163" t="s">
        <v>196</v>
      </c>
      <c r="F859" s="163" t="s">
        <v>318</v>
      </c>
    </row>
    <row r="860" spans="2:6">
      <c r="B860" s="147" t="s">
        <v>1031</v>
      </c>
      <c r="C860" s="147" t="s">
        <v>763</v>
      </c>
      <c r="D860" s="147" t="s">
        <v>1013</v>
      </c>
      <c r="E860" s="163" t="s">
        <v>196</v>
      </c>
      <c r="F860" s="163" t="s">
        <v>318</v>
      </c>
    </row>
    <row r="861" spans="2:6">
      <c r="B861" s="147" t="s">
        <v>1032</v>
      </c>
      <c r="C861" s="147" t="s">
        <v>791</v>
      </c>
      <c r="D861" s="147" t="s">
        <v>1014</v>
      </c>
      <c r="E861" s="163" t="s">
        <v>196</v>
      </c>
      <c r="F861" s="163" t="s">
        <v>318</v>
      </c>
    </row>
    <row r="862" spans="2:6">
      <c r="B862" s="147" t="s">
        <v>1033</v>
      </c>
      <c r="C862" s="147" t="s">
        <v>764</v>
      </c>
      <c r="D862" s="147" t="s">
        <v>1015</v>
      </c>
      <c r="E862" s="163" t="s">
        <v>196</v>
      </c>
      <c r="F862" s="163" t="s">
        <v>318</v>
      </c>
    </row>
    <row r="863" spans="2:6">
      <c r="B863" s="147" t="s">
        <v>1034</v>
      </c>
      <c r="C863" s="147" t="s">
        <v>765</v>
      </c>
      <c r="D863" s="147" t="s">
        <v>1016</v>
      </c>
      <c r="E863" s="163" t="s">
        <v>196</v>
      </c>
      <c r="F863" s="163" t="s">
        <v>318</v>
      </c>
    </row>
    <row r="864" spans="2:6">
      <c r="B864" s="147" t="s">
        <v>1032</v>
      </c>
      <c r="C864" s="147" t="s">
        <v>766</v>
      </c>
      <c r="D864" s="147" t="s">
        <v>1020</v>
      </c>
      <c r="E864" s="163" t="s">
        <v>196</v>
      </c>
      <c r="F864" s="163" t="s">
        <v>318</v>
      </c>
    </row>
    <row r="865" spans="2:7">
      <c r="B865" s="147" t="s">
        <v>1033</v>
      </c>
      <c r="C865" s="147" t="s">
        <v>792</v>
      </c>
      <c r="D865" s="147" t="s">
        <v>1021</v>
      </c>
      <c r="E865" s="163" t="s">
        <v>196</v>
      </c>
      <c r="F865" s="163" t="s">
        <v>318</v>
      </c>
    </row>
    <row r="866" spans="2:7">
      <c r="B866" s="147" t="s">
        <v>1035</v>
      </c>
      <c r="C866" s="147" t="s">
        <v>767</v>
      </c>
      <c r="D866" s="147" t="s">
        <v>1022</v>
      </c>
      <c r="E866" s="163" t="s">
        <v>196</v>
      </c>
      <c r="F866" s="163" t="s">
        <v>318</v>
      </c>
    </row>
    <row r="867" spans="2:7">
      <c r="B867" s="147" t="s">
        <v>1017</v>
      </c>
      <c r="C867" s="147" t="s">
        <v>768</v>
      </c>
      <c r="D867" s="147" t="s">
        <v>1023</v>
      </c>
      <c r="E867" s="163" t="s">
        <v>196</v>
      </c>
      <c r="F867" s="163" t="s">
        <v>318</v>
      </c>
    </row>
    <row r="868" spans="2:7">
      <c r="B868" s="147" t="s">
        <v>1031</v>
      </c>
      <c r="C868" s="147" t="s">
        <v>769</v>
      </c>
      <c r="D868" s="147" t="s">
        <v>1025</v>
      </c>
      <c r="E868" s="163" t="s">
        <v>196</v>
      </c>
      <c r="F868" s="163" t="s">
        <v>318</v>
      </c>
    </row>
    <row r="869" spans="2:7">
      <c r="B869" s="147" t="s">
        <v>1032</v>
      </c>
      <c r="C869" s="147" t="s">
        <v>770</v>
      </c>
      <c r="D869" s="147" t="s">
        <v>1026</v>
      </c>
      <c r="E869" s="163" t="s">
        <v>196</v>
      </c>
      <c r="F869" s="163" t="s">
        <v>318</v>
      </c>
    </row>
    <row r="870" spans="2:7">
      <c r="B870" s="147" t="s">
        <v>1033</v>
      </c>
      <c r="C870" s="147" t="s">
        <v>771</v>
      </c>
      <c r="D870" s="147" t="s">
        <v>1027</v>
      </c>
      <c r="E870" s="163" t="s">
        <v>196</v>
      </c>
      <c r="F870" s="163" t="s">
        <v>318</v>
      </c>
    </row>
    <row r="871" spans="2:7">
      <c r="B871" s="147" t="s">
        <v>1037</v>
      </c>
      <c r="C871" s="147" t="s">
        <v>980</v>
      </c>
      <c r="D871" s="147" t="s">
        <v>976</v>
      </c>
      <c r="E871" s="163" t="s">
        <v>196</v>
      </c>
      <c r="F871" s="163" t="s">
        <v>318</v>
      </c>
      <c r="G871" s="146" t="s">
        <v>1154</v>
      </c>
    </row>
    <row r="872" spans="2:7">
      <c r="B872" s="147" t="s">
        <v>1037</v>
      </c>
      <c r="C872" s="147" t="s">
        <v>981</v>
      </c>
      <c r="D872" s="147" t="s">
        <v>977</v>
      </c>
      <c r="E872" s="163" t="s">
        <v>196</v>
      </c>
      <c r="F872" s="163" t="s">
        <v>318</v>
      </c>
    </row>
    <row r="873" spans="2:7">
      <c r="B873" s="147" t="s">
        <v>1037</v>
      </c>
      <c r="C873" s="147" t="s">
        <v>982</v>
      </c>
      <c r="D873" s="147" t="s">
        <v>978</v>
      </c>
      <c r="E873" s="163" t="s">
        <v>196</v>
      </c>
      <c r="F873" s="163" t="s">
        <v>318</v>
      </c>
    </row>
    <row r="874" spans="2:7">
      <c r="B874" s="147" t="s">
        <v>1037</v>
      </c>
      <c r="C874" s="147" t="s">
        <v>983</v>
      </c>
      <c r="D874" s="147" t="s">
        <v>979</v>
      </c>
      <c r="E874" s="163" t="s">
        <v>196</v>
      </c>
      <c r="F874" s="163" t="s">
        <v>318</v>
      </c>
    </row>
    <row r="875" spans="2:7">
      <c r="B875" s="147" t="s">
        <v>1037</v>
      </c>
      <c r="C875" s="147" t="s">
        <v>984</v>
      </c>
      <c r="D875" s="147" t="s">
        <v>985</v>
      </c>
      <c r="E875" s="163" t="s">
        <v>196</v>
      </c>
      <c r="F875" s="163" t="s">
        <v>318</v>
      </c>
    </row>
    <row r="876" spans="2:7">
      <c r="B876" s="147" t="s">
        <v>1031</v>
      </c>
      <c r="C876" s="147" t="s">
        <v>716</v>
      </c>
      <c r="D876" s="147" t="s">
        <v>679</v>
      </c>
      <c r="E876" s="163" t="s">
        <v>196</v>
      </c>
      <c r="F876" s="163" t="s">
        <v>318</v>
      </c>
    </row>
    <row r="877" spans="2:7">
      <c r="B877" s="147" t="s">
        <v>1031</v>
      </c>
      <c r="C877" s="147" t="s">
        <v>717</v>
      </c>
      <c r="D877" s="147" t="s">
        <v>680</v>
      </c>
      <c r="E877" s="163" t="s">
        <v>196</v>
      </c>
      <c r="F877" s="163" t="s">
        <v>318</v>
      </c>
    </row>
    <row r="878" spans="2:7">
      <c r="B878" s="147" t="s">
        <v>1031</v>
      </c>
      <c r="C878" s="147" t="s">
        <v>987</v>
      </c>
      <c r="D878" s="147" t="s">
        <v>986</v>
      </c>
      <c r="E878" s="163" t="s">
        <v>196</v>
      </c>
      <c r="F878" s="163" t="s">
        <v>318</v>
      </c>
    </row>
    <row r="879" spans="2:7">
      <c r="B879" s="147" t="s">
        <v>1031</v>
      </c>
      <c r="C879" s="147" t="s">
        <v>669</v>
      </c>
      <c r="D879" s="147" t="s">
        <v>681</v>
      </c>
      <c r="E879" s="163" t="s">
        <v>196</v>
      </c>
      <c r="F879" s="163" t="s">
        <v>318</v>
      </c>
    </row>
    <row r="880" spans="2:7">
      <c r="B880" s="147" t="s">
        <v>1034</v>
      </c>
      <c r="C880" s="147" t="s">
        <v>1045</v>
      </c>
      <c r="D880" s="147" t="s">
        <v>994</v>
      </c>
      <c r="E880" s="163" t="s">
        <v>196</v>
      </c>
      <c r="F880" s="163" t="s">
        <v>318</v>
      </c>
    </row>
    <row r="881" spans="2:6">
      <c r="B881" s="147" t="s">
        <v>1034</v>
      </c>
      <c r="C881" s="147" t="s">
        <v>672</v>
      </c>
      <c r="D881" s="147" t="s">
        <v>682</v>
      </c>
      <c r="E881" s="163" t="s">
        <v>196</v>
      </c>
      <c r="F881" s="163" t="s">
        <v>318</v>
      </c>
    </row>
    <row r="882" spans="2:6">
      <c r="B882" s="147" t="s">
        <v>1034</v>
      </c>
      <c r="C882" s="147" t="s">
        <v>673</v>
      </c>
      <c r="D882" s="147" t="s">
        <v>683</v>
      </c>
      <c r="E882" s="163" t="s">
        <v>196</v>
      </c>
      <c r="F882" s="163" t="s">
        <v>318</v>
      </c>
    </row>
    <row r="883" spans="2:6">
      <c r="B883" s="147" t="s">
        <v>1034</v>
      </c>
      <c r="C883" s="147" t="s">
        <v>718</v>
      </c>
      <c r="D883" s="147" t="s">
        <v>684</v>
      </c>
      <c r="E883" s="163" t="s">
        <v>196</v>
      </c>
      <c r="F883" s="163" t="s">
        <v>318</v>
      </c>
    </row>
    <row r="884" spans="2:6">
      <c r="B884" s="147" t="s">
        <v>1032</v>
      </c>
      <c r="C884" s="147" t="s">
        <v>989</v>
      </c>
      <c r="D884" s="147" t="s">
        <v>685</v>
      </c>
      <c r="E884" s="163" t="s">
        <v>196</v>
      </c>
      <c r="F884" s="163" t="s">
        <v>318</v>
      </c>
    </row>
    <row r="885" spans="2:6">
      <c r="B885" s="147" t="s">
        <v>1032</v>
      </c>
      <c r="C885" s="147" t="s">
        <v>990</v>
      </c>
      <c r="D885" s="147" t="s">
        <v>988</v>
      </c>
      <c r="E885" s="163" t="s">
        <v>196</v>
      </c>
      <c r="F885" s="163" t="s">
        <v>318</v>
      </c>
    </row>
    <row r="886" spans="2:6">
      <c r="B886" s="147" t="s">
        <v>1032</v>
      </c>
      <c r="C886" s="147" t="s">
        <v>670</v>
      </c>
      <c r="D886" s="147" t="s">
        <v>686</v>
      </c>
      <c r="E886" s="163" t="s">
        <v>196</v>
      </c>
      <c r="F886" s="163" t="s">
        <v>318</v>
      </c>
    </row>
    <row r="887" spans="2:6">
      <c r="B887" s="147" t="s">
        <v>1032</v>
      </c>
      <c r="C887" s="147" t="s">
        <v>719</v>
      </c>
      <c r="D887" s="147" t="s">
        <v>687</v>
      </c>
      <c r="E887" s="163" t="s">
        <v>196</v>
      </c>
      <c r="F887" s="163" t="s">
        <v>318</v>
      </c>
    </row>
    <row r="888" spans="2:6">
      <c r="B888" s="147" t="s">
        <v>1033</v>
      </c>
      <c r="C888" s="147" t="s">
        <v>992</v>
      </c>
      <c r="D888" s="147" t="s">
        <v>688</v>
      </c>
      <c r="E888" s="163" t="s">
        <v>196</v>
      </c>
      <c r="F888" s="163" t="s">
        <v>318</v>
      </c>
    </row>
    <row r="889" spans="2:6">
      <c r="B889" s="147" t="s">
        <v>1033</v>
      </c>
      <c r="C889" s="147" t="s">
        <v>993</v>
      </c>
      <c r="D889" s="147" t="s">
        <v>991</v>
      </c>
      <c r="E889" s="163" t="s">
        <v>196</v>
      </c>
      <c r="F889" s="163" t="s">
        <v>318</v>
      </c>
    </row>
    <row r="890" spans="2:6">
      <c r="B890" s="147" t="s">
        <v>1033</v>
      </c>
      <c r="C890" s="147" t="s">
        <v>720</v>
      </c>
      <c r="D890" s="147" t="s">
        <v>689</v>
      </c>
      <c r="E890" s="163" t="s">
        <v>196</v>
      </c>
      <c r="F890" s="163" t="s">
        <v>318</v>
      </c>
    </row>
    <row r="891" spans="2:6">
      <c r="B891" s="147" t="s">
        <v>1033</v>
      </c>
      <c r="C891" s="147" t="s">
        <v>671</v>
      </c>
      <c r="D891" s="147" t="s">
        <v>690</v>
      </c>
      <c r="E891" s="163" t="s">
        <v>196</v>
      </c>
      <c r="F891" s="163" t="s">
        <v>318</v>
      </c>
    </row>
    <row r="892" spans="2:6">
      <c r="B892" s="147" t="s">
        <v>1035</v>
      </c>
      <c r="C892" s="147" t="s">
        <v>721</v>
      </c>
      <c r="D892" s="147" t="s">
        <v>691</v>
      </c>
      <c r="E892" s="163" t="s">
        <v>196</v>
      </c>
      <c r="F892" s="163" t="s">
        <v>318</v>
      </c>
    </row>
    <row r="893" spans="2:6">
      <c r="B893" s="147" t="s">
        <v>1035</v>
      </c>
      <c r="C893" s="147" t="s">
        <v>1046</v>
      </c>
      <c r="D893" s="147" t="s">
        <v>692</v>
      </c>
      <c r="E893" s="163" t="s">
        <v>196</v>
      </c>
      <c r="F893" s="163" t="s">
        <v>318</v>
      </c>
    </row>
    <row r="894" spans="2:6">
      <c r="B894" s="147" t="s">
        <v>1035</v>
      </c>
      <c r="C894" s="147" t="s">
        <v>722</v>
      </c>
      <c r="D894" s="147" t="s">
        <v>693</v>
      </c>
      <c r="E894" s="163" t="s">
        <v>196</v>
      </c>
      <c r="F894" s="163" t="s">
        <v>318</v>
      </c>
    </row>
    <row r="895" spans="2:6">
      <c r="B895" s="147" t="s">
        <v>1035</v>
      </c>
      <c r="C895" s="147" t="s">
        <v>723</v>
      </c>
      <c r="D895" s="147" t="s">
        <v>694</v>
      </c>
      <c r="E895" s="163" t="s">
        <v>196</v>
      </c>
      <c r="F895" s="163" t="s">
        <v>318</v>
      </c>
    </row>
    <row r="896" spans="2:6">
      <c r="B896" s="147" t="s">
        <v>398</v>
      </c>
    </row>
    <row r="897" spans="2:7">
      <c r="B897" s="147" t="s">
        <v>1032</v>
      </c>
      <c r="C897" s="147" t="s">
        <v>724</v>
      </c>
      <c r="D897" s="147" t="s">
        <v>700</v>
      </c>
      <c r="E897" s="163" t="s">
        <v>196</v>
      </c>
      <c r="F897" s="163" t="s">
        <v>318</v>
      </c>
      <c r="G897" s="146" t="s">
        <v>1155</v>
      </c>
    </row>
    <row r="898" spans="2:7">
      <c r="B898" s="147" t="s">
        <v>1033</v>
      </c>
      <c r="C898" s="147" t="s">
        <v>725</v>
      </c>
      <c r="D898" s="147" t="s">
        <v>701</v>
      </c>
      <c r="E898" s="163" t="s">
        <v>196</v>
      </c>
      <c r="F898" s="163" t="s">
        <v>318</v>
      </c>
    </row>
    <row r="899" spans="2:7">
      <c r="B899" s="147" t="s">
        <v>1034</v>
      </c>
      <c r="C899" s="147" t="s">
        <v>996</v>
      </c>
      <c r="D899" s="147" t="s">
        <v>995</v>
      </c>
      <c r="E899" s="163" t="s">
        <v>196</v>
      </c>
      <c r="F899" s="163" t="s">
        <v>318</v>
      </c>
    </row>
    <row r="900" spans="2:7">
      <c r="B900" s="147" t="s">
        <v>1035</v>
      </c>
      <c r="C900" s="147" t="s">
        <v>695</v>
      </c>
      <c r="D900" s="147" t="s">
        <v>702</v>
      </c>
      <c r="E900" s="163" t="s">
        <v>196</v>
      </c>
      <c r="F900" s="163" t="s">
        <v>318</v>
      </c>
    </row>
    <row r="901" spans="2:7">
      <c r="B901" s="147" t="s">
        <v>1031</v>
      </c>
      <c r="C901" s="147" t="s">
        <v>998</v>
      </c>
      <c r="D901" s="147" t="s">
        <v>997</v>
      </c>
      <c r="E901" s="163" t="s">
        <v>196</v>
      </c>
      <c r="F901" s="163" t="s">
        <v>318</v>
      </c>
    </row>
    <row r="902" spans="2:7">
      <c r="B902" s="147" t="s">
        <v>1032</v>
      </c>
      <c r="C902" s="147" t="s">
        <v>698</v>
      </c>
      <c r="D902" s="147" t="s">
        <v>703</v>
      </c>
      <c r="E902" s="163" t="s">
        <v>196</v>
      </c>
      <c r="F902" s="163" t="s">
        <v>318</v>
      </c>
    </row>
    <row r="903" spans="2:7">
      <c r="B903" s="147" t="s">
        <v>1033</v>
      </c>
      <c r="C903" s="147" t="s">
        <v>699</v>
      </c>
      <c r="D903" s="147" t="s">
        <v>704</v>
      </c>
      <c r="E903" s="163" t="s">
        <v>196</v>
      </c>
      <c r="F903" s="163" t="s">
        <v>318</v>
      </c>
    </row>
    <row r="904" spans="2:7">
      <c r="B904" s="147" t="s">
        <v>1035</v>
      </c>
      <c r="C904" s="147" t="s">
        <v>726</v>
      </c>
      <c r="D904" s="147" t="s">
        <v>705</v>
      </c>
      <c r="E904" s="163" t="s">
        <v>196</v>
      </c>
      <c r="F904" s="163" t="s">
        <v>318</v>
      </c>
    </row>
    <row r="905" spans="2:7">
      <c r="B905" s="147" t="s">
        <v>1031</v>
      </c>
      <c r="C905" s="147" t="s">
        <v>1000</v>
      </c>
      <c r="D905" s="147" t="s">
        <v>706</v>
      </c>
      <c r="E905" s="163" t="s">
        <v>196</v>
      </c>
      <c r="F905" s="163" t="s">
        <v>318</v>
      </c>
    </row>
    <row r="906" spans="2:7">
      <c r="B906" s="147" t="s">
        <v>1033</v>
      </c>
      <c r="C906" s="147" t="s">
        <v>1049</v>
      </c>
      <c r="D906" s="147" t="s">
        <v>999</v>
      </c>
      <c r="E906" s="163" t="s">
        <v>196</v>
      </c>
      <c r="F906" s="163" t="s">
        <v>318</v>
      </c>
    </row>
    <row r="907" spans="2:7">
      <c r="B907" s="147" t="s">
        <v>1034</v>
      </c>
      <c r="C907" s="147" t="s">
        <v>696</v>
      </c>
      <c r="D907" s="147" t="s">
        <v>707</v>
      </c>
      <c r="E907" s="163" t="s">
        <v>196</v>
      </c>
      <c r="F907" s="163" t="s">
        <v>318</v>
      </c>
    </row>
    <row r="908" spans="2:7">
      <c r="B908" s="147" t="s">
        <v>1035</v>
      </c>
      <c r="C908" s="147" t="s">
        <v>727</v>
      </c>
      <c r="D908" s="147" t="s">
        <v>708</v>
      </c>
      <c r="E908" s="163" t="s">
        <v>196</v>
      </c>
      <c r="F908" s="163" t="s">
        <v>318</v>
      </c>
    </row>
    <row r="909" spans="2:7">
      <c r="B909" s="147" t="s">
        <v>1031</v>
      </c>
      <c r="C909" s="147" t="s">
        <v>1002</v>
      </c>
      <c r="D909" s="147" t="s">
        <v>709</v>
      </c>
      <c r="E909" s="163" t="s">
        <v>196</v>
      </c>
      <c r="F909" s="163" t="s">
        <v>318</v>
      </c>
    </row>
    <row r="910" spans="2:7">
      <c r="B910" s="147" t="s">
        <v>1032</v>
      </c>
      <c r="C910" s="147" t="s">
        <v>1003</v>
      </c>
      <c r="D910" s="147" t="s">
        <v>1001</v>
      </c>
      <c r="E910" s="163" t="s">
        <v>196</v>
      </c>
      <c r="F910" s="163" t="s">
        <v>318</v>
      </c>
    </row>
    <row r="911" spans="2:7">
      <c r="B911" s="147" t="s">
        <v>1034</v>
      </c>
      <c r="C911" s="147" t="s">
        <v>728</v>
      </c>
      <c r="D911" s="147" t="s">
        <v>710</v>
      </c>
      <c r="E911" s="163" t="s">
        <v>196</v>
      </c>
      <c r="F911" s="163" t="s">
        <v>318</v>
      </c>
    </row>
    <row r="912" spans="2:7">
      <c r="B912" s="147" t="s">
        <v>1035</v>
      </c>
      <c r="C912" s="147" t="s">
        <v>697</v>
      </c>
      <c r="D912" s="147" t="s">
        <v>711</v>
      </c>
      <c r="E912" s="163" t="s">
        <v>196</v>
      </c>
      <c r="F912" s="163" t="s">
        <v>318</v>
      </c>
    </row>
    <row r="913" spans="2:7">
      <c r="B913" s="147" t="s">
        <v>1031</v>
      </c>
      <c r="C913" s="147" t="s">
        <v>729</v>
      </c>
      <c r="D913" s="147" t="s">
        <v>712</v>
      </c>
      <c r="E913" s="163" t="s">
        <v>196</v>
      </c>
      <c r="F913" s="163" t="s">
        <v>318</v>
      </c>
    </row>
    <row r="914" spans="2:7">
      <c r="B914" s="147" t="s">
        <v>1032</v>
      </c>
      <c r="C914" s="147" t="s">
        <v>1047</v>
      </c>
      <c r="D914" s="147" t="s">
        <v>713</v>
      </c>
      <c r="E914" s="163" t="s">
        <v>196</v>
      </c>
      <c r="F914" s="163" t="s">
        <v>318</v>
      </c>
    </row>
    <row r="915" spans="2:7">
      <c r="B915" s="147" t="s">
        <v>1033</v>
      </c>
      <c r="C915" s="147" t="s">
        <v>730</v>
      </c>
      <c r="D915" s="147" t="s">
        <v>714</v>
      </c>
      <c r="E915" s="163" t="s">
        <v>196</v>
      </c>
      <c r="F915" s="163" t="s">
        <v>318</v>
      </c>
    </row>
    <row r="916" spans="2:7">
      <c r="B916" s="147" t="s">
        <v>1034</v>
      </c>
      <c r="C916" s="147" t="s">
        <v>731</v>
      </c>
      <c r="D916" s="147" t="s">
        <v>715</v>
      </c>
      <c r="E916" s="163" t="s">
        <v>196</v>
      </c>
      <c r="F916" s="163" t="s">
        <v>318</v>
      </c>
    </row>
    <row r="917" spans="2:7">
      <c r="B917" s="146" t="s">
        <v>338</v>
      </c>
    </row>
    <row r="918" spans="2:7">
      <c r="B918" s="147" t="s">
        <v>1004</v>
      </c>
      <c r="C918" s="147" t="str">
        <f>CONCATENATE("EXP",Commodities!C17,1)</f>
        <v>EXPOILIP11</v>
      </c>
      <c r="D918" s="147" t="str">
        <f>CONCATENATE("Export All Types Crude Oil, PADD 1 to R",RIGHT(C918))</f>
        <v>Export All Types Crude Oil, PADD 1 to R1</v>
      </c>
      <c r="E918" s="163" t="s">
        <v>196</v>
      </c>
      <c r="F918" s="163" t="s">
        <v>318</v>
      </c>
      <c r="G918" s="146" t="s">
        <v>1154</v>
      </c>
    </row>
    <row r="919" spans="2:7">
      <c r="B919" s="147" t="s">
        <v>1004</v>
      </c>
      <c r="C919" s="147" t="str">
        <f>CONCATENATE("EXP",Commodities!C17,5)</f>
        <v>EXPOILIP15</v>
      </c>
      <c r="D919" s="147" t="str">
        <f>CONCATENATE("Export All Types Crude Oil, PADD 1 to R",RIGHT(C919))</f>
        <v>Export All Types Crude Oil, PADD 1 to R5</v>
      </c>
      <c r="E919" s="163" t="s">
        <v>196</v>
      </c>
      <c r="F919" s="163" t="s">
        <v>318</v>
      </c>
    </row>
    <row r="920" spans="2:7">
      <c r="B920" s="147" t="s">
        <v>1004</v>
      </c>
      <c r="C920" s="147" t="str">
        <f>CONCATENATE("EXP",Commodities!C18,1)</f>
        <v>EXPOILIP21</v>
      </c>
      <c r="D920" s="147" t="str">
        <f>CONCATENATE("Export All Types Crude Oil, PADD 2 to R",RIGHT(C920))</f>
        <v>Export All Types Crude Oil, PADD 2 to R1</v>
      </c>
      <c r="E920" s="163" t="s">
        <v>196</v>
      </c>
      <c r="F920" s="163" t="s">
        <v>318</v>
      </c>
    </row>
    <row r="921" spans="2:7">
      <c r="B921" s="147" t="s">
        <v>1004</v>
      </c>
      <c r="C921" s="147" t="str">
        <f>CONCATENATE("EXP",Commodities!C18,4)</f>
        <v>EXPOILIP24</v>
      </c>
      <c r="D921" s="147" t="str">
        <f>CONCATENATE("Export All Types Crude Oil, PADD 2 to R",RIGHT(C921))</f>
        <v>Export All Types Crude Oil, PADD 2 to R4</v>
      </c>
      <c r="E921" s="163" t="s">
        <v>196</v>
      </c>
      <c r="F921" s="163" t="s">
        <v>318</v>
      </c>
    </row>
    <row r="922" spans="2:7">
      <c r="B922" s="147" t="s">
        <v>1004</v>
      </c>
      <c r="C922" s="147" t="str">
        <f>CONCATENATE("EXP",Commodities!C19,1)</f>
        <v>EXPOILIP31</v>
      </c>
      <c r="D922" s="147" t="str">
        <f>CONCATENATE("Export All Types Crude Oil, PADD 3 to R",RIGHT(C922))</f>
        <v>Export All Types Crude Oil, PADD 3 to R1</v>
      </c>
      <c r="E922" s="163" t="s">
        <v>196</v>
      </c>
      <c r="F922" s="163" t="s">
        <v>318</v>
      </c>
    </row>
    <row r="923" spans="2:7">
      <c r="B923" s="147" t="s">
        <v>1004</v>
      </c>
      <c r="C923" s="147" t="str">
        <f>CONCATENATE("EXP",Commodities!C19,7)</f>
        <v>EXPOILIP37</v>
      </c>
      <c r="D923" s="147" t="str">
        <f>CONCATENATE("Export All Types Crude Oil, PADD 3 to R",RIGHT(C923))</f>
        <v>Export All Types Crude Oil, PADD 3 to R7</v>
      </c>
      <c r="E923" s="163" t="s">
        <v>196</v>
      </c>
      <c r="F923" s="163" t="s">
        <v>318</v>
      </c>
    </row>
    <row r="924" spans="2:7">
      <c r="B924" s="147" t="s">
        <v>1004</v>
      </c>
      <c r="C924" s="147" t="str">
        <f>CONCATENATE("EXP",Commodities!C20,8)</f>
        <v>EXPOILIP48</v>
      </c>
      <c r="D924" s="147" t="str">
        <f>CONCATENATE("Export All Types Crude Oil, PADD 4 to R",RIGHT(C924))</f>
        <v>Export All Types Crude Oil, PADD 4 to R8</v>
      </c>
      <c r="E924" s="163" t="s">
        <v>196</v>
      </c>
      <c r="F924" s="163" t="s">
        <v>318</v>
      </c>
    </row>
    <row r="925" spans="2:7">
      <c r="B925" s="147" t="s">
        <v>1004</v>
      </c>
      <c r="C925" s="147" t="str">
        <f>CONCATENATE("EXP",Commodities!C21,9)</f>
        <v>EXPOILIP59</v>
      </c>
      <c r="D925" s="147" t="str">
        <f>CONCATENATE("Export All Types Crude Oil, PADD 5 to R",RIGHT(C925))</f>
        <v>Export All Types Crude Oil, PADD 5 to R9</v>
      </c>
      <c r="E925" s="163" t="s">
        <v>196</v>
      </c>
      <c r="F925" s="163" t="s">
        <v>318</v>
      </c>
    </row>
    <row r="926" spans="2:7">
      <c r="B926" s="146" t="s">
        <v>339</v>
      </c>
    </row>
    <row r="927" spans="2:7">
      <c r="B927" s="147" t="s">
        <v>1037</v>
      </c>
      <c r="C927" s="147" t="str">
        <f>CONCATENATE("IMP",Commodities!C17,1)</f>
        <v>IMPOILIP11</v>
      </c>
      <c r="D927" s="147" t="str">
        <f>CONCATENATE("Import All Types Crude Oil, PADD 1 to R",RIGHT(C927))</f>
        <v>Import All Types Crude Oil, PADD 1 to R1</v>
      </c>
      <c r="E927" s="163" t="s">
        <v>196</v>
      </c>
      <c r="F927" s="163" t="s">
        <v>318</v>
      </c>
      <c r="G927" s="146" t="s">
        <v>1155</v>
      </c>
    </row>
    <row r="928" spans="2:7">
      <c r="B928" s="147" t="s">
        <v>1034</v>
      </c>
      <c r="C928" s="147" t="str">
        <f>CONCATENATE("IMP",Commodities!C17,5)</f>
        <v>IMPOILIP15</v>
      </c>
      <c r="D928" s="147" t="str">
        <f>CONCATENATE("Import All Types Crude Oil, PADD 1 to R",RIGHT(C928))</f>
        <v>Import All Types Crude Oil, PADD 1 to R5</v>
      </c>
      <c r="E928" s="163" t="s">
        <v>196</v>
      </c>
      <c r="F928" s="163" t="s">
        <v>318</v>
      </c>
    </row>
    <row r="929" spans="2:9">
      <c r="B929" s="147" t="s">
        <v>1037</v>
      </c>
      <c r="C929" s="147" t="str">
        <f>CONCATENATE("IMP",Commodities!C18,1)</f>
        <v>IMPOILIP21</v>
      </c>
      <c r="D929" s="147" t="str">
        <f>CONCATENATE("Import All Types Crude Oil, PADD 2 to R",RIGHT(C929))</f>
        <v>Import All Types Crude Oil, PADD 2 to R1</v>
      </c>
      <c r="E929" s="163" t="s">
        <v>196</v>
      </c>
      <c r="F929" s="163" t="s">
        <v>318</v>
      </c>
    </row>
    <row r="930" spans="2:9">
      <c r="B930" s="147" t="s">
        <v>1033</v>
      </c>
      <c r="C930" s="147" t="str">
        <f>CONCATENATE("IMP",Commodities!C18,4)</f>
        <v>IMPOILIP24</v>
      </c>
      <c r="D930" s="147" t="str">
        <f>CONCATENATE("Import All Types Crude Oil, PADD 2 to R",RIGHT(C930))</f>
        <v>Import All Types Crude Oil, PADD 2 to R4</v>
      </c>
      <c r="E930" s="163" t="s">
        <v>196</v>
      </c>
      <c r="F930" s="163" t="s">
        <v>318</v>
      </c>
    </row>
    <row r="931" spans="2:9">
      <c r="B931" s="147" t="s">
        <v>1037</v>
      </c>
      <c r="C931" s="147" t="str">
        <f>CONCATENATE("IMP",Commodities!C19,1)</f>
        <v>IMPOILIP31</v>
      </c>
      <c r="D931" s="147" t="str">
        <f>CONCATENATE("Import All Types Crude Oil, PADD 3 to R",RIGHT(C931))</f>
        <v>Import All Types Crude Oil, PADD 3 to R1</v>
      </c>
      <c r="E931" s="163" t="s">
        <v>196</v>
      </c>
      <c r="F931" s="163" t="s">
        <v>318</v>
      </c>
    </row>
    <row r="932" spans="2:9">
      <c r="B932" s="147" t="s">
        <v>1005</v>
      </c>
      <c r="C932" s="147" t="str">
        <f>CONCATENATE("IMP",Commodities!C19,7)</f>
        <v>IMPOILIP37</v>
      </c>
      <c r="D932" s="147" t="str">
        <f>CONCATENATE("Import All Types Crude Oil, PADD 3 to R",RIGHT(C932))</f>
        <v>Import All Types Crude Oil, PADD 3 to R7</v>
      </c>
      <c r="E932" s="163" t="s">
        <v>196</v>
      </c>
      <c r="F932" s="163" t="s">
        <v>318</v>
      </c>
    </row>
    <row r="933" spans="2:9">
      <c r="B933" s="147" t="s">
        <v>971</v>
      </c>
      <c r="C933" s="147" t="str">
        <f>CONCATENATE("IMP",Commodities!C20,8)</f>
        <v>IMPOILIP48</v>
      </c>
      <c r="D933" s="147" t="str">
        <f>CONCATENATE("Import All Types Crude Oil, PADD 4 to R",RIGHT(C933))</f>
        <v>Import All Types Crude Oil, PADD 4 to R8</v>
      </c>
      <c r="E933" s="163" t="s">
        <v>196</v>
      </c>
      <c r="F933" s="163" t="s">
        <v>318</v>
      </c>
    </row>
    <row r="934" spans="2:9">
      <c r="B934" s="147" t="s">
        <v>972</v>
      </c>
      <c r="C934" s="147" t="str">
        <f>CONCATENATE("IMP",Commodities!C21,9)</f>
        <v>IMPOILIP59</v>
      </c>
      <c r="D934" s="147" t="str">
        <f>CONCATENATE("Import All Types Crude Oil, PADD 5 to R",RIGHT(C934))</f>
        <v>Import All Types Crude Oil, PADD 5 to R9</v>
      </c>
    </row>
    <row r="935" spans="2:9">
      <c r="B935" s="160" t="s">
        <v>355</v>
      </c>
      <c r="C935" s="160"/>
      <c r="D935" s="160"/>
      <c r="E935" s="196"/>
      <c r="F935" s="196"/>
      <c r="G935" s="154" t="s">
        <v>398</v>
      </c>
      <c r="H935" s="160"/>
      <c r="I935" s="160"/>
    </row>
    <row r="936" spans="2:9">
      <c r="B936" s="147" t="str">
        <f>IF(OR(G$935="*",LEFT(Commodities!B$64,1)="*"),"*R0","R0")</f>
        <v>*R0</v>
      </c>
      <c r="C936" s="147" t="str">
        <f>CONCATENATE("EXP",Commodities!C64,1)</f>
        <v>EXPDSHP11</v>
      </c>
      <c r="D936" s="147" t="str">
        <f>CONCATENATE("Export of Imported ",VLOOKUP(MID(C936,4,3),Types!$B$2:$C$13,2,FALSE),", PADD ",MID(C936,9,1)," to R",RIGHT(C936,1))</f>
        <v>Export of Imported Distillate-Heating Oil No. 2, PADD 1 to R1</v>
      </c>
      <c r="E936" s="163" t="s">
        <v>196</v>
      </c>
      <c r="F936" s="163" t="s">
        <v>318</v>
      </c>
      <c r="G936" s="146" t="s">
        <v>1154</v>
      </c>
    </row>
    <row r="937" spans="2:9">
      <c r="B937" s="147" t="str">
        <f>IF(OR(G$935="*",LEFT(Commodities!B$65,1)="*"),"*R0","R0")</f>
        <v>*R0</v>
      </c>
      <c r="C937" s="147" t="str">
        <f>CONCATENATE("EXP",Commodities!C65,1)</f>
        <v>EXPDSLP11</v>
      </c>
      <c r="D937" s="147" t="str">
        <f>CONCATENATE("Export of Imported ",VLOOKUP(MID(C937,4,3),Types!$B$2:$C$13,2,FALSE),", PADD ",MID(C937,9,1)," to R",RIGHT(C937,1))</f>
        <v>Export of Imported Distillate-Low Sulfur Highway Diesel (500 ppm), PADD 1 to R1</v>
      </c>
      <c r="E937" s="163" t="s">
        <v>196</v>
      </c>
      <c r="F937" s="163" t="s">
        <v>318</v>
      </c>
    </row>
    <row r="938" spans="2:9">
      <c r="B938" s="147" t="str">
        <f>IF(OR(G$935="*",LEFT(Commodities!B$66,1)="*"),"*R0","R0")</f>
        <v>*R0</v>
      </c>
      <c r="C938" s="147" t="str">
        <f>CONCATENATE("EXP",Commodities!C66,1)</f>
        <v>EXPDSUP11</v>
      </c>
      <c r="D938" s="147" t="str">
        <f>CONCATENATE("Export of Imported ",VLOOKUP(MID(C938,4,3),Types!$B$2:$C$13,2,FALSE),", PADD ",MID(C938,9,1)," to R",RIGHT(C938,1))</f>
        <v>Export of Imported Distillate-Ultralow Sulfur Highway Diesel (15 ppm), PADD 1 to R1</v>
      </c>
      <c r="E938" s="163" t="s">
        <v>196</v>
      </c>
      <c r="F938" s="163" t="s">
        <v>318</v>
      </c>
    </row>
    <row r="939" spans="2:9">
      <c r="B939" s="147" t="str">
        <f>IF(OR(G$935="*",LEFT(Commodities!B$67,1)="*"),"*R0","R0")</f>
        <v>*R0</v>
      </c>
      <c r="C939" s="147" t="str">
        <f>CONCATENATE("EXP",Commodities!C67,1)</f>
        <v>EXPGSCP11</v>
      </c>
      <c r="D939" s="147" t="str">
        <f>CONCATENATE("Export of Imported ",VLOOKUP(MID(C939,4,3),Types!$B$2:$C$13,2,FALSE),", PADD ",MID(C939,9,1)," to R",RIGHT(C939,1))</f>
        <v>Export of Imported Conventional Gasoline, PADD 1 to R1</v>
      </c>
      <c r="E939" s="163" t="s">
        <v>196</v>
      </c>
      <c r="F939" s="163" t="s">
        <v>318</v>
      </c>
    </row>
    <row r="940" spans="2:9">
      <c r="B940" s="147" t="str">
        <f>IF(OR(G$935="*",LEFT(Commodities!B$68,1)="*"),"*R0","R0")</f>
        <v>*R0</v>
      </c>
      <c r="C940" s="147" t="str">
        <f>CONCATENATE("EXP",Commodities!C68,1)</f>
        <v>EXPGSRP11</v>
      </c>
      <c r="D940" s="147" t="str">
        <f>CONCATENATE("Export of Imported ",VLOOKUP(MID(C940,4,3),Types!$B$2:$C$13,2,FALSE),", PADD ",MID(C940,9,1)," to R",RIGHT(C940,1))</f>
        <v>Export of Imported Reformulated Gasoline, PADD 1 to R1</v>
      </c>
      <c r="E940" s="163" t="s">
        <v>196</v>
      </c>
      <c r="F940" s="163" t="s">
        <v>318</v>
      </c>
    </row>
    <row r="941" spans="2:9">
      <c r="B941" s="147" t="str">
        <f>IF(OR(G$935="*",LEFT(Commodities!B$69,1)="*"),"*R0","R0")</f>
        <v>*R0</v>
      </c>
      <c r="C941" s="147" t="str">
        <f>CONCATENATE("EXP",Commodities!C69,1)</f>
        <v>EXPJTFP11</v>
      </c>
      <c r="D941" s="147" t="str">
        <f>CONCATENATE("Export of Imported ",VLOOKUP(MID(C941,4,3),Types!$B$2:$C$13,2,FALSE),", PADD ",MID(C941,8,1)," to R",RIGHT(C941,1))</f>
        <v>Export of Imported Jet Fuel, PADD 1 to R1</v>
      </c>
      <c r="E941" s="163" t="s">
        <v>196</v>
      </c>
      <c r="F941" s="163" t="s">
        <v>318</v>
      </c>
    </row>
    <row r="942" spans="2:9">
      <c r="B942" s="147" t="str">
        <f>IF(OR(G$935="*",LEFT(Commodities!B$70,1)="*"),"*R0","R0")</f>
        <v>*R0</v>
      </c>
      <c r="C942" s="147" t="str">
        <f>CONCATENATE("EXP",Commodities!C70,1)</f>
        <v>EXPKERP11</v>
      </c>
      <c r="D942" s="147" t="str">
        <f>CONCATENATE("Export of Imported ",VLOOKUP(MID(C942,4,3),Types!$B$2:$C$13,2,FALSE),", PADD ",MID(C942,8,1)," to R",RIGHT(C942,1))</f>
        <v>Export of Imported Kerosene and Other Refined Products, PADD 1 to R1</v>
      </c>
      <c r="E942" s="163" t="s">
        <v>196</v>
      </c>
      <c r="F942" s="163" t="s">
        <v>318</v>
      </c>
    </row>
    <row r="943" spans="2:9">
      <c r="B943" s="147" t="str">
        <f>IF(OR(G$935="*",LEFT(Commodities!B$71,1)="*"),"*R0","R0")</f>
        <v>*R0</v>
      </c>
      <c r="C943" s="147" t="str">
        <f>CONCATENATE("EXP",Commodities!C71,1)</f>
        <v>EXPLPGP11</v>
      </c>
      <c r="D943" s="147" t="str">
        <f>CONCATENATE("Export of Imported ",VLOOKUP(MID(C943,4,3),Types!$B$2:$C$13,2,FALSE),", PADD ",MID(C943,8,1)," to R",RIGHT(C943,1))</f>
        <v>Export of Imported LPG, PADD 1 to R1</v>
      </c>
      <c r="E943" s="163" t="s">
        <v>196</v>
      </c>
      <c r="F943" s="163" t="s">
        <v>318</v>
      </c>
    </row>
    <row r="944" spans="2:9">
      <c r="B944" s="147" t="str">
        <f>IF(OR(G$935="*",LEFT(Commodities!B$72,1)="*"),"*R0","R0")</f>
        <v>*R0</v>
      </c>
      <c r="C944" s="147" t="str">
        <f>CONCATENATE("EXP",Commodities!C72,1)</f>
        <v>EXPMTHP11</v>
      </c>
      <c r="D944" s="147" t="str">
        <f>CONCATENATE("Export of Imported ",VLOOKUP(MID(C944,4,3),Types!$B$2:$C$13,2,FALSE),", PADD ",MID(C944,8,1)," to R",RIGHT(C944,1))</f>
        <v>Export of Imported Methanol, PADD 1 to R1</v>
      </c>
      <c r="E944" s="163" t="s">
        <v>196</v>
      </c>
      <c r="F944" s="163" t="s">
        <v>318</v>
      </c>
    </row>
    <row r="945" spans="2:6">
      <c r="B945" s="147" t="str">
        <f>IF(OR(G$935="*",LEFT(Commodities!B$73,1)="*"),"*R0","R0")</f>
        <v>*R0</v>
      </c>
      <c r="C945" s="147" t="str">
        <f>CONCATENATE("EXP",Commodities!C73,1)</f>
        <v>EXPPFSP11</v>
      </c>
      <c r="D945" s="147" t="str">
        <f>CONCATENATE("Export of Imported ",VLOOKUP(MID(C945,4,3),Types!$B$2:$C$13,2,FALSE),", PADD ",MID(C945,8,1)," to R",RIGHT(C945,1))</f>
        <v>Export of Imported Petrochemical Feedstocks, PADD 1 to R1</v>
      </c>
      <c r="E945" s="163" t="s">
        <v>196</v>
      </c>
      <c r="F945" s="163" t="s">
        <v>318</v>
      </c>
    </row>
    <row r="946" spans="2:6">
      <c r="B946" s="147" t="str">
        <f>IF(OR(G$935="*",LEFT(Commodities!B$74,1)="*"),"*R0","R0")</f>
        <v>*R0</v>
      </c>
      <c r="C946" s="147" t="str">
        <f>CONCATENATE("EXP",Commodities!C74,1)</f>
        <v>EXPRFHP11</v>
      </c>
      <c r="D946" s="147" t="str">
        <f>CONCATENATE("Export of Imported ",VLOOKUP(MID(C946,4,3),Types!$B$2:$C$13,2,FALSE),", PADD ",MID(C946,8,1)," to R",RIGHT(C946,1))</f>
        <v>Export of Imported High Sulfur Residual Fuel Oil, PADD 1 to R1</v>
      </c>
      <c r="E946" s="163" t="s">
        <v>196</v>
      </c>
      <c r="F946" s="163" t="s">
        <v>318</v>
      </c>
    </row>
    <row r="947" spans="2:6">
      <c r="B947" s="147" t="str">
        <f>IF(OR(G$935="*",LEFT(Commodities!B$75,1)="*"),"*R0","R0")</f>
        <v>*R0</v>
      </c>
      <c r="C947" s="147" t="str">
        <f>CONCATENATE("EXP",Commodities!C75,1)</f>
        <v>EXPRFLP11</v>
      </c>
      <c r="D947" s="147" t="str">
        <f>CONCATENATE("Export of Imported ",VLOOKUP(MID(C947,4,3),Types!$B$2:$C$13,2,FALSE),", PADD ",MID(C947,8,1)," to R",RIGHT(C947,1))</f>
        <v>Export of Imported Low Sulfur Residual Fuel Oil, PADD 1 to R1</v>
      </c>
      <c r="E947" s="163" t="s">
        <v>196</v>
      </c>
      <c r="F947" s="163" t="s">
        <v>318</v>
      </c>
    </row>
    <row r="948" spans="2:6">
      <c r="B948" s="147" t="str">
        <f>IF(OR(G$935="*",LEFT(Commodities!B$76,1)="*"),"*R0","R0")</f>
        <v>*R0</v>
      </c>
      <c r="C948" s="147" t="s">
        <v>356</v>
      </c>
      <c r="D948" s="147" t="s">
        <v>357</v>
      </c>
      <c r="E948" s="163" t="s">
        <v>196</v>
      </c>
      <c r="F948" s="163" t="s">
        <v>318</v>
      </c>
    </row>
    <row r="949" spans="2:6">
      <c r="B949" s="147" t="str">
        <f>IF(OR(G$935="*",LEFT(Commodities!B$64,1)="*"),"*R0","R0")</f>
        <v>*R0</v>
      </c>
      <c r="C949" s="147" t="str">
        <f>CONCATENATE("EXP",Commodities!C64,2)</f>
        <v>EXPDSHP12</v>
      </c>
      <c r="D949" s="147" t="str">
        <f>CONCATENATE("Export of Imported ",VLOOKUP(MID(C949,4,3),Types!$B$2:$C$13,2,FALSE),", PADD ",MID(C949,8,1)," to R",RIGHT(C949,1))</f>
        <v>Export of Imported Distillate-Heating Oil No. 2, PADD 1 to R2</v>
      </c>
      <c r="E949" s="163" t="s">
        <v>196</v>
      </c>
      <c r="F949" s="163" t="s">
        <v>318</v>
      </c>
    </row>
    <row r="950" spans="2:6">
      <c r="B950" s="147" t="str">
        <f>IF(OR(G$935="*",LEFT(Commodities!B$65,1)="*"),"*R0","R0")</f>
        <v>*R0</v>
      </c>
      <c r="C950" s="147" t="str">
        <f>CONCATENATE("EXP",Commodities!C65,2)</f>
        <v>EXPDSLP12</v>
      </c>
      <c r="D950" s="147" t="str">
        <f>CONCATENATE("Export of Imported ",VLOOKUP(MID(C950,4,3),Types!$B$2:$C$13,2,FALSE),", PADD ",MID(C950,8,1)," to R",RIGHT(C950,1))</f>
        <v>Export of Imported Distillate-Low Sulfur Highway Diesel (500 ppm), PADD 1 to R2</v>
      </c>
      <c r="E950" s="163" t="s">
        <v>196</v>
      </c>
      <c r="F950" s="163" t="s">
        <v>318</v>
      </c>
    </row>
    <row r="951" spans="2:6">
      <c r="B951" s="147" t="str">
        <f>IF(OR(G$935="*",LEFT(Commodities!B$66,1)="*"),"*R0","R0")</f>
        <v>*R0</v>
      </c>
      <c r="C951" s="147" t="str">
        <f>CONCATENATE("EXP",Commodities!C66,2)</f>
        <v>EXPDSUP12</v>
      </c>
      <c r="D951" s="147" t="str">
        <f>CONCATENATE("Export of Imported ",VLOOKUP(MID(C951,4,3),Types!$B$2:$C$13,2,FALSE),", PADD ",MID(C951,8,1)," to R",RIGHT(C951,1))</f>
        <v>Export of Imported Distillate-Ultralow Sulfur Highway Diesel (15 ppm), PADD 1 to R2</v>
      </c>
      <c r="E951" s="163" t="s">
        <v>196</v>
      </c>
      <c r="F951" s="163" t="s">
        <v>318</v>
      </c>
    </row>
    <row r="952" spans="2:6">
      <c r="B952" s="147" t="str">
        <f>IF(OR(G$935="*",LEFT(Commodities!B$67,1)="*"),"*R0","R0")</f>
        <v>*R0</v>
      </c>
      <c r="C952" s="147" t="str">
        <f>CONCATENATE("EXP",Commodities!C67,2)</f>
        <v>EXPGSCP12</v>
      </c>
      <c r="D952" s="147" t="str">
        <f>CONCATENATE("Export of Imported ",VLOOKUP(MID(C952,4,3),Types!$B$2:$C$13,2,FALSE),", PADD ",MID(C952,8,1)," to R",RIGHT(C952,1))</f>
        <v>Export of Imported Conventional Gasoline, PADD 1 to R2</v>
      </c>
      <c r="E952" s="163" t="s">
        <v>196</v>
      </c>
      <c r="F952" s="163" t="s">
        <v>318</v>
      </c>
    </row>
    <row r="953" spans="2:6">
      <c r="B953" s="147" t="str">
        <f>IF(OR(G$935="*",LEFT(Commodities!B$68,1)="*"),"*R0","R0")</f>
        <v>*R0</v>
      </c>
      <c r="C953" s="147" t="str">
        <f>CONCATENATE("EXP",Commodities!C68,2)</f>
        <v>EXPGSRP12</v>
      </c>
      <c r="D953" s="147" t="str">
        <f>CONCATENATE("Export of Imported ",VLOOKUP(MID(C953,4,3),Types!$B$2:$C$13,2,FALSE),", PADD ",MID(C953,8,1)," to R",RIGHT(C953,1))</f>
        <v>Export of Imported Reformulated Gasoline, PADD 1 to R2</v>
      </c>
      <c r="E953" s="163" t="s">
        <v>196</v>
      </c>
      <c r="F953" s="163" t="s">
        <v>318</v>
      </c>
    </row>
    <row r="954" spans="2:6">
      <c r="B954" s="147" t="str">
        <f>IF(OR(G$935="*",LEFT(Commodities!B$69,1)="*"),"*R0","R0")</f>
        <v>*R0</v>
      </c>
      <c r="C954" s="147" t="str">
        <f>CONCATENATE("EXP",Commodities!C69,2)</f>
        <v>EXPJTFP12</v>
      </c>
      <c r="D954" s="147" t="str">
        <f>CONCATENATE("Export of Imported ",VLOOKUP(MID(C954,4,3),Types!$B$2:$C$13,2,FALSE),", PADD ",MID(C954,8,1)," to R",RIGHT(C954,1))</f>
        <v>Export of Imported Jet Fuel, PADD 1 to R2</v>
      </c>
      <c r="E954" s="163" t="s">
        <v>196</v>
      </c>
      <c r="F954" s="163" t="s">
        <v>318</v>
      </c>
    </row>
    <row r="955" spans="2:6">
      <c r="B955" s="147" t="str">
        <f>IF(OR(G$935="*",LEFT(Commodities!B$70,1)="*"),"*R0","R0")</f>
        <v>*R0</v>
      </c>
      <c r="C955" s="147" t="str">
        <f>CONCATENATE("EXP",Commodities!C70,2)</f>
        <v>EXPKERP12</v>
      </c>
      <c r="D955" s="147" t="str">
        <f>CONCATENATE("Export of Imported ",VLOOKUP(MID(C955,4,3),Types!$B$2:$C$13,2,FALSE),", PADD ",MID(C955,8,1)," to R",RIGHT(C955,1))</f>
        <v>Export of Imported Kerosene and Other Refined Products, PADD 1 to R2</v>
      </c>
      <c r="E955" s="163" t="s">
        <v>196</v>
      </c>
      <c r="F955" s="163" t="s">
        <v>318</v>
      </c>
    </row>
    <row r="956" spans="2:6">
      <c r="B956" s="147" t="str">
        <f>IF(OR(G$935="*",LEFT(Commodities!B$71,1)="*"),"*R0","R0")</f>
        <v>*R0</v>
      </c>
      <c r="C956" s="147" t="str">
        <f>CONCATENATE("EXP",Commodities!C71,2)</f>
        <v>EXPLPGP12</v>
      </c>
      <c r="D956" s="147" t="str">
        <f>CONCATENATE("Export of Imported ",VLOOKUP(MID(C956,4,3),Types!$B$2:$C$13,2,FALSE),", PADD ",MID(C956,8,1)," to R",RIGHT(C956,1))</f>
        <v>Export of Imported LPG, PADD 1 to R2</v>
      </c>
      <c r="E956" s="163" t="s">
        <v>196</v>
      </c>
      <c r="F956" s="163" t="s">
        <v>318</v>
      </c>
    </row>
    <row r="957" spans="2:6">
      <c r="B957" s="147" t="str">
        <f>IF(OR(G$935="*",LEFT(Commodities!B$72,1)="*"),"*R0","R0")</f>
        <v>*R0</v>
      </c>
      <c r="C957" s="147" t="str">
        <f>CONCATENATE("EXP",Commodities!C72,2)</f>
        <v>EXPMTHP12</v>
      </c>
      <c r="D957" s="147" t="str">
        <f>CONCATENATE("Export of Imported ",VLOOKUP(MID(C957,4,3),Types!$B$2:$C$13,2,FALSE),", PADD ",MID(C957,8,1)," to R",RIGHT(C957,1))</f>
        <v>Export of Imported Methanol, PADD 1 to R2</v>
      </c>
      <c r="E957" s="163" t="s">
        <v>196</v>
      </c>
      <c r="F957" s="163" t="s">
        <v>318</v>
      </c>
    </row>
    <row r="958" spans="2:6">
      <c r="B958" s="147" t="str">
        <f>IF(OR(G$935="*",LEFT(Commodities!B$73,1)="*"),"*R0","R0")</f>
        <v>*R0</v>
      </c>
      <c r="C958" s="147" t="str">
        <f>CONCATENATE("EXP",Commodities!C73,2)</f>
        <v>EXPPFSP12</v>
      </c>
      <c r="D958" s="147" t="str">
        <f>CONCATENATE("Export of Imported ",VLOOKUP(MID(C958,4,3),Types!$B$2:$C$13,2,FALSE),", PADD ",MID(C958,8,1)," to R",RIGHT(C958,1))</f>
        <v>Export of Imported Petrochemical Feedstocks, PADD 1 to R2</v>
      </c>
      <c r="E958" s="163" t="s">
        <v>196</v>
      </c>
      <c r="F958" s="163" t="s">
        <v>318</v>
      </c>
    </row>
    <row r="959" spans="2:6">
      <c r="B959" s="147" t="str">
        <f>IF(OR(G$935="*",LEFT(Commodities!B$74,1)="*"),"*R0","R0")</f>
        <v>*R0</v>
      </c>
      <c r="C959" s="147" t="str">
        <f>CONCATENATE("EXP",Commodities!C74,2)</f>
        <v>EXPRFHP12</v>
      </c>
      <c r="D959" s="147" t="str">
        <f>CONCATENATE("Export of Imported ",VLOOKUP(MID(C959,4,3),Types!$B$2:$C$13,2,FALSE),", PADD ",MID(C959,8,1)," to R",RIGHT(C959,1))</f>
        <v>Export of Imported High Sulfur Residual Fuel Oil, PADD 1 to R2</v>
      </c>
      <c r="E959" s="163" t="s">
        <v>196</v>
      </c>
      <c r="F959" s="163" t="s">
        <v>318</v>
      </c>
    </row>
    <row r="960" spans="2:6">
      <c r="B960" s="147" t="str">
        <f>IF(OR(G$935="*",LEFT(Commodities!B$75,1)="*"),"*R0","R0")</f>
        <v>*R0</v>
      </c>
      <c r="C960" s="147" t="str">
        <f>CONCATENATE("EXP",Commodities!C75,2)</f>
        <v>EXPRFLP12</v>
      </c>
      <c r="D960" s="147" t="str">
        <f>CONCATENATE("Export of Imported ",VLOOKUP(MID(C960,4,3),Types!$B$2:$C$13,2,FALSE),", PADD ",MID(C960,8,1)," to R",RIGHT(C960,1))</f>
        <v>Export of Imported Low Sulfur Residual Fuel Oil, PADD 1 to R2</v>
      </c>
      <c r="E960" s="163" t="s">
        <v>196</v>
      </c>
      <c r="F960" s="163" t="s">
        <v>318</v>
      </c>
    </row>
    <row r="961" spans="2:6">
      <c r="B961" s="147" t="str">
        <f>IF(OR(G$935="*",LEFT(Commodities!B$76,1)="*"),"*R0","R0")</f>
        <v>*R0</v>
      </c>
      <c r="C961" s="147" t="s">
        <v>358</v>
      </c>
      <c r="D961" s="147" t="s">
        <v>359</v>
      </c>
      <c r="E961" s="163" t="s">
        <v>196</v>
      </c>
      <c r="F961" s="163" t="s">
        <v>318</v>
      </c>
    </row>
    <row r="962" spans="2:6">
      <c r="B962" s="147" t="str">
        <f>IF(OR(G$935="*",LEFT(Commodities!B$64,1)="*"),"*R0","R0")</f>
        <v>*R0</v>
      </c>
      <c r="C962" s="147" t="str">
        <f>CONCATENATE("EXP",Commodities!C64,3)</f>
        <v>EXPDSHP13</v>
      </c>
      <c r="D962" s="147" t="str">
        <f>CONCATENATE("Export of Imported ",VLOOKUP(MID(C962,4,3),Types!$B$2:$C$13,2,FALSE),", PADD ",MID(C962,8,1)," to R",RIGHT(C962,1))</f>
        <v>Export of Imported Distillate-Heating Oil No. 2, PADD 1 to R3</v>
      </c>
      <c r="E962" s="163" t="s">
        <v>196</v>
      </c>
      <c r="F962" s="163" t="s">
        <v>318</v>
      </c>
    </row>
    <row r="963" spans="2:6">
      <c r="B963" s="147" t="str">
        <f>IF(OR(G$935="*",LEFT(Commodities!B$65,1)="*"),"*R0","R0")</f>
        <v>*R0</v>
      </c>
      <c r="C963" s="147" t="str">
        <f>CONCATENATE("EXP",Commodities!C65,3)</f>
        <v>EXPDSLP13</v>
      </c>
      <c r="D963" s="147" t="str">
        <f>CONCATENATE("Export of Imported ",VLOOKUP(MID(C963,4,3),Types!$B$2:$C$13,2,FALSE),", PADD ",MID(C963,8,1)," to R",RIGHT(C963,1))</f>
        <v>Export of Imported Distillate-Low Sulfur Highway Diesel (500 ppm), PADD 1 to R3</v>
      </c>
      <c r="E963" s="163" t="s">
        <v>196</v>
      </c>
      <c r="F963" s="163" t="s">
        <v>318</v>
      </c>
    </row>
    <row r="964" spans="2:6">
      <c r="B964" s="147" t="str">
        <f>IF(OR(G$935="*",LEFT(Commodities!B$66,1)="*"),"*R0","R0")</f>
        <v>*R0</v>
      </c>
      <c r="C964" s="147" t="str">
        <f>CONCATENATE("EXP",Commodities!C66,3)</f>
        <v>EXPDSUP13</v>
      </c>
      <c r="D964" s="147" t="str">
        <f>CONCATENATE("Export of Imported ",VLOOKUP(MID(C964,4,3),Types!$B$2:$C$13,2,FALSE),", PADD ",MID(C964,8,1)," to R",RIGHT(C964,1))</f>
        <v>Export of Imported Distillate-Ultralow Sulfur Highway Diesel (15 ppm), PADD 1 to R3</v>
      </c>
      <c r="E964" s="163" t="s">
        <v>196</v>
      </c>
      <c r="F964" s="163" t="s">
        <v>318</v>
      </c>
    </row>
    <row r="965" spans="2:6">
      <c r="B965" s="147" t="str">
        <f>IF(OR(G$935="*",LEFT(Commodities!B$67,1)="*"),"*R0","R0")</f>
        <v>*R0</v>
      </c>
      <c r="C965" s="147" t="str">
        <f>CONCATENATE("EXP",Commodities!C67,3)</f>
        <v>EXPGSCP13</v>
      </c>
      <c r="D965" s="147" t="str">
        <f>CONCATENATE("Export of Imported ",VLOOKUP(MID(C965,4,3),Types!$B$2:$C$13,2,FALSE),", PADD ",MID(C965,8,1)," to R",RIGHT(C965,1))</f>
        <v>Export of Imported Conventional Gasoline, PADD 1 to R3</v>
      </c>
      <c r="E965" s="163" t="s">
        <v>196</v>
      </c>
      <c r="F965" s="163" t="s">
        <v>318</v>
      </c>
    </row>
    <row r="966" spans="2:6">
      <c r="B966" s="147" t="str">
        <f>IF(OR(G$935="*",LEFT(Commodities!B$68,1)="*"),"*R0","R0")</f>
        <v>*R0</v>
      </c>
      <c r="C966" s="147" t="str">
        <f>CONCATENATE("EXP",Commodities!C68,3)</f>
        <v>EXPGSRP13</v>
      </c>
      <c r="D966" s="147" t="str">
        <f>CONCATENATE("Export of Imported ",VLOOKUP(MID(C966,4,3),Types!$B$2:$C$13,2,FALSE),", PADD ",MID(C966,8,1)," to R",RIGHT(C966,1))</f>
        <v>Export of Imported Reformulated Gasoline, PADD 1 to R3</v>
      </c>
      <c r="E966" s="163" t="s">
        <v>196</v>
      </c>
      <c r="F966" s="163" t="s">
        <v>318</v>
      </c>
    </row>
    <row r="967" spans="2:6">
      <c r="B967" s="147" t="str">
        <f>IF(OR(G$935="*",LEFT(Commodities!B$69,1)="*"),"*R0","R0")</f>
        <v>*R0</v>
      </c>
      <c r="C967" s="147" t="str">
        <f>CONCATENATE("EXP",Commodities!C69,3)</f>
        <v>EXPJTFP13</v>
      </c>
      <c r="D967" s="147" t="str">
        <f>CONCATENATE("Export of Imported ",VLOOKUP(MID(C967,4,3),Types!$B$2:$C$13,2,FALSE),", PADD ",MID(C967,8,1)," to R",RIGHT(C967,1))</f>
        <v>Export of Imported Jet Fuel, PADD 1 to R3</v>
      </c>
      <c r="E967" s="163" t="s">
        <v>196</v>
      </c>
      <c r="F967" s="163" t="s">
        <v>318</v>
      </c>
    </row>
    <row r="968" spans="2:6">
      <c r="B968" s="147" t="str">
        <f>IF(OR(G$935="*",LEFT(Commodities!B$70,1)="*"),"*R0","R0")</f>
        <v>*R0</v>
      </c>
      <c r="C968" s="147" t="str">
        <f>CONCATENATE("EXP",Commodities!C70,3)</f>
        <v>EXPKERP13</v>
      </c>
      <c r="D968" s="147" t="str">
        <f>CONCATENATE("Export of Imported ",VLOOKUP(MID(C968,4,3),Types!$B$2:$C$13,2,FALSE),", PADD ",MID(C968,8,1)," to R",RIGHT(C968,1))</f>
        <v>Export of Imported Kerosene and Other Refined Products, PADD 1 to R3</v>
      </c>
      <c r="E968" s="163" t="s">
        <v>196</v>
      </c>
      <c r="F968" s="163" t="s">
        <v>318</v>
      </c>
    </row>
    <row r="969" spans="2:6">
      <c r="B969" s="147" t="str">
        <f>IF(OR(G$935="*",LEFT(Commodities!B$71,1)="*"),"*R0","R0")</f>
        <v>*R0</v>
      </c>
      <c r="C969" s="147" t="str">
        <f>CONCATENATE("EXP",Commodities!C71,3)</f>
        <v>EXPLPGP13</v>
      </c>
      <c r="D969" s="147" t="str">
        <f>CONCATENATE("Export of Imported ",VLOOKUP(MID(C969,4,3),Types!$B$2:$C$13,2,FALSE),", PADD ",MID(C969,8,1)," to R",RIGHT(C969,1))</f>
        <v>Export of Imported LPG, PADD 1 to R3</v>
      </c>
      <c r="E969" s="163" t="s">
        <v>196</v>
      </c>
      <c r="F969" s="163" t="s">
        <v>318</v>
      </c>
    </row>
    <row r="970" spans="2:6">
      <c r="B970" s="147" t="str">
        <f>IF(OR(G$935="*",LEFT(Commodities!B$72,1)="*"),"*R0","R0")</f>
        <v>*R0</v>
      </c>
      <c r="C970" s="147" t="str">
        <f>CONCATENATE("EXP",Commodities!C72,3)</f>
        <v>EXPMTHP13</v>
      </c>
      <c r="D970" s="147" t="str">
        <f>CONCATENATE("Export of Imported ",VLOOKUP(MID(C970,4,3),Types!$B$2:$C$13,2,FALSE),", PADD ",MID(C970,8,1)," to R",RIGHT(C970,1))</f>
        <v>Export of Imported Methanol, PADD 1 to R3</v>
      </c>
      <c r="E970" s="163" t="s">
        <v>196</v>
      </c>
      <c r="F970" s="163" t="s">
        <v>318</v>
      </c>
    </row>
    <row r="971" spans="2:6">
      <c r="B971" s="147" t="str">
        <f>IF(OR(G$935="*",LEFT(Commodities!B$73,1)="*"),"*R0","R0")</f>
        <v>*R0</v>
      </c>
      <c r="C971" s="147" t="str">
        <f>CONCATENATE("EXP",Commodities!C73,3)</f>
        <v>EXPPFSP13</v>
      </c>
      <c r="D971" s="147" t="str">
        <f>CONCATENATE("Export of Imported ",VLOOKUP(MID(C971,4,3),Types!$B$2:$C$13,2,FALSE),", PADD ",MID(C971,8,1)," to R",RIGHT(C971,1))</f>
        <v>Export of Imported Petrochemical Feedstocks, PADD 1 to R3</v>
      </c>
      <c r="E971" s="163" t="s">
        <v>196</v>
      </c>
      <c r="F971" s="163" t="s">
        <v>318</v>
      </c>
    </row>
    <row r="972" spans="2:6">
      <c r="B972" s="147" t="str">
        <f>IF(OR(G$935="*",LEFT(Commodities!B$74,1)="*"),"*R0","R0")</f>
        <v>*R0</v>
      </c>
      <c r="C972" s="147" t="str">
        <f>CONCATENATE("EXP",Commodities!C74,3)</f>
        <v>EXPRFHP13</v>
      </c>
      <c r="D972" s="147" t="str">
        <f>CONCATENATE("Export of Imported ",VLOOKUP(MID(C972,4,3),Types!$B$2:$C$13,2,FALSE),", PADD ",MID(C972,8,1)," to R",RIGHT(C972,1))</f>
        <v>Export of Imported High Sulfur Residual Fuel Oil, PADD 1 to R3</v>
      </c>
      <c r="E972" s="163" t="s">
        <v>196</v>
      </c>
      <c r="F972" s="163" t="s">
        <v>318</v>
      </c>
    </row>
    <row r="973" spans="2:6">
      <c r="B973" s="147" t="str">
        <f>IF(OR(G$935="*",LEFT(Commodities!B$75,1)="*"),"*R0","R0")</f>
        <v>*R0</v>
      </c>
      <c r="C973" s="147" t="str">
        <f>CONCATENATE("EXP",Commodities!C75,3)</f>
        <v>EXPRFLP13</v>
      </c>
      <c r="D973" s="147" t="str">
        <f>CONCATENATE("Export of Imported ",VLOOKUP(MID(C973,4,3),Types!$B$2:$C$13,2,FALSE),", PADD ",MID(C973,8,1)," to R",RIGHT(C973,1))</f>
        <v>Export of Imported Low Sulfur Residual Fuel Oil, PADD 1 to R3</v>
      </c>
      <c r="E973" s="163" t="s">
        <v>196</v>
      </c>
      <c r="F973" s="163" t="s">
        <v>318</v>
      </c>
    </row>
    <row r="974" spans="2:6">
      <c r="B974" s="147" t="str">
        <f>IF(OR(G$935="*",LEFT(Commodities!B$76,1)="*"),"*R0","R0")</f>
        <v>*R0</v>
      </c>
      <c r="C974" s="147" t="s">
        <v>1068</v>
      </c>
      <c r="D974" s="147" t="s">
        <v>1073</v>
      </c>
      <c r="E974" s="163" t="s">
        <v>196</v>
      </c>
      <c r="F974" s="163" t="s">
        <v>318</v>
      </c>
    </row>
    <row r="975" spans="2:6">
      <c r="B975" s="147" t="str">
        <f>IF(OR(G$935="*",LEFT(Commodities!B$64,1)="*"),"*R0","R0")</f>
        <v>*R0</v>
      </c>
      <c r="C975" s="147" t="str">
        <f>CONCATENATE("EXP",Commodities!C64,4)</f>
        <v>EXPDSHP14</v>
      </c>
      <c r="D975" s="147" t="str">
        <f>CONCATENATE("Export of Imported ",VLOOKUP(MID(C975,4,3),Types!$B$2:$C$13,2,FALSE),", PADD ",MID(C975,8,1)," to R",RIGHT(C975,1))</f>
        <v>Export of Imported Distillate-Heating Oil No. 2, PADD 1 to R4</v>
      </c>
      <c r="E975" s="163" t="s">
        <v>196</v>
      </c>
      <c r="F975" s="163" t="s">
        <v>318</v>
      </c>
    </row>
    <row r="976" spans="2:6">
      <c r="B976" s="147" t="str">
        <f>IF(OR(G$935="*",LEFT(Commodities!B$65,1)="*"),"*R0","R0")</f>
        <v>*R0</v>
      </c>
      <c r="C976" s="147" t="str">
        <f>CONCATENATE("EXP",Commodities!C65,4)</f>
        <v>EXPDSLP14</v>
      </c>
      <c r="D976" s="147" t="str">
        <f>CONCATENATE("Export of Imported ",VLOOKUP(MID(C976,4,3),Types!$B$2:$C$13,2,FALSE),", PADD ",MID(C976,8,1)," to R",RIGHT(C976,1))</f>
        <v>Export of Imported Distillate-Low Sulfur Highway Diesel (500 ppm), PADD 1 to R4</v>
      </c>
      <c r="E976" s="163" t="s">
        <v>196</v>
      </c>
      <c r="F976" s="163" t="s">
        <v>318</v>
      </c>
    </row>
    <row r="977" spans="2:6">
      <c r="B977" s="147" t="str">
        <f>IF(OR(G$935="*",LEFT(Commodities!B$66,1)="*"),"*R0","R0")</f>
        <v>*R0</v>
      </c>
      <c r="C977" s="147" t="str">
        <f>CONCATENATE("EXP",Commodities!C66,4)</f>
        <v>EXPDSUP14</v>
      </c>
      <c r="D977" s="147" t="str">
        <f>CONCATENATE("Export of Imported ",VLOOKUP(MID(C977,4,3),Types!$B$2:$C$13,2,FALSE),", PADD ",MID(C977,8,1)," to R",RIGHT(C977,1))</f>
        <v>Export of Imported Distillate-Ultralow Sulfur Highway Diesel (15 ppm), PADD 1 to R4</v>
      </c>
      <c r="E977" s="163" t="s">
        <v>196</v>
      </c>
      <c r="F977" s="163" t="s">
        <v>318</v>
      </c>
    </row>
    <row r="978" spans="2:6">
      <c r="B978" s="147" t="str">
        <f>IF(OR(G$935="*",LEFT(Commodities!B$67,1)="*"),"*R0","R0")</f>
        <v>*R0</v>
      </c>
      <c r="C978" s="147" t="str">
        <f>CONCATENATE("EXP",Commodities!C67,4)</f>
        <v>EXPGSCP14</v>
      </c>
      <c r="D978" s="147" t="str">
        <f>CONCATENATE("Export of Imported ",VLOOKUP(MID(C978,4,3),Types!$B$2:$C$13,2,FALSE),", PADD ",MID(C978,8,1)," to R",RIGHT(C978,1))</f>
        <v>Export of Imported Conventional Gasoline, PADD 1 to R4</v>
      </c>
      <c r="E978" s="163" t="s">
        <v>196</v>
      </c>
      <c r="F978" s="163" t="s">
        <v>318</v>
      </c>
    </row>
    <row r="979" spans="2:6">
      <c r="B979" s="147" t="str">
        <f>IF(OR(G$935="*",LEFT(Commodities!B$68,1)="*"),"*R0","R0")</f>
        <v>*R0</v>
      </c>
      <c r="C979" s="147" t="str">
        <f>CONCATENATE("EXP",Commodities!C68,4)</f>
        <v>EXPGSRP14</v>
      </c>
      <c r="D979" s="147" t="str">
        <f>CONCATENATE("Export of Imported ",VLOOKUP(MID(C979,4,3),Types!$B$2:$C$13,2,FALSE),", PADD ",MID(C979,8,1)," to R",RIGHT(C979,1))</f>
        <v>Export of Imported Reformulated Gasoline, PADD 1 to R4</v>
      </c>
      <c r="E979" s="163" t="s">
        <v>196</v>
      </c>
      <c r="F979" s="163" t="s">
        <v>318</v>
      </c>
    </row>
    <row r="980" spans="2:6">
      <c r="B980" s="147" t="str">
        <f>IF(OR(G$935="*",LEFT(Commodities!B$69,1)="*"),"*R0","R0")</f>
        <v>*R0</v>
      </c>
      <c r="C980" s="147" t="str">
        <f>CONCATENATE("EXP",Commodities!C69,4)</f>
        <v>EXPJTFP14</v>
      </c>
      <c r="D980" s="147" t="str">
        <f>CONCATENATE("Export of Imported ",VLOOKUP(MID(C980,4,3),Types!$B$2:$C$13,2,FALSE),", PADD ",MID(C980,8,1)," to R",RIGHT(C980,1))</f>
        <v>Export of Imported Jet Fuel, PADD 1 to R4</v>
      </c>
      <c r="E980" s="163" t="s">
        <v>196</v>
      </c>
      <c r="F980" s="163" t="s">
        <v>318</v>
      </c>
    </row>
    <row r="981" spans="2:6">
      <c r="B981" s="147" t="str">
        <f>IF(OR(G$935="*",LEFT(Commodities!B$70,1)="*"),"*R0","R0")</f>
        <v>*R0</v>
      </c>
      <c r="C981" s="147" t="str">
        <f>CONCATENATE("EXP",Commodities!C70,4)</f>
        <v>EXPKERP14</v>
      </c>
      <c r="D981" s="147" t="str">
        <f>CONCATENATE("Export of Imported ",VLOOKUP(MID(C981,4,3),Types!$B$2:$C$13,2,FALSE),", PADD ",MID(C981,8,1)," to R",RIGHT(C981,1))</f>
        <v>Export of Imported Kerosene and Other Refined Products, PADD 1 to R4</v>
      </c>
      <c r="E981" s="163" t="s">
        <v>196</v>
      </c>
      <c r="F981" s="163" t="s">
        <v>318</v>
      </c>
    </row>
    <row r="982" spans="2:6">
      <c r="B982" s="147" t="str">
        <f>IF(OR(G$935="*",LEFT(Commodities!B$71,1)="*"),"*R0","R0")</f>
        <v>*R0</v>
      </c>
      <c r="C982" s="147" t="str">
        <f>CONCATENATE("EXP",Commodities!C71,4)</f>
        <v>EXPLPGP14</v>
      </c>
      <c r="D982" s="147" t="str">
        <f>CONCATENATE("Export of Imported ",VLOOKUP(MID(C982,4,3),Types!$B$2:$C$13,2,FALSE),", PADD ",MID(C982,8,1)," to R",RIGHT(C982,1))</f>
        <v>Export of Imported LPG, PADD 1 to R4</v>
      </c>
      <c r="E982" s="163" t="s">
        <v>196</v>
      </c>
      <c r="F982" s="163" t="s">
        <v>318</v>
      </c>
    </row>
    <row r="983" spans="2:6">
      <c r="B983" s="147" t="str">
        <f>IF(OR(G$935="*",LEFT(Commodities!B$72,1)="*"),"*R0","R0")</f>
        <v>*R0</v>
      </c>
      <c r="C983" s="147" t="str">
        <f>CONCATENATE("EXP",Commodities!C72,4)</f>
        <v>EXPMTHP14</v>
      </c>
      <c r="D983" s="147" t="str">
        <f>CONCATENATE("Export of Imported ",VLOOKUP(MID(C983,4,3),Types!$B$2:$C$13,2,FALSE),", PADD ",MID(C983,8,1)," to R",RIGHT(C983,1))</f>
        <v>Export of Imported Methanol, PADD 1 to R4</v>
      </c>
      <c r="E983" s="163" t="s">
        <v>196</v>
      </c>
      <c r="F983" s="163" t="s">
        <v>318</v>
      </c>
    </row>
    <row r="984" spans="2:6">
      <c r="B984" s="147" t="str">
        <f>IF(OR(G$935="*",LEFT(Commodities!B$73,1)="*"),"*R0","R0")</f>
        <v>*R0</v>
      </c>
      <c r="C984" s="147" t="str">
        <f>CONCATENATE("EXP",Commodities!C73,4)</f>
        <v>EXPPFSP14</v>
      </c>
      <c r="D984" s="147" t="str">
        <f>CONCATENATE("Export of Imported ",VLOOKUP(MID(C984,4,3),Types!$B$2:$C$13,2,FALSE),", PADD ",MID(C984,8,1)," to R",RIGHT(C984,1))</f>
        <v>Export of Imported Petrochemical Feedstocks, PADD 1 to R4</v>
      </c>
      <c r="E984" s="163" t="s">
        <v>196</v>
      </c>
      <c r="F984" s="163" t="s">
        <v>318</v>
      </c>
    </row>
    <row r="985" spans="2:6">
      <c r="B985" s="147" t="str">
        <f>IF(OR(G$935="*",LEFT(Commodities!B$74,1)="*"),"*R0","R0")</f>
        <v>*R0</v>
      </c>
      <c r="C985" s="147" t="str">
        <f>CONCATENATE("EXP",Commodities!C74,4)</f>
        <v>EXPRFHP14</v>
      </c>
      <c r="D985" s="147" t="str">
        <f>CONCATENATE("Export of Imported ",VLOOKUP(MID(C985,4,3),Types!$B$2:$C$13,2,FALSE),", PADD ",MID(C985,8,1)," to R",RIGHT(C985,1))</f>
        <v>Export of Imported High Sulfur Residual Fuel Oil, PADD 1 to R4</v>
      </c>
      <c r="E985" s="163" t="s">
        <v>196</v>
      </c>
      <c r="F985" s="163" t="s">
        <v>318</v>
      </c>
    </row>
    <row r="986" spans="2:6">
      <c r="B986" s="147" t="str">
        <f>IF(OR(G$935="*",LEFT(Commodities!B$75,1)="*"),"*R0","R0")</f>
        <v>*R0</v>
      </c>
      <c r="C986" s="147" t="str">
        <f>CONCATENATE("EXP",Commodities!C75,4)</f>
        <v>EXPRFLP14</v>
      </c>
      <c r="D986" s="147" t="str">
        <f>CONCATENATE("Export of Imported ",VLOOKUP(MID(C986,4,3),Types!$B$2:$C$13,2,FALSE),", PADD ",MID(C986,8,1)," to R",RIGHT(C986,1))</f>
        <v>Export of Imported Low Sulfur Residual Fuel Oil, PADD 1 to R4</v>
      </c>
      <c r="E986" s="163" t="s">
        <v>196</v>
      </c>
      <c r="F986" s="163" t="s">
        <v>318</v>
      </c>
    </row>
    <row r="987" spans="2:6">
      <c r="B987" s="147" t="str">
        <f>IF(OR(G$935="*",LEFT(Commodities!B$76,1)="*"),"*R0","R0")</f>
        <v>*R0</v>
      </c>
      <c r="C987" s="147" t="s">
        <v>1069</v>
      </c>
      <c r="D987" s="147" t="s">
        <v>1072</v>
      </c>
      <c r="E987" s="163" t="s">
        <v>196</v>
      </c>
      <c r="F987" s="163" t="s">
        <v>318</v>
      </c>
    </row>
    <row r="988" spans="2:6">
      <c r="B988" s="147" t="str">
        <f>IF(OR(G$935="*",LEFT(Commodities!B$64,1)="*"),"*R0","R0")</f>
        <v>*R0</v>
      </c>
      <c r="C988" s="147" t="str">
        <f>CONCATENATE("EXP",Commodities!C64,5)</f>
        <v>EXPDSHP15</v>
      </c>
      <c r="D988" s="147" t="str">
        <f>CONCATENATE("Export of Imported ",VLOOKUP(MID(C988,4,3),Types!$B$2:$C$13,2,FALSE),", PADD ",MID(C988,8,1)," to R",RIGHT(C988,1))</f>
        <v>Export of Imported Distillate-Heating Oil No. 2, PADD 1 to R5</v>
      </c>
      <c r="E988" s="163" t="s">
        <v>196</v>
      </c>
      <c r="F988" s="163" t="s">
        <v>318</v>
      </c>
    </row>
    <row r="989" spans="2:6">
      <c r="B989" s="147" t="str">
        <f>IF(OR(G$935="*",LEFT(Commodities!B$65,1)="*"),"*R0","R0")</f>
        <v>*R0</v>
      </c>
      <c r="C989" s="147" t="str">
        <f>CONCATENATE("EXP",Commodities!C65,5)</f>
        <v>EXPDSLP15</v>
      </c>
      <c r="D989" s="147" t="str">
        <f>CONCATENATE("Export of Imported ",VLOOKUP(MID(C989,4,3),Types!$B$2:$C$13,2,FALSE),", PADD ",MID(C989,8,1)," to R",RIGHT(C989,1))</f>
        <v>Export of Imported Distillate-Low Sulfur Highway Diesel (500 ppm), PADD 1 to R5</v>
      </c>
      <c r="E989" s="163" t="s">
        <v>196</v>
      </c>
      <c r="F989" s="163" t="s">
        <v>318</v>
      </c>
    </row>
    <row r="990" spans="2:6">
      <c r="B990" s="147" t="str">
        <f>IF(OR(G$935="*",LEFT(Commodities!B$66,1)="*"),"*R0","R0")</f>
        <v>*R0</v>
      </c>
      <c r="C990" s="147" t="str">
        <f>CONCATENATE("EXP",Commodities!C66,5)</f>
        <v>EXPDSUP15</v>
      </c>
      <c r="D990" s="147" t="str">
        <f>CONCATENATE("Export of Imported ",VLOOKUP(MID(C990,4,3),Types!$B$2:$C$13,2,FALSE),", PADD ",MID(C990,8,1)," to R",RIGHT(C990,1))</f>
        <v>Export of Imported Distillate-Ultralow Sulfur Highway Diesel (15 ppm), PADD 1 to R5</v>
      </c>
      <c r="E990" s="163" t="s">
        <v>196</v>
      </c>
      <c r="F990" s="163" t="s">
        <v>318</v>
      </c>
    </row>
    <row r="991" spans="2:6">
      <c r="B991" s="147" t="str">
        <f>IF(OR(G$935="*",LEFT(Commodities!B$67,1)="*"),"*R0","R0")</f>
        <v>*R0</v>
      </c>
      <c r="C991" s="147" t="str">
        <f>CONCATENATE("EXP",Commodities!C67,5)</f>
        <v>EXPGSCP15</v>
      </c>
      <c r="D991" s="147" t="str">
        <f>CONCATENATE("Export of Imported ",VLOOKUP(MID(C991,4,3),Types!$B$2:$C$13,2,FALSE),", PADD ",MID(C991,8,1)," to R",RIGHT(C991,1))</f>
        <v>Export of Imported Conventional Gasoline, PADD 1 to R5</v>
      </c>
      <c r="E991" s="163" t="s">
        <v>196</v>
      </c>
      <c r="F991" s="163" t="s">
        <v>318</v>
      </c>
    </row>
    <row r="992" spans="2:6">
      <c r="B992" s="147" t="str">
        <f>IF(OR(G$935="*",LEFT(Commodities!B$68,1)="*"),"*R0","R0")</f>
        <v>*R0</v>
      </c>
      <c r="C992" s="147" t="str">
        <f>CONCATENATE("EXP",Commodities!C68,5)</f>
        <v>EXPGSRP15</v>
      </c>
      <c r="D992" s="147" t="str">
        <f>CONCATENATE("Export of Imported ",VLOOKUP(MID(C992,4,3),Types!$B$2:$C$13,2,FALSE),", PADD ",MID(C992,8,1)," to R",RIGHT(C992,1))</f>
        <v>Export of Imported Reformulated Gasoline, PADD 1 to R5</v>
      </c>
      <c r="E992" s="163" t="s">
        <v>196</v>
      </c>
      <c r="F992" s="163" t="s">
        <v>318</v>
      </c>
    </row>
    <row r="993" spans="2:6">
      <c r="B993" s="147" t="str">
        <f>IF(OR(G$935="*",LEFT(Commodities!B$69,1)="*"),"*R0","R0")</f>
        <v>*R0</v>
      </c>
      <c r="C993" s="147" t="str">
        <f>CONCATENATE("EXP",Commodities!C69,5)</f>
        <v>EXPJTFP15</v>
      </c>
      <c r="D993" s="147" t="str">
        <f>CONCATENATE("Export of Imported ",VLOOKUP(MID(C993,4,3),Types!$B$2:$C$13,2,FALSE),", PADD ",MID(C993,8,1)," to R",RIGHT(C993,1))</f>
        <v>Export of Imported Jet Fuel, PADD 1 to R5</v>
      </c>
      <c r="E993" s="163" t="s">
        <v>196</v>
      </c>
      <c r="F993" s="163" t="s">
        <v>318</v>
      </c>
    </row>
    <row r="994" spans="2:6">
      <c r="B994" s="147" t="str">
        <f>IF(OR(G$935="*",LEFT(Commodities!B$70,1)="*"),"*R0","R0")</f>
        <v>*R0</v>
      </c>
      <c r="C994" s="147" t="str">
        <f>CONCATENATE("EXP",Commodities!C70,5)</f>
        <v>EXPKERP15</v>
      </c>
      <c r="D994" s="147" t="str">
        <f>CONCATENATE("Export of Imported ",VLOOKUP(MID(C994,4,3),Types!$B$2:$C$13,2,FALSE),", PADD ",MID(C994,8,1)," to R",RIGHT(C994,1))</f>
        <v>Export of Imported Kerosene and Other Refined Products, PADD 1 to R5</v>
      </c>
      <c r="E994" s="163" t="s">
        <v>196</v>
      </c>
      <c r="F994" s="163" t="s">
        <v>318</v>
      </c>
    </row>
    <row r="995" spans="2:6">
      <c r="B995" s="147" t="str">
        <f>IF(OR(G$935="*",LEFT(Commodities!B$71,1)="*"),"*R0","R0")</f>
        <v>*R0</v>
      </c>
      <c r="C995" s="147" t="str">
        <f>CONCATENATE("EXP",Commodities!C71,5)</f>
        <v>EXPLPGP15</v>
      </c>
      <c r="D995" s="147" t="str">
        <f>CONCATENATE("Export of Imported ",VLOOKUP(MID(C995,4,3),Types!$B$2:$C$13,2,FALSE),", PADD ",MID(C995,8,1)," to R",RIGHT(C995,1))</f>
        <v>Export of Imported LPG, PADD 1 to R5</v>
      </c>
      <c r="E995" s="163" t="s">
        <v>196</v>
      </c>
      <c r="F995" s="163" t="s">
        <v>318</v>
      </c>
    </row>
    <row r="996" spans="2:6">
      <c r="B996" s="147" t="str">
        <f>IF(OR(G$935="*",LEFT(Commodities!B$72,1)="*"),"*R0","R0")</f>
        <v>*R0</v>
      </c>
      <c r="C996" s="147" t="str">
        <f>CONCATENATE("EXP",Commodities!C72,5)</f>
        <v>EXPMTHP15</v>
      </c>
      <c r="D996" s="147" t="str">
        <f>CONCATENATE("Export of Imported ",VLOOKUP(MID(C996,4,3),Types!$B$2:$C$13,2,FALSE),", PADD ",MID(C996,8,1)," to R",RIGHT(C996,1))</f>
        <v>Export of Imported Methanol, PADD 1 to R5</v>
      </c>
      <c r="E996" s="163" t="s">
        <v>196</v>
      </c>
      <c r="F996" s="163" t="s">
        <v>318</v>
      </c>
    </row>
    <row r="997" spans="2:6">
      <c r="B997" s="147" t="str">
        <f>IF(OR(G$935="*",LEFT(Commodities!B$73,1)="*"),"*R0","R0")</f>
        <v>*R0</v>
      </c>
      <c r="C997" s="147" t="str">
        <f>CONCATENATE("EXP",Commodities!C73,5)</f>
        <v>EXPPFSP15</v>
      </c>
      <c r="D997" s="147" t="str">
        <f>CONCATENATE("Export of Imported ",VLOOKUP(MID(C997,4,3),Types!$B$2:$C$13,2,FALSE),", PADD ",MID(C997,8,1)," to R",RIGHT(C997,1))</f>
        <v>Export of Imported Petrochemical Feedstocks, PADD 1 to R5</v>
      </c>
      <c r="E997" s="163" t="s">
        <v>196</v>
      </c>
      <c r="F997" s="163" t="s">
        <v>318</v>
      </c>
    </row>
    <row r="998" spans="2:6">
      <c r="B998" s="147" t="str">
        <f>IF(OR(G$935="*",LEFT(Commodities!B$74,1)="*"),"*R0","R0")</f>
        <v>*R0</v>
      </c>
      <c r="C998" s="147" t="str">
        <f>CONCATENATE("EXP",Commodities!C74,5)</f>
        <v>EXPRFHP15</v>
      </c>
      <c r="D998" s="147" t="str">
        <f>CONCATENATE("Export of Imported ",VLOOKUP(MID(C998,4,3),Types!$B$2:$C$13,2,FALSE),", PADD ",MID(C998,8,1)," to R",RIGHT(C998,1))</f>
        <v>Export of Imported High Sulfur Residual Fuel Oil, PADD 1 to R5</v>
      </c>
      <c r="E998" s="163" t="s">
        <v>196</v>
      </c>
      <c r="F998" s="163" t="s">
        <v>318</v>
      </c>
    </row>
    <row r="999" spans="2:6">
      <c r="B999" s="147" t="str">
        <f>IF(OR(G$935="*",LEFT(Commodities!B$75,1)="*"),"*R0","R0")</f>
        <v>*R0</v>
      </c>
      <c r="C999" s="147" t="str">
        <f>CONCATENATE("EXP",Commodities!C75,5)</f>
        <v>EXPRFLP15</v>
      </c>
      <c r="D999" s="147" t="str">
        <f>CONCATENATE("Export of Imported ",VLOOKUP(MID(C999,4,3),Types!$B$2:$C$13,2,FALSE),", PADD ",MID(C999,8,1)," to R",RIGHT(C999,1))</f>
        <v>Export of Imported Low Sulfur Residual Fuel Oil, PADD 1 to R5</v>
      </c>
      <c r="E999" s="163" t="s">
        <v>196</v>
      </c>
      <c r="F999" s="163" t="s">
        <v>318</v>
      </c>
    </row>
    <row r="1000" spans="2:6">
      <c r="B1000" s="147" t="str">
        <f>IF(OR(G$935="*",LEFT(Commodities!B$76,1)="*"),"*R0","R0")</f>
        <v>*R0</v>
      </c>
      <c r="C1000" s="147" t="s">
        <v>360</v>
      </c>
      <c r="D1000" s="147" t="s">
        <v>361</v>
      </c>
      <c r="E1000" s="163" t="s">
        <v>196</v>
      </c>
      <c r="F1000" s="163" t="s">
        <v>318</v>
      </c>
    </row>
    <row r="1001" spans="2:6">
      <c r="B1001" s="147" t="str">
        <f>IF(OR(G$935="*",LEFT(Commodities!B$64,1)="*"),"*R0","R0")</f>
        <v>*R0</v>
      </c>
      <c r="C1001" s="147" t="str">
        <f>CONCATENATE("EXP",Commodities!C64,6)</f>
        <v>EXPDSHP16</v>
      </c>
      <c r="D1001" s="147" t="str">
        <f>CONCATENATE("Export of Imported ",VLOOKUP(MID(C1001,4,3),Types!$B$2:$C$13,2,FALSE),", PADD ",MID(C1001,8,1)," to R",RIGHT(C1001,1))</f>
        <v>Export of Imported Distillate-Heating Oil No. 2, PADD 1 to R6</v>
      </c>
      <c r="E1001" s="163" t="s">
        <v>196</v>
      </c>
      <c r="F1001" s="163" t="s">
        <v>318</v>
      </c>
    </row>
    <row r="1002" spans="2:6">
      <c r="B1002" s="147" t="str">
        <f>IF(OR(G$935="*",LEFT(Commodities!B$65,1)="*"),"*R0","R0")</f>
        <v>*R0</v>
      </c>
      <c r="C1002" s="147" t="str">
        <f>CONCATENATE("EXP",Commodities!C65,6)</f>
        <v>EXPDSLP16</v>
      </c>
      <c r="D1002" s="147" t="str">
        <f>CONCATENATE("Export of Imported ",VLOOKUP(MID(C1002,4,3),Types!$B$2:$C$13,2,FALSE),", PADD ",MID(C1002,8,1)," to R",RIGHT(C1002,1))</f>
        <v>Export of Imported Distillate-Low Sulfur Highway Diesel (500 ppm), PADD 1 to R6</v>
      </c>
      <c r="E1002" s="163" t="s">
        <v>196</v>
      </c>
      <c r="F1002" s="163" t="s">
        <v>318</v>
      </c>
    </row>
    <row r="1003" spans="2:6">
      <c r="B1003" s="147" t="str">
        <f>IF(OR(G$935="*",LEFT(Commodities!B$66,1)="*"),"*R0","R0")</f>
        <v>*R0</v>
      </c>
      <c r="C1003" s="147" t="str">
        <f>CONCATENATE("EXP",Commodities!C66,6)</f>
        <v>EXPDSUP16</v>
      </c>
      <c r="D1003" s="147" t="str">
        <f>CONCATENATE("Export of Imported ",VLOOKUP(MID(C1003,4,3),Types!$B$2:$C$13,2,FALSE),", PADD ",MID(C1003,8,1)," to R",RIGHT(C1003,1))</f>
        <v>Export of Imported Distillate-Ultralow Sulfur Highway Diesel (15 ppm), PADD 1 to R6</v>
      </c>
      <c r="E1003" s="163" t="s">
        <v>196</v>
      </c>
      <c r="F1003" s="163" t="s">
        <v>318</v>
      </c>
    </row>
    <row r="1004" spans="2:6">
      <c r="B1004" s="147" t="str">
        <f>IF(OR(G$935="*",LEFT(Commodities!B$67,1)="*"),"*R0","R0")</f>
        <v>*R0</v>
      </c>
      <c r="C1004" s="147" t="str">
        <f>CONCATENATE("EXP",Commodities!C67,6)</f>
        <v>EXPGSCP16</v>
      </c>
      <c r="D1004" s="147" t="str">
        <f>CONCATENATE("Export of Imported ",VLOOKUP(MID(C1004,4,3),Types!$B$2:$C$13,2,FALSE),", PADD ",MID(C1004,8,1)," to R",RIGHT(C1004,1))</f>
        <v>Export of Imported Conventional Gasoline, PADD 1 to R6</v>
      </c>
      <c r="E1004" s="163" t="s">
        <v>196</v>
      </c>
      <c r="F1004" s="163" t="s">
        <v>318</v>
      </c>
    </row>
    <row r="1005" spans="2:6">
      <c r="B1005" s="147" t="str">
        <f>IF(OR(G$935="*",LEFT(Commodities!B$68,1)="*"),"*R0","R0")</f>
        <v>*R0</v>
      </c>
      <c r="C1005" s="147" t="str">
        <f>CONCATENATE("EXP",Commodities!C68,6)</f>
        <v>EXPGSRP16</v>
      </c>
      <c r="D1005" s="147" t="str">
        <f>CONCATENATE("Export of Imported ",VLOOKUP(MID(C1005,4,3),Types!$B$2:$C$13,2,FALSE),", PADD ",MID(C1005,8,1)," to R",RIGHT(C1005,1))</f>
        <v>Export of Imported Reformulated Gasoline, PADD 1 to R6</v>
      </c>
      <c r="E1005" s="163" t="s">
        <v>196</v>
      </c>
      <c r="F1005" s="163" t="s">
        <v>318</v>
      </c>
    </row>
    <row r="1006" spans="2:6">
      <c r="B1006" s="147" t="str">
        <f>IF(OR(G$935="*",LEFT(Commodities!B$69,1)="*"),"*R0","R0")</f>
        <v>*R0</v>
      </c>
      <c r="C1006" s="147" t="str">
        <f>CONCATENATE("EXP",Commodities!C69,6)</f>
        <v>EXPJTFP16</v>
      </c>
      <c r="D1006" s="147" t="str">
        <f>CONCATENATE("Export of Imported ",VLOOKUP(MID(C1006,4,3),Types!$B$2:$C$13,2,FALSE),", PADD ",MID(C1006,8,1)," to R",RIGHT(C1006,1))</f>
        <v>Export of Imported Jet Fuel, PADD 1 to R6</v>
      </c>
      <c r="E1006" s="163" t="s">
        <v>196</v>
      </c>
      <c r="F1006" s="163" t="s">
        <v>318</v>
      </c>
    </row>
    <row r="1007" spans="2:6">
      <c r="B1007" s="147" t="str">
        <f>IF(OR(G$935="*",LEFT(Commodities!B$70,1)="*"),"*R0","R0")</f>
        <v>*R0</v>
      </c>
      <c r="C1007" s="147" t="str">
        <f>CONCATENATE("EXP",Commodities!C70,6)</f>
        <v>EXPKERP16</v>
      </c>
      <c r="D1007" s="147" t="str">
        <f>CONCATENATE("Export of Imported ",VLOOKUP(MID(C1007,4,3),Types!$B$2:$C$13,2,FALSE),", PADD ",MID(C1007,8,1)," to R",RIGHT(C1007,1))</f>
        <v>Export of Imported Kerosene and Other Refined Products, PADD 1 to R6</v>
      </c>
      <c r="E1007" s="163" t="s">
        <v>196</v>
      </c>
      <c r="F1007" s="163" t="s">
        <v>318</v>
      </c>
    </row>
    <row r="1008" spans="2:6">
      <c r="B1008" s="147" t="str">
        <f>IF(OR(G$935="*",LEFT(Commodities!B$71,1)="*"),"*R0","R0")</f>
        <v>*R0</v>
      </c>
      <c r="C1008" s="147" t="str">
        <f>CONCATENATE("EXP",Commodities!C71,6)</f>
        <v>EXPLPGP16</v>
      </c>
      <c r="D1008" s="147" t="str">
        <f>CONCATENATE("Export of Imported ",VLOOKUP(MID(C1008,4,3),Types!$B$2:$C$13,2,FALSE),", PADD ",MID(C1008,8,1)," to R",RIGHT(C1008,1))</f>
        <v>Export of Imported LPG, PADD 1 to R6</v>
      </c>
      <c r="E1008" s="163" t="s">
        <v>196</v>
      </c>
      <c r="F1008" s="163" t="s">
        <v>318</v>
      </c>
    </row>
    <row r="1009" spans="2:6">
      <c r="B1009" s="147" t="str">
        <f>IF(OR(G$935="*",LEFT(Commodities!B$72,1)="*"),"*R0","R0")</f>
        <v>*R0</v>
      </c>
      <c r="C1009" s="147" t="str">
        <f>CONCATENATE("EXP",Commodities!C72,6)</f>
        <v>EXPMTHP16</v>
      </c>
      <c r="D1009" s="147" t="str">
        <f>CONCATENATE("Export of Imported ",VLOOKUP(MID(C1009,4,3),Types!$B$2:$C$13,2,FALSE),", PADD ",MID(C1009,8,1)," to R",RIGHT(C1009,1))</f>
        <v>Export of Imported Methanol, PADD 1 to R6</v>
      </c>
      <c r="E1009" s="163" t="s">
        <v>196</v>
      </c>
      <c r="F1009" s="163" t="s">
        <v>318</v>
      </c>
    </row>
    <row r="1010" spans="2:6">
      <c r="B1010" s="147" t="str">
        <f>IF(OR(G$935="*",LEFT(Commodities!B$73,1)="*"),"*R0","R0")</f>
        <v>*R0</v>
      </c>
      <c r="C1010" s="147" t="str">
        <f>CONCATENATE("EXP",Commodities!C73,6)</f>
        <v>EXPPFSP16</v>
      </c>
      <c r="D1010" s="147" t="str">
        <f>CONCATENATE("Export of Imported ",VLOOKUP(MID(C1010,4,3),Types!$B$2:$C$13,2,FALSE),", PADD ",MID(C1010,8,1)," to R",RIGHT(C1010,1))</f>
        <v>Export of Imported Petrochemical Feedstocks, PADD 1 to R6</v>
      </c>
      <c r="E1010" s="163" t="s">
        <v>196</v>
      </c>
      <c r="F1010" s="163" t="s">
        <v>318</v>
      </c>
    </row>
    <row r="1011" spans="2:6">
      <c r="B1011" s="147" t="str">
        <f>IF(OR(G$935="*",LEFT(Commodities!B$74,1)="*"),"*R0","R0")</f>
        <v>*R0</v>
      </c>
      <c r="C1011" s="147" t="str">
        <f>CONCATENATE("EXP",Commodities!C74,6)</f>
        <v>EXPRFHP16</v>
      </c>
      <c r="D1011" s="147" t="str">
        <f>CONCATENATE("Export of Imported ",VLOOKUP(MID(C1011,4,3),Types!$B$2:$C$13,2,FALSE),", PADD ",MID(C1011,8,1)," to R",RIGHT(C1011,1))</f>
        <v>Export of Imported High Sulfur Residual Fuel Oil, PADD 1 to R6</v>
      </c>
      <c r="E1011" s="163" t="s">
        <v>196</v>
      </c>
      <c r="F1011" s="163" t="s">
        <v>318</v>
      </c>
    </row>
    <row r="1012" spans="2:6">
      <c r="B1012" s="147" t="str">
        <f>IF(OR(G$935="*",LEFT(Commodities!B$75,1)="*"),"*R0","R0")</f>
        <v>*R0</v>
      </c>
      <c r="C1012" s="147" t="str">
        <f>CONCATENATE("EXP",Commodities!C75,6)</f>
        <v>EXPRFLP16</v>
      </c>
      <c r="D1012" s="147" t="str">
        <f>CONCATENATE("Export of Imported ",VLOOKUP(MID(C1012,4,3),Types!$B$2:$C$13,2,FALSE),", PADD ",MID(C1012,8,1)," to R",RIGHT(C1012,1))</f>
        <v>Export of Imported Low Sulfur Residual Fuel Oil, PADD 1 to R6</v>
      </c>
      <c r="E1012" s="163" t="s">
        <v>196</v>
      </c>
      <c r="F1012" s="163" t="s">
        <v>318</v>
      </c>
    </row>
    <row r="1013" spans="2:6">
      <c r="B1013" s="147" t="str">
        <f>IF(OR(G$935="*",LEFT(Commodities!B$76,1)="*"),"*R0","R0")</f>
        <v>*R0</v>
      </c>
      <c r="C1013" s="147" t="s">
        <v>1070</v>
      </c>
      <c r="D1013" s="147" t="s">
        <v>1071</v>
      </c>
      <c r="E1013" s="163" t="s">
        <v>196</v>
      </c>
      <c r="F1013" s="163" t="s">
        <v>318</v>
      </c>
    </row>
    <row r="1014" spans="2:6">
      <c r="B1014" s="147" t="str">
        <f>IF(OR(G$935="*",LEFT(Commodities!B$64,1)="*"),"*R0","R0")</f>
        <v>*R0</v>
      </c>
      <c r="C1014" s="147" t="str">
        <f>CONCATENATE("EXP",Commodities!C77,1)</f>
        <v>EXPDSHP21</v>
      </c>
      <c r="D1014" s="147" t="str">
        <f>CONCATENATE("Export of Imported ",VLOOKUP(MID(C1014,4,3),Types!$B$2:$C$13,2,FALSE),", PADD ",MID(C1014,8,1)," to R",RIGHT(C1014,1))</f>
        <v>Export of Imported Distillate-Heating Oil No. 2, PADD 2 to R1</v>
      </c>
      <c r="E1014" s="163" t="s">
        <v>196</v>
      </c>
      <c r="F1014" s="163" t="s">
        <v>318</v>
      </c>
    </row>
    <row r="1015" spans="2:6">
      <c r="B1015" s="147" t="str">
        <f>IF(OR(G$935="*",LEFT(Commodities!B$65,1)="*"),"*R0","R0")</f>
        <v>*R0</v>
      </c>
      <c r="C1015" s="147" t="str">
        <f>CONCATENATE("EXP",Commodities!C78,1)</f>
        <v>EXPDSLP21</v>
      </c>
      <c r="D1015" s="147" t="str">
        <f>CONCATENATE("Export of Imported ",VLOOKUP(MID(C1015,4,3),Types!$B$2:$C$13,2,FALSE),", PADD ",MID(C1015,8,1)," to R",RIGHT(C1015,1))</f>
        <v>Export of Imported Distillate-Low Sulfur Highway Diesel (500 ppm), PADD 2 to R1</v>
      </c>
      <c r="E1015" s="163" t="s">
        <v>196</v>
      </c>
      <c r="F1015" s="163" t="s">
        <v>318</v>
      </c>
    </row>
    <row r="1016" spans="2:6">
      <c r="B1016" s="147" t="str">
        <f>IF(OR(G$935="*",LEFT(Commodities!B$66,1)="*"),"*R0","R0")</f>
        <v>*R0</v>
      </c>
      <c r="C1016" s="147" t="str">
        <f>CONCATENATE("EXP",Commodities!C79,1)</f>
        <v>EXPDSUP21</v>
      </c>
      <c r="D1016" s="147" t="str">
        <f>CONCATENATE("Export of Imported ",VLOOKUP(MID(C1016,4,3),Types!$B$2:$C$13,2,FALSE),", PADD ",MID(C1016,8,1)," to R",RIGHT(C1016,1))</f>
        <v>Export of Imported Distillate-Ultralow Sulfur Highway Diesel (15 ppm), PADD 2 to R1</v>
      </c>
      <c r="E1016" s="163" t="s">
        <v>196</v>
      </c>
      <c r="F1016" s="163" t="s">
        <v>318</v>
      </c>
    </row>
    <row r="1017" spans="2:6">
      <c r="B1017" s="147" t="str">
        <f>IF(OR(G$935="*",LEFT(Commodities!B$67,1)="*"),"*R0","R0")</f>
        <v>*R0</v>
      </c>
      <c r="C1017" s="147" t="str">
        <f>CONCATENATE("EXP",Commodities!C80,1)</f>
        <v>EXPGSCP21</v>
      </c>
      <c r="D1017" s="147" t="str">
        <f>CONCATENATE("Export of Imported ",VLOOKUP(MID(C1017,4,3),Types!$B$2:$C$13,2,FALSE),", PADD ",MID(C1017,8,1)," to R",RIGHT(C1017,1))</f>
        <v>Export of Imported Conventional Gasoline, PADD 2 to R1</v>
      </c>
      <c r="E1017" s="163" t="s">
        <v>196</v>
      </c>
      <c r="F1017" s="163" t="s">
        <v>318</v>
      </c>
    </row>
    <row r="1018" spans="2:6">
      <c r="B1018" s="147" t="str">
        <f>IF(OR(G$935="*",LEFT(Commodities!B$68,1)="*"),"*R0","R0")</f>
        <v>*R0</v>
      </c>
      <c r="C1018" s="147" t="str">
        <f>CONCATENATE("EXP",Commodities!C81,1)</f>
        <v>EXPGSRP21</v>
      </c>
      <c r="D1018" s="147" t="str">
        <f>CONCATENATE("Export of Imported ",VLOOKUP(MID(C1018,4,3),Types!$B$2:$C$13,2,FALSE),", PADD ",MID(C1018,8,1)," to R",RIGHT(C1018,1))</f>
        <v>Export of Imported Reformulated Gasoline, PADD 2 to R1</v>
      </c>
      <c r="E1018" s="163" t="s">
        <v>196</v>
      </c>
      <c r="F1018" s="163" t="s">
        <v>318</v>
      </c>
    </row>
    <row r="1019" spans="2:6">
      <c r="B1019" s="147" t="str">
        <f>IF(OR(G$935="*",LEFT(Commodities!B$69,1)="*"),"*R0","R0")</f>
        <v>*R0</v>
      </c>
      <c r="C1019" s="147" t="str">
        <f>CONCATENATE("EXP",Commodities!C82,1)</f>
        <v>EXPJTFP21</v>
      </c>
      <c r="D1019" s="147" t="str">
        <f>CONCATENATE("Export of Imported ",VLOOKUP(MID(C1019,4,3),Types!$B$2:$C$13,2,FALSE),", PADD ",MID(C1019,8,1)," to R",RIGHT(C1019,1))</f>
        <v>Export of Imported Jet Fuel, PADD 2 to R1</v>
      </c>
      <c r="E1019" s="163" t="s">
        <v>196</v>
      </c>
      <c r="F1019" s="163" t="s">
        <v>318</v>
      </c>
    </row>
    <row r="1020" spans="2:6">
      <c r="B1020" s="147" t="str">
        <f>IF(OR(G$935="*",LEFT(Commodities!B$70,1)="*"),"*R0","R0")</f>
        <v>*R0</v>
      </c>
      <c r="C1020" s="147" t="str">
        <f>CONCATENATE("EXP",Commodities!C83,1)</f>
        <v>EXPKERP21</v>
      </c>
      <c r="D1020" s="147" t="str">
        <f>CONCATENATE("Export of Imported ",VLOOKUP(MID(C1020,4,3),Types!$B$2:$C$13,2,FALSE),", PADD ",MID(C1020,8,1)," to R",RIGHT(C1020,1))</f>
        <v>Export of Imported Kerosene and Other Refined Products, PADD 2 to R1</v>
      </c>
      <c r="E1020" s="163" t="s">
        <v>196</v>
      </c>
      <c r="F1020" s="163" t="s">
        <v>318</v>
      </c>
    </row>
    <row r="1021" spans="2:6">
      <c r="B1021" s="147" t="str">
        <f>IF(OR(G$935="*",LEFT(Commodities!B$71,1)="*"),"*R0","R0")</f>
        <v>*R0</v>
      </c>
      <c r="C1021" s="147" t="str">
        <f>CONCATENATE("EXP",Commodities!C84,1)</f>
        <v>EXPLPGP21</v>
      </c>
      <c r="D1021" s="147" t="str">
        <f>CONCATENATE("Export of Imported ",VLOOKUP(MID(C1021,4,3),Types!$B$2:$C$13,2,FALSE),", PADD ",MID(C1021,8,1)," to R",RIGHT(C1021,1))</f>
        <v>Export of Imported LPG, PADD 2 to R1</v>
      </c>
      <c r="E1021" s="163" t="s">
        <v>196</v>
      </c>
      <c r="F1021" s="163" t="s">
        <v>318</v>
      </c>
    </row>
    <row r="1022" spans="2:6">
      <c r="B1022" s="147" t="str">
        <f>IF(OR(G$935="*",LEFT(Commodities!B$72,1)="*"),"*R0","R0")</f>
        <v>*R0</v>
      </c>
      <c r="C1022" s="147" t="str">
        <f>CONCATENATE("EXP",Commodities!C85,1)</f>
        <v>EXPMTHP21</v>
      </c>
      <c r="D1022" s="147" t="str">
        <f>CONCATENATE("Export of Imported ",VLOOKUP(MID(C1022,4,3),Types!$B$2:$C$13,2,FALSE),", PADD ",MID(C1022,8,1)," to R",RIGHT(C1022,1))</f>
        <v>Export of Imported Methanol, PADD 2 to R1</v>
      </c>
      <c r="E1022" s="163" t="s">
        <v>196</v>
      </c>
      <c r="F1022" s="163" t="s">
        <v>318</v>
      </c>
    </row>
    <row r="1023" spans="2:6">
      <c r="B1023" s="147" t="str">
        <f>IF(OR(G$935="*",LEFT(Commodities!B$73,1)="*"),"*R0","R0")</f>
        <v>*R0</v>
      </c>
      <c r="C1023" s="147" t="str">
        <f>CONCATENATE("EXP",Commodities!C86,1)</f>
        <v>EXPPFSP21</v>
      </c>
      <c r="D1023" s="147" t="str">
        <f>CONCATENATE("Export of Imported ",VLOOKUP(MID(C1023,4,3),Types!$B$2:$C$13,2,FALSE),", PADD ",MID(C1023,8,1)," to R",RIGHT(C1023,1))</f>
        <v>Export of Imported Petrochemical Feedstocks, PADD 2 to R1</v>
      </c>
      <c r="E1023" s="163" t="s">
        <v>196</v>
      </c>
      <c r="F1023" s="163" t="s">
        <v>318</v>
      </c>
    </row>
    <row r="1024" spans="2:6">
      <c r="B1024" s="147" t="str">
        <f>IF(OR(G$935="*",LEFT(Commodities!B$74,1)="*"),"*R0","R0")</f>
        <v>*R0</v>
      </c>
      <c r="C1024" s="147" t="str">
        <f>CONCATENATE("EXP",Commodities!C87,1)</f>
        <v>EXPRFHP21</v>
      </c>
      <c r="D1024" s="147" t="str">
        <f>CONCATENATE("Export of Imported ",VLOOKUP(MID(C1024,4,3),Types!$B$2:$C$13,2,FALSE),", PADD ",MID(C1024,8,1)," to R",RIGHT(C1024,1))</f>
        <v>Export of Imported High Sulfur Residual Fuel Oil, PADD 2 to R1</v>
      </c>
      <c r="E1024" s="163" t="s">
        <v>196</v>
      </c>
      <c r="F1024" s="163" t="s">
        <v>318</v>
      </c>
    </row>
    <row r="1025" spans="2:6">
      <c r="B1025" s="147" t="str">
        <f>IF(OR(G$935="*",LEFT(Commodities!B$75,1)="*"),"*R0","R0")</f>
        <v>*R0</v>
      </c>
      <c r="C1025" s="147" t="str">
        <f>CONCATENATE("EXP",Commodities!C88,1)</f>
        <v>EXPRFLP21</v>
      </c>
      <c r="D1025" s="147" t="str">
        <f>CONCATENATE("Export of Imported ",VLOOKUP(MID(C1025,4,3),Types!$B$2:$C$13,2,FALSE),", PADD ",MID(C1025,8,1)," to R",RIGHT(C1025,1))</f>
        <v>Export of Imported Low Sulfur Residual Fuel Oil, PADD 2 to R1</v>
      </c>
      <c r="E1025" s="163" t="s">
        <v>196</v>
      </c>
      <c r="F1025" s="163" t="s">
        <v>318</v>
      </c>
    </row>
    <row r="1026" spans="2:6">
      <c r="B1026" s="147" t="str">
        <f>IF(OR(G$935="*",LEFT(Commodities!B$76,1)="*"),"*R0","R0")</f>
        <v>*R0</v>
      </c>
      <c r="C1026" s="147" t="s">
        <v>362</v>
      </c>
      <c r="D1026" s="147" t="s">
        <v>363</v>
      </c>
      <c r="E1026" s="163" t="s">
        <v>196</v>
      </c>
      <c r="F1026" s="163" t="s">
        <v>318</v>
      </c>
    </row>
    <row r="1027" spans="2:6">
      <c r="B1027" s="147" t="s">
        <v>398</v>
      </c>
      <c r="C1027" s="147" t="str">
        <f>CONCATENATE("EXP",Commodities!C77,4)</f>
        <v>EXPDSHP24</v>
      </c>
      <c r="D1027" s="147" t="str">
        <f>CONCATENATE("Export of Imported ",VLOOKUP(MID(C1027,4,3),Types!$B$2:$C$13,2,FALSE),", PADD ",MID(C1027,8,1)," to R",RIGHT(C1027,1))</f>
        <v>Export of Imported Distillate-Heating Oil No. 2, PADD 2 to R4</v>
      </c>
      <c r="E1027" s="163" t="s">
        <v>196</v>
      </c>
      <c r="F1027" s="163" t="s">
        <v>318</v>
      </c>
    </row>
    <row r="1028" spans="2:6">
      <c r="B1028" s="147" t="s">
        <v>398</v>
      </c>
      <c r="C1028" s="147" t="str">
        <f>CONCATENATE("EXP",Commodities!C78,4)</f>
        <v>EXPDSLP24</v>
      </c>
      <c r="D1028" s="147" t="str">
        <f>CONCATENATE("Export of Imported ",VLOOKUP(MID(C1028,4,3),Types!$B$2:$C$13,2,FALSE),", PADD ",MID(C1028,8,1)," to R",RIGHT(C1028,1))</f>
        <v>Export of Imported Distillate-Low Sulfur Highway Diesel (500 ppm), PADD 2 to R4</v>
      </c>
      <c r="E1028" s="163" t="s">
        <v>196</v>
      </c>
      <c r="F1028" s="163" t="s">
        <v>318</v>
      </c>
    </row>
    <row r="1029" spans="2:6">
      <c r="B1029" s="147" t="s">
        <v>398</v>
      </c>
      <c r="C1029" s="147" t="str">
        <f>CONCATENATE("EXP",Commodities!C79,4)</f>
        <v>EXPDSUP24</v>
      </c>
      <c r="D1029" s="147" t="str">
        <f>CONCATENATE("Export of Imported ",VLOOKUP(MID(C1029,4,3),Types!$B$2:$C$13,2,FALSE),", PADD ",MID(C1029,8,1)," to R",RIGHT(C1029,1))</f>
        <v>Export of Imported Distillate-Ultralow Sulfur Highway Diesel (15 ppm), PADD 2 to R4</v>
      </c>
      <c r="E1029" s="163" t="s">
        <v>196</v>
      </c>
      <c r="F1029" s="163" t="s">
        <v>318</v>
      </c>
    </row>
    <row r="1030" spans="2:6">
      <c r="B1030" s="147" t="s">
        <v>398</v>
      </c>
      <c r="C1030" s="147" t="str">
        <f>CONCATENATE("EXP",Commodities!C80,4)</f>
        <v>EXPGSCP24</v>
      </c>
      <c r="D1030" s="147" t="str">
        <f>CONCATENATE("Export of Imported ",VLOOKUP(MID(C1030,4,3),Types!$B$2:$C$13,2,FALSE),", PADD ",MID(C1030,8,1)," to R",RIGHT(C1030,1))</f>
        <v>Export of Imported Conventional Gasoline, PADD 2 to R4</v>
      </c>
      <c r="E1030" s="163" t="s">
        <v>196</v>
      </c>
      <c r="F1030" s="163" t="s">
        <v>318</v>
      </c>
    </row>
    <row r="1031" spans="2:6">
      <c r="B1031" s="147" t="s">
        <v>398</v>
      </c>
      <c r="C1031" s="147" t="str">
        <f>CONCATENATE("EXP",Commodities!C81,4)</f>
        <v>EXPGSRP24</v>
      </c>
      <c r="D1031" s="147" t="str">
        <f>CONCATENATE("Export of Imported ",VLOOKUP(MID(C1031,4,3),Types!$B$2:$C$13,2,FALSE),", PADD ",MID(C1031,8,1)," to R",RIGHT(C1031,1))</f>
        <v>Export of Imported Reformulated Gasoline, PADD 2 to R4</v>
      </c>
      <c r="E1031" s="163" t="s">
        <v>196</v>
      </c>
      <c r="F1031" s="163" t="s">
        <v>318</v>
      </c>
    </row>
    <row r="1032" spans="2:6">
      <c r="B1032" s="147" t="s">
        <v>398</v>
      </c>
      <c r="C1032" s="147" t="str">
        <f>CONCATENATE("EXP",Commodities!C82,4)</f>
        <v>EXPJTFP24</v>
      </c>
      <c r="D1032" s="147" t="str">
        <f>CONCATENATE("Export of Imported ",VLOOKUP(MID(C1032,4,3),Types!$B$2:$C$13,2,FALSE),", PADD ",MID(C1032,8,1)," to R",RIGHT(C1032,1))</f>
        <v>Export of Imported Jet Fuel, PADD 2 to R4</v>
      </c>
      <c r="E1032" s="163" t="s">
        <v>196</v>
      </c>
      <c r="F1032" s="163" t="s">
        <v>318</v>
      </c>
    </row>
    <row r="1033" spans="2:6">
      <c r="B1033" s="147" t="s">
        <v>398</v>
      </c>
      <c r="C1033" s="147" t="str">
        <f>CONCATENATE("EXP",Commodities!C83,4)</f>
        <v>EXPKERP24</v>
      </c>
      <c r="D1033" s="147" t="str">
        <f>CONCATENATE("Export of Imported ",VLOOKUP(MID(C1033,4,3),Types!$B$2:$C$13,2,FALSE),", PADD ",MID(C1033,8,1)," to R",RIGHT(C1033,1))</f>
        <v>Export of Imported Kerosene and Other Refined Products, PADD 2 to R4</v>
      </c>
      <c r="E1033" s="163" t="s">
        <v>196</v>
      </c>
      <c r="F1033" s="163" t="s">
        <v>318</v>
      </c>
    </row>
    <row r="1034" spans="2:6">
      <c r="B1034" s="147" t="s">
        <v>398</v>
      </c>
      <c r="C1034" s="147" t="str">
        <f>CONCATENATE("EXP",Commodities!C84,4)</f>
        <v>EXPLPGP24</v>
      </c>
      <c r="D1034" s="147" t="str">
        <f>CONCATENATE("Export of Imported ",VLOOKUP(MID(C1034,4,3),Types!$B$2:$C$13,2,FALSE),", PADD ",MID(C1034,8,1)," to R",RIGHT(C1034,1))</f>
        <v>Export of Imported LPG, PADD 2 to R4</v>
      </c>
      <c r="E1034" s="163" t="s">
        <v>196</v>
      </c>
      <c r="F1034" s="163" t="s">
        <v>318</v>
      </c>
    </row>
    <row r="1035" spans="2:6">
      <c r="B1035" s="147" t="s">
        <v>398</v>
      </c>
      <c r="C1035" s="147" t="str">
        <f>CONCATENATE("EXP",Commodities!C85,4)</f>
        <v>EXPMTHP24</v>
      </c>
      <c r="D1035" s="147" t="str">
        <f>CONCATENATE("Export of Imported ",VLOOKUP(MID(C1035,4,3),Types!$B$2:$C$13,2,FALSE),", PADD ",MID(C1035,8,1)," to R",RIGHT(C1035,1))</f>
        <v>Export of Imported Methanol, PADD 2 to R4</v>
      </c>
      <c r="E1035" s="163" t="s">
        <v>196</v>
      </c>
      <c r="F1035" s="163" t="s">
        <v>318</v>
      </c>
    </row>
    <row r="1036" spans="2:6">
      <c r="B1036" s="147" t="s">
        <v>398</v>
      </c>
      <c r="C1036" s="147" t="str">
        <f>CONCATENATE("EXP",Commodities!C86,4)</f>
        <v>EXPPFSP24</v>
      </c>
      <c r="D1036" s="147" t="str">
        <f>CONCATENATE("Export of Imported ",VLOOKUP(MID(C1036,4,3),Types!$B$2:$C$13,2,FALSE),", PADD ",MID(C1036,8,1)," to R",RIGHT(C1036,1))</f>
        <v>Export of Imported Petrochemical Feedstocks, PADD 2 to R4</v>
      </c>
      <c r="E1036" s="163" t="s">
        <v>196</v>
      </c>
      <c r="F1036" s="163" t="s">
        <v>318</v>
      </c>
    </row>
    <row r="1037" spans="2:6">
      <c r="B1037" s="147" t="s">
        <v>398</v>
      </c>
      <c r="C1037" s="147" t="str">
        <f>CONCATENATE("EXP",Commodities!C87,4)</f>
        <v>EXPRFHP24</v>
      </c>
      <c r="D1037" s="147" t="str">
        <f>CONCATENATE("Export of Imported ",VLOOKUP(MID(C1037,4,3),Types!$B$2:$C$13,2,FALSE),", PADD ",MID(C1037,8,1)," to R",RIGHT(C1037,1))</f>
        <v>Export of Imported High Sulfur Residual Fuel Oil, PADD 2 to R4</v>
      </c>
      <c r="E1037" s="163" t="s">
        <v>196</v>
      </c>
      <c r="F1037" s="163" t="s">
        <v>318</v>
      </c>
    </row>
    <row r="1038" spans="2:6">
      <c r="B1038" s="147" t="s">
        <v>398</v>
      </c>
      <c r="C1038" s="147" t="str">
        <f>CONCATENATE("EXP",Commodities!C88,4)</f>
        <v>EXPRFLP24</v>
      </c>
      <c r="D1038" s="147" t="str">
        <f>CONCATENATE("Export of Imported ",VLOOKUP(MID(C1038,4,3),Types!$B$2:$C$13,2,FALSE),", PADD ",MID(C1038,8,1)," to R",RIGHT(C1038,1))</f>
        <v>Export of Imported Low Sulfur Residual Fuel Oil, PADD 2 to R4</v>
      </c>
      <c r="E1038" s="163" t="s">
        <v>196</v>
      </c>
      <c r="F1038" s="163" t="s">
        <v>318</v>
      </c>
    </row>
    <row r="1039" spans="2:6">
      <c r="B1039" s="147" t="s">
        <v>398</v>
      </c>
      <c r="C1039" s="147" t="s">
        <v>364</v>
      </c>
      <c r="D1039" s="147" t="s">
        <v>365</v>
      </c>
      <c r="E1039" s="163" t="s">
        <v>196</v>
      </c>
      <c r="F1039" s="163" t="s">
        <v>318</v>
      </c>
    </row>
    <row r="1040" spans="2:6">
      <c r="B1040" s="147" t="s">
        <v>398</v>
      </c>
      <c r="C1040" s="147" t="str">
        <f>CONCATENATE("EXP",Commodities!C90,6)</f>
        <v>EXPDSHP36</v>
      </c>
      <c r="D1040" s="147" t="str">
        <f>CONCATENATE("Export of Imported ",VLOOKUP(MID(C1040,4,3),Types!$B$2:$C$13,2,FALSE),", PADD ",MID(C1040,8,1)," to R",RIGHT(C1040,1))</f>
        <v>Export of Imported Distillate-Heating Oil No. 2, PADD 3 to R6</v>
      </c>
      <c r="E1040" s="163" t="s">
        <v>196</v>
      </c>
      <c r="F1040" s="163" t="s">
        <v>318</v>
      </c>
    </row>
    <row r="1041" spans="2:6">
      <c r="B1041" s="147" t="s">
        <v>398</v>
      </c>
      <c r="C1041" s="147" t="str">
        <f>CONCATENATE("EXP",Commodities!C91,6)</f>
        <v>EXPDSLP36</v>
      </c>
      <c r="D1041" s="147" t="str">
        <f>CONCATENATE("Export of Imported ",VLOOKUP(MID(C1041,4,3),Types!$B$2:$C$13,2,FALSE),", PADD ",MID(C1041,8,1)," to R",RIGHT(C1041,1))</f>
        <v>Export of Imported Distillate-Low Sulfur Highway Diesel (500 ppm), PADD 3 to R6</v>
      </c>
      <c r="E1041" s="163" t="s">
        <v>196</v>
      </c>
      <c r="F1041" s="163" t="s">
        <v>318</v>
      </c>
    </row>
    <row r="1042" spans="2:6">
      <c r="B1042" s="147" t="s">
        <v>398</v>
      </c>
      <c r="C1042" s="147" t="str">
        <f>CONCATENATE("EXP",Commodities!C92,6)</f>
        <v>EXPDSUP36</v>
      </c>
      <c r="D1042" s="147" t="str">
        <f>CONCATENATE("Export of Imported ",VLOOKUP(MID(C1042,4,3),Types!$B$2:$C$13,2,FALSE),", PADD ",MID(C1042,8,1)," to R",RIGHT(C1042,1))</f>
        <v>Export of Imported Distillate-Ultralow Sulfur Highway Diesel (15 ppm), PADD 3 to R6</v>
      </c>
      <c r="E1042" s="163" t="s">
        <v>196</v>
      </c>
      <c r="F1042" s="163" t="s">
        <v>318</v>
      </c>
    </row>
    <row r="1043" spans="2:6">
      <c r="B1043" s="147" t="s">
        <v>398</v>
      </c>
      <c r="C1043" s="147" t="str">
        <f>CONCATENATE("EXP",Commodities!C93,6)</f>
        <v>EXPGSCP36</v>
      </c>
      <c r="D1043" s="147" t="str">
        <f>CONCATENATE("Export of Imported ",VLOOKUP(MID(C1043,4,3),Types!$B$2:$C$13,2,FALSE),", PADD ",MID(C1043,8,1)," to R",RIGHT(C1043,1))</f>
        <v>Export of Imported Conventional Gasoline, PADD 3 to R6</v>
      </c>
      <c r="E1043" s="163" t="s">
        <v>196</v>
      </c>
      <c r="F1043" s="163" t="s">
        <v>318</v>
      </c>
    </row>
    <row r="1044" spans="2:6">
      <c r="B1044" s="147" t="s">
        <v>398</v>
      </c>
      <c r="C1044" s="147" t="str">
        <f>CONCATENATE("EXP",Commodities!C94,6)</f>
        <v>EXPGSRP36</v>
      </c>
      <c r="D1044" s="147" t="str">
        <f>CONCATENATE("Export of Imported ",VLOOKUP(MID(C1044,4,3),Types!$B$2:$C$13,2,FALSE),", PADD ",MID(C1044,8,1)," to R",RIGHT(C1044,1))</f>
        <v>Export of Imported Reformulated Gasoline, PADD 3 to R6</v>
      </c>
      <c r="E1044" s="163" t="s">
        <v>196</v>
      </c>
      <c r="F1044" s="163" t="s">
        <v>318</v>
      </c>
    </row>
    <row r="1045" spans="2:6">
      <c r="B1045" s="147" t="s">
        <v>398</v>
      </c>
      <c r="C1045" s="147" t="str">
        <f>CONCATENATE("EXP",Commodities!C95,6)</f>
        <v>EXPJTFP36</v>
      </c>
      <c r="D1045" s="147" t="str">
        <f>CONCATENATE("Export of Imported ",VLOOKUP(MID(C1045,4,3),Types!$B$2:$C$13,2,FALSE),", PADD ",MID(C1045,8,1)," to R",RIGHT(C1045,1))</f>
        <v>Export of Imported Jet Fuel, PADD 3 to R6</v>
      </c>
      <c r="E1045" s="163" t="s">
        <v>196</v>
      </c>
      <c r="F1045" s="163" t="s">
        <v>318</v>
      </c>
    </row>
    <row r="1046" spans="2:6">
      <c r="B1046" s="147" t="s">
        <v>398</v>
      </c>
      <c r="C1046" s="147" t="str">
        <f>CONCATENATE("EXP",Commodities!C96,6)</f>
        <v>EXPKERP36</v>
      </c>
      <c r="D1046" s="147" t="str">
        <f>CONCATENATE("Export of Imported ",VLOOKUP(MID(C1046,4,3),Types!$B$2:$C$13,2,FALSE),", PADD ",MID(C1046,8,1)," to R",RIGHT(C1046,1))</f>
        <v>Export of Imported Kerosene and Other Refined Products, PADD 3 to R6</v>
      </c>
      <c r="E1046" s="163" t="s">
        <v>196</v>
      </c>
      <c r="F1046" s="163" t="s">
        <v>318</v>
      </c>
    </row>
    <row r="1047" spans="2:6">
      <c r="B1047" s="147" t="s">
        <v>398</v>
      </c>
      <c r="C1047" s="147" t="str">
        <f>CONCATENATE("EXP",Commodities!C97,6)</f>
        <v>EXPLPGP36</v>
      </c>
      <c r="D1047" s="147" t="str">
        <f>CONCATENATE("Export of Imported ",VLOOKUP(MID(C1047,4,3),Types!$B$2:$C$13,2,FALSE),", PADD ",MID(C1047,8,1)," to R",RIGHT(C1047,1))</f>
        <v>Export of Imported LPG, PADD 3 to R6</v>
      </c>
      <c r="E1047" s="163" t="s">
        <v>196</v>
      </c>
      <c r="F1047" s="163" t="s">
        <v>318</v>
      </c>
    </row>
    <row r="1048" spans="2:6">
      <c r="B1048" s="147" t="s">
        <v>398</v>
      </c>
      <c r="C1048" s="147" t="str">
        <f>CONCATENATE("EXP",Commodities!C98,6)</f>
        <v>EXPMTHP36</v>
      </c>
      <c r="D1048" s="147" t="str">
        <f>CONCATENATE("Export of Imported ",VLOOKUP(MID(C1048,4,3),Types!$B$2:$C$13,2,FALSE),", PADD ",MID(C1048,8,1)," to R",RIGHT(C1048,1))</f>
        <v>Export of Imported Methanol, PADD 3 to R6</v>
      </c>
      <c r="E1048" s="163" t="s">
        <v>196</v>
      </c>
      <c r="F1048" s="163" t="s">
        <v>318</v>
      </c>
    </row>
    <row r="1049" spans="2:6">
      <c r="B1049" s="147" t="s">
        <v>398</v>
      </c>
      <c r="C1049" s="147" t="str">
        <f>CONCATENATE("EXP",Commodities!C99,6)</f>
        <v>EXPPFSP36</v>
      </c>
      <c r="D1049" s="147" t="str">
        <f>CONCATENATE("Export of Imported ",VLOOKUP(MID(C1049,4,3),Types!$B$2:$C$13,2,FALSE),", PADD ",MID(C1049,8,1)," to R",RIGHT(C1049,1))</f>
        <v>Export of Imported Petrochemical Feedstocks, PADD 3 to R6</v>
      </c>
      <c r="E1049" s="163" t="s">
        <v>196</v>
      </c>
      <c r="F1049" s="163" t="s">
        <v>318</v>
      </c>
    </row>
    <row r="1050" spans="2:6">
      <c r="B1050" s="147" t="s">
        <v>398</v>
      </c>
      <c r="C1050" s="147" t="str">
        <f>CONCATENATE("EXP",Commodities!C100,6)</f>
        <v>EXPRFHP36</v>
      </c>
      <c r="D1050" s="147" t="str">
        <f>CONCATENATE("Export of Imported ",VLOOKUP(MID(C1050,4,3),Types!$B$2:$C$13,2,FALSE),", PADD ",MID(C1050,8,1)," to R",RIGHT(C1050,1))</f>
        <v>Export of Imported High Sulfur Residual Fuel Oil, PADD 3 to R6</v>
      </c>
      <c r="E1050" s="163" t="s">
        <v>196</v>
      </c>
      <c r="F1050" s="163" t="s">
        <v>318</v>
      </c>
    </row>
    <row r="1051" spans="2:6">
      <c r="B1051" s="147" t="s">
        <v>398</v>
      </c>
      <c r="C1051" s="147" t="str">
        <f>CONCATENATE("EXP",Commodities!C101,6)</f>
        <v>EXPRFLP36</v>
      </c>
      <c r="D1051" s="147" t="str">
        <f>CONCATENATE("Export of Imported ",VLOOKUP(MID(C1051,4,3),Types!$B$2:$C$13,2,FALSE),", PADD ",MID(C1051,8,1)," to R",RIGHT(C1051,1))</f>
        <v>Export of Imported Low Sulfur Residual Fuel Oil, PADD 3 to R6</v>
      </c>
      <c r="E1051" s="163" t="s">
        <v>196</v>
      </c>
      <c r="F1051" s="163" t="s">
        <v>318</v>
      </c>
    </row>
    <row r="1052" spans="2:6">
      <c r="B1052" s="147" t="s">
        <v>398</v>
      </c>
      <c r="C1052" s="147" t="s">
        <v>366</v>
      </c>
      <c r="D1052" s="147" t="s">
        <v>367</v>
      </c>
      <c r="E1052" s="163" t="s">
        <v>196</v>
      </c>
      <c r="F1052" s="163" t="s">
        <v>318</v>
      </c>
    </row>
    <row r="1053" spans="2:6">
      <c r="B1053" s="147" t="str">
        <f>IF(OR(G$935="*",LEFT(Commodities!B$64,1)="*"),"*R0","R0")</f>
        <v>*R0</v>
      </c>
      <c r="C1053" s="147" t="str">
        <f>CONCATENATE("EXP",Commodities!C90,1)</f>
        <v>EXPDSHP31</v>
      </c>
      <c r="D1053" s="147" t="str">
        <f>CONCATENATE("Export of Imported ",VLOOKUP(MID(C1053,4,3),Types!$B$2:$C$13,2,FALSE),", PADD ",MID(C1053,8,1)," to R",RIGHT(C1053,1))</f>
        <v>Export of Imported Distillate-Heating Oil No. 2, PADD 3 to R1</v>
      </c>
      <c r="E1053" s="163" t="s">
        <v>196</v>
      </c>
      <c r="F1053" s="163" t="s">
        <v>318</v>
      </c>
    </row>
    <row r="1054" spans="2:6">
      <c r="B1054" s="147" t="str">
        <f>IF(OR(G$935="*",LEFT(Commodities!B$65,1)="*"),"*R0","R0")</f>
        <v>*R0</v>
      </c>
      <c r="C1054" s="147" t="str">
        <f>CONCATENATE("EXP",Commodities!C91,1)</f>
        <v>EXPDSLP31</v>
      </c>
      <c r="D1054" s="147" t="str">
        <f>CONCATENATE("Export of Imported ",VLOOKUP(MID(C1054,4,3),Types!$B$2:$C$13,2,FALSE),", PADD ",MID(C1054,8,1)," to R",RIGHT(C1054,1))</f>
        <v>Export of Imported Distillate-Low Sulfur Highway Diesel (500 ppm), PADD 3 to R1</v>
      </c>
      <c r="E1054" s="163" t="s">
        <v>196</v>
      </c>
      <c r="F1054" s="163" t="s">
        <v>318</v>
      </c>
    </row>
    <row r="1055" spans="2:6">
      <c r="B1055" s="147" t="str">
        <f>IF(OR(G$935="*",LEFT(Commodities!B$66,1)="*"),"*R0","R0")</f>
        <v>*R0</v>
      </c>
      <c r="C1055" s="147" t="str">
        <f>CONCATENATE("EXP",Commodities!C92,1)</f>
        <v>EXPDSUP31</v>
      </c>
      <c r="D1055" s="147" t="str">
        <f>CONCATENATE("Export of Imported ",VLOOKUP(MID(C1055,4,3),Types!$B$2:$C$13,2,FALSE),", PADD ",MID(C1055,8,1)," to R",RIGHT(C1055,1))</f>
        <v>Export of Imported Distillate-Ultralow Sulfur Highway Diesel (15 ppm), PADD 3 to R1</v>
      </c>
      <c r="E1055" s="163" t="s">
        <v>196</v>
      </c>
      <c r="F1055" s="163" t="s">
        <v>318</v>
      </c>
    </row>
    <row r="1056" spans="2:6">
      <c r="B1056" s="147" t="str">
        <f>IF(OR(G$935="*",LEFT(Commodities!B$67,1)="*"),"*R0","R0")</f>
        <v>*R0</v>
      </c>
      <c r="C1056" s="147" t="str">
        <f>CONCATENATE("EXP",Commodities!C93,1)</f>
        <v>EXPGSCP31</v>
      </c>
      <c r="D1056" s="147" t="str">
        <f>CONCATENATE("Export of Imported ",VLOOKUP(MID(C1056,4,3),Types!$B$2:$C$13,2,FALSE),", PADD ",MID(C1056,8,1)," to R",RIGHT(C1056,1))</f>
        <v>Export of Imported Conventional Gasoline, PADD 3 to R1</v>
      </c>
      <c r="E1056" s="163" t="s">
        <v>196</v>
      </c>
      <c r="F1056" s="163" t="s">
        <v>318</v>
      </c>
    </row>
    <row r="1057" spans="2:6">
      <c r="B1057" s="147" t="str">
        <f>IF(OR(G$935="*",LEFT(Commodities!B$68,1)="*"),"*R0","R0")</f>
        <v>*R0</v>
      </c>
      <c r="C1057" s="147" t="str">
        <f>CONCATENATE("EXP",Commodities!C94,1)</f>
        <v>EXPGSRP31</v>
      </c>
      <c r="D1057" s="147" t="str">
        <f>CONCATENATE("Export of Imported ",VLOOKUP(MID(C1057,4,3),Types!$B$2:$C$13,2,FALSE),", PADD ",MID(C1057,8,1)," to R",RIGHT(C1057,1))</f>
        <v>Export of Imported Reformulated Gasoline, PADD 3 to R1</v>
      </c>
      <c r="E1057" s="163" t="s">
        <v>196</v>
      </c>
      <c r="F1057" s="163" t="s">
        <v>318</v>
      </c>
    </row>
    <row r="1058" spans="2:6">
      <c r="B1058" s="147" t="str">
        <f>IF(OR(G$935="*",LEFT(Commodities!B$69,1)="*"),"*R0","R0")</f>
        <v>*R0</v>
      </c>
      <c r="C1058" s="147" t="str">
        <f>CONCATENATE("EXP",Commodities!C95,1)</f>
        <v>EXPJTFP31</v>
      </c>
      <c r="D1058" s="147" t="str">
        <f>CONCATENATE("Export of Imported ",VLOOKUP(MID(C1058,4,3),Types!$B$2:$C$13,2,FALSE),", PADD ",MID(C1058,8,1)," to R",RIGHT(C1058,1))</f>
        <v>Export of Imported Jet Fuel, PADD 3 to R1</v>
      </c>
      <c r="E1058" s="163" t="s">
        <v>196</v>
      </c>
      <c r="F1058" s="163" t="s">
        <v>318</v>
      </c>
    </row>
    <row r="1059" spans="2:6">
      <c r="B1059" s="147" t="str">
        <f>IF(OR(G$935="*",LEFT(Commodities!B$70,1)="*"),"*R0","R0")</f>
        <v>*R0</v>
      </c>
      <c r="C1059" s="147" t="str">
        <f>CONCATENATE("EXP",Commodities!C96,1)</f>
        <v>EXPKERP31</v>
      </c>
      <c r="D1059" s="147" t="str">
        <f>CONCATENATE("Export of Imported ",VLOOKUP(MID(C1059,4,3),Types!$B$2:$C$13,2,FALSE),", PADD ",MID(C1059,8,1)," to R",RIGHT(C1059,1))</f>
        <v>Export of Imported Kerosene and Other Refined Products, PADD 3 to R1</v>
      </c>
      <c r="E1059" s="163" t="s">
        <v>196</v>
      </c>
      <c r="F1059" s="163" t="s">
        <v>318</v>
      </c>
    </row>
    <row r="1060" spans="2:6">
      <c r="B1060" s="147" t="str">
        <f>IF(OR(G$935="*",LEFT(Commodities!B$71,1)="*"),"*R0","R0")</f>
        <v>*R0</v>
      </c>
      <c r="C1060" s="147" t="str">
        <f>CONCATENATE("EXP",Commodities!C97,1)</f>
        <v>EXPLPGP31</v>
      </c>
      <c r="D1060" s="147" t="str">
        <f>CONCATENATE("Export of Imported ",VLOOKUP(MID(C1060,4,3),Types!$B$2:$C$13,2,FALSE),", PADD ",MID(C1060,8,1)," to R",RIGHT(C1060,1))</f>
        <v>Export of Imported LPG, PADD 3 to R1</v>
      </c>
      <c r="E1060" s="163" t="s">
        <v>196</v>
      </c>
      <c r="F1060" s="163" t="s">
        <v>318</v>
      </c>
    </row>
    <row r="1061" spans="2:6">
      <c r="B1061" s="147" t="str">
        <f>IF(OR(G$935="*",LEFT(Commodities!B$72,1)="*"),"*R0","R0")</f>
        <v>*R0</v>
      </c>
      <c r="C1061" s="147" t="str">
        <f>CONCATENATE("EXP",Commodities!C98,1)</f>
        <v>EXPMTHP31</v>
      </c>
      <c r="D1061" s="147" t="str">
        <f>CONCATENATE("Export of Imported ",VLOOKUP(MID(C1061,4,3),Types!$B$2:$C$13,2,FALSE),", PADD ",MID(C1061,8,1)," to R",RIGHT(C1061,1))</f>
        <v>Export of Imported Methanol, PADD 3 to R1</v>
      </c>
      <c r="E1061" s="163" t="s">
        <v>196</v>
      </c>
      <c r="F1061" s="163" t="s">
        <v>318</v>
      </c>
    </row>
    <row r="1062" spans="2:6">
      <c r="B1062" s="147" t="str">
        <f>IF(OR(G$935="*",LEFT(Commodities!B$73,1)="*"),"*R0","R0")</f>
        <v>*R0</v>
      </c>
      <c r="C1062" s="147" t="str">
        <f>CONCATENATE("EXP",Commodities!C99,1)</f>
        <v>EXPPFSP31</v>
      </c>
      <c r="D1062" s="147" t="str">
        <f>CONCATENATE("Export of Imported ",VLOOKUP(MID(C1062,4,3),Types!$B$2:$C$13,2,FALSE),", PADD ",MID(C1062,8,1)," to R",RIGHT(C1062,1))</f>
        <v>Export of Imported Petrochemical Feedstocks, PADD 3 to R1</v>
      </c>
      <c r="E1062" s="163" t="s">
        <v>196</v>
      </c>
      <c r="F1062" s="163" t="s">
        <v>318</v>
      </c>
    </row>
    <row r="1063" spans="2:6">
      <c r="B1063" s="147" t="str">
        <f>IF(OR(G$935="*",LEFT(Commodities!B$74,1)="*"),"*R0","R0")</f>
        <v>*R0</v>
      </c>
      <c r="C1063" s="147" t="str">
        <f>CONCATENATE("EXP",Commodities!C100,1)</f>
        <v>EXPRFHP31</v>
      </c>
      <c r="D1063" s="147" t="str">
        <f>CONCATENATE("Export of Imported ",VLOOKUP(MID(C1063,4,3),Types!$B$2:$C$13,2,FALSE),", PADD ",MID(C1063,8,1)," to R",RIGHT(C1063,1))</f>
        <v>Export of Imported High Sulfur Residual Fuel Oil, PADD 3 to R1</v>
      </c>
      <c r="E1063" s="163" t="s">
        <v>196</v>
      </c>
      <c r="F1063" s="163" t="s">
        <v>318</v>
      </c>
    </row>
    <row r="1064" spans="2:6">
      <c r="B1064" s="147" t="str">
        <f>IF(OR(G$935="*",LEFT(Commodities!B$75,1)="*"),"*R0","R0")</f>
        <v>*R0</v>
      </c>
      <c r="C1064" s="147" t="str">
        <f>CONCATENATE("EXP",Commodities!C101,1)</f>
        <v>EXPRFLP31</v>
      </c>
      <c r="D1064" s="147" t="str">
        <f>CONCATENATE("Export of Imported ",VLOOKUP(MID(C1064,4,3),Types!$B$2:$C$13,2,FALSE),", PADD ",MID(C1064,8,1)," to R",RIGHT(C1064,1))</f>
        <v>Export of Imported Low Sulfur Residual Fuel Oil, PADD 3 to R1</v>
      </c>
      <c r="E1064" s="163" t="s">
        <v>196</v>
      </c>
      <c r="F1064" s="163" t="s">
        <v>318</v>
      </c>
    </row>
    <row r="1065" spans="2:6">
      <c r="B1065" s="147" t="str">
        <f>IF(OR(G$935="*",LEFT(Commodities!B$76,1)="*"),"*R0","R0")</f>
        <v>*R0</v>
      </c>
      <c r="C1065" s="147" t="s">
        <v>1085</v>
      </c>
      <c r="D1065" s="147" t="s">
        <v>1086</v>
      </c>
      <c r="E1065" s="163" t="s">
        <v>196</v>
      </c>
      <c r="F1065" s="163" t="s">
        <v>318</v>
      </c>
    </row>
    <row r="1066" spans="2:6">
      <c r="B1066" s="147" t="s">
        <v>398</v>
      </c>
      <c r="C1066" s="147" t="str">
        <f>CONCATENATE("EXP",Commodities!C103,8)</f>
        <v>EXPDSHP48</v>
      </c>
      <c r="D1066" s="147" t="str">
        <f>CONCATENATE("Export of Imported ",VLOOKUP(MID(C1066,4,3),Types!$B$2:$C$13,2,FALSE),", PADD ",MID(C1066,8,1)," to R",RIGHT(C1066,1))</f>
        <v>Export of Imported Distillate-Heating Oil No. 2, PADD 4 to R8</v>
      </c>
      <c r="E1066" s="163" t="s">
        <v>196</v>
      </c>
      <c r="F1066" s="163" t="s">
        <v>318</v>
      </c>
    </row>
    <row r="1067" spans="2:6">
      <c r="B1067" s="147" t="s">
        <v>398</v>
      </c>
      <c r="C1067" s="147" t="str">
        <f>CONCATENATE("EXP",Commodities!C104,8)</f>
        <v>EXPDSLP48</v>
      </c>
      <c r="D1067" s="147" t="str">
        <f>CONCATENATE("Export of Imported ",VLOOKUP(MID(C1067,4,3),Types!$B$2:$C$13,2,FALSE),", PADD ",MID(C1067,8,1)," to R",RIGHT(C1067,1))</f>
        <v>Export of Imported Distillate-Low Sulfur Highway Diesel (500 ppm), PADD 4 to R8</v>
      </c>
      <c r="E1067" s="163" t="s">
        <v>196</v>
      </c>
      <c r="F1067" s="163" t="s">
        <v>318</v>
      </c>
    </row>
    <row r="1068" spans="2:6">
      <c r="B1068" s="147" t="s">
        <v>398</v>
      </c>
      <c r="C1068" s="147" t="str">
        <f>CONCATENATE("EXP",Commodities!C105,8)</f>
        <v>EXPDSUP48</v>
      </c>
      <c r="D1068" s="147" t="str">
        <f>CONCATENATE("Export of Imported ",VLOOKUP(MID(C1068,4,3),Types!$B$2:$C$13,2,FALSE),", PADD ",MID(C1068,8,1)," to R",RIGHT(C1068,1))</f>
        <v>Export of Imported Distillate-Ultralow Sulfur Highway Diesel (15 ppm), PADD 4 to R8</v>
      </c>
      <c r="E1068" s="163" t="s">
        <v>196</v>
      </c>
      <c r="F1068" s="163" t="s">
        <v>318</v>
      </c>
    </row>
    <row r="1069" spans="2:6">
      <c r="B1069" s="147" t="s">
        <v>398</v>
      </c>
      <c r="C1069" s="147" t="str">
        <f>CONCATENATE("EXP",Commodities!C106,8)</f>
        <v>EXPGSCP48</v>
      </c>
      <c r="D1069" s="147" t="str">
        <f>CONCATENATE("Export of Imported ",VLOOKUP(MID(C1069,4,3),Types!$B$2:$C$13,2,FALSE),", PADD ",MID(C1069,8,1)," to R",RIGHT(C1069,1))</f>
        <v>Export of Imported Conventional Gasoline, PADD 4 to R8</v>
      </c>
      <c r="E1069" s="163" t="s">
        <v>196</v>
      </c>
      <c r="F1069" s="163" t="s">
        <v>318</v>
      </c>
    </row>
    <row r="1070" spans="2:6">
      <c r="B1070" s="147" t="s">
        <v>398</v>
      </c>
      <c r="C1070" s="147" t="str">
        <f>CONCATENATE("EXP",Commodities!C107,8)</f>
        <v>EXPGSRP48</v>
      </c>
      <c r="D1070" s="147" t="str">
        <f>CONCATENATE("Export of Imported ",VLOOKUP(MID(C1070,4,3),Types!$B$2:$C$13,2,FALSE),", PADD ",MID(C1070,8,1)," to R",RIGHT(C1070,1))</f>
        <v>Export of Imported Reformulated Gasoline, PADD 4 to R8</v>
      </c>
      <c r="E1070" s="163" t="s">
        <v>196</v>
      </c>
      <c r="F1070" s="163" t="s">
        <v>318</v>
      </c>
    </row>
    <row r="1071" spans="2:6">
      <c r="B1071" s="147" t="s">
        <v>398</v>
      </c>
      <c r="C1071" s="147" t="str">
        <f>CONCATENATE("EXP",Commodities!C108,8)</f>
        <v>EXPJTFP48</v>
      </c>
      <c r="D1071" s="147" t="str">
        <f>CONCATENATE("Export of Imported ",VLOOKUP(MID(C1071,4,3),Types!$B$2:$C$13,2,FALSE),", PADD ",MID(C1071,8,1)," to R",RIGHT(C1071,1))</f>
        <v>Export of Imported Jet Fuel, PADD 4 to R8</v>
      </c>
      <c r="E1071" s="163" t="s">
        <v>196</v>
      </c>
      <c r="F1071" s="163" t="s">
        <v>318</v>
      </c>
    </row>
    <row r="1072" spans="2:6">
      <c r="B1072" s="147" t="s">
        <v>398</v>
      </c>
      <c r="C1072" s="147" t="str">
        <f>CONCATENATE("EXP",Commodities!C109,8)</f>
        <v>EXPKERP48</v>
      </c>
      <c r="D1072" s="147" t="str">
        <f>CONCATENATE("Export of Imported ",VLOOKUP(MID(C1072,4,3),Types!$B$2:$C$13,2,FALSE),", PADD ",MID(C1072,8,1)," to R",RIGHT(C1072,1))</f>
        <v>Export of Imported Kerosene and Other Refined Products, PADD 4 to R8</v>
      </c>
      <c r="E1072" s="163" t="s">
        <v>196</v>
      </c>
      <c r="F1072" s="163" t="s">
        <v>318</v>
      </c>
    </row>
    <row r="1073" spans="2:6">
      <c r="B1073" s="147" t="s">
        <v>398</v>
      </c>
      <c r="C1073" s="147" t="str">
        <f>CONCATENATE("EXP",Commodities!C110,8)</f>
        <v>EXPLPGP48</v>
      </c>
      <c r="D1073" s="147" t="str">
        <f>CONCATENATE("Export of Imported ",VLOOKUP(MID(C1073,4,3),Types!$B$2:$C$13,2,FALSE),", PADD ",MID(C1073,8,1)," to R",RIGHT(C1073,1))</f>
        <v>Export of Imported LPG, PADD 4 to R8</v>
      </c>
      <c r="E1073" s="163" t="s">
        <v>196</v>
      </c>
      <c r="F1073" s="163" t="s">
        <v>318</v>
      </c>
    </row>
    <row r="1074" spans="2:6">
      <c r="B1074" s="147" t="s">
        <v>398</v>
      </c>
      <c r="C1074" s="147" t="str">
        <f>CONCATENATE("EXP",Commodities!C111,8)</f>
        <v>EXPMTHP48</v>
      </c>
      <c r="D1074" s="147" t="str">
        <f>CONCATENATE("Export of Imported ",VLOOKUP(MID(C1074,4,3),Types!$B$2:$C$13,2,FALSE),", PADD ",MID(C1074,8,1)," to R",RIGHT(C1074,1))</f>
        <v>Export of Imported Methanol, PADD 4 to R8</v>
      </c>
      <c r="E1074" s="163" t="s">
        <v>196</v>
      </c>
      <c r="F1074" s="163" t="s">
        <v>318</v>
      </c>
    </row>
    <row r="1075" spans="2:6">
      <c r="B1075" s="147" t="s">
        <v>398</v>
      </c>
      <c r="C1075" s="147" t="str">
        <f>CONCATENATE("EXP",Commodities!C112,8)</f>
        <v>EXPPFSP48</v>
      </c>
      <c r="D1075" s="147" t="str">
        <f>CONCATENATE("Export of Imported ",VLOOKUP(MID(C1075,4,3),Types!$B$2:$C$13,2,FALSE),", PADD ",MID(C1075,8,1)," to R",RIGHT(C1075,1))</f>
        <v>Export of Imported Petrochemical Feedstocks, PADD 4 to R8</v>
      </c>
      <c r="E1075" s="163" t="s">
        <v>196</v>
      </c>
      <c r="F1075" s="163" t="s">
        <v>318</v>
      </c>
    </row>
    <row r="1076" spans="2:6">
      <c r="B1076" s="147" t="s">
        <v>398</v>
      </c>
      <c r="C1076" s="147" t="str">
        <f>CONCATENATE("EXP",Commodities!C113,8)</f>
        <v>EXPRFHP48</v>
      </c>
      <c r="D1076" s="147" t="str">
        <f>CONCATENATE("Export of Imported ",VLOOKUP(MID(C1076,4,3),Types!$B$2:$C$13,2,FALSE),", PADD ",MID(C1076,8,1)," to R",RIGHT(C1076,1))</f>
        <v>Export of Imported High Sulfur Residual Fuel Oil, PADD 4 to R8</v>
      </c>
      <c r="E1076" s="163" t="s">
        <v>196</v>
      </c>
      <c r="F1076" s="163" t="s">
        <v>318</v>
      </c>
    </row>
    <row r="1077" spans="2:6">
      <c r="B1077" s="147" t="s">
        <v>398</v>
      </c>
      <c r="C1077" s="147" t="str">
        <f>CONCATENATE("EXP",Commodities!C114,8)</f>
        <v>EXPRFLP48</v>
      </c>
      <c r="D1077" s="147" t="str">
        <f>CONCATENATE("Export of Imported ",VLOOKUP(MID(C1077,4,3),Types!$B$2:$C$13,2,FALSE),", PADD ",MID(C1077,8,1)," to R",RIGHT(C1077,1))</f>
        <v>Export of Imported Low Sulfur Residual Fuel Oil, PADD 4 to R8</v>
      </c>
      <c r="E1077" s="163" t="s">
        <v>196</v>
      </c>
      <c r="F1077" s="163" t="s">
        <v>318</v>
      </c>
    </row>
    <row r="1078" spans="2:6">
      <c r="B1078" s="147" t="s">
        <v>398</v>
      </c>
      <c r="C1078" s="147" t="s">
        <v>368</v>
      </c>
      <c r="D1078" s="147" t="s">
        <v>1024</v>
      </c>
      <c r="E1078" s="163" t="s">
        <v>196</v>
      </c>
      <c r="F1078" s="163" t="s">
        <v>318</v>
      </c>
    </row>
    <row r="1079" spans="2:6">
      <c r="B1079" s="147" t="s">
        <v>398</v>
      </c>
      <c r="C1079" s="147" t="str">
        <f>CONCATENATE("EXP",Commodities!C116,9)</f>
        <v>EXPDSHP59</v>
      </c>
      <c r="D1079" s="147" t="str">
        <f>CONCATENATE("Export of Imported ",VLOOKUP(MID(C1079,4,3),Types!$B$2:$C$13,2,FALSE),", PADD ",MID(C1079,8,1)," to R",RIGHT(C1079,1))</f>
        <v>Export of Imported Distillate-Heating Oil No. 2, PADD 5 to R9</v>
      </c>
      <c r="E1079" s="163" t="s">
        <v>196</v>
      </c>
      <c r="F1079" s="163" t="s">
        <v>318</v>
      </c>
    </row>
    <row r="1080" spans="2:6">
      <c r="B1080" s="147" t="s">
        <v>398</v>
      </c>
      <c r="C1080" s="147" t="str">
        <f>CONCATENATE("EXP",Commodities!C117,9)</f>
        <v>EXPDSLP59</v>
      </c>
      <c r="D1080" s="147" t="str">
        <f>CONCATENATE("Export of Imported ",VLOOKUP(MID(C1080,4,3),Types!$B$2:$C$13,2,FALSE),", PADD ",MID(C1080,8,1)," to R",RIGHT(C1080,1))</f>
        <v>Export of Imported Distillate-Low Sulfur Highway Diesel (500 ppm), PADD 5 to R9</v>
      </c>
      <c r="E1080" s="163" t="s">
        <v>196</v>
      </c>
      <c r="F1080" s="163" t="s">
        <v>318</v>
      </c>
    </row>
    <row r="1081" spans="2:6">
      <c r="B1081" s="147" t="s">
        <v>398</v>
      </c>
      <c r="C1081" s="147" t="str">
        <f>CONCATENATE("EXP",Commodities!C118,9)</f>
        <v>EXPDSUP59</v>
      </c>
      <c r="D1081" s="147" t="str">
        <f>CONCATENATE("Export of Imported ",VLOOKUP(MID(C1081,4,3),Types!$B$2:$C$13,2,FALSE),", PADD ",MID(C1081,8,1)," to R",RIGHT(C1081,1))</f>
        <v>Export of Imported Distillate-Ultralow Sulfur Highway Diesel (15 ppm), PADD 5 to R9</v>
      </c>
      <c r="E1081" s="163" t="s">
        <v>196</v>
      </c>
      <c r="F1081" s="163" t="s">
        <v>318</v>
      </c>
    </row>
    <row r="1082" spans="2:6">
      <c r="B1082" s="147" t="s">
        <v>398</v>
      </c>
      <c r="C1082" s="147" t="str">
        <f>CONCATENATE("EXP",Commodities!C119,9)</f>
        <v>EXPGSCP59</v>
      </c>
      <c r="D1082" s="147" t="str">
        <f>CONCATENATE("Export of Imported ",VLOOKUP(MID(C1082,4,3),Types!$B$2:$C$13,2,FALSE),", PADD ",MID(C1082,8,1)," to R",RIGHT(C1082,1))</f>
        <v>Export of Imported Conventional Gasoline, PADD 5 to R9</v>
      </c>
      <c r="E1082" s="163" t="s">
        <v>196</v>
      </c>
      <c r="F1082" s="163" t="s">
        <v>318</v>
      </c>
    </row>
    <row r="1083" spans="2:6">
      <c r="B1083" s="147" t="s">
        <v>398</v>
      </c>
      <c r="C1083" s="147" t="str">
        <f>CONCATENATE("EXP",Commodities!C120,9)</f>
        <v>EXPGSRP59</v>
      </c>
      <c r="D1083" s="147" t="str">
        <f>CONCATENATE("Export of Imported ",VLOOKUP(MID(C1083,4,3),Types!$B$2:$C$13,2,FALSE),", PADD ",MID(C1083,8,1)," to R",RIGHT(C1083,1))</f>
        <v>Export of Imported Reformulated Gasoline, PADD 5 to R9</v>
      </c>
      <c r="E1083" s="163" t="s">
        <v>196</v>
      </c>
      <c r="F1083" s="163" t="s">
        <v>318</v>
      </c>
    </row>
    <row r="1084" spans="2:6">
      <c r="B1084" s="147" t="s">
        <v>398</v>
      </c>
      <c r="C1084" s="147" t="str">
        <f>CONCATENATE("EXP",Commodities!C121,9)</f>
        <v>EXPJTFP59</v>
      </c>
      <c r="D1084" s="147" t="str">
        <f>CONCATENATE("Export of Imported ",VLOOKUP(MID(C1084,4,3),Types!$B$2:$C$13,2,FALSE),", PADD ",MID(C1084,8,1)," to R",RIGHT(C1084,1))</f>
        <v>Export of Imported Jet Fuel, PADD 5 to R9</v>
      </c>
      <c r="E1084" s="163" t="s">
        <v>196</v>
      </c>
      <c r="F1084" s="163" t="s">
        <v>318</v>
      </c>
    </row>
    <row r="1085" spans="2:6">
      <c r="B1085" s="147" t="s">
        <v>398</v>
      </c>
      <c r="C1085" s="147" t="str">
        <f>CONCATENATE("EXP",Commodities!C122,9)</f>
        <v>EXPKERP59</v>
      </c>
      <c r="D1085" s="147" t="str">
        <f>CONCATENATE("Export of Imported ",VLOOKUP(MID(C1085,4,3),Types!$B$2:$C$13,2,FALSE),", PADD ",MID(C1085,8,1)," to R",RIGHT(C1085,1))</f>
        <v>Export of Imported Kerosene and Other Refined Products, PADD 5 to R9</v>
      </c>
      <c r="E1085" s="163" t="s">
        <v>196</v>
      </c>
      <c r="F1085" s="163" t="s">
        <v>318</v>
      </c>
    </row>
    <row r="1086" spans="2:6">
      <c r="B1086" s="147" t="s">
        <v>398</v>
      </c>
      <c r="C1086" s="147" t="str">
        <f>CONCATENATE("EXP",Commodities!C123,9)</f>
        <v>EXPLPGP59</v>
      </c>
      <c r="D1086" s="147" t="str">
        <f>CONCATENATE("Export of Imported ",VLOOKUP(MID(C1086,4,3),Types!$B$2:$C$13,2,FALSE),", PADD ",MID(C1086,8,1)," to R",RIGHT(C1086,1))</f>
        <v>Export of Imported LPG, PADD 5 to R9</v>
      </c>
      <c r="E1086" s="163" t="s">
        <v>196</v>
      </c>
      <c r="F1086" s="163" t="s">
        <v>318</v>
      </c>
    </row>
    <row r="1087" spans="2:6">
      <c r="B1087" s="147" t="s">
        <v>398</v>
      </c>
      <c r="C1087" s="147" t="str">
        <f>CONCATENATE("EXP",Commodities!C124,9)</f>
        <v>EXPMTHP59</v>
      </c>
      <c r="D1087" s="147" t="str">
        <f>CONCATENATE("Export of Imported ",VLOOKUP(MID(C1087,4,3),Types!$B$2:$C$13,2,FALSE),", PADD ",MID(C1087,8,1)," to R",RIGHT(C1087,1))</f>
        <v>Export of Imported Methanol, PADD 5 to R9</v>
      </c>
      <c r="E1087" s="163" t="s">
        <v>196</v>
      </c>
      <c r="F1087" s="163" t="s">
        <v>318</v>
      </c>
    </row>
    <row r="1088" spans="2:6">
      <c r="B1088" s="147" t="s">
        <v>398</v>
      </c>
      <c r="C1088" s="147" t="str">
        <f>CONCATENATE("EXP",Commodities!C125,9)</f>
        <v>EXPPFSP59</v>
      </c>
      <c r="D1088" s="147" t="str">
        <f>CONCATENATE("Export of Imported ",VLOOKUP(MID(C1088,4,3),Types!$B$2:$C$13,2,FALSE),", PADD ",MID(C1088,8,1)," to R",RIGHT(C1088,1))</f>
        <v>Export of Imported Petrochemical Feedstocks, PADD 5 to R9</v>
      </c>
      <c r="E1088" s="163" t="s">
        <v>196</v>
      </c>
      <c r="F1088" s="163" t="s">
        <v>318</v>
      </c>
    </row>
    <row r="1089" spans="2:7">
      <c r="B1089" s="147" t="s">
        <v>398</v>
      </c>
      <c r="C1089" s="147" t="str">
        <f>CONCATENATE("EXP",Commodities!C126,9)</f>
        <v>EXPRFHP59</v>
      </c>
      <c r="D1089" s="147" t="str">
        <f>CONCATENATE("Export of Imported ",VLOOKUP(MID(C1089,4,3),Types!$B$2:$C$13,2,FALSE),", PADD ",MID(C1089,8,1)," to R",RIGHT(C1089,1))</f>
        <v>Export of Imported High Sulfur Residual Fuel Oil, PADD 5 to R9</v>
      </c>
      <c r="E1089" s="163" t="s">
        <v>196</v>
      </c>
      <c r="F1089" s="163" t="s">
        <v>318</v>
      </c>
    </row>
    <row r="1090" spans="2:7">
      <c r="B1090" s="147" t="s">
        <v>398</v>
      </c>
      <c r="C1090" s="147" t="str">
        <f>CONCATENATE("EXP",Commodities!C127,9)</f>
        <v>EXPRFLP59</v>
      </c>
      <c r="D1090" s="147" t="str">
        <f>CONCATENATE("Export of Imported ",VLOOKUP(MID(C1090,4,3),Types!$B$2:$C$13,2,FALSE),", PADD ",MID(C1090,8,1)," to R",RIGHT(C1090,1))</f>
        <v>Export of Imported Low Sulfur Residual Fuel Oil, PADD 5 to R9</v>
      </c>
      <c r="E1090" s="163" t="s">
        <v>196</v>
      </c>
      <c r="F1090" s="163" t="s">
        <v>318</v>
      </c>
    </row>
    <row r="1091" spans="2:7">
      <c r="B1091" s="147" t="s">
        <v>398</v>
      </c>
      <c r="C1091" s="147" t="s">
        <v>369</v>
      </c>
      <c r="D1091" s="147" t="s">
        <v>1028</v>
      </c>
      <c r="E1091" s="163" t="s">
        <v>196</v>
      </c>
      <c r="F1091" s="163" t="s">
        <v>318</v>
      </c>
    </row>
    <row r="1092" spans="2:7">
      <c r="B1092" s="147" t="s">
        <v>370</v>
      </c>
    </row>
    <row r="1093" spans="2:7">
      <c r="B1093" s="147" t="str">
        <f t="shared" ref="B1093:B1105" si="0">IF(LEFT(B936,1)="*","*R1","R1")</f>
        <v>*R1</v>
      </c>
      <c r="C1093" s="147" t="str">
        <f>CONCATENATE("IMP",Commodities!C64,1)</f>
        <v>IMPDSHP11</v>
      </c>
      <c r="D1093" s="147" t="str">
        <f>CONCATENATE("R",RIGHT(C1093,1)," Import of Imported ",VLOOKUP(MID(C1093,4,3),Types!$B$2:$C$13,2,FALSE),", from PADD ",MID(C1093,8,1))</f>
        <v>R1 Import of Imported Distillate-Heating Oil No. 2, from PADD 1</v>
      </c>
      <c r="E1093" s="163" t="s">
        <v>196</v>
      </c>
      <c r="F1093" s="163" t="s">
        <v>318</v>
      </c>
      <c r="G1093" s="146" t="s">
        <v>1155</v>
      </c>
    </row>
    <row r="1094" spans="2:7">
      <c r="B1094" s="147" t="str">
        <f t="shared" si="0"/>
        <v>*R1</v>
      </c>
      <c r="C1094" s="147" t="str">
        <f>CONCATENATE("IMP",Commodities!C65,1)</f>
        <v>IMPDSLP11</v>
      </c>
      <c r="D1094" s="147" t="str">
        <f>CONCATENATE("R",RIGHT(C1094,1)," Import of Imported ",VLOOKUP(MID(C1094,4,3),Types!$B$2:$C$13,2,FALSE),", from PADD ",MID(C1094,8,1))</f>
        <v>R1 Import of Imported Distillate-Low Sulfur Highway Diesel (500 ppm), from PADD 1</v>
      </c>
      <c r="E1094" s="163" t="s">
        <v>196</v>
      </c>
      <c r="F1094" s="163" t="s">
        <v>318</v>
      </c>
    </row>
    <row r="1095" spans="2:7">
      <c r="B1095" s="147" t="str">
        <f t="shared" si="0"/>
        <v>*R1</v>
      </c>
      <c r="C1095" s="147" t="str">
        <f>CONCATENATE("IMP",Commodities!C66,1)</f>
        <v>IMPDSUP11</v>
      </c>
      <c r="D1095" s="147" t="str">
        <f>CONCATENATE("R",RIGHT(C1095,1)," Import of Imported ",VLOOKUP(MID(C1095,4,3),Types!$B$2:$C$13,2,FALSE),", from PADD ",MID(C1095,8,1))</f>
        <v>R1 Import of Imported Distillate-Ultralow Sulfur Highway Diesel (15 ppm), from PADD 1</v>
      </c>
      <c r="E1095" s="163" t="s">
        <v>196</v>
      </c>
      <c r="F1095" s="163" t="s">
        <v>318</v>
      </c>
    </row>
    <row r="1096" spans="2:7">
      <c r="B1096" s="147" t="str">
        <f t="shared" si="0"/>
        <v>*R1</v>
      </c>
      <c r="C1096" s="147" t="str">
        <f>CONCATENATE("IMP",Commodities!C67,1)</f>
        <v>IMPGSCP11</v>
      </c>
      <c r="D1096" s="147" t="str">
        <f>CONCATENATE("R",RIGHT(C1096,1)," Import of Imported ",VLOOKUP(MID(C1096,4,3),Types!$B$2:$C$13,2,FALSE),", from PADD ",MID(C1096,8,1))</f>
        <v>R1 Import of Imported Conventional Gasoline, from PADD 1</v>
      </c>
      <c r="E1096" s="163" t="s">
        <v>196</v>
      </c>
      <c r="F1096" s="163" t="s">
        <v>318</v>
      </c>
    </row>
    <row r="1097" spans="2:7">
      <c r="B1097" s="147" t="str">
        <f t="shared" si="0"/>
        <v>*R1</v>
      </c>
      <c r="C1097" s="147" t="str">
        <f>CONCATENATE("IMP",Commodities!C68,1)</f>
        <v>IMPGSRP11</v>
      </c>
      <c r="D1097" s="147" t="str">
        <f>CONCATENATE("R",RIGHT(C1097,1)," Import of Imported ",VLOOKUP(MID(C1097,4,3),Types!$B$2:$C$13,2,FALSE),", from PADD ",MID(C1097,8,1))</f>
        <v>R1 Import of Imported Reformulated Gasoline, from PADD 1</v>
      </c>
      <c r="E1097" s="163" t="s">
        <v>196</v>
      </c>
      <c r="F1097" s="163" t="s">
        <v>318</v>
      </c>
    </row>
    <row r="1098" spans="2:7">
      <c r="B1098" s="147" t="str">
        <f t="shared" si="0"/>
        <v>*R1</v>
      </c>
      <c r="C1098" s="147" t="str">
        <f>CONCATENATE("IMP",Commodities!C69,1)</f>
        <v>IMPJTFP11</v>
      </c>
      <c r="D1098" s="147" t="str">
        <f>CONCATENATE("R",RIGHT(C1098,1)," Import of Imported ",VLOOKUP(MID(C1098,4,3),Types!$B$2:$C$13,2,FALSE),", from PADD ",MID(C1098,8,1))</f>
        <v>R1 Import of Imported Jet Fuel, from PADD 1</v>
      </c>
      <c r="E1098" s="163" t="s">
        <v>196</v>
      </c>
      <c r="F1098" s="163" t="s">
        <v>318</v>
      </c>
    </row>
    <row r="1099" spans="2:7">
      <c r="B1099" s="147" t="str">
        <f t="shared" si="0"/>
        <v>*R1</v>
      </c>
      <c r="C1099" s="147" t="str">
        <f>CONCATENATE("IMP",Commodities!C70,1)</f>
        <v>IMPKERP11</v>
      </c>
      <c r="D1099" s="147" t="str">
        <f>CONCATENATE("R",RIGHT(C1099,1)," Import of Imported ",VLOOKUP(MID(C1099,4,3),Types!$B$2:$C$13,2,FALSE),", from PADD ",MID(C1099,8,1))</f>
        <v>R1 Import of Imported Kerosene and Other Refined Products, from PADD 1</v>
      </c>
      <c r="E1099" s="163" t="s">
        <v>196</v>
      </c>
      <c r="F1099" s="163" t="s">
        <v>318</v>
      </c>
    </row>
    <row r="1100" spans="2:7">
      <c r="B1100" s="147" t="str">
        <f t="shared" si="0"/>
        <v>*R1</v>
      </c>
      <c r="C1100" s="147" t="str">
        <f>CONCATENATE("IMP",Commodities!C71,1)</f>
        <v>IMPLPGP11</v>
      </c>
      <c r="D1100" s="147" t="str">
        <f>CONCATENATE("R",RIGHT(C1100,1)," Import of Imported ",VLOOKUP(MID(C1100,4,3),Types!$B$2:$C$13,2,FALSE),", from PADD ",MID(C1100,8,1))</f>
        <v>R1 Import of Imported LPG, from PADD 1</v>
      </c>
      <c r="E1100" s="163" t="s">
        <v>196</v>
      </c>
      <c r="F1100" s="163" t="s">
        <v>318</v>
      </c>
    </row>
    <row r="1101" spans="2:7">
      <c r="B1101" s="147" t="str">
        <f t="shared" si="0"/>
        <v>*R1</v>
      </c>
      <c r="C1101" s="147" t="str">
        <f>CONCATENATE("IMP",Commodities!C72,1)</f>
        <v>IMPMTHP11</v>
      </c>
      <c r="D1101" s="147" t="str">
        <f>CONCATENATE("R",RIGHT(C1101,1)," Import of Imported ",VLOOKUP(MID(C1101,4,3),Types!$B$2:$C$13,2,FALSE),", from PADD ",MID(C1101,8,1))</f>
        <v>R1 Import of Imported Methanol, from PADD 1</v>
      </c>
      <c r="E1101" s="163" t="s">
        <v>196</v>
      </c>
      <c r="F1101" s="163" t="s">
        <v>318</v>
      </c>
    </row>
    <row r="1102" spans="2:7">
      <c r="B1102" s="147" t="str">
        <f t="shared" si="0"/>
        <v>*R1</v>
      </c>
      <c r="C1102" s="147" t="str">
        <f>CONCATENATE("IMP",Commodities!C73,1)</f>
        <v>IMPPFSP11</v>
      </c>
      <c r="D1102" s="147" t="str">
        <f>CONCATENATE("R",RIGHT(C1102,1)," Import of Imported ",VLOOKUP(MID(C1102,4,3),Types!$B$2:$C$13,2,FALSE),", from PADD ",MID(C1102,8,1))</f>
        <v>R1 Import of Imported Petrochemical Feedstocks, from PADD 1</v>
      </c>
      <c r="E1102" s="163" t="s">
        <v>196</v>
      </c>
      <c r="F1102" s="163" t="s">
        <v>318</v>
      </c>
    </row>
    <row r="1103" spans="2:7">
      <c r="B1103" s="147" t="str">
        <f t="shared" si="0"/>
        <v>*R1</v>
      </c>
      <c r="C1103" s="147" t="str">
        <f>CONCATENATE("IMP",Commodities!C74,1)</f>
        <v>IMPRFHP11</v>
      </c>
      <c r="D1103" s="147" t="str">
        <f>CONCATENATE("R",RIGHT(C1103,1)," Import of Imported ",VLOOKUP(MID(C1103,4,3),Types!$B$2:$C$13,2,FALSE),", from PADD ",MID(C1103,8,1))</f>
        <v>R1 Import of Imported High Sulfur Residual Fuel Oil, from PADD 1</v>
      </c>
      <c r="E1103" s="163" t="s">
        <v>196</v>
      </c>
      <c r="F1103" s="163" t="s">
        <v>318</v>
      </c>
    </row>
    <row r="1104" spans="2:7">
      <c r="B1104" s="147" t="str">
        <f t="shared" si="0"/>
        <v>*R1</v>
      </c>
      <c r="C1104" s="147" t="str">
        <f>CONCATENATE("IMP",Commodities!C75,1)</f>
        <v>IMPRFLP11</v>
      </c>
      <c r="D1104" s="147" t="str">
        <f>CONCATENATE("R",RIGHT(C1104,1)," Import of Imported ",VLOOKUP(MID(C1104,4,3),Types!$B$2:$C$13,2,FALSE),", from PADD ",MID(C1104,8,1))</f>
        <v>R1 Import of Imported Low Sulfur Residual Fuel Oil, from PADD 1</v>
      </c>
      <c r="E1104" s="163" t="s">
        <v>196</v>
      </c>
      <c r="F1104" s="163" t="s">
        <v>318</v>
      </c>
    </row>
    <row r="1105" spans="2:6">
      <c r="B1105" s="147" t="str">
        <f t="shared" si="0"/>
        <v>*R1</v>
      </c>
      <c r="C1105" s="147" t="s">
        <v>371</v>
      </c>
      <c r="D1105" s="147" t="s">
        <v>372</v>
      </c>
      <c r="E1105" s="163" t="s">
        <v>196</v>
      </c>
      <c r="F1105" s="163" t="s">
        <v>318</v>
      </c>
    </row>
    <row r="1106" spans="2:6">
      <c r="B1106" s="147" t="str">
        <f t="shared" ref="B1106:B1118" si="1">IF(LEFT(B949,1)="*","*R2","R2")</f>
        <v>*R2</v>
      </c>
      <c r="C1106" s="147" t="str">
        <f>CONCATENATE("IMP",Commodities!C64,2)</f>
        <v>IMPDSHP12</v>
      </c>
      <c r="D1106" s="147" t="str">
        <f>CONCATENATE("R",RIGHT(C1106,1)," Import of Imported ",VLOOKUP(MID(C1106,4,3),Types!$B$2:$C$13,2,FALSE),", from PADD ",MID(C1106,8,1))</f>
        <v>R2 Import of Imported Distillate-Heating Oil No. 2, from PADD 1</v>
      </c>
      <c r="E1106" s="163" t="s">
        <v>196</v>
      </c>
      <c r="F1106" s="163" t="s">
        <v>318</v>
      </c>
    </row>
    <row r="1107" spans="2:6">
      <c r="B1107" s="147" t="str">
        <f t="shared" si="1"/>
        <v>*R2</v>
      </c>
      <c r="C1107" s="147" t="str">
        <f>CONCATENATE("IMP",Commodities!C65,2)</f>
        <v>IMPDSLP12</v>
      </c>
      <c r="D1107" s="147" t="str">
        <f>CONCATENATE("R",RIGHT(C1107,1)," Import of Imported ",VLOOKUP(MID(C1107,4,3),Types!$B$2:$C$13,2,FALSE),", from PADD ",MID(C1107,8,1))</f>
        <v>R2 Import of Imported Distillate-Low Sulfur Highway Diesel (500 ppm), from PADD 1</v>
      </c>
      <c r="E1107" s="163" t="s">
        <v>196</v>
      </c>
      <c r="F1107" s="163" t="s">
        <v>318</v>
      </c>
    </row>
    <row r="1108" spans="2:6">
      <c r="B1108" s="147" t="str">
        <f t="shared" si="1"/>
        <v>*R2</v>
      </c>
      <c r="C1108" s="147" t="str">
        <f>CONCATENATE("IMP",Commodities!C66,2)</f>
        <v>IMPDSUP12</v>
      </c>
      <c r="D1108" s="147" t="str">
        <f>CONCATENATE("R",RIGHT(C1108,1)," Import of Imported ",VLOOKUP(MID(C1108,4,3),Types!$B$2:$C$13,2,FALSE),", from PADD ",MID(C1108,8,1))</f>
        <v>R2 Import of Imported Distillate-Ultralow Sulfur Highway Diesel (15 ppm), from PADD 1</v>
      </c>
      <c r="E1108" s="163" t="s">
        <v>196</v>
      </c>
      <c r="F1108" s="163" t="s">
        <v>318</v>
      </c>
    </row>
    <row r="1109" spans="2:6">
      <c r="B1109" s="147" t="str">
        <f t="shared" si="1"/>
        <v>*R2</v>
      </c>
      <c r="C1109" s="147" t="str">
        <f>CONCATENATE("IMP",Commodities!C67,2)</f>
        <v>IMPGSCP12</v>
      </c>
      <c r="D1109" s="147" t="str">
        <f>CONCATENATE("R",RIGHT(C1109,1)," Import of Imported ",VLOOKUP(MID(C1109,4,3),Types!$B$2:$C$13,2,FALSE),", from PADD ",MID(C1109,8,1))</f>
        <v>R2 Import of Imported Conventional Gasoline, from PADD 1</v>
      </c>
      <c r="E1109" s="163" t="s">
        <v>196</v>
      </c>
      <c r="F1109" s="163" t="s">
        <v>318</v>
      </c>
    </row>
    <row r="1110" spans="2:6">
      <c r="B1110" s="147" t="str">
        <f t="shared" si="1"/>
        <v>*R2</v>
      </c>
      <c r="C1110" s="147" t="str">
        <f>CONCATENATE("IMP",Commodities!C68,2)</f>
        <v>IMPGSRP12</v>
      </c>
      <c r="D1110" s="147" t="str">
        <f>CONCATENATE("R",RIGHT(C1110,1)," Import of Imported ",VLOOKUP(MID(C1110,4,3),Types!$B$2:$C$13,2,FALSE),", from PADD ",MID(C1110,8,1))</f>
        <v>R2 Import of Imported Reformulated Gasoline, from PADD 1</v>
      </c>
      <c r="E1110" s="163" t="s">
        <v>196</v>
      </c>
      <c r="F1110" s="163" t="s">
        <v>318</v>
      </c>
    </row>
    <row r="1111" spans="2:6">
      <c r="B1111" s="147" t="str">
        <f t="shared" si="1"/>
        <v>*R2</v>
      </c>
      <c r="C1111" s="147" t="str">
        <f>CONCATENATE("IMP",Commodities!C69,2)</f>
        <v>IMPJTFP12</v>
      </c>
      <c r="D1111" s="147" t="str">
        <f>CONCATENATE("R",RIGHT(C1111,1)," Import of Imported ",VLOOKUP(MID(C1111,4,3),Types!$B$2:$C$13,2,FALSE),", from PADD ",MID(C1111,8,1))</f>
        <v>R2 Import of Imported Jet Fuel, from PADD 1</v>
      </c>
      <c r="E1111" s="163" t="s">
        <v>196</v>
      </c>
      <c r="F1111" s="163" t="s">
        <v>318</v>
      </c>
    </row>
    <row r="1112" spans="2:6">
      <c r="B1112" s="147" t="str">
        <f t="shared" si="1"/>
        <v>*R2</v>
      </c>
      <c r="C1112" s="147" t="str">
        <f>CONCATENATE("IMP",Commodities!C70,2)</f>
        <v>IMPKERP12</v>
      </c>
      <c r="D1112" s="147" t="str">
        <f>CONCATENATE("R",RIGHT(C1112,1)," Import of Imported ",VLOOKUP(MID(C1112,4,3),Types!$B$2:$C$13,2,FALSE),", from PADD ",MID(C1112,8,1))</f>
        <v>R2 Import of Imported Kerosene and Other Refined Products, from PADD 1</v>
      </c>
      <c r="E1112" s="163" t="s">
        <v>196</v>
      </c>
      <c r="F1112" s="163" t="s">
        <v>318</v>
      </c>
    </row>
    <row r="1113" spans="2:6">
      <c r="B1113" s="147" t="str">
        <f t="shared" si="1"/>
        <v>*R2</v>
      </c>
      <c r="C1113" s="147" t="str">
        <f>CONCATENATE("IMP",Commodities!C71,2)</f>
        <v>IMPLPGP12</v>
      </c>
      <c r="D1113" s="147" t="str">
        <f>CONCATENATE("R",RIGHT(C1113,1)," Import of Imported ",VLOOKUP(MID(C1113,4,3),Types!$B$2:$C$13,2,FALSE),", from PADD ",MID(C1113,8,1))</f>
        <v>R2 Import of Imported LPG, from PADD 1</v>
      </c>
      <c r="E1113" s="163" t="s">
        <v>196</v>
      </c>
      <c r="F1113" s="163" t="s">
        <v>318</v>
      </c>
    </row>
    <row r="1114" spans="2:6">
      <c r="B1114" s="147" t="str">
        <f t="shared" si="1"/>
        <v>*R2</v>
      </c>
      <c r="C1114" s="147" t="str">
        <f>CONCATENATE("IMP",Commodities!C72,2)</f>
        <v>IMPMTHP12</v>
      </c>
      <c r="D1114" s="147" t="str">
        <f>CONCATENATE("R",RIGHT(C1114,1)," Import of Imported ",VLOOKUP(MID(C1114,4,3),Types!$B$2:$C$13,2,FALSE),", from PADD ",MID(C1114,8,1))</f>
        <v>R2 Import of Imported Methanol, from PADD 1</v>
      </c>
      <c r="E1114" s="163" t="s">
        <v>196</v>
      </c>
      <c r="F1114" s="163" t="s">
        <v>318</v>
      </c>
    </row>
    <row r="1115" spans="2:6">
      <c r="B1115" s="147" t="str">
        <f t="shared" si="1"/>
        <v>*R2</v>
      </c>
      <c r="C1115" s="147" t="str">
        <f>CONCATENATE("IMP",Commodities!C73,2)</f>
        <v>IMPPFSP12</v>
      </c>
      <c r="D1115" s="147" t="str">
        <f>CONCATENATE("R",RIGHT(C1115,1)," Import of Imported ",VLOOKUP(MID(C1115,4,3),Types!$B$2:$C$13,2,FALSE),", from PADD ",MID(C1115,8,1))</f>
        <v>R2 Import of Imported Petrochemical Feedstocks, from PADD 1</v>
      </c>
      <c r="E1115" s="163" t="s">
        <v>196</v>
      </c>
      <c r="F1115" s="163" t="s">
        <v>318</v>
      </c>
    </row>
    <row r="1116" spans="2:6">
      <c r="B1116" s="147" t="str">
        <f t="shared" si="1"/>
        <v>*R2</v>
      </c>
      <c r="C1116" s="147" t="str">
        <f>CONCATENATE("IMP",Commodities!C74,2)</f>
        <v>IMPRFHP12</v>
      </c>
      <c r="D1116" s="147" t="str">
        <f>CONCATENATE("R",RIGHT(C1116,1)," Import of Imported ",VLOOKUP(MID(C1116,4,3),Types!$B$2:$C$13,2,FALSE),", from PADD ",MID(C1116,8,1))</f>
        <v>R2 Import of Imported High Sulfur Residual Fuel Oil, from PADD 1</v>
      </c>
      <c r="E1116" s="163" t="s">
        <v>196</v>
      </c>
      <c r="F1116" s="163" t="s">
        <v>318</v>
      </c>
    </row>
    <row r="1117" spans="2:6">
      <c r="B1117" s="147" t="str">
        <f t="shared" si="1"/>
        <v>*R2</v>
      </c>
      <c r="C1117" s="147" t="str">
        <f>CONCATENATE("IMP",Commodities!C75,2)</f>
        <v>IMPRFLP12</v>
      </c>
      <c r="D1117" s="147" t="str">
        <f>CONCATENATE("R",RIGHT(C1117,1)," Import of Imported ",VLOOKUP(MID(C1117,4,3),Types!$B$2:$C$13,2,FALSE),", from PADD ",MID(C1117,8,1))</f>
        <v>R2 Import of Imported Low Sulfur Residual Fuel Oil, from PADD 1</v>
      </c>
      <c r="E1117" s="163" t="s">
        <v>196</v>
      </c>
      <c r="F1117" s="163" t="s">
        <v>318</v>
      </c>
    </row>
    <row r="1118" spans="2:6">
      <c r="B1118" s="147" t="str">
        <f t="shared" si="1"/>
        <v>*R2</v>
      </c>
      <c r="C1118" s="147" t="s">
        <v>373</v>
      </c>
      <c r="D1118" s="147" t="s">
        <v>374</v>
      </c>
      <c r="E1118" s="163" t="s">
        <v>196</v>
      </c>
      <c r="F1118" s="163" t="s">
        <v>318</v>
      </c>
    </row>
    <row r="1119" spans="2:6">
      <c r="B1119" s="147" t="str">
        <f t="shared" ref="B1119:B1131" si="2">IF(LEFT(B962,1)="*","*R3","R3")</f>
        <v>*R3</v>
      </c>
      <c r="C1119" s="147" t="str">
        <f>CONCATENATE("IMP",Commodities!C64,3)</f>
        <v>IMPDSHP13</v>
      </c>
      <c r="D1119" s="147" t="str">
        <f>CONCATENATE("R",RIGHT(C1119,1)," Import of Imported ",VLOOKUP(MID(C1119,4,3),Types!$B$2:$C$13,2,FALSE),", from PADD ",MID(C1119,8,1))</f>
        <v>R3 Import of Imported Distillate-Heating Oil No. 2, from PADD 1</v>
      </c>
      <c r="E1119" s="163" t="s">
        <v>196</v>
      </c>
      <c r="F1119" s="163" t="s">
        <v>318</v>
      </c>
    </row>
    <row r="1120" spans="2:6">
      <c r="B1120" s="147" t="str">
        <f t="shared" si="2"/>
        <v>*R3</v>
      </c>
      <c r="C1120" s="147" t="str">
        <f>CONCATENATE("IMP",Commodities!C65,3)</f>
        <v>IMPDSLP13</v>
      </c>
      <c r="D1120" s="147" t="str">
        <f>CONCATENATE("R",RIGHT(C1120,1)," Import of Imported ",VLOOKUP(MID(C1120,4,3),Types!$B$2:$C$13,2,FALSE),", from PADD ",MID(C1120,8,1))</f>
        <v>R3 Import of Imported Distillate-Low Sulfur Highway Diesel (500 ppm), from PADD 1</v>
      </c>
      <c r="E1120" s="163" t="s">
        <v>196</v>
      </c>
      <c r="F1120" s="163" t="s">
        <v>318</v>
      </c>
    </row>
    <row r="1121" spans="2:6">
      <c r="B1121" s="147" t="str">
        <f t="shared" si="2"/>
        <v>*R3</v>
      </c>
      <c r="C1121" s="147" t="str">
        <f>CONCATENATE("IMP",Commodities!C66,3)</f>
        <v>IMPDSUP13</v>
      </c>
      <c r="D1121" s="147" t="str">
        <f>CONCATENATE("R",RIGHT(C1121,1)," Import of Imported ",VLOOKUP(MID(C1121,4,3),Types!$B$2:$C$13,2,FALSE),", from PADD ",MID(C1121,8,1))</f>
        <v>R3 Import of Imported Distillate-Ultralow Sulfur Highway Diesel (15 ppm), from PADD 1</v>
      </c>
      <c r="E1121" s="163" t="s">
        <v>196</v>
      </c>
      <c r="F1121" s="163" t="s">
        <v>318</v>
      </c>
    </row>
    <row r="1122" spans="2:6">
      <c r="B1122" s="147" t="str">
        <f t="shared" si="2"/>
        <v>*R3</v>
      </c>
      <c r="C1122" s="147" t="str">
        <f>CONCATENATE("IMP",Commodities!C67,3)</f>
        <v>IMPGSCP13</v>
      </c>
      <c r="D1122" s="147" t="str">
        <f>CONCATENATE("R",RIGHT(C1122,1)," Import of Imported ",VLOOKUP(MID(C1122,4,3),Types!$B$2:$C$13,2,FALSE),", from PADD ",MID(C1122,8,1))</f>
        <v>R3 Import of Imported Conventional Gasoline, from PADD 1</v>
      </c>
      <c r="E1122" s="163" t="s">
        <v>196</v>
      </c>
      <c r="F1122" s="163" t="s">
        <v>318</v>
      </c>
    </row>
    <row r="1123" spans="2:6">
      <c r="B1123" s="147" t="str">
        <f t="shared" si="2"/>
        <v>*R3</v>
      </c>
      <c r="C1123" s="147" t="str">
        <f>CONCATENATE("IMP",Commodities!C68,3)</f>
        <v>IMPGSRP13</v>
      </c>
      <c r="D1123" s="147" t="str">
        <f>CONCATENATE("R",RIGHT(C1123,1)," Import of Imported ",VLOOKUP(MID(C1123,4,3),Types!$B$2:$C$13,2,FALSE),", from PADD ",MID(C1123,8,1))</f>
        <v>R3 Import of Imported Reformulated Gasoline, from PADD 1</v>
      </c>
      <c r="E1123" s="163" t="s">
        <v>196</v>
      </c>
      <c r="F1123" s="163" t="s">
        <v>318</v>
      </c>
    </row>
    <row r="1124" spans="2:6">
      <c r="B1124" s="147" t="str">
        <f t="shared" si="2"/>
        <v>*R3</v>
      </c>
      <c r="C1124" s="147" t="str">
        <f>CONCATENATE("IMP",Commodities!C69,3)</f>
        <v>IMPJTFP13</v>
      </c>
      <c r="D1124" s="147" t="str">
        <f>CONCATENATE("R",RIGHT(C1124,1)," Import of Imported ",VLOOKUP(MID(C1124,4,3),Types!$B$2:$C$13,2,FALSE),", from PADD ",MID(C1124,8,1))</f>
        <v>R3 Import of Imported Jet Fuel, from PADD 1</v>
      </c>
      <c r="E1124" s="163" t="s">
        <v>196</v>
      </c>
      <c r="F1124" s="163" t="s">
        <v>318</v>
      </c>
    </row>
    <row r="1125" spans="2:6">
      <c r="B1125" s="147" t="str">
        <f t="shared" si="2"/>
        <v>*R3</v>
      </c>
      <c r="C1125" s="147" t="str">
        <f>CONCATENATE("IMP",Commodities!C70,3)</f>
        <v>IMPKERP13</v>
      </c>
      <c r="D1125" s="147" t="str">
        <f>CONCATENATE("R",RIGHT(C1125,1)," Import of Imported ",VLOOKUP(MID(C1125,4,3),Types!$B$2:$C$13,2,FALSE),", from PADD ",MID(C1125,8,1))</f>
        <v>R3 Import of Imported Kerosene and Other Refined Products, from PADD 1</v>
      </c>
      <c r="E1125" s="163" t="s">
        <v>196</v>
      </c>
      <c r="F1125" s="163" t="s">
        <v>318</v>
      </c>
    </row>
    <row r="1126" spans="2:6">
      <c r="B1126" s="147" t="str">
        <f t="shared" si="2"/>
        <v>*R3</v>
      </c>
      <c r="C1126" s="147" t="str">
        <f>CONCATENATE("IMP",Commodities!C71,3)</f>
        <v>IMPLPGP13</v>
      </c>
      <c r="D1126" s="147" t="str">
        <f>CONCATENATE("R",RIGHT(C1126,1)," Import of Imported ",VLOOKUP(MID(C1126,4,3),Types!$B$2:$C$13,2,FALSE),", from PADD ",MID(C1126,8,1))</f>
        <v>R3 Import of Imported LPG, from PADD 1</v>
      </c>
      <c r="E1126" s="163" t="s">
        <v>196</v>
      </c>
      <c r="F1126" s="163" t="s">
        <v>318</v>
      </c>
    </row>
    <row r="1127" spans="2:6">
      <c r="B1127" s="147" t="str">
        <f t="shared" si="2"/>
        <v>*R3</v>
      </c>
      <c r="C1127" s="147" t="str">
        <f>CONCATENATE("IMP",Commodities!C72,3)</f>
        <v>IMPMTHP13</v>
      </c>
      <c r="D1127" s="147" t="str">
        <f>CONCATENATE("R",RIGHT(C1127,1)," Import of Imported ",VLOOKUP(MID(C1127,4,3),Types!$B$2:$C$13,2,FALSE),", from PADD ",MID(C1127,8,1))</f>
        <v>R3 Import of Imported Methanol, from PADD 1</v>
      </c>
      <c r="E1127" s="163" t="s">
        <v>196</v>
      </c>
      <c r="F1127" s="163" t="s">
        <v>318</v>
      </c>
    </row>
    <row r="1128" spans="2:6">
      <c r="B1128" s="147" t="str">
        <f t="shared" si="2"/>
        <v>*R3</v>
      </c>
      <c r="C1128" s="147" t="str">
        <f>CONCATENATE("IMP",Commodities!C73,3)</f>
        <v>IMPPFSP13</v>
      </c>
      <c r="D1128" s="147" t="str">
        <f>CONCATENATE("R",RIGHT(C1128,1)," Import of Imported ",VLOOKUP(MID(C1128,4,3),Types!$B$2:$C$13,2,FALSE),", from PADD ",MID(C1128,8,1))</f>
        <v>R3 Import of Imported Petrochemical Feedstocks, from PADD 1</v>
      </c>
      <c r="E1128" s="163" t="s">
        <v>196</v>
      </c>
      <c r="F1128" s="163" t="s">
        <v>318</v>
      </c>
    </row>
    <row r="1129" spans="2:6">
      <c r="B1129" s="147" t="str">
        <f t="shared" si="2"/>
        <v>*R3</v>
      </c>
      <c r="C1129" s="147" t="str">
        <f>CONCATENATE("IMP",Commodities!C74,3)</f>
        <v>IMPRFHP13</v>
      </c>
      <c r="D1129" s="147" t="str">
        <f>CONCATENATE("R",RIGHT(C1129,1)," Import of Imported ",VLOOKUP(MID(C1129,4,3),Types!$B$2:$C$13,2,FALSE),", from PADD ",MID(C1129,8,1))</f>
        <v>R3 Import of Imported High Sulfur Residual Fuel Oil, from PADD 1</v>
      </c>
      <c r="E1129" s="163" t="s">
        <v>196</v>
      </c>
      <c r="F1129" s="163" t="s">
        <v>318</v>
      </c>
    </row>
    <row r="1130" spans="2:6">
      <c r="B1130" s="147" t="str">
        <f t="shared" si="2"/>
        <v>*R3</v>
      </c>
      <c r="C1130" s="147" t="str">
        <f>CONCATENATE("IMP",Commodities!C75,3)</f>
        <v>IMPRFLP13</v>
      </c>
      <c r="D1130" s="147" t="str">
        <f>CONCATENATE("R",RIGHT(C1130,1)," Import of Imported ",VLOOKUP(MID(C1130,4,3),Types!$B$2:$C$13,2,FALSE),", from PADD ",MID(C1130,8,1))</f>
        <v>R3 Import of Imported Low Sulfur Residual Fuel Oil, from PADD 1</v>
      </c>
      <c r="E1130" s="163" t="s">
        <v>196</v>
      </c>
      <c r="F1130" s="163" t="s">
        <v>318</v>
      </c>
    </row>
    <row r="1131" spans="2:6">
      <c r="B1131" s="147" t="str">
        <f t="shared" si="2"/>
        <v>*R3</v>
      </c>
      <c r="C1131" s="147" t="s">
        <v>1074</v>
      </c>
      <c r="D1131" s="147" t="s">
        <v>1075</v>
      </c>
      <c r="E1131" s="163" t="s">
        <v>196</v>
      </c>
      <c r="F1131" s="163" t="s">
        <v>318</v>
      </c>
    </row>
    <row r="1132" spans="2:6">
      <c r="B1132" s="147" t="str">
        <f t="shared" ref="B1132:B1144" si="3">IF(LEFT(B975,1)="*","*R4","R4")</f>
        <v>*R4</v>
      </c>
      <c r="C1132" s="147" t="str">
        <f>CONCATENATE("IMP",Commodities!C64,4)</f>
        <v>IMPDSHP14</v>
      </c>
      <c r="D1132" s="147" t="str">
        <f>CONCATENATE("R",RIGHT(C1132,1)," Import of Imported ",VLOOKUP(MID(C1132,4,3),Types!$B$2:$C$13,2,FALSE),", from PADD ",MID(C1132,8,1))</f>
        <v>R4 Import of Imported Distillate-Heating Oil No. 2, from PADD 1</v>
      </c>
      <c r="E1132" s="163" t="s">
        <v>196</v>
      </c>
      <c r="F1132" s="163" t="s">
        <v>318</v>
      </c>
    </row>
    <row r="1133" spans="2:6">
      <c r="B1133" s="147" t="str">
        <f t="shared" si="3"/>
        <v>*R4</v>
      </c>
      <c r="C1133" s="147" t="str">
        <f>CONCATENATE("IMP",Commodities!C65,4)</f>
        <v>IMPDSLP14</v>
      </c>
      <c r="D1133" s="147" t="str">
        <f>CONCATENATE("R",RIGHT(C1133,1)," Import of Imported ",VLOOKUP(MID(C1133,4,3),Types!$B$2:$C$13,2,FALSE),", from PADD ",MID(C1133,8,1))</f>
        <v>R4 Import of Imported Distillate-Low Sulfur Highway Diesel (500 ppm), from PADD 1</v>
      </c>
      <c r="E1133" s="163" t="s">
        <v>196</v>
      </c>
      <c r="F1133" s="163" t="s">
        <v>318</v>
      </c>
    </row>
    <row r="1134" spans="2:6">
      <c r="B1134" s="147" t="str">
        <f t="shared" si="3"/>
        <v>*R4</v>
      </c>
      <c r="C1134" s="147" t="str">
        <f>CONCATENATE("IMP",Commodities!C66,4)</f>
        <v>IMPDSUP14</v>
      </c>
      <c r="D1134" s="147" t="str">
        <f>CONCATENATE("R",RIGHT(C1134,1)," Import of Imported ",VLOOKUP(MID(C1134,4,3),Types!$B$2:$C$13,2,FALSE),", from PADD ",MID(C1134,8,1))</f>
        <v>R4 Import of Imported Distillate-Ultralow Sulfur Highway Diesel (15 ppm), from PADD 1</v>
      </c>
      <c r="E1134" s="163" t="s">
        <v>196</v>
      </c>
      <c r="F1134" s="163" t="s">
        <v>318</v>
      </c>
    </row>
    <row r="1135" spans="2:6">
      <c r="B1135" s="147" t="str">
        <f t="shared" si="3"/>
        <v>*R4</v>
      </c>
      <c r="C1135" s="147" t="str">
        <f>CONCATENATE("IMP",Commodities!C67,4)</f>
        <v>IMPGSCP14</v>
      </c>
      <c r="D1135" s="147" t="str">
        <f>CONCATENATE("R",RIGHT(C1135,1)," Import of Imported ",VLOOKUP(MID(C1135,4,3),Types!$B$2:$C$13,2,FALSE),", from PADD ",MID(C1135,8,1))</f>
        <v>R4 Import of Imported Conventional Gasoline, from PADD 1</v>
      </c>
      <c r="E1135" s="163" t="s">
        <v>196</v>
      </c>
      <c r="F1135" s="163" t="s">
        <v>318</v>
      </c>
    </row>
    <row r="1136" spans="2:6">
      <c r="B1136" s="147" t="str">
        <f t="shared" si="3"/>
        <v>*R4</v>
      </c>
      <c r="C1136" s="147" t="str">
        <f>CONCATENATE("IMP",Commodities!C68,4)</f>
        <v>IMPGSRP14</v>
      </c>
      <c r="D1136" s="147" t="str">
        <f>CONCATENATE("R",RIGHT(C1136,1)," Import of Imported ",VLOOKUP(MID(C1136,4,3),Types!$B$2:$C$13,2,FALSE),", from PADD ",MID(C1136,8,1))</f>
        <v>R4 Import of Imported Reformulated Gasoline, from PADD 1</v>
      </c>
      <c r="E1136" s="163" t="s">
        <v>196</v>
      </c>
      <c r="F1136" s="163" t="s">
        <v>318</v>
      </c>
    </row>
    <row r="1137" spans="2:6">
      <c r="B1137" s="147" t="str">
        <f t="shared" si="3"/>
        <v>*R4</v>
      </c>
      <c r="C1137" s="147" t="str">
        <f>CONCATENATE("IMP",Commodities!C69,4)</f>
        <v>IMPJTFP14</v>
      </c>
      <c r="D1137" s="147" t="str">
        <f>CONCATENATE("R",RIGHT(C1137,1)," Import of Imported ",VLOOKUP(MID(C1137,4,3),Types!$B$2:$C$13,2,FALSE),", from PADD ",MID(C1137,8,1))</f>
        <v>R4 Import of Imported Jet Fuel, from PADD 1</v>
      </c>
      <c r="E1137" s="163" t="s">
        <v>196</v>
      </c>
      <c r="F1137" s="163" t="s">
        <v>318</v>
      </c>
    </row>
    <row r="1138" spans="2:6">
      <c r="B1138" s="147" t="str">
        <f t="shared" si="3"/>
        <v>*R4</v>
      </c>
      <c r="C1138" s="147" t="str">
        <f>CONCATENATE("IMP",Commodities!C70,4)</f>
        <v>IMPKERP14</v>
      </c>
      <c r="D1138" s="147" t="str">
        <f>CONCATENATE("R",RIGHT(C1138,1)," Import of Imported ",VLOOKUP(MID(C1138,4,3),Types!$B$2:$C$13,2,FALSE),", from PADD ",MID(C1138,8,1))</f>
        <v>R4 Import of Imported Kerosene and Other Refined Products, from PADD 1</v>
      </c>
      <c r="E1138" s="163" t="s">
        <v>196</v>
      </c>
      <c r="F1138" s="163" t="s">
        <v>318</v>
      </c>
    </row>
    <row r="1139" spans="2:6">
      <c r="B1139" s="147" t="str">
        <f t="shared" si="3"/>
        <v>*R4</v>
      </c>
      <c r="C1139" s="147" t="str">
        <f>CONCATENATE("IMP",Commodities!C71,4)</f>
        <v>IMPLPGP14</v>
      </c>
      <c r="D1139" s="147" t="str">
        <f>CONCATENATE("R",RIGHT(C1139,1)," Import of Imported ",VLOOKUP(MID(C1139,4,3),Types!$B$2:$C$13,2,FALSE),", from PADD ",MID(C1139,8,1))</f>
        <v>R4 Import of Imported LPG, from PADD 1</v>
      </c>
      <c r="E1139" s="163" t="s">
        <v>196</v>
      </c>
      <c r="F1139" s="163" t="s">
        <v>318</v>
      </c>
    </row>
    <row r="1140" spans="2:6">
      <c r="B1140" s="147" t="str">
        <f t="shared" si="3"/>
        <v>*R4</v>
      </c>
      <c r="C1140" s="147" t="str">
        <f>CONCATENATE("IMP",Commodities!C72,4)</f>
        <v>IMPMTHP14</v>
      </c>
      <c r="D1140" s="147" t="str">
        <f>CONCATENATE("R",RIGHT(C1140,1)," Import of Imported ",VLOOKUP(MID(C1140,4,3),Types!$B$2:$C$13,2,FALSE),", from PADD ",MID(C1140,8,1))</f>
        <v>R4 Import of Imported Methanol, from PADD 1</v>
      </c>
      <c r="E1140" s="163" t="s">
        <v>196</v>
      </c>
      <c r="F1140" s="163" t="s">
        <v>318</v>
      </c>
    </row>
    <row r="1141" spans="2:6">
      <c r="B1141" s="147" t="str">
        <f t="shared" si="3"/>
        <v>*R4</v>
      </c>
      <c r="C1141" s="147" t="str">
        <f>CONCATENATE("IMP",Commodities!C73,4)</f>
        <v>IMPPFSP14</v>
      </c>
      <c r="D1141" s="147" t="str">
        <f>CONCATENATE("R",RIGHT(C1141,1)," Import of Imported ",VLOOKUP(MID(C1141,4,3),Types!$B$2:$C$13,2,FALSE),", from PADD ",MID(C1141,8,1))</f>
        <v>R4 Import of Imported Petrochemical Feedstocks, from PADD 1</v>
      </c>
      <c r="E1141" s="163" t="s">
        <v>196</v>
      </c>
      <c r="F1141" s="163" t="s">
        <v>318</v>
      </c>
    </row>
    <row r="1142" spans="2:6">
      <c r="B1142" s="147" t="str">
        <f t="shared" si="3"/>
        <v>*R4</v>
      </c>
      <c r="C1142" s="147" t="str">
        <f>CONCATENATE("IMP",Commodities!C74,4)</f>
        <v>IMPRFHP14</v>
      </c>
      <c r="D1142" s="147" t="str">
        <f>CONCATENATE("R",RIGHT(C1142,1)," Import of Imported ",VLOOKUP(MID(C1142,4,3),Types!$B$2:$C$13,2,FALSE),", from PADD ",MID(C1142,8,1))</f>
        <v>R4 Import of Imported High Sulfur Residual Fuel Oil, from PADD 1</v>
      </c>
      <c r="E1142" s="163" t="s">
        <v>196</v>
      </c>
      <c r="F1142" s="163" t="s">
        <v>318</v>
      </c>
    </row>
    <row r="1143" spans="2:6">
      <c r="B1143" s="147" t="str">
        <f t="shared" si="3"/>
        <v>*R4</v>
      </c>
      <c r="C1143" s="147" t="str">
        <f>CONCATENATE("IMP",Commodities!C75,4)</f>
        <v>IMPRFLP14</v>
      </c>
      <c r="D1143" s="147" t="str">
        <f>CONCATENATE("R",RIGHT(C1143,1)," Import of Imported ",VLOOKUP(MID(C1143,4,3),Types!$B$2:$C$13,2,FALSE),", from PADD ",MID(C1143,8,1))</f>
        <v>R4 Import of Imported Low Sulfur Residual Fuel Oil, from PADD 1</v>
      </c>
      <c r="E1143" s="163" t="s">
        <v>196</v>
      </c>
      <c r="F1143" s="163" t="s">
        <v>318</v>
      </c>
    </row>
    <row r="1144" spans="2:6">
      <c r="B1144" s="147" t="str">
        <f t="shared" si="3"/>
        <v>*R4</v>
      </c>
      <c r="C1144" s="147" t="str">
        <f>CONCATENATE("IMP",Commodities!C76,4)</f>
        <v>IMPASPP14</v>
      </c>
      <c r="D1144" s="147" t="s">
        <v>1076</v>
      </c>
      <c r="E1144" s="163" t="s">
        <v>196</v>
      </c>
      <c r="F1144" s="163" t="s">
        <v>318</v>
      </c>
    </row>
    <row r="1145" spans="2:6">
      <c r="B1145" s="147" t="str">
        <f t="shared" ref="B1145:B1157" si="4">IF(LEFT(B988,1)="*","*R5","R5")</f>
        <v>*R5</v>
      </c>
      <c r="C1145" s="147" t="str">
        <f>CONCATENATE("IMP",Commodities!C64,5)</f>
        <v>IMPDSHP15</v>
      </c>
      <c r="D1145" s="147" t="str">
        <f>CONCATENATE("R",RIGHT(C1145,1)," Import of Imported ",VLOOKUP(MID(C1145,4,3),Types!$B$2:$C$13,2,FALSE),", from PADD ",MID(C1145,8,1))</f>
        <v>R5 Import of Imported Distillate-Heating Oil No. 2, from PADD 1</v>
      </c>
      <c r="E1145" s="163" t="s">
        <v>196</v>
      </c>
      <c r="F1145" s="163" t="s">
        <v>318</v>
      </c>
    </row>
    <row r="1146" spans="2:6">
      <c r="B1146" s="147" t="str">
        <f t="shared" si="4"/>
        <v>*R5</v>
      </c>
      <c r="C1146" s="147" t="str">
        <f>CONCATENATE("IMP",Commodities!C65,5)</f>
        <v>IMPDSLP15</v>
      </c>
      <c r="D1146" s="147" t="str">
        <f>CONCATENATE("R",RIGHT(C1146,1)," Import of Imported ",VLOOKUP(MID(C1146,4,3),Types!$B$2:$C$13,2,FALSE),", from PADD ",MID(C1146,8,1))</f>
        <v>R5 Import of Imported Distillate-Low Sulfur Highway Diesel (500 ppm), from PADD 1</v>
      </c>
      <c r="E1146" s="163" t="s">
        <v>196</v>
      </c>
      <c r="F1146" s="163" t="s">
        <v>318</v>
      </c>
    </row>
    <row r="1147" spans="2:6">
      <c r="B1147" s="147" t="str">
        <f t="shared" si="4"/>
        <v>*R5</v>
      </c>
      <c r="C1147" s="147" t="str">
        <f>CONCATENATE("IMP",Commodities!C66,5)</f>
        <v>IMPDSUP15</v>
      </c>
      <c r="D1147" s="147" t="str">
        <f>CONCATENATE("R",RIGHT(C1147,1)," Import of Imported ",VLOOKUP(MID(C1147,4,3),Types!$B$2:$C$13,2,FALSE),", from PADD ",MID(C1147,8,1))</f>
        <v>R5 Import of Imported Distillate-Ultralow Sulfur Highway Diesel (15 ppm), from PADD 1</v>
      </c>
      <c r="E1147" s="163" t="s">
        <v>196</v>
      </c>
      <c r="F1147" s="163" t="s">
        <v>318</v>
      </c>
    </row>
    <row r="1148" spans="2:6">
      <c r="B1148" s="147" t="str">
        <f t="shared" si="4"/>
        <v>*R5</v>
      </c>
      <c r="C1148" s="147" t="str">
        <f>CONCATENATE("IMP",Commodities!C67,5)</f>
        <v>IMPGSCP15</v>
      </c>
      <c r="D1148" s="147" t="str">
        <f>CONCATENATE("R",RIGHT(C1148,1)," Import of Imported ",VLOOKUP(MID(C1148,4,3),Types!$B$2:$C$13,2,FALSE),", from PADD ",MID(C1148,8,1))</f>
        <v>R5 Import of Imported Conventional Gasoline, from PADD 1</v>
      </c>
      <c r="E1148" s="163" t="s">
        <v>196</v>
      </c>
      <c r="F1148" s="163" t="s">
        <v>318</v>
      </c>
    </row>
    <row r="1149" spans="2:6">
      <c r="B1149" s="147" t="str">
        <f t="shared" si="4"/>
        <v>*R5</v>
      </c>
      <c r="C1149" s="147" t="str">
        <f>CONCATENATE("IMP",Commodities!C68,5)</f>
        <v>IMPGSRP15</v>
      </c>
      <c r="D1149" s="147" t="str">
        <f>CONCATENATE("R",RIGHT(C1149,1)," Import of Imported ",VLOOKUP(MID(C1149,4,3),Types!$B$2:$C$13,2,FALSE),", from PADD ",MID(C1149,8,1))</f>
        <v>R5 Import of Imported Reformulated Gasoline, from PADD 1</v>
      </c>
      <c r="E1149" s="163" t="s">
        <v>196</v>
      </c>
      <c r="F1149" s="163" t="s">
        <v>318</v>
      </c>
    </row>
    <row r="1150" spans="2:6">
      <c r="B1150" s="147" t="str">
        <f t="shared" si="4"/>
        <v>*R5</v>
      </c>
      <c r="C1150" s="147" t="str">
        <f>CONCATENATE("IMP",Commodities!C69,5)</f>
        <v>IMPJTFP15</v>
      </c>
      <c r="D1150" s="147" t="str">
        <f>CONCATENATE("R",RIGHT(C1150,1)," Import of Imported ",VLOOKUP(MID(C1150,4,3),Types!$B$2:$C$13,2,FALSE),", from PADD ",MID(C1150,8,1))</f>
        <v>R5 Import of Imported Jet Fuel, from PADD 1</v>
      </c>
      <c r="E1150" s="163" t="s">
        <v>196</v>
      </c>
      <c r="F1150" s="163" t="s">
        <v>318</v>
      </c>
    </row>
    <row r="1151" spans="2:6">
      <c r="B1151" s="147" t="str">
        <f t="shared" si="4"/>
        <v>*R5</v>
      </c>
      <c r="C1151" s="147" t="str">
        <f>CONCATENATE("IMP",Commodities!C70,5)</f>
        <v>IMPKERP15</v>
      </c>
      <c r="D1151" s="147" t="str">
        <f>CONCATENATE("R",RIGHT(C1151,1)," Import of Imported ",VLOOKUP(MID(C1151,4,3),Types!$B$2:$C$13,2,FALSE),", from PADD ",MID(C1151,8,1))</f>
        <v>R5 Import of Imported Kerosene and Other Refined Products, from PADD 1</v>
      </c>
      <c r="E1151" s="163" t="s">
        <v>196</v>
      </c>
      <c r="F1151" s="163" t="s">
        <v>318</v>
      </c>
    </row>
    <row r="1152" spans="2:6">
      <c r="B1152" s="147" t="str">
        <f t="shared" si="4"/>
        <v>*R5</v>
      </c>
      <c r="C1152" s="147" t="str">
        <f>CONCATENATE("IMP",Commodities!C71,5)</f>
        <v>IMPLPGP15</v>
      </c>
      <c r="D1152" s="147" t="str">
        <f>CONCATENATE("R",RIGHT(C1152,1)," Import of Imported ",VLOOKUP(MID(C1152,4,3),Types!$B$2:$C$13,2,FALSE),", from PADD ",MID(C1152,8,1))</f>
        <v>R5 Import of Imported LPG, from PADD 1</v>
      </c>
      <c r="E1152" s="163" t="s">
        <v>196</v>
      </c>
      <c r="F1152" s="163" t="s">
        <v>318</v>
      </c>
    </row>
    <row r="1153" spans="2:6">
      <c r="B1153" s="147" t="str">
        <f t="shared" si="4"/>
        <v>*R5</v>
      </c>
      <c r="C1153" s="147" t="str">
        <f>CONCATENATE("IMP",Commodities!C72,5)</f>
        <v>IMPMTHP15</v>
      </c>
      <c r="D1153" s="147" t="str">
        <f>CONCATENATE("R",RIGHT(C1153,1)," Import of Imported ",VLOOKUP(MID(C1153,4,3),Types!$B$2:$C$13,2,FALSE),", from PADD ",MID(C1153,8,1))</f>
        <v>R5 Import of Imported Methanol, from PADD 1</v>
      </c>
      <c r="E1153" s="163" t="s">
        <v>196</v>
      </c>
      <c r="F1153" s="163" t="s">
        <v>318</v>
      </c>
    </row>
    <row r="1154" spans="2:6">
      <c r="B1154" s="147" t="str">
        <f t="shared" si="4"/>
        <v>*R5</v>
      </c>
      <c r="C1154" s="147" t="str">
        <f>CONCATENATE("IMP",Commodities!C73,5)</f>
        <v>IMPPFSP15</v>
      </c>
      <c r="D1154" s="147" t="str">
        <f>CONCATENATE("R",RIGHT(C1154,1)," Import of Imported ",VLOOKUP(MID(C1154,4,3),Types!$B$2:$C$13,2,FALSE),", from PADD ",MID(C1154,8,1))</f>
        <v>R5 Import of Imported Petrochemical Feedstocks, from PADD 1</v>
      </c>
      <c r="E1154" s="163" t="s">
        <v>196</v>
      </c>
      <c r="F1154" s="163" t="s">
        <v>318</v>
      </c>
    </row>
    <row r="1155" spans="2:6">
      <c r="B1155" s="147" t="str">
        <f t="shared" si="4"/>
        <v>*R5</v>
      </c>
      <c r="C1155" s="147" t="str">
        <f>CONCATENATE("IMP",Commodities!C74,5)</f>
        <v>IMPRFHP15</v>
      </c>
      <c r="D1155" s="147" t="str">
        <f>CONCATENATE("R",RIGHT(C1155,1)," Import of Imported ",VLOOKUP(MID(C1155,4,3),Types!$B$2:$C$13,2,FALSE),", from PADD ",MID(C1155,8,1))</f>
        <v>R5 Import of Imported High Sulfur Residual Fuel Oil, from PADD 1</v>
      </c>
      <c r="E1155" s="163" t="s">
        <v>196</v>
      </c>
      <c r="F1155" s="163" t="s">
        <v>318</v>
      </c>
    </row>
    <row r="1156" spans="2:6">
      <c r="B1156" s="147" t="str">
        <f t="shared" si="4"/>
        <v>*R5</v>
      </c>
      <c r="C1156" s="147" t="str">
        <f>CONCATENATE("IMP",Commodities!C75,5)</f>
        <v>IMPRFLP15</v>
      </c>
      <c r="D1156" s="147" t="str">
        <f>CONCATENATE("R",RIGHT(C1156,1)," Import of Imported ",VLOOKUP(MID(C1156,4,3),Types!$B$2:$C$13,2,FALSE),", from PADD ",MID(C1156,8,1))</f>
        <v>R5 Import of Imported Low Sulfur Residual Fuel Oil, from PADD 1</v>
      </c>
      <c r="E1156" s="163" t="s">
        <v>196</v>
      </c>
      <c r="F1156" s="163" t="s">
        <v>318</v>
      </c>
    </row>
    <row r="1157" spans="2:6">
      <c r="B1157" s="147" t="str">
        <f t="shared" si="4"/>
        <v>*R5</v>
      </c>
      <c r="C1157" s="147" t="s">
        <v>375</v>
      </c>
      <c r="D1157" s="147" t="s">
        <v>376</v>
      </c>
      <c r="E1157" s="163" t="s">
        <v>196</v>
      </c>
      <c r="F1157" s="163" t="s">
        <v>318</v>
      </c>
    </row>
    <row r="1158" spans="2:6">
      <c r="B1158" s="147" t="str">
        <f t="shared" ref="B1158:B1170" si="5">IF(LEFT(B1001,1)="*","*R6","R6")</f>
        <v>*R6</v>
      </c>
      <c r="C1158" s="147" t="str">
        <f>CONCATENATE("IMP",Commodities!C64,6)</f>
        <v>IMPDSHP16</v>
      </c>
      <c r="D1158" s="147" t="str">
        <f>CONCATENATE("R",RIGHT(C1158,1)," Import of Imported ",VLOOKUP(MID(C1158,4,3),Types!$B$2:$C$13,2,FALSE),", from PADD ",MID(C1158,8,1))</f>
        <v>R6 Import of Imported Distillate-Heating Oil No. 2, from PADD 1</v>
      </c>
      <c r="E1158" s="163" t="s">
        <v>196</v>
      </c>
      <c r="F1158" s="163" t="s">
        <v>318</v>
      </c>
    </row>
    <row r="1159" spans="2:6">
      <c r="B1159" s="147" t="str">
        <f t="shared" si="5"/>
        <v>*R6</v>
      </c>
      <c r="C1159" s="147" t="str">
        <f>CONCATENATE("IMP",Commodities!C65,6)</f>
        <v>IMPDSLP16</v>
      </c>
      <c r="D1159" s="147" t="str">
        <f>CONCATENATE("R",RIGHT(C1159,1)," Import of Imported ",VLOOKUP(MID(C1159,4,3),Types!$B$2:$C$13,2,FALSE),", from PADD ",MID(C1159,8,1))</f>
        <v>R6 Import of Imported Distillate-Low Sulfur Highway Diesel (500 ppm), from PADD 1</v>
      </c>
      <c r="E1159" s="163" t="s">
        <v>196</v>
      </c>
      <c r="F1159" s="163" t="s">
        <v>318</v>
      </c>
    </row>
    <row r="1160" spans="2:6">
      <c r="B1160" s="147" t="str">
        <f t="shared" si="5"/>
        <v>*R6</v>
      </c>
      <c r="C1160" s="147" t="str">
        <f>CONCATENATE("IMP",Commodities!C66,6)</f>
        <v>IMPDSUP16</v>
      </c>
      <c r="D1160" s="147" t="str">
        <f>CONCATENATE("R",RIGHT(C1160,1)," Import of Imported ",VLOOKUP(MID(C1160,4,3),Types!$B$2:$C$13,2,FALSE),", from PADD ",MID(C1160,8,1))</f>
        <v>R6 Import of Imported Distillate-Ultralow Sulfur Highway Diesel (15 ppm), from PADD 1</v>
      </c>
      <c r="E1160" s="163" t="s">
        <v>196</v>
      </c>
      <c r="F1160" s="163" t="s">
        <v>318</v>
      </c>
    </row>
    <row r="1161" spans="2:6">
      <c r="B1161" s="147" t="str">
        <f t="shared" si="5"/>
        <v>*R6</v>
      </c>
      <c r="C1161" s="147" t="str">
        <f>CONCATENATE("IMP",Commodities!C67,6)</f>
        <v>IMPGSCP16</v>
      </c>
      <c r="D1161" s="147" t="str">
        <f>CONCATENATE("R",RIGHT(C1161,1)," Import of Imported ",VLOOKUP(MID(C1161,4,3),Types!$B$2:$C$13,2,FALSE),", from PADD ",MID(C1161,8,1))</f>
        <v>R6 Import of Imported Conventional Gasoline, from PADD 1</v>
      </c>
      <c r="E1161" s="163" t="s">
        <v>196</v>
      </c>
      <c r="F1161" s="163" t="s">
        <v>318</v>
      </c>
    </row>
    <row r="1162" spans="2:6">
      <c r="B1162" s="147" t="str">
        <f t="shared" si="5"/>
        <v>*R6</v>
      </c>
      <c r="C1162" s="147" t="str">
        <f>CONCATENATE("IMP",Commodities!C68,6)</f>
        <v>IMPGSRP16</v>
      </c>
      <c r="D1162" s="147" t="str">
        <f>CONCATENATE("R",RIGHT(C1162,1)," Import of Imported ",VLOOKUP(MID(C1162,4,3),Types!$B$2:$C$13,2,FALSE),", from PADD ",MID(C1162,8,1))</f>
        <v>R6 Import of Imported Reformulated Gasoline, from PADD 1</v>
      </c>
      <c r="E1162" s="163" t="s">
        <v>196</v>
      </c>
      <c r="F1162" s="163" t="s">
        <v>318</v>
      </c>
    </row>
    <row r="1163" spans="2:6">
      <c r="B1163" s="147" t="str">
        <f t="shared" si="5"/>
        <v>*R6</v>
      </c>
      <c r="C1163" s="147" t="str">
        <f>CONCATENATE("IMP",Commodities!C69,6)</f>
        <v>IMPJTFP16</v>
      </c>
      <c r="D1163" s="147" t="str">
        <f>CONCATENATE("R",RIGHT(C1163,1)," Import of Imported ",VLOOKUP(MID(C1163,4,3),Types!$B$2:$C$13,2,FALSE),", from PADD ",MID(C1163,8,1))</f>
        <v>R6 Import of Imported Jet Fuel, from PADD 1</v>
      </c>
      <c r="E1163" s="163" t="s">
        <v>196</v>
      </c>
      <c r="F1163" s="163" t="s">
        <v>318</v>
      </c>
    </row>
    <row r="1164" spans="2:6">
      <c r="B1164" s="147" t="str">
        <f t="shared" si="5"/>
        <v>*R6</v>
      </c>
      <c r="C1164" s="147" t="str">
        <f>CONCATENATE("IMP",Commodities!C70,6)</f>
        <v>IMPKERP16</v>
      </c>
      <c r="D1164" s="147" t="str">
        <f>CONCATENATE("R",RIGHT(C1164,1)," Import of Imported ",VLOOKUP(MID(C1164,4,3),Types!$B$2:$C$13,2,FALSE),", from PADD ",MID(C1164,8,1))</f>
        <v>R6 Import of Imported Kerosene and Other Refined Products, from PADD 1</v>
      </c>
      <c r="E1164" s="163" t="s">
        <v>196</v>
      </c>
      <c r="F1164" s="163" t="s">
        <v>318</v>
      </c>
    </row>
    <row r="1165" spans="2:6">
      <c r="B1165" s="147" t="str">
        <f t="shared" si="5"/>
        <v>*R6</v>
      </c>
      <c r="C1165" s="147" t="str">
        <f>CONCATENATE("IMP",Commodities!C71,6)</f>
        <v>IMPLPGP16</v>
      </c>
      <c r="D1165" s="147" t="str">
        <f>CONCATENATE("R",RIGHT(C1165,1)," Import of Imported ",VLOOKUP(MID(C1165,4,3),Types!$B$2:$C$13,2,FALSE),", from PADD ",MID(C1165,8,1))</f>
        <v>R6 Import of Imported LPG, from PADD 1</v>
      </c>
      <c r="E1165" s="163" t="s">
        <v>196</v>
      </c>
      <c r="F1165" s="163" t="s">
        <v>318</v>
      </c>
    </row>
    <row r="1166" spans="2:6">
      <c r="B1166" s="147" t="str">
        <f t="shared" si="5"/>
        <v>*R6</v>
      </c>
      <c r="C1166" s="147" t="str">
        <f>CONCATENATE("IMP",Commodities!C72,6)</f>
        <v>IMPMTHP16</v>
      </c>
      <c r="D1166" s="147" t="str">
        <f>CONCATENATE("R",RIGHT(C1166,1)," Import of Imported ",VLOOKUP(MID(C1166,4,3),Types!$B$2:$C$13,2,FALSE),", from PADD ",MID(C1166,8,1))</f>
        <v>R6 Import of Imported Methanol, from PADD 1</v>
      </c>
      <c r="E1166" s="163" t="s">
        <v>196</v>
      </c>
      <c r="F1166" s="163" t="s">
        <v>318</v>
      </c>
    </row>
    <row r="1167" spans="2:6">
      <c r="B1167" s="147" t="str">
        <f t="shared" si="5"/>
        <v>*R6</v>
      </c>
      <c r="C1167" s="147" t="str">
        <f>CONCATENATE("IMP",Commodities!C73,6)</f>
        <v>IMPPFSP16</v>
      </c>
      <c r="D1167" s="147" t="str">
        <f>CONCATENATE("R",RIGHT(C1167,1)," Import of Imported ",VLOOKUP(MID(C1167,4,3),Types!$B$2:$C$13,2,FALSE),", from PADD ",MID(C1167,8,1))</f>
        <v>R6 Import of Imported Petrochemical Feedstocks, from PADD 1</v>
      </c>
      <c r="E1167" s="163" t="s">
        <v>196</v>
      </c>
      <c r="F1167" s="163" t="s">
        <v>318</v>
      </c>
    </row>
    <row r="1168" spans="2:6">
      <c r="B1168" s="147" t="str">
        <f t="shared" si="5"/>
        <v>*R6</v>
      </c>
      <c r="C1168" s="147" t="str">
        <f>CONCATENATE("IMP",Commodities!C74,6)</f>
        <v>IMPRFHP16</v>
      </c>
      <c r="D1168" s="147" t="str">
        <f>CONCATENATE("R",RIGHT(C1168,1)," Import of Imported ",VLOOKUP(MID(C1168,4,3),Types!$B$2:$C$13,2,FALSE),", from PADD ",MID(C1168,8,1))</f>
        <v>R6 Import of Imported High Sulfur Residual Fuel Oil, from PADD 1</v>
      </c>
      <c r="E1168" s="163" t="s">
        <v>196</v>
      </c>
      <c r="F1168" s="163" t="s">
        <v>318</v>
      </c>
    </row>
    <row r="1169" spans="2:6">
      <c r="B1169" s="147" t="str">
        <f t="shared" si="5"/>
        <v>*R6</v>
      </c>
      <c r="C1169" s="147" t="str">
        <f>CONCATENATE("IMP",Commodities!C75,6)</f>
        <v>IMPRFLP16</v>
      </c>
      <c r="D1169" s="147" t="str">
        <f>CONCATENATE("R",RIGHT(C1169,1)," Import of Imported ",VLOOKUP(MID(C1169,4,3),Types!$B$2:$C$13,2,FALSE),", from PADD ",MID(C1169,8,1))</f>
        <v>R6 Import of Imported Low Sulfur Residual Fuel Oil, from PADD 1</v>
      </c>
      <c r="E1169" s="163" t="s">
        <v>196</v>
      </c>
      <c r="F1169" s="163" t="s">
        <v>318</v>
      </c>
    </row>
    <row r="1170" spans="2:6">
      <c r="B1170" s="147" t="str">
        <f t="shared" si="5"/>
        <v>*R6</v>
      </c>
      <c r="C1170" s="147" t="s">
        <v>1077</v>
      </c>
      <c r="D1170" s="147" t="s">
        <v>1078</v>
      </c>
      <c r="E1170" s="163" t="s">
        <v>196</v>
      </c>
      <c r="F1170" s="163" t="s">
        <v>318</v>
      </c>
    </row>
    <row r="1171" spans="2:6">
      <c r="B1171" s="147" t="str">
        <f t="shared" ref="B1171:B1183" si="6">IF(LEFT(B1014,1)="*","*R1","R1")</f>
        <v>*R1</v>
      </c>
      <c r="C1171" s="147" t="str">
        <f>CONCATENATE("IMP",Commodities!C77,1)</f>
        <v>IMPDSHP21</v>
      </c>
      <c r="D1171" s="147" t="str">
        <f>CONCATENATE("R",RIGHT(C1171,1)," Import of Imported ",VLOOKUP(MID(C1171,4,3),Types!$B$2:$C$13,2,FALSE),", from PADD ",MID(C1171,8,1))</f>
        <v>R1 Import of Imported Distillate-Heating Oil No. 2, from PADD 2</v>
      </c>
      <c r="E1171" s="163" t="s">
        <v>196</v>
      </c>
      <c r="F1171" s="163" t="s">
        <v>318</v>
      </c>
    </row>
    <row r="1172" spans="2:6">
      <c r="B1172" s="147" t="str">
        <f t="shared" si="6"/>
        <v>*R1</v>
      </c>
      <c r="C1172" s="147" t="str">
        <f>CONCATENATE("IMP",Commodities!C78,1)</f>
        <v>IMPDSLP21</v>
      </c>
      <c r="D1172" s="147" t="str">
        <f>CONCATENATE("R",RIGHT(C1172,1)," Import of Imported ",VLOOKUP(MID(C1172,4,3),Types!$B$2:$C$13,2,FALSE),", from PADD ",MID(C1172,8,1))</f>
        <v>R1 Import of Imported Distillate-Low Sulfur Highway Diesel (500 ppm), from PADD 2</v>
      </c>
      <c r="E1172" s="163" t="s">
        <v>196</v>
      </c>
      <c r="F1172" s="163" t="s">
        <v>318</v>
      </c>
    </row>
    <row r="1173" spans="2:6">
      <c r="B1173" s="147" t="str">
        <f t="shared" si="6"/>
        <v>*R1</v>
      </c>
      <c r="C1173" s="147" t="str">
        <f>CONCATENATE("IMP",Commodities!C79,1)</f>
        <v>IMPDSUP21</v>
      </c>
      <c r="D1173" s="147" t="str">
        <f>CONCATENATE("R",RIGHT(C1173,1)," Import of Imported ",VLOOKUP(MID(C1173,4,3),Types!$B$2:$C$13,2,FALSE),", from PADD ",MID(C1173,8,1))</f>
        <v>R1 Import of Imported Distillate-Ultralow Sulfur Highway Diesel (15 ppm), from PADD 2</v>
      </c>
      <c r="E1173" s="163" t="s">
        <v>196</v>
      </c>
      <c r="F1173" s="163" t="s">
        <v>318</v>
      </c>
    </row>
    <row r="1174" spans="2:6">
      <c r="B1174" s="147" t="str">
        <f t="shared" si="6"/>
        <v>*R1</v>
      </c>
      <c r="C1174" s="147" t="str">
        <f>CONCATENATE("IMP",Commodities!C80,1)</f>
        <v>IMPGSCP21</v>
      </c>
      <c r="D1174" s="147" t="str">
        <f>CONCATENATE("R",RIGHT(C1174,1)," Import of Imported ",VLOOKUP(MID(C1174,4,3),Types!$B$2:$C$13,2,FALSE),", from PADD ",MID(C1174,8,1))</f>
        <v>R1 Import of Imported Conventional Gasoline, from PADD 2</v>
      </c>
      <c r="E1174" s="163" t="s">
        <v>196</v>
      </c>
      <c r="F1174" s="163" t="s">
        <v>318</v>
      </c>
    </row>
    <row r="1175" spans="2:6">
      <c r="B1175" s="147" t="str">
        <f t="shared" si="6"/>
        <v>*R1</v>
      </c>
      <c r="C1175" s="147" t="str">
        <f>CONCATENATE("IMP",Commodities!C81,1)</f>
        <v>IMPGSRP21</v>
      </c>
      <c r="D1175" s="147" t="str">
        <f>CONCATENATE("R",RIGHT(C1175,1)," Import of Imported ",VLOOKUP(MID(C1175,4,3),Types!$B$2:$C$13,2,FALSE),", from PADD ",MID(C1175,8,1))</f>
        <v>R1 Import of Imported Reformulated Gasoline, from PADD 2</v>
      </c>
      <c r="E1175" s="163" t="s">
        <v>196</v>
      </c>
      <c r="F1175" s="163" t="s">
        <v>318</v>
      </c>
    </row>
    <row r="1176" spans="2:6">
      <c r="B1176" s="147" t="str">
        <f t="shared" si="6"/>
        <v>*R1</v>
      </c>
      <c r="C1176" s="147" t="str">
        <f>CONCATENATE("IMP",Commodities!C82,1)</f>
        <v>IMPJTFP21</v>
      </c>
      <c r="D1176" s="147" t="str">
        <f>CONCATENATE("R",RIGHT(C1176,1)," Import of Imported ",VLOOKUP(MID(C1176,4,3),Types!$B$2:$C$13,2,FALSE),", from PADD ",MID(C1176,8,1))</f>
        <v>R1 Import of Imported Jet Fuel, from PADD 2</v>
      </c>
      <c r="E1176" s="163" t="s">
        <v>196</v>
      </c>
      <c r="F1176" s="163" t="s">
        <v>318</v>
      </c>
    </row>
    <row r="1177" spans="2:6">
      <c r="B1177" s="147" t="str">
        <f t="shared" si="6"/>
        <v>*R1</v>
      </c>
      <c r="C1177" s="147" t="str">
        <f>CONCATENATE("IMP",Commodities!C83,1)</f>
        <v>IMPKERP21</v>
      </c>
      <c r="D1177" s="147" t="str">
        <f>CONCATENATE("R",RIGHT(C1177,1)," Import of Imported ",VLOOKUP(MID(C1177,4,3),Types!$B$2:$C$13,2,FALSE),", from PADD ",MID(C1177,8,1))</f>
        <v>R1 Import of Imported Kerosene and Other Refined Products, from PADD 2</v>
      </c>
      <c r="E1177" s="163" t="s">
        <v>196</v>
      </c>
      <c r="F1177" s="163" t="s">
        <v>318</v>
      </c>
    </row>
    <row r="1178" spans="2:6">
      <c r="B1178" s="147" t="str">
        <f t="shared" si="6"/>
        <v>*R1</v>
      </c>
      <c r="C1178" s="147" t="str">
        <f>CONCATENATE("IMP",Commodities!C84,1)</f>
        <v>IMPLPGP21</v>
      </c>
      <c r="D1178" s="147" t="str">
        <f>CONCATENATE("R",RIGHT(C1178,1)," Import of Imported ",VLOOKUP(MID(C1178,4,3),Types!$B$2:$C$13,2,FALSE),", from PADD ",MID(C1178,8,1))</f>
        <v>R1 Import of Imported LPG, from PADD 2</v>
      </c>
      <c r="E1178" s="163" t="s">
        <v>196</v>
      </c>
      <c r="F1178" s="163" t="s">
        <v>318</v>
      </c>
    </row>
    <row r="1179" spans="2:6">
      <c r="B1179" s="147" t="str">
        <f t="shared" si="6"/>
        <v>*R1</v>
      </c>
      <c r="C1179" s="147" t="str">
        <f>CONCATENATE("IMP",Commodities!C85,1)</f>
        <v>IMPMTHP21</v>
      </c>
      <c r="D1179" s="147" t="str">
        <f>CONCATENATE("R",RIGHT(C1179,1)," Import of Imported ",VLOOKUP(MID(C1179,4,3),Types!$B$2:$C$13,2,FALSE),", from PADD ",MID(C1179,8,1))</f>
        <v>R1 Import of Imported Methanol, from PADD 2</v>
      </c>
      <c r="E1179" s="163" t="s">
        <v>196</v>
      </c>
      <c r="F1179" s="163" t="s">
        <v>318</v>
      </c>
    </row>
    <row r="1180" spans="2:6">
      <c r="B1180" s="147" t="str">
        <f t="shared" si="6"/>
        <v>*R1</v>
      </c>
      <c r="C1180" s="147" t="str">
        <f>CONCATENATE("IMP",Commodities!C86,1)</f>
        <v>IMPPFSP21</v>
      </c>
      <c r="D1180" s="147" t="str">
        <f>CONCATENATE("R",RIGHT(C1180,1)," Import of Imported ",VLOOKUP(MID(C1180,4,3),Types!$B$2:$C$13,2,FALSE),", from PADD ",MID(C1180,8,1))</f>
        <v>R1 Import of Imported Petrochemical Feedstocks, from PADD 2</v>
      </c>
      <c r="E1180" s="163" t="s">
        <v>196</v>
      </c>
      <c r="F1180" s="163" t="s">
        <v>318</v>
      </c>
    </row>
    <row r="1181" spans="2:6">
      <c r="B1181" s="147" t="str">
        <f t="shared" si="6"/>
        <v>*R1</v>
      </c>
      <c r="C1181" s="147" t="str">
        <f>CONCATENATE("IMP",Commodities!C87,1)</f>
        <v>IMPRFHP21</v>
      </c>
      <c r="D1181" s="147" t="str">
        <f>CONCATENATE("R",RIGHT(C1181,1)," Import of Imported ",VLOOKUP(MID(C1181,4,3),Types!$B$2:$C$13,2,FALSE),", from PADD ",MID(C1181,8,1))</f>
        <v>R1 Import of Imported High Sulfur Residual Fuel Oil, from PADD 2</v>
      </c>
      <c r="E1181" s="163" t="s">
        <v>196</v>
      </c>
      <c r="F1181" s="163" t="s">
        <v>318</v>
      </c>
    </row>
    <row r="1182" spans="2:6">
      <c r="B1182" s="147" t="str">
        <f t="shared" si="6"/>
        <v>*R1</v>
      </c>
      <c r="C1182" s="147" t="str">
        <f>CONCATENATE("IMP",Commodities!C88,1)</f>
        <v>IMPRFLP21</v>
      </c>
      <c r="D1182" s="147" t="str">
        <f>CONCATENATE("R",RIGHT(C1182,1)," Import of Imported ",VLOOKUP(MID(C1182,4,3),Types!$B$2:$C$13,2,FALSE),", from PADD ",MID(C1182,8,1))</f>
        <v>R1 Import of Imported Low Sulfur Residual Fuel Oil, from PADD 2</v>
      </c>
      <c r="E1182" s="163" t="s">
        <v>196</v>
      </c>
      <c r="F1182" s="163" t="s">
        <v>318</v>
      </c>
    </row>
    <row r="1183" spans="2:6">
      <c r="B1183" s="147" t="str">
        <f t="shared" si="6"/>
        <v>*R1</v>
      </c>
      <c r="C1183" s="147" t="s">
        <v>1087</v>
      </c>
      <c r="D1183" s="147" t="s">
        <v>1088</v>
      </c>
      <c r="E1183" s="163" t="s">
        <v>196</v>
      </c>
      <c r="F1183" s="163" t="s">
        <v>318</v>
      </c>
    </row>
    <row r="1184" spans="2:6">
      <c r="B1184" s="147" t="str">
        <f t="shared" ref="B1184:B1209" si="7">CONCATENATE("*",LEFT(D1184,2))</f>
        <v>*R4</v>
      </c>
      <c r="C1184" s="147" t="str">
        <f>CONCATENATE("IMP",Commodities!C77,4)</f>
        <v>IMPDSHP24</v>
      </c>
      <c r="D1184" s="147" t="str">
        <f>CONCATENATE("R",RIGHT(C1184,1)," Import of Imported ",VLOOKUP(MID(C1184,4,3),Types!$B$2:$C$13,2,FALSE),", from PADD ",MID(C1184,8,1))</f>
        <v>R4 Import of Imported Distillate-Heating Oil No. 2, from PADD 2</v>
      </c>
      <c r="E1184" s="163" t="s">
        <v>196</v>
      </c>
      <c r="F1184" s="163" t="s">
        <v>318</v>
      </c>
    </row>
    <row r="1185" spans="2:6">
      <c r="B1185" s="147" t="str">
        <f t="shared" si="7"/>
        <v>*R4</v>
      </c>
      <c r="C1185" s="147" t="str">
        <f>CONCATENATE("IMP",Commodities!C78,4)</f>
        <v>IMPDSLP24</v>
      </c>
      <c r="D1185" s="147" t="str">
        <f>CONCATENATE("R",RIGHT(C1185,1)," Import of Imported ",VLOOKUP(MID(C1185,4,3),Types!$B$2:$C$13,2,FALSE),", from PADD ",MID(C1185,8,1))</f>
        <v>R4 Import of Imported Distillate-Low Sulfur Highway Diesel (500 ppm), from PADD 2</v>
      </c>
      <c r="E1185" s="163" t="s">
        <v>196</v>
      </c>
      <c r="F1185" s="163" t="s">
        <v>318</v>
      </c>
    </row>
    <row r="1186" spans="2:6">
      <c r="B1186" s="147" t="str">
        <f t="shared" si="7"/>
        <v>*R4</v>
      </c>
      <c r="C1186" s="147" t="str">
        <f>CONCATENATE("IMP",Commodities!C79,4)</f>
        <v>IMPDSUP24</v>
      </c>
      <c r="D1186" s="147" t="str">
        <f>CONCATENATE("R",RIGHT(C1186,1)," Import of Imported ",VLOOKUP(MID(C1186,4,3),Types!$B$2:$C$13,2,FALSE),", from PADD ",MID(C1186,8,1))</f>
        <v>R4 Import of Imported Distillate-Ultralow Sulfur Highway Diesel (15 ppm), from PADD 2</v>
      </c>
      <c r="E1186" s="163" t="s">
        <v>196</v>
      </c>
      <c r="F1186" s="163" t="s">
        <v>318</v>
      </c>
    </row>
    <row r="1187" spans="2:6">
      <c r="B1187" s="147" t="str">
        <f t="shared" si="7"/>
        <v>*R4</v>
      </c>
      <c r="C1187" s="147" t="str">
        <f>CONCATENATE("IMP",Commodities!C80,4)</f>
        <v>IMPGSCP24</v>
      </c>
      <c r="D1187" s="147" t="str">
        <f>CONCATENATE("R",RIGHT(C1187,1)," Import of Imported ",VLOOKUP(MID(C1187,4,3),Types!$B$2:$C$13,2,FALSE),", from PADD ",MID(C1187,8,1))</f>
        <v>R4 Import of Imported Conventional Gasoline, from PADD 2</v>
      </c>
      <c r="E1187" s="163" t="s">
        <v>196</v>
      </c>
      <c r="F1187" s="163" t="s">
        <v>318</v>
      </c>
    </row>
    <row r="1188" spans="2:6">
      <c r="B1188" s="147" t="str">
        <f t="shared" si="7"/>
        <v>*R4</v>
      </c>
      <c r="C1188" s="147" t="str">
        <f>CONCATENATE("IMP",Commodities!C81,4)</f>
        <v>IMPGSRP24</v>
      </c>
      <c r="D1188" s="147" t="str">
        <f>CONCATENATE("R",RIGHT(C1188,1)," Import of Imported ",VLOOKUP(MID(C1188,4,3),Types!$B$2:$C$13,2,FALSE),", from PADD ",MID(C1188,8,1))</f>
        <v>R4 Import of Imported Reformulated Gasoline, from PADD 2</v>
      </c>
      <c r="E1188" s="163" t="s">
        <v>196</v>
      </c>
      <c r="F1188" s="163" t="s">
        <v>318</v>
      </c>
    </row>
    <row r="1189" spans="2:6">
      <c r="B1189" s="147" t="str">
        <f t="shared" si="7"/>
        <v>*R4</v>
      </c>
      <c r="C1189" s="147" t="str">
        <f>CONCATENATE("IMP",Commodities!C82,4)</f>
        <v>IMPJTFP24</v>
      </c>
      <c r="D1189" s="147" t="str">
        <f>CONCATENATE("R",RIGHT(C1189,1)," Import of Imported ",VLOOKUP(MID(C1189,4,3),Types!$B$2:$C$13,2,FALSE),", from PADD ",MID(C1189,8,1))</f>
        <v>R4 Import of Imported Jet Fuel, from PADD 2</v>
      </c>
      <c r="E1189" s="163" t="s">
        <v>196</v>
      </c>
      <c r="F1189" s="163" t="s">
        <v>318</v>
      </c>
    </row>
    <row r="1190" spans="2:6">
      <c r="B1190" s="147" t="str">
        <f t="shared" si="7"/>
        <v>*R4</v>
      </c>
      <c r="C1190" s="147" t="str">
        <f>CONCATENATE("IMP",Commodities!C83,4)</f>
        <v>IMPKERP24</v>
      </c>
      <c r="D1190" s="147" t="str">
        <f>CONCATENATE("R",RIGHT(C1190,1)," Import of Imported ",VLOOKUP(MID(C1190,4,3),Types!$B$2:$C$13,2,FALSE),", from PADD ",MID(C1190,8,1))</f>
        <v>R4 Import of Imported Kerosene and Other Refined Products, from PADD 2</v>
      </c>
      <c r="E1190" s="163" t="s">
        <v>196</v>
      </c>
      <c r="F1190" s="163" t="s">
        <v>318</v>
      </c>
    </row>
    <row r="1191" spans="2:6">
      <c r="B1191" s="147" t="str">
        <f t="shared" si="7"/>
        <v>*R4</v>
      </c>
      <c r="C1191" s="147" t="str">
        <f>CONCATENATE("IMP",Commodities!C84,4)</f>
        <v>IMPLPGP24</v>
      </c>
      <c r="D1191" s="147" t="str">
        <f>CONCATENATE("R",RIGHT(C1191,1)," Import of Imported ",VLOOKUP(MID(C1191,4,3),Types!$B$2:$C$13,2,FALSE),", from PADD ",MID(C1191,8,1))</f>
        <v>R4 Import of Imported LPG, from PADD 2</v>
      </c>
      <c r="E1191" s="163" t="s">
        <v>196</v>
      </c>
      <c r="F1191" s="163" t="s">
        <v>318</v>
      </c>
    </row>
    <row r="1192" spans="2:6">
      <c r="B1192" s="147" t="str">
        <f t="shared" si="7"/>
        <v>*R4</v>
      </c>
      <c r="C1192" s="147" t="str">
        <f>CONCATENATE("IMP",Commodities!C85,4)</f>
        <v>IMPMTHP24</v>
      </c>
      <c r="D1192" s="147" t="str">
        <f>CONCATENATE("R",RIGHT(C1192,1)," Import of Imported ",VLOOKUP(MID(C1192,4,3),Types!$B$2:$C$13,2,FALSE),", from PADD ",MID(C1192,8,1))</f>
        <v>R4 Import of Imported Methanol, from PADD 2</v>
      </c>
      <c r="E1192" s="163" t="s">
        <v>196</v>
      </c>
      <c r="F1192" s="163" t="s">
        <v>318</v>
      </c>
    </row>
    <row r="1193" spans="2:6">
      <c r="B1193" s="147" t="str">
        <f t="shared" si="7"/>
        <v>*R4</v>
      </c>
      <c r="C1193" s="147" t="str">
        <f>CONCATENATE("IMP",Commodities!C86,4)</f>
        <v>IMPPFSP24</v>
      </c>
      <c r="D1193" s="147" t="str">
        <f>CONCATENATE("R",RIGHT(C1193,1)," Import of Imported ",VLOOKUP(MID(C1193,4,3),Types!$B$2:$C$13,2,FALSE),", from PADD ",MID(C1193,8,1))</f>
        <v>R4 Import of Imported Petrochemical Feedstocks, from PADD 2</v>
      </c>
      <c r="E1193" s="163" t="s">
        <v>196</v>
      </c>
      <c r="F1193" s="163" t="s">
        <v>318</v>
      </c>
    </row>
    <row r="1194" spans="2:6">
      <c r="B1194" s="147" t="str">
        <f t="shared" si="7"/>
        <v>*R4</v>
      </c>
      <c r="C1194" s="147" t="str">
        <f>CONCATENATE("IMP",Commodities!C87,4)</f>
        <v>IMPRFHP24</v>
      </c>
      <c r="D1194" s="147" t="str">
        <f>CONCATENATE("R",RIGHT(C1194,1)," Import of Imported ",VLOOKUP(MID(C1194,4,3),Types!$B$2:$C$13,2,FALSE),", from PADD ",MID(C1194,8,1))</f>
        <v>R4 Import of Imported High Sulfur Residual Fuel Oil, from PADD 2</v>
      </c>
      <c r="E1194" s="163" t="s">
        <v>196</v>
      </c>
      <c r="F1194" s="163" t="s">
        <v>318</v>
      </c>
    </row>
    <row r="1195" spans="2:6">
      <c r="B1195" s="147" t="str">
        <f t="shared" si="7"/>
        <v>*R4</v>
      </c>
      <c r="C1195" s="147" t="str">
        <f>CONCATENATE("IMP",Commodities!C88,4)</f>
        <v>IMPRFLP24</v>
      </c>
      <c r="D1195" s="147" t="str">
        <f>CONCATENATE("R",RIGHT(C1195,1)," Import of Imported ",VLOOKUP(MID(C1195,4,3),Types!$B$2:$C$13,2,FALSE),", from PADD ",MID(C1195,8,1))</f>
        <v>R4 Import of Imported Low Sulfur Residual Fuel Oil, from PADD 2</v>
      </c>
      <c r="E1195" s="163" t="s">
        <v>196</v>
      </c>
      <c r="F1195" s="163" t="s">
        <v>318</v>
      </c>
    </row>
    <row r="1196" spans="2:6">
      <c r="B1196" s="147" t="str">
        <f t="shared" si="7"/>
        <v>*R4</v>
      </c>
      <c r="C1196" s="147" t="s">
        <v>377</v>
      </c>
      <c r="D1196" s="147" t="s">
        <v>378</v>
      </c>
      <c r="E1196" s="163" t="s">
        <v>196</v>
      </c>
      <c r="F1196" s="163" t="s">
        <v>318</v>
      </c>
    </row>
    <row r="1197" spans="2:6">
      <c r="B1197" s="147" t="str">
        <f t="shared" si="7"/>
        <v>*R6</v>
      </c>
      <c r="C1197" s="147" t="str">
        <f>CONCATENATE("IMP",Commodities!C90,6)</f>
        <v>IMPDSHP36</v>
      </c>
      <c r="D1197" s="147" t="str">
        <f>CONCATENATE("R",RIGHT(C1197,1)," Import of Imported ",VLOOKUP(MID(C1197,4,3),Types!$B$2:$C$13,2,FALSE),", from PADD ",MID(C1197,8,1))</f>
        <v>R6 Import of Imported Distillate-Heating Oil No. 2, from PADD 3</v>
      </c>
      <c r="E1197" s="163" t="s">
        <v>196</v>
      </c>
      <c r="F1197" s="163" t="s">
        <v>318</v>
      </c>
    </row>
    <row r="1198" spans="2:6">
      <c r="B1198" s="147" t="str">
        <f t="shared" si="7"/>
        <v>*R6</v>
      </c>
      <c r="C1198" s="147" t="str">
        <f>CONCATENATE("IMP",Commodities!C91,6)</f>
        <v>IMPDSLP36</v>
      </c>
      <c r="D1198" s="147" t="str">
        <f>CONCATENATE("R",RIGHT(C1198,1)," Import of Imported ",VLOOKUP(MID(C1198,4,3),Types!$B$2:$C$13,2,FALSE),", from PADD ",MID(C1198,8,1))</f>
        <v>R6 Import of Imported Distillate-Low Sulfur Highway Diesel (500 ppm), from PADD 3</v>
      </c>
      <c r="E1198" s="163" t="s">
        <v>196</v>
      </c>
      <c r="F1198" s="163" t="s">
        <v>318</v>
      </c>
    </row>
    <row r="1199" spans="2:6">
      <c r="B1199" s="147" t="str">
        <f t="shared" si="7"/>
        <v>*R6</v>
      </c>
      <c r="C1199" s="147" t="str">
        <f>CONCATENATE("IMP",Commodities!C92,6)</f>
        <v>IMPDSUP36</v>
      </c>
      <c r="D1199" s="147" t="str">
        <f>CONCATENATE("R",RIGHT(C1199,1)," Import of Imported ",VLOOKUP(MID(C1199,4,3),Types!$B$2:$C$13,2,FALSE),", from PADD ",MID(C1199,8,1))</f>
        <v>R6 Import of Imported Distillate-Ultralow Sulfur Highway Diesel (15 ppm), from PADD 3</v>
      </c>
      <c r="E1199" s="163" t="s">
        <v>196</v>
      </c>
      <c r="F1199" s="163" t="s">
        <v>318</v>
      </c>
    </row>
    <row r="1200" spans="2:6">
      <c r="B1200" s="147" t="str">
        <f t="shared" si="7"/>
        <v>*R6</v>
      </c>
      <c r="C1200" s="147" t="str">
        <f>CONCATENATE("IMP",Commodities!C93,6)</f>
        <v>IMPGSCP36</v>
      </c>
      <c r="D1200" s="147" t="str">
        <f>CONCATENATE("R",RIGHT(C1200,1)," Import of Imported ",VLOOKUP(MID(C1200,4,3),Types!$B$2:$C$13,2,FALSE),", from PADD ",MID(C1200,8,1))</f>
        <v>R6 Import of Imported Conventional Gasoline, from PADD 3</v>
      </c>
      <c r="E1200" s="163" t="s">
        <v>196</v>
      </c>
      <c r="F1200" s="163" t="s">
        <v>318</v>
      </c>
    </row>
    <row r="1201" spans="2:6">
      <c r="B1201" s="147" t="str">
        <f t="shared" si="7"/>
        <v>*R6</v>
      </c>
      <c r="C1201" s="147" t="str">
        <f>CONCATENATE("IMP",Commodities!C94,6)</f>
        <v>IMPGSRP36</v>
      </c>
      <c r="D1201" s="147" t="str">
        <f>CONCATENATE("R",RIGHT(C1201,1)," Import of Imported ",VLOOKUP(MID(C1201,4,3),Types!$B$2:$C$13,2,FALSE),", from PADD ",MID(C1201,8,1))</f>
        <v>R6 Import of Imported Reformulated Gasoline, from PADD 3</v>
      </c>
      <c r="E1201" s="163" t="s">
        <v>196</v>
      </c>
      <c r="F1201" s="163" t="s">
        <v>318</v>
      </c>
    </row>
    <row r="1202" spans="2:6">
      <c r="B1202" s="147" t="str">
        <f t="shared" si="7"/>
        <v>*R6</v>
      </c>
      <c r="C1202" s="147" t="str">
        <f>CONCATENATE("IMP",Commodities!C95,6)</f>
        <v>IMPJTFP36</v>
      </c>
      <c r="D1202" s="147" t="str">
        <f>CONCATENATE("R",RIGHT(C1202,1)," Import of Imported ",VLOOKUP(MID(C1202,4,3),Types!$B$2:$C$13,2,FALSE),", from PADD ",MID(C1202,8,1))</f>
        <v>R6 Import of Imported Jet Fuel, from PADD 3</v>
      </c>
      <c r="E1202" s="163" t="s">
        <v>196</v>
      </c>
      <c r="F1202" s="163" t="s">
        <v>318</v>
      </c>
    </row>
    <row r="1203" spans="2:6">
      <c r="B1203" s="147" t="str">
        <f t="shared" si="7"/>
        <v>*R6</v>
      </c>
      <c r="C1203" s="147" t="str">
        <f>CONCATENATE("IMP",Commodities!C96,6)</f>
        <v>IMPKERP36</v>
      </c>
      <c r="D1203" s="147" t="str">
        <f>CONCATENATE("R",RIGHT(C1203,1)," Import of Imported ",VLOOKUP(MID(C1203,4,3),Types!$B$2:$C$13,2,FALSE),", from PADD ",MID(C1203,8,1))</f>
        <v>R6 Import of Imported Kerosene and Other Refined Products, from PADD 3</v>
      </c>
      <c r="E1203" s="163" t="s">
        <v>196</v>
      </c>
      <c r="F1203" s="163" t="s">
        <v>318</v>
      </c>
    </row>
    <row r="1204" spans="2:6">
      <c r="B1204" s="147" t="str">
        <f t="shared" si="7"/>
        <v>*R6</v>
      </c>
      <c r="C1204" s="147" t="str">
        <f>CONCATENATE("IMP",Commodities!C97,6)</f>
        <v>IMPLPGP36</v>
      </c>
      <c r="D1204" s="147" t="str">
        <f>CONCATENATE("R",RIGHT(C1204,1)," Import of Imported ",VLOOKUP(MID(C1204,4,3),Types!$B$2:$C$13,2,FALSE),", from PADD ",MID(C1204,8,1))</f>
        <v>R6 Import of Imported LPG, from PADD 3</v>
      </c>
      <c r="E1204" s="163" t="s">
        <v>196</v>
      </c>
      <c r="F1204" s="163" t="s">
        <v>318</v>
      </c>
    </row>
    <row r="1205" spans="2:6">
      <c r="B1205" s="147" t="str">
        <f t="shared" si="7"/>
        <v>*R6</v>
      </c>
      <c r="C1205" s="147" t="str">
        <f>CONCATENATE("IMP",Commodities!C98,6)</f>
        <v>IMPMTHP36</v>
      </c>
      <c r="D1205" s="147" t="str">
        <f>CONCATENATE("R",RIGHT(C1205,1)," Import of Imported ",VLOOKUP(MID(C1205,4,3),Types!$B$2:$C$13,2,FALSE),", from PADD ",MID(C1205,8,1))</f>
        <v>R6 Import of Imported Methanol, from PADD 3</v>
      </c>
      <c r="E1205" s="163" t="s">
        <v>196</v>
      </c>
      <c r="F1205" s="163" t="s">
        <v>318</v>
      </c>
    </row>
    <row r="1206" spans="2:6">
      <c r="B1206" s="147" t="str">
        <f t="shared" si="7"/>
        <v>*R6</v>
      </c>
      <c r="C1206" s="147" t="str">
        <f>CONCATENATE("IMP",Commodities!C99,6)</f>
        <v>IMPPFSP36</v>
      </c>
      <c r="D1206" s="147" t="str">
        <f>CONCATENATE("R",RIGHT(C1206,1)," Import of Imported ",VLOOKUP(MID(C1206,4,3),Types!$B$2:$C$13,2,FALSE),", from PADD ",MID(C1206,8,1))</f>
        <v>R6 Import of Imported Petrochemical Feedstocks, from PADD 3</v>
      </c>
      <c r="E1206" s="163" t="s">
        <v>196</v>
      </c>
      <c r="F1206" s="163" t="s">
        <v>318</v>
      </c>
    </row>
    <row r="1207" spans="2:6">
      <c r="B1207" s="147" t="str">
        <f t="shared" si="7"/>
        <v>*R6</v>
      </c>
      <c r="C1207" s="147" t="str">
        <f>CONCATENATE("IMP",Commodities!C100,6)</f>
        <v>IMPRFHP36</v>
      </c>
      <c r="D1207" s="147" t="str">
        <f>CONCATENATE("R",RIGHT(C1207,1)," Import of Imported ",VLOOKUP(MID(C1207,4,3),Types!$B$2:$C$13,2,FALSE),", from PADD ",MID(C1207,8,1))</f>
        <v>R6 Import of Imported High Sulfur Residual Fuel Oil, from PADD 3</v>
      </c>
      <c r="E1207" s="163" t="s">
        <v>196</v>
      </c>
      <c r="F1207" s="163" t="s">
        <v>318</v>
      </c>
    </row>
    <row r="1208" spans="2:6">
      <c r="B1208" s="147" t="str">
        <f t="shared" si="7"/>
        <v>*R6</v>
      </c>
      <c r="C1208" s="147" t="str">
        <f>CONCATENATE("IMP",Commodities!C101,6)</f>
        <v>IMPRFLP36</v>
      </c>
      <c r="D1208" s="147" t="str">
        <f>CONCATENATE("R",RIGHT(C1208,1)," Import of Imported ",VLOOKUP(MID(C1208,4,3),Types!$B$2:$C$13,2,FALSE),", from PADD ",MID(C1208,8,1))</f>
        <v>R6 Import of Imported Low Sulfur Residual Fuel Oil, from PADD 3</v>
      </c>
      <c r="E1208" s="163" t="s">
        <v>196</v>
      </c>
      <c r="F1208" s="163" t="s">
        <v>318</v>
      </c>
    </row>
    <row r="1209" spans="2:6">
      <c r="B1209" s="147" t="str">
        <f t="shared" si="7"/>
        <v>*R6</v>
      </c>
      <c r="C1209" s="147" t="s">
        <v>379</v>
      </c>
      <c r="D1209" s="147" t="s">
        <v>380</v>
      </c>
      <c r="E1209" s="163" t="s">
        <v>196</v>
      </c>
      <c r="F1209" s="163" t="s">
        <v>318</v>
      </c>
    </row>
    <row r="1210" spans="2:6">
      <c r="B1210" s="147" t="str">
        <f t="shared" ref="B1210:B1222" si="8">IF(LEFT(B1053,1)="*","*R1","R1")</f>
        <v>*R1</v>
      </c>
      <c r="C1210" s="147" t="str">
        <f>CONCATENATE("IMP",Commodities!C90,1)</f>
        <v>IMPDSHP31</v>
      </c>
      <c r="D1210" s="147" t="str">
        <f>CONCATENATE("R",RIGHT(C1210,1)," Import of Imported ",VLOOKUP(MID(C1210,4,3),Types!$B$2:$C$13,2,FALSE),", from PADD ",MID(C1210,8,1))</f>
        <v>R1 Import of Imported Distillate-Heating Oil No. 2, from PADD 3</v>
      </c>
      <c r="E1210" s="163" t="s">
        <v>196</v>
      </c>
      <c r="F1210" s="163" t="s">
        <v>318</v>
      </c>
    </row>
    <row r="1211" spans="2:6">
      <c r="B1211" s="147" t="str">
        <f t="shared" si="8"/>
        <v>*R1</v>
      </c>
      <c r="C1211" s="147" t="str">
        <f>CONCATENATE("IMP",Commodities!C91,1)</f>
        <v>IMPDSLP31</v>
      </c>
      <c r="D1211" s="147" t="str">
        <f>CONCATENATE("R",RIGHT(C1211,1)," Import of Imported ",VLOOKUP(MID(C1211,4,3),Types!$B$2:$C$13,2,FALSE),", from PADD ",MID(C1211,8,1))</f>
        <v>R1 Import of Imported Distillate-Low Sulfur Highway Diesel (500 ppm), from PADD 3</v>
      </c>
      <c r="E1211" s="163" t="s">
        <v>196</v>
      </c>
      <c r="F1211" s="163" t="s">
        <v>318</v>
      </c>
    </row>
    <row r="1212" spans="2:6">
      <c r="B1212" s="147" t="str">
        <f t="shared" si="8"/>
        <v>*R1</v>
      </c>
      <c r="C1212" s="147" t="str">
        <f>CONCATENATE("IMP",Commodities!C92,1)</f>
        <v>IMPDSUP31</v>
      </c>
      <c r="D1212" s="147" t="str">
        <f>CONCATENATE("R",RIGHT(C1212,1)," Import of Imported ",VLOOKUP(MID(C1212,4,3),Types!$B$2:$C$13,2,FALSE),", from PADD ",MID(C1212,8,1))</f>
        <v>R1 Import of Imported Distillate-Ultralow Sulfur Highway Diesel (15 ppm), from PADD 3</v>
      </c>
      <c r="E1212" s="163" t="s">
        <v>196</v>
      </c>
      <c r="F1212" s="163" t="s">
        <v>318</v>
      </c>
    </row>
    <row r="1213" spans="2:6">
      <c r="B1213" s="147" t="str">
        <f t="shared" si="8"/>
        <v>*R1</v>
      </c>
      <c r="C1213" s="147" t="str">
        <f>CONCATENATE("IMP",Commodities!C93,1)</f>
        <v>IMPGSCP31</v>
      </c>
      <c r="D1213" s="147" t="str">
        <f>CONCATENATE("R",RIGHT(C1213,1)," Import of Imported ",VLOOKUP(MID(C1213,4,3),Types!$B$2:$C$13,2,FALSE),", from PADD ",MID(C1213,8,1))</f>
        <v>R1 Import of Imported Conventional Gasoline, from PADD 3</v>
      </c>
      <c r="E1213" s="163" t="s">
        <v>196</v>
      </c>
      <c r="F1213" s="163" t="s">
        <v>318</v>
      </c>
    </row>
    <row r="1214" spans="2:6">
      <c r="B1214" s="147" t="str">
        <f t="shared" si="8"/>
        <v>*R1</v>
      </c>
      <c r="C1214" s="147" t="str">
        <f>CONCATENATE("IMP",Commodities!C94,1)</f>
        <v>IMPGSRP31</v>
      </c>
      <c r="D1214" s="147" t="str">
        <f>CONCATENATE("R",RIGHT(C1214,1)," Import of Imported ",VLOOKUP(MID(C1214,4,3),Types!$B$2:$C$13,2,FALSE),", from PADD ",MID(C1214,8,1))</f>
        <v>R1 Import of Imported Reformulated Gasoline, from PADD 3</v>
      </c>
      <c r="E1214" s="163" t="s">
        <v>196</v>
      </c>
      <c r="F1214" s="163" t="s">
        <v>318</v>
      </c>
    </row>
    <row r="1215" spans="2:6">
      <c r="B1215" s="147" t="str">
        <f t="shared" si="8"/>
        <v>*R1</v>
      </c>
      <c r="C1215" s="147" t="str">
        <f>CONCATENATE("IMP",Commodities!C95,1)</f>
        <v>IMPJTFP31</v>
      </c>
      <c r="D1215" s="147" t="str">
        <f>CONCATENATE("R",RIGHT(C1215,1)," Import of Imported ",VLOOKUP(MID(C1215,4,3),Types!$B$2:$C$13,2,FALSE),", from PADD ",MID(C1215,8,1))</f>
        <v>R1 Import of Imported Jet Fuel, from PADD 3</v>
      </c>
      <c r="E1215" s="163" t="s">
        <v>196</v>
      </c>
      <c r="F1215" s="163" t="s">
        <v>318</v>
      </c>
    </row>
    <row r="1216" spans="2:6">
      <c r="B1216" s="147" t="str">
        <f t="shared" si="8"/>
        <v>*R1</v>
      </c>
      <c r="C1216" s="147" t="str">
        <f>CONCATENATE("IMP",Commodities!C96,1)</f>
        <v>IMPKERP31</v>
      </c>
      <c r="D1216" s="147" t="str">
        <f>CONCATENATE("R",RIGHT(C1216,1)," Import of Imported ",VLOOKUP(MID(C1216,4,3),Types!$B$2:$C$13,2,FALSE),", from PADD ",MID(C1216,8,1))</f>
        <v>R1 Import of Imported Kerosene and Other Refined Products, from PADD 3</v>
      </c>
      <c r="E1216" s="163" t="s">
        <v>196</v>
      </c>
      <c r="F1216" s="163" t="s">
        <v>318</v>
      </c>
    </row>
    <row r="1217" spans="2:6">
      <c r="B1217" s="147" t="str">
        <f t="shared" si="8"/>
        <v>*R1</v>
      </c>
      <c r="C1217" s="147" t="str">
        <f>CONCATENATE("IMP",Commodities!C97,1)</f>
        <v>IMPLPGP31</v>
      </c>
      <c r="D1217" s="147" t="str">
        <f>CONCATENATE("R",RIGHT(C1217,1)," Import of Imported ",VLOOKUP(MID(C1217,4,3),Types!$B$2:$C$13,2,FALSE),", from PADD ",MID(C1217,8,1))</f>
        <v>R1 Import of Imported LPG, from PADD 3</v>
      </c>
      <c r="E1217" s="163" t="s">
        <v>196</v>
      </c>
      <c r="F1217" s="163" t="s">
        <v>318</v>
      </c>
    </row>
    <row r="1218" spans="2:6">
      <c r="B1218" s="147" t="str">
        <f t="shared" si="8"/>
        <v>*R1</v>
      </c>
      <c r="C1218" s="147" t="str">
        <f>CONCATENATE("IMP",Commodities!C98,1)</f>
        <v>IMPMTHP31</v>
      </c>
      <c r="D1218" s="147" t="str">
        <f>CONCATENATE("R",RIGHT(C1218,1)," Import of Imported ",VLOOKUP(MID(C1218,4,3),Types!$B$2:$C$13,2,FALSE),", from PADD ",MID(C1218,8,1))</f>
        <v>R1 Import of Imported Methanol, from PADD 3</v>
      </c>
      <c r="E1218" s="163" t="s">
        <v>196</v>
      </c>
      <c r="F1218" s="163" t="s">
        <v>318</v>
      </c>
    </row>
    <row r="1219" spans="2:6">
      <c r="B1219" s="147" t="str">
        <f t="shared" si="8"/>
        <v>*R1</v>
      </c>
      <c r="C1219" s="147" t="str">
        <f>CONCATENATE("IMP",Commodities!C99,1)</f>
        <v>IMPPFSP31</v>
      </c>
      <c r="D1219" s="147" t="str">
        <f>CONCATENATE("R",RIGHT(C1219,1)," Import of Imported ",VLOOKUP(MID(C1219,4,3),Types!$B$2:$C$13,2,FALSE),", from PADD ",MID(C1219,8,1))</f>
        <v>R1 Import of Imported Petrochemical Feedstocks, from PADD 3</v>
      </c>
      <c r="E1219" s="163" t="s">
        <v>196</v>
      </c>
      <c r="F1219" s="163" t="s">
        <v>318</v>
      </c>
    </row>
    <row r="1220" spans="2:6">
      <c r="B1220" s="147" t="str">
        <f t="shared" si="8"/>
        <v>*R1</v>
      </c>
      <c r="C1220" s="147" t="str">
        <f>CONCATENATE("IMP",Commodities!C100,1)</f>
        <v>IMPRFHP31</v>
      </c>
      <c r="D1220" s="147" t="str">
        <f>CONCATENATE("R",RIGHT(C1220,1)," Import of Imported ",VLOOKUP(MID(C1220,4,3),Types!$B$2:$C$13,2,FALSE),", from PADD ",MID(C1220,8,1))</f>
        <v>R1 Import of Imported High Sulfur Residual Fuel Oil, from PADD 3</v>
      </c>
      <c r="E1220" s="163" t="s">
        <v>196</v>
      </c>
      <c r="F1220" s="163" t="s">
        <v>318</v>
      </c>
    </row>
    <row r="1221" spans="2:6">
      <c r="B1221" s="147" t="str">
        <f t="shared" si="8"/>
        <v>*R1</v>
      </c>
      <c r="C1221" s="147" t="str">
        <f>CONCATENATE("IMP",Commodities!C101,1)</f>
        <v>IMPRFLP31</v>
      </c>
      <c r="D1221" s="147" t="str">
        <f>CONCATENATE("R",RIGHT(C1221,1)," Import of Imported ",VLOOKUP(MID(C1221,4,3),Types!$B$2:$C$13,2,FALSE),", from PADD ",MID(C1221,8,1))</f>
        <v>R1 Import of Imported Low Sulfur Residual Fuel Oil, from PADD 3</v>
      </c>
      <c r="E1221" s="163" t="s">
        <v>196</v>
      </c>
      <c r="F1221" s="163" t="s">
        <v>318</v>
      </c>
    </row>
    <row r="1222" spans="2:6">
      <c r="B1222" s="147" t="str">
        <f t="shared" si="8"/>
        <v>*R1</v>
      </c>
      <c r="C1222" s="147" t="s">
        <v>1089</v>
      </c>
      <c r="D1222" s="147" t="s">
        <v>1090</v>
      </c>
      <c r="E1222" s="163" t="s">
        <v>196</v>
      </c>
      <c r="F1222" s="163" t="s">
        <v>318</v>
      </c>
    </row>
    <row r="1223" spans="2:6">
      <c r="B1223" s="147" t="str">
        <f t="shared" ref="B1223:B1248" si="9">CONCATENATE("*",LEFT(D1223,2))</f>
        <v>*R8</v>
      </c>
      <c r="C1223" s="147" t="str">
        <f>CONCATENATE("IMP",Commodities!C103,8)</f>
        <v>IMPDSHP48</v>
      </c>
      <c r="D1223" s="147" t="str">
        <f>CONCATENATE("R",RIGHT(C1223,1)," Import of Imported ",VLOOKUP(MID(C1223,4,3),Types!$B$2:$C$13,2,FALSE),", from PADD ",MID(C1223,8,1))</f>
        <v>R8 Import of Imported Distillate-Heating Oil No. 2, from PADD 4</v>
      </c>
      <c r="E1223" s="163" t="s">
        <v>196</v>
      </c>
      <c r="F1223" s="163" t="s">
        <v>318</v>
      </c>
    </row>
    <row r="1224" spans="2:6">
      <c r="B1224" s="147" t="str">
        <f t="shared" si="9"/>
        <v>*R8</v>
      </c>
      <c r="C1224" s="147" t="str">
        <f>CONCATENATE("IMP",Commodities!C104,8)</f>
        <v>IMPDSLP48</v>
      </c>
      <c r="D1224" s="147" t="str">
        <f>CONCATENATE("R",RIGHT(C1224,1)," Import of Imported ",VLOOKUP(MID(C1224,4,3),Types!$B$2:$C$13,2,FALSE),", from PADD ",MID(C1224,8,1))</f>
        <v>R8 Import of Imported Distillate-Low Sulfur Highway Diesel (500 ppm), from PADD 4</v>
      </c>
      <c r="E1224" s="163" t="s">
        <v>196</v>
      </c>
      <c r="F1224" s="163" t="s">
        <v>318</v>
      </c>
    </row>
    <row r="1225" spans="2:6">
      <c r="B1225" s="147" t="str">
        <f t="shared" si="9"/>
        <v>*R8</v>
      </c>
      <c r="C1225" s="147" t="str">
        <f>CONCATENATE("IMP",Commodities!C105,8)</f>
        <v>IMPDSUP48</v>
      </c>
      <c r="D1225" s="147" t="str">
        <f>CONCATENATE("R",RIGHT(C1225,1)," Import of Imported ",VLOOKUP(MID(C1225,4,3),Types!$B$2:$C$13,2,FALSE),", from PADD ",MID(C1225,8,1))</f>
        <v>R8 Import of Imported Distillate-Ultralow Sulfur Highway Diesel (15 ppm), from PADD 4</v>
      </c>
      <c r="E1225" s="163" t="s">
        <v>196</v>
      </c>
      <c r="F1225" s="163" t="s">
        <v>318</v>
      </c>
    </row>
    <row r="1226" spans="2:6">
      <c r="B1226" s="147" t="str">
        <f t="shared" si="9"/>
        <v>*R8</v>
      </c>
      <c r="C1226" s="147" t="str">
        <f>CONCATENATE("IMP",Commodities!C106,8)</f>
        <v>IMPGSCP48</v>
      </c>
      <c r="D1226" s="147" t="str">
        <f>CONCATENATE("R",RIGHT(C1226,1)," Import of Imported ",VLOOKUP(MID(C1226,4,3),Types!$B$2:$C$13,2,FALSE),", from PADD ",MID(C1226,8,1))</f>
        <v>R8 Import of Imported Conventional Gasoline, from PADD 4</v>
      </c>
      <c r="E1226" s="163" t="s">
        <v>196</v>
      </c>
      <c r="F1226" s="163" t="s">
        <v>318</v>
      </c>
    </row>
    <row r="1227" spans="2:6">
      <c r="B1227" s="147" t="str">
        <f t="shared" si="9"/>
        <v>*R8</v>
      </c>
      <c r="C1227" s="147" t="str">
        <f>CONCATENATE("IMP",Commodities!C107,8)</f>
        <v>IMPGSRP48</v>
      </c>
      <c r="D1227" s="147" t="str">
        <f>CONCATENATE("R",RIGHT(C1227,1)," Import of Imported ",VLOOKUP(MID(C1227,4,3),Types!$B$2:$C$13,2,FALSE),", from PADD ",MID(C1227,8,1))</f>
        <v>R8 Import of Imported Reformulated Gasoline, from PADD 4</v>
      </c>
      <c r="E1227" s="163" t="s">
        <v>196</v>
      </c>
      <c r="F1227" s="163" t="s">
        <v>318</v>
      </c>
    </row>
    <row r="1228" spans="2:6">
      <c r="B1228" s="147" t="str">
        <f t="shared" si="9"/>
        <v>*R8</v>
      </c>
      <c r="C1228" s="147" t="str">
        <f>CONCATENATE("IMP",Commodities!C108,8)</f>
        <v>IMPJTFP48</v>
      </c>
      <c r="D1228" s="147" t="str">
        <f>CONCATENATE("R",RIGHT(C1228,1)," Import of Imported ",VLOOKUP(MID(C1228,4,3),Types!$B$2:$C$13,2,FALSE),", from PADD ",MID(C1228,8,1))</f>
        <v>R8 Import of Imported Jet Fuel, from PADD 4</v>
      </c>
      <c r="E1228" s="163" t="s">
        <v>196</v>
      </c>
      <c r="F1228" s="163" t="s">
        <v>318</v>
      </c>
    </row>
    <row r="1229" spans="2:6">
      <c r="B1229" s="147" t="str">
        <f t="shared" si="9"/>
        <v>*R8</v>
      </c>
      <c r="C1229" s="147" t="str">
        <f>CONCATENATE("IMP",Commodities!C109,8)</f>
        <v>IMPKERP48</v>
      </c>
      <c r="D1229" s="147" t="str">
        <f>CONCATENATE("R",RIGHT(C1229,1)," Import of Imported ",VLOOKUP(MID(C1229,4,3),Types!$B$2:$C$13,2,FALSE),", from PADD ",MID(C1229,8,1))</f>
        <v>R8 Import of Imported Kerosene and Other Refined Products, from PADD 4</v>
      </c>
      <c r="E1229" s="163" t="s">
        <v>196</v>
      </c>
      <c r="F1229" s="163" t="s">
        <v>318</v>
      </c>
    </row>
    <row r="1230" spans="2:6">
      <c r="B1230" s="147" t="str">
        <f t="shared" si="9"/>
        <v>*R8</v>
      </c>
      <c r="C1230" s="147" t="str">
        <f>CONCATENATE("IMP",Commodities!C110,8)</f>
        <v>IMPLPGP48</v>
      </c>
      <c r="D1230" s="147" t="str">
        <f>CONCATENATE("R",RIGHT(C1230,1)," Import of Imported ",VLOOKUP(MID(C1230,4,3),Types!$B$2:$C$13,2,FALSE),", from PADD ",MID(C1230,8,1))</f>
        <v>R8 Import of Imported LPG, from PADD 4</v>
      </c>
      <c r="E1230" s="163" t="s">
        <v>196</v>
      </c>
      <c r="F1230" s="163" t="s">
        <v>318</v>
      </c>
    </row>
    <row r="1231" spans="2:6">
      <c r="B1231" s="147" t="str">
        <f t="shared" si="9"/>
        <v>*R8</v>
      </c>
      <c r="C1231" s="147" t="str">
        <f>CONCATENATE("IMP",Commodities!C111,8)</f>
        <v>IMPMTHP48</v>
      </c>
      <c r="D1231" s="147" t="str">
        <f>CONCATENATE("R",RIGHT(C1231,1)," Import of Imported ",VLOOKUP(MID(C1231,4,3),Types!$B$2:$C$13,2,FALSE),", from PADD ",MID(C1231,8,1))</f>
        <v>R8 Import of Imported Methanol, from PADD 4</v>
      </c>
      <c r="E1231" s="163" t="s">
        <v>196</v>
      </c>
      <c r="F1231" s="163" t="s">
        <v>318</v>
      </c>
    </row>
    <row r="1232" spans="2:6">
      <c r="B1232" s="147" t="str">
        <f t="shared" si="9"/>
        <v>*R8</v>
      </c>
      <c r="C1232" s="147" t="str">
        <f>CONCATENATE("IMP",Commodities!C112,8)</f>
        <v>IMPPFSP48</v>
      </c>
      <c r="D1232" s="147" t="str">
        <f>CONCATENATE("R",RIGHT(C1232,1)," Import of Imported ",VLOOKUP(MID(C1232,4,3),Types!$B$2:$C$13,2,FALSE),", from PADD ",MID(C1232,8,1))</f>
        <v>R8 Import of Imported Petrochemical Feedstocks, from PADD 4</v>
      </c>
      <c r="E1232" s="163" t="s">
        <v>196</v>
      </c>
      <c r="F1232" s="163" t="s">
        <v>318</v>
      </c>
    </row>
    <row r="1233" spans="2:6">
      <c r="B1233" s="147" t="str">
        <f t="shared" si="9"/>
        <v>*R8</v>
      </c>
      <c r="C1233" s="147" t="str">
        <f>CONCATENATE("IMP",Commodities!C113,8)</f>
        <v>IMPRFHP48</v>
      </c>
      <c r="D1233" s="147" t="str">
        <f>CONCATENATE("R",RIGHT(C1233,1)," Import of Imported ",VLOOKUP(MID(C1233,4,3),Types!$B$2:$C$13,2,FALSE),", from PADD ",MID(C1233,8,1))</f>
        <v>R8 Import of Imported High Sulfur Residual Fuel Oil, from PADD 4</v>
      </c>
      <c r="E1233" s="163" t="s">
        <v>196</v>
      </c>
      <c r="F1233" s="163" t="s">
        <v>318</v>
      </c>
    </row>
    <row r="1234" spans="2:6">
      <c r="B1234" s="147" t="str">
        <f t="shared" si="9"/>
        <v>*R8</v>
      </c>
      <c r="C1234" s="147" t="str">
        <f>CONCATENATE("IMP",Commodities!C114,8)</f>
        <v>IMPRFLP48</v>
      </c>
      <c r="D1234" s="147" t="str">
        <f>CONCATENATE("R",RIGHT(C1234,1)," Import of Imported ",VLOOKUP(MID(C1234,4,3),Types!$B$2:$C$13,2,FALSE),", from PADD ",MID(C1234,8,1))</f>
        <v>R8 Import of Imported Low Sulfur Residual Fuel Oil, from PADD 4</v>
      </c>
      <c r="E1234" s="163" t="s">
        <v>196</v>
      </c>
      <c r="F1234" s="163" t="s">
        <v>318</v>
      </c>
    </row>
    <row r="1235" spans="2:6">
      <c r="B1235" s="147" t="str">
        <f t="shared" si="9"/>
        <v>*R8</v>
      </c>
      <c r="C1235" s="147" t="s">
        <v>381</v>
      </c>
      <c r="D1235" s="147" t="s">
        <v>382</v>
      </c>
      <c r="E1235" s="163" t="s">
        <v>196</v>
      </c>
      <c r="F1235" s="163" t="s">
        <v>318</v>
      </c>
    </row>
    <row r="1236" spans="2:6">
      <c r="B1236" s="147" t="str">
        <f t="shared" si="9"/>
        <v>*R9</v>
      </c>
      <c r="C1236" s="147" t="str">
        <f>CONCATENATE("IMP",Commodities!C116,9)</f>
        <v>IMPDSHP59</v>
      </c>
      <c r="D1236" s="147" t="str">
        <f>CONCATENATE("R",RIGHT(C1236,1)," Import of Imported ",VLOOKUP(MID(C1236,4,3),Types!$B$2:$C$13,2,FALSE),", from PADD ",MID(C1236,8,1))</f>
        <v>R9 Import of Imported Distillate-Heating Oil No. 2, from PADD 5</v>
      </c>
      <c r="E1236" s="163" t="s">
        <v>196</v>
      </c>
      <c r="F1236" s="163" t="s">
        <v>318</v>
      </c>
    </row>
    <row r="1237" spans="2:6">
      <c r="B1237" s="147" t="str">
        <f t="shared" si="9"/>
        <v>*R9</v>
      </c>
      <c r="C1237" s="147" t="str">
        <f>CONCATENATE("IMP",Commodities!C117,9)</f>
        <v>IMPDSLP59</v>
      </c>
      <c r="D1237" s="147" t="str">
        <f>CONCATENATE("R",RIGHT(C1237,1)," Import of Imported ",VLOOKUP(MID(C1237,4,3),Types!$B$2:$C$13,2,FALSE),", from PADD ",MID(C1237,8,1))</f>
        <v>R9 Import of Imported Distillate-Low Sulfur Highway Diesel (500 ppm), from PADD 5</v>
      </c>
      <c r="E1237" s="163" t="s">
        <v>196</v>
      </c>
      <c r="F1237" s="163" t="s">
        <v>318</v>
      </c>
    </row>
    <row r="1238" spans="2:6">
      <c r="B1238" s="147" t="str">
        <f t="shared" si="9"/>
        <v>*R9</v>
      </c>
      <c r="C1238" s="147" t="str">
        <f>CONCATENATE("IMP",Commodities!C118,9)</f>
        <v>IMPDSUP59</v>
      </c>
      <c r="D1238" s="147" t="str">
        <f>CONCATENATE("R",RIGHT(C1238,1)," Import of Imported ",VLOOKUP(MID(C1238,4,3),Types!$B$2:$C$13,2,FALSE),", from PADD ",MID(C1238,8,1))</f>
        <v>R9 Import of Imported Distillate-Ultralow Sulfur Highway Diesel (15 ppm), from PADD 5</v>
      </c>
      <c r="E1238" s="163" t="s">
        <v>196</v>
      </c>
      <c r="F1238" s="163" t="s">
        <v>318</v>
      </c>
    </row>
    <row r="1239" spans="2:6">
      <c r="B1239" s="147" t="str">
        <f t="shared" si="9"/>
        <v>*R9</v>
      </c>
      <c r="C1239" s="147" t="str">
        <f>CONCATENATE("IMP",Commodities!C119,9)</f>
        <v>IMPGSCP59</v>
      </c>
      <c r="D1239" s="147" t="str">
        <f>CONCATENATE("R",RIGHT(C1239,1)," Import of Imported ",VLOOKUP(MID(C1239,4,3),Types!$B$2:$C$13,2,FALSE),", from PADD ",MID(C1239,8,1))</f>
        <v>R9 Import of Imported Conventional Gasoline, from PADD 5</v>
      </c>
      <c r="E1239" s="163" t="s">
        <v>196</v>
      </c>
      <c r="F1239" s="163" t="s">
        <v>318</v>
      </c>
    </row>
    <row r="1240" spans="2:6">
      <c r="B1240" s="147" t="str">
        <f t="shared" si="9"/>
        <v>*R9</v>
      </c>
      <c r="C1240" s="147" t="str">
        <f>CONCATENATE("IMP",Commodities!C120,9)</f>
        <v>IMPGSRP59</v>
      </c>
      <c r="D1240" s="147" t="str">
        <f>CONCATENATE("R",RIGHT(C1240,1)," Import of Imported ",VLOOKUP(MID(C1240,4,3),Types!$B$2:$C$13,2,FALSE),", from PADD ",MID(C1240,8,1))</f>
        <v>R9 Import of Imported Reformulated Gasoline, from PADD 5</v>
      </c>
      <c r="E1240" s="163" t="s">
        <v>196</v>
      </c>
      <c r="F1240" s="163" t="s">
        <v>318</v>
      </c>
    </row>
    <row r="1241" spans="2:6">
      <c r="B1241" s="147" t="str">
        <f t="shared" si="9"/>
        <v>*R9</v>
      </c>
      <c r="C1241" s="147" t="str">
        <f>CONCATENATE("IMP",Commodities!C121,9)</f>
        <v>IMPJTFP59</v>
      </c>
      <c r="D1241" s="147" t="str">
        <f>CONCATENATE("R",RIGHT(C1241,1)," Import of Imported ",VLOOKUP(MID(C1241,4,3),Types!$B$2:$C$13,2,FALSE),", from PADD ",MID(C1241,8,1))</f>
        <v>R9 Import of Imported Jet Fuel, from PADD 5</v>
      </c>
      <c r="E1241" s="163" t="s">
        <v>196</v>
      </c>
      <c r="F1241" s="163" t="s">
        <v>318</v>
      </c>
    </row>
    <row r="1242" spans="2:6">
      <c r="B1242" s="147" t="str">
        <f t="shared" si="9"/>
        <v>*R9</v>
      </c>
      <c r="C1242" s="147" t="str">
        <f>CONCATENATE("IMP",Commodities!C122,9)</f>
        <v>IMPKERP59</v>
      </c>
      <c r="D1242" s="147" t="str">
        <f>CONCATENATE("R",RIGHT(C1242,1)," Import of Imported ",VLOOKUP(MID(C1242,4,3),Types!$B$2:$C$13,2,FALSE),", from PADD ",MID(C1242,8,1))</f>
        <v>R9 Import of Imported Kerosene and Other Refined Products, from PADD 5</v>
      </c>
      <c r="E1242" s="163" t="s">
        <v>196</v>
      </c>
      <c r="F1242" s="163" t="s">
        <v>318</v>
      </c>
    </row>
    <row r="1243" spans="2:6">
      <c r="B1243" s="147" t="str">
        <f t="shared" si="9"/>
        <v>*R9</v>
      </c>
      <c r="C1243" s="147" t="str">
        <f>CONCATENATE("IMP",Commodities!C123,9)</f>
        <v>IMPLPGP59</v>
      </c>
      <c r="D1243" s="147" t="str">
        <f>CONCATENATE("R",RIGHT(C1243,1)," Import of Imported ",VLOOKUP(MID(C1243,4,3),Types!$B$2:$C$13,2,FALSE),", from PADD ",MID(C1243,8,1))</f>
        <v>R9 Import of Imported LPG, from PADD 5</v>
      </c>
      <c r="E1243" s="163" t="s">
        <v>196</v>
      </c>
      <c r="F1243" s="163" t="s">
        <v>318</v>
      </c>
    </row>
    <row r="1244" spans="2:6">
      <c r="B1244" s="147" t="str">
        <f t="shared" si="9"/>
        <v>*R9</v>
      </c>
      <c r="C1244" s="147" t="str">
        <f>CONCATENATE("IMP",Commodities!C124,9)</f>
        <v>IMPMTHP59</v>
      </c>
      <c r="D1244" s="147" t="str">
        <f>CONCATENATE("R",RIGHT(C1244,1)," Import of Imported ",VLOOKUP(MID(C1244,4,3),Types!$B$2:$C$13,2,FALSE),", from PADD ",MID(C1244,8,1))</f>
        <v>R9 Import of Imported Methanol, from PADD 5</v>
      </c>
      <c r="E1244" s="163" t="s">
        <v>196</v>
      </c>
      <c r="F1244" s="163" t="s">
        <v>318</v>
      </c>
    </row>
    <row r="1245" spans="2:6">
      <c r="B1245" s="147" t="str">
        <f t="shared" si="9"/>
        <v>*R9</v>
      </c>
      <c r="C1245" s="147" t="str">
        <f>CONCATENATE("IMP",Commodities!C125,9)</f>
        <v>IMPPFSP59</v>
      </c>
      <c r="D1245" s="147" t="str">
        <f>CONCATENATE("R",RIGHT(C1245,1)," Import of Imported ",VLOOKUP(MID(C1245,4,3),Types!$B$2:$C$13,2,FALSE),", from PADD ",MID(C1245,8,1))</f>
        <v>R9 Import of Imported Petrochemical Feedstocks, from PADD 5</v>
      </c>
      <c r="E1245" s="163" t="s">
        <v>196</v>
      </c>
      <c r="F1245" s="163" t="s">
        <v>318</v>
      </c>
    </row>
    <row r="1246" spans="2:6">
      <c r="B1246" s="147" t="str">
        <f t="shared" si="9"/>
        <v>*R9</v>
      </c>
      <c r="C1246" s="147" t="str">
        <f>CONCATENATE("IMP",Commodities!C126,9)</f>
        <v>IMPRFHP59</v>
      </c>
      <c r="D1246" s="147" t="str">
        <f>CONCATENATE("R",RIGHT(C1246,1)," Import of Imported ",VLOOKUP(MID(C1246,4,3),Types!$B$2:$C$13,2,FALSE),", from PADD ",MID(C1246,8,1))</f>
        <v>R9 Import of Imported High Sulfur Residual Fuel Oil, from PADD 5</v>
      </c>
      <c r="E1246" s="163" t="s">
        <v>196</v>
      </c>
      <c r="F1246" s="163" t="s">
        <v>318</v>
      </c>
    </row>
    <row r="1247" spans="2:6">
      <c r="B1247" s="147" t="str">
        <f t="shared" si="9"/>
        <v>*R9</v>
      </c>
      <c r="C1247" s="147" t="str">
        <f>CONCATENATE("IMP",Commodities!C127,9)</f>
        <v>IMPRFLP59</v>
      </c>
      <c r="D1247" s="147" t="str">
        <f>CONCATENATE("R",RIGHT(C1247,1)," Import of Imported ",VLOOKUP(MID(C1247,4,3),Types!$B$2:$C$13,2,FALSE),", from PADD ",MID(C1247,8,1))</f>
        <v>R9 Import of Imported Low Sulfur Residual Fuel Oil, from PADD 5</v>
      </c>
      <c r="E1247" s="163" t="s">
        <v>196</v>
      </c>
      <c r="F1247" s="163" t="s">
        <v>318</v>
      </c>
    </row>
    <row r="1248" spans="2:6">
      <c r="B1248" s="147" t="str">
        <f t="shared" si="9"/>
        <v>*R9</v>
      </c>
      <c r="C1248" s="147" t="s">
        <v>383</v>
      </c>
      <c r="D1248" s="147" t="s">
        <v>384</v>
      </c>
      <c r="E1248" s="163" t="s">
        <v>196</v>
      </c>
      <c r="F1248" s="163" t="s">
        <v>318</v>
      </c>
    </row>
    <row r="1249" spans="2:9">
      <c r="B1249" s="154" t="s">
        <v>387</v>
      </c>
      <c r="C1249" s="160"/>
      <c r="D1249" s="160"/>
      <c r="E1249" s="196"/>
      <c r="F1249" s="196"/>
      <c r="G1249" s="154"/>
      <c r="H1249" s="160"/>
      <c r="I1249" s="160"/>
    </row>
    <row r="1250" spans="2:9">
      <c r="B1250" s="147" t="str">
        <f>IF(OR(G$1249="*",LEFT(Commodities!B$48,1)="*"),"*",Commodities!B$49)</f>
        <v>R0,R1,R2,R3,R4,R5,R6</v>
      </c>
      <c r="C1250" s="147" t="e">
        <f>CONCATENATE("XR",Commodities!C222)</f>
        <v>#REF!</v>
      </c>
      <c r="D1250" s="147" t="str">
        <f>CONCATENATE("Delivery of Refinery ",Commodities!D222)</f>
        <v>Delivery of Refinery Conventional Gasoline</v>
      </c>
      <c r="E1250" s="163" t="s">
        <v>196</v>
      </c>
      <c r="F1250" s="163" t="s">
        <v>318</v>
      </c>
    </row>
    <row r="1251" spans="2:9">
      <c r="B1251" s="147" t="str">
        <f>IF(OR(G$1249="*",LEFT(Commodities!B$49,1)="*"),"*",Commodities!B$48)</f>
        <v>R0,R1,R2,R3,R4,R5,R6</v>
      </c>
      <c r="C1251" s="147" t="e">
        <f>CONCATENATE("XR",Commodities!C223)</f>
        <v>#REF!</v>
      </c>
      <c r="D1251" s="147" t="str">
        <f>CONCATENATE("Delivery of Refinery ",Commodities!D223)</f>
        <v>Delivery of Refinery Reformulated Gasoline</v>
      </c>
      <c r="E1251" s="163" t="s">
        <v>196</v>
      </c>
      <c r="F1251" s="163" t="s">
        <v>318</v>
      </c>
    </row>
    <row r="1252" spans="2:9">
      <c r="B1252" s="147" t="str">
        <f>IF(OR(G$1249="*",LEFT(Commodities!B$224,1)="*"),"*",Commodities!B$224)</f>
        <v>R1,R2,R3,R4,R5,R6</v>
      </c>
      <c r="C1252" s="147" t="e">
        <f>CONCATENATE("XR",Commodities!C224)</f>
        <v>#REF!</v>
      </c>
      <c r="D1252" s="147" t="str">
        <f>CONCATENATE("Delivery of Refinery ",Commodities!D224)</f>
        <v>Delivery of Refinery Distillate-Heating Oil No. 2 to the Residential Sector</v>
      </c>
      <c r="E1252" s="163" t="s">
        <v>196</v>
      </c>
      <c r="F1252" s="163" t="s">
        <v>318</v>
      </c>
    </row>
    <row r="1253" spans="2:9">
      <c r="B1253" s="147" t="str">
        <f>IF(OR(G$1249="*",LEFT(Commodities!B$225,1)="*"),"*",Commodities!B$225)</f>
        <v>R1,R2,R3,R4,R5,R6</v>
      </c>
      <c r="C1253" s="147" t="e">
        <f>CONCATENATE("XR",Commodities!C225)</f>
        <v>#REF!</v>
      </c>
      <c r="D1253" s="147" t="str">
        <f>CONCATENATE("Delivery of Refinery ",Commodities!D225)</f>
        <v>Delivery of Refinery Distillate-Heating Oil No. 2 to the Commercial Sector</v>
      </c>
      <c r="E1253" s="163" t="s">
        <v>196</v>
      </c>
      <c r="F1253" s="163" t="s">
        <v>318</v>
      </c>
    </row>
    <row r="1254" spans="2:9">
      <c r="B1254" s="147" t="str">
        <f>IF(OR(G$1249="*",LEFT(Commodities!B$226,1)="*"),"*",Commodities!B$226)</f>
        <v>*</v>
      </c>
      <c r="C1254" s="147" t="e">
        <f>CONCATENATE("XR",Commodities!C226)</f>
        <v>#REF!</v>
      </c>
      <c r="D1254" s="147" t="str">
        <f>CONCATENATE("Delivery of Refinery ",Commodities!D226)</f>
        <v>Delivery of Refinery Distillate-Heating Oil No. 2 to the Indistrial Sector</v>
      </c>
      <c r="E1254" s="163" t="s">
        <v>196</v>
      </c>
      <c r="F1254" s="163" t="s">
        <v>318</v>
      </c>
    </row>
    <row r="1255" spans="2:9">
      <c r="B1255" s="147" t="str">
        <f>IF(OR(G$1249="*",LEFT(Commodities!B$227,1)="*"),"*",Commodities!B$227)</f>
        <v>R1,R2,R3,R4,R5,R6</v>
      </c>
      <c r="C1255" s="147" t="e">
        <f>CONCATENATE("XR",Commodities!C227)</f>
        <v>#REF!</v>
      </c>
      <c r="D1255" s="147" t="str">
        <f>CONCATENATE("Delivery of Refinery ",Commodities!D227)</f>
        <v>Delivery of Refinery Distillate-Heating Oil No. 2 to the Electricity Sector</v>
      </c>
      <c r="E1255" s="163" t="s">
        <v>196</v>
      </c>
      <c r="F1255" s="163" t="s">
        <v>318</v>
      </c>
    </row>
    <row r="1256" spans="2:9">
      <c r="B1256" s="147" t="str">
        <f>IF(OR(G$1249="*",LEFT(Commodities!B$51,1)="*"),"*",Commodities!B$51)</f>
        <v>R0,R1,R2,R3,R4,R5,R6</v>
      </c>
      <c r="C1256" s="147" t="e">
        <f>CONCATENATE("XR",Commodities!C228)</f>
        <v>#REF!</v>
      </c>
      <c r="D1256" s="147" t="str">
        <f>CONCATENATE("Delivery of Refinery ",Commodities!D228)</f>
        <v>Delivery of Refinery Distillate-Low Sulfur Highway Diesel (500 ppm)</v>
      </c>
      <c r="E1256" s="163" t="s">
        <v>196</v>
      </c>
      <c r="F1256" s="163" t="s">
        <v>318</v>
      </c>
    </row>
    <row r="1257" spans="2:9">
      <c r="B1257" s="147" t="str">
        <f>IF(OR(G$1249="*",LEFT(Commodities!B$52,1)="*"),"*",Commodities!B$52)</f>
        <v>R0,R1,R2,R3,R4,R5,R6</v>
      </c>
      <c r="C1257" s="147" t="e">
        <f>CONCATENATE("XR",Commodities!C229)</f>
        <v>#REF!</v>
      </c>
      <c r="D1257" s="147" t="str">
        <f>CONCATENATE("Delivery of Refinery ",Commodities!D229)</f>
        <v>Delivery of Refinery Distillate-Ultralow Sulfur Highway Diesel (15 ppm)</v>
      </c>
      <c r="E1257" s="163" t="s">
        <v>196</v>
      </c>
      <c r="F1257" s="163" t="s">
        <v>318</v>
      </c>
    </row>
    <row r="1258" spans="2:9">
      <c r="B1258" s="147" t="str">
        <f>IF(OR(G$1249="*",LEFT(Commodities!B$53,1)="*"),"*",Commodities!B$53)</f>
        <v>*</v>
      </c>
      <c r="C1258" s="147" t="e">
        <f>CONCATENATE("XR",Commodities!C230)</f>
        <v>#REF!</v>
      </c>
      <c r="D1258" s="147" t="str">
        <f>CONCATENATE("Delivery of Refinery ",Commodities!D230)</f>
        <v>Delivery of Refinery Jet Fuel</v>
      </c>
      <c r="E1258" s="163" t="s">
        <v>196</v>
      </c>
      <c r="F1258" s="163" t="s">
        <v>318</v>
      </c>
    </row>
    <row r="1259" spans="2:9">
      <c r="B1259" s="147" t="str">
        <f>IF(OR(G$1249="*",LEFT(Commodities!B$231,1)="*"),"*",Commodities!B$231)</f>
        <v>*</v>
      </c>
      <c r="C1259" s="147" t="e">
        <f>CONCATENATE("XR",Commodities!C231)</f>
        <v>#REF!</v>
      </c>
      <c r="D1259" s="147" t="str">
        <f>CONCATENATE("Delivery of Refinery ",Commodities!D231)</f>
        <v>Delivery of Refinery Kerosene and Other Refined Products to the Residential Sector</v>
      </c>
      <c r="E1259" s="163" t="s">
        <v>196</v>
      </c>
      <c r="F1259" s="163" t="s">
        <v>318</v>
      </c>
    </row>
    <row r="1260" spans="2:9">
      <c r="B1260" s="147" t="str">
        <f>IF(OR(G$1249="*",LEFT(Commodities!B$232,1)="*"),"*",Commodities!B$232)</f>
        <v>*</v>
      </c>
      <c r="C1260" s="147" t="e">
        <f>CONCATENATE("XR",Commodities!C232)</f>
        <v>#REF!</v>
      </c>
      <c r="D1260" s="147" t="str">
        <f>CONCATENATE("Delivery of Refinery ",Commodities!D232)</f>
        <v>Delivery of Refinery Kerosene and Other Refined Products to the Commercial Sector</v>
      </c>
      <c r="E1260" s="163" t="s">
        <v>196</v>
      </c>
      <c r="F1260" s="163" t="s">
        <v>318</v>
      </c>
    </row>
    <row r="1261" spans="2:9">
      <c r="B1261" s="147" t="str">
        <f>IF(OR(G$1249="*",LEFT(Commodities!B$233,1)="*"),"*",Commodities!B$233)</f>
        <v>*</v>
      </c>
      <c r="C1261" s="147" t="e">
        <f>CONCATENATE("XR",Commodities!C233)</f>
        <v>#REF!</v>
      </c>
      <c r="D1261" s="147" t="str">
        <f>CONCATENATE("Delivery of Refinery ",Commodities!D233)</f>
        <v>Delivery of Refinery Kerosene and Other Refined Products to the Industrial Sector</v>
      </c>
      <c r="E1261" s="163" t="s">
        <v>196</v>
      </c>
      <c r="F1261" s="163" t="s">
        <v>318</v>
      </c>
    </row>
    <row r="1262" spans="2:9">
      <c r="B1262" s="147" t="str">
        <f>IF(OR(G$1249="*",LEFT(Commodities!B$234,1)="*"),"*",Commodities!B$234)</f>
        <v>*</v>
      </c>
      <c r="C1262" s="147" t="e">
        <f>CONCATENATE("XR",Commodities!C234)</f>
        <v>#REF!</v>
      </c>
      <c r="D1262" s="147" t="str">
        <f>CONCATENATE("Delivery of Refinery ",Commodities!D234)</f>
        <v>Delivery of Refinery LPG to the Residential Sector</v>
      </c>
      <c r="E1262" s="163" t="s">
        <v>196</v>
      </c>
      <c r="F1262" s="163" t="s">
        <v>318</v>
      </c>
    </row>
    <row r="1263" spans="2:9">
      <c r="B1263" s="147" t="str">
        <f>IF(OR(G$1249="*",LEFT(Commodities!B$235,1)="*"),"*",Commodities!B$235)</f>
        <v>*</v>
      </c>
      <c r="C1263" s="147" t="e">
        <f>CONCATENATE("XR",Commodities!C235)</f>
        <v>#REF!</v>
      </c>
      <c r="D1263" s="147" t="str">
        <f>CONCATENATE("Delivery of Refinery ",Commodities!D235)</f>
        <v>Delivery of Refinery LPG to the Commercial Sector</v>
      </c>
      <c r="E1263" s="163" t="s">
        <v>196</v>
      </c>
      <c r="F1263" s="163" t="s">
        <v>318</v>
      </c>
    </row>
    <row r="1264" spans="2:9">
      <c r="B1264" s="147" t="str">
        <f>IF(OR(G$1249="*",LEFT(Commodities!B$236,1)="*"),"*",Commodities!B$236)</f>
        <v>*</v>
      </c>
      <c r="C1264" s="147" t="e">
        <f>CONCATENATE("XR",Commodities!C236)</f>
        <v>#REF!</v>
      </c>
      <c r="D1264" s="147" t="str">
        <f>CONCATENATE("Delivery of Refinery ",Commodities!D236)</f>
        <v>Delivery of Refinery LPG to the Industrial Sector</v>
      </c>
      <c r="E1264" s="163" t="s">
        <v>196</v>
      </c>
      <c r="F1264" s="163" t="s">
        <v>318</v>
      </c>
    </row>
    <row r="1265" spans="2:7">
      <c r="B1265" s="147" t="str">
        <f>IF(OR(G$1249="*",LEFT(Commodities!B$237,1)="*"),"*",Commodities!B$237)</f>
        <v>*</v>
      </c>
      <c r="C1265" s="147" t="e">
        <f>CONCATENATE("XR",Commodities!C237)</f>
        <v>#REF!</v>
      </c>
      <c r="D1265" s="147" t="str">
        <f>CONCATENATE("Delivery of Refinery ",Commodities!D237)</f>
        <v>Delivery of Refinery LPG to the Transportation Sector</v>
      </c>
      <c r="E1265" s="163" t="s">
        <v>196</v>
      </c>
      <c r="F1265" s="163" t="s">
        <v>318</v>
      </c>
    </row>
    <row r="1266" spans="2:7">
      <c r="B1266" s="147" t="str">
        <f>IF(OR(G$1249="*",LEFT(Commodities!B$238,1)="*"),"*",Commodities!B$238)</f>
        <v>*</v>
      </c>
      <c r="C1266" s="147" t="e">
        <f>CONCATENATE("XR",Commodities!C238)</f>
        <v>#REF!</v>
      </c>
      <c r="D1266" s="147" t="str">
        <f>CONCATENATE("Delivery of Refinery ",Commodities!D238)</f>
        <v>Delivery of Refinery Methanol</v>
      </c>
      <c r="E1266" s="163" t="s">
        <v>196</v>
      </c>
      <c r="F1266" s="163" t="s">
        <v>318</v>
      </c>
    </row>
    <row r="1267" spans="2:7">
      <c r="B1267" s="147" t="str">
        <f>IF(OR(G$1249="*",LEFT(Commodities!B$239,1)="*"),"*",Commodities!B$239)</f>
        <v>*</v>
      </c>
      <c r="C1267" s="147" t="e">
        <f>CONCATENATE("XR",Commodities!C239)</f>
        <v>#REF!</v>
      </c>
      <c r="D1267" s="147" t="str">
        <f>CONCATENATE("Delivery of Refinery ",Commodities!D239)</f>
        <v>Delivery of Refinery Petrochemical Feedstocks</v>
      </c>
      <c r="E1267" s="163" t="s">
        <v>196</v>
      </c>
      <c r="F1267" s="163" t="s">
        <v>318</v>
      </c>
    </row>
    <row r="1268" spans="2:7">
      <c r="B1268" s="147" t="str">
        <f>IF(OR(G$1249="*",LEFT(Commodities!B$240,1)="*"),"*",Commodities!B$240)</f>
        <v>*</v>
      </c>
      <c r="C1268" s="147" t="str">
        <f>CONCATENATE("XR",Commodities!C240)</f>
        <v>XRRESRFL</v>
      </c>
      <c r="D1268" s="147" t="str">
        <f>CONCATENATE("Delivery of Refinery ",Commodities!D240)</f>
        <v>Delivery of Refinery Low Sulfur Residual Fuel Oil to Residential Sector</v>
      </c>
      <c r="E1268" s="163" t="s">
        <v>196</v>
      </c>
      <c r="F1268" s="163" t="s">
        <v>318</v>
      </c>
    </row>
    <row r="1269" spans="2:7">
      <c r="B1269" s="147" t="str">
        <f>IF(OR(G$1249="*",LEFT(Commodities!B$241,1)="*"),"*",Commodities!B$241)</f>
        <v>*</v>
      </c>
      <c r="C1269" s="147" t="e">
        <f>CONCATENATE("XR",Commodities!C241)</f>
        <v>#REF!</v>
      </c>
      <c r="D1269" s="147" t="str">
        <f>CONCATENATE("Delivery of Refinery ",Commodities!D241)</f>
        <v>Delivery of Refinery Low Sulfur Residual Fuel Oil to Commercial Sector</v>
      </c>
      <c r="E1269" s="163" t="s">
        <v>196</v>
      </c>
      <c r="F1269" s="163" t="s">
        <v>318</v>
      </c>
    </row>
    <row r="1270" spans="2:7">
      <c r="B1270" s="147" t="str">
        <f>IF(OR(G$1249="*",LEFT(Commodities!B$242,1)="*"),"*",Commodities!B$242)</f>
        <v>R1,R2,R3,R4,R5,R6</v>
      </c>
      <c r="C1270" s="147" t="e">
        <f>CONCATENATE("XR",Commodities!C242)</f>
        <v>#REF!</v>
      </c>
      <c r="D1270" s="147" t="str">
        <f>CONCATENATE("Delivery of Refinery ",Commodities!D242)</f>
        <v>Delivery of Refinery Low Sulfur Residual Fuel Oil to Industrial Sector</v>
      </c>
      <c r="E1270" s="163" t="s">
        <v>196</v>
      </c>
      <c r="F1270" s="163" t="s">
        <v>318</v>
      </c>
    </row>
    <row r="1271" spans="2:7">
      <c r="B1271" s="147" t="str">
        <f>IF(OR(G$1249="*",LEFT(Commodities!B$243,1)="*"),"*",Commodities!B$243)</f>
        <v>*</v>
      </c>
      <c r="C1271" s="147" t="e">
        <f>CONCATENATE("XR",Commodities!C243)</f>
        <v>#REF!</v>
      </c>
      <c r="D1271" s="147" t="str">
        <f>CONCATENATE("Delivery of Refinery ",Commodities!D243)</f>
        <v>Delivery of Refinery Low Sulfur Residual Fuel Oil to Electricity Sector</v>
      </c>
      <c r="E1271" s="163" t="s">
        <v>196</v>
      </c>
      <c r="F1271" s="163" t="s">
        <v>318</v>
      </c>
    </row>
    <row r="1272" spans="2:7">
      <c r="B1272" s="147" t="str">
        <f>IF(OR(G$1249="*",LEFT(Commodities!B$244,1)="*"),"*",Commodities!B$244)</f>
        <v>*</v>
      </c>
      <c r="C1272" s="147" t="e">
        <f>CONCATENATE("XR",Commodities!C244)</f>
        <v>#REF!</v>
      </c>
      <c r="D1272" s="147" t="str">
        <f>CONCATENATE("Delivery of Refinery ",Commodities!D244)</f>
        <v>Delivery of Refinery High Sulfur Residual Fuel Oil to Transportation Sector</v>
      </c>
      <c r="E1272" s="163" t="s">
        <v>196</v>
      </c>
      <c r="F1272" s="163" t="s">
        <v>318</v>
      </c>
    </row>
    <row r="1273" spans="2:7">
      <c r="B1273" s="147" t="str">
        <f>IF(OR(G$1249="*",LEFT(Commodities!B$245,1)="*"),"*",Commodities!B$245)</f>
        <v>*</v>
      </c>
      <c r="C1273" s="147" t="e">
        <f>CONCATENATE("XR",Commodities!C245)</f>
        <v>#REF!</v>
      </c>
      <c r="D1273" s="147" t="str">
        <f>CONCATENATE("Delivery of Refinery ",Commodities!D245)</f>
        <v>Delivery of Refinery High Sulfur Residual Fuel Oil to Electricity Sector</v>
      </c>
      <c r="E1273" s="163" t="s">
        <v>196</v>
      </c>
      <c r="F1273" s="163" t="s">
        <v>318</v>
      </c>
    </row>
    <row r="1274" spans="2:7">
      <c r="B1274" s="147" t="str">
        <f>IF(OR(G$1249="*",LEFT(Commodities!B$246,1)="*"),"*",Commodities!B$246)</f>
        <v>*</v>
      </c>
      <c r="C1274" s="147" t="e">
        <f>CONCATENATE("XR",Commodities!C246)</f>
        <v>#REF!</v>
      </c>
      <c r="D1274" s="147" t="str">
        <f>CONCATENATE("Delivery of Refinery ",Commodities!D246)</f>
        <v>Delivery of Refinery Asphalt - End Use</v>
      </c>
      <c r="E1274" s="163" t="s">
        <v>196</v>
      </c>
      <c r="F1274" s="163" t="s">
        <v>318</v>
      </c>
    </row>
    <row r="1275" spans="2:7">
      <c r="B1275" s="146" t="s">
        <v>388</v>
      </c>
    </row>
    <row r="1276" spans="2:7">
      <c r="B1276" s="147" t="str">
        <f>IF(LEFT(Commodities!B$130,1)="*","*R1","R1")</f>
        <v>R1</v>
      </c>
      <c r="C1276" s="147" t="e">
        <f>CONCATENATE("EXP",Commodities!C48,RIGHT(#REF!,2))</f>
        <v>#REF!</v>
      </c>
      <c r="D1276" s="147" t="e">
        <f>CONCATENATE("Export Pipeline Trade of ",Commodities!C48, " from ",$B1276," to R",RIGHT(C1276))</f>
        <v>#REF!</v>
      </c>
      <c r="E1276" s="163" t="s">
        <v>196</v>
      </c>
      <c r="F1276" s="163" t="s">
        <v>318</v>
      </c>
      <c r="G1276" s="146" t="s">
        <v>1154</v>
      </c>
    </row>
    <row r="1277" spans="2:7">
      <c r="B1277" s="147" t="str">
        <f>IF(LEFT(Commodities!B$131,1)="*","*R1","R1")</f>
        <v>R1</v>
      </c>
      <c r="C1277" s="147" t="e">
        <f>CONCATENATE("EXP",Commodities!C49,RIGHT(#REF!,2))</f>
        <v>#REF!</v>
      </c>
      <c r="D1277" s="147" t="e">
        <f>CONCATENATE("Export Pipeline Trade of ",Commodities!C49, " from ",$B1277," to R",RIGHT(C1277))</f>
        <v>#REF!</v>
      </c>
      <c r="E1277" s="163" t="s">
        <v>196</v>
      </c>
      <c r="F1277" s="163" t="s">
        <v>318</v>
      </c>
    </row>
    <row r="1278" spans="2:7">
      <c r="B1278" s="147" t="str">
        <f>IF(LEFT(Commodities!B$132,1)="*","*R1","R1")</f>
        <v>R1</v>
      </c>
      <c r="C1278" s="147" t="e">
        <f>CONCATENATE("EXP",Commodities!C50,RIGHT(#REF!,2))</f>
        <v>#REF!</v>
      </c>
      <c r="D1278" s="147" t="e">
        <f>CONCATENATE("Export Pipeline Trade of ",Commodities!C50, " from ",$B1278," to R",RIGHT(C1278))</f>
        <v>#REF!</v>
      </c>
      <c r="E1278" s="163" t="s">
        <v>196</v>
      </c>
      <c r="F1278" s="163" t="s">
        <v>318</v>
      </c>
    </row>
    <row r="1279" spans="2:7">
      <c r="B1279" s="147" t="str">
        <f>IF(LEFT(Commodities!B$133,1)="*","*R1","R1")</f>
        <v>R1</v>
      </c>
      <c r="C1279" s="147" t="e">
        <f>CONCATENATE("EXP",Commodities!C51,RIGHT(#REF!,2))</f>
        <v>#REF!</v>
      </c>
      <c r="D1279" s="147" t="e">
        <f>CONCATENATE("Export Pipeline Trade of ",Commodities!C51, " from ",$B1279," to R",RIGHT(C1279))</f>
        <v>#REF!</v>
      </c>
      <c r="E1279" s="163" t="s">
        <v>196</v>
      </c>
      <c r="F1279" s="163" t="s">
        <v>318</v>
      </c>
    </row>
    <row r="1280" spans="2:7">
      <c r="B1280" s="147" t="str">
        <f>IF(LEFT(Commodities!B$134,1)="*","*R1","R1")</f>
        <v>R1</v>
      </c>
      <c r="C1280" s="147" t="e">
        <f>CONCATENATE("EXP",Commodities!C52,RIGHT(#REF!,2))</f>
        <v>#REF!</v>
      </c>
      <c r="D1280" s="147" t="e">
        <f>CONCATENATE("Export Pipeline Trade of ",Commodities!C52, " from ",$B1280," to R",RIGHT(C1280))</f>
        <v>#REF!</v>
      </c>
      <c r="E1280" s="163" t="s">
        <v>196</v>
      </c>
      <c r="F1280" s="163" t="s">
        <v>318</v>
      </c>
    </row>
    <row r="1281" spans="2:6">
      <c r="B1281" s="147" t="str">
        <f>IF(LEFT(Commodities!B$135,1)="*","*R1","R1")</f>
        <v>*R1</v>
      </c>
      <c r="C1281" s="147" t="e">
        <f>CONCATENATE("EXP",Commodities!C53,RIGHT(#REF!,2))</f>
        <v>#REF!</v>
      </c>
      <c r="D1281" s="147" t="e">
        <f>CONCATENATE("Export Pipeline Trade of ",Commodities!C53, " from ",$B1281," to R",RIGHT(C1281))</f>
        <v>#REF!</v>
      </c>
      <c r="E1281" s="163" t="s">
        <v>196</v>
      </c>
      <c r="F1281" s="163" t="s">
        <v>318</v>
      </c>
    </row>
    <row r="1282" spans="2:6">
      <c r="B1282" s="147" t="str">
        <f>IF(LEFT(Commodities!B$136,1)="*","*R1","R1")</f>
        <v>*R1</v>
      </c>
      <c r="C1282" s="147" t="e">
        <f>CONCATENATE("EXP",Commodities!C54,RIGHT(#REF!,2))</f>
        <v>#REF!</v>
      </c>
      <c r="D1282" s="147" t="e">
        <f>CONCATENATE("Export Pipeline Trade of ",Commodities!C54, " from ",$B1282," to R",RIGHT(C1282))</f>
        <v>#REF!</v>
      </c>
      <c r="E1282" s="163" t="s">
        <v>196</v>
      </c>
      <c r="F1282" s="163" t="s">
        <v>318</v>
      </c>
    </row>
    <row r="1283" spans="2:6">
      <c r="B1283" s="147" t="str">
        <f>IF(LEFT(Commodities!B$137,1)="*","*R1","R1")</f>
        <v>*R1</v>
      </c>
      <c r="C1283" s="147" t="e">
        <f>CONCATENATE("EXP",Commodities!C55,RIGHT(#REF!,2))</f>
        <v>#REF!</v>
      </c>
      <c r="D1283" s="147" t="e">
        <f>CONCATENATE("Export Pipeline Trade of ",Commodities!C55, " from ",$B1283," to R",RIGHT(C1283))</f>
        <v>#REF!</v>
      </c>
      <c r="E1283" s="163" t="s">
        <v>196</v>
      </c>
      <c r="F1283" s="163" t="s">
        <v>318</v>
      </c>
    </row>
    <row r="1284" spans="2:6">
      <c r="B1284" s="147" t="str">
        <f>IF(LEFT(Commodities!B$138,1)="*","*R1","R1")</f>
        <v>*R1</v>
      </c>
      <c r="C1284" s="147" t="e">
        <f>CONCATENATE("EXP",Commodities!C56,RIGHT(#REF!,2))</f>
        <v>#REF!</v>
      </c>
      <c r="D1284" s="147" t="e">
        <f>CONCATENATE("Export Pipeline Trade of ",Commodities!C56, " from ",$B1284," to R",RIGHT(C1284))</f>
        <v>#REF!</v>
      </c>
      <c r="E1284" s="163" t="s">
        <v>196</v>
      </c>
      <c r="F1284" s="163" t="s">
        <v>318</v>
      </c>
    </row>
    <row r="1285" spans="2:6">
      <c r="B1285" s="147" t="str">
        <f>IF(LEFT(Commodities!B$139,1)="*","*R1","R1")</f>
        <v>*R1</v>
      </c>
      <c r="C1285" s="147" t="e">
        <f>CONCATENATE("EXP",Commodities!C57,RIGHT(#REF!,2))</f>
        <v>#REF!</v>
      </c>
      <c r="D1285" s="147" t="e">
        <f>CONCATENATE("Export Pipeline Trade of ",Commodities!C57, " from ",$B1285," to R",RIGHT(C1285))</f>
        <v>#REF!</v>
      </c>
      <c r="E1285" s="163" t="s">
        <v>196</v>
      </c>
      <c r="F1285" s="163" t="s">
        <v>318</v>
      </c>
    </row>
    <row r="1286" spans="2:6">
      <c r="B1286" s="147" t="str">
        <f>IF(LEFT(Commodities!B$140,1)="*","*R1","R1")</f>
        <v>*R1</v>
      </c>
      <c r="C1286" s="147" t="e">
        <f>CONCATENATE("EXP",Commodities!C58,RIGHT(#REF!,2))</f>
        <v>#REF!</v>
      </c>
      <c r="D1286" s="147" t="e">
        <f>CONCATENATE("Export Pipeline Trade of ",Commodities!C58, " from ",$B1286," to R",RIGHT(C1286))</f>
        <v>#REF!</v>
      </c>
      <c r="E1286" s="163" t="s">
        <v>196</v>
      </c>
      <c r="F1286" s="163" t="s">
        <v>318</v>
      </c>
    </row>
    <row r="1287" spans="2:6">
      <c r="B1287" s="147" t="str">
        <f>IF(LEFT(Commodities!B$141,1)="*","*R1","R1")</f>
        <v>R1</v>
      </c>
      <c r="C1287" s="147" t="e">
        <f>CONCATENATE("EXP",Commodities!C59,RIGHT(#REF!,2))</f>
        <v>#REF!</v>
      </c>
      <c r="D1287" s="147" t="e">
        <f>CONCATENATE("Export Pipeline Trade of ",Commodities!C59, " from ",$B1287," to R",RIGHT(C1287))</f>
        <v>#REF!</v>
      </c>
      <c r="E1287" s="163" t="s">
        <v>196</v>
      </c>
      <c r="F1287" s="163" t="s">
        <v>318</v>
      </c>
    </row>
    <row r="1288" spans="2:6">
      <c r="B1288" s="147" t="str">
        <f>IF(LEFT(Commodities!B$142,1)="*","*R1","R1")</f>
        <v>*R1</v>
      </c>
      <c r="C1288" s="147" t="e">
        <f>CONCATENATE("EXP",Commodities!C60,RIGHT(#REF!,2))</f>
        <v>#REF!</v>
      </c>
      <c r="D1288" s="147" t="e">
        <f>CONCATENATE("Export Pipeline Trade of ",Commodities!C60, " from ",$B1288," to R",RIGHT(C1288))</f>
        <v>#REF!</v>
      </c>
      <c r="E1288" s="163" t="s">
        <v>196</v>
      </c>
      <c r="F1288" s="163" t="s">
        <v>318</v>
      </c>
    </row>
    <row r="1289" spans="2:6">
      <c r="B1289" s="147" t="str">
        <f>IF(LEFT(Commodities!B143,1)="*","*R3","R3")</f>
        <v>*R3</v>
      </c>
      <c r="C1289" s="147" t="e">
        <f>CONCATENATE("EXP",Commodities!C48,RIGHT(#REF!,2))</f>
        <v>#REF!</v>
      </c>
      <c r="D1289" s="147" t="e">
        <f>CONCATENATE("Export Pipeline Trade of ",Commodities!C48, " from ",$B$1289," to R",RIGHT(C1289))</f>
        <v>#REF!</v>
      </c>
      <c r="E1289" s="163" t="s">
        <v>196</v>
      </c>
      <c r="F1289" s="163" t="s">
        <v>318</v>
      </c>
    </row>
    <row r="1290" spans="2:6">
      <c r="B1290" s="147" t="str">
        <f>IF(LEFT(Commodities!B144,1)="*","*R3","R3")</f>
        <v>*R3</v>
      </c>
      <c r="C1290" s="147" t="e">
        <f>CONCATENATE("EXP",Commodities!C49,RIGHT(#REF!,2))</f>
        <v>#REF!</v>
      </c>
      <c r="D1290" s="147" t="e">
        <f>CONCATENATE("Export Pipeline Trade of ",Commodities!C49, " from ",$B$1290," to R",RIGHT(C1290))</f>
        <v>#REF!</v>
      </c>
      <c r="E1290" s="163" t="s">
        <v>196</v>
      </c>
      <c r="F1290" s="163" t="s">
        <v>318</v>
      </c>
    </row>
    <row r="1291" spans="2:6">
      <c r="B1291" s="147" t="str">
        <f>IF(LEFT(Commodities!B145,1)="*","*R3","R3")</f>
        <v>*R3</v>
      </c>
      <c r="C1291" s="147" t="e">
        <f>CONCATENATE("EXP",Commodities!C50,RIGHT(#REF!,2))</f>
        <v>#REF!</v>
      </c>
      <c r="D1291" s="147" t="e">
        <f>CONCATENATE("Export Pipeline Trade of ",Commodities!C50, " from ",$B$1291," to R",RIGHT(C1291))</f>
        <v>#REF!</v>
      </c>
      <c r="E1291" s="163" t="s">
        <v>196</v>
      </c>
      <c r="F1291" s="163" t="s">
        <v>318</v>
      </c>
    </row>
    <row r="1292" spans="2:6">
      <c r="B1292" s="147" t="str">
        <f>IF(LEFT(Commodities!B146,1)="*","*R3","R3")</f>
        <v>*R3</v>
      </c>
      <c r="C1292" s="147" t="e">
        <f>CONCATENATE("EXP",Commodities!C51,RIGHT(#REF!,2))</f>
        <v>#REF!</v>
      </c>
      <c r="D1292" s="147" t="e">
        <f>CONCATENATE("Export Pipeline Trade of ",Commodities!C51, " from ",$B$1289," to R",RIGHT(C1292))</f>
        <v>#REF!</v>
      </c>
      <c r="E1292" s="163" t="s">
        <v>196</v>
      </c>
      <c r="F1292" s="163" t="s">
        <v>318</v>
      </c>
    </row>
    <row r="1293" spans="2:6">
      <c r="B1293" s="147" t="str">
        <f>IF(LEFT(Commodities!B147,1)="*","*R3","R3")</f>
        <v>*R3</v>
      </c>
      <c r="C1293" s="147" t="e">
        <f>CONCATENATE("EXP",Commodities!C52,RIGHT(#REF!,2))</f>
        <v>#REF!</v>
      </c>
      <c r="D1293" s="147" t="e">
        <f>CONCATENATE("Export Pipeline Trade of ",Commodities!C52, " from ",$B$1289," to R",RIGHT(C1293))</f>
        <v>#REF!</v>
      </c>
      <c r="E1293" s="163" t="s">
        <v>196</v>
      </c>
      <c r="F1293" s="163" t="s">
        <v>318</v>
      </c>
    </row>
    <row r="1294" spans="2:6">
      <c r="B1294" s="147" t="str">
        <f>IF(LEFT(Commodities!B148,1)="*","*R3","R3")</f>
        <v>*R3</v>
      </c>
      <c r="C1294" s="147" t="e">
        <f>CONCATENATE("EXP",Commodities!C53,RIGHT(#REF!,2))</f>
        <v>#REF!</v>
      </c>
      <c r="D1294" s="147" t="e">
        <f>CONCATENATE("Export Pipeline Trade of ",Commodities!C53, " from ",$B$1289," to R",RIGHT(C1294))</f>
        <v>#REF!</v>
      </c>
      <c r="E1294" s="163" t="s">
        <v>196</v>
      </c>
      <c r="F1294" s="163" t="s">
        <v>318</v>
      </c>
    </row>
    <row r="1295" spans="2:6">
      <c r="B1295" s="147" t="str">
        <f>IF(LEFT(Commodities!B149,1)="*","*R3","R3")</f>
        <v>*R3</v>
      </c>
      <c r="C1295" s="147" t="e">
        <f>CONCATENATE("EXP",Commodities!C54,RIGHT(#REF!,2))</f>
        <v>#REF!</v>
      </c>
      <c r="D1295" s="147" t="e">
        <f>CONCATENATE("Export Pipeline Trade of ",Commodities!C54, " from ",$B$1289," to R",RIGHT(C1295))</f>
        <v>#REF!</v>
      </c>
      <c r="E1295" s="163" t="s">
        <v>196</v>
      </c>
      <c r="F1295" s="163" t="s">
        <v>318</v>
      </c>
    </row>
    <row r="1296" spans="2:6">
      <c r="B1296" s="147" t="str">
        <f>IF(LEFT(Commodities!B150,1)="*","*R3","R3")</f>
        <v>*R3</v>
      </c>
      <c r="C1296" s="147" t="e">
        <f>CONCATENATE("EXP",Commodities!C55,RIGHT(#REF!,2))</f>
        <v>#REF!</v>
      </c>
      <c r="D1296" s="147" t="e">
        <f>CONCATENATE("Export Pipeline Trade of ",Commodities!C55, " from ",$B$1289," to R",RIGHT(C1296))</f>
        <v>#REF!</v>
      </c>
      <c r="E1296" s="163" t="s">
        <v>196</v>
      </c>
      <c r="F1296" s="163" t="s">
        <v>318</v>
      </c>
    </row>
    <row r="1297" spans="2:6">
      <c r="B1297" s="147" t="str">
        <f>IF(LEFT(Commodities!B151,1)="*","*R3","R3")</f>
        <v>*R3</v>
      </c>
      <c r="C1297" s="147" t="e">
        <f>CONCATENATE("EXP",Commodities!C56,RIGHT(#REF!,2))</f>
        <v>#REF!</v>
      </c>
      <c r="D1297" s="147" t="e">
        <f>CONCATENATE("Export Pipeline Trade of ",Commodities!C56, " from ",$B$1289," to R",RIGHT(C1297))</f>
        <v>#REF!</v>
      </c>
      <c r="E1297" s="163" t="s">
        <v>196</v>
      </c>
      <c r="F1297" s="163" t="s">
        <v>318</v>
      </c>
    </row>
    <row r="1298" spans="2:6">
      <c r="B1298" s="147" t="str">
        <f>IF(LEFT(Commodities!B152,1)="*","*R3","R3")</f>
        <v>*R3</v>
      </c>
      <c r="C1298" s="147" t="e">
        <f>CONCATENATE("EXP",Commodities!C57,RIGHT(#REF!,2))</f>
        <v>#REF!</v>
      </c>
      <c r="D1298" s="147" t="e">
        <f>CONCATENATE("Export Pipeline Trade of ",Commodities!C57, " from ",$B$1289," to R",RIGHT(C1298))</f>
        <v>#REF!</v>
      </c>
      <c r="E1298" s="163" t="s">
        <v>196</v>
      </c>
      <c r="F1298" s="163" t="s">
        <v>318</v>
      </c>
    </row>
    <row r="1299" spans="2:6">
      <c r="B1299" s="147" t="str">
        <f>IF(LEFT(Commodities!B153,1)="*","*R3","R3")</f>
        <v>*R3</v>
      </c>
      <c r="C1299" s="147" t="e">
        <f>CONCATENATE("EXP",Commodities!C58,RIGHT(#REF!,2))</f>
        <v>#REF!</v>
      </c>
      <c r="D1299" s="147" t="e">
        <f>CONCATENATE("Export Pipeline Trade of ",Commodities!C58, " from ",$B$1289," to R",RIGHT(C1299))</f>
        <v>#REF!</v>
      </c>
      <c r="E1299" s="163" t="s">
        <v>196</v>
      </c>
      <c r="F1299" s="163" t="s">
        <v>318</v>
      </c>
    </row>
    <row r="1300" spans="2:6">
      <c r="B1300" s="147" t="str">
        <f>IF(LEFT(Commodities!B154,1)="*","*R3","R3")</f>
        <v>*R3</v>
      </c>
      <c r="C1300" s="147" t="e">
        <f>CONCATENATE("EXP",Commodities!C59,RIGHT(#REF!,2))</f>
        <v>#REF!</v>
      </c>
      <c r="D1300" s="147" t="e">
        <f>CONCATENATE("Export Pipeline Trade of ",Commodities!C59, " from ",$B$1300," to R",RIGHT(C1300))</f>
        <v>#REF!</v>
      </c>
      <c r="E1300" s="163" t="s">
        <v>196</v>
      </c>
      <c r="F1300" s="163" t="s">
        <v>318</v>
      </c>
    </row>
    <row r="1301" spans="2:6">
      <c r="B1301" s="147" t="str">
        <f>IF(LEFT(Commodities!B155,1)="*","*R3","R3")</f>
        <v>*R3</v>
      </c>
      <c r="C1301" s="147" t="e">
        <f>CONCATENATE("EXP",Commodities!C60,RIGHT(#REF!,2))</f>
        <v>#REF!</v>
      </c>
      <c r="D1301" s="147" t="e">
        <f>CONCATENATE("Export Pipeline Trade of ",Commodities!C60, " from ",$B$1289," to R",RIGHT(C1301))</f>
        <v>#REF!</v>
      </c>
      <c r="E1301" s="163" t="s">
        <v>196</v>
      </c>
      <c r="F1301" s="163" t="s">
        <v>318</v>
      </c>
    </row>
    <row r="1302" spans="2:6">
      <c r="B1302" s="147" t="s">
        <v>1032</v>
      </c>
      <c r="C1302" s="147" t="e">
        <f>CONCATENATE("EXP",Commodities!C48,RIGHT(#REF!,2))</f>
        <v>#REF!</v>
      </c>
      <c r="D1302" s="147" t="e">
        <f>CONCATENATE("Export Pipeline Trade of ",Commodities!C48, " from ",$B$1302," to R",RIGHT(C1302))</f>
        <v>#REF!</v>
      </c>
      <c r="E1302" s="163" t="s">
        <v>196</v>
      </c>
      <c r="F1302" s="163" t="s">
        <v>318</v>
      </c>
    </row>
    <row r="1303" spans="2:6">
      <c r="B1303" s="147" t="s">
        <v>1032</v>
      </c>
      <c r="C1303" s="147" t="e">
        <f>CONCATENATE("EXP",Commodities!C49,RIGHT(#REF!,2))</f>
        <v>#REF!</v>
      </c>
      <c r="D1303" s="147" t="e">
        <f>CONCATENATE("Export Pipeline Trade of ",Commodities!C49, " from ",$B$1302," to R",RIGHT(C1303))</f>
        <v>#REF!</v>
      </c>
      <c r="E1303" s="163" t="s">
        <v>196</v>
      </c>
      <c r="F1303" s="163" t="s">
        <v>318</v>
      </c>
    </row>
    <row r="1304" spans="2:6">
      <c r="B1304" s="147" t="s">
        <v>1032</v>
      </c>
      <c r="C1304" s="147" t="e">
        <f>CONCATENATE("EXP",Commodities!C50,RIGHT(#REF!,2))</f>
        <v>#REF!</v>
      </c>
      <c r="D1304" s="147" t="e">
        <f>CONCATENATE("Export Pipeline Trade of ",Commodities!C50, " from ",$B$1302," to R",RIGHT(C1304))</f>
        <v>#REF!</v>
      </c>
      <c r="E1304" s="163" t="s">
        <v>196</v>
      </c>
      <c r="F1304" s="163" t="s">
        <v>318</v>
      </c>
    </row>
    <row r="1305" spans="2:6">
      <c r="B1305" s="147" t="s">
        <v>1032</v>
      </c>
      <c r="C1305" s="147" t="e">
        <f>CONCATENATE("EXP",Commodities!C51,RIGHT(#REF!,2))</f>
        <v>#REF!</v>
      </c>
      <c r="D1305" s="147" t="e">
        <f>CONCATENATE("Export Pipeline Trade of ",Commodities!C51, " from ",$B$1302," to R",RIGHT(C1305))</f>
        <v>#REF!</v>
      </c>
      <c r="E1305" s="163" t="s">
        <v>196</v>
      </c>
      <c r="F1305" s="163" t="s">
        <v>318</v>
      </c>
    </row>
    <row r="1306" spans="2:6">
      <c r="B1306" s="147" t="s">
        <v>1032</v>
      </c>
      <c r="C1306" s="147" t="e">
        <f>CONCATENATE("EXP",Commodities!C52,RIGHT(#REF!,2))</f>
        <v>#REF!</v>
      </c>
      <c r="D1306" s="147" t="e">
        <f>CONCATENATE("Export Pipeline Trade of ",Commodities!C52, " from ",$B$1302," to R",RIGHT(C1306))</f>
        <v>#REF!</v>
      </c>
      <c r="E1306" s="163" t="s">
        <v>196</v>
      </c>
      <c r="F1306" s="163" t="s">
        <v>318</v>
      </c>
    </row>
    <row r="1307" spans="2:6">
      <c r="B1307" s="147" t="s">
        <v>1032</v>
      </c>
      <c r="C1307" s="147" t="e">
        <f>CONCATENATE("EXP",Commodities!C53,RIGHT(#REF!,2))</f>
        <v>#REF!</v>
      </c>
      <c r="D1307" s="147" t="e">
        <f>CONCATENATE("Export Pipeline Trade of ",Commodities!C53, " from ",$B$1302," to R",RIGHT(C1307))</f>
        <v>#REF!</v>
      </c>
      <c r="E1307" s="163" t="s">
        <v>196</v>
      </c>
      <c r="F1307" s="163" t="s">
        <v>318</v>
      </c>
    </row>
    <row r="1308" spans="2:6">
      <c r="B1308" s="147" t="s">
        <v>1032</v>
      </c>
      <c r="C1308" s="147" t="e">
        <f>CONCATENATE("EXP",Commodities!C54,RIGHT(#REF!,2))</f>
        <v>#REF!</v>
      </c>
      <c r="D1308" s="147" t="e">
        <f>CONCATENATE("Export Pipeline Trade of ",Commodities!C54, " from ",$B$1302," to R",RIGHT(C1308))</f>
        <v>#REF!</v>
      </c>
      <c r="E1308" s="163" t="s">
        <v>196</v>
      </c>
      <c r="F1308" s="163" t="s">
        <v>318</v>
      </c>
    </row>
    <row r="1309" spans="2:6">
      <c r="B1309" s="147" t="s">
        <v>1032</v>
      </c>
      <c r="C1309" s="147" t="e">
        <f>CONCATENATE("EXP",Commodities!C55,RIGHT(#REF!,2))</f>
        <v>#REF!</v>
      </c>
      <c r="D1309" s="147" t="e">
        <f>CONCATENATE("Export Pipeline Trade of ",Commodities!C55, " from ",$B$1302," to R",RIGHT(C1309))</f>
        <v>#REF!</v>
      </c>
      <c r="E1309" s="163" t="s">
        <v>196</v>
      </c>
      <c r="F1309" s="163" t="s">
        <v>318</v>
      </c>
    </row>
    <row r="1310" spans="2:6">
      <c r="B1310" s="147" t="s">
        <v>1032</v>
      </c>
      <c r="C1310" s="147" t="e">
        <f>CONCATENATE("EXP",Commodities!C56,RIGHT(#REF!,2))</f>
        <v>#REF!</v>
      </c>
      <c r="D1310" s="147" t="e">
        <f>CONCATENATE("Export Pipeline Trade of ",Commodities!C56, " from ",$B$1302," to R",RIGHT(C1310))</f>
        <v>#REF!</v>
      </c>
      <c r="E1310" s="163" t="s">
        <v>196</v>
      </c>
      <c r="F1310" s="163" t="s">
        <v>318</v>
      </c>
    </row>
    <row r="1311" spans="2:6">
      <c r="B1311" s="147" t="s">
        <v>1032</v>
      </c>
      <c r="C1311" s="147" t="e">
        <f>CONCATENATE("EXP",Commodities!C57,RIGHT(#REF!,2))</f>
        <v>#REF!</v>
      </c>
      <c r="D1311" s="147" t="e">
        <f>CONCATENATE("Export Pipeline Trade of ",Commodities!C57, " from ",$B$1302," to R",RIGHT(C1311))</f>
        <v>#REF!</v>
      </c>
      <c r="E1311" s="163" t="s">
        <v>196</v>
      </c>
      <c r="F1311" s="163" t="s">
        <v>318</v>
      </c>
    </row>
    <row r="1312" spans="2:6">
      <c r="B1312" s="147" t="s">
        <v>1032</v>
      </c>
      <c r="C1312" s="147" t="e">
        <f>CONCATENATE("EXP",Commodities!C58,RIGHT(#REF!,2))</f>
        <v>#REF!</v>
      </c>
      <c r="D1312" s="147" t="e">
        <f>CONCATENATE("Export Pipeline Trade of ",Commodities!C58, " from ",$B$1302," to R",RIGHT(C1312))</f>
        <v>#REF!</v>
      </c>
      <c r="E1312" s="163" t="s">
        <v>196</v>
      </c>
      <c r="F1312" s="163" t="s">
        <v>318</v>
      </c>
    </row>
    <row r="1313" spans="2:6">
      <c r="B1313" s="147" t="s">
        <v>1032</v>
      </c>
      <c r="C1313" s="147" t="e">
        <f>CONCATENATE("EXP",Commodities!C59,RIGHT(#REF!,2))</f>
        <v>#REF!</v>
      </c>
      <c r="D1313" s="147" t="e">
        <f>CONCATENATE("Export Pipeline Trade of ",Commodities!C59, " from ",$B$1302," to R",RIGHT(C1313))</f>
        <v>#REF!</v>
      </c>
      <c r="E1313" s="163" t="s">
        <v>196</v>
      </c>
      <c r="F1313" s="163" t="s">
        <v>318</v>
      </c>
    </row>
    <row r="1314" spans="2:6">
      <c r="B1314" s="147" t="s">
        <v>1032</v>
      </c>
      <c r="C1314" s="147" t="e">
        <f>CONCATENATE("EXP",Commodities!C60,RIGHT(#REF!,2))</f>
        <v>#REF!</v>
      </c>
      <c r="D1314" s="147" t="e">
        <f>CONCATENATE("Export Pipeline Trade of ",Commodities!C60, " from ",$B$1302," to R",RIGHT(C1314))</f>
        <v>#REF!</v>
      </c>
      <c r="E1314" s="163" t="s">
        <v>196</v>
      </c>
      <c r="F1314" s="163" t="s">
        <v>318</v>
      </c>
    </row>
    <row r="1315" spans="2:6">
      <c r="B1315" s="147" t="s">
        <v>1032</v>
      </c>
      <c r="C1315" s="147" t="e">
        <f>CONCATENATE("EXP",Commodities!C48,RIGHT(#REF!,2))</f>
        <v>#REF!</v>
      </c>
      <c r="D1315" s="147" t="e">
        <f>CONCATENATE("Export Pipeline Trade of ",Commodities!C48, " from ",$B$1315," to R",RIGHT(C1315))</f>
        <v>#REF!</v>
      </c>
      <c r="E1315" s="163" t="s">
        <v>196</v>
      </c>
      <c r="F1315" s="163" t="s">
        <v>318</v>
      </c>
    </row>
    <row r="1316" spans="2:6">
      <c r="B1316" s="147" t="s">
        <v>1032</v>
      </c>
      <c r="C1316" s="147" t="e">
        <f>CONCATENATE("EXP",Commodities!C49,RIGHT(#REF!,2))</f>
        <v>#REF!</v>
      </c>
      <c r="D1316" s="147" t="e">
        <f>CONCATENATE("Export Pipeline Trade of ",Commodities!C49, " from ",$B$1315," to R",RIGHT(C1316))</f>
        <v>#REF!</v>
      </c>
      <c r="E1316" s="163" t="s">
        <v>196</v>
      </c>
      <c r="F1316" s="163" t="s">
        <v>318</v>
      </c>
    </row>
    <row r="1317" spans="2:6">
      <c r="B1317" s="147" t="s">
        <v>1032</v>
      </c>
      <c r="C1317" s="147" t="e">
        <f>CONCATENATE("EXP",Commodities!C50,RIGHT(#REF!,2))</f>
        <v>#REF!</v>
      </c>
      <c r="D1317" s="147" t="e">
        <f>CONCATENATE("Export Pipeline Trade of ",Commodities!C50, " from ",$B$1315," to R",RIGHT(C1317))</f>
        <v>#REF!</v>
      </c>
      <c r="E1317" s="163" t="s">
        <v>196</v>
      </c>
      <c r="F1317" s="163" t="s">
        <v>318</v>
      </c>
    </row>
    <row r="1318" spans="2:6">
      <c r="B1318" s="147" t="s">
        <v>1032</v>
      </c>
      <c r="C1318" s="147" t="e">
        <f>CONCATENATE("EXP",Commodities!C51,RIGHT(#REF!,2))</f>
        <v>#REF!</v>
      </c>
      <c r="D1318" s="147" t="e">
        <f>CONCATENATE("Export Pipeline Trade of ",Commodities!C51, " from ",$B$1315," to R",RIGHT(C1318))</f>
        <v>#REF!</v>
      </c>
      <c r="E1318" s="163" t="s">
        <v>196</v>
      </c>
      <c r="F1318" s="163" t="s">
        <v>318</v>
      </c>
    </row>
    <row r="1319" spans="2:6">
      <c r="B1319" s="147" t="s">
        <v>1032</v>
      </c>
      <c r="C1319" s="147" t="e">
        <f>CONCATENATE("EXP",Commodities!C52,RIGHT(#REF!,2))</f>
        <v>#REF!</v>
      </c>
      <c r="D1319" s="147" t="e">
        <f>CONCATENATE("Export Pipeline Trade of ",Commodities!C52, " from ",$B$1315," to R",RIGHT(C1319))</f>
        <v>#REF!</v>
      </c>
      <c r="E1319" s="163" t="s">
        <v>196</v>
      </c>
      <c r="F1319" s="163" t="s">
        <v>318</v>
      </c>
    </row>
    <row r="1320" spans="2:6">
      <c r="B1320" s="147" t="s">
        <v>1032</v>
      </c>
      <c r="C1320" s="147" t="e">
        <f>CONCATENATE("EXP",Commodities!C53,RIGHT(#REF!,2))</f>
        <v>#REF!</v>
      </c>
      <c r="D1320" s="147" t="e">
        <f>CONCATENATE("Export Pipeline Trade of ",Commodities!C53, " from ",$B$1315," to R",RIGHT(C1320))</f>
        <v>#REF!</v>
      </c>
      <c r="E1320" s="163" t="s">
        <v>196</v>
      </c>
      <c r="F1320" s="163" t="s">
        <v>318</v>
      </c>
    </row>
    <row r="1321" spans="2:6">
      <c r="B1321" s="147" t="s">
        <v>1032</v>
      </c>
      <c r="C1321" s="147" t="e">
        <f>CONCATENATE("EXP",Commodities!C54,RIGHT(#REF!,2))</f>
        <v>#REF!</v>
      </c>
      <c r="D1321" s="147" t="e">
        <f>CONCATENATE("Export Pipeline Trade of ",Commodities!C54, " from ",$B$1315," to R",RIGHT(C1321))</f>
        <v>#REF!</v>
      </c>
      <c r="E1321" s="163" t="s">
        <v>196</v>
      </c>
      <c r="F1321" s="163" t="s">
        <v>318</v>
      </c>
    </row>
    <row r="1322" spans="2:6">
      <c r="B1322" s="147" t="s">
        <v>1032</v>
      </c>
      <c r="C1322" s="147" t="e">
        <f>CONCATENATE("EXP",Commodities!C55,RIGHT(#REF!,2))</f>
        <v>#REF!</v>
      </c>
      <c r="D1322" s="147" t="e">
        <f>CONCATENATE("Export Pipeline Trade of ",Commodities!C55, " from ",$B$1315," to R",RIGHT(C1322))</f>
        <v>#REF!</v>
      </c>
      <c r="E1322" s="163" t="s">
        <v>196</v>
      </c>
      <c r="F1322" s="163" t="s">
        <v>318</v>
      </c>
    </row>
    <row r="1323" spans="2:6">
      <c r="B1323" s="147" t="s">
        <v>1032</v>
      </c>
      <c r="C1323" s="147" t="e">
        <f>CONCATENATE("EXP",Commodities!C56,RIGHT(#REF!,2))</f>
        <v>#REF!</v>
      </c>
      <c r="D1323" s="147" t="e">
        <f>CONCATENATE("Export Pipeline Trade of ",Commodities!C56, " from ",$B$1315," to R",RIGHT(C1323))</f>
        <v>#REF!</v>
      </c>
      <c r="E1323" s="163" t="s">
        <v>196</v>
      </c>
      <c r="F1323" s="163" t="s">
        <v>318</v>
      </c>
    </row>
    <row r="1324" spans="2:6">
      <c r="B1324" s="147" t="s">
        <v>1032</v>
      </c>
      <c r="C1324" s="147" t="e">
        <f>CONCATENATE("EXP",Commodities!C57,RIGHT(#REF!,2))</f>
        <v>#REF!</v>
      </c>
      <c r="D1324" s="147" t="e">
        <f>CONCATENATE("Export Pipeline Trade of ",Commodities!C57, " from ",$B$1315," to R",RIGHT(C1324))</f>
        <v>#REF!</v>
      </c>
      <c r="E1324" s="163" t="s">
        <v>196</v>
      </c>
      <c r="F1324" s="163" t="s">
        <v>318</v>
      </c>
    </row>
    <row r="1325" spans="2:6">
      <c r="B1325" s="147" t="s">
        <v>1032</v>
      </c>
      <c r="C1325" s="147" t="e">
        <f>CONCATENATE("EXP",Commodities!C58,RIGHT(#REF!,2))</f>
        <v>#REF!</v>
      </c>
      <c r="D1325" s="147" t="e">
        <f>CONCATENATE("Export Pipeline Trade of ",Commodities!C58, " from ",$B$1315," to R",RIGHT(C1325))</f>
        <v>#REF!</v>
      </c>
      <c r="E1325" s="163" t="s">
        <v>196</v>
      </c>
      <c r="F1325" s="163" t="s">
        <v>318</v>
      </c>
    </row>
    <row r="1326" spans="2:6">
      <c r="B1326" s="147" t="s">
        <v>1032</v>
      </c>
      <c r="C1326" s="147" t="e">
        <f>CONCATENATE("EXP",Commodities!C59,RIGHT(#REF!,2))</f>
        <v>#REF!</v>
      </c>
      <c r="D1326" s="147" t="e">
        <f>CONCATENATE("Export Pipeline Trade of ",Commodities!C59, " from ",$B$1315," to R",RIGHT(C1326))</f>
        <v>#REF!</v>
      </c>
      <c r="E1326" s="163" t="s">
        <v>196</v>
      </c>
      <c r="F1326" s="163" t="s">
        <v>318</v>
      </c>
    </row>
    <row r="1327" spans="2:6">
      <c r="B1327" s="147" t="s">
        <v>1032</v>
      </c>
      <c r="C1327" s="147" t="e">
        <f>CONCATENATE("EXP",Commodities!C60,RIGHT(#REF!,2))</f>
        <v>#REF!</v>
      </c>
      <c r="D1327" s="147" t="e">
        <f>CONCATENATE("Export Pipeline Trade of ",Commodities!C60, " from ",$B$1315," to R",RIGHT(C1327))</f>
        <v>#REF!</v>
      </c>
      <c r="E1327" s="163" t="s">
        <v>196</v>
      </c>
      <c r="F1327" s="163" t="s">
        <v>318</v>
      </c>
    </row>
    <row r="1328" spans="2:6">
      <c r="B1328" s="147" t="str">
        <f>IF(LEFT(Commodities!B156,1)="*","*R4","R4")</f>
        <v>*R4</v>
      </c>
      <c r="C1328" s="147" t="e">
        <f>CONCATENATE("EXP",Commodities!C48,RIGHT(#REF!,2))</f>
        <v>#REF!</v>
      </c>
      <c r="D1328" s="147" t="e">
        <f>CONCATENATE("Export Pipeline Trade of ",Commodities!C48, " from ",$B$1328," to R",RIGHT(C1328))</f>
        <v>#REF!</v>
      </c>
      <c r="E1328" s="163" t="s">
        <v>196</v>
      </c>
      <c r="F1328" s="163" t="s">
        <v>318</v>
      </c>
    </row>
    <row r="1329" spans="2:6">
      <c r="B1329" s="147" t="str">
        <f>IF(LEFT(Commodities!B157,1)="*","*R4","R4")</f>
        <v>*R4</v>
      </c>
      <c r="C1329" s="147" t="e">
        <f>CONCATENATE("EXP",Commodities!C49,RIGHT(#REF!,2))</f>
        <v>#REF!</v>
      </c>
      <c r="D1329" s="147" t="e">
        <f>CONCATENATE("Export Pipeline Trade of ",Commodities!C49, " from ",$B$1329," to R",RIGHT(C1329))</f>
        <v>#REF!</v>
      </c>
      <c r="E1329" s="163" t="s">
        <v>196</v>
      </c>
      <c r="F1329" s="163" t="s">
        <v>318</v>
      </c>
    </row>
    <row r="1330" spans="2:6">
      <c r="B1330" s="147" t="str">
        <f>IF(LEFT(Commodities!B158,1)="*","*R4","R4")</f>
        <v>*R4</v>
      </c>
      <c r="C1330" s="147" t="e">
        <f>CONCATENATE("EXP",Commodities!C50,RIGHT(#REF!,2))</f>
        <v>#REF!</v>
      </c>
      <c r="D1330" s="147" t="e">
        <f>CONCATENATE("Export Pipeline Trade of ",Commodities!C50, " from ",$B$1330," to R",RIGHT(C1330))</f>
        <v>#REF!</v>
      </c>
      <c r="E1330" s="163" t="s">
        <v>196</v>
      </c>
      <c r="F1330" s="163" t="s">
        <v>318</v>
      </c>
    </row>
    <row r="1331" spans="2:6">
      <c r="B1331" s="147" t="str">
        <f>IF(LEFT(Commodities!B159,1)="*","*R4","R4")</f>
        <v>*R4</v>
      </c>
      <c r="C1331" s="147" t="e">
        <f>CONCATENATE("EXP",Commodities!C51,RIGHT(#REF!,2))</f>
        <v>#REF!</v>
      </c>
      <c r="D1331" s="147" t="e">
        <f>CONCATENATE("Export Pipeline Trade of ",Commodities!C51, " from ",$B$1331," to R",RIGHT(C1331))</f>
        <v>#REF!</v>
      </c>
      <c r="E1331" s="163" t="s">
        <v>196</v>
      </c>
      <c r="F1331" s="163" t="s">
        <v>318</v>
      </c>
    </row>
    <row r="1332" spans="2:6">
      <c r="B1332" s="147" t="str">
        <f>IF(LEFT(Commodities!B160,1)="*","*R4","R4")</f>
        <v>*R4</v>
      </c>
      <c r="C1332" s="147" t="e">
        <f>CONCATENATE("EXP",Commodities!C52,RIGHT(#REF!,2))</f>
        <v>#REF!</v>
      </c>
      <c r="D1332" s="147" t="e">
        <f>CONCATENATE("Export Pipeline Trade of ",Commodities!C52, " from ",$B$1332," to R",RIGHT(C1332))</f>
        <v>#REF!</v>
      </c>
      <c r="E1332" s="163" t="s">
        <v>196</v>
      </c>
      <c r="F1332" s="163" t="s">
        <v>318</v>
      </c>
    </row>
    <row r="1333" spans="2:6">
      <c r="B1333" s="147" t="str">
        <f>IF(LEFT(Commodities!B161,1)="*","*R4","R4")</f>
        <v>*R4</v>
      </c>
      <c r="C1333" s="147" t="e">
        <f>CONCATENATE("EXP",Commodities!C53,RIGHT(#REF!,2))</f>
        <v>#REF!</v>
      </c>
      <c r="D1333" s="147" t="e">
        <f>CONCATENATE("Export Pipeline Trade of ",Commodities!C53, " from ",$B$1333," to R",RIGHT(C1333))</f>
        <v>#REF!</v>
      </c>
      <c r="E1333" s="163" t="s">
        <v>196</v>
      </c>
      <c r="F1333" s="163" t="s">
        <v>318</v>
      </c>
    </row>
    <row r="1334" spans="2:6">
      <c r="B1334" s="147" t="str">
        <f>IF(LEFT(Commodities!B162,1)="*","*R4","R4")</f>
        <v>*R4</v>
      </c>
      <c r="C1334" s="147" t="e">
        <f>CONCATENATE("EXP",Commodities!C54,RIGHT(#REF!,2))</f>
        <v>#REF!</v>
      </c>
      <c r="D1334" s="147" t="e">
        <f>CONCATENATE("Export Pipeline Trade of ",Commodities!C54, " from ",$B$1334," to R",RIGHT(C1334))</f>
        <v>#REF!</v>
      </c>
      <c r="E1334" s="163" t="s">
        <v>196</v>
      </c>
      <c r="F1334" s="163" t="s">
        <v>318</v>
      </c>
    </row>
    <row r="1335" spans="2:6">
      <c r="B1335" s="147" t="str">
        <f>IF(LEFT(Commodities!B163,1)="*","*R4","R4")</f>
        <v>*R4</v>
      </c>
      <c r="C1335" s="147" t="e">
        <f>CONCATENATE("EXP",Commodities!C55,RIGHT(#REF!,2))</f>
        <v>#REF!</v>
      </c>
      <c r="D1335" s="147" t="e">
        <f>CONCATENATE("Export Pipeline Trade of ",Commodities!C55, " from ",$B$1335," to R",RIGHT(C1335))</f>
        <v>#REF!</v>
      </c>
      <c r="E1335" s="163" t="s">
        <v>196</v>
      </c>
      <c r="F1335" s="163" t="s">
        <v>318</v>
      </c>
    </row>
    <row r="1336" spans="2:6">
      <c r="B1336" s="147" t="str">
        <f>IF(LEFT(Commodities!B164,1)="*","*R4","R4")</f>
        <v>*R4</v>
      </c>
      <c r="C1336" s="147" t="e">
        <f>CONCATENATE("EXP",Commodities!C56,RIGHT(#REF!,2))</f>
        <v>#REF!</v>
      </c>
      <c r="D1336" s="147" t="e">
        <f>CONCATENATE("Export Pipeline Trade of ",Commodities!C56, " from ",$B$1336," to R",RIGHT(C1336))</f>
        <v>#REF!</v>
      </c>
      <c r="E1336" s="163" t="s">
        <v>196</v>
      </c>
      <c r="F1336" s="163" t="s">
        <v>318</v>
      </c>
    </row>
    <row r="1337" spans="2:6">
      <c r="B1337" s="147" t="str">
        <f>IF(LEFT(Commodities!B165,1)="*","*R4","R4")</f>
        <v>*R4</v>
      </c>
      <c r="C1337" s="147" t="e">
        <f>CONCATENATE("EXP",Commodities!C57,RIGHT(#REF!,2))</f>
        <v>#REF!</v>
      </c>
      <c r="D1337" s="147" t="e">
        <f>CONCATENATE("Export Pipeline Trade of ",Commodities!C57, " from ",$B$1337," to R",RIGHT(C1337))</f>
        <v>#REF!</v>
      </c>
      <c r="E1337" s="163" t="s">
        <v>196</v>
      </c>
      <c r="F1337" s="163" t="s">
        <v>318</v>
      </c>
    </row>
    <row r="1338" spans="2:6">
      <c r="B1338" s="147" t="str">
        <f>IF(LEFT(Commodities!B166,1)="*","*R4","R4")</f>
        <v>*R4</v>
      </c>
      <c r="C1338" s="147" t="e">
        <f>CONCATENATE("EXP",Commodities!C58,RIGHT(#REF!,2))</f>
        <v>#REF!</v>
      </c>
      <c r="D1338" s="147" t="e">
        <f>CONCATENATE("Export Pipeline Trade of ",Commodities!C58, " from ",$B$1338," to R",RIGHT(C1338))</f>
        <v>#REF!</v>
      </c>
      <c r="E1338" s="163" t="s">
        <v>196</v>
      </c>
      <c r="F1338" s="163" t="s">
        <v>318</v>
      </c>
    </row>
    <row r="1339" spans="2:6">
      <c r="B1339" s="147" t="str">
        <f>IF(LEFT(Commodities!B167,1)="*","*R4","R4")</f>
        <v>*R4</v>
      </c>
      <c r="C1339" s="147" t="e">
        <f>CONCATENATE("EXP",Commodities!C59,RIGHT(#REF!,2))</f>
        <v>#REF!</v>
      </c>
      <c r="D1339" s="147" t="e">
        <f>CONCATENATE("Export Pipeline Trade of ",Commodities!C59, " from ",$B$1339," to R",RIGHT(C1339))</f>
        <v>#REF!</v>
      </c>
      <c r="E1339" s="163" t="s">
        <v>196</v>
      </c>
      <c r="F1339" s="163" t="s">
        <v>318</v>
      </c>
    </row>
    <row r="1340" spans="2:6">
      <c r="B1340" s="147" t="str">
        <f>IF(LEFT(Commodities!B168,1)="*","*R4","R4")</f>
        <v>*R4</v>
      </c>
      <c r="C1340" s="147" t="e">
        <f>CONCATENATE("EXP",Commodities!C60,RIGHT(#REF!,2))</f>
        <v>#REF!</v>
      </c>
      <c r="D1340" s="147" t="e">
        <f>CONCATENATE("Export Pipeline Trade of ",Commodities!C60, " from ",$B$1340," to R",RIGHT(C1340))</f>
        <v>#REF!</v>
      </c>
      <c r="E1340" s="163" t="s">
        <v>196</v>
      </c>
      <c r="F1340" s="163" t="s">
        <v>318</v>
      </c>
    </row>
    <row r="1341" spans="2:6">
      <c r="B1341" s="147" t="str">
        <f>B1328</f>
        <v>*R4</v>
      </c>
      <c r="C1341" s="147" t="e">
        <f>CONCATENATE("EXP",Commodities!C48,RIGHT(#REF!,2))</f>
        <v>#REF!</v>
      </c>
      <c r="D1341" s="147" t="e">
        <f>CONCATENATE("Export Pipeline Trade of ",Commodities!C48, " from ",$B$1341," to R",RIGHT(C1341))</f>
        <v>#REF!</v>
      </c>
      <c r="E1341" s="163" t="s">
        <v>196</v>
      </c>
      <c r="F1341" s="163" t="s">
        <v>318</v>
      </c>
    </row>
    <row r="1342" spans="2:6">
      <c r="B1342" s="147" t="str">
        <f t="shared" ref="B1342:B1353" si="10">B1329</f>
        <v>*R4</v>
      </c>
      <c r="C1342" s="147" t="e">
        <f>CONCATENATE("EXP",Commodities!C49,RIGHT(#REF!,2))</f>
        <v>#REF!</v>
      </c>
      <c r="D1342" s="147" t="e">
        <f>CONCATENATE("Export Pipeline Trade of ",Commodities!C49, " from ",$B$1342," to R",RIGHT(C1342))</f>
        <v>#REF!</v>
      </c>
      <c r="E1342" s="163" t="s">
        <v>196</v>
      </c>
      <c r="F1342" s="163" t="s">
        <v>318</v>
      </c>
    </row>
    <row r="1343" spans="2:6">
      <c r="B1343" s="147" t="str">
        <f t="shared" si="10"/>
        <v>*R4</v>
      </c>
      <c r="C1343" s="147" t="e">
        <f>CONCATENATE("EXP",Commodities!C50,RIGHT(#REF!,2))</f>
        <v>#REF!</v>
      </c>
      <c r="D1343" s="147" t="e">
        <f>CONCATENATE("Export Pipeline Trade of ",Commodities!C50, " from ",$B$1343," to R",RIGHT(C1343))</f>
        <v>#REF!</v>
      </c>
      <c r="E1343" s="163" t="s">
        <v>196</v>
      </c>
      <c r="F1343" s="163" t="s">
        <v>318</v>
      </c>
    </row>
    <row r="1344" spans="2:6">
      <c r="B1344" s="147" t="str">
        <f t="shared" si="10"/>
        <v>*R4</v>
      </c>
      <c r="C1344" s="147" t="e">
        <f>CONCATENATE("EXP",Commodities!C51,RIGHT(#REF!,2))</f>
        <v>#REF!</v>
      </c>
      <c r="D1344" s="147" t="e">
        <f>CONCATENATE("Export Pipeline Trade of ",Commodities!C51, " from ",$B$1344," to R",RIGHT(C1344))</f>
        <v>#REF!</v>
      </c>
      <c r="E1344" s="163" t="s">
        <v>196</v>
      </c>
      <c r="F1344" s="163" t="s">
        <v>318</v>
      </c>
    </row>
    <row r="1345" spans="2:6">
      <c r="B1345" s="147" t="str">
        <f t="shared" si="10"/>
        <v>*R4</v>
      </c>
      <c r="C1345" s="147" t="e">
        <f>CONCATENATE("EXP",Commodities!C52,RIGHT(#REF!,2))</f>
        <v>#REF!</v>
      </c>
      <c r="D1345" s="147" t="e">
        <f>CONCATENATE("Export Pipeline Trade of ",Commodities!C52, " from ",$B$1345," to R",RIGHT(C1345))</f>
        <v>#REF!</v>
      </c>
      <c r="E1345" s="163" t="s">
        <v>196</v>
      </c>
      <c r="F1345" s="163" t="s">
        <v>318</v>
      </c>
    </row>
    <row r="1346" spans="2:6">
      <c r="B1346" s="147" t="str">
        <f t="shared" si="10"/>
        <v>*R4</v>
      </c>
      <c r="C1346" s="147" t="e">
        <f>CONCATENATE("EXP",Commodities!C53,RIGHT(#REF!,2))</f>
        <v>#REF!</v>
      </c>
      <c r="D1346" s="147" t="e">
        <f>CONCATENATE("Export Pipeline Trade of ",Commodities!C53, " from ",$B$1346," to R",RIGHT(C1346))</f>
        <v>#REF!</v>
      </c>
      <c r="E1346" s="163" t="s">
        <v>196</v>
      </c>
      <c r="F1346" s="163" t="s">
        <v>318</v>
      </c>
    </row>
    <row r="1347" spans="2:6">
      <c r="B1347" s="147" t="str">
        <f t="shared" si="10"/>
        <v>*R4</v>
      </c>
      <c r="C1347" s="147" t="e">
        <f>CONCATENATE("EXP",Commodities!C54,RIGHT(#REF!,2))</f>
        <v>#REF!</v>
      </c>
      <c r="D1347" s="147" t="e">
        <f>CONCATENATE("Export Pipeline Trade of ",Commodities!C54, " from ",$B$1347," to R",RIGHT(C1347))</f>
        <v>#REF!</v>
      </c>
      <c r="E1347" s="163" t="s">
        <v>196</v>
      </c>
      <c r="F1347" s="163" t="s">
        <v>318</v>
      </c>
    </row>
    <row r="1348" spans="2:6">
      <c r="B1348" s="147" t="str">
        <f t="shared" si="10"/>
        <v>*R4</v>
      </c>
      <c r="C1348" s="147" t="e">
        <f>CONCATENATE("EXP",Commodities!C55,RIGHT(#REF!,2))</f>
        <v>#REF!</v>
      </c>
      <c r="D1348" s="147" t="e">
        <f>CONCATENATE("Export Pipeline Trade of ",Commodities!C55, " from ",$B$1348," to R",RIGHT(C1348))</f>
        <v>#REF!</v>
      </c>
      <c r="E1348" s="163" t="s">
        <v>196</v>
      </c>
      <c r="F1348" s="163" t="s">
        <v>318</v>
      </c>
    </row>
    <row r="1349" spans="2:6">
      <c r="B1349" s="147" t="str">
        <f t="shared" si="10"/>
        <v>*R4</v>
      </c>
      <c r="C1349" s="147" t="e">
        <f>CONCATENATE("EXP",Commodities!C56,RIGHT(#REF!,2))</f>
        <v>#REF!</v>
      </c>
      <c r="D1349" s="147" t="e">
        <f>CONCATENATE("Export Pipeline Trade of ",Commodities!C56, " from ",$B$1349," to R",RIGHT(C1349))</f>
        <v>#REF!</v>
      </c>
      <c r="E1349" s="163" t="s">
        <v>196</v>
      </c>
      <c r="F1349" s="163" t="s">
        <v>318</v>
      </c>
    </row>
    <row r="1350" spans="2:6">
      <c r="B1350" s="147" t="str">
        <f t="shared" si="10"/>
        <v>*R4</v>
      </c>
      <c r="C1350" s="147" t="e">
        <f>CONCATENATE("EXP",Commodities!C57,RIGHT(#REF!,2))</f>
        <v>#REF!</v>
      </c>
      <c r="D1350" s="147" t="e">
        <f>CONCATENATE("Export Pipeline Trade of ",Commodities!C57, " from ",$B$1350," to R",RIGHT(C1350))</f>
        <v>#REF!</v>
      </c>
      <c r="E1350" s="163" t="s">
        <v>196</v>
      </c>
      <c r="F1350" s="163" t="s">
        <v>318</v>
      </c>
    </row>
    <row r="1351" spans="2:6">
      <c r="B1351" s="147" t="str">
        <f t="shared" si="10"/>
        <v>*R4</v>
      </c>
      <c r="C1351" s="147" t="e">
        <f>CONCATENATE("EXP",Commodities!C58,RIGHT(#REF!,2))</f>
        <v>#REF!</v>
      </c>
      <c r="D1351" s="147" t="e">
        <f>CONCATENATE("Export Pipeline Trade of ",Commodities!C58, " from ",$B$1351," to R",RIGHT(C1351))</f>
        <v>#REF!</v>
      </c>
      <c r="E1351" s="163" t="s">
        <v>196</v>
      </c>
      <c r="F1351" s="163" t="s">
        <v>318</v>
      </c>
    </row>
    <row r="1352" spans="2:6">
      <c r="B1352" s="147" t="str">
        <f t="shared" si="10"/>
        <v>*R4</v>
      </c>
      <c r="C1352" s="147" t="e">
        <f>CONCATENATE("EXP",Commodities!C59,RIGHT(#REF!,2))</f>
        <v>#REF!</v>
      </c>
      <c r="D1352" s="147" t="e">
        <f>CONCATENATE("Export Pipeline Trade of ",Commodities!C59, " from ",$B$1352," to R",RIGHT(C1352))</f>
        <v>#REF!</v>
      </c>
      <c r="E1352" s="163" t="s">
        <v>196</v>
      </c>
      <c r="F1352" s="163" t="s">
        <v>318</v>
      </c>
    </row>
    <row r="1353" spans="2:6">
      <c r="B1353" s="147" t="str">
        <f t="shared" si="10"/>
        <v>*R4</v>
      </c>
      <c r="C1353" s="147" t="e">
        <f>CONCATENATE("EXP",Commodities!C60,RIGHT(#REF!,2))</f>
        <v>#REF!</v>
      </c>
      <c r="D1353" s="147" t="e">
        <f>CONCATENATE("Export Pipeline Trade of ",Commodities!C60, " from ",$B$1353," to R",RIGHT(C1353))</f>
        <v>#REF!</v>
      </c>
      <c r="E1353" s="163" t="s">
        <v>196</v>
      </c>
      <c r="F1353" s="163" t="s">
        <v>318</v>
      </c>
    </row>
    <row r="1354" spans="2:6">
      <c r="B1354" s="147" t="str">
        <f>IF(LEFT(Commodities!B$130,1)="*","*R1","R1")</f>
        <v>R1</v>
      </c>
      <c r="C1354" s="147" t="e">
        <f>CONCATENATE("EXP",Commodities!C48,RIGHT(#REF!,2))</f>
        <v>#REF!</v>
      </c>
      <c r="D1354" s="147" t="e">
        <f>CONCATENATE("Export Pipeline Trade of ",Commodities!C48, " from ",$B$1354," to R",RIGHT(C1354))</f>
        <v>#REF!</v>
      </c>
      <c r="E1354" s="163" t="s">
        <v>196</v>
      </c>
      <c r="F1354" s="163" t="s">
        <v>318</v>
      </c>
    </row>
    <row r="1355" spans="2:6">
      <c r="B1355" s="147" t="str">
        <f>IF(LEFT(Commodities!B$131,1)="*","*R1","R1")</f>
        <v>R1</v>
      </c>
      <c r="C1355" s="147" t="e">
        <f>CONCATENATE("EXP",Commodities!C49,RIGHT(#REF!,2))</f>
        <v>#REF!</v>
      </c>
      <c r="D1355" s="147" t="e">
        <f>CONCATENATE("Export Pipeline Trade of ",Commodities!C49, " from ",$B$1355," to R",RIGHT(C1355))</f>
        <v>#REF!</v>
      </c>
      <c r="E1355" s="163" t="s">
        <v>196</v>
      </c>
      <c r="F1355" s="163" t="s">
        <v>318</v>
      </c>
    </row>
    <row r="1356" spans="2:6">
      <c r="B1356" s="147" t="str">
        <f>IF(LEFT(Commodities!B$132,1)="*","*R1","R1")</f>
        <v>R1</v>
      </c>
      <c r="C1356" s="147" t="e">
        <f>CONCATENATE("EXP",Commodities!C50,RIGHT(#REF!,2))</f>
        <v>#REF!</v>
      </c>
      <c r="D1356" s="147" t="e">
        <f>CONCATENATE("Export Pipeline Trade of ",Commodities!C50, " from ",$B$1356," to R",RIGHT(C1356))</f>
        <v>#REF!</v>
      </c>
      <c r="E1356" s="163" t="s">
        <v>196</v>
      </c>
      <c r="F1356" s="163" t="s">
        <v>318</v>
      </c>
    </row>
    <row r="1357" spans="2:6">
      <c r="B1357" s="147" t="str">
        <f>IF(LEFT(Commodities!B$133,1)="*","*R1","R1")</f>
        <v>R1</v>
      </c>
      <c r="C1357" s="147" t="e">
        <f>CONCATENATE("EXP",Commodities!C51,RIGHT(#REF!,2))</f>
        <v>#REF!</v>
      </c>
      <c r="D1357" s="147" t="e">
        <f>CONCATENATE("Export Pipeline Trade of ",Commodities!C51, " from ",$B$1357," to R",RIGHT(C1357))</f>
        <v>#REF!</v>
      </c>
      <c r="E1357" s="163" t="s">
        <v>196</v>
      </c>
      <c r="F1357" s="163" t="s">
        <v>318</v>
      </c>
    </row>
    <row r="1358" spans="2:6">
      <c r="B1358" s="147" t="str">
        <f>IF(LEFT(Commodities!B$134,1)="*","*R1","R1")</f>
        <v>R1</v>
      </c>
      <c r="C1358" s="147" t="e">
        <f>CONCATENATE("EXP",Commodities!C52,RIGHT(#REF!,2))</f>
        <v>#REF!</v>
      </c>
      <c r="D1358" s="147" t="e">
        <f>CONCATENATE("Export Pipeline Trade of ",Commodities!C52, " from ",$B$1358," to R",RIGHT(C1358))</f>
        <v>#REF!</v>
      </c>
      <c r="E1358" s="163" t="s">
        <v>196</v>
      </c>
      <c r="F1358" s="163" t="s">
        <v>318</v>
      </c>
    </row>
    <row r="1359" spans="2:6">
      <c r="B1359" s="147" t="str">
        <f>IF(LEFT(Commodities!B$135,1)="*","*R1","R1")</f>
        <v>*R1</v>
      </c>
      <c r="C1359" s="147" t="e">
        <f>CONCATENATE("EXP",Commodities!C53,RIGHT(#REF!,2))</f>
        <v>#REF!</v>
      </c>
      <c r="D1359" s="147" t="e">
        <f>CONCATENATE("Export Pipeline Trade of ",Commodities!C53, " from ",$B$1359," to R",RIGHT(C1359))</f>
        <v>#REF!</v>
      </c>
      <c r="E1359" s="163" t="s">
        <v>196</v>
      </c>
      <c r="F1359" s="163" t="s">
        <v>318</v>
      </c>
    </row>
    <row r="1360" spans="2:6">
      <c r="B1360" s="147" t="str">
        <f>IF(LEFT(Commodities!B$136,1)="*","*R1","R1")</f>
        <v>*R1</v>
      </c>
      <c r="C1360" s="147" t="e">
        <f>CONCATENATE("EXP",Commodities!C54,RIGHT(#REF!,2))</f>
        <v>#REF!</v>
      </c>
      <c r="D1360" s="147" t="e">
        <f>CONCATENATE("Export Pipeline Trade of ",Commodities!C54, " from ",$B$1360," to R",RIGHT(C1360))</f>
        <v>#REF!</v>
      </c>
      <c r="E1360" s="163" t="s">
        <v>196</v>
      </c>
      <c r="F1360" s="163" t="s">
        <v>318</v>
      </c>
    </row>
    <row r="1361" spans="2:6">
      <c r="B1361" s="147" t="str">
        <f>IF(LEFT(Commodities!B$137,1)="*","*R1","R1")</f>
        <v>*R1</v>
      </c>
      <c r="C1361" s="147" t="e">
        <f>CONCATENATE("EXP",Commodities!C55,RIGHT(#REF!,2))</f>
        <v>#REF!</v>
      </c>
      <c r="D1361" s="147" t="e">
        <f>CONCATENATE("Export Pipeline Trade of ",Commodities!C55, " from ",$B$1361," to R",RIGHT(C1361))</f>
        <v>#REF!</v>
      </c>
      <c r="E1361" s="163" t="s">
        <v>196</v>
      </c>
      <c r="F1361" s="163" t="s">
        <v>318</v>
      </c>
    </row>
    <row r="1362" spans="2:6">
      <c r="B1362" s="147" t="str">
        <f>IF(LEFT(Commodities!B$138,1)="*","*R1","R1")</f>
        <v>*R1</v>
      </c>
      <c r="C1362" s="147" t="e">
        <f>CONCATENATE("EXP",Commodities!C56,RIGHT(#REF!,2))</f>
        <v>#REF!</v>
      </c>
      <c r="D1362" s="147" t="e">
        <f>CONCATENATE("Export Pipeline Trade of ",Commodities!C56, " from ",$B$1362," to R",RIGHT(C1362))</f>
        <v>#REF!</v>
      </c>
      <c r="E1362" s="163" t="s">
        <v>196</v>
      </c>
      <c r="F1362" s="163" t="s">
        <v>318</v>
      </c>
    </row>
    <row r="1363" spans="2:6">
      <c r="B1363" s="147" t="str">
        <f>IF(LEFT(Commodities!B$139,1)="*","*R1","R1")</f>
        <v>*R1</v>
      </c>
      <c r="C1363" s="147" t="e">
        <f>CONCATENATE("EXP",Commodities!C57,RIGHT(#REF!,2))</f>
        <v>#REF!</v>
      </c>
      <c r="D1363" s="147" t="e">
        <f>CONCATENATE("Export Pipeline Trade of ",Commodities!C57, " from ",$B$1363," to R",RIGHT(C1363))</f>
        <v>#REF!</v>
      </c>
      <c r="E1363" s="163" t="s">
        <v>196</v>
      </c>
      <c r="F1363" s="163" t="s">
        <v>318</v>
      </c>
    </row>
    <row r="1364" spans="2:6">
      <c r="B1364" s="147" t="str">
        <f>IF(LEFT(Commodities!B$140,1)="*","*R1","R1")</f>
        <v>*R1</v>
      </c>
      <c r="C1364" s="147" t="e">
        <f>CONCATENATE("EXP",Commodities!C58,RIGHT(#REF!,2))</f>
        <v>#REF!</v>
      </c>
      <c r="D1364" s="147" t="e">
        <f>CONCATENATE("Export Pipeline Trade of ",Commodities!C58, " from ",$B$1364," to R",RIGHT(C1364))</f>
        <v>#REF!</v>
      </c>
      <c r="E1364" s="163" t="s">
        <v>196</v>
      </c>
      <c r="F1364" s="163" t="s">
        <v>318</v>
      </c>
    </row>
    <row r="1365" spans="2:6">
      <c r="B1365" s="147" t="str">
        <f>IF(LEFT(Commodities!B$141,1)="*","*R1","R1")</f>
        <v>R1</v>
      </c>
      <c r="C1365" s="147" t="e">
        <f>CONCATENATE("EXP",Commodities!C59,RIGHT(#REF!,2))</f>
        <v>#REF!</v>
      </c>
      <c r="D1365" s="147" t="e">
        <f>CONCATENATE("Export Pipeline Trade of ",Commodities!C59, " from ",$B$1365," to R",RIGHT(C1365))</f>
        <v>#REF!</v>
      </c>
      <c r="E1365" s="163" t="s">
        <v>196</v>
      </c>
      <c r="F1365" s="163" t="s">
        <v>318</v>
      </c>
    </row>
    <row r="1366" spans="2:6">
      <c r="B1366" s="147" t="str">
        <f>IF(LEFT(Commodities!B$142,1)="*","*R1","R1")</f>
        <v>*R1</v>
      </c>
      <c r="C1366" s="147" t="e">
        <f>CONCATENATE("EXP",Commodities!C60,RIGHT(#REF!,2))</f>
        <v>#REF!</v>
      </c>
      <c r="D1366" s="147" t="e">
        <f>CONCATENATE("Export Pipeline Trade of ",Commodities!C60, " from ",$B$1366," to R",RIGHT(C1366))</f>
        <v>#REF!</v>
      </c>
      <c r="E1366" s="163" t="s">
        <v>196</v>
      </c>
      <c r="F1366" s="163" t="s">
        <v>318</v>
      </c>
    </row>
    <row r="1367" spans="2:6">
      <c r="B1367" s="147" t="str">
        <f>IF(LEFT(Commodities!B$130,1)="*","*R1","R1")</f>
        <v>R1</v>
      </c>
      <c r="C1367" s="147" t="e">
        <f>CONCATENATE("EXP",Commodities!C48,RIGHT(#REF!,2))</f>
        <v>#REF!</v>
      </c>
      <c r="D1367" s="147" t="e">
        <f>CONCATENATE("Export Pipeline Trade of ",Commodities!C48, " from ",$B1367," to R",RIGHT(C1367))</f>
        <v>#REF!</v>
      </c>
      <c r="E1367" s="163" t="s">
        <v>196</v>
      </c>
      <c r="F1367" s="163" t="s">
        <v>318</v>
      </c>
    </row>
    <row r="1368" spans="2:6">
      <c r="B1368" s="147" t="str">
        <f>IF(LEFT(Commodities!B$131,1)="*","*R1","R1")</f>
        <v>R1</v>
      </c>
      <c r="C1368" s="147" t="e">
        <f>CONCATENATE("EXP",Commodities!C49,RIGHT(#REF!,2))</f>
        <v>#REF!</v>
      </c>
      <c r="D1368" s="147" t="e">
        <f>CONCATENATE("Export Pipeline Trade of ",Commodities!C49, " from ",$B1368," to R",RIGHT(C1368))</f>
        <v>#REF!</v>
      </c>
      <c r="E1368" s="163" t="s">
        <v>196</v>
      </c>
      <c r="F1368" s="163" t="s">
        <v>318</v>
      </c>
    </row>
    <row r="1369" spans="2:6">
      <c r="B1369" s="147" t="str">
        <f>IF(LEFT(Commodities!B$132,1)="*","*R1","R1")</f>
        <v>R1</v>
      </c>
      <c r="C1369" s="147" t="e">
        <f>CONCATENATE("EXP",Commodities!C50,RIGHT(#REF!,2))</f>
        <v>#REF!</v>
      </c>
      <c r="D1369" s="147" t="e">
        <f>CONCATENATE("Export Pipeline Trade of ",Commodities!C50, " from ",$B1369," to R",RIGHT(C1369))</f>
        <v>#REF!</v>
      </c>
      <c r="E1369" s="163" t="s">
        <v>196</v>
      </c>
      <c r="F1369" s="163" t="s">
        <v>318</v>
      </c>
    </row>
    <row r="1370" spans="2:6">
      <c r="B1370" s="147" t="str">
        <f>IF(LEFT(Commodities!B$133,1)="*","*R1","R1")</f>
        <v>R1</v>
      </c>
      <c r="C1370" s="147" t="e">
        <f>CONCATENATE("EXP",Commodities!C51,RIGHT(#REF!,2))</f>
        <v>#REF!</v>
      </c>
      <c r="D1370" s="147" t="e">
        <f>CONCATENATE("Export Pipeline Trade of ",Commodities!C51, " from ",$B1370," to R",RIGHT(C1370))</f>
        <v>#REF!</v>
      </c>
      <c r="E1370" s="163" t="s">
        <v>196</v>
      </c>
      <c r="F1370" s="163" t="s">
        <v>318</v>
      </c>
    </row>
    <row r="1371" spans="2:6">
      <c r="B1371" s="147" t="str">
        <f>IF(LEFT(Commodities!B$134,1)="*","*R1","R1")</f>
        <v>R1</v>
      </c>
      <c r="C1371" s="147" t="e">
        <f>CONCATENATE("EXP",Commodities!C52,RIGHT(#REF!,2))</f>
        <v>#REF!</v>
      </c>
      <c r="D1371" s="147" t="e">
        <f>CONCATENATE("Export Pipeline Trade of ",Commodities!C52, " from ",$B1371," to R",RIGHT(C1371))</f>
        <v>#REF!</v>
      </c>
      <c r="E1371" s="163" t="s">
        <v>196</v>
      </c>
      <c r="F1371" s="163" t="s">
        <v>318</v>
      </c>
    </row>
    <row r="1372" spans="2:6">
      <c r="B1372" s="147" t="str">
        <f>IF(LEFT(Commodities!B$135,1)="*","*R1","R1")</f>
        <v>*R1</v>
      </c>
      <c r="C1372" s="147" t="e">
        <f>CONCATENATE("EXP",Commodities!C53,RIGHT(#REF!,2))</f>
        <v>#REF!</v>
      </c>
      <c r="D1372" s="147" t="e">
        <f>CONCATENATE("Export Pipeline Trade of ",Commodities!C53, " from ",$B1372," to R",RIGHT(C1372))</f>
        <v>#REF!</v>
      </c>
      <c r="E1372" s="163" t="s">
        <v>196</v>
      </c>
      <c r="F1372" s="163" t="s">
        <v>318</v>
      </c>
    </row>
    <row r="1373" spans="2:6">
      <c r="B1373" s="147" t="str">
        <f>IF(LEFT(Commodities!B$136,1)="*","*R1","R1")</f>
        <v>*R1</v>
      </c>
      <c r="C1373" s="147" t="e">
        <f>CONCATENATE("EXP",Commodities!C54,RIGHT(#REF!,2))</f>
        <v>#REF!</v>
      </c>
      <c r="D1373" s="147" t="e">
        <f>CONCATENATE("Export Pipeline Trade of ",Commodities!C54, " from ",$B1373," to R",RIGHT(C1373))</f>
        <v>#REF!</v>
      </c>
      <c r="E1373" s="163" t="s">
        <v>196</v>
      </c>
      <c r="F1373" s="163" t="s">
        <v>318</v>
      </c>
    </row>
    <row r="1374" spans="2:6">
      <c r="B1374" s="147" t="str">
        <f>IF(LEFT(Commodities!B$137,1)="*","*R1","R1")</f>
        <v>*R1</v>
      </c>
      <c r="C1374" s="147" t="e">
        <f>CONCATENATE("EXP",Commodities!C55,RIGHT(#REF!,2))</f>
        <v>#REF!</v>
      </c>
      <c r="D1374" s="147" t="e">
        <f>CONCATENATE("Export Pipeline Trade of ",Commodities!C55, " from ",$B1374," to R",RIGHT(C1374))</f>
        <v>#REF!</v>
      </c>
      <c r="E1374" s="163" t="s">
        <v>196</v>
      </c>
      <c r="F1374" s="163" t="s">
        <v>318</v>
      </c>
    </row>
    <row r="1375" spans="2:6">
      <c r="B1375" s="147" t="str">
        <f>IF(LEFT(Commodities!B$138,1)="*","*R1","R1")</f>
        <v>*R1</v>
      </c>
      <c r="C1375" s="147" t="e">
        <f>CONCATENATE("EXP",Commodities!C56,RIGHT(#REF!,2))</f>
        <v>#REF!</v>
      </c>
      <c r="D1375" s="147" t="e">
        <f>CONCATENATE("Export Pipeline Trade of ",Commodities!C56, " from ",$B1375," to R",RIGHT(C1375))</f>
        <v>#REF!</v>
      </c>
      <c r="E1375" s="163" t="s">
        <v>196</v>
      </c>
      <c r="F1375" s="163" t="s">
        <v>318</v>
      </c>
    </row>
    <row r="1376" spans="2:6">
      <c r="B1376" s="147" t="str">
        <f>IF(LEFT(Commodities!B$139,1)="*","*R1","R1")</f>
        <v>*R1</v>
      </c>
      <c r="C1376" s="147" t="e">
        <f>CONCATENATE("EXP",Commodities!C57,RIGHT(#REF!,2))</f>
        <v>#REF!</v>
      </c>
      <c r="D1376" s="147" t="e">
        <f>CONCATENATE("Export Pipeline Trade of ",Commodities!C57, " from ",$B1376," to R",RIGHT(C1376))</f>
        <v>#REF!</v>
      </c>
      <c r="E1376" s="163" t="s">
        <v>196</v>
      </c>
      <c r="F1376" s="163" t="s">
        <v>318</v>
      </c>
    </row>
    <row r="1377" spans="2:6">
      <c r="B1377" s="147" t="str">
        <f>IF(LEFT(Commodities!B$140,1)="*","*R1","R1")</f>
        <v>*R1</v>
      </c>
      <c r="C1377" s="147" t="e">
        <f>CONCATENATE("EXP",Commodities!C58,RIGHT(#REF!,2))</f>
        <v>#REF!</v>
      </c>
      <c r="D1377" s="147" t="e">
        <f>CONCATENATE("Export Pipeline Trade of ",Commodities!C58, " from ",$B1377," to R",RIGHT(C1377))</f>
        <v>#REF!</v>
      </c>
      <c r="E1377" s="163" t="s">
        <v>196</v>
      </c>
      <c r="F1377" s="163" t="s">
        <v>318</v>
      </c>
    </row>
    <row r="1378" spans="2:6">
      <c r="B1378" s="147" t="str">
        <f>IF(LEFT(Commodities!B$141,1)="*","*R1","R1")</f>
        <v>R1</v>
      </c>
      <c r="C1378" s="147" t="e">
        <f>CONCATENATE("EXP",Commodities!C59,RIGHT(#REF!,2))</f>
        <v>#REF!</v>
      </c>
      <c r="D1378" s="147" t="e">
        <f>CONCATENATE("Export Pipeline Trade of ",Commodities!C59, " from ",$B1378," to R",RIGHT(C1378))</f>
        <v>#REF!</v>
      </c>
      <c r="E1378" s="163" t="s">
        <v>196</v>
      </c>
      <c r="F1378" s="163" t="s">
        <v>318</v>
      </c>
    </row>
    <row r="1379" spans="2:6">
      <c r="B1379" s="147" t="str">
        <f>IF(LEFT(Commodities!B$142,1)="*","*R1","R1")</f>
        <v>*R1</v>
      </c>
      <c r="C1379" s="147" t="e">
        <f>CONCATENATE("EXP",Commodities!C60,RIGHT(#REF!,2))</f>
        <v>#REF!</v>
      </c>
      <c r="D1379" s="147" t="e">
        <f>CONCATENATE("Export Pipeline Trade of ",Commodities!C60, " from ",$B1379," to R",RIGHT(C1379))</f>
        <v>#REF!</v>
      </c>
      <c r="E1379" s="163" t="s">
        <v>196</v>
      </c>
      <c r="F1379" s="163" t="s">
        <v>318</v>
      </c>
    </row>
    <row r="1380" spans="2:6">
      <c r="B1380" s="147" t="str">
        <f>IF(LEFT(Commodities!B$169,1)="*","*R5","R5")</f>
        <v>*R5</v>
      </c>
      <c r="C1380" s="147" t="e">
        <f>CONCATENATE("EXP",Commodities!C48,RIGHT(#REF!,2))</f>
        <v>#REF!</v>
      </c>
      <c r="D1380" s="147" t="e">
        <f>CONCATENATE("Export Pipeline Trade of ",Commodities!C48, " from ",$B$1380," to R",RIGHT(C1380))</f>
        <v>#REF!</v>
      </c>
      <c r="E1380" s="163" t="s">
        <v>196</v>
      </c>
      <c r="F1380" s="163" t="s">
        <v>318</v>
      </c>
    </row>
    <row r="1381" spans="2:6">
      <c r="B1381" s="147" t="str">
        <f>IF(LEFT(Commodities!B$170,1)="*","*R5","R5")</f>
        <v>*R5</v>
      </c>
      <c r="C1381" s="147" t="e">
        <f>CONCATENATE("EXP",Commodities!C49,RIGHT(#REF!,2))</f>
        <v>#REF!</v>
      </c>
      <c r="D1381" s="147" t="e">
        <f>CONCATENATE("Export Pipeline Trade of ",Commodities!C49, " from ",$B$1381," to R",RIGHT(C1381))</f>
        <v>#REF!</v>
      </c>
      <c r="E1381" s="163" t="s">
        <v>196</v>
      </c>
      <c r="F1381" s="163" t="s">
        <v>318</v>
      </c>
    </row>
    <row r="1382" spans="2:6">
      <c r="B1382" s="147" t="str">
        <f>IF(LEFT(Commodities!B$171,1)="*","*R5","R5")</f>
        <v>*R5</v>
      </c>
      <c r="C1382" s="147" t="e">
        <f>CONCATENATE("EXP",Commodities!C50,RIGHT(#REF!,2))</f>
        <v>#REF!</v>
      </c>
      <c r="D1382" s="147" t="e">
        <f>CONCATENATE("Export Pipeline Trade of ",Commodities!C50, " from ",$B$1382," to R",RIGHT(C1382))</f>
        <v>#REF!</v>
      </c>
      <c r="E1382" s="163" t="s">
        <v>196</v>
      </c>
      <c r="F1382" s="163" t="s">
        <v>318</v>
      </c>
    </row>
    <row r="1383" spans="2:6">
      <c r="B1383" s="147" t="str">
        <f>IF(LEFT(Commodities!B$172,1)="*","*R5","R5")</f>
        <v>*R5</v>
      </c>
      <c r="C1383" s="147" t="e">
        <f>CONCATENATE("EXP",Commodities!C51,RIGHT(#REF!,2))</f>
        <v>#REF!</v>
      </c>
      <c r="D1383" s="147" t="e">
        <f>CONCATENATE("Export Pipeline Trade of ",Commodities!C51, " from ",$B$1383," to R",RIGHT(C1383))</f>
        <v>#REF!</v>
      </c>
      <c r="E1383" s="163" t="s">
        <v>196</v>
      </c>
      <c r="F1383" s="163" t="s">
        <v>318</v>
      </c>
    </row>
    <row r="1384" spans="2:6">
      <c r="B1384" s="147" t="str">
        <f>IF(LEFT(Commodities!B$173,1)="*","*R5","R5")</f>
        <v>*R5</v>
      </c>
      <c r="C1384" s="147" t="e">
        <f>CONCATENATE("EXP",Commodities!C52,RIGHT(#REF!,2))</f>
        <v>#REF!</v>
      </c>
      <c r="D1384" s="147" t="e">
        <f>CONCATENATE("Export Pipeline Trade of ",Commodities!C52, " from ",$B$1384," to R",RIGHT(C1384))</f>
        <v>#REF!</v>
      </c>
      <c r="E1384" s="163" t="s">
        <v>196</v>
      </c>
      <c r="F1384" s="163" t="s">
        <v>318</v>
      </c>
    </row>
    <row r="1385" spans="2:6">
      <c r="B1385" s="147" t="str">
        <f>IF(LEFT(Commodities!B$174,1)="*","*R5","R5")</f>
        <v>*R5</v>
      </c>
      <c r="C1385" s="147" t="e">
        <f>CONCATENATE("EXP",Commodities!C53,RIGHT(#REF!,2))</f>
        <v>#REF!</v>
      </c>
      <c r="D1385" s="147" t="e">
        <f>CONCATENATE("Export Pipeline Trade of ",Commodities!C53, " from ",$B$1385," to R",RIGHT(C1385))</f>
        <v>#REF!</v>
      </c>
      <c r="E1385" s="163" t="s">
        <v>196</v>
      </c>
      <c r="F1385" s="163" t="s">
        <v>318</v>
      </c>
    </row>
    <row r="1386" spans="2:6">
      <c r="B1386" s="147" t="str">
        <f>IF(LEFT(Commodities!B$175,1)="*","*R5","R5")</f>
        <v>*R5</v>
      </c>
      <c r="C1386" s="147" t="e">
        <f>CONCATENATE("EXP",Commodities!C54,RIGHT(#REF!,2))</f>
        <v>#REF!</v>
      </c>
      <c r="D1386" s="147" t="e">
        <f>CONCATENATE("Export Pipeline Trade of ",Commodities!C54, " from ",$B$1386," to R",RIGHT(C1386))</f>
        <v>#REF!</v>
      </c>
      <c r="E1386" s="163" t="s">
        <v>196</v>
      </c>
      <c r="F1386" s="163" t="s">
        <v>318</v>
      </c>
    </row>
    <row r="1387" spans="2:6">
      <c r="B1387" s="147" t="str">
        <f>IF(LEFT(Commodities!B$176,1)="*","*R5","R5")</f>
        <v>*R5</v>
      </c>
      <c r="C1387" s="147" t="e">
        <f>CONCATENATE("EXP",Commodities!C55,RIGHT(#REF!,2))</f>
        <v>#REF!</v>
      </c>
      <c r="D1387" s="147" t="e">
        <f>CONCATENATE("Export Pipeline Trade of ",Commodities!C55, " from ",$B$1387," to R",RIGHT(C1387))</f>
        <v>#REF!</v>
      </c>
      <c r="E1387" s="163" t="s">
        <v>196</v>
      </c>
      <c r="F1387" s="163" t="s">
        <v>318</v>
      </c>
    </row>
    <row r="1388" spans="2:6">
      <c r="B1388" s="147" t="str">
        <f>IF(LEFT(Commodities!B$177,1)="*","*R5","R5")</f>
        <v>*R5</v>
      </c>
      <c r="C1388" s="147" t="e">
        <f>CONCATENATE("EXP",Commodities!C56,RIGHT(#REF!,2))</f>
        <v>#REF!</v>
      </c>
      <c r="D1388" s="147" t="e">
        <f>CONCATENATE("Export Pipeline Trade of ",Commodities!C56, " from ",$B$1388," to R",RIGHT(C1388))</f>
        <v>#REF!</v>
      </c>
      <c r="E1388" s="163" t="s">
        <v>196</v>
      </c>
      <c r="F1388" s="163" t="s">
        <v>318</v>
      </c>
    </row>
    <row r="1389" spans="2:6">
      <c r="B1389" s="147" t="str">
        <f>IF(LEFT(Commodities!B$178,1)="*","*R5","R5")</f>
        <v>*R5</v>
      </c>
      <c r="C1389" s="147" t="e">
        <f>CONCATENATE("EXP",Commodities!C57,RIGHT(#REF!,2))</f>
        <v>#REF!</v>
      </c>
      <c r="D1389" s="147" t="e">
        <f>CONCATENATE("Export Pipeline Trade of ",Commodities!C57, " from ",$B$1389," to R",RIGHT(C1389))</f>
        <v>#REF!</v>
      </c>
      <c r="E1389" s="163" t="s">
        <v>196</v>
      </c>
      <c r="F1389" s="163" t="s">
        <v>318</v>
      </c>
    </row>
    <row r="1390" spans="2:6">
      <c r="B1390" s="147" t="str">
        <f>IF(LEFT(Commodities!B$179,1)="*","*R5","R5")</f>
        <v>*R5</v>
      </c>
      <c r="C1390" s="147" t="e">
        <f>CONCATENATE("EXP",Commodities!C58,RIGHT(#REF!,2))</f>
        <v>#REF!</v>
      </c>
      <c r="D1390" s="147" t="e">
        <f>CONCATENATE("Export Pipeline Trade of ",Commodities!C58, " from ",$B$1390," to R",RIGHT(C1390))</f>
        <v>#REF!</v>
      </c>
      <c r="E1390" s="163" t="s">
        <v>196</v>
      </c>
      <c r="F1390" s="163" t="s">
        <v>318</v>
      </c>
    </row>
    <row r="1391" spans="2:6">
      <c r="B1391" s="147" t="str">
        <f>IF(LEFT(Commodities!B$180,1)="*","*R5","R5")</f>
        <v>*R5</v>
      </c>
      <c r="C1391" s="147" t="e">
        <f>CONCATENATE("EXP",Commodities!C59,RIGHT(#REF!,2))</f>
        <v>#REF!</v>
      </c>
      <c r="D1391" s="147" t="e">
        <f>CONCATENATE("Export Pipeline Trade of ",Commodities!C59, " from ",$B$1391," to R",RIGHT(C1391))</f>
        <v>#REF!</v>
      </c>
      <c r="E1391" s="163" t="s">
        <v>196</v>
      </c>
      <c r="F1391" s="163" t="s">
        <v>318</v>
      </c>
    </row>
    <row r="1392" spans="2:6">
      <c r="B1392" s="147" t="str">
        <f>IF(LEFT(Commodities!B$181,1)="*","*R5","R5")</f>
        <v>*R5</v>
      </c>
      <c r="C1392" s="147" t="e">
        <f>CONCATENATE("EXP",Commodities!C60,RIGHT(#REF!,2))</f>
        <v>#REF!</v>
      </c>
      <c r="D1392" s="147" t="e">
        <f>CONCATENATE("Export Pipeline Trade of ",Commodities!C60, " from ",$B$1392," to R",RIGHT(C1392))</f>
        <v>#REF!</v>
      </c>
      <c r="E1392" s="163" t="s">
        <v>196</v>
      </c>
      <c r="F1392" s="163" t="s">
        <v>318</v>
      </c>
    </row>
    <row r="1393" spans="2:6">
      <c r="B1393" s="147" t="str">
        <f>IF(LEFT(Commodities!B$130,1)="*","*R1","R1")</f>
        <v>R1</v>
      </c>
      <c r="C1393" s="147" t="e">
        <f>CONCATENATE("EXP",Commodities!C48,RIGHT(#REF!,2))</f>
        <v>#REF!</v>
      </c>
      <c r="D1393" s="147" t="e">
        <f>CONCATENATE("Export Pipeline Trade of ",Commodities!C48, " from ",$B$1393," to R",RIGHT(C1393))</f>
        <v>#REF!</v>
      </c>
      <c r="E1393" s="163" t="s">
        <v>196</v>
      </c>
      <c r="F1393" s="163" t="s">
        <v>318</v>
      </c>
    </row>
    <row r="1394" spans="2:6">
      <c r="B1394" s="147" t="str">
        <f>IF(LEFT(Commodities!B$131,1)="*","*R1","R1")</f>
        <v>R1</v>
      </c>
      <c r="C1394" s="147" t="e">
        <f>CONCATENATE("EXP",Commodities!C49,RIGHT(#REF!,2))</f>
        <v>#REF!</v>
      </c>
      <c r="D1394" s="147" t="e">
        <f>CONCATENATE("Export Pipeline Trade of ",Commodities!C49, " from ",$B$1394," to R",RIGHT(C1394))</f>
        <v>#REF!</v>
      </c>
      <c r="E1394" s="163" t="s">
        <v>196</v>
      </c>
      <c r="F1394" s="163" t="s">
        <v>318</v>
      </c>
    </row>
    <row r="1395" spans="2:6">
      <c r="B1395" s="147" t="str">
        <f>IF(LEFT(Commodities!B$132,1)="*","*R1","R1")</f>
        <v>R1</v>
      </c>
      <c r="C1395" s="147" t="e">
        <f>CONCATENATE("EXP",Commodities!C50,RIGHT(#REF!,2))</f>
        <v>#REF!</v>
      </c>
      <c r="D1395" s="147" t="e">
        <f>CONCATENATE("Export Pipeline Trade of ",Commodities!C50, " from ",$B$1395," to R",RIGHT(C1395))</f>
        <v>#REF!</v>
      </c>
      <c r="E1395" s="163" t="s">
        <v>196</v>
      </c>
      <c r="F1395" s="163" t="s">
        <v>318</v>
      </c>
    </row>
    <row r="1396" spans="2:6">
      <c r="B1396" s="147" t="str">
        <f>IF(LEFT(Commodities!B$133,1)="*","*R1","R1")</f>
        <v>R1</v>
      </c>
      <c r="C1396" s="147" t="e">
        <f>CONCATENATE("EXP",Commodities!C51,RIGHT(#REF!,2))</f>
        <v>#REF!</v>
      </c>
      <c r="D1396" s="147" t="e">
        <f>CONCATENATE("Export Pipeline Trade of ",Commodities!C51, " from ",$B$1396," to R",RIGHT(C1396))</f>
        <v>#REF!</v>
      </c>
      <c r="E1396" s="163" t="s">
        <v>196</v>
      </c>
      <c r="F1396" s="163" t="s">
        <v>318</v>
      </c>
    </row>
    <row r="1397" spans="2:6">
      <c r="B1397" s="147" t="str">
        <f>IF(LEFT(Commodities!B$134,1)="*","*R1","R1")</f>
        <v>R1</v>
      </c>
      <c r="C1397" s="147" t="e">
        <f>CONCATENATE("EXP",Commodities!C52,RIGHT(#REF!,2))</f>
        <v>#REF!</v>
      </c>
      <c r="D1397" s="147" t="e">
        <f>CONCATENATE("Export Pipeline Trade of ",Commodities!C52, " from ",$B$1397," to R",RIGHT(C1397))</f>
        <v>#REF!</v>
      </c>
      <c r="E1397" s="163" t="s">
        <v>196</v>
      </c>
      <c r="F1397" s="163" t="s">
        <v>318</v>
      </c>
    </row>
    <row r="1398" spans="2:6">
      <c r="B1398" s="147" t="str">
        <f>IF(LEFT(Commodities!B$135,1)="*","*R1","R1")</f>
        <v>*R1</v>
      </c>
      <c r="C1398" s="147" t="e">
        <f>CONCATENATE("EXP",Commodities!C53,RIGHT(#REF!,2))</f>
        <v>#REF!</v>
      </c>
      <c r="D1398" s="147" t="e">
        <f>CONCATENATE("Export Pipeline Trade of ",Commodities!C53, " from ",$B$1398," to R",RIGHT(C1398))</f>
        <v>#REF!</v>
      </c>
      <c r="E1398" s="163" t="s">
        <v>196</v>
      </c>
      <c r="F1398" s="163" t="s">
        <v>318</v>
      </c>
    </row>
    <row r="1399" spans="2:6">
      <c r="B1399" s="147" t="str">
        <f>IF(LEFT(Commodities!B$136,1)="*","*R1","R1")</f>
        <v>*R1</v>
      </c>
      <c r="C1399" s="147" t="e">
        <f>CONCATENATE("EXP",Commodities!C54,RIGHT(#REF!,2))</f>
        <v>#REF!</v>
      </c>
      <c r="D1399" s="147" t="e">
        <f>CONCATENATE("Export Pipeline Trade of ",Commodities!C54, " from ",$B$1399," to R",RIGHT(C1399))</f>
        <v>#REF!</v>
      </c>
      <c r="E1399" s="163" t="s">
        <v>196</v>
      </c>
      <c r="F1399" s="163" t="s">
        <v>318</v>
      </c>
    </row>
    <row r="1400" spans="2:6">
      <c r="B1400" s="147" t="str">
        <f>IF(LEFT(Commodities!B$137,1)="*","*R1","R1")</f>
        <v>*R1</v>
      </c>
      <c r="C1400" s="147" t="e">
        <f>CONCATENATE("EXP",Commodities!C55,RIGHT(#REF!,2))</f>
        <v>#REF!</v>
      </c>
      <c r="D1400" s="147" t="e">
        <f>CONCATENATE("Export Pipeline Trade of ",Commodities!C55, " from ",$B$1400," to R",RIGHT(C1400))</f>
        <v>#REF!</v>
      </c>
      <c r="E1400" s="163" t="s">
        <v>196</v>
      </c>
      <c r="F1400" s="163" t="s">
        <v>318</v>
      </c>
    </row>
    <row r="1401" spans="2:6">
      <c r="B1401" s="147" t="str">
        <f>IF(LEFT(Commodities!B$138,1)="*","*R1","R1")</f>
        <v>*R1</v>
      </c>
      <c r="C1401" s="147" t="e">
        <f>CONCATENATE("EXP",Commodities!C56,RIGHT(#REF!,2))</f>
        <v>#REF!</v>
      </c>
      <c r="D1401" s="147" t="e">
        <f>CONCATENATE("Export Pipeline Trade of ",Commodities!C56, " from ",$B$1401," to R",RIGHT(C1401))</f>
        <v>#REF!</v>
      </c>
      <c r="E1401" s="163" t="s">
        <v>196</v>
      </c>
      <c r="F1401" s="163" t="s">
        <v>318</v>
      </c>
    </row>
    <row r="1402" spans="2:6">
      <c r="B1402" s="147" t="str">
        <f>IF(LEFT(Commodities!B$139,1)="*","*R1","R1")</f>
        <v>*R1</v>
      </c>
      <c r="C1402" s="147" t="e">
        <f>CONCATENATE("EXP",Commodities!C57,RIGHT(#REF!,2))</f>
        <v>#REF!</v>
      </c>
      <c r="D1402" s="147" t="e">
        <f>CONCATENATE("Export Pipeline Trade of ",Commodities!C57, " from ",$B$1402," to R",RIGHT(C1402))</f>
        <v>#REF!</v>
      </c>
      <c r="E1402" s="163" t="s">
        <v>196</v>
      </c>
      <c r="F1402" s="163" t="s">
        <v>318</v>
      </c>
    </row>
    <row r="1403" spans="2:6">
      <c r="B1403" s="147" t="str">
        <f>IF(LEFT(Commodities!B$140,1)="*","*R1","R1")</f>
        <v>*R1</v>
      </c>
      <c r="C1403" s="147" t="e">
        <f>CONCATENATE("EXP",Commodities!C58,RIGHT(#REF!,2))</f>
        <v>#REF!</v>
      </c>
      <c r="D1403" s="147" t="e">
        <f>CONCATENATE("Export Pipeline Trade of ",Commodities!C58, " from ",$B$1403," to R",RIGHT(C1403))</f>
        <v>#REF!</v>
      </c>
      <c r="E1403" s="163" t="s">
        <v>196</v>
      </c>
      <c r="F1403" s="163" t="s">
        <v>318</v>
      </c>
    </row>
    <row r="1404" spans="2:6">
      <c r="B1404" s="147" t="str">
        <f>IF(LEFT(Commodities!B$141,1)="*","*R1","R1")</f>
        <v>R1</v>
      </c>
      <c r="C1404" s="147" t="e">
        <f>CONCATENATE("EXP",Commodities!C59,RIGHT(#REF!,2))</f>
        <v>#REF!</v>
      </c>
      <c r="D1404" s="147" t="e">
        <f>CONCATENATE("Export Pipeline Trade of ",Commodities!C59, " from ",$B$1404," to R",RIGHT(C1404))</f>
        <v>#REF!</v>
      </c>
      <c r="E1404" s="163" t="s">
        <v>196</v>
      </c>
      <c r="F1404" s="163" t="s">
        <v>318</v>
      </c>
    </row>
    <row r="1405" spans="2:6">
      <c r="B1405" s="147" t="str">
        <f>IF(LEFT(Commodities!B$142,1)="*","*R1","R1")</f>
        <v>*R1</v>
      </c>
      <c r="C1405" s="147" t="e">
        <f>CONCATENATE("EXP",Commodities!C60,RIGHT(#REF!,2))</f>
        <v>#REF!</v>
      </c>
      <c r="D1405" s="147" t="e">
        <f>CONCATENATE("Export Pipeline Trade of ",Commodities!C60, " from ",$B$1405," to R",RIGHT(C1405))</f>
        <v>#REF!</v>
      </c>
      <c r="E1405" s="163" t="s">
        <v>196</v>
      </c>
      <c r="F1405" s="163" t="s">
        <v>318</v>
      </c>
    </row>
    <row r="1406" spans="2:6">
      <c r="B1406" s="147" t="str">
        <f>IF(LEFT(Commodities!B$182,1)="*","*R6","R6")</f>
        <v>*R6</v>
      </c>
      <c r="C1406" s="147" t="e">
        <f>CONCATENATE("EXP",Commodities!C48,RIGHT(#REF!,2))</f>
        <v>#REF!</v>
      </c>
      <c r="D1406" s="147" t="e">
        <f>CONCATENATE("Export Pipeline Trade of ",Commodities!C48, " from ",$B1406," to R",RIGHT(C1406))</f>
        <v>#REF!</v>
      </c>
      <c r="E1406" s="163" t="s">
        <v>196</v>
      </c>
      <c r="F1406" s="163" t="s">
        <v>318</v>
      </c>
    </row>
    <row r="1407" spans="2:6">
      <c r="B1407" s="147" t="str">
        <f>IF(LEFT(Commodities!B$183,1)="*","*R6","R6")</f>
        <v>*R6</v>
      </c>
      <c r="C1407" s="147" t="e">
        <f>CONCATENATE("EXP",Commodities!C49,RIGHT(#REF!,2))</f>
        <v>#REF!</v>
      </c>
      <c r="D1407" s="147" t="e">
        <f>CONCATENATE("Export Pipeline Trade of ",Commodities!C49, " from ",$B$1407," to R",RIGHT(C1407))</f>
        <v>#REF!</v>
      </c>
      <c r="E1407" s="163" t="s">
        <v>196</v>
      </c>
      <c r="F1407" s="163" t="s">
        <v>318</v>
      </c>
    </row>
    <row r="1408" spans="2:6">
      <c r="B1408" s="147" t="str">
        <f>IF(LEFT(Commodities!B$184,1)="*","*R6","R6")</f>
        <v>*R6</v>
      </c>
      <c r="C1408" s="147" t="e">
        <f>CONCATENATE("EXP",Commodities!C50,RIGHT(#REF!,2))</f>
        <v>#REF!</v>
      </c>
      <c r="D1408" s="147" t="e">
        <f>CONCATENATE("Export Pipeline Trade of ",Commodities!C50, " from ",$B$1408," to R",RIGHT(C1408))</f>
        <v>#REF!</v>
      </c>
      <c r="E1408" s="163" t="s">
        <v>196</v>
      </c>
      <c r="F1408" s="163" t="s">
        <v>318</v>
      </c>
    </row>
    <row r="1409" spans="2:6">
      <c r="B1409" s="147" t="str">
        <f>IF(LEFT(Commodities!B$185,1)="*","*R6","R6")</f>
        <v>*R6</v>
      </c>
      <c r="C1409" s="147" t="e">
        <f>CONCATENATE("EXP",Commodities!C51,RIGHT(#REF!,2))</f>
        <v>#REF!</v>
      </c>
      <c r="D1409" s="147" t="e">
        <f>CONCATENATE("Export Pipeline Trade of ",Commodities!C51, " from ",$B$1409," to R",RIGHT(C1409))</f>
        <v>#REF!</v>
      </c>
      <c r="E1409" s="163" t="s">
        <v>196</v>
      </c>
      <c r="F1409" s="163" t="s">
        <v>318</v>
      </c>
    </row>
    <row r="1410" spans="2:6">
      <c r="B1410" s="147" t="str">
        <f>IF(LEFT(Commodities!B$186,1)="*","*R6","R6")</f>
        <v>*R6</v>
      </c>
      <c r="C1410" s="147" t="e">
        <f>CONCATENATE("EXP",Commodities!C52,RIGHT(#REF!,2))</f>
        <v>#REF!</v>
      </c>
      <c r="D1410" s="147" t="e">
        <f>CONCATENATE("Export Pipeline Trade of ",Commodities!C52, " from ",$B$1410," to R",RIGHT(C1410))</f>
        <v>#REF!</v>
      </c>
      <c r="E1410" s="163" t="s">
        <v>196</v>
      </c>
      <c r="F1410" s="163" t="s">
        <v>318</v>
      </c>
    </row>
    <row r="1411" spans="2:6">
      <c r="B1411" s="147" t="str">
        <f>IF(LEFT(Commodities!B$187,1)="*","*R6","R6")</f>
        <v>*R6</v>
      </c>
      <c r="C1411" s="147" t="e">
        <f>CONCATENATE("EXP",Commodities!C53,RIGHT(#REF!,2))</f>
        <v>#REF!</v>
      </c>
      <c r="D1411" s="147" t="e">
        <f>CONCATENATE("Export Pipeline Trade of ",Commodities!C53, " from ",$B$1411," to R",RIGHT(C1411))</f>
        <v>#REF!</v>
      </c>
      <c r="E1411" s="163" t="s">
        <v>196</v>
      </c>
      <c r="F1411" s="163" t="s">
        <v>318</v>
      </c>
    </row>
    <row r="1412" spans="2:6">
      <c r="B1412" s="147" t="str">
        <f>IF(LEFT(Commodities!B$188,1)="*","*R6","R6")</f>
        <v>*R6</v>
      </c>
      <c r="C1412" s="147" t="e">
        <f>CONCATENATE("EXP",Commodities!C54,RIGHT(#REF!,2))</f>
        <v>#REF!</v>
      </c>
      <c r="D1412" s="147" t="e">
        <f>CONCATENATE("Export Pipeline Trade of ",Commodities!C54, " from ",$B$1412," to R",RIGHT(C1412))</f>
        <v>#REF!</v>
      </c>
      <c r="E1412" s="163" t="s">
        <v>196</v>
      </c>
      <c r="F1412" s="163" t="s">
        <v>318</v>
      </c>
    </row>
    <row r="1413" spans="2:6">
      <c r="B1413" s="147" t="str">
        <f>IF(LEFT(Commodities!B$189,1)="*","*R6","R6")</f>
        <v>*R6</v>
      </c>
      <c r="C1413" s="147" t="e">
        <f>CONCATENATE("EXP",Commodities!C55,RIGHT(#REF!,2))</f>
        <v>#REF!</v>
      </c>
      <c r="D1413" s="147" t="e">
        <f>CONCATENATE("Export Pipeline Trade of ",Commodities!C55, " from ",$B$1413," to R",RIGHT(C1413))</f>
        <v>#REF!</v>
      </c>
      <c r="E1413" s="163" t="s">
        <v>196</v>
      </c>
      <c r="F1413" s="163" t="s">
        <v>318</v>
      </c>
    </row>
    <row r="1414" spans="2:6">
      <c r="B1414" s="147" t="str">
        <f>IF(LEFT(Commodities!B$190,1)="*","*R6","R6")</f>
        <v>*R6</v>
      </c>
      <c r="C1414" s="147" t="e">
        <f>CONCATENATE("EXP",Commodities!C56,RIGHT(#REF!,2))</f>
        <v>#REF!</v>
      </c>
      <c r="D1414" s="147" t="e">
        <f>CONCATENATE("Export Pipeline Trade of ",Commodities!C56, " from ",$B$1414," to R",RIGHT(C1414))</f>
        <v>#REF!</v>
      </c>
      <c r="E1414" s="163" t="s">
        <v>196</v>
      </c>
      <c r="F1414" s="163" t="s">
        <v>318</v>
      </c>
    </row>
    <row r="1415" spans="2:6">
      <c r="B1415" s="147" t="str">
        <f>IF(LEFT(Commodities!B$191,1)="*","*R6","R6")</f>
        <v>*R6</v>
      </c>
      <c r="C1415" s="147" t="e">
        <f>CONCATENATE("EXP",Commodities!C57,RIGHT(#REF!,2))</f>
        <v>#REF!</v>
      </c>
      <c r="D1415" s="147" t="e">
        <f>CONCATENATE("Export Pipeline Trade of ",Commodities!C57, " from ",$B$1415," to R",RIGHT(C1415))</f>
        <v>#REF!</v>
      </c>
      <c r="E1415" s="163" t="s">
        <v>196</v>
      </c>
      <c r="F1415" s="163" t="s">
        <v>318</v>
      </c>
    </row>
    <row r="1416" spans="2:6">
      <c r="B1416" s="147" t="str">
        <f>IF(LEFT(Commodities!B$192,1)="*","*R6","R6")</f>
        <v>*R6</v>
      </c>
      <c r="C1416" s="147" t="e">
        <f>CONCATENATE("EXP",Commodities!C58,RIGHT(#REF!,2))</f>
        <v>#REF!</v>
      </c>
      <c r="D1416" s="147" t="e">
        <f>CONCATENATE("Export Pipeline Trade of ",Commodities!C58, " from ",$B$1416," to R",RIGHT(C1416))</f>
        <v>#REF!</v>
      </c>
      <c r="E1416" s="163" t="s">
        <v>196</v>
      </c>
      <c r="F1416" s="163" t="s">
        <v>318</v>
      </c>
    </row>
    <row r="1417" spans="2:6">
      <c r="B1417" s="147" t="str">
        <f>IF(LEFT(Commodities!B$193,1)="*","*R6","R6")</f>
        <v>*R6</v>
      </c>
      <c r="C1417" s="147" t="e">
        <f>CONCATENATE("EXP",Commodities!C59,RIGHT(#REF!,2))</f>
        <v>#REF!</v>
      </c>
      <c r="D1417" s="147" t="e">
        <f>CONCATENATE("Export Pipeline Trade of ",Commodities!C59, " from ",$B$1417," to R",RIGHT(C1417))</f>
        <v>#REF!</v>
      </c>
      <c r="E1417" s="163" t="s">
        <v>196</v>
      </c>
      <c r="F1417" s="163" t="s">
        <v>318</v>
      </c>
    </row>
    <row r="1418" spans="2:6">
      <c r="B1418" s="147" t="str">
        <f>IF(LEFT(Commodities!B$194,1)="*","*R6","R6")</f>
        <v>*R6</v>
      </c>
      <c r="C1418" s="147" t="e">
        <f>CONCATENATE("EXP",Commodities!C60,RIGHT(#REF!,2))</f>
        <v>#REF!</v>
      </c>
      <c r="D1418" s="147" t="e">
        <f>CONCATENATE("Export Pipeline Trade of ",Commodities!C60, " from ",$B$1418," to R",RIGHT(C1418))</f>
        <v>#REF!</v>
      </c>
      <c r="E1418" s="163" t="s">
        <v>196</v>
      </c>
      <c r="F1418" s="163" t="s">
        <v>318</v>
      </c>
    </row>
    <row r="1419" spans="2:6">
      <c r="B1419" s="147" t="str">
        <f>IF(LEFT(Commodities!B$182,1)="*","*R6","R6")</f>
        <v>*R6</v>
      </c>
      <c r="C1419" s="147" t="e">
        <f>CONCATENATE("EXP",Commodities!C48,RIGHT(#REF!,2))</f>
        <v>#REF!</v>
      </c>
      <c r="D1419" s="147" t="e">
        <f>CONCATENATE("Export Pipeline Trade of ",Commodities!C48, " from ",$B$1419," to R",RIGHT(C1419))</f>
        <v>#REF!</v>
      </c>
      <c r="E1419" s="163" t="s">
        <v>196</v>
      </c>
      <c r="F1419" s="163" t="s">
        <v>318</v>
      </c>
    </row>
    <row r="1420" spans="2:6">
      <c r="B1420" s="147" t="str">
        <f>IF(LEFT(Commodities!B$183,1)="*","*R6","R6")</f>
        <v>*R6</v>
      </c>
      <c r="C1420" s="147" t="e">
        <f>CONCATENATE("EXP",Commodities!C49,RIGHT(#REF!,2))</f>
        <v>#REF!</v>
      </c>
      <c r="D1420" s="147" t="e">
        <f>CONCATENATE("Export Pipeline Trade of ",Commodities!C49, " from ",$B$1420," to R",RIGHT(C1420))</f>
        <v>#REF!</v>
      </c>
      <c r="E1420" s="163" t="s">
        <v>196</v>
      </c>
      <c r="F1420" s="163" t="s">
        <v>318</v>
      </c>
    </row>
    <row r="1421" spans="2:6">
      <c r="B1421" s="147" t="str">
        <f>IF(LEFT(Commodities!B$184,1)="*","*R6","R6")</f>
        <v>*R6</v>
      </c>
      <c r="C1421" s="147" t="e">
        <f>CONCATENATE("EXP",Commodities!C50,RIGHT(#REF!,2))</f>
        <v>#REF!</v>
      </c>
      <c r="D1421" s="147" t="e">
        <f>CONCATENATE("Export Pipeline Trade of ",Commodities!C50, " from ",$B$1421," to R",RIGHT(C1421))</f>
        <v>#REF!</v>
      </c>
      <c r="E1421" s="163" t="s">
        <v>196</v>
      </c>
      <c r="F1421" s="163" t="s">
        <v>318</v>
      </c>
    </row>
    <row r="1422" spans="2:6">
      <c r="B1422" s="147" t="str">
        <f>IF(LEFT(Commodities!B$185,1)="*","*R6","R6")</f>
        <v>*R6</v>
      </c>
      <c r="C1422" s="147" t="e">
        <f>CONCATENATE("EXP",Commodities!C51,RIGHT(#REF!,2))</f>
        <v>#REF!</v>
      </c>
      <c r="D1422" s="147" t="e">
        <f>CONCATENATE("Export Pipeline Trade of ",Commodities!C51, " from ",$B$1422," to R",RIGHT(C1422))</f>
        <v>#REF!</v>
      </c>
      <c r="E1422" s="163" t="s">
        <v>196</v>
      </c>
      <c r="F1422" s="163" t="s">
        <v>318</v>
      </c>
    </row>
    <row r="1423" spans="2:6">
      <c r="B1423" s="147" t="str">
        <f>IF(LEFT(Commodities!B$186,1)="*","*R6","R6")</f>
        <v>*R6</v>
      </c>
      <c r="C1423" s="147" t="e">
        <f>CONCATENATE("EXP",Commodities!C52,RIGHT(#REF!,2))</f>
        <v>#REF!</v>
      </c>
      <c r="D1423" s="147" t="e">
        <f>CONCATENATE("Export Pipeline Trade of ",Commodities!C52, " from ",$B$1423," to R",RIGHT(C1423))</f>
        <v>#REF!</v>
      </c>
      <c r="E1423" s="163" t="s">
        <v>196</v>
      </c>
      <c r="F1423" s="163" t="s">
        <v>318</v>
      </c>
    </row>
    <row r="1424" spans="2:6">
      <c r="B1424" s="147" t="str">
        <f>IF(LEFT(Commodities!B$187,1)="*","*R6","R6")</f>
        <v>*R6</v>
      </c>
      <c r="C1424" s="147" t="e">
        <f>CONCATENATE("EXP",Commodities!C53,RIGHT(#REF!,2))</f>
        <v>#REF!</v>
      </c>
      <c r="D1424" s="147" t="e">
        <f>CONCATENATE("Export Pipeline Trade of ",Commodities!C53, " from ",$B$1424," to R",RIGHT(C1424))</f>
        <v>#REF!</v>
      </c>
      <c r="E1424" s="163" t="s">
        <v>196</v>
      </c>
      <c r="F1424" s="163" t="s">
        <v>318</v>
      </c>
    </row>
    <row r="1425" spans="2:6">
      <c r="B1425" s="147" t="str">
        <f>IF(LEFT(Commodities!B$188,1)="*","*R6","R6")</f>
        <v>*R6</v>
      </c>
      <c r="C1425" s="147" t="e">
        <f>CONCATENATE("EXP",Commodities!C54,RIGHT(#REF!,2))</f>
        <v>#REF!</v>
      </c>
      <c r="D1425" s="147" t="e">
        <f>CONCATENATE("Export Pipeline Trade of ",Commodities!C54, " from ",$B$1425," to R",RIGHT(C1425))</f>
        <v>#REF!</v>
      </c>
      <c r="E1425" s="163" t="s">
        <v>196</v>
      </c>
      <c r="F1425" s="163" t="s">
        <v>318</v>
      </c>
    </row>
    <row r="1426" spans="2:6">
      <c r="B1426" s="147" t="str">
        <f>IF(LEFT(Commodities!B$189,1)="*","*R6","R6")</f>
        <v>*R6</v>
      </c>
      <c r="C1426" s="147" t="e">
        <f>CONCATENATE("EXP",Commodities!C55,RIGHT(#REF!,2))</f>
        <v>#REF!</v>
      </c>
      <c r="D1426" s="147" t="e">
        <f>CONCATENATE("Export Pipeline Trade of ",Commodities!C55, " from ",$B$1426," to R",RIGHT(C1426))</f>
        <v>#REF!</v>
      </c>
      <c r="E1426" s="163" t="s">
        <v>196</v>
      </c>
      <c r="F1426" s="163" t="s">
        <v>318</v>
      </c>
    </row>
    <row r="1427" spans="2:6">
      <c r="B1427" s="147" t="str">
        <f>IF(LEFT(Commodities!B$190,1)="*","*R6","R6")</f>
        <v>*R6</v>
      </c>
      <c r="C1427" s="147" t="e">
        <f>CONCATENATE("EXP",Commodities!C56,RIGHT(#REF!,2))</f>
        <v>#REF!</v>
      </c>
      <c r="D1427" s="147" t="e">
        <f>CONCATENATE("Export Pipeline Trade of ",Commodities!C56, " from ",$B$1427," to R",RIGHT(C1427))</f>
        <v>#REF!</v>
      </c>
      <c r="E1427" s="163" t="s">
        <v>196</v>
      </c>
      <c r="F1427" s="163" t="s">
        <v>318</v>
      </c>
    </row>
    <row r="1428" spans="2:6">
      <c r="B1428" s="147" t="str">
        <f>IF(LEFT(Commodities!B$191,1)="*","*R6","R6")</f>
        <v>*R6</v>
      </c>
      <c r="C1428" s="147" t="e">
        <f>CONCATENATE("EXP",Commodities!C57,RIGHT(#REF!,2))</f>
        <v>#REF!</v>
      </c>
      <c r="D1428" s="147" t="e">
        <f>CONCATENATE("Export Pipeline Trade of ",Commodities!C57, " from ",$B$1428," to R",RIGHT(C1428))</f>
        <v>#REF!</v>
      </c>
      <c r="E1428" s="163" t="s">
        <v>196</v>
      </c>
      <c r="F1428" s="163" t="s">
        <v>318</v>
      </c>
    </row>
    <row r="1429" spans="2:6">
      <c r="B1429" s="147" t="str">
        <f>IF(LEFT(Commodities!B$192,1)="*","*R6","R6")</f>
        <v>*R6</v>
      </c>
      <c r="C1429" s="147" t="e">
        <f>CONCATENATE("EXP",Commodities!C58,RIGHT(#REF!,2))</f>
        <v>#REF!</v>
      </c>
      <c r="D1429" s="147" t="e">
        <f>CONCATENATE("Export Pipeline Trade of ",Commodities!C58, " from ",$B$1429," to R",RIGHT(C1429))</f>
        <v>#REF!</v>
      </c>
      <c r="E1429" s="163" t="s">
        <v>196</v>
      </c>
      <c r="F1429" s="163" t="s">
        <v>318</v>
      </c>
    </row>
    <row r="1430" spans="2:6">
      <c r="B1430" s="147" t="str">
        <f>IF(LEFT(Commodities!B$193,1)="*","*R6","R6")</f>
        <v>*R6</v>
      </c>
      <c r="C1430" s="147" t="e">
        <f>CONCATENATE("EXP",Commodities!C59,RIGHT(#REF!,2))</f>
        <v>#REF!</v>
      </c>
      <c r="D1430" s="147" t="e">
        <f>CONCATENATE("Export Pipeline Trade of ",Commodities!C59, " from ",$B$1430," to R",RIGHT(C1430))</f>
        <v>#REF!</v>
      </c>
      <c r="E1430" s="163" t="s">
        <v>196</v>
      </c>
      <c r="F1430" s="163" t="s">
        <v>318</v>
      </c>
    </row>
    <row r="1431" spans="2:6">
      <c r="B1431" s="147" t="str">
        <f>IF(LEFT(Commodities!B$194,1)="*","*R6","R6")</f>
        <v>*R6</v>
      </c>
      <c r="C1431" s="147" t="e">
        <f>CONCATENATE("EXP",Commodities!C60,RIGHT(#REF!,2))</f>
        <v>#REF!</v>
      </c>
      <c r="D1431" s="147" t="e">
        <f>CONCATENATE("Export Pipeline Trade of ",Commodities!C60, " from ",$B$1431," to R",RIGHT(C1431))</f>
        <v>#REF!</v>
      </c>
      <c r="E1431" s="163" t="s">
        <v>196</v>
      </c>
      <c r="F1431" s="163" t="s">
        <v>318</v>
      </c>
    </row>
    <row r="1432" spans="2:6">
      <c r="B1432" s="147" t="str">
        <f>IF(LEFT(Commodities!B$130,1)="*","*R1","R1")</f>
        <v>R1</v>
      </c>
      <c r="C1432" s="147" t="e">
        <f>CONCATENATE("EXP",Commodities!C48,RIGHT(#REF!,2))</f>
        <v>#REF!</v>
      </c>
      <c r="D1432" s="147" t="e">
        <f>CONCATENATE("Export Pipeline Trade of ",Commodities!C48, " from ",$B$1432," to R",RIGHT(C1432))</f>
        <v>#REF!</v>
      </c>
      <c r="E1432" s="163" t="s">
        <v>196</v>
      </c>
      <c r="F1432" s="163" t="s">
        <v>318</v>
      </c>
    </row>
    <row r="1433" spans="2:6">
      <c r="B1433" s="147" t="str">
        <f>IF(LEFT(Commodities!B$131,1)="*","*R1","R1")</f>
        <v>R1</v>
      </c>
      <c r="C1433" s="147" t="e">
        <f>CONCATENATE("EXP",Commodities!C49,RIGHT(#REF!,2))</f>
        <v>#REF!</v>
      </c>
      <c r="D1433" s="147" t="e">
        <f>CONCATENATE("Export Pipeline Trade of ",Commodities!C49, " from ",$B$1433," to R",RIGHT(C1433))</f>
        <v>#REF!</v>
      </c>
      <c r="E1433" s="163" t="s">
        <v>196</v>
      </c>
      <c r="F1433" s="163" t="s">
        <v>318</v>
      </c>
    </row>
    <row r="1434" spans="2:6">
      <c r="B1434" s="147" t="str">
        <f>IF(LEFT(Commodities!B$132,1)="*","*R1","R1")</f>
        <v>R1</v>
      </c>
      <c r="C1434" s="147" t="e">
        <f>CONCATENATE("EXP",Commodities!C50,RIGHT(#REF!,2))</f>
        <v>#REF!</v>
      </c>
      <c r="D1434" s="147" t="e">
        <f>CONCATENATE("Export Pipeline Trade of ",Commodities!C50, " from ",$B$1434," to R",RIGHT(C1434))</f>
        <v>#REF!</v>
      </c>
      <c r="E1434" s="163" t="s">
        <v>196</v>
      </c>
      <c r="F1434" s="163" t="s">
        <v>318</v>
      </c>
    </row>
    <row r="1435" spans="2:6">
      <c r="B1435" s="147" t="str">
        <f>IF(LEFT(Commodities!B$133,1)="*","*R1","R1")</f>
        <v>R1</v>
      </c>
      <c r="C1435" s="147" t="e">
        <f>CONCATENATE("EXP",Commodities!C51,RIGHT(#REF!,2))</f>
        <v>#REF!</v>
      </c>
      <c r="D1435" s="147" t="e">
        <f>CONCATENATE("Export Pipeline Trade of ",Commodities!C51, " from ",$B$1435," to R",RIGHT(C1435))</f>
        <v>#REF!</v>
      </c>
      <c r="E1435" s="163" t="s">
        <v>196</v>
      </c>
      <c r="F1435" s="163" t="s">
        <v>318</v>
      </c>
    </row>
    <row r="1436" spans="2:6">
      <c r="B1436" s="147" t="str">
        <f>IF(LEFT(Commodities!B$134,1)="*","*R1","R1")</f>
        <v>R1</v>
      </c>
      <c r="C1436" s="147" t="e">
        <f>CONCATENATE("EXP",Commodities!C52,RIGHT(#REF!,2))</f>
        <v>#REF!</v>
      </c>
      <c r="D1436" s="147" t="e">
        <f>CONCATENATE("Export Pipeline Trade of ",Commodities!C52, " from ",$B$1436," to R",RIGHT(C1436))</f>
        <v>#REF!</v>
      </c>
      <c r="E1436" s="163" t="s">
        <v>196</v>
      </c>
      <c r="F1436" s="163" t="s">
        <v>318</v>
      </c>
    </row>
    <row r="1437" spans="2:6">
      <c r="B1437" s="147" t="str">
        <f>IF(LEFT(Commodities!B$135,1)="*","*R1","R1")</f>
        <v>*R1</v>
      </c>
      <c r="C1437" s="147" t="e">
        <f>CONCATENATE("EXP",Commodities!C53,RIGHT(#REF!,2))</f>
        <v>#REF!</v>
      </c>
      <c r="D1437" s="147" t="e">
        <f>CONCATENATE("Export Pipeline Trade of ",Commodities!C53, " from ",$B$1437," to R",RIGHT(C1437))</f>
        <v>#REF!</v>
      </c>
      <c r="E1437" s="163" t="s">
        <v>196</v>
      </c>
      <c r="F1437" s="163" t="s">
        <v>318</v>
      </c>
    </row>
    <row r="1438" spans="2:6">
      <c r="B1438" s="147" t="str">
        <f>IF(LEFT(Commodities!B$136,1)="*","*R1","R1")</f>
        <v>*R1</v>
      </c>
      <c r="C1438" s="147" t="e">
        <f>CONCATENATE("EXP",Commodities!C54,RIGHT(#REF!,2))</f>
        <v>#REF!</v>
      </c>
      <c r="D1438" s="147" t="e">
        <f>CONCATENATE("Export Pipeline Trade of ",Commodities!C54, " from ",$B$1438," to R",RIGHT(C1438))</f>
        <v>#REF!</v>
      </c>
      <c r="E1438" s="163" t="s">
        <v>196</v>
      </c>
      <c r="F1438" s="163" t="s">
        <v>318</v>
      </c>
    </row>
    <row r="1439" spans="2:6">
      <c r="B1439" s="147" t="str">
        <f>IF(LEFT(Commodities!B$137,1)="*","*R1","R1")</f>
        <v>*R1</v>
      </c>
      <c r="C1439" s="147" t="e">
        <f>CONCATENATE("EXP",Commodities!C55,RIGHT(#REF!,2))</f>
        <v>#REF!</v>
      </c>
      <c r="D1439" s="147" t="e">
        <f>CONCATENATE("Export Pipeline Trade of ",Commodities!C55, " from ",$B$1439," to R",RIGHT(C1439))</f>
        <v>#REF!</v>
      </c>
      <c r="E1439" s="163" t="s">
        <v>196</v>
      </c>
      <c r="F1439" s="163" t="s">
        <v>318</v>
      </c>
    </row>
    <row r="1440" spans="2:6">
      <c r="B1440" s="147" t="str">
        <f>IF(LEFT(Commodities!B$138,1)="*","*R1","R1")</f>
        <v>*R1</v>
      </c>
      <c r="C1440" s="147" t="e">
        <f>CONCATENATE("EXP",Commodities!C56,RIGHT(#REF!,2))</f>
        <v>#REF!</v>
      </c>
      <c r="D1440" s="147" t="e">
        <f>CONCATENATE("Export Pipeline Trade of ",Commodities!C56, " from ",$B$1440," to R",RIGHT(C1440))</f>
        <v>#REF!</v>
      </c>
      <c r="E1440" s="163" t="s">
        <v>196</v>
      </c>
      <c r="F1440" s="163" t="s">
        <v>318</v>
      </c>
    </row>
    <row r="1441" spans="2:6">
      <c r="B1441" s="147" t="str">
        <f>IF(LEFT(Commodities!B$139,1)="*","*R1","R1")</f>
        <v>*R1</v>
      </c>
      <c r="C1441" s="147" t="e">
        <f>CONCATENATE("EXP",Commodities!C57,RIGHT(#REF!,2))</f>
        <v>#REF!</v>
      </c>
      <c r="D1441" s="147" t="e">
        <f>CONCATENATE("Export Pipeline Trade of ",Commodities!C57, " from ",$B$1441," to R",RIGHT(C1441))</f>
        <v>#REF!</v>
      </c>
      <c r="E1441" s="163" t="s">
        <v>196</v>
      </c>
      <c r="F1441" s="163" t="s">
        <v>318</v>
      </c>
    </row>
    <row r="1442" spans="2:6">
      <c r="B1442" s="147" t="str">
        <f>IF(LEFT(Commodities!B$140,1)="*","*R1","R1")</f>
        <v>*R1</v>
      </c>
      <c r="C1442" s="147" t="e">
        <f>CONCATENATE("EXP",Commodities!C58,RIGHT(#REF!,2))</f>
        <v>#REF!</v>
      </c>
      <c r="D1442" s="147" t="e">
        <f>CONCATENATE("Export Pipeline Trade of ",Commodities!C58, " from ",$B$1442," to R",RIGHT(C1442))</f>
        <v>#REF!</v>
      </c>
      <c r="E1442" s="163" t="s">
        <v>196</v>
      </c>
      <c r="F1442" s="163" t="s">
        <v>318</v>
      </c>
    </row>
    <row r="1443" spans="2:6">
      <c r="B1443" s="147" t="str">
        <f>IF(LEFT(Commodities!B$141,1)="*","*R1","R1")</f>
        <v>R1</v>
      </c>
      <c r="C1443" s="147" t="e">
        <f>CONCATENATE("EXP",Commodities!C59,RIGHT(#REF!,2))</f>
        <v>#REF!</v>
      </c>
      <c r="D1443" s="147" t="e">
        <f>CONCATENATE("Export Pipeline Trade of ",Commodities!C59, " from ",$B$1443," to R",RIGHT(C1443))</f>
        <v>#REF!</v>
      </c>
      <c r="E1443" s="163" t="s">
        <v>196</v>
      </c>
      <c r="F1443" s="163" t="s">
        <v>318</v>
      </c>
    </row>
    <row r="1444" spans="2:6">
      <c r="B1444" s="147" t="str">
        <f>IF(LEFT(Commodities!B$142,1)="*","*R1","R1")</f>
        <v>*R1</v>
      </c>
      <c r="C1444" s="147" t="e">
        <f>CONCATENATE("EXP",Commodities!C60,RIGHT(#REF!,2))</f>
        <v>#REF!</v>
      </c>
      <c r="D1444" s="147" t="e">
        <f>CONCATENATE("Export Pipeline Trade of ",Commodities!C60, " from ",$B$1444," to R",RIGHT(C1444))</f>
        <v>#REF!</v>
      </c>
      <c r="E1444" s="163" t="s">
        <v>196</v>
      </c>
      <c r="F1444" s="163" t="s">
        <v>318</v>
      </c>
    </row>
    <row r="1445" spans="2:6">
      <c r="B1445" s="147" t="s">
        <v>1035</v>
      </c>
      <c r="C1445" s="147" t="e">
        <f>CONCATENATE("EXP",Commodities!C48,RIGHT(#REF!,2))</f>
        <v>#REF!</v>
      </c>
      <c r="D1445" s="147" t="e">
        <f>CONCATENATE("Export Pipeline Trade of ",Commodities!C48, " from ",$B$1445," to R",RIGHT(C1445))</f>
        <v>#REF!</v>
      </c>
      <c r="E1445" s="163" t="s">
        <v>196</v>
      </c>
      <c r="F1445" s="163" t="s">
        <v>318</v>
      </c>
    </row>
    <row r="1446" spans="2:6">
      <c r="B1446" s="147" t="s">
        <v>1035</v>
      </c>
      <c r="C1446" s="147" t="e">
        <f>CONCATENATE("EXP",Commodities!C49,RIGHT(#REF!,2))</f>
        <v>#REF!</v>
      </c>
      <c r="D1446" s="147" t="e">
        <f>CONCATENATE("Export Pipeline Trade of ",Commodities!C49, " from ",$B$1406," to R",RIGHT(C1446))</f>
        <v>#REF!</v>
      </c>
      <c r="E1446" s="163" t="s">
        <v>196</v>
      </c>
      <c r="F1446" s="163" t="s">
        <v>318</v>
      </c>
    </row>
    <row r="1447" spans="2:6">
      <c r="B1447" s="147" t="s">
        <v>1035</v>
      </c>
      <c r="C1447" s="147" t="e">
        <f>CONCATENATE("EXP",Commodities!C50,RIGHT(#REF!,2))</f>
        <v>#REF!</v>
      </c>
      <c r="D1447" s="147" t="e">
        <f>CONCATENATE("Export Pipeline Trade of ",Commodities!C50, " from ",$B$1406," to R",RIGHT(C1447))</f>
        <v>#REF!</v>
      </c>
      <c r="E1447" s="163" t="s">
        <v>196</v>
      </c>
      <c r="F1447" s="163" t="s">
        <v>318</v>
      </c>
    </row>
    <row r="1448" spans="2:6">
      <c r="B1448" s="147" t="s">
        <v>1035</v>
      </c>
      <c r="C1448" s="147" t="e">
        <f>CONCATENATE("EXP",Commodities!C51,RIGHT(#REF!,2))</f>
        <v>#REF!</v>
      </c>
      <c r="D1448" s="147" t="e">
        <f>CONCATENATE("Export Pipeline Trade of ",Commodities!C51, " from ",$B$1406," to R",RIGHT(C1448))</f>
        <v>#REF!</v>
      </c>
      <c r="E1448" s="163" t="s">
        <v>196</v>
      </c>
      <c r="F1448" s="163" t="s">
        <v>318</v>
      </c>
    </row>
    <row r="1449" spans="2:6">
      <c r="B1449" s="147" t="s">
        <v>1035</v>
      </c>
      <c r="C1449" s="147" t="e">
        <f>CONCATENATE("EXP",Commodities!C52,RIGHT(#REF!,2))</f>
        <v>#REF!</v>
      </c>
      <c r="D1449" s="147" t="e">
        <f>CONCATENATE("Export Pipeline Trade of ",Commodities!C52, " from ",$B$1406," to R",RIGHT(C1449))</f>
        <v>#REF!</v>
      </c>
      <c r="E1449" s="163" t="s">
        <v>196</v>
      </c>
      <c r="F1449" s="163" t="s">
        <v>318</v>
      </c>
    </row>
    <row r="1450" spans="2:6">
      <c r="B1450" s="147" t="s">
        <v>1035</v>
      </c>
      <c r="C1450" s="147" t="e">
        <f>CONCATENATE("EXP",Commodities!C53,RIGHT(#REF!,2))</f>
        <v>#REF!</v>
      </c>
      <c r="D1450" s="147" t="e">
        <f>CONCATENATE("Export Pipeline Trade of ",Commodities!C53, " from ",$B$1406," to R",RIGHT(C1450))</f>
        <v>#REF!</v>
      </c>
      <c r="E1450" s="163" t="s">
        <v>196</v>
      </c>
      <c r="F1450" s="163" t="s">
        <v>318</v>
      </c>
    </row>
    <row r="1451" spans="2:6">
      <c r="B1451" s="147" t="s">
        <v>1035</v>
      </c>
      <c r="C1451" s="147" t="e">
        <f>CONCATENATE("EXP",Commodities!C54,RIGHT(#REF!,2))</f>
        <v>#REF!</v>
      </c>
      <c r="D1451" s="147" t="e">
        <f>CONCATENATE("Export Pipeline Trade of ",Commodities!C54, " from ",$B$1406," to R",RIGHT(C1451))</f>
        <v>#REF!</v>
      </c>
      <c r="E1451" s="163" t="s">
        <v>196</v>
      </c>
      <c r="F1451" s="163" t="s">
        <v>318</v>
      </c>
    </row>
    <row r="1452" spans="2:6">
      <c r="B1452" s="147" t="s">
        <v>1035</v>
      </c>
      <c r="C1452" s="147" t="e">
        <f>CONCATENATE("EXP",Commodities!C55,RIGHT(#REF!,2))</f>
        <v>#REF!</v>
      </c>
      <c r="D1452" s="147" t="e">
        <f>CONCATENATE("Export Pipeline Trade of ",Commodities!C55, " from ",$B$1406," to R",RIGHT(C1452))</f>
        <v>#REF!</v>
      </c>
      <c r="E1452" s="163" t="s">
        <v>196</v>
      </c>
      <c r="F1452" s="163" t="s">
        <v>318</v>
      </c>
    </row>
    <row r="1453" spans="2:6">
      <c r="B1453" s="147" t="s">
        <v>1035</v>
      </c>
      <c r="C1453" s="147" t="e">
        <f>CONCATENATE("EXP",Commodities!C56,RIGHT(#REF!,2))</f>
        <v>#REF!</v>
      </c>
      <c r="D1453" s="147" t="e">
        <f>CONCATENATE("Export Pipeline Trade of ",Commodities!C56, " from ",$B$1406," to R",RIGHT(C1453))</f>
        <v>#REF!</v>
      </c>
      <c r="E1453" s="163" t="s">
        <v>196</v>
      </c>
      <c r="F1453" s="163" t="s">
        <v>318</v>
      </c>
    </row>
    <row r="1454" spans="2:6">
      <c r="B1454" s="147" t="s">
        <v>1035</v>
      </c>
      <c r="C1454" s="147" t="e">
        <f>CONCATENATE("EXP",Commodities!C57,RIGHT(#REF!,2))</f>
        <v>#REF!</v>
      </c>
      <c r="D1454" s="147" t="e">
        <f>CONCATENATE("Export Pipeline Trade of ",Commodities!C57, " from ",$B$1406," to R",RIGHT(C1454))</f>
        <v>#REF!</v>
      </c>
      <c r="E1454" s="163" t="s">
        <v>196</v>
      </c>
      <c r="F1454" s="163" t="s">
        <v>318</v>
      </c>
    </row>
    <row r="1455" spans="2:6">
      <c r="B1455" s="147" t="s">
        <v>1035</v>
      </c>
      <c r="C1455" s="147" t="e">
        <f>CONCATENATE("EXP",Commodities!C58,RIGHT(#REF!,2))</f>
        <v>#REF!</v>
      </c>
      <c r="D1455" s="147" t="e">
        <f>CONCATENATE("Export Pipeline Trade of ",Commodities!C58, " from ",$B$1406," to R",RIGHT(C1455))</f>
        <v>#REF!</v>
      </c>
      <c r="E1455" s="163" t="s">
        <v>196</v>
      </c>
      <c r="F1455" s="163" t="s">
        <v>318</v>
      </c>
    </row>
    <row r="1456" spans="2:6">
      <c r="B1456" s="147" t="s">
        <v>1035</v>
      </c>
      <c r="C1456" s="147" t="e">
        <f>CONCATENATE("EXP",Commodities!C59,RIGHT(#REF!,2))</f>
        <v>#REF!</v>
      </c>
      <c r="D1456" s="147" t="e">
        <f>CONCATENATE("Export Pipeline Trade of ",Commodities!C59, " from ",$B$1406," to R",RIGHT(C1456))</f>
        <v>#REF!</v>
      </c>
      <c r="E1456" s="163" t="s">
        <v>196</v>
      </c>
      <c r="F1456" s="163" t="s">
        <v>318</v>
      </c>
    </row>
    <row r="1457" spans="2:6">
      <c r="B1457" s="147" t="s">
        <v>1035</v>
      </c>
      <c r="C1457" s="147" t="e">
        <f>CONCATENATE("EXP",Commodities!C60,RIGHT(#REF!,2))</f>
        <v>#REF!</v>
      </c>
      <c r="D1457" s="147" t="e">
        <f>CONCATENATE("Export Pipeline Trade of ",Commodities!C60, " from ",$B$1406," to R",RIGHT(C1457))</f>
        <v>#REF!</v>
      </c>
      <c r="E1457" s="163" t="s">
        <v>196</v>
      </c>
      <c r="F1457" s="163" t="s">
        <v>318</v>
      </c>
    </row>
    <row r="1458" spans="2:6">
      <c r="B1458" s="147" t="s">
        <v>1005</v>
      </c>
      <c r="C1458" s="147" t="e">
        <f>CONCATENATE("EXP",Commodities!C48,RIGHT(#REF!,2))</f>
        <v>#REF!</v>
      </c>
      <c r="D1458" s="147" t="e">
        <f>CONCATENATE("Export Pipeline Trade of ",Commodities!C48, " from ",$B$1458," to R",RIGHT(C1458))</f>
        <v>#REF!</v>
      </c>
      <c r="E1458" s="163" t="s">
        <v>196</v>
      </c>
      <c r="F1458" s="163" t="s">
        <v>318</v>
      </c>
    </row>
    <row r="1459" spans="2:6">
      <c r="B1459" s="147" t="s">
        <v>1005</v>
      </c>
      <c r="C1459" s="147" t="e">
        <f>CONCATENATE("EXP",Commodities!C49,RIGHT(#REF!,2))</f>
        <v>#REF!</v>
      </c>
      <c r="D1459" s="147" t="e">
        <f>CONCATENATE("Export Pipeline Trade of ",Commodities!C49, " from ",$B$1458," to R",RIGHT(C1459))</f>
        <v>#REF!</v>
      </c>
      <c r="E1459" s="163" t="s">
        <v>196</v>
      </c>
      <c r="F1459" s="163" t="s">
        <v>318</v>
      </c>
    </row>
    <row r="1460" spans="2:6">
      <c r="B1460" s="147" t="s">
        <v>1005</v>
      </c>
      <c r="C1460" s="147" t="e">
        <f>CONCATENATE("EXP",Commodities!C50,RIGHT(#REF!,2))</f>
        <v>#REF!</v>
      </c>
      <c r="D1460" s="147" t="e">
        <f>CONCATENATE("Export Pipeline Trade of ",Commodities!C50, " from ",$B$1458," to R",RIGHT(C1460))</f>
        <v>#REF!</v>
      </c>
      <c r="E1460" s="163" t="s">
        <v>196</v>
      </c>
      <c r="F1460" s="163" t="s">
        <v>318</v>
      </c>
    </row>
    <row r="1461" spans="2:6">
      <c r="B1461" s="147" t="s">
        <v>1005</v>
      </c>
      <c r="C1461" s="147" t="e">
        <f>CONCATENATE("EXP",Commodities!C51,RIGHT(#REF!,2))</f>
        <v>#REF!</v>
      </c>
      <c r="D1461" s="147" t="e">
        <f>CONCATENATE("Export Pipeline Trade of ",Commodities!C51, " from ",$B$1458," to R",RIGHT(C1461))</f>
        <v>#REF!</v>
      </c>
      <c r="E1461" s="163" t="s">
        <v>196</v>
      </c>
      <c r="F1461" s="163" t="s">
        <v>318</v>
      </c>
    </row>
    <row r="1462" spans="2:6">
      <c r="B1462" s="147" t="s">
        <v>1005</v>
      </c>
      <c r="C1462" s="147" t="e">
        <f>CONCATENATE("EXP",Commodities!C52,RIGHT(#REF!,2))</f>
        <v>#REF!</v>
      </c>
      <c r="D1462" s="147" t="e">
        <f>CONCATENATE("Export Pipeline Trade of ",Commodities!C52, " from ",$B$1458," to R",RIGHT(C1462))</f>
        <v>#REF!</v>
      </c>
      <c r="E1462" s="163" t="s">
        <v>196</v>
      </c>
      <c r="F1462" s="163" t="s">
        <v>318</v>
      </c>
    </row>
    <row r="1463" spans="2:6">
      <c r="B1463" s="147" t="s">
        <v>1005</v>
      </c>
      <c r="C1463" s="147" t="e">
        <f>CONCATENATE("EXP",Commodities!C53,RIGHT(#REF!,2))</f>
        <v>#REF!</v>
      </c>
      <c r="D1463" s="147" t="e">
        <f>CONCATENATE("Export Pipeline Trade of ",Commodities!C53, " from ",$B$1458," to R",RIGHT(C1463))</f>
        <v>#REF!</v>
      </c>
      <c r="E1463" s="163" t="s">
        <v>196</v>
      </c>
      <c r="F1463" s="163" t="s">
        <v>318</v>
      </c>
    </row>
    <row r="1464" spans="2:6">
      <c r="B1464" s="147" t="s">
        <v>1005</v>
      </c>
      <c r="C1464" s="147" t="e">
        <f>CONCATENATE("EXP",Commodities!C54,RIGHT(#REF!,2))</f>
        <v>#REF!</v>
      </c>
      <c r="D1464" s="147" t="e">
        <f>CONCATENATE("Export Pipeline Trade of ",Commodities!C54, " from ",$B$1458," to R",RIGHT(C1464))</f>
        <v>#REF!</v>
      </c>
      <c r="E1464" s="163" t="s">
        <v>196</v>
      </c>
      <c r="F1464" s="163" t="s">
        <v>318</v>
      </c>
    </row>
    <row r="1465" spans="2:6">
      <c r="B1465" s="147" t="s">
        <v>1005</v>
      </c>
      <c r="C1465" s="147" t="e">
        <f>CONCATENATE("EXP",Commodities!C55,RIGHT(#REF!,2))</f>
        <v>#REF!</v>
      </c>
      <c r="D1465" s="147" t="e">
        <f>CONCATENATE("Export Pipeline Trade of ",Commodities!C55, " from ",$B$1458," to R",RIGHT(C1465))</f>
        <v>#REF!</v>
      </c>
      <c r="E1465" s="163" t="s">
        <v>196</v>
      </c>
      <c r="F1465" s="163" t="s">
        <v>318</v>
      </c>
    </row>
    <row r="1466" spans="2:6">
      <c r="B1466" s="147" t="s">
        <v>1005</v>
      </c>
      <c r="C1466" s="147" t="e">
        <f>CONCATENATE("EXP",Commodities!C56,RIGHT(#REF!,2))</f>
        <v>#REF!</v>
      </c>
      <c r="D1466" s="147" t="e">
        <f>CONCATENATE("Export Pipeline Trade of ",Commodities!C56, " from ",$B$1458," to R",RIGHT(C1466))</f>
        <v>#REF!</v>
      </c>
      <c r="E1466" s="163" t="s">
        <v>196</v>
      </c>
      <c r="F1466" s="163" t="s">
        <v>318</v>
      </c>
    </row>
    <row r="1467" spans="2:6">
      <c r="B1467" s="147" t="s">
        <v>1005</v>
      </c>
      <c r="C1467" s="147" t="e">
        <f>CONCATENATE("EXP",Commodities!C57,RIGHT(#REF!,2))</f>
        <v>#REF!</v>
      </c>
      <c r="D1467" s="147" t="e">
        <f>CONCATENATE("Export Pipeline Trade of ",Commodities!C57, " from ",$B$1458," to R",RIGHT(C1467))</f>
        <v>#REF!</v>
      </c>
      <c r="E1467" s="163" t="s">
        <v>196</v>
      </c>
      <c r="F1467" s="163" t="s">
        <v>318</v>
      </c>
    </row>
    <row r="1468" spans="2:6">
      <c r="B1468" s="147" t="s">
        <v>1005</v>
      </c>
      <c r="C1468" s="147" t="e">
        <f>CONCATENATE("EXP",Commodities!C58,RIGHT(#REF!,2))</f>
        <v>#REF!</v>
      </c>
      <c r="D1468" s="147" t="e">
        <f>CONCATENATE("Export Pipeline Trade of ",Commodities!C58, " from ",$B$1458," to R",RIGHT(C1468))</f>
        <v>#REF!</v>
      </c>
      <c r="E1468" s="163" t="s">
        <v>196</v>
      </c>
      <c r="F1468" s="163" t="s">
        <v>318</v>
      </c>
    </row>
    <row r="1469" spans="2:6">
      <c r="B1469" s="147" t="s">
        <v>1005</v>
      </c>
      <c r="C1469" s="147" t="e">
        <f>CONCATENATE("EXP",Commodities!C59,RIGHT(#REF!,2))</f>
        <v>#REF!</v>
      </c>
      <c r="D1469" s="147" t="e">
        <f>CONCATENATE("Export Pipeline Trade of ",Commodities!C59, " from ",$B$1458," to R",RIGHT(C1469))</f>
        <v>#REF!</v>
      </c>
      <c r="E1469" s="163" t="s">
        <v>196</v>
      </c>
      <c r="F1469" s="163" t="s">
        <v>318</v>
      </c>
    </row>
    <row r="1470" spans="2:6">
      <c r="B1470" s="147" t="s">
        <v>1005</v>
      </c>
      <c r="C1470" s="147" t="e">
        <f>CONCATENATE("EXP",Commodities!C60,RIGHT(#REF!,2))</f>
        <v>#REF!</v>
      </c>
      <c r="D1470" s="147" t="e">
        <f>CONCATENATE("Export Pipeline Trade of ",Commodities!C60, " from ",$B$1458," to R",RIGHT(C1470))</f>
        <v>#REF!</v>
      </c>
      <c r="E1470" s="163" t="s">
        <v>196</v>
      </c>
      <c r="F1470" s="163" t="s">
        <v>318</v>
      </c>
    </row>
    <row r="1471" spans="2:6">
      <c r="B1471" s="147" t="s">
        <v>1005</v>
      </c>
      <c r="C1471" s="147" t="e">
        <f>CONCATENATE("EXP",Commodities!C48,RIGHT(#REF!,2))</f>
        <v>#REF!</v>
      </c>
      <c r="D1471" s="147" t="e">
        <f>CONCATENATE("Export Pipeline Trade of ",Commodities!C48, " from ",$B$1471," to R",RIGHT(C1471))</f>
        <v>#REF!</v>
      </c>
      <c r="E1471" s="163" t="s">
        <v>196</v>
      </c>
      <c r="F1471" s="163" t="s">
        <v>318</v>
      </c>
    </row>
    <row r="1472" spans="2:6">
      <c r="B1472" s="147" t="s">
        <v>1005</v>
      </c>
      <c r="C1472" s="147" t="e">
        <f>CONCATENATE("EXP",Commodities!C49,RIGHT(#REF!,2))</f>
        <v>#REF!</v>
      </c>
      <c r="D1472" s="147" t="e">
        <f>CONCATENATE("Export Pipeline Trade of ",Commodities!C49, " from ",$B$1471," to R",RIGHT(C1472))</f>
        <v>#REF!</v>
      </c>
      <c r="E1472" s="163" t="s">
        <v>196</v>
      </c>
      <c r="F1472" s="163" t="s">
        <v>318</v>
      </c>
    </row>
    <row r="1473" spans="2:6">
      <c r="B1473" s="147" t="s">
        <v>1005</v>
      </c>
      <c r="C1473" s="147" t="e">
        <f>CONCATENATE("EXP",Commodities!C50,RIGHT(#REF!,2))</f>
        <v>#REF!</v>
      </c>
      <c r="D1473" s="147" t="e">
        <f>CONCATENATE("Export Pipeline Trade of ",Commodities!C50, " from ",$B$1471," to R",RIGHT(C1473))</f>
        <v>#REF!</v>
      </c>
      <c r="E1473" s="163" t="s">
        <v>196</v>
      </c>
      <c r="F1473" s="163" t="s">
        <v>318</v>
      </c>
    </row>
    <row r="1474" spans="2:6">
      <c r="B1474" s="147" t="s">
        <v>1005</v>
      </c>
      <c r="C1474" s="147" t="e">
        <f>CONCATENATE("EXP",Commodities!C51,RIGHT(#REF!,2))</f>
        <v>#REF!</v>
      </c>
      <c r="D1474" s="147" t="e">
        <f>CONCATENATE("Export Pipeline Trade of ",Commodities!C51, " from ",$B$1471," to R",RIGHT(C1474))</f>
        <v>#REF!</v>
      </c>
      <c r="E1474" s="163" t="s">
        <v>196</v>
      </c>
      <c r="F1474" s="163" t="s">
        <v>318</v>
      </c>
    </row>
    <row r="1475" spans="2:6">
      <c r="B1475" s="147" t="s">
        <v>1005</v>
      </c>
      <c r="C1475" s="147" t="e">
        <f>CONCATENATE("EXP",Commodities!C52,RIGHT(#REF!,2))</f>
        <v>#REF!</v>
      </c>
      <c r="D1475" s="147" t="e">
        <f>CONCATENATE("Export Pipeline Trade of ",Commodities!C52, " from ",$B$1471," to R",RIGHT(C1475))</f>
        <v>#REF!</v>
      </c>
      <c r="E1475" s="163" t="s">
        <v>196</v>
      </c>
      <c r="F1475" s="163" t="s">
        <v>318</v>
      </c>
    </row>
    <row r="1476" spans="2:6">
      <c r="B1476" s="147" t="s">
        <v>1005</v>
      </c>
      <c r="C1476" s="147" t="e">
        <f>CONCATENATE("EXP",Commodities!C53,RIGHT(#REF!,2))</f>
        <v>#REF!</v>
      </c>
      <c r="D1476" s="147" t="e">
        <f>CONCATENATE("Export Pipeline Trade of ",Commodities!C53, " from ",$B$1471," to R",RIGHT(C1476))</f>
        <v>#REF!</v>
      </c>
      <c r="E1476" s="163" t="s">
        <v>196</v>
      </c>
      <c r="F1476" s="163" t="s">
        <v>318</v>
      </c>
    </row>
    <row r="1477" spans="2:6">
      <c r="B1477" s="147" t="s">
        <v>1005</v>
      </c>
      <c r="C1477" s="147" t="e">
        <f>CONCATENATE("EXP",Commodities!C54,RIGHT(#REF!,2))</f>
        <v>#REF!</v>
      </c>
      <c r="D1477" s="147" t="e">
        <f>CONCATENATE("Export Pipeline Trade of ",Commodities!C54, " from ",$B$1471," to R",RIGHT(C1477))</f>
        <v>#REF!</v>
      </c>
      <c r="E1477" s="163" t="s">
        <v>196</v>
      </c>
      <c r="F1477" s="163" t="s">
        <v>318</v>
      </c>
    </row>
    <row r="1478" spans="2:6">
      <c r="B1478" s="147" t="s">
        <v>1005</v>
      </c>
      <c r="C1478" s="147" t="e">
        <f>CONCATENATE("EXP",Commodities!C55,RIGHT(#REF!,2))</f>
        <v>#REF!</v>
      </c>
      <c r="D1478" s="147" t="e">
        <f>CONCATENATE("Export Pipeline Trade of ",Commodities!C55, " from ",$B$1471," to R",RIGHT(C1478))</f>
        <v>#REF!</v>
      </c>
      <c r="E1478" s="163" t="s">
        <v>196</v>
      </c>
      <c r="F1478" s="163" t="s">
        <v>318</v>
      </c>
    </row>
    <row r="1479" spans="2:6">
      <c r="B1479" s="147" t="s">
        <v>1005</v>
      </c>
      <c r="C1479" s="147" t="e">
        <f>CONCATENATE("EXP",Commodities!C56,RIGHT(#REF!,2))</f>
        <v>#REF!</v>
      </c>
      <c r="D1479" s="147" t="e">
        <f>CONCATENATE("Export Pipeline Trade of ",Commodities!C56, " from ",$B$1471," to R",RIGHT(C1479))</f>
        <v>#REF!</v>
      </c>
      <c r="E1479" s="163" t="s">
        <v>196</v>
      </c>
      <c r="F1479" s="163" t="s">
        <v>318</v>
      </c>
    </row>
    <row r="1480" spans="2:6">
      <c r="B1480" s="147" t="s">
        <v>1005</v>
      </c>
      <c r="C1480" s="147" t="e">
        <f>CONCATENATE("EXP",Commodities!C57,RIGHT(#REF!,2))</f>
        <v>#REF!</v>
      </c>
      <c r="D1480" s="147" t="e">
        <f>CONCATENATE("Export Pipeline Trade of ",Commodities!C57, " from ",$B$1471," to R",RIGHT(C1480))</f>
        <v>#REF!</v>
      </c>
      <c r="E1480" s="163" t="s">
        <v>196</v>
      </c>
      <c r="F1480" s="163" t="s">
        <v>318</v>
      </c>
    </row>
    <row r="1481" spans="2:6">
      <c r="B1481" s="147" t="s">
        <v>1005</v>
      </c>
      <c r="C1481" s="147" t="e">
        <f>CONCATENATE("EXP",Commodities!C58,RIGHT(#REF!,2))</f>
        <v>#REF!</v>
      </c>
      <c r="D1481" s="147" t="e">
        <f>CONCATENATE("Export Pipeline Trade of ",Commodities!C58, " from ",$B$1471," to R",RIGHT(C1481))</f>
        <v>#REF!</v>
      </c>
      <c r="E1481" s="163" t="s">
        <v>196</v>
      </c>
      <c r="F1481" s="163" t="s">
        <v>318</v>
      </c>
    </row>
    <row r="1482" spans="2:6">
      <c r="B1482" s="147" t="s">
        <v>1005</v>
      </c>
      <c r="C1482" s="147" t="e">
        <f>CONCATENATE("EXP",Commodities!C59,RIGHT(#REF!,2))</f>
        <v>#REF!</v>
      </c>
      <c r="D1482" s="147" t="e">
        <f>CONCATENATE("Export Pipeline Trade of ",Commodities!C59, " from ",$B$1471," to R",RIGHT(C1482))</f>
        <v>#REF!</v>
      </c>
      <c r="E1482" s="163" t="s">
        <v>196</v>
      </c>
      <c r="F1482" s="163" t="s">
        <v>318</v>
      </c>
    </row>
    <row r="1483" spans="2:6">
      <c r="B1483" s="147" t="s">
        <v>1005</v>
      </c>
      <c r="C1483" s="147" t="e">
        <f>CONCATENATE("EXP",Commodities!C60,RIGHT(#REF!,2))</f>
        <v>#REF!</v>
      </c>
      <c r="D1483" s="147" t="e">
        <f>CONCATENATE("Export Pipeline Trade of ",Commodities!C60, " from ",$B$1471," to R",RIGHT(C1483))</f>
        <v>#REF!</v>
      </c>
      <c r="E1483" s="163" t="s">
        <v>196</v>
      </c>
      <c r="F1483" s="163" t="s">
        <v>318</v>
      </c>
    </row>
    <row r="1484" spans="2:6">
      <c r="B1484" s="147" t="s">
        <v>1005</v>
      </c>
      <c r="C1484" s="147" t="e">
        <f>CONCATENATE("EXP",Commodities!C48,RIGHT(#REF!,2))</f>
        <v>#REF!</v>
      </c>
      <c r="D1484" s="147" t="e">
        <f>CONCATENATE("Export Pipeline Trade of ",Commodities!C48, " from ",$B$1484," to R",RIGHT(C1484))</f>
        <v>#REF!</v>
      </c>
      <c r="E1484" s="163" t="s">
        <v>196</v>
      </c>
      <c r="F1484" s="163" t="s">
        <v>318</v>
      </c>
    </row>
    <row r="1485" spans="2:6">
      <c r="B1485" s="147" t="s">
        <v>1005</v>
      </c>
      <c r="C1485" s="147" t="e">
        <f>CONCATENATE("EXP",Commodities!C49,RIGHT(#REF!,2))</f>
        <v>#REF!</v>
      </c>
      <c r="D1485" s="147" t="e">
        <f>CONCATENATE("Export Pipeline Trade of ",Commodities!C49, " from ",$B$1484," to R",RIGHT(C1485))</f>
        <v>#REF!</v>
      </c>
      <c r="E1485" s="163" t="s">
        <v>196</v>
      </c>
      <c r="F1485" s="163" t="s">
        <v>318</v>
      </c>
    </row>
    <row r="1486" spans="2:6">
      <c r="B1486" s="147" t="s">
        <v>1005</v>
      </c>
      <c r="C1486" s="147" t="e">
        <f>CONCATENATE("EXP",Commodities!C50,RIGHT(#REF!,2))</f>
        <v>#REF!</v>
      </c>
      <c r="D1486" s="147" t="e">
        <f>CONCATENATE("Export Pipeline Trade of ",Commodities!C50, " from ",$B$1484," to R",RIGHT(C1486))</f>
        <v>#REF!</v>
      </c>
      <c r="E1486" s="163" t="s">
        <v>196</v>
      </c>
      <c r="F1486" s="163" t="s">
        <v>318</v>
      </c>
    </row>
    <row r="1487" spans="2:6">
      <c r="B1487" s="147" t="s">
        <v>1005</v>
      </c>
      <c r="C1487" s="147" t="e">
        <f>CONCATENATE("EXP",Commodities!C51,RIGHT(#REF!,2))</f>
        <v>#REF!</v>
      </c>
      <c r="D1487" s="147" t="e">
        <f>CONCATENATE("Export Pipeline Trade of ",Commodities!C51, " from ",$B$1484," to R",RIGHT(C1487))</f>
        <v>#REF!</v>
      </c>
      <c r="E1487" s="163" t="s">
        <v>196</v>
      </c>
      <c r="F1487" s="163" t="s">
        <v>318</v>
      </c>
    </row>
    <row r="1488" spans="2:6">
      <c r="B1488" s="147" t="s">
        <v>1005</v>
      </c>
      <c r="C1488" s="147" t="e">
        <f>CONCATENATE("EXP",Commodities!C52,RIGHT(#REF!,2))</f>
        <v>#REF!</v>
      </c>
      <c r="D1488" s="147" t="e">
        <f>CONCATENATE("Export Pipeline Trade of ",Commodities!C52, " from ",$B$1484," to R",RIGHT(C1488))</f>
        <v>#REF!</v>
      </c>
      <c r="E1488" s="163" t="s">
        <v>196</v>
      </c>
      <c r="F1488" s="163" t="s">
        <v>318</v>
      </c>
    </row>
    <row r="1489" spans="2:6">
      <c r="B1489" s="147" t="s">
        <v>1005</v>
      </c>
      <c r="C1489" s="147" t="e">
        <f>CONCATENATE("EXP",Commodities!C53,RIGHT(#REF!,2))</f>
        <v>#REF!</v>
      </c>
      <c r="D1489" s="147" t="e">
        <f>CONCATENATE("Export Pipeline Trade of ",Commodities!C53, " from ",$B$1484," to R",RIGHT(C1489))</f>
        <v>#REF!</v>
      </c>
      <c r="E1489" s="163" t="s">
        <v>196</v>
      </c>
      <c r="F1489" s="163" t="s">
        <v>318</v>
      </c>
    </row>
    <row r="1490" spans="2:6">
      <c r="B1490" s="147" t="s">
        <v>1005</v>
      </c>
      <c r="C1490" s="147" t="e">
        <f>CONCATENATE("EXP",Commodities!C54,RIGHT(#REF!,2))</f>
        <v>#REF!</v>
      </c>
      <c r="D1490" s="147" t="e">
        <f>CONCATENATE("Export Pipeline Trade of ",Commodities!C54, " from ",$B$1484," to R",RIGHT(C1490))</f>
        <v>#REF!</v>
      </c>
      <c r="E1490" s="163" t="s">
        <v>196</v>
      </c>
      <c r="F1490" s="163" t="s">
        <v>318</v>
      </c>
    </row>
    <row r="1491" spans="2:6">
      <c r="B1491" s="147" t="s">
        <v>1005</v>
      </c>
      <c r="C1491" s="147" t="e">
        <f>CONCATENATE("EXP",Commodities!C55,RIGHT(#REF!,2))</f>
        <v>#REF!</v>
      </c>
      <c r="D1491" s="147" t="e">
        <f>CONCATENATE("Export Pipeline Trade of ",Commodities!C55, " from ",$B$1484," to R",RIGHT(C1491))</f>
        <v>#REF!</v>
      </c>
      <c r="E1491" s="163" t="s">
        <v>196</v>
      </c>
      <c r="F1491" s="163" t="s">
        <v>318</v>
      </c>
    </row>
    <row r="1492" spans="2:6">
      <c r="B1492" s="147" t="s">
        <v>1005</v>
      </c>
      <c r="C1492" s="147" t="e">
        <f>CONCATENATE("EXP",Commodities!C56,RIGHT(#REF!,2))</f>
        <v>#REF!</v>
      </c>
      <c r="D1492" s="147" t="e">
        <f>CONCATENATE("Export Pipeline Trade of ",Commodities!C56, " from ",$B$1484," to R",RIGHT(C1492))</f>
        <v>#REF!</v>
      </c>
      <c r="E1492" s="163" t="s">
        <v>196</v>
      </c>
      <c r="F1492" s="163" t="s">
        <v>318</v>
      </c>
    </row>
    <row r="1493" spans="2:6">
      <c r="B1493" s="147" t="s">
        <v>1005</v>
      </c>
      <c r="C1493" s="147" t="e">
        <f>CONCATENATE("EXP",Commodities!C57,RIGHT(#REF!,2))</f>
        <v>#REF!</v>
      </c>
      <c r="D1493" s="147" t="e">
        <f>CONCATENATE("Export Pipeline Trade of ",Commodities!C57, " from ",$B$1484," to R",RIGHT(C1493))</f>
        <v>#REF!</v>
      </c>
      <c r="E1493" s="163" t="s">
        <v>196</v>
      </c>
      <c r="F1493" s="163" t="s">
        <v>318</v>
      </c>
    </row>
    <row r="1494" spans="2:6">
      <c r="B1494" s="147" t="s">
        <v>1005</v>
      </c>
      <c r="C1494" s="147" t="e">
        <f>CONCATENATE("EXP",Commodities!C58,RIGHT(#REF!,2))</f>
        <v>#REF!</v>
      </c>
      <c r="D1494" s="147" t="e">
        <f>CONCATENATE("Export Pipeline Trade of ",Commodities!C58, " from ",$B$1484," to R",RIGHT(C1494))</f>
        <v>#REF!</v>
      </c>
      <c r="E1494" s="163" t="s">
        <v>196</v>
      </c>
      <c r="F1494" s="163" t="s">
        <v>318</v>
      </c>
    </row>
    <row r="1495" spans="2:6">
      <c r="B1495" s="147" t="s">
        <v>1005</v>
      </c>
      <c r="C1495" s="147" t="e">
        <f>CONCATENATE("EXP",Commodities!C59,RIGHT(#REF!,2))</f>
        <v>#REF!</v>
      </c>
      <c r="D1495" s="147" t="e">
        <f>CONCATENATE("Export Pipeline Trade of ",Commodities!C59, " from ",$B$1484," to R",RIGHT(C1495))</f>
        <v>#REF!</v>
      </c>
      <c r="E1495" s="163" t="s">
        <v>196</v>
      </c>
      <c r="F1495" s="163" t="s">
        <v>318</v>
      </c>
    </row>
    <row r="1496" spans="2:6">
      <c r="B1496" s="147" t="s">
        <v>1005</v>
      </c>
      <c r="C1496" s="147" t="e">
        <f>CONCATENATE("EXP",Commodities!C60,RIGHT(#REF!,2))</f>
        <v>#REF!</v>
      </c>
      <c r="D1496" s="147" t="e">
        <f>CONCATENATE("Export Pipeline Trade of ",Commodities!C60, " from ",$B$1484," to R",RIGHT(C1496))</f>
        <v>#REF!</v>
      </c>
      <c r="E1496" s="163" t="s">
        <v>196</v>
      </c>
      <c r="F1496" s="163" t="s">
        <v>318</v>
      </c>
    </row>
    <row r="1497" spans="2:6">
      <c r="B1497" s="147" t="s">
        <v>1005</v>
      </c>
      <c r="C1497" s="147" t="e">
        <f>CONCATENATE("EXP",Commodities!C48,RIGHT(#REF!,2))</f>
        <v>#REF!</v>
      </c>
      <c r="D1497" s="147" t="e">
        <f>CONCATENATE("Export Pipeline Trade of ",Commodities!C48, " from ",$B$1497," to R",RIGHT(C1497))</f>
        <v>#REF!</v>
      </c>
      <c r="E1497" s="163" t="s">
        <v>196</v>
      </c>
      <c r="F1497" s="163" t="s">
        <v>318</v>
      </c>
    </row>
    <row r="1498" spans="2:6">
      <c r="B1498" s="147" t="s">
        <v>1005</v>
      </c>
      <c r="C1498" s="147" t="e">
        <f>CONCATENATE("EXP",Commodities!C49,RIGHT(#REF!,2))</f>
        <v>#REF!</v>
      </c>
      <c r="D1498" s="147" t="e">
        <f>CONCATENATE("Export Pipeline Trade of ",Commodities!C49, " from ",$B$1497," to R",RIGHT(C1498))</f>
        <v>#REF!</v>
      </c>
      <c r="E1498" s="163" t="s">
        <v>196</v>
      </c>
      <c r="F1498" s="163" t="s">
        <v>318</v>
      </c>
    </row>
    <row r="1499" spans="2:6">
      <c r="B1499" s="147" t="s">
        <v>1005</v>
      </c>
      <c r="C1499" s="147" t="e">
        <f>CONCATENATE("EXP",Commodities!C50,RIGHT(#REF!,2))</f>
        <v>#REF!</v>
      </c>
      <c r="D1499" s="147" t="e">
        <f>CONCATENATE("Export Pipeline Trade of ",Commodities!C50, " from ",$B$1497," to R",RIGHT(C1499))</f>
        <v>#REF!</v>
      </c>
      <c r="E1499" s="163" t="s">
        <v>196</v>
      </c>
      <c r="F1499" s="163" t="s">
        <v>318</v>
      </c>
    </row>
    <row r="1500" spans="2:6">
      <c r="B1500" s="147" t="s">
        <v>1005</v>
      </c>
      <c r="C1500" s="147" t="e">
        <f>CONCATENATE("EXP",Commodities!C51,RIGHT(#REF!,2))</f>
        <v>#REF!</v>
      </c>
      <c r="D1500" s="147" t="e">
        <f>CONCATENATE("Export Pipeline Trade of ",Commodities!C51, " from ",$B$1497," to R",RIGHT(C1500))</f>
        <v>#REF!</v>
      </c>
      <c r="E1500" s="163" t="s">
        <v>196</v>
      </c>
      <c r="F1500" s="163" t="s">
        <v>318</v>
      </c>
    </row>
    <row r="1501" spans="2:6">
      <c r="B1501" s="147" t="s">
        <v>1005</v>
      </c>
      <c r="C1501" s="147" t="e">
        <f>CONCATENATE("EXP",Commodities!C52,RIGHT(#REF!,2))</f>
        <v>#REF!</v>
      </c>
      <c r="D1501" s="147" t="e">
        <f>CONCATENATE("Export Pipeline Trade of ",Commodities!C52, " from ",$B$1497," to R",RIGHT(C1501))</f>
        <v>#REF!</v>
      </c>
      <c r="E1501" s="163" t="s">
        <v>196</v>
      </c>
      <c r="F1501" s="163" t="s">
        <v>318</v>
      </c>
    </row>
    <row r="1502" spans="2:6">
      <c r="B1502" s="147" t="s">
        <v>1005</v>
      </c>
      <c r="C1502" s="147" t="e">
        <f>CONCATENATE("EXP",Commodities!C53,RIGHT(#REF!,2))</f>
        <v>#REF!</v>
      </c>
      <c r="D1502" s="147" t="e">
        <f>CONCATENATE("Export Pipeline Trade of ",Commodities!C53, " from ",$B$1497," to R",RIGHT(C1502))</f>
        <v>#REF!</v>
      </c>
      <c r="E1502" s="163" t="s">
        <v>196</v>
      </c>
      <c r="F1502" s="163" t="s">
        <v>318</v>
      </c>
    </row>
    <row r="1503" spans="2:6">
      <c r="B1503" s="147" t="s">
        <v>1005</v>
      </c>
      <c r="C1503" s="147" t="e">
        <f>CONCATENATE("EXP",Commodities!C54,RIGHT(#REF!,2))</f>
        <v>#REF!</v>
      </c>
      <c r="D1503" s="147" t="e">
        <f>CONCATENATE("Export Pipeline Trade of ",Commodities!C54, " from ",$B$1497," to R",RIGHT(C1503))</f>
        <v>#REF!</v>
      </c>
      <c r="E1503" s="163" t="s">
        <v>196</v>
      </c>
      <c r="F1503" s="163" t="s">
        <v>318</v>
      </c>
    </row>
    <row r="1504" spans="2:6">
      <c r="B1504" s="147" t="s">
        <v>1005</v>
      </c>
      <c r="C1504" s="147" t="e">
        <f>CONCATENATE("EXP",Commodities!C55,RIGHT(#REF!,2))</f>
        <v>#REF!</v>
      </c>
      <c r="D1504" s="147" t="e">
        <f>CONCATENATE("Export Pipeline Trade of ",Commodities!C55, " from ",$B$1497," to R",RIGHT(C1504))</f>
        <v>#REF!</v>
      </c>
      <c r="E1504" s="163" t="s">
        <v>196</v>
      </c>
      <c r="F1504" s="163" t="s">
        <v>318</v>
      </c>
    </row>
    <row r="1505" spans="2:6">
      <c r="B1505" s="147" t="s">
        <v>1005</v>
      </c>
      <c r="C1505" s="147" t="e">
        <f>CONCATENATE("EXP",Commodities!C56,RIGHT(#REF!,2))</f>
        <v>#REF!</v>
      </c>
      <c r="D1505" s="147" t="e">
        <f>CONCATENATE("Export Pipeline Trade of ",Commodities!C56, " from ",$B$1497," to R",RIGHT(C1505))</f>
        <v>#REF!</v>
      </c>
      <c r="E1505" s="163" t="s">
        <v>196</v>
      </c>
      <c r="F1505" s="163" t="s">
        <v>318</v>
      </c>
    </row>
    <row r="1506" spans="2:6">
      <c r="B1506" s="147" t="s">
        <v>1005</v>
      </c>
      <c r="C1506" s="147" t="e">
        <f>CONCATENATE("EXP",Commodities!C57,RIGHT(#REF!,2))</f>
        <v>#REF!</v>
      </c>
      <c r="D1506" s="147" t="e">
        <f>CONCATENATE("Export Pipeline Trade of ",Commodities!C57, " from ",$B$1497," to R",RIGHT(C1506))</f>
        <v>#REF!</v>
      </c>
      <c r="E1506" s="163" t="s">
        <v>196</v>
      </c>
      <c r="F1506" s="163" t="s">
        <v>318</v>
      </c>
    </row>
    <row r="1507" spans="2:6">
      <c r="B1507" s="147" t="s">
        <v>1005</v>
      </c>
      <c r="C1507" s="147" t="e">
        <f>CONCATENATE("EXP",Commodities!C58,RIGHT(#REF!,2))</f>
        <v>#REF!</v>
      </c>
      <c r="D1507" s="147" t="e">
        <f>CONCATENATE("Export Pipeline Trade of ",Commodities!C58, " from ",$B$1497," to R",RIGHT(C1507))</f>
        <v>#REF!</v>
      </c>
      <c r="E1507" s="163" t="s">
        <v>196</v>
      </c>
      <c r="F1507" s="163" t="s">
        <v>318</v>
      </c>
    </row>
    <row r="1508" spans="2:6">
      <c r="B1508" s="147" t="s">
        <v>1005</v>
      </c>
      <c r="C1508" s="147" t="e">
        <f>CONCATENATE("EXP",Commodities!C59,RIGHT(#REF!,2))</f>
        <v>#REF!</v>
      </c>
      <c r="D1508" s="147" t="e">
        <f>CONCATENATE("Export Pipeline Trade of ",Commodities!C59, " from ",$B$1497," to R",RIGHT(C1508))</f>
        <v>#REF!</v>
      </c>
      <c r="E1508" s="163" t="s">
        <v>196</v>
      </c>
      <c r="F1508" s="163" t="s">
        <v>318</v>
      </c>
    </row>
    <row r="1509" spans="2:6">
      <c r="B1509" s="147" t="s">
        <v>1005</v>
      </c>
      <c r="C1509" s="147" t="e">
        <f>CONCATENATE("EXP",Commodities!C60,RIGHT(#REF!,2))</f>
        <v>#REF!</v>
      </c>
      <c r="D1509" s="147" t="e">
        <f>CONCATENATE("Export Pipeline Trade of ",Commodities!C60, " from ",$B$1497," to R",RIGHT(C1509))</f>
        <v>#REF!</v>
      </c>
      <c r="E1509" s="163" t="s">
        <v>196</v>
      </c>
      <c r="F1509" s="163" t="s">
        <v>318</v>
      </c>
    </row>
    <row r="1510" spans="2:6">
      <c r="B1510" s="147" t="s">
        <v>971</v>
      </c>
      <c r="C1510" s="147" t="e">
        <f>CONCATENATE("EXP",Commodities!C48,RIGHT(#REF!,2))</f>
        <v>#REF!</v>
      </c>
      <c r="D1510" s="147" t="e">
        <f>CONCATENATE("Export Pipeline Trade of ",Commodities!C48, " from ",$B$1510," to R",RIGHT(C1510))</f>
        <v>#REF!</v>
      </c>
      <c r="E1510" s="163" t="s">
        <v>196</v>
      </c>
      <c r="F1510" s="163" t="s">
        <v>318</v>
      </c>
    </row>
    <row r="1511" spans="2:6">
      <c r="B1511" s="147" t="s">
        <v>971</v>
      </c>
      <c r="C1511" s="147" t="e">
        <f>CONCATENATE("EXP",Commodities!C49,RIGHT(#REF!,2))</f>
        <v>#REF!</v>
      </c>
      <c r="D1511" s="147" t="e">
        <f>CONCATENATE("Export Pipeline Trade of ",Commodities!C49, " from ",$B$1510," to R",RIGHT(C1511))</f>
        <v>#REF!</v>
      </c>
      <c r="E1511" s="163" t="s">
        <v>196</v>
      </c>
      <c r="F1511" s="163" t="s">
        <v>318</v>
      </c>
    </row>
    <row r="1512" spans="2:6">
      <c r="B1512" s="147" t="s">
        <v>971</v>
      </c>
      <c r="C1512" s="147" t="e">
        <f>CONCATENATE("EXP",Commodities!C50,RIGHT(#REF!,2))</f>
        <v>#REF!</v>
      </c>
      <c r="D1512" s="147" t="e">
        <f>CONCATENATE("Export Pipeline Trade of ",Commodities!C50, " from ",$B$1510," to R",RIGHT(C1512))</f>
        <v>#REF!</v>
      </c>
      <c r="E1512" s="163" t="s">
        <v>196</v>
      </c>
      <c r="F1512" s="163" t="s">
        <v>318</v>
      </c>
    </row>
    <row r="1513" spans="2:6">
      <c r="B1513" s="147" t="s">
        <v>971</v>
      </c>
      <c r="C1513" s="147" t="e">
        <f>CONCATENATE("EXP",Commodities!C51,RIGHT(#REF!,2))</f>
        <v>#REF!</v>
      </c>
      <c r="D1513" s="147" t="e">
        <f>CONCATENATE("Export Pipeline Trade of ",Commodities!C51, " from ",$B$1510," to R",RIGHT(C1513))</f>
        <v>#REF!</v>
      </c>
      <c r="E1513" s="163" t="s">
        <v>196</v>
      </c>
      <c r="F1513" s="163" t="s">
        <v>318</v>
      </c>
    </row>
    <row r="1514" spans="2:6">
      <c r="B1514" s="147" t="s">
        <v>971</v>
      </c>
      <c r="C1514" s="147" t="e">
        <f>CONCATENATE("EXP",Commodities!C52,RIGHT(#REF!,2))</f>
        <v>#REF!</v>
      </c>
      <c r="D1514" s="147" t="e">
        <f>CONCATENATE("Export Pipeline Trade of ",Commodities!C52, " from ",$B$1510," to R",RIGHT(C1514))</f>
        <v>#REF!</v>
      </c>
      <c r="E1514" s="163" t="s">
        <v>196</v>
      </c>
      <c r="F1514" s="163" t="s">
        <v>318</v>
      </c>
    </row>
    <row r="1515" spans="2:6">
      <c r="B1515" s="147" t="s">
        <v>971</v>
      </c>
      <c r="C1515" s="147" t="e">
        <f>CONCATENATE("EXP",Commodities!C53,RIGHT(#REF!,2))</f>
        <v>#REF!</v>
      </c>
      <c r="D1515" s="147" t="e">
        <f>CONCATENATE("Export Pipeline Trade of ",Commodities!C53, " from ",$B$1510," to R",RIGHT(C1515))</f>
        <v>#REF!</v>
      </c>
      <c r="E1515" s="163" t="s">
        <v>196</v>
      </c>
      <c r="F1515" s="163" t="s">
        <v>318</v>
      </c>
    </row>
    <row r="1516" spans="2:6">
      <c r="B1516" s="147" t="s">
        <v>971</v>
      </c>
      <c r="C1516" s="147" t="e">
        <f>CONCATENATE("EXP",Commodities!C54,RIGHT(#REF!,2))</f>
        <v>#REF!</v>
      </c>
      <c r="D1516" s="147" t="e">
        <f>CONCATENATE("Export Pipeline Trade of ",Commodities!C54, " from ",$B$1510," to R",RIGHT(C1516))</f>
        <v>#REF!</v>
      </c>
      <c r="E1516" s="163" t="s">
        <v>196</v>
      </c>
      <c r="F1516" s="163" t="s">
        <v>318</v>
      </c>
    </row>
    <row r="1517" spans="2:6">
      <c r="B1517" s="147" t="s">
        <v>971</v>
      </c>
      <c r="C1517" s="147" t="e">
        <f>CONCATENATE("EXP",Commodities!C55,RIGHT(#REF!,2))</f>
        <v>#REF!</v>
      </c>
      <c r="D1517" s="147" t="e">
        <f>CONCATENATE("Export Pipeline Trade of ",Commodities!C55, " from ",$B$1510," to R",RIGHT(C1517))</f>
        <v>#REF!</v>
      </c>
      <c r="E1517" s="163" t="s">
        <v>196</v>
      </c>
      <c r="F1517" s="163" t="s">
        <v>318</v>
      </c>
    </row>
    <row r="1518" spans="2:6">
      <c r="B1518" s="147" t="s">
        <v>971</v>
      </c>
      <c r="C1518" s="147" t="e">
        <f>CONCATENATE("EXP",Commodities!C56,RIGHT(#REF!,2))</f>
        <v>#REF!</v>
      </c>
      <c r="D1518" s="147" t="e">
        <f>CONCATENATE("Export Pipeline Trade of ",Commodities!C56, " from ",$B$1510," to R",RIGHT(C1518))</f>
        <v>#REF!</v>
      </c>
      <c r="E1518" s="163" t="s">
        <v>196</v>
      </c>
      <c r="F1518" s="163" t="s">
        <v>318</v>
      </c>
    </row>
    <row r="1519" spans="2:6">
      <c r="B1519" s="147" t="s">
        <v>971</v>
      </c>
      <c r="C1519" s="147" t="e">
        <f>CONCATENATE("EXP",Commodities!C57,RIGHT(#REF!,2))</f>
        <v>#REF!</v>
      </c>
      <c r="D1519" s="147" t="e">
        <f>CONCATENATE("Export Pipeline Trade of ",Commodities!C57, " from ",$B$1510," to R",RIGHT(C1519))</f>
        <v>#REF!</v>
      </c>
      <c r="E1519" s="163" t="s">
        <v>196</v>
      </c>
      <c r="F1519" s="163" t="s">
        <v>318</v>
      </c>
    </row>
    <row r="1520" spans="2:6">
      <c r="B1520" s="147" t="s">
        <v>971</v>
      </c>
      <c r="C1520" s="147" t="e">
        <f>CONCATENATE("EXP",Commodities!C58,RIGHT(#REF!,2))</f>
        <v>#REF!</v>
      </c>
      <c r="D1520" s="147" t="e">
        <f>CONCATENATE("Export Pipeline Trade of ",Commodities!C58, " from ",$B$1510," to R",RIGHT(C1520))</f>
        <v>#REF!</v>
      </c>
      <c r="E1520" s="163" t="s">
        <v>196</v>
      </c>
      <c r="F1520" s="163" t="s">
        <v>318</v>
      </c>
    </row>
    <row r="1521" spans="2:6">
      <c r="B1521" s="147" t="s">
        <v>971</v>
      </c>
      <c r="C1521" s="147" t="e">
        <f>CONCATENATE("EXP",Commodities!C59,RIGHT(#REF!,2))</f>
        <v>#REF!</v>
      </c>
      <c r="D1521" s="147" t="e">
        <f>CONCATENATE("Export Pipeline Trade of ",Commodities!C59, " from ",$B$1510," to R",RIGHT(C1521))</f>
        <v>#REF!</v>
      </c>
      <c r="E1521" s="163" t="s">
        <v>196</v>
      </c>
      <c r="F1521" s="163" t="s">
        <v>318</v>
      </c>
    </row>
    <row r="1522" spans="2:6">
      <c r="B1522" s="147" t="s">
        <v>971</v>
      </c>
      <c r="C1522" s="147" t="e">
        <f>CONCATENATE("EXP",Commodities!C60,RIGHT(#REF!,2))</f>
        <v>#REF!</v>
      </c>
      <c r="D1522" s="147" t="e">
        <f>CONCATENATE("Export Pipeline Trade of ",Commodities!C60, " from ",$B$1510," to R",RIGHT(C1522))</f>
        <v>#REF!</v>
      </c>
      <c r="E1522" s="163" t="s">
        <v>196</v>
      </c>
      <c r="F1522" s="163" t="s">
        <v>318</v>
      </c>
    </row>
    <row r="1523" spans="2:6">
      <c r="B1523" s="147" t="s">
        <v>971</v>
      </c>
      <c r="C1523" s="147" t="e">
        <f>CONCATENATE("EXP",Commodities!C48,RIGHT(#REF!,2))</f>
        <v>#REF!</v>
      </c>
      <c r="D1523" s="147" t="e">
        <f>CONCATENATE("Export Pipeline Trade of ",Commodities!C48, " from ",$B$1523," to R",RIGHT(C1523))</f>
        <v>#REF!</v>
      </c>
      <c r="E1523" s="163" t="s">
        <v>196</v>
      </c>
      <c r="F1523" s="163" t="s">
        <v>318</v>
      </c>
    </row>
    <row r="1524" spans="2:6">
      <c r="B1524" s="147" t="s">
        <v>971</v>
      </c>
      <c r="C1524" s="147" t="e">
        <f>CONCATENATE("EXP",Commodities!C49,RIGHT(#REF!,2))</f>
        <v>#REF!</v>
      </c>
      <c r="D1524" s="147" t="e">
        <f>CONCATENATE("Export Pipeline Trade of ",Commodities!C49, " from ",$B$1523," to R",RIGHT(C1524))</f>
        <v>#REF!</v>
      </c>
      <c r="E1524" s="163" t="s">
        <v>196</v>
      </c>
      <c r="F1524" s="163" t="s">
        <v>318</v>
      </c>
    </row>
    <row r="1525" spans="2:6">
      <c r="B1525" s="147" t="s">
        <v>971</v>
      </c>
      <c r="C1525" s="147" t="e">
        <f>CONCATENATE("EXP",Commodities!C50,RIGHT(#REF!,2))</f>
        <v>#REF!</v>
      </c>
      <c r="D1525" s="147" t="e">
        <f>CONCATENATE("Export Pipeline Trade of ",Commodities!C50, " from ",$B$1523," to R",RIGHT(C1525))</f>
        <v>#REF!</v>
      </c>
      <c r="E1525" s="163" t="s">
        <v>196</v>
      </c>
      <c r="F1525" s="163" t="s">
        <v>318</v>
      </c>
    </row>
    <row r="1526" spans="2:6">
      <c r="B1526" s="147" t="s">
        <v>971</v>
      </c>
      <c r="C1526" s="147" t="e">
        <f>CONCATENATE("EXP",Commodities!C51,RIGHT(#REF!,2))</f>
        <v>#REF!</v>
      </c>
      <c r="D1526" s="147" t="e">
        <f>CONCATENATE("Export Pipeline Trade of ",Commodities!C51, " from ",$B$1523," to R",RIGHT(C1526))</f>
        <v>#REF!</v>
      </c>
      <c r="E1526" s="163" t="s">
        <v>196</v>
      </c>
      <c r="F1526" s="163" t="s">
        <v>318</v>
      </c>
    </row>
    <row r="1527" spans="2:6">
      <c r="B1527" s="147" t="s">
        <v>971</v>
      </c>
      <c r="C1527" s="147" t="e">
        <f>CONCATENATE("EXP",Commodities!C52,RIGHT(#REF!,2))</f>
        <v>#REF!</v>
      </c>
      <c r="D1527" s="147" t="e">
        <f>CONCATENATE("Export Pipeline Trade of ",Commodities!C52, " from ",$B$1523," to R",RIGHT(C1527))</f>
        <v>#REF!</v>
      </c>
      <c r="E1527" s="163" t="s">
        <v>196</v>
      </c>
      <c r="F1527" s="163" t="s">
        <v>318</v>
      </c>
    </row>
    <row r="1528" spans="2:6">
      <c r="B1528" s="147" t="s">
        <v>971</v>
      </c>
      <c r="C1528" s="147" t="e">
        <f>CONCATENATE("EXP",Commodities!C53,RIGHT(#REF!,2))</f>
        <v>#REF!</v>
      </c>
      <c r="D1528" s="147" t="e">
        <f>CONCATENATE("Export Pipeline Trade of ",Commodities!C53, " from ",$B$1523," to R",RIGHT(C1528))</f>
        <v>#REF!</v>
      </c>
      <c r="E1528" s="163" t="s">
        <v>196</v>
      </c>
      <c r="F1528" s="163" t="s">
        <v>318</v>
      </c>
    </row>
    <row r="1529" spans="2:6">
      <c r="B1529" s="147" t="s">
        <v>971</v>
      </c>
      <c r="C1529" s="147" t="e">
        <f>CONCATENATE("EXP",Commodities!C54,RIGHT(#REF!,2))</f>
        <v>#REF!</v>
      </c>
      <c r="D1529" s="147" t="e">
        <f>CONCATENATE("Export Pipeline Trade of ",Commodities!C54, " from ",$B$1523," to R",RIGHT(C1529))</f>
        <v>#REF!</v>
      </c>
      <c r="E1529" s="163" t="s">
        <v>196</v>
      </c>
      <c r="F1529" s="163" t="s">
        <v>318</v>
      </c>
    </row>
    <row r="1530" spans="2:6">
      <c r="B1530" s="147" t="s">
        <v>971</v>
      </c>
      <c r="C1530" s="147" t="e">
        <f>CONCATENATE("EXP",Commodities!C55,RIGHT(#REF!,2))</f>
        <v>#REF!</v>
      </c>
      <c r="D1530" s="147" t="e">
        <f>CONCATENATE("Export Pipeline Trade of ",Commodities!C55, " from ",$B$1523," to R",RIGHT(C1530))</f>
        <v>#REF!</v>
      </c>
      <c r="E1530" s="163" t="s">
        <v>196</v>
      </c>
      <c r="F1530" s="163" t="s">
        <v>318</v>
      </c>
    </row>
    <row r="1531" spans="2:6">
      <c r="B1531" s="147" t="s">
        <v>971</v>
      </c>
      <c r="C1531" s="147" t="e">
        <f>CONCATENATE("EXP",Commodities!C56,RIGHT(#REF!,2))</f>
        <v>#REF!</v>
      </c>
      <c r="D1531" s="147" t="e">
        <f>CONCATENATE("Export Pipeline Trade of ",Commodities!C56, " from ",$B$1523," to R",RIGHT(C1531))</f>
        <v>#REF!</v>
      </c>
      <c r="E1531" s="163" t="s">
        <v>196</v>
      </c>
      <c r="F1531" s="163" t="s">
        <v>318</v>
      </c>
    </row>
    <row r="1532" spans="2:6">
      <c r="B1532" s="147" t="s">
        <v>971</v>
      </c>
      <c r="C1532" s="147" t="e">
        <f>CONCATENATE("EXP",Commodities!C57,RIGHT(#REF!,2))</f>
        <v>#REF!</v>
      </c>
      <c r="D1532" s="147" t="e">
        <f>CONCATENATE("Export Pipeline Trade of ",Commodities!C57, " from ",$B$1523," to R",RIGHT(C1532))</f>
        <v>#REF!</v>
      </c>
      <c r="E1532" s="163" t="s">
        <v>196</v>
      </c>
      <c r="F1532" s="163" t="s">
        <v>318</v>
      </c>
    </row>
    <row r="1533" spans="2:6">
      <c r="B1533" s="147" t="s">
        <v>971</v>
      </c>
      <c r="C1533" s="147" t="e">
        <f>CONCATENATE("EXP",Commodities!C58,RIGHT(#REF!,2))</f>
        <v>#REF!</v>
      </c>
      <c r="D1533" s="147" t="e">
        <f>CONCATENATE("Export Pipeline Trade of ",Commodities!C58, " from ",$B$1523," to R",RIGHT(C1533))</f>
        <v>#REF!</v>
      </c>
      <c r="E1533" s="163" t="s">
        <v>196</v>
      </c>
      <c r="F1533" s="163" t="s">
        <v>318</v>
      </c>
    </row>
    <row r="1534" spans="2:6">
      <c r="B1534" s="147" t="s">
        <v>971</v>
      </c>
      <c r="C1534" s="147" t="e">
        <f>CONCATENATE("EXP",Commodities!C59,RIGHT(#REF!,2))</f>
        <v>#REF!</v>
      </c>
      <c r="D1534" s="147" t="e">
        <f>CONCATENATE("Export Pipeline Trade of ",Commodities!C59, " from ",$B$1523," to R",RIGHT(C1534))</f>
        <v>#REF!</v>
      </c>
      <c r="E1534" s="163" t="s">
        <v>196</v>
      </c>
      <c r="F1534" s="163" t="s">
        <v>318</v>
      </c>
    </row>
    <row r="1535" spans="2:6">
      <c r="B1535" s="147" t="s">
        <v>971</v>
      </c>
      <c r="C1535" s="147" t="e">
        <f>CONCATENATE("EXP",Commodities!C60,RIGHT(#REF!,2))</f>
        <v>#REF!</v>
      </c>
      <c r="D1535" s="147" t="e">
        <f>CONCATENATE("Export Pipeline Trade of ",Commodities!C60, " from ",$B$1523," to R",RIGHT(C1535))</f>
        <v>#REF!</v>
      </c>
      <c r="E1535" s="163" t="s">
        <v>196</v>
      </c>
      <c r="F1535" s="163" t="s">
        <v>318</v>
      </c>
    </row>
    <row r="1536" spans="2:6">
      <c r="B1536" s="147" t="s">
        <v>1036</v>
      </c>
    </row>
    <row r="1537" spans="2:6">
      <c r="B1537" s="147" t="s">
        <v>1031</v>
      </c>
      <c r="C1537" s="147" t="e">
        <f>CONCATENATE("EXP",Commodities!C48,"B",RIGHT(#REF!,2))</f>
        <v>#REF!</v>
      </c>
      <c r="D1537" s="147" t="e">
        <f>CONCATENATE("Export Barge/Vessel Trade of ",Commodities!C48, " from ",$B$1537," to R",RIGHT(C1537))</f>
        <v>#REF!</v>
      </c>
      <c r="E1537" s="163" t="s">
        <v>196</v>
      </c>
      <c r="F1537" s="163" t="s">
        <v>318</v>
      </c>
    </row>
    <row r="1538" spans="2:6">
      <c r="B1538" s="147" t="s">
        <v>1031</v>
      </c>
      <c r="C1538" s="147" t="e">
        <f>CONCATENATE("EXP",Commodities!C49,"B",RIGHT(#REF!,2))</f>
        <v>#REF!</v>
      </c>
      <c r="D1538" s="147" t="e">
        <f>CONCATENATE("Export Barge/Vessel Trade of ",Commodities!C49, " from ",$B$1537," to R",RIGHT(C1538))</f>
        <v>#REF!</v>
      </c>
      <c r="E1538" s="163" t="s">
        <v>196</v>
      </c>
      <c r="F1538" s="163" t="s">
        <v>318</v>
      </c>
    </row>
    <row r="1539" spans="2:6">
      <c r="B1539" s="147" t="s">
        <v>1031</v>
      </c>
      <c r="C1539" s="147" t="e">
        <f>CONCATENATE("EXP",Commodities!C50,"B",RIGHT(#REF!,2))</f>
        <v>#REF!</v>
      </c>
      <c r="D1539" s="147" t="e">
        <f>CONCATENATE("Export Barge/Vessel Trade of ",Commodities!C50, " from ",$B$1537," to R",RIGHT(C1539))</f>
        <v>#REF!</v>
      </c>
      <c r="E1539" s="163" t="s">
        <v>196</v>
      </c>
      <c r="F1539" s="163" t="s">
        <v>318</v>
      </c>
    </row>
    <row r="1540" spans="2:6">
      <c r="B1540" s="147" t="s">
        <v>1031</v>
      </c>
      <c r="C1540" s="147" t="e">
        <f>CONCATENATE("EXP",Commodities!C51,"B",RIGHT(#REF!,2))</f>
        <v>#REF!</v>
      </c>
      <c r="D1540" s="147" t="e">
        <f>CONCATENATE("Export Barge/Vessel Trade of ",Commodities!C51, " from ",$B$1537," to R",RIGHT(C1540))</f>
        <v>#REF!</v>
      </c>
      <c r="E1540" s="163" t="s">
        <v>196</v>
      </c>
      <c r="F1540" s="163" t="s">
        <v>318</v>
      </c>
    </row>
    <row r="1541" spans="2:6">
      <c r="B1541" s="147" t="s">
        <v>1031</v>
      </c>
      <c r="C1541" s="147" t="e">
        <f>CONCATENATE("EXP",Commodities!C52,"B",RIGHT(#REF!,2))</f>
        <v>#REF!</v>
      </c>
      <c r="D1541" s="147" t="e">
        <f>CONCATENATE("Export Barge/Vessel Trade of ",Commodities!C52, " from ",$B$1537," to R",RIGHT(C1541))</f>
        <v>#REF!</v>
      </c>
      <c r="E1541" s="163" t="s">
        <v>196</v>
      </c>
      <c r="F1541" s="163" t="s">
        <v>318</v>
      </c>
    </row>
    <row r="1542" spans="2:6">
      <c r="B1542" s="147" t="s">
        <v>1031</v>
      </c>
      <c r="C1542" s="147" t="e">
        <f>CONCATENATE("EXP",Commodities!C53,"B",RIGHT(#REF!,2))</f>
        <v>#REF!</v>
      </c>
      <c r="D1542" s="147" t="e">
        <f>CONCATENATE("Export Barge/Vessel Trade of ",Commodities!C53, " from ",$B$1537," to R",RIGHT(C1542))</f>
        <v>#REF!</v>
      </c>
      <c r="E1542" s="163" t="s">
        <v>196</v>
      </c>
      <c r="F1542" s="163" t="s">
        <v>318</v>
      </c>
    </row>
    <row r="1543" spans="2:6">
      <c r="B1543" s="147" t="s">
        <v>1031</v>
      </c>
      <c r="C1543" s="147" t="e">
        <f>CONCATENATE("EXP",Commodities!C54,"B",RIGHT(#REF!,2))</f>
        <v>#REF!</v>
      </c>
      <c r="D1543" s="147" t="e">
        <f>CONCATENATE("Export Barge/Vessel Trade of ",Commodities!C54, " from ",$B$1537," to R",RIGHT(C1543))</f>
        <v>#REF!</v>
      </c>
      <c r="E1543" s="163" t="s">
        <v>196</v>
      </c>
      <c r="F1543" s="163" t="s">
        <v>318</v>
      </c>
    </row>
    <row r="1544" spans="2:6">
      <c r="B1544" s="147" t="s">
        <v>1031</v>
      </c>
      <c r="C1544" s="147" t="e">
        <f>CONCATENATE("EXP",Commodities!C55,"B",RIGHT(#REF!,2))</f>
        <v>#REF!</v>
      </c>
      <c r="D1544" s="147" t="e">
        <f>CONCATENATE("Export Barge/Vessel Trade of ",Commodities!C55, " from ",$B$1537," to R",RIGHT(C1544))</f>
        <v>#REF!</v>
      </c>
      <c r="E1544" s="163" t="s">
        <v>196</v>
      </c>
      <c r="F1544" s="163" t="s">
        <v>318</v>
      </c>
    </row>
    <row r="1545" spans="2:6">
      <c r="B1545" s="147" t="s">
        <v>1031</v>
      </c>
      <c r="C1545" s="147" t="e">
        <f>CONCATENATE("EXP",Commodities!C56,"B",RIGHT(#REF!,2))</f>
        <v>#REF!</v>
      </c>
      <c r="D1545" s="147" t="e">
        <f>CONCATENATE("Export Barge/Vessel Trade of ",Commodities!C56, " from ",$B$1537," to R",RIGHT(C1545))</f>
        <v>#REF!</v>
      </c>
      <c r="E1545" s="163" t="s">
        <v>196</v>
      </c>
      <c r="F1545" s="163" t="s">
        <v>318</v>
      </c>
    </row>
    <row r="1546" spans="2:6">
      <c r="B1546" s="147" t="s">
        <v>1031</v>
      </c>
      <c r="C1546" s="147" t="e">
        <f>CONCATENATE("EXP",Commodities!C57,"B",RIGHT(#REF!,2))</f>
        <v>#REF!</v>
      </c>
      <c r="D1546" s="147" t="e">
        <f>CONCATENATE("Export Barge/Vessel Trade of ",Commodities!C57, " from ",$B$1537," to R",RIGHT(C1546))</f>
        <v>#REF!</v>
      </c>
      <c r="E1546" s="163" t="s">
        <v>196</v>
      </c>
      <c r="F1546" s="163" t="s">
        <v>318</v>
      </c>
    </row>
    <row r="1547" spans="2:6">
      <c r="B1547" s="147" t="s">
        <v>1031</v>
      </c>
      <c r="C1547" s="147" t="e">
        <f>CONCATENATE("EXP",Commodities!C58,"B",RIGHT(#REF!,2))</f>
        <v>#REF!</v>
      </c>
      <c r="D1547" s="147" t="e">
        <f>CONCATENATE("Export Barge/Vessel Trade of ",Commodities!C58, " from ",$B$1537," to R",RIGHT(C1547))</f>
        <v>#REF!</v>
      </c>
      <c r="E1547" s="163" t="s">
        <v>196</v>
      </c>
      <c r="F1547" s="163" t="s">
        <v>318</v>
      </c>
    </row>
    <row r="1548" spans="2:6">
      <c r="B1548" s="147" t="s">
        <v>1031</v>
      </c>
      <c r="C1548" s="147" t="e">
        <f>CONCATENATE("EXP",Commodities!C59,"B",RIGHT(#REF!,2))</f>
        <v>#REF!</v>
      </c>
      <c r="D1548" s="147" t="e">
        <f>CONCATENATE("Export Barge/Vessel Trade of ",Commodities!C59, " from ",$B$1537," to R",RIGHT(C1548))</f>
        <v>#REF!</v>
      </c>
      <c r="E1548" s="163" t="s">
        <v>196</v>
      </c>
      <c r="F1548" s="163" t="s">
        <v>318</v>
      </c>
    </row>
    <row r="1549" spans="2:6">
      <c r="B1549" s="147" t="s">
        <v>1031</v>
      </c>
      <c r="C1549" s="147" t="e">
        <f>CONCATENATE("EXP",Commodities!C60,"B",RIGHT(#REF!,2))</f>
        <v>#REF!</v>
      </c>
      <c r="D1549" s="147" t="e">
        <f>CONCATENATE("Export Barge/Vessel Trade of ",Commodities!C60, " from ",$B$1537," to R",RIGHT(C1549))</f>
        <v>#REF!</v>
      </c>
      <c r="E1549" s="163" t="s">
        <v>196</v>
      </c>
      <c r="F1549" s="163" t="s">
        <v>318</v>
      </c>
    </row>
    <row r="1550" spans="2:6">
      <c r="B1550" s="147" t="s">
        <v>1031</v>
      </c>
      <c r="C1550" s="147" t="e">
        <f>CONCATENATE("EXP",Commodities!C48,"B",RIGHT(#REF!,2))</f>
        <v>#REF!</v>
      </c>
      <c r="D1550" s="147" t="e">
        <f>CONCATENATE("Export Barge/Vessel Trade of ",Commodities!C48, " from ",$B$1550," to R",RIGHT(C1550))</f>
        <v>#REF!</v>
      </c>
      <c r="E1550" s="163" t="s">
        <v>196</v>
      </c>
      <c r="F1550" s="163" t="s">
        <v>318</v>
      </c>
    </row>
    <row r="1551" spans="2:6">
      <c r="B1551" s="147" t="s">
        <v>1031</v>
      </c>
      <c r="C1551" s="147" t="e">
        <f>CONCATENATE("EXP",Commodities!C49,"B",RIGHT(#REF!,2))</f>
        <v>#REF!</v>
      </c>
      <c r="D1551" s="147" t="e">
        <f>CONCATENATE("Export Barge/Vessel Trade of ",Commodities!C49, " from ",$B$1550," to R",RIGHT(C1551))</f>
        <v>#REF!</v>
      </c>
      <c r="E1551" s="163" t="s">
        <v>196</v>
      </c>
      <c r="F1551" s="163" t="s">
        <v>318</v>
      </c>
    </row>
    <row r="1552" spans="2:6">
      <c r="B1552" s="147" t="s">
        <v>1031</v>
      </c>
      <c r="C1552" s="147" t="e">
        <f>CONCATENATE("EXP",Commodities!C50,"B",RIGHT(#REF!,2))</f>
        <v>#REF!</v>
      </c>
      <c r="D1552" s="147" t="e">
        <f>CONCATENATE("Export Barge/Vessel Trade of ",Commodities!C50, " from ",$B$1550," to R",RIGHT(C1552))</f>
        <v>#REF!</v>
      </c>
      <c r="E1552" s="163" t="s">
        <v>196</v>
      </c>
      <c r="F1552" s="163" t="s">
        <v>318</v>
      </c>
    </row>
    <row r="1553" spans="2:6">
      <c r="B1553" s="147" t="s">
        <v>1031</v>
      </c>
      <c r="C1553" s="147" t="e">
        <f>CONCATENATE("EXP",Commodities!C51,"B",RIGHT(#REF!,2))</f>
        <v>#REF!</v>
      </c>
      <c r="D1553" s="147" t="e">
        <f>CONCATENATE("Export Barge/Vessel Trade of ",Commodities!C51, " from ",$B$1550," to R",RIGHT(C1553))</f>
        <v>#REF!</v>
      </c>
      <c r="E1553" s="163" t="s">
        <v>196</v>
      </c>
      <c r="F1553" s="163" t="s">
        <v>318</v>
      </c>
    </row>
    <row r="1554" spans="2:6">
      <c r="B1554" s="147" t="s">
        <v>1031</v>
      </c>
      <c r="C1554" s="147" t="e">
        <f>CONCATENATE("EXP",Commodities!C52,"B",RIGHT(#REF!,2))</f>
        <v>#REF!</v>
      </c>
      <c r="D1554" s="147" t="e">
        <f>CONCATENATE("Export Barge/Vessel Trade of ",Commodities!C52, " from ",$B$1550," to R",RIGHT(C1554))</f>
        <v>#REF!</v>
      </c>
      <c r="E1554" s="163" t="s">
        <v>196</v>
      </c>
      <c r="F1554" s="163" t="s">
        <v>318</v>
      </c>
    </row>
    <row r="1555" spans="2:6">
      <c r="B1555" s="147" t="s">
        <v>1031</v>
      </c>
      <c r="C1555" s="147" t="e">
        <f>CONCATENATE("EXP",Commodities!C53,"B",RIGHT(#REF!,2))</f>
        <v>#REF!</v>
      </c>
      <c r="D1555" s="147" t="e">
        <f>CONCATENATE("Export Barge/Vessel Trade of ",Commodities!C53, " from ",$B$1550," to R",RIGHT(C1555))</f>
        <v>#REF!</v>
      </c>
      <c r="E1555" s="163" t="s">
        <v>196</v>
      </c>
      <c r="F1555" s="163" t="s">
        <v>318</v>
      </c>
    </row>
    <row r="1556" spans="2:6">
      <c r="B1556" s="147" t="s">
        <v>1031</v>
      </c>
      <c r="C1556" s="147" t="e">
        <f>CONCATENATE("EXP",Commodities!C54,"B",RIGHT(#REF!,2))</f>
        <v>#REF!</v>
      </c>
      <c r="D1556" s="147" t="e">
        <f>CONCATENATE("Export Barge/Vessel Trade of ",Commodities!C54, " from ",$B$1550," to R",RIGHT(C1556))</f>
        <v>#REF!</v>
      </c>
      <c r="E1556" s="163" t="s">
        <v>196</v>
      </c>
      <c r="F1556" s="163" t="s">
        <v>318</v>
      </c>
    </row>
    <row r="1557" spans="2:6">
      <c r="B1557" s="147" t="s">
        <v>1031</v>
      </c>
      <c r="C1557" s="147" t="e">
        <f>CONCATENATE("EXP",Commodities!C55,"B",RIGHT(#REF!,2))</f>
        <v>#REF!</v>
      </c>
      <c r="D1557" s="147" t="e">
        <f>CONCATENATE("Export Barge/Vessel Trade of ",Commodities!C55, " from ",$B$1550," to R",RIGHT(C1557))</f>
        <v>#REF!</v>
      </c>
      <c r="E1557" s="163" t="s">
        <v>196</v>
      </c>
      <c r="F1557" s="163" t="s">
        <v>318</v>
      </c>
    </row>
    <row r="1558" spans="2:6">
      <c r="B1558" s="147" t="s">
        <v>1031</v>
      </c>
      <c r="C1558" s="147" t="e">
        <f>CONCATENATE("EXP",Commodities!C56,"B",RIGHT(#REF!,2))</f>
        <v>#REF!</v>
      </c>
      <c r="D1558" s="147" t="e">
        <f>CONCATENATE("Export Barge/Vessel Trade of ",Commodities!C56, " from ",$B$1550," to R",RIGHT(C1558))</f>
        <v>#REF!</v>
      </c>
      <c r="E1558" s="163" t="s">
        <v>196</v>
      </c>
      <c r="F1558" s="163" t="s">
        <v>318</v>
      </c>
    </row>
    <row r="1559" spans="2:6">
      <c r="B1559" s="147" t="s">
        <v>1031</v>
      </c>
      <c r="C1559" s="147" t="e">
        <f>CONCATENATE("EXP",Commodities!C57,"B",RIGHT(#REF!,2))</f>
        <v>#REF!</v>
      </c>
      <c r="D1559" s="147" t="e">
        <f>CONCATENATE("Export Barge/Vessel Trade of ",Commodities!C57, " from ",$B$1550," to R",RIGHT(C1559))</f>
        <v>#REF!</v>
      </c>
      <c r="E1559" s="163" t="s">
        <v>196</v>
      </c>
      <c r="F1559" s="163" t="s">
        <v>318</v>
      </c>
    </row>
    <row r="1560" spans="2:6">
      <c r="B1560" s="147" t="s">
        <v>1031</v>
      </c>
      <c r="C1560" s="147" t="e">
        <f>CONCATENATE("EXP",Commodities!C58,"B",RIGHT(#REF!,2))</f>
        <v>#REF!</v>
      </c>
      <c r="D1560" s="147" t="e">
        <f>CONCATENATE("Export Barge/Vessel Trade of ",Commodities!C58, " from ",$B$1550," to R",RIGHT(C1560))</f>
        <v>#REF!</v>
      </c>
      <c r="E1560" s="163" t="s">
        <v>196</v>
      </c>
      <c r="F1560" s="163" t="s">
        <v>318</v>
      </c>
    </row>
    <row r="1561" spans="2:6">
      <c r="B1561" s="147" t="s">
        <v>1031</v>
      </c>
      <c r="C1561" s="147" t="e">
        <f>CONCATENATE("EXP",Commodities!C59,"B",RIGHT(#REF!,2))</f>
        <v>#REF!</v>
      </c>
      <c r="D1561" s="147" t="e">
        <f>CONCATENATE("Export Barge/Vessel Trade of ",Commodities!C59, " from ",$B$1550," to R",RIGHT(C1561))</f>
        <v>#REF!</v>
      </c>
      <c r="E1561" s="163" t="s">
        <v>196</v>
      </c>
      <c r="F1561" s="163" t="s">
        <v>318</v>
      </c>
    </row>
    <row r="1562" spans="2:6">
      <c r="B1562" s="147" t="s">
        <v>1031</v>
      </c>
      <c r="C1562" s="147" t="e">
        <f>CONCATENATE("EXP",Commodities!C60,"B",RIGHT(#REF!,2))</f>
        <v>#REF!</v>
      </c>
      <c r="D1562" s="147" t="e">
        <f>CONCATENATE("Export Barge/Vessel Trade of ",Commodities!C60, " from ",$B$1550," to R",RIGHT(C1562))</f>
        <v>#REF!</v>
      </c>
      <c r="E1562" s="163" t="s">
        <v>196</v>
      </c>
      <c r="F1562" s="163" t="s">
        <v>318</v>
      </c>
    </row>
    <row r="1563" spans="2:6">
      <c r="B1563" s="147" t="s">
        <v>1031</v>
      </c>
      <c r="C1563" s="147" t="e">
        <f>CONCATENATE("EXP",Commodities!C48,"B",RIGHT(#REF!,2))</f>
        <v>#REF!</v>
      </c>
      <c r="D1563" s="147" t="e">
        <f>CONCATENATE("Export Barge/Vessel Trade of ",Commodities!C48, " from ",$B$1563," to R",RIGHT(C1563))</f>
        <v>#REF!</v>
      </c>
      <c r="E1563" s="163" t="s">
        <v>196</v>
      </c>
      <c r="F1563" s="163" t="s">
        <v>318</v>
      </c>
    </row>
    <row r="1564" spans="2:6">
      <c r="B1564" s="147" t="s">
        <v>1031</v>
      </c>
      <c r="C1564" s="147" t="e">
        <f>CONCATENATE("EXP",Commodities!C49,"B",RIGHT(#REF!,2))</f>
        <v>#REF!</v>
      </c>
      <c r="D1564" s="147" t="e">
        <f>CONCATENATE("Export Barge/Vessel Trade of ",Commodities!C49, " from ",$B$1563," to R",RIGHT(C1564))</f>
        <v>#REF!</v>
      </c>
      <c r="E1564" s="163" t="s">
        <v>196</v>
      </c>
      <c r="F1564" s="163" t="s">
        <v>318</v>
      </c>
    </row>
    <row r="1565" spans="2:6">
      <c r="B1565" s="147" t="s">
        <v>1031</v>
      </c>
      <c r="C1565" s="147" t="e">
        <f>CONCATENATE("EXP",Commodities!C50,"B",RIGHT(#REF!,2))</f>
        <v>#REF!</v>
      </c>
      <c r="D1565" s="147" t="e">
        <f>CONCATENATE("Export Barge/Vessel Trade of ",Commodities!C50, " from ",$B$1563," to R",RIGHT(C1565))</f>
        <v>#REF!</v>
      </c>
      <c r="E1565" s="163" t="s">
        <v>196</v>
      </c>
      <c r="F1565" s="163" t="s">
        <v>318</v>
      </c>
    </row>
    <row r="1566" spans="2:6">
      <c r="B1566" s="147" t="s">
        <v>1031</v>
      </c>
      <c r="C1566" s="147" t="e">
        <f>CONCATENATE("EXP",Commodities!C51,"B",RIGHT(#REF!,2))</f>
        <v>#REF!</v>
      </c>
      <c r="D1566" s="147" t="e">
        <f>CONCATENATE("Export Barge/Vessel Trade of ",Commodities!C51, " from ",$B$1563," to R",RIGHT(C1566))</f>
        <v>#REF!</v>
      </c>
      <c r="E1566" s="163" t="s">
        <v>196</v>
      </c>
      <c r="F1566" s="163" t="s">
        <v>318</v>
      </c>
    </row>
    <row r="1567" spans="2:6">
      <c r="B1567" s="147" t="s">
        <v>1031</v>
      </c>
      <c r="C1567" s="147" t="e">
        <f>CONCATENATE("EXP",Commodities!C52,"B",RIGHT(#REF!,2))</f>
        <v>#REF!</v>
      </c>
      <c r="D1567" s="147" t="e">
        <f>CONCATENATE("Export Barge/Vessel Trade of ",Commodities!C52, " from ",$B$1563," to R",RIGHT(C1567))</f>
        <v>#REF!</v>
      </c>
      <c r="E1567" s="163" t="s">
        <v>196</v>
      </c>
      <c r="F1567" s="163" t="s">
        <v>318</v>
      </c>
    </row>
    <row r="1568" spans="2:6">
      <c r="B1568" s="147" t="s">
        <v>1031</v>
      </c>
      <c r="C1568" s="147" t="e">
        <f>CONCATENATE("EXP",Commodities!C53,"B",RIGHT(#REF!,2))</f>
        <v>#REF!</v>
      </c>
      <c r="D1568" s="147" t="e">
        <f>CONCATENATE("Export Barge/Vessel Trade of ",Commodities!C53, " from ",$B$1563," to R",RIGHT(C1568))</f>
        <v>#REF!</v>
      </c>
      <c r="E1568" s="163" t="s">
        <v>196</v>
      </c>
      <c r="F1568" s="163" t="s">
        <v>318</v>
      </c>
    </row>
    <row r="1569" spans="2:6">
      <c r="B1569" s="147" t="s">
        <v>1031</v>
      </c>
      <c r="C1569" s="147" t="e">
        <f>CONCATENATE("EXP",Commodities!C54,"B",RIGHT(#REF!,2))</f>
        <v>#REF!</v>
      </c>
      <c r="D1569" s="147" t="e">
        <f>CONCATENATE("Export Barge/Vessel Trade of ",Commodities!C54, " from ",$B$1563," to R",RIGHT(C1569))</f>
        <v>#REF!</v>
      </c>
      <c r="E1569" s="163" t="s">
        <v>196</v>
      </c>
      <c r="F1569" s="163" t="s">
        <v>318</v>
      </c>
    </row>
    <row r="1570" spans="2:6">
      <c r="B1570" s="147" t="s">
        <v>1031</v>
      </c>
      <c r="C1570" s="147" t="e">
        <f>CONCATENATE("EXP",Commodities!C55,"B",RIGHT(#REF!,2))</f>
        <v>#REF!</v>
      </c>
      <c r="D1570" s="147" t="e">
        <f>CONCATENATE("Export Barge/Vessel Trade of ",Commodities!C55, " from ",$B$1563," to R",RIGHT(C1570))</f>
        <v>#REF!</v>
      </c>
      <c r="E1570" s="163" t="s">
        <v>196</v>
      </c>
      <c r="F1570" s="163" t="s">
        <v>318</v>
      </c>
    </row>
    <row r="1571" spans="2:6">
      <c r="B1571" s="147" t="s">
        <v>1031</v>
      </c>
      <c r="C1571" s="147" t="e">
        <f>CONCATENATE("EXP",Commodities!C56,"B",RIGHT(#REF!,2))</f>
        <v>#REF!</v>
      </c>
      <c r="D1571" s="147" t="e">
        <f>CONCATENATE("Export Barge/Vessel Trade of ",Commodities!C56, " from ",$B$1563," to R",RIGHT(C1571))</f>
        <v>#REF!</v>
      </c>
      <c r="E1571" s="163" t="s">
        <v>196</v>
      </c>
      <c r="F1571" s="163" t="s">
        <v>318</v>
      </c>
    </row>
    <row r="1572" spans="2:6">
      <c r="B1572" s="147" t="s">
        <v>1031</v>
      </c>
      <c r="C1572" s="147" t="e">
        <f>CONCATENATE("EXP",Commodities!C57,"B",RIGHT(#REF!,2))</f>
        <v>#REF!</v>
      </c>
      <c r="D1572" s="147" t="e">
        <f>CONCATENATE("Export Barge/Vessel Trade of ",Commodities!C57, " from ",$B$1563," to R",RIGHT(C1572))</f>
        <v>#REF!</v>
      </c>
      <c r="E1572" s="163" t="s">
        <v>196</v>
      </c>
      <c r="F1572" s="163" t="s">
        <v>318</v>
      </c>
    </row>
    <row r="1573" spans="2:6">
      <c r="B1573" s="147" t="s">
        <v>1031</v>
      </c>
      <c r="C1573" s="147" t="e">
        <f>CONCATENATE("EXP",Commodities!C58,"B",RIGHT(#REF!,2))</f>
        <v>#REF!</v>
      </c>
      <c r="D1573" s="147" t="e">
        <f>CONCATENATE("Export Barge/Vessel Trade of ",Commodities!C58, " from ",$B$1563," to R",RIGHT(C1573))</f>
        <v>#REF!</v>
      </c>
      <c r="E1573" s="163" t="s">
        <v>196</v>
      </c>
      <c r="F1573" s="163" t="s">
        <v>318</v>
      </c>
    </row>
    <row r="1574" spans="2:6">
      <c r="B1574" s="147" t="s">
        <v>1031</v>
      </c>
      <c r="C1574" s="147" t="e">
        <f>CONCATENATE("EXP",Commodities!C59,"B",RIGHT(#REF!,2))</f>
        <v>#REF!</v>
      </c>
      <c r="D1574" s="147" t="e">
        <f>CONCATENATE("Export Barge/Vessel Trade of ",Commodities!C59, " from ",$B$1563," to R",RIGHT(C1574))</f>
        <v>#REF!</v>
      </c>
      <c r="E1574" s="163" t="s">
        <v>196</v>
      </c>
      <c r="F1574" s="163" t="s">
        <v>318</v>
      </c>
    </row>
    <row r="1575" spans="2:6">
      <c r="B1575" s="147" t="s">
        <v>1031</v>
      </c>
      <c r="C1575" s="147" t="e">
        <f>CONCATENATE("EXP",Commodities!C60,"B",RIGHT(#REF!,2))</f>
        <v>#REF!</v>
      </c>
      <c r="D1575" s="147" t="e">
        <f>CONCATENATE("Export Barge/Vessel Trade of ",Commodities!C60, " from ",$B$1563," to R",RIGHT(C1575))</f>
        <v>#REF!</v>
      </c>
      <c r="E1575" s="163" t="s">
        <v>196</v>
      </c>
      <c r="F1575" s="163" t="s">
        <v>318</v>
      </c>
    </row>
    <row r="1576" spans="2:6">
      <c r="B1576" s="147" t="s">
        <v>1032</v>
      </c>
      <c r="C1576" s="147" t="e">
        <f>CONCATENATE("EXP",Commodities!C48,"B",RIGHT(#REF!,2))</f>
        <v>#REF!</v>
      </c>
      <c r="D1576" s="147" t="e">
        <f>CONCATENATE("Export Barge/Vessel Trade of ",Commodities!C48, " from ",$B$1576," to R",RIGHT(C1576))</f>
        <v>#REF!</v>
      </c>
      <c r="E1576" s="163" t="s">
        <v>196</v>
      </c>
      <c r="F1576" s="163" t="s">
        <v>318</v>
      </c>
    </row>
    <row r="1577" spans="2:6">
      <c r="B1577" s="147" t="s">
        <v>1032</v>
      </c>
      <c r="C1577" s="147" t="e">
        <f>CONCATENATE("EXP",Commodities!C49,"B",RIGHT(#REF!,2))</f>
        <v>#REF!</v>
      </c>
      <c r="D1577" s="147" t="e">
        <f>CONCATENATE("Export Barge/Vessel Trade of ",Commodities!C49, " from ",$B$1576," to R",RIGHT(C1577))</f>
        <v>#REF!</v>
      </c>
      <c r="E1577" s="163" t="s">
        <v>196</v>
      </c>
      <c r="F1577" s="163" t="s">
        <v>318</v>
      </c>
    </row>
    <row r="1578" spans="2:6">
      <c r="B1578" s="147" t="s">
        <v>1032</v>
      </c>
      <c r="C1578" s="147" t="e">
        <f>CONCATENATE("EXP",Commodities!C50,"B",RIGHT(#REF!,2))</f>
        <v>#REF!</v>
      </c>
      <c r="D1578" s="147" t="e">
        <f>CONCATENATE("Export Barge/Vessel Trade of ",Commodities!C50, " from ",$B$1576," to R",RIGHT(C1578))</f>
        <v>#REF!</v>
      </c>
      <c r="E1578" s="163" t="s">
        <v>196</v>
      </c>
      <c r="F1578" s="163" t="s">
        <v>318</v>
      </c>
    </row>
    <row r="1579" spans="2:6">
      <c r="B1579" s="147" t="s">
        <v>1032</v>
      </c>
      <c r="C1579" s="147" t="e">
        <f>CONCATENATE("EXP",Commodities!C51,"B",RIGHT(#REF!,2))</f>
        <v>#REF!</v>
      </c>
      <c r="D1579" s="147" t="e">
        <f>CONCATENATE("Export Barge/Vessel Trade of ",Commodities!C51, " from ",$B$1576," to R",RIGHT(C1579))</f>
        <v>#REF!</v>
      </c>
      <c r="E1579" s="163" t="s">
        <v>196</v>
      </c>
      <c r="F1579" s="163" t="s">
        <v>318</v>
      </c>
    </row>
    <row r="1580" spans="2:6">
      <c r="B1580" s="147" t="s">
        <v>1032</v>
      </c>
      <c r="C1580" s="147" t="e">
        <f>CONCATENATE("EXP",Commodities!C52,"B",RIGHT(#REF!,2))</f>
        <v>#REF!</v>
      </c>
      <c r="D1580" s="147" t="e">
        <f>CONCATENATE("Export Barge/Vessel Trade of ",Commodities!C52, " from ",$B$1576," to R",RIGHT(C1580))</f>
        <v>#REF!</v>
      </c>
      <c r="E1580" s="163" t="s">
        <v>196</v>
      </c>
      <c r="F1580" s="163" t="s">
        <v>318</v>
      </c>
    </row>
    <row r="1581" spans="2:6">
      <c r="B1581" s="147" t="s">
        <v>1032</v>
      </c>
      <c r="C1581" s="147" t="e">
        <f>CONCATENATE("EXP",Commodities!C53,"B",RIGHT(#REF!,2))</f>
        <v>#REF!</v>
      </c>
      <c r="D1581" s="147" t="e">
        <f>CONCATENATE("Export Barge/Vessel Trade of ",Commodities!C53, " from ",$B$1576," to R",RIGHT(C1581))</f>
        <v>#REF!</v>
      </c>
      <c r="E1581" s="163" t="s">
        <v>196</v>
      </c>
      <c r="F1581" s="163" t="s">
        <v>318</v>
      </c>
    </row>
    <row r="1582" spans="2:6">
      <c r="B1582" s="147" t="s">
        <v>1032</v>
      </c>
      <c r="C1582" s="147" t="e">
        <f>CONCATENATE("EXP",Commodities!C54,"B",RIGHT(#REF!,2))</f>
        <v>#REF!</v>
      </c>
      <c r="D1582" s="147" t="e">
        <f>CONCATENATE("Export Barge/Vessel Trade of ",Commodities!C54, " from ",$B$1576," to R",RIGHT(C1582))</f>
        <v>#REF!</v>
      </c>
      <c r="E1582" s="163" t="s">
        <v>196</v>
      </c>
      <c r="F1582" s="163" t="s">
        <v>318</v>
      </c>
    </row>
    <row r="1583" spans="2:6">
      <c r="B1583" s="147" t="s">
        <v>1032</v>
      </c>
      <c r="C1583" s="147" t="e">
        <f>CONCATENATE("EXP",Commodities!C55,"B",RIGHT(#REF!,2))</f>
        <v>#REF!</v>
      </c>
      <c r="D1583" s="147" t="e">
        <f>CONCATENATE("Export Barge/Vessel Trade of ",Commodities!C55, " from ",$B$1576," to R",RIGHT(C1583))</f>
        <v>#REF!</v>
      </c>
      <c r="E1583" s="163" t="s">
        <v>196</v>
      </c>
      <c r="F1583" s="163" t="s">
        <v>318</v>
      </c>
    </row>
    <row r="1584" spans="2:6">
      <c r="B1584" s="147" t="s">
        <v>1032</v>
      </c>
      <c r="C1584" s="147" t="e">
        <f>CONCATENATE("EXP",Commodities!C56,"B",RIGHT(#REF!,2))</f>
        <v>#REF!</v>
      </c>
      <c r="D1584" s="147" t="e">
        <f>CONCATENATE("Export Barge/Vessel Trade of ",Commodities!C56, " from ",$B$1576," to R",RIGHT(C1584))</f>
        <v>#REF!</v>
      </c>
      <c r="E1584" s="163" t="s">
        <v>196</v>
      </c>
      <c r="F1584" s="163" t="s">
        <v>318</v>
      </c>
    </row>
    <row r="1585" spans="2:6">
      <c r="B1585" s="147" t="s">
        <v>1032</v>
      </c>
      <c r="C1585" s="147" t="e">
        <f>CONCATENATE("EXP",Commodities!C57,"B",RIGHT(#REF!,2))</f>
        <v>#REF!</v>
      </c>
      <c r="D1585" s="147" t="e">
        <f>CONCATENATE("Export Barge/Vessel Trade of ",Commodities!C57, " from ",$B$1576," to R",RIGHT(C1585))</f>
        <v>#REF!</v>
      </c>
      <c r="E1585" s="163" t="s">
        <v>196</v>
      </c>
      <c r="F1585" s="163" t="s">
        <v>318</v>
      </c>
    </row>
    <row r="1586" spans="2:6">
      <c r="B1586" s="147" t="s">
        <v>1032</v>
      </c>
      <c r="C1586" s="147" t="e">
        <f>CONCATENATE("EXP",Commodities!C58,"B",RIGHT(#REF!,2))</f>
        <v>#REF!</v>
      </c>
      <c r="D1586" s="147" t="e">
        <f>CONCATENATE("Export Barge/Vessel Trade of ",Commodities!C58, " from ",$B$1576," to R",RIGHT(C1586))</f>
        <v>#REF!</v>
      </c>
      <c r="E1586" s="163" t="s">
        <v>196</v>
      </c>
      <c r="F1586" s="163" t="s">
        <v>318</v>
      </c>
    </row>
    <row r="1587" spans="2:6">
      <c r="B1587" s="147" t="s">
        <v>1032</v>
      </c>
      <c r="C1587" s="147" t="e">
        <f>CONCATENATE("EXP",Commodities!C59,"B",RIGHT(#REF!,2))</f>
        <v>#REF!</v>
      </c>
      <c r="D1587" s="147" t="e">
        <f>CONCATENATE("Export Barge/Vessel Trade of ",Commodities!C59, " from ",$B$1576," to R",RIGHT(C1587))</f>
        <v>#REF!</v>
      </c>
      <c r="E1587" s="163" t="s">
        <v>196</v>
      </c>
      <c r="F1587" s="163" t="s">
        <v>318</v>
      </c>
    </row>
    <row r="1588" spans="2:6">
      <c r="B1588" s="147" t="s">
        <v>1032</v>
      </c>
      <c r="C1588" s="147" t="e">
        <f>CONCATENATE("EXP",Commodities!C60,"B",RIGHT(#REF!,2))</f>
        <v>#REF!</v>
      </c>
      <c r="D1588" s="147" t="e">
        <f>CONCATENATE("Export Barge/Vessel Trade of ",Commodities!C60, " from ",$B$1576," to R",RIGHT(C1588))</f>
        <v>#REF!</v>
      </c>
      <c r="E1588" s="163" t="s">
        <v>196</v>
      </c>
      <c r="F1588" s="163" t="s">
        <v>318</v>
      </c>
    </row>
    <row r="1589" spans="2:6">
      <c r="B1589" s="147" t="s">
        <v>1032</v>
      </c>
      <c r="C1589" s="147" t="e">
        <f>CONCATENATE("EXP",Commodities!C48,"B",RIGHT(#REF!,2))</f>
        <v>#REF!</v>
      </c>
      <c r="D1589" s="147" t="e">
        <f>CONCATENATE("Export Barge/Vessel Trade of ",Commodities!C48, " from ",$B$1589," to R",RIGHT(C1589))</f>
        <v>#REF!</v>
      </c>
      <c r="E1589" s="163" t="s">
        <v>196</v>
      </c>
      <c r="F1589" s="163" t="s">
        <v>318</v>
      </c>
    </row>
    <row r="1590" spans="2:6">
      <c r="B1590" s="147" t="s">
        <v>1032</v>
      </c>
      <c r="C1590" s="147" t="e">
        <f>CONCATENATE("EXP",Commodities!C49,"B",RIGHT(#REF!,2))</f>
        <v>#REF!</v>
      </c>
      <c r="D1590" s="147" t="e">
        <f>CONCATENATE("Export Barge/Vessel Trade of ",Commodities!C49, " from ",$B$1589," to R",RIGHT(C1590))</f>
        <v>#REF!</v>
      </c>
      <c r="E1590" s="163" t="s">
        <v>196</v>
      </c>
      <c r="F1590" s="163" t="s">
        <v>318</v>
      </c>
    </row>
    <row r="1591" spans="2:6">
      <c r="B1591" s="147" t="s">
        <v>1032</v>
      </c>
      <c r="C1591" s="147" t="e">
        <f>CONCATENATE("EXP",Commodities!C50,"B",RIGHT(#REF!,2))</f>
        <v>#REF!</v>
      </c>
      <c r="D1591" s="147" t="e">
        <f>CONCATENATE("Export Barge/Vessel Trade of ",Commodities!C50, " from ",$B$1589," to R",RIGHT(C1591))</f>
        <v>#REF!</v>
      </c>
      <c r="E1591" s="163" t="s">
        <v>196</v>
      </c>
      <c r="F1591" s="163" t="s">
        <v>318</v>
      </c>
    </row>
    <row r="1592" spans="2:6">
      <c r="B1592" s="147" t="s">
        <v>1032</v>
      </c>
      <c r="C1592" s="147" t="e">
        <f>CONCATENATE("EXP",Commodities!C51,"B",RIGHT(#REF!,2))</f>
        <v>#REF!</v>
      </c>
      <c r="D1592" s="147" t="e">
        <f>CONCATENATE("Export Barge/Vessel Trade of ",Commodities!C51, " from ",$B$1589," to R",RIGHT(C1592))</f>
        <v>#REF!</v>
      </c>
      <c r="E1592" s="163" t="s">
        <v>196</v>
      </c>
      <c r="F1592" s="163" t="s">
        <v>318</v>
      </c>
    </row>
    <row r="1593" spans="2:6">
      <c r="B1593" s="147" t="s">
        <v>1032</v>
      </c>
      <c r="C1593" s="147" t="e">
        <f>CONCATENATE("EXP",Commodities!C52,"B",RIGHT(#REF!,2))</f>
        <v>#REF!</v>
      </c>
      <c r="D1593" s="147" t="e">
        <f>CONCATENATE("Export Barge/Vessel Trade of ",Commodities!C52, " from ",$B$1589," to R",RIGHT(C1593))</f>
        <v>#REF!</v>
      </c>
      <c r="E1593" s="163" t="s">
        <v>196</v>
      </c>
      <c r="F1593" s="163" t="s">
        <v>318</v>
      </c>
    </row>
    <row r="1594" spans="2:6">
      <c r="B1594" s="147" t="s">
        <v>1032</v>
      </c>
      <c r="C1594" s="147" t="e">
        <f>CONCATENATE("EXP",Commodities!C53,"B",RIGHT(#REF!,2))</f>
        <v>#REF!</v>
      </c>
      <c r="D1594" s="147" t="e">
        <f>CONCATENATE("Export Barge/Vessel Trade of ",Commodities!C53, " from ",$B$1589," to R",RIGHT(C1594))</f>
        <v>#REF!</v>
      </c>
      <c r="E1594" s="163" t="s">
        <v>196</v>
      </c>
      <c r="F1594" s="163" t="s">
        <v>318</v>
      </c>
    </row>
    <row r="1595" spans="2:6">
      <c r="B1595" s="147" t="s">
        <v>1032</v>
      </c>
      <c r="C1595" s="147" t="e">
        <f>CONCATENATE("EXP",Commodities!C54,"B",RIGHT(#REF!,2))</f>
        <v>#REF!</v>
      </c>
      <c r="D1595" s="147" t="e">
        <f>CONCATENATE("Export Barge/Vessel Trade of ",Commodities!C54, " from ",$B$1589," to R",RIGHT(C1595))</f>
        <v>#REF!</v>
      </c>
      <c r="E1595" s="163" t="s">
        <v>196</v>
      </c>
      <c r="F1595" s="163" t="s">
        <v>318</v>
      </c>
    </row>
    <row r="1596" spans="2:6">
      <c r="B1596" s="147" t="s">
        <v>1032</v>
      </c>
      <c r="C1596" s="147" t="e">
        <f>CONCATENATE("EXP",Commodities!C55,"B",RIGHT(#REF!,2))</f>
        <v>#REF!</v>
      </c>
      <c r="D1596" s="147" t="e">
        <f>CONCATENATE("Export Barge/Vessel Trade of ",Commodities!C55, " from ",$B$1589," to R",RIGHT(C1596))</f>
        <v>#REF!</v>
      </c>
      <c r="E1596" s="163" t="s">
        <v>196</v>
      </c>
      <c r="F1596" s="163" t="s">
        <v>318</v>
      </c>
    </row>
    <row r="1597" spans="2:6">
      <c r="B1597" s="147" t="s">
        <v>1032</v>
      </c>
      <c r="C1597" s="147" t="e">
        <f>CONCATENATE("EXP",Commodities!C56,"B",RIGHT(#REF!,2))</f>
        <v>#REF!</v>
      </c>
      <c r="D1597" s="147" t="e">
        <f>CONCATENATE("Export Barge/Vessel Trade of ",Commodities!C56, " from ",$B$1589," to R",RIGHT(C1597))</f>
        <v>#REF!</v>
      </c>
      <c r="E1597" s="163" t="s">
        <v>196</v>
      </c>
      <c r="F1597" s="163" t="s">
        <v>318</v>
      </c>
    </row>
    <row r="1598" spans="2:6">
      <c r="B1598" s="147" t="s">
        <v>1032</v>
      </c>
      <c r="C1598" s="147" t="e">
        <f>CONCATENATE("EXP",Commodities!C57,"B",RIGHT(#REF!,2))</f>
        <v>#REF!</v>
      </c>
      <c r="D1598" s="147" t="e">
        <f>CONCATENATE("Export Barge/Vessel Trade of ",Commodities!C57, " from ",$B$1589," to R",RIGHT(C1598))</f>
        <v>#REF!</v>
      </c>
      <c r="E1598" s="163" t="s">
        <v>196</v>
      </c>
      <c r="F1598" s="163" t="s">
        <v>318</v>
      </c>
    </row>
    <row r="1599" spans="2:6">
      <c r="B1599" s="147" t="s">
        <v>1032</v>
      </c>
      <c r="C1599" s="147" t="e">
        <f>CONCATENATE("EXP",Commodities!C58,"B",RIGHT(#REF!,2))</f>
        <v>#REF!</v>
      </c>
      <c r="D1599" s="147" t="e">
        <f>CONCATENATE("Export Barge/Vessel Trade of ",Commodities!C58, " from ",$B$1589," to R",RIGHT(C1599))</f>
        <v>#REF!</v>
      </c>
      <c r="E1599" s="163" t="s">
        <v>196</v>
      </c>
      <c r="F1599" s="163" t="s">
        <v>318</v>
      </c>
    </row>
    <row r="1600" spans="2:6">
      <c r="B1600" s="147" t="s">
        <v>1032</v>
      </c>
      <c r="C1600" s="147" t="e">
        <f>CONCATENATE("EXP",Commodities!C59,"B",RIGHT(#REF!,2))</f>
        <v>#REF!</v>
      </c>
      <c r="D1600" s="147" t="e">
        <f>CONCATENATE("Export Barge/Vessel Trade of ",Commodities!C59, " from ",$B$1589," to R",RIGHT(C1600))</f>
        <v>#REF!</v>
      </c>
      <c r="E1600" s="163" t="s">
        <v>196</v>
      </c>
      <c r="F1600" s="163" t="s">
        <v>318</v>
      </c>
    </row>
    <row r="1601" spans="2:6">
      <c r="B1601" s="147" t="s">
        <v>1032</v>
      </c>
      <c r="C1601" s="147" t="e">
        <f>CONCATENATE("EXP",Commodities!C60,"B",RIGHT(#REF!,2))</f>
        <v>#REF!</v>
      </c>
      <c r="D1601" s="147" t="e">
        <f>CONCATENATE("Export Barge/Vessel Trade of ",Commodities!C60, " from ",$B$1589," to R",RIGHT(C1601))</f>
        <v>#REF!</v>
      </c>
      <c r="E1601" s="163" t="s">
        <v>196</v>
      </c>
      <c r="F1601" s="163" t="s">
        <v>318</v>
      </c>
    </row>
    <row r="1602" spans="2:6">
      <c r="B1602" s="147" t="s">
        <v>1032</v>
      </c>
      <c r="C1602" s="147" t="e">
        <f>CONCATENATE("EXP",Commodities!C48,"B",RIGHT(#REF!,2))</f>
        <v>#REF!</v>
      </c>
      <c r="D1602" s="147" t="e">
        <f>CONCATENATE("Export Barge/Vessel Trade of ",Commodities!C48, " from ",$B$1602," to R",RIGHT(C1602))</f>
        <v>#REF!</v>
      </c>
      <c r="E1602" s="163" t="s">
        <v>196</v>
      </c>
      <c r="F1602" s="163" t="s">
        <v>318</v>
      </c>
    </row>
    <row r="1603" spans="2:6">
      <c r="B1603" s="147" t="s">
        <v>1032</v>
      </c>
      <c r="C1603" s="147" t="e">
        <f>CONCATENATE("EXP",Commodities!C49,"B",RIGHT(#REF!,2))</f>
        <v>#REF!</v>
      </c>
      <c r="D1603" s="147" t="e">
        <f>CONCATENATE("Export Barge/Vessel Trade of ",Commodities!C49, " from ",$B$1602," to R",RIGHT(C1603))</f>
        <v>#REF!</v>
      </c>
      <c r="E1603" s="163" t="s">
        <v>196</v>
      </c>
      <c r="F1603" s="163" t="s">
        <v>318</v>
      </c>
    </row>
    <row r="1604" spans="2:6">
      <c r="B1604" s="147" t="s">
        <v>1032</v>
      </c>
      <c r="C1604" s="147" t="e">
        <f>CONCATENATE("EXP",Commodities!C50,"B",RIGHT(#REF!,2))</f>
        <v>#REF!</v>
      </c>
      <c r="D1604" s="147" t="e">
        <f>CONCATENATE("Export Barge/Vessel Trade of ",Commodities!C50, " from ",$B$1602," to R",RIGHT(C1604))</f>
        <v>#REF!</v>
      </c>
      <c r="E1604" s="163" t="s">
        <v>196</v>
      </c>
      <c r="F1604" s="163" t="s">
        <v>318</v>
      </c>
    </row>
    <row r="1605" spans="2:6">
      <c r="B1605" s="147" t="s">
        <v>1032</v>
      </c>
      <c r="C1605" s="147" t="e">
        <f>CONCATENATE("EXP",Commodities!C51,"B",RIGHT(#REF!,2))</f>
        <v>#REF!</v>
      </c>
      <c r="D1605" s="147" t="e">
        <f>CONCATENATE("Export Barge/Vessel Trade of ",Commodities!C51, " from ",$B$1602," to R",RIGHT(C1605))</f>
        <v>#REF!</v>
      </c>
      <c r="E1605" s="163" t="s">
        <v>196</v>
      </c>
      <c r="F1605" s="163" t="s">
        <v>318</v>
      </c>
    </row>
    <row r="1606" spans="2:6">
      <c r="B1606" s="147" t="s">
        <v>1032</v>
      </c>
      <c r="C1606" s="147" t="e">
        <f>CONCATENATE("EXP",Commodities!C52,"B",RIGHT(#REF!,2))</f>
        <v>#REF!</v>
      </c>
      <c r="D1606" s="147" t="e">
        <f>CONCATENATE("Export Barge/Vessel Trade of ",Commodities!C52, " from ",$B$1602," to R",RIGHT(C1606))</f>
        <v>#REF!</v>
      </c>
      <c r="E1606" s="163" t="s">
        <v>196</v>
      </c>
      <c r="F1606" s="163" t="s">
        <v>318</v>
      </c>
    </row>
    <row r="1607" spans="2:6">
      <c r="B1607" s="147" t="s">
        <v>1032</v>
      </c>
      <c r="C1607" s="147" t="e">
        <f>CONCATENATE("EXP",Commodities!C53,"B",RIGHT(#REF!,2))</f>
        <v>#REF!</v>
      </c>
      <c r="D1607" s="147" t="e">
        <f>CONCATENATE("Export Barge/Vessel Trade of ",Commodities!C53, " from ",$B$1602," to R",RIGHT(C1607))</f>
        <v>#REF!</v>
      </c>
      <c r="E1607" s="163" t="s">
        <v>196</v>
      </c>
      <c r="F1607" s="163" t="s">
        <v>318</v>
      </c>
    </row>
    <row r="1608" spans="2:6">
      <c r="B1608" s="147" t="s">
        <v>1032</v>
      </c>
      <c r="C1608" s="147" t="e">
        <f>CONCATENATE("EXP",Commodities!C54,"B",RIGHT(#REF!,2))</f>
        <v>#REF!</v>
      </c>
      <c r="D1608" s="147" t="e">
        <f>CONCATENATE("Export Barge/Vessel Trade of ",Commodities!C54, " from ",$B$1602," to R",RIGHT(C1608))</f>
        <v>#REF!</v>
      </c>
      <c r="E1608" s="163" t="s">
        <v>196</v>
      </c>
      <c r="F1608" s="163" t="s">
        <v>318</v>
      </c>
    </row>
    <row r="1609" spans="2:6">
      <c r="B1609" s="147" t="s">
        <v>1032</v>
      </c>
      <c r="C1609" s="147" t="e">
        <f>CONCATENATE("EXP",Commodities!C55,"B",RIGHT(#REF!,2))</f>
        <v>#REF!</v>
      </c>
      <c r="D1609" s="147" t="e">
        <f>CONCATENATE("Export Barge/Vessel Trade of ",Commodities!C55, " from ",$B$1602," to R",RIGHT(C1609))</f>
        <v>#REF!</v>
      </c>
      <c r="E1609" s="163" t="s">
        <v>196</v>
      </c>
      <c r="F1609" s="163" t="s">
        <v>318</v>
      </c>
    </row>
    <row r="1610" spans="2:6">
      <c r="B1610" s="147" t="s">
        <v>1032</v>
      </c>
      <c r="C1610" s="147" t="e">
        <f>CONCATENATE("EXP",Commodities!C56,"B",RIGHT(#REF!,2))</f>
        <v>#REF!</v>
      </c>
      <c r="D1610" s="147" t="e">
        <f>CONCATENATE("Export Barge/Vessel Trade of ",Commodities!C56, " from ",$B$1602," to R",RIGHT(C1610))</f>
        <v>#REF!</v>
      </c>
      <c r="E1610" s="163" t="s">
        <v>196</v>
      </c>
      <c r="F1610" s="163" t="s">
        <v>318</v>
      </c>
    </row>
    <row r="1611" spans="2:6">
      <c r="B1611" s="147" t="s">
        <v>1032</v>
      </c>
      <c r="C1611" s="147" t="e">
        <f>CONCATENATE("EXP",Commodities!C57,"B",RIGHT(#REF!,2))</f>
        <v>#REF!</v>
      </c>
      <c r="D1611" s="147" t="e">
        <f>CONCATENATE("Export Barge/Vessel Trade of ",Commodities!C57, " from ",$B$1602," to R",RIGHT(C1611))</f>
        <v>#REF!</v>
      </c>
      <c r="E1611" s="163" t="s">
        <v>196</v>
      </c>
      <c r="F1611" s="163" t="s">
        <v>318</v>
      </c>
    </row>
    <row r="1612" spans="2:6">
      <c r="B1612" s="147" t="s">
        <v>1032</v>
      </c>
      <c r="C1612" s="147" t="e">
        <f>CONCATENATE("EXP",Commodities!C58,"B",RIGHT(#REF!,2))</f>
        <v>#REF!</v>
      </c>
      <c r="D1612" s="147" t="e">
        <f>CONCATENATE("Export Barge/Vessel Trade of ",Commodities!C58, " from ",$B$1602," to R",RIGHT(C1612))</f>
        <v>#REF!</v>
      </c>
      <c r="E1612" s="163" t="s">
        <v>196</v>
      </c>
      <c r="F1612" s="163" t="s">
        <v>318</v>
      </c>
    </row>
    <row r="1613" spans="2:6">
      <c r="B1613" s="147" t="s">
        <v>1032</v>
      </c>
      <c r="C1613" s="147" t="e">
        <f>CONCATENATE("EXP",Commodities!C59,"B",RIGHT(#REF!,2))</f>
        <v>#REF!</v>
      </c>
      <c r="D1613" s="147" t="e">
        <f>CONCATENATE("Export Barge/Vessel Trade of ",Commodities!C59, " from ",$B$1602," to R",RIGHT(C1613))</f>
        <v>#REF!</v>
      </c>
      <c r="E1613" s="163" t="s">
        <v>196</v>
      </c>
      <c r="F1613" s="163" t="s">
        <v>318</v>
      </c>
    </row>
    <row r="1614" spans="2:6">
      <c r="B1614" s="147" t="s">
        <v>1032</v>
      </c>
      <c r="C1614" s="147" t="e">
        <f>CONCATENATE("EXP",Commodities!C60,"B",RIGHT(#REF!,2))</f>
        <v>#REF!</v>
      </c>
      <c r="D1614" s="147" t="e">
        <f>CONCATENATE("Export Barge/Vessel Trade of ",Commodities!C60, " from ",$B$1602," to R",RIGHT(C1614))</f>
        <v>#REF!</v>
      </c>
      <c r="E1614" s="163" t="s">
        <v>196</v>
      </c>
      <c r="F1614" s="163" t="s">
        <v>318</v>
      </c>
    </row>
    <row r="1615" spans="2:6">
      <c r="B1615" s="147" t="s">
        <v>1032</v>
      </c>
      <c r="C1615" s="147" t="e">
        <f>CONCATENATE("EXP",Commodities!C48,"B",RIGHT(#REF!,2))</f>
        <v>#REF!</v>
      </c>
      <c r="D1615" s="147" t="e">
        <f>CONCATENATE("Export Barge/Vessel Trade of ",Commodities!C48, " from ",$B$1615," to R",RIGHT(C1615))</f>
        <v>#REF!</v>
      </c>
      <c r="E1615" s="163" t="s">
        <v>196</v>
      </c>
      <c r="F1615" s="163" t="s">
        <v>318</v>
      </c>
    </row>
    <row r="1616" spans="2:6">
      <c r="B1616" s="147" t="s">
        <v>1032</v>
      </c>
      <c r="C1616" s="147" t="e">
        <f>CONCATENATE("EXP",Commodities!C49,"B",RIGHT(#REF!,2))</f>
        <v>#REF!</v>
      </c>
      <c r="D1616" s="147" t="e">
        <f>CONCATENATE("Export Barge/Vessel Trade of ",Commodities!C49, " from ",$B$1615," to R",RIGHT(C1616))</f>
        <v>#REF!</v>
      </c>
      <c r="E1616" s="163" t="s">
        <v>196</v>
      </c>
      <c r="F1616" s="163" t="s">
        <v>318</v>
      </c>
    </row>
    <row r="1617" spans="2:6">
      <c r="B1617" s="147" t="s">
        <v>1032</v>
      </c>
      <c r="C1617" s="147" t="e">
        <f>CONCATENATE("EXP",Commodities!C50,"B",RIGHT(#REF!,2))</f>
        <v>#REF!</v>
      </c>
      <c r="D1617" s="147" t="e">
        <f>CONCATENATE("Export Barge/Vessel Trade of ",Commodities!C50, " from ",$B$1615," to R",RIGHT(C1617))</f>
        <v>#REF!</v>
      </c>
      <c r="E1617" s="163" t="s">
        <v>196</v>
      </c>
      <c r="F1617" s="163" t="s">
        <v>318</v>
      </c>
    </row>
    <row r="1618" spans="2:6">
      <c r="B1618" s="147" t="s">
        <v>1032</v>
      </c>
      <c r="C1618" s="147" t="e">
        <f>CONCATENATE("EXP",Commodities!C51,"B",RIGHT(#REF!,2))</f>
        <v>#REF!</v>
      </c>
      <c r="D1618" s="147" t="e">
        <f>CONCATENATE("Export Barge/Vessel Trade of ",Commodities!C51, " from ",$B$1615," to R",RIGHT(C1618))</f>
        <v>#REF!</v>
      </c>
      <c r="E1618" s="163" t="s">
        <v>196</v>
      </c>
      <c r="F1618" s="163" t="s">
        <v>318</v>
      </c>
    </row>
    <row r="1619" spans="2:6">
      <c r="B1619" s="147" t="s">
        <v>1032</v>
      </c>
      <c r="C1619" s="147" t="e">
        <f>CONCATENATE("EXP",Commodities!C52,"B",RIGHT(#REF!,2))</f>
        <v>#REF!</v>
      </c>
      <c r="D1619" s="147" t="e">
        <f>CONCATENATE("Export Barge/Vessel Trade of ",Commodities!C52, " from ",$B$1615," to R",RIGHT(C1619))</f>
        <v>#REF!</v>
      </c>
      <c r="E1619" s="163" t="s">
        <v>196</v>
      </c>
      <c r="F1619" s="163" t="s">
        <v>318</v>
      </c>
    </row>
    <row r="1620" spans="2:6">
      <c r="B1620" s="147" t="s">
        <v>1032</v>
      </c>
      <c r="C1620" s="147" t="e">
        <f>CONCATENATE("EXP",Commodities!C53,"B",RIGHT(#REF!,2))</f>
        <v>#REF!</v>
      </c>
      <c r="D1620" s="147" t="e">
        <f>CONCATENATE("Export Barge/Vessel Trade of ",Commodities!C53, " from ",$B$1615," to R",RIGHT(C1620))</f>
        <v>#REF!</v>
      </c>
      <c r="E1620" s="163" t="s">
        <v>196</v>
      </c>
      <c r="F1620" s="163" t="s">
        <v>318</v>
      </c>
    </row>
    <row r="1621" spans="2:6">
      <c r="B1621" s="147" t="s">
        <v>1032</v>
      </c>
      <c r="C1621" s="147" t="e">
        <f>CONCATENATE("EXP",Commodities!C54,"B",RIGHT(#REF!,2))</f>
        <v>#REF!</v>
      </c>
      <c r="D1621" s="147" t="e">
        <f>CONCATENATE("Export Barge/Vessel Trade of ",Commodities!C54, " from ",$B$1615," to R",RIGHT(C1621))</f>
        <v>#REF!</v>
      </c>
      <c r="E1621" s="163" t="s">
        <v>196</v>
      </c>
      <c r="F1621" s="163" t="s">
        <v>318</v>
      </c>
    </row>
    <row r="1622" spans="2:6">
      <c r="B1622" s="147" t="s">
        <v>1032</v>
      </c>
      <c r="C1622" s="147" t="e">
        <f>CONCATENATE("EXP",Commodities!C55,"B",RIGHT(#REF!,2))</f>
        <v>#REF!</v>
      </c>
      <c r="D1622" s="147" t="e">
        <f>CONCATENATE("Export Barge/Vessel Trade of ",Commodities!C55, " from ",$B$1615," to R",RIGHT(C1622))</f>
        <v>#REF!</v>
      </c>
      <c r="E1622" s="163" t="s">
        <v>196</v>
      </c>
      <c r="F1622" s="163" t="s">
        <v>318</v>
      </c>
    </row>
    <row r="1623" spans="2:6">
      <c r="B1623" s="147" t="s">
        <v>1032</v>
      </c>
      <c r="C1623" s="147" t="e">
        <f>CONCATENATE("EXP",Commodities!C56,"B",RIGHT(#REF!,2))</f>
        <v>#REF!</v>
      </c>
      <c r="D1623" s="147" t="e">
        <f>CONCATENATE("Export Barge/Vessel Trade of ",Commodities!C56, " from ",$B$1615," to R",RIGHT(C1623))</f>
        <v>#REF!</v>
      </c>
      <c r="E1623" s="163" t="s">
        <v>196</v>
      </c>
      <c r="F1623" s="163" t="s">
        <v>318</v>
      </c>
    </row>
    <row r="1624" spans="2:6">
      <c r="B1624" s="147" t="s">
        <v>1032</v>
      </c>
      <c r="C1624" s="147" t="e">
        <f>CONCATENATE("EXP",Commodities!C57,"B",RIGHT(#REF!,2))</f>
        <v>#REF!</v>
      </c>
      <c r="D1624" s="147" t="e">
        <f>CONCATENATE("Export Barge/Vessel Trade of ",Commodities!C57, " from ",$B$1615," to R",RIGHT(C1624))</f>
        <v>#REF!</v>
      </c>
      <c r="E1624" s="163" t="s">
        <v>196</v>
      </c>
      <c r="F1624" s="163" t="s">
        <v>318</v>
      </c>
    </row>
    <row r="1625" spans="2:6">
      <c r="B1625" s="147" t="s">
        <v>1032</v>
      </c>
      <c r="C1625" s="147" t="e">
        <f>CONCATENATE("EXP",Commodities!C58,"B",RIGHT(#REF!,2))</f>
        <v>#REF!</v>
      </c>
      <c r="D1625" s="147" t="e">
        <f>CONCATENATE("Export Barge/Vessel Trade of ",Commodities!C58, " from ",$B$1615," to R",RIGHT(C1625))</f>
        <v>#REF!</v>
      </c>
      <c r="E1625" s="163" t="s">
        <v>196</v>
      </c>
      <c r="F1625" s="163" t="s">
        <v>318</v>
      </c>
    </row>
    <row r="1626" spans="2:6">
      <c r="B1626" s="147" t="s">
        <v>1032</v>
      </c>
      <c r="C1626" s="147" t="e">
        <f>CONCATENATE("EXP",Commodities!C59,"B",RIGHT(#REF!,2))</f>
        <v>#REF!</v>
      </c>
      <c r="D1626" s="147" t="e">
        <f>CONCATENATE("Export Barge/Vessel Trade of ",Commodities!C59, " from ",$B$1615," to R",RIGHT(C1626))</f>
        <v>#REF!</v>
      </c>
      <c r="E1626" s="163" t="s">
        <v>196</v>
      </c>
      <c r="F1626" s="163" t="s">
        <v>318</v>
      </c>
    </row>
    <row r="1627" spans="2:6">
      <c r="B1627" s="147" t="s">
        <v>1032</v>
      </c>
      <c r="C1627" s="147" t="e">
        <f>CONCATENATE("EXP",Commodities!C60,"B",RIGHT(#REF!,2))</f>
        <v>#REF!</v>
      </c>
      <c r="D1627" s="147" t="e">
        <f>CONCATENATE("Export Barge/Vessel Trade of ",Commodities!C60, " from ",$B$1615," to R",RIGHT(C1627))</f>
        <v>#REF!</v>
      </c>
      <c r="E1627" s="163" t="s">
        <v>196</v>
      </c>
      <c r="F1627" s="163" t="s">
        <v>318</v>
      </c>
    </row>
    <row r="1628" spans="2:6">
      <c r="B1628" s="147" t="s">
        <v>1033</v>
      </c>
      <c r="C1628" s="147" t="e">
        <f>CONCATENATE("EXP",Commodities!C48,"B",RIGHT(#REF!,2))</f>
        <v>#REF!</v>
      </c>
      <c r="D1628" s="147" t="e">
        <f>CONCATENATE("Export Barge/Vessel Trade of ",Commodities!C48, " from ",$B$1628," to R",RIGHT(C1628))</f>
        <v>#REF!</v>
      </c>
      <c r="E1628" s="163" t="s">
        <v>196</v>
      </c>
      <c r="F1628" s="163" t="s">
        <v>318</v>
      </c>
    </row>
    <row r="1629" spans="2:6">
      <c r="B1629" s="147" t="s">
        <v>1033</v>
      </c>
      <c r="C1629" s="147" t="e">
        <f>CONCATENATE("EXP",Commodities!C49,"B",RIGHT(#REF!,2))</f>
        <v>#REF!</v>
      </c>
      <c r="D1629" s="147" t="e">
        <f>CONCATENATE("Export Barge/Vessel Trade of ",Commodities!C49, " from ",$B$1628," to R",RIGHT(C1629))</f>
        <v>#REF!</v>
      </c>
      <c r="E1629" s="163" t="s">
        <v>196</v>
      </c>
      <c r="F1629" s="163" t="s">
        <v>318</v>
      </c>
    </row>
    <row r="1630" spans="2:6">
      <c r="B1630" s="147" t="s">
        <v>1033</v>
      </c>
      <c r="C1630" s="147" t="e">
        <f>CONCATENATE("EXP",Commodities!C50,"B",RIGHT(#REF!,2))</f>
        <v>#REF!</v>
      </c>
      <c r="D1630" s="147" t="e">
        <f>CONCATENATE("Export Barge/Vessel Trade of ",Commodities!C50, " from ",$B$1628," to R",RIGHT(C1630))</f>
        <v>#REF!</v>
      </c>
      <c r="E1630" s="163" t="s">
        <v>196</v>
      </c>
      <c r="F1630" s="163" t="s">
        <v>318</v>
      </c>
    </row>
    <row r="1631" spans="2:6">
      <c r="B1631" s="147" t="s">
        <v>1033</v>
      </c>
      <c r="C1631" s="147" t="e">
        <f>CONCATENATE("EXP",Commodities!C51,"B",RIGHT(#REF!,2))</f>
        <v>#REF!</v>
      </c>
      <c r="D1631" s="147" t="e">
        <f>CONCATENATE("Export Barge/Vessel Trade of ",Commodities!C51, " from ",$B$1628," to R",RIGHT(C1631))</f>
        <v>#REF!</v>
      </c>
      <c r="E1631" s="163" t="s">
        <v>196</v>
      </c>
      <c r="F1631" s="163" t="s">
        <v>318</v>
      </c>
    </row>
    <row r="1632" spans="2:6">
      <c r="B1632" s="147" t="s">
        <v>1033</v>
      </c>
      <c r="C1632" s="147" t="e">
        <f>CONCATENATE("EXP",Commodities!C52,"B",RIGHT(#REF!,2))</f>
        <v>#REF!</v>
      </c>
      <c r="D1632" s="147" t="e">
        <f>CONCATENATE("Export Barge/Vessel Trade of ",Commodities!C52, " from ",$B$1628," to R",RIGHT(C1632))</f>
        <v>#REF!</v>
      </c>
      <c r="E1632" s="163" t="s">
        <v>196</v>
      </c>
      <c r="F1632" s="163" t="s">
        <v>318</v>
      </c>
    </row>
    <row r="1633" spans="2:6">
      <c r="B1633" s="147" t="s">
        <v>1033</v>
      </c>
      <c r="C1633" s="147" t="e">
        <f>CONCATENATE("EXP",Commodities!C53,"B",RIGHT(#REF!,2))</f>
        <v>#REF!</v>
      </c>
      <c r="D1633" s="147" t="e">
        <f>CONCATENATE("Export Barge/Vessel Trade of ",Commodities!C53, " from ",$B$1628," to R",RIGHT(C1633))</f>
        <v>#REF!</v>
      </c>
      <c r="E1633" s="163" t="s">
        <v>196</v>
      </c>
      <c r="F1633" s="163" t="s">
        <v>318</v>
      </c>
    </row>
    <row r="1634" spans="2:6">
      <c r="B1634" s="147" t="s">
        <v>1033</v>
      </c>
      <c r="C1634" s="147" t="e">
        <f>CONCATENATE("EXP",Commodities!C54,"B",RIGHT(#REF!,2))</f>
        <v>#REF!</v>
      </c>
      <c r="D1634" s="147" t="e">
        <f>CONCATENATE("Export Barge/Vessel Trade of ",Commodities!C54, " from ",$B$1628," to R",RIGHT(C1634))</f>
        <v>#REF!</v>
      </c>
      <c r="E1634" s="163" t="s">
        <v>196</v>
      </c>
      <c r="F1634" s="163" t="s">
        <v>318</v>
      </c>
    </row>
    <row r="1635" spans="2:6">
      <c r="B1635" s="147" t="s">
        <v>1033</v>
      </c>
      <c r="C1635" s="147" t="e">
        <f>CONCATENATE("EXP",Commodities!C55,"B",RIGHT(#REF!,2))</f>
        <v>#REF!</v>
      </c>
      <c r="D1635" s="147" t="e">
        <f>CONCATENATE("Export Barge/Vessel Trade of ",Commodities!C55, " from ",$B$1628," to R",RIGHT(C1635))</f>
        <v>#REF!</v>
      </c>
      <c r="E1635" s="163" t="s">
        <v>196</v>
      </c>
      <c r="F1635" s="163" t="s">
        <v>318</v>
      </c>
    </row>
    <row r="1636" spans="2:6">
      <c r="B1636" s="147" t="s">
        <v>1033</v>
      </c>
      <c r="C1636" s="147" t="e">
        <f>CONCATENATE("EXP",Commodities!C56,"B",RIGHT(#REF!,2))</f>
        <v>#REF!</v>
      </c>
      <c r="D1636" s="147" t="e">
        <f>CONCATENATE("Export Barge/Vessel Trade of ",Commodities!C56, " from ",$B$1628," to R",RIGHT(C1636))</f>
        <v>#REF!</v>
      </c>
      <c r="E1636" s="163" t="s">
        <v>196</v>
      </c>
      <c r="F1636" s="163" t="s">
        <v>318</v>
      </c>
    </row>
    <row r="1637" spans="2:6">
      <c r="B1637" s="147" t="s">
        <v>1033</v>
      </c>
      <c r="C1637" s="147" t="e">
        <f>CONCATENATE("EXP",Commodities!C57,"B",RIGHT(#REF!,2))</f>
        <v>#REF!</v>
      </c>
      <c r="D1637" s="147" t="e">
        <f>CONCATENATE("Export Barge/Vessel Trade of ",Commodities!C57, " from ",$B$1628," to R",RIGHT(C1637))</f>
        <v>#REF!</v>
      </c>
      <c r="E1637" s="163" t="s">
        <v>196</v>
      </c>
      <c r="F1637" s="163" t="s">
        <v>318</v>
      </c>
    </row>
    <row r="1638" spans="2:6">
      <c r="B1638" s="147" t="s">
        <v>1033</v>
      </c>
      <c r="C1638" s="147" t="e">
        <f>CONCATENATE("EXP",Commodities!C58,"B",RIGHT(#REF!,2))</f>
        <v>#REF!</v>
      </c>
      <c r="D1638" s="147" t="e">
        <f>CONCATENATE("Export Barge/Vessel Trade of ",Commodities!C58, " from ",$B$1628," to R",RIGHT(C1638))</f>
        <v>#REF!</v>
      </c>
      <c r="E1638" s="163" t="s">
        <v>196</v>
      </c>
      <c r="F1638" s="163" t="s">
        <v>318</v>
      </c>
    </row>
    <row r="1639" spans="2:6">
      <c r="B1639" s="147" t="s">
        <v>1033</v>
      </c>
      <c r="C1639" s="147" t="e">
        <f>CONCATENATE("EXP",Commodities!C59,"B",RIGHT(#REF!,2))</f>
        <v>#REF!</v>
      </c>
      <c r="D1639" s="147" t="e">
        <f>CONCATENATE("Export Barge/Vessel Trade of ",Commodities!C59, " from ",$B$1628," to R",RIGHT(C1639))</f>
        <v>#REF!</v>
      </c>
      <c r="E1639" s="163" t="s">
        <v>196</v>
      </c>
      <c r="F1639" s="163" t="s">
        <v>318</v>
      </c>
    </row>
    <row r="1640" spans="2:6">
      <c r="B1640" s="147" t="s">
        <v>1033</v>
      </c>
      <c r="C1640" s="147" t="e">
        <f>CONCATENATE("EXP",Commodities!C60,"B",RIGHT(#REF!,2))</f>
        <v>#REF!</v>
      </c>
      <c r="D1640" s="147" t="e">
        <f>CONCATENATE("Export Barge/Vessel Trade of ",Commodities!C60, " from ",$B$1628," to R",RIGHT(C1640))</f>
        <v>#REF!</v>
      </c>
      <c r="E1640" s="163" t="s">
        <v>196</v>
      </c>
      <c r="F1640" s="163" t="s">
        <v>318</v>
      </c>
    </row>
    <row r="1641" spans="2:6">
      <c r="B1641" s="147" t="s">
        <v>1033</v>
      </c>
      <c r="C1641" s="147" t="e">
        <f>CONCATENATE("EXP",Commodities!C48,"B",RIGHT(#REF!,2))</f>
        <v>#REF!</v>
      </c>
      <c r="D1641" s="147" t="e">
        <f>CONCATENATE("Export Barge/Vessel Trade of ",Commodities!C48, " from ",$B$1641," to R",RIGHT(C1641))</f>
        <v>#REF!</v>
      </c>
      <c r="E1641" s="163" t="s">
        <v>196</v>
      </c>
      <c r="F1641" s="163" t="s">
        <v>318</v>
      </c>
    </row>
    <row r="1642" spans="2:6">
      <c r="B1642" s="147" t="s">
        <v>1033</v>
      </c>
      <c r="C1642" s="147" t="e">
        <f>CONCATENATE("EXP",Commodities!C49,"B",RIGHT(#REF!,2))</f>
        <v>#REF!</v>
      </c>
      <c r="D1642" s="147" t="e">
        <f>CONCATENATE("Export Barge/Vessel Trade of ",Commodities!C49, " from ",$B$1641," to R",RIGHT(C1642))</f>
        <v>#REF!</v>
      </c>
      <c r="E1642" s="163" t="s">
        <v>196</v>
      </c>
      <c r="F1642" s="163" t="s">
        <v>318</v>
      </c>
    </row>
    <row r="1643" spans="2:6">
      <c r="B1643" s="147" t="s">
        <v>1033</v>
      </c>
      <c r="C1643" s="147" t="e">
        <f>CONCATENATE("EXP",Commodities!C50,"B",RIGHT(#REF!,2))</f>
        <v>#REF!</v>
      </c>
      <c r="D1643" s="147" t="e">
        <f>CONCATENATE("Export Barge/Vessel Trade of ",Commodities!C50, " from ",$B$1641," to R",RIGHT(C1643))</f>
        <v>#REF!</v>
      </c>
      <c r="E1643" s="163" t="s">
        <v>196</v>
      </c>
      <c r="F1643" s="163" t="s">
        <v>318</v>
      </c>
    </row>
    <row r="1644" spans="2:6">
      <c r="B1644" s="147" t="s">
        <v>1033</v>
      </c>
      <c r="C1644" s="147" t="e">
        <f>CONCATENATE("EXP",Commodities!C51,"B",RIGHT(#REF!,2))</f>
        <v>#REF!</v>
      </c>
      <c r="D1644" s="147" t="e">
        <f>CONCATENATE("Export Barge/Vessel Trade of ",Commodities!C51, " from ",$B$1641," to R",RIGHT(C1644))</f>
        <v>#REF!</v>
      </c>
      <c r="E1644" s="163" t="s">
        <v>196</v>
      </c>
      <c r="F1644" s="163" t="s">
        <v>318</v>
      </c>
    </row>
    <row r="1645" spans="2:6">
      <c r="B1645" s="147" t="s">
        <v>1033</v>
      </c>
      <c r="C1645" s="147" t="e">
        <f>CONCATENATE("EXP",Commodities!C52,"B",RIGHT(#REF!,2))</f>
        <v>#REF!</v>
      </c>
      <c r="D1645" s="147" t="e">
        <f>CONCATENATE("Export Barge/Vessel Trade of ",Commodities!C52, " from ",$B$1641," to R",RIGHT(C1645))</f>
        <v>#REF!</v>
      </c>
      <c r="E1645" s="163" t="s">
        <v>196</v>
      </c>
      <c r="F1645" s="163" t="s">
        <v>318</v>
      </c>
    </row>
    <row r="1646" spans="2:6">
      <c r="B1646" s="147" t="s">
        <v>1033</v>
      </c>
      <c r="C1646" s="147" t="e">
        <f>CONCATENATE("EXP",Commodities!C53,"B",RIGHT(#REF!,2))</f>
        <v>#REF!</v>
      </c>
      <c r="D1646" s="147" t="e">
        <f>CONCATENATE("Export Barge/Vessel Trade of ",Commodities!C53, " from ",$B$1641," to R",RIGHT(C1646))</f>
        <v>#REF!</v>
      </c>
      <c r="E1646" s="163" t="s">
        <v>196</v>
      </c>
      <c r="F1646" s="163" t="s">
        <v>318</v>
      </c>
    </row>
    <row r="1647" spans="2:6">
      <c r="B1647" s="147" t="s">
        <v>1033</v>
      </c>
      <c r="C1647" s="147" t="e">
        <f>CONCATENATE("EXP",Commodities!C54,"B",RIGHT(#REF!,2))</f>
        <v>#REF!</v>
      </c>
      <c r="D1647" s="147" t="e">
        <f>CONCATENATE("Export Barge/Vessel Trade of ",Commodities!C54, " from ",$B$1641," to R",RIGHT(C1647))</f>
        <v>#REF!</v>
      </c>
      <c r="E1647" s="163" t="s">
        <v>196</v>
      </c>
      <c r="F1647" s="163" t="s">
        <v>318</v>
      </c>
    </row>
    <row r="1648" spans="2:6">
      <c r="B1648" s="147" t="s">
        <v>1033</v>
      </c>
      <c r="C1648" s="147" t="e">
        <f>CONCATENATE("EXP",Commodities!C55,"B",RIGHT(#REF!,2))</f>
        <v>#REF!</v>
      </c>
      <c r="D1648" s="147" t="e">
        <f>CONCATENATE("Export Barge/Vessel Trade of ",Commodities!C55, " from ",$B$1641," to R",RIGHT(C1648))</f>
        <v>#REF!</v>
      </c>
      <c r="E1648" s="163" t="s">
        <v>196</v>
      </c>
      <c r="F1648" s="163" t="s">
        <v>318</v>
      </c>
    </row>
    <row r="1649" spans="2:6">
      <c r="B1649" s="147" t="s">
        <v>1033</v>
      </c>
      <c r="C1649" s="147" t="e">
        <f>CONCATENATE("EXP",Commodities!C56,"B",RIGHT(#REF!,2))</f>
        <v>#REF!</v>
      </c>
      <c r="D1649" s="147" t="e">
        <f>CONCATENATE("Export Barge/Vessel Trade of ",Commodities!C56, " from ",$B$1641," to R",RIGHT(C1649))</f>
        <v>#REF!</v>
      </c>
      <c r="E1649" s="163" t="s">
        <v>196</v>
      </c>
      <c r="F1649" s="163" t="s">
        <v>318</v>
      </c>
    </row>
    <row r="1650" spans="2:6">
      <c r="B1650" s="147" t="s">
        <v>1033</v>
      </c>
      <c r="C1650" s="147" t="e">
        <f>CONCATENATE("EXP",Commodities!C57,"B",RIGHT(#REF!,2))</f>
        <v>#REF!</v>
      </c>
      <c r="D1650" s="147" t="e">
        <f>CONCATENATE("Export Barge/Vessel Trade of ",Commodities!C57, " from ",$B$1641," to R",RIGHT(C1650))</f>
        <v>#REF!</v>
      </c>
      <c r="E1650" s="163" t="s">
        <v>196</v>
      </c>
      <c r="F1650" s="163" t="s">
        <v>318</v>
      </c>
    </row>
    <row r="1651" spans="2:6">
      <c r="B1651" s="147" t="s">
        <v>1033</v>
      </c>
      <c r="C1651" s="147" t="e">
        <f>CONCATENATE("EXP",Commodities!C58,"B",RIGHT(#REF!,2))</f>
        <v>#REF!</v>
      </c>
      <c r="D1651" s="147" t="e">
        <f>CONCATENATE("Export Barge/Vessel Trade of ",Commodities!C58, " from ",$B$1641," to R",RIGHT(C1651))</f>
        <v>#REF!</v>
      </c>
      <c r="E1651" s="163" t="s">
        <v>196</v>
      </c>
      <c r="F1651" s="163" t="s">
        <v>318</v>
      </c>
    </row>
    <row r="1652" spans="2:6">
      <c r="B1652" s="147" t="s">
        <v>1033</v>
      </c>
      <c r="C1652" s="147" t="e">
        <f>CONCATENATE("EXP",Commodities!C59,"B",RIGHT(#REF!,2))</f>
        <v>#REF!</v>
      </c>
      <c r="D1652" s="147" t="e">
        <f>CONCATENATE("Export Barge/Vessel Trade of ",Commodities!C59, " from ",$B$1641," to R",RIGHT(C1652))</f>
        <v>#REF!</v>
      </c>
      <c r="E1652" s="163" t="s">
        <v>196</v>
      </c>
      <c r="F1652" s="163" t="s">
        <v>318</v>
      </c>
    </row>
    <row r="1653" spans="2:6">
      <c r="B1653" s="147" t="s">
        <v>1033</v>
      </c>
      <c r="C1653" s="147" t="e">
        <f>CONCATENATE("EXP",Commodities!C60,"B",RIGHT(#REF!,2))</f>
        <v>#REF!</v>
      </c>
      <c r="D1653" s="147" t="e">
        <f>CONCATENATE("Export Barge/Vessel Trade of ",Commodities!C60, " from ",$B$1641," to R",RIGHT(C1653))</f>
        <v>#REF!</v>
      </c>
      <c r="E1653" s="163" t="s">
        <v>196</v>
      </c>
      <c r="F1653" s="163" t="s">
        <v>318</v>
      </c>
    </row>
    <row r="1654" spans="2:6">
      <c r="B1654" s="147" t="s">
        <v>1033</v>
      </c>
      <c r="C1654" s="147" t="e">
        <f>CONCATENATE("EXP",Commodities!C48,"B",RIGHT(#REF!,2))</f>
        <v>#REF!</v>
      </c>
      <c r="D1654" s="147" t="e">
        <f>CONCATENATE("Export Barge/Vessel Trade of ",Commodities!C48, " from ",$B$1654," to R",RIGHT(C1654))</f>
        <v>#REF!</v>
      </c>
      <c r="E1654" s="163" t="s">
        <v>196</v>
      </c>
      <c r="F1654" s="163" t="s">
        <v>318</v>
      </c>
    </row>
    <row r="1655" spans="2:6">
      <c r="B1655" s="147" t="s">
        <v>1033</v>
      </c>
      <c r="C1655" s="147" t="e">
        <f>CONCATENATE("EXP",Commodities!C49,"B",RIGHT(#REF!,2))</f>
        <v>#REF!</v>
      </c>
      <c r="D1655" s="147" t="e">
        <f>CONCATENATE("Export Barge/Vessel Trade of ",Commodities!C49, " from ",$B$1654," to R",RIGHT(C1655))</f>
        <v>#REF!</v>
      </c>
      <c r="E1655" s="163" t="s">
        <v>196</v>
      </c>
      <c r="F1655" s="163" t="s">
        <v>318</v>
      </c>
    </row>
    <row r="1656" spans="2:6">
      <c r="B1656" s="147" t="s">
        <v>1033</v>
      </c>
      <c r="C1656" s="147" t="e">
        <f>CONCATENATE("EXP",Commodities!C50,"B",RIGHT(#REF!,2))</f>
        <v>#REF!</v>
      </c>
      <c r="D1656" s="147" t="e">
        <f>CONCATENATE("Export Barge/Vessel Trade of ",Commodities!C50, " from ",$B$1654," to R",RIGHT(C1656))</f>
        <v>#REF!</v>
      </c>
      <c r="E1656" s="163" t="s">
        <v>196</v>
      </c>
      <c r="F1656" s="163" t="s">
        <v>318</v>
      </c>
    </row>
    <row r="1657" spans="2:6">
      <c r="B1657" s="147" t="s">
        <v>1033</v>
      </c>
      <c r="C1657" s="147" t="e">
        <f>CONCATENATE("EXP",Commodities!C51,"B",RIGHT(#REF!,2))</f>
        <v>#REF!</v>
      </c>
      <c r="D1657" s="147" t="e">
        <f>CONCATENATE("Export Barge/Vessel Trade of ",Commodities!C51, " from ",$B$1654," to R",RIGHT(C1657))</f>
        <v>#REF!</v>
      </c>
      <c r="E1657" s="163" t="s">
        <v>196</v>
      </c>
      <c r="F1657" s="163" t="s">
        <v>318</v>
      </c>
    </row>
    <row r="1658" spans="2:6">
      <c r="B1658" s="147" t="s">
        <v>1033</v>
      </c>
      <c r="C1658" s="147" t="e">
        <f>CONCATENATE("EXP",Commodities!C52,"B",RIGHT(#REF!,2))</f>
        <v>#REF!</v>
      </c>
      <c r="D1658" s="147" t="e">
        <f>CONCATENATE("Export Barge/Vessel Trade of ",Commodities!C52, " from ",$B$1654," to R",RIGHT(C1658))</f>
        <v>#REF!</v>
      </c>
      <c r="E1658" s="163" t="s">
        <v>196</v>
      </c>
      <c r="F1658" s="163" t="s">
        <v>318</v>
      </c>
    </row>
    <row r="1659" spans="2:6">
      <c r="B1659" s="147" t="s">
        <v>1033</v>
      </c>
      <c r="C1659" s="147" t="e">
        <f>CONCATENATE("EXP",Commodities!C53,"B",RIGHT(#REF!,2))</f>
        <v>#REF!</v>
      </c>
      <c r="D1659" s="147" t="e">
        <f>CONCATENATE("Export Barge/Vessel Trade of ",Commodities!C53, " from ",$B$1654," to R",RIGHT(C1659))</f>
        <v>#REF!</v>
      </c>
      <c r="E1659" s="163" t="s">
        <v>196</v>
      </c>
      <c r="F1659" s="163" t="s">
        <v>318</v>
      </c>
    </row>
    <row r="1660" spans="2:6">
      <c r="B1660" s="147" t="s">
        <v>1033</v>
      </c>
      <c r="C1660" s="147" t="e">
        <f>CONCATENATE("EXP",Commodities!C54,"B",RIGHT(#REF!,2))</f>
        <v>#REF!</v>
      </c>
      <c r="D1660" s="147" t="e">
        <f>CONCATENATE("Export Barge/Vessel Trade of ",Commodities!C54, " from ",$B$1654," to R",RIGHT(C1660))</f>
        <v>#REF!</v>
      </c>
      <c r="E1660" s="163" t="s">
        <v>196</v>
      </c>
      <c r="F1660" s="163" t="s">
        <v>318</v>
      </c>
    </row>
    <row r="1661" spans="2:6">
      <c r="B1661" s="147" t="s">
        <v>1033</v>
      </c>
      <c r="C1661" s="147" t="e">
        <f>CONCATENATE("EXP",Commodities!C55,"B",RIGHT(#REF!,2))</f>
        <v>#REF!</v>
      </c>
      <c r="D1661" s="147" t="e">
        <f>CONCATENATE("Export Barge/Vessel Trade of ",Commodities!C55, " from ",$B$1654," to R",RIGHT(C1661))</f>
        <v>#REF!</v>
      </c>
      <c r="E1661" s="163" t="s">
        <v>196</v>
      </c>
      <c r="F1661" s="163" t="s">
        <v>318</v>
      </c>
    </row>
    <row r="1662" spans="2:6">
      <c r="B1662" s="147" t="s">
        <v>1033</v>
      </c>
      <c r="C1662" s="147" t="e">
        <f>CONCATENATE("EXP",Commodities!C56,"B",RIGHT(#REF!,2))</f>
        <v>#REF!</v>
      </c>
      <c r="D1662" s="147" t="e">
        <f>CONCATENATE("Export Barge/Vessel Trade of ",Commodities!C56, " from ",$B$1654," to R",RIGHT(C1662))</f>
        <v>#REF!</v>
      </c>
      <c r="E1662" s="163" t="s">
        <v>196</v>
      </c>
      <c r="F1662" s="163" t="s">
        <v>318</v>
      </c>
    </row>
    <row r="1663" spans="2:6">
      <c r="B1663" s="147" t="s">
        <v>1033</v>
      </c>
      <c r="C1663" s="147" t="e">
        <f>CONCATENATE("EXP",Commodities!C57,"B",RIGHT(#REF!,2))</f>
        <v>#REF!</v>
      </c>
      <c r="D1663" s="147" t="e">
        <f>CONCATENATE("Export Barge/Vessel Trade of ",Commodities!C57, " from ",$B$1654," to R",RIGHT(C1663))</f>
        <v>#REF!</v>
      </c>
      <c r="E1663" s="163" t="s">
        <v>196</v>
      </c>
      <c r="F1663" s="163" t="s">
        <v>318</v>
      </c>
    </row>
    <row r="1664" spans="2:6">
      <c r="B1664" s="147" t="s">
        <v>1033</v>
      </c>
      <c r="C1664" s="147" t="e">
        <f>CONCATENATE("EXP",Commodities!C58,"B",RIGHT(#REF!,2))</f>
        <v>#REF!</v>
      </c>
      <c r="D1664" s="147" t="e">
        <f>CONCATENATE("Export Barge/Vessel Trade of ",Commodities!C58, " from ",$B$1654," to R",RIGHT(C1664))</f>
        <v>#REF!</v>
      </c>
      <c r="E1664" s="163" t="s">
        <v>196</v>
      </c>
      <c r="F1664" s="163" t="s">
        <v>318</v>
      </c>
    </row>
    <row r="1665" spans="2:6">
      <c r="B1665" s="147" t="s">
        <v>1033</v>
      </c>
      <c r="C1665" s="147" t="e">
        <f>CONCATENATE("EXP",Commodities!C59,"B",RIGHT(#REF!,2))</f>
        <v>#REF!</v>
      </c>
      <c r="D1665" s="147" t="e">
        <f>CONCATENATE("Export Barge/Vessel Trade of ",Commodities!C59, " from ",$B$1654," to R",RIGHT(C1665))</f>
        <v>#REF!</v>
      </c>
      <c r="E1665" s="163" t="s">
        <v>196</v>
      </c>
      <c r="F1665" s="163" t="s">
        <v>318</v>
      </c>
    </row>
    <row r="1666" spans="2:6">
      <c r="B1666" s="147" t="s">
        <v>1033</v>
      </c>
      <c r="C1666" s="147" t="e">
        <f>CONCATENATE("EXP",Commodities!C60,"B",RIGHT(#REF!,2))</f>
        <v>#REF!</v>
      </c>
      <c r="D1666" s="147" t="e">
        <f>CONCATENATE("Export Barge/Vessel Trade of ",Commodities!C60, " from ",$B$1654," to R",RIGHT(C1666))</f>
        <v>#REF!</v>
      </c>
      <c r="E1666" s="163" t="s">
        <v>196</v>
      </c>
      <c r="F1666" s="163" t="s">
        <v>318</v>
      </c>
    </row>
    <row r="1667" spans="2:6">
      <c r="B1667" s="147" t="s">
        <v>1033</v>
      </c>
      <c r="C1667" s="147" t="e">
        <f>CONCATENATE("EXP",Commodities!C48,"B",RIGHT(#REF!,2))</f>
        <v>#REF!</v>
      </c>
      <c r="D1667" s="147" t="e">
        <f>CONCATENATE("Export Barge/Vessel Trade of ",Commodities!C48, " from ",$B$1667," to R",RIGHT(C1667))</f>
        <v>#REF!</v>
      </c>
      <c r="E1667" s="163" t="s">
        <v>196</v>
      </c>
      <c r="F1667" s="163" t="s">
        <v>318</v>
      </c>
    </row>
    <row r="1668" spans="2:6">
      <c r="B1668" s="147" t="s">
        <v>1033</v>
      </c>
      <c r="C1668" s="147" t="e">
        <f>CONCATENATE("EXP",Commodities!C49,"B",RIGHT(#REF!,2))</f>
        <v>#REF!</v>
      </c>
      <c r="D1668" s="147" t="e">
        <f>CONCATENATE("Export Barge/Vessel Trade of ",Commodities!C49, " from ",$B$1667," to R",RIGHT(C1668))</f>
        <v>#REF!</v>
      </c>
      <c r="E1668" s="163" t="s">
        <v>196</v>
      </c>
      <c r="F1668" s="163" t="s">
        <v>318</v>
      </c>
    </row>
    <row r="1669" spans="2:6">
      <c r="B1669" s="147" t="s">
        <v>1033</v>
      </c>
      <c r="C1669" s="147" t="e">
        <f>CONCATENATE("EXP",Commodities!C50,"B",RIGHT(#REF!,2))</f>
        <v>#REF!</v>
      </c>
      <c r="D1669" s="147" t="e">
        <f>CONCATENATE("Export Barge/Vessel Trade of ",Commodities!C50, " from ",$B$1667," to R",RIGHT(C1669))</f>
        <v>#REF!</v>
      </c>
      <c r="E1669" s="163" t="s">
        <v>196</v>
      </c>
      <c r="F1669" s="163" t="s">
        <v>318</v>
      </c>
    </row>
    <row r="1670" spans="2:6">
      <c r="B1670" s="147" t="s">
        <v>1033</v>
      </c>
      <c r="C1670" s="147" t="e">
        <f>CONCATENATE("EXP",Commodities!C51,"B",RIGHT(#REF!,2))</f>
        <v>#REF!</v>
      </c>
      <c r="D1670" s="147" t="e">
        <f>CONCATENATE("Export Barge/Vessel Trade of ",Commodities!C51, " from ",$B$1667," to R",RIGHT(C1670))</f>
        <v>#REF!</v>
      </c>
      <c r="E1670" s="163" t="s">
        <v>196</v>
      </c>
      <c r="F1670" s="163" t="s">
        <v>318</v>
      </c>
    </row>
    <row r="1671" spans="2:6">
      <c r="B1671" s="147" t="s">
        <v>1033</v>
      </c>
      <c r="C1671" s="147" t="e">
        <f>CONCATENATE("EXP",Commodities!C52,"B",RIGHT(#REF!,2))</f>
        <v>#REF!</v>
      </c>
      <c r="D1671" s="147" t="e">
        <f>CONCATENATE("Export Barge/Vessel Trade of ",Commodities!C52, " from ",$B$1667," to R",RIGHT(C1671))</f>
        <v>#REF!</v>
      </c>
      <c r="E1671" s="163" t="s">
        <v>196</v>
      </c>
      <c r="F1671" s="163" t="s">
        <v>318</v>
      </c>
    </row>
    <row r="1672" spans="2:6">
      <c r="B1672" s="147" t="s">
        <v>1033</v>
      </c>
      <c r="C1672" s="147" t="e">
        <f>CONCATENATE("EXP",Commodities!C53,"B",RIGHT(#REF!,2))</f>
        <v>#REF!</v>
      </c>
      <c r="D1672" s="147" t="e">
        <f>CONCATENATE("Export Barge/Vessel Trade of ",Commodities!C53, " from ",$B$1667," to R",RIGHT(C1672))</f>
        <v>#REF!</v>
      </c>
      <c r="E1672" s="163" t="s">
        <v>196</v>
      </c>
      <c r="F1672" s="163" t="s">
        <v>318</v>
      </c>
    </row>
    <row r="1673" spans="2:6">
      <c r="B1673" s="147" t="s">
        <v>1033</v>
      </c>
      <c r="C1673" s="147" t="e">
        <f>CONCATENATE("EXP",Commodities!C54,"B",RIGHT(#REF!,2))</f>
        <v>#REF!</v>
      </c>
      <c r="D1673" s="147" t="e">
        <f>CONCATENATE("Export Barge/Vessel Trade of ",Commodities!C54, " from ",$B$1667," to R",RIGHT(C1673))</f>
        <v>#REF!</v>
      </c>
      <c r="E1673" s="163" t="s">
        <v>196</v>
      </c>
      <c r="F1673" s="163" t="s">
        <v>318</v>
      </c>
    </row>
    <row r="1674" spans="2:6">
      <c r="B1674" s="147" t="s">
        <v>1033</v>
      </c>
      <c r="C1674" s="147" t="e">
        <f>CONCATENATE("EXP",Commodities!C55,"B",RIGHT(#REF!,2))</f>
        <v>#REF!</v>
      </c>
      <c r="D1674" s="147" t="e">
        <f>CONCATENATE("Export Barge/Vessel Trade of ",Commodities!C55, " from ",$B$1667," to R",RIGHT(C1674))</f>
        <v>#REF!</v>
      </c>
      <c r="E1674" s="163" t="s">
        <v>196</v>
      </c>
      <c r="F1674" s="163" t="s">
        <v>318</v>
      </c>
    </row>
    <row r="1675" spans="2:6">
      <c r="B1675" s="147" t="s">
        <v>1033</v>
      </c>
      <c r="C1675" s="147" t="e">
        <f>CONCATENATE("EXP",Commodities!C56,"B",RIGHT(#REF!,2))</f>
        <v>#REF!</v>
      </c>
      <c r="D1675" s="147" t="e">
        <f>CONCATENATE("Export Barge/Vessel Trade of ",Commodities!C56, " from ",$B$1667," to R",RIGHT(C1675))</f>
        <v>#REF!</v>
      </c>
      <c r="E1675" s="163" t="s">
        <v>196</v>
      </c>
      <c r="F1675" s="163" t="s">
        <v>318</v>
      </c>
    </row>
    <row r="1676" spans="2:6">
      <c r="B1676" s="147" t="s">
        <v>1033</v>
      </c>
      <c r="C1676" s="147" t="e">
        <f>CONCATENATE("EXP",Commodities!C57,"B",RIGHT(#REF!,2))</f>
        <v>#REF!</v>
      </c>
      <c r="D1676" s="147" t="e">
        <f>CONCATENATE("Export Barge/Vessel Trade of ",Commodities!C57, " from ",$B$1667," to R",RIGHT(C1676))</f>
        <v>#REF!</v>
      </c>
      <c r="E1676" s="163" t="s">
        <v>196</v>
      </c>
      <c r="F1676" s="163" t="s">
        <v>318</v>
      </c>
    </row>
    <row r="1677" spans="2:6">
      <c r="B1677" s="147" t="s">
        <v>1033</v>
      </c>
      <c r="C1677" s="147" t="e">
        <f>CONCATENATE("EXP",Commodities!C58,"B",RIGHT(#REF!,2))</f>
        <v>#REF!</v>
      </c>
      <c r="D1677" s="147" t="e">
        <f>CONCATENATE("Export Barge/Vessel Trade of ",Commodities!C58, " from ",$B$1667," to R",RIGHT(C1677))</f>
        <v>#REF!</v>
      </c>
      <c r="E1677" s="163" t="s">
        <v>196</v>
      </c>
      <c r="F1677" s="163" t="s">
        <v>318</v>
      </c>
    </row>
    <row r="1678" spans="2:6">
      <c r="B1678" s="147" t="s">
        <v>1033</v>
      </c>
      <c r="C1678" s="147" t="e">
        <f>CONCATENATE("EXP",Commodities!C59,"B",RIGHT(#REF!,2))</f>
        <v>#REF!</v>
      </c>
      <c r="D1678" s="147" t="e">
        <f>CONCATENATE("Export Barge/Vessel Trade of ",Commodities!C59, " from ",$B$1667," to R",RIGHT(C1678))</f>
        <v>#REF!</v>
      </c>
      <c r="E1678" s="163" t="s">
        <v>196</v>
      </c>
      <c r="F1678" s="163" t="s">
        <v>318</v>
      </c>
    </row>
    <row r="1679" spans="2:6">
      <c r="B1679" s="147" t="s">
        <v>1033</v>
      </c>
      <c r="C1679" s="147" t="e">
        <f>CONCATENATE("EXP",Commodities!C60,"B",RIGHT(#REF!,2))</f>
        <v>#REF!</v>
      </c>
      <c r="D1679" s="147" t="e">
        <f>CONCATENATE("Export Barge/Vessel Trade of ",Commodities!C60, " from ",$B$1667," to R",RIGHT(C1679))</f>
        <v>#REF!</v>
      </c>
      <c r="E1679" s="163" t="s">
        <v>196</v>
      </c>
      <c r="F1679" s="163" t="s">
        <v>318</v>
      </c>
    </row>
    <row r="1680" spans="2:6">
      <c r="B1680" s="147" t="s">
        <v>1034</v>
      </c>
      <c r="C1680" s="147" t="e">
        <f>CONCATENATE("EXP",Commodities!C48,"B",RIGHT(#REF!,2))</f>
        <v>#REF!</v>
      </c>
      <c r="D1680" s="147" t="e">
        <f>CONCATENATE("Export Barge/Vessel Trade of ",Commodities!C48, " from ",$B$1680," to R",RIGHT(C1680))</f>
        <v>#REF!</v>
      </c>
      <c r="E1680" s="163" t="s">
        <v>196</v>
      </c>
      <c r="F1680" s="163" t="s">
        <v>318</v>
      </c>
    </row>
    <row r="1681" spans="2:6">
      <c r="B1681" s="147" t="s">
        <v>1034</v>
      </c>
      <c r="C1681" s="147" t="e">
        <f>CONCATENATE("EXP",Commodities!C49,"B",RIGHT(#REF!,2))</f>
        <v>#REF!</v>
      </c>
      <c r="D1681" s="147" t="e">
        <f>CONCATENATE("Export Barge/Vessel Trade of ",Commodities!C49, " from ",$B$1680," to R",RIGHT(C1681))</f>
        <v>#REF!</v>
      </c>
      <c r="E1681" s="163" t="s">
        <v>196</v>
      </c>
      <c r="F1681" s="163" t="s">
        <v>318</v>
      </c>
    </row>
    <row r="1682" spans="2:6">
      <c r="B1682" s="147" t="s">
        <v>1034</v>
      </c>
      <c r="C1682" s="147" t="e">
        <f>CONCATENATE("EXP",Commodities!C50,"B",RIGHT(#REF!,2))</f>
        <v>#REF!</v>
      </c>
      <c r="D1682" s="147" t="e">
        <f>CONCATENATE("Export Barge/Vessel Trade of ",Commodities!C50, " from ",$B$1680," to R",RIGHT(C1682))</f>
        <v>#REF!</v>
      </c>
      <c r="E1682" s="163" t="s">
        <v>196</v>
      </c>
      <c r="F1682" s="163" t="s">
        <v>318</v>
      </c>
    </row>
    <row r="1683" spans="2:6">
      <c r="B1683" s="147" t="s">
        <v>1034</v>
      </c>
      <c r="C1683" s="147" t="e">
        <f>CONCATENATE("EXP",Commodities!C51,"B",RIGHT(#REF!,2))</f>
        <v>#REF!</v>
      </c>
      <c r="D1683" s="147" t="e">
        <f>CONCATENATE("Export Barge/Vessel Trade of ",Commodities!C51, " from ",$B$1680," to R",RIGHT(C1683))</f>
        <v>#REF!</v>
      </c>
      <c r="E1683" s="163" t="s">
        <v>196</v>
      </c>
      <c r="F1683" s="163" t="s">
        <v>318</v>
      </c>
    </row>
    <row r="1684" spans="2:6">
      <c r="B1684" s="147" t="s">
        <v>1034</v>
      </c>
      <c r="C1684" s="147" t="e">
        <f>CONCATENATE("EXP",Commodities!C52,"B",RIGHT(#REF!,2))</f>
        <v>#REF!</v>
      </c>
      <c r="D1684" s="147" t="e">
        <f>CONCATENATE("Export Barge/Vessel Trade of ",Commodities!C52, " from ",$B$1680," to R",RIGHT(C1684))</f>
        <v>#REF!</v>
      </c>
      <c r="E1684" s="163" t="s">
        <v>196</v>
      </c>
      <c r="F1684" s="163" t="s">
        <v>318</v>
      </c>
    </row>
    <row r="1685" spans="2:6">
      <c r="B1685" s="147" t="s">
        <v>1034</v>
      </c>
      <c r="C1685" s="147" t="e">
        <f>CONCATENATE("EXP",Commodities!C53,"B",RIGHT(#REF!,2))</f>
        <v>#REF!</v>
      </c>
      <c r="D1685" s="147" t="e">
        <f>CONCATENATE("Export Barge/Vessel Trade of ",Commodities!C53, " from ",$B$1680," to R",RIGHT(C1685))</f>
        <v>#REF!</v>
      </c>
      <c r="E1685" s="163" t="s">
        <v>196</v>
      </c>
      <c r="F1685" s="163" t="s">
        <v>318</v>
      </c>
    </row>
    <row r="1686" spans="2:6">
      <c r="B1686" s="147" t="s">
        <v>1034</v>
      </c>
      <c r="C1686" s="147" t="e">
        <f>CONCATENATE("EXP",Commodities!C54,"B",RIGHT(#REF!,2))</f>
        <v>#REF!</v>
      </c>
      <c r="D1686" s="147" t="e">
        <f>CONCATENATE("Export Barge/Vessel Trade of ",Commodities!C54, " from ",$B$1680," to R",RIGHT(C1686))</f>
        <v>#REF!</v>
      </c>
      <c r="E1686" s="163" t="s">
        <v>196</v>
      </c>
      <c r="F1686" s="163" t="s">
        <v>318</v>
      </c>
    </row>
    <row r="1687" spans="2:6">
      <c r="B1687" s="147" t="s">
        <v>1034</v>
      </c>
      <c r="C1687" s="147" t="e">
        <f>CONCATENATE("EXP",Commodities!C55,"B",RIGHT(#REF!,2))</f>
        <v>#REF!</v>
      </c>
      <c r="D1687" s="147" t="e">
        <f>CONCATENATE("Export Barge/Vessel Trade of ",Commodities!C55, " from ",$B$1680," to R",RIGHT(C1687))</f>
        <v>#REF!</v>
      </c>
      <c r="E1687" s="163" t="s">
        <v>196</v>
      </c>
      <c r="F1687" s="163" t="s">
        <v>318</v>
      </c>
    </row>
    <row r="1688" spans="2:6">
      <c r="B1688" s="147" t="s">
        <v>1034</v>
      </c>
      <c r="C1688" s="147" t="e">
        <f>CONCATENATE("EXP",Commodities!C56,"B",RIGHT(#REF!,2))</f>
        <v>#REF!</v>
      </c>
      <c r="D1688" s="147" t="e">
        <f>CONCATENATE("Export Barge/Vessel Trade of ",Commodities!C56, " from ",$B$1680," to R",RIGHT(C1688))</f>
        <v>#REF!</v>
      </c>
      <c r="E1688" s="163" t="s">
        <v>196</v>
      </c>
      <c r="F1688" s="163" t="s">
        <v>318</v>
      </c>
    </row>
    <row r="1689" spans="2:6">
      <c r="B1689" s="147" t="s">
        <v>1034</v>
      </c>
      <c r="C1689" s="147" t="e">
        <f>CONCATENATE("EXP",Commodities!C57,"B",RIGHT(#REF!,2))</f>
        <v>#REF!</v>
      </c>
      <c r="D1689" s="147" t="e">
        <f>CONCATENATE("Export Barge/Vessel Trade of ",Commodities!C57, " from ",$B$1680," to R",RIGHT(C1689))</f>
        <v>#REF!</v>
      </c>
      <c r="E1689" s="163" t="s">
        <v>196</v>
      </c>
      <c r="F1689" s="163" t="s">
        <v>318</v>
      </c>
    </row>
    <row r="1690" spans="2:6">
      <c r="B1690" s="147" t="s">
        <v>1034</v>
      </c>
      <c r="C1690" s="147" t="e">
        <f>CONCATENATE("EXP",Commodities!C58,"B",RIGHT(#REF!,2))</f>
        <v>#REF!</v>
      </c>
      <c r="D1690" s="147" t="e">
        <f>CONCATENATE("Export Barge/Vessel Trade of ",Commodities!C58, " from ",$B$1680," to R",RIGHT(C1690))</f>
        <v>#REF!</v>
      </c>
      <c r="E1690" s="163" t="s">
        <v>196</v>
      </c>
      <c r="F1690" s="163" t="s">
        <v>318</v>
      </c>
    </row>
    <row r="1691" spans="2:6">
      <c r="B1691" s="147" t="s">
        <v>1034</v>
      </c>
      <c r="C1691" s="147" t="e">
        <f>CONCATENATE("EXP",Commodities!C59,"B",RIGHT(#REF!,2))</f>
        <v>#REF!</v>
      </c>
      <c r="D1691" s="147" t="e">
        <f>CONCATENATE("Export Barge/Vessel Trade of ",Commodities!C59, " from ",$B$1680," to R",RIGHT(C1691))</f>
        <v>#REF!</v>
      </c>
      <c r="E1691" s="163" t="s">
        <v>196</v>
      </c>
      <c r="F1691" s="163" t="s">
        <v>318</v>
      </c>
    </row>
    <row r="1692" spans="2:6">
      <c r="B1692" s="147" t="s">
        <v>1034</v>
      </c>
      <c r="C1692" s="147" t="e">
        <f>CONCATENATE("EXP",Commodities!C60,"B",RIGHT(#REF!,2))</f>
        <v>#REF!</v>
      </c>
      <c r="D1692" s="147" t="e">
        <f>CONCATENATE("Export Barge/Vessel Trade of ",Commodities!C60, " from ",$B$1680," to R",RIGHT(C1692))</f>
        <v>#REF!</v>
      </c>
      <c r="E1692" s="163" t="s">
        <v>196</v>
      </c>
      <c r="F1692" s="163" t="s">
        <v>318</v>
      </c>
    </row>
    <row r="1693" spans="2:6">
      <c r="B1693" s="147" t="s">
        <v>1034</v>
      </c>
      <c r="C1693" s="147" t="e">
        <f>CONCATENATE("EXP",Commodities!C48,"B",RIGHT(#REF!,2))</f>
        <v>#REF!</v>
      </c>
      <c r="D1693" s="147" t="e">
        <f>CONCATENATE("Export Barge/Vessel Trade of ",Commodities!C48, " from ",$B$1693," to R",RIGHT(C1693))</f>
        <v>#REF!</v>
      </c>
      <c r="E1693" s="163" t="s">
        <v>196</v>
      </c>
      <c r="F1693" s="163" t="s">
        <v>318</v>
      </c>
    </row>
    <row r="1694" spans="2:6">
      <c r="B1694" s="147" t="s">
        <v>1034</v>
      </c>
      <c r="C1694" s="147" t="e">
        <f>CONCATENATE("EXP",Commodities!C49,"B",RIGHT(#REF!,2))</f>
        <v>#REF!</v>
      </c>
      <c r="D1694" s="147" t="e">
        <f>CONCATENATE("Export Barge/Vessel Trade of ",Commodities!C49, " from ",$B$1693," to R",RIGHT(C1694))</f>
        <v>#REF!</v>
      </c>
      <c r="E1694" s="163" t="s">
        <v>196</v>
      </c>
      <c r="F1694" s="163" t="s">
        <v>318</v>
      </c>
    </row>
    <row r="1695" spans="2:6">
      <c r="B1695" s="147" t="s">
        <v>1034</v>
      </c>
      <c r="C1695" s="147" t="e">
        <f>CONCATENATE("EXP",Commodities!C50,"B",RIGHT(#REF!,2))</f>
        <v>#REF!</v>
      </c>
      <c r="D1695" s="147" t="e">
        <f>CONCATENATE("Export Barge/Vessel Trade of ",Commodities!C50, " from ",$B$1693," to R",RIGHT(C1695))</f>
        <v>#REF!</v>
      </c>
      <c r="E1695" s="163" t="s">
        <v>196</v>
      </c>
      <c r="F1695" s="163" t="s">
        <v>318</v>
      </c>
    </row>
    <row r="1696" spans="2:6">
      <c r="B1696" s="147" t="s">
        <v>1034</v>
      </c>
      <c r="C1696" s="147" t="e">
        <f>CONCATENATE("EXP",Commodities!C51,"B",RIGHT(#REF!,2))</f>
        <v>#REF!</v>
      </c>
      <c r="D1696" s="147" t="e">
        <f>CONCATENATE("Export Barge/Vessel Trade of ",Commodities!C51, " from ",$B$1693," to R",RIGHT(C1696))</f>
        <v>#REF!</v>
      </c>
      <c r="E1696" s="163" t="s">
        <v>196</v>
      </c>
      <c r="F1696" s="163" t="s">
        <v>318</v>
      </c>
    </row>
    <row r="1697" spans="2:6">
      <c r="B1697" s="147" t="s">
        <v>1034</v>
      </c>
      <c r="C1697" s="147" t="e">
        <f>CONCATENATE("EXP",Commodities!C52,"B",RIGHT(#REF!,2))</f>
        <v>#REF!</v>
      </c>
      <c r="D1697" s="147" t="e">
        <f>CONCATENATE("Export Barge/Vessel Trade of ",Commodities!C52, " from ",$B$1693," to R",RIGHT(C1697))</f>
        <v>#REF!</v>
      </c>
      <c r="E1697" s="163" t="s">
        <v>196</v>
      </c>
      <c r="F1697" s="163" t="s">
        <v>318</v>
      </c>
    </row>
    <row r="1698" spans="2:6">
      <c r="B1698" s="147" t="s">
        <v>1034</v>
      </c>
      <c r="C1698" s="147" t="e">
        <f>CONCATENATE("EXP",Commodities!C53,"B",RIGHT(#REF!,2))</f>
        <v>#REF!</v>
      </c>
      <c r="D1698" s="147" t="e">
        <f>CONCATENATE("Export Barge/Vessel Trade of ",Commodities!C53, " from ",$B$1693," to R",RIGHT(C1698))</f>
        <v>#REF!</v>
      </c>
      <c r="E1698" s="163" t="s">
        <v>196</v>
      </c>
      <c r="F1698" s="163" t="s">
        <v>318</v>
      </c>
    </row>
    <row r="1699" spans="2:6">
      <c r="B1699" s="147" t="s">
        <v>1034</v>
      </c>
      <c r="C1699" s="147" t="e">
        <f>CONCATENATE("EXP",Commodities!C54,"B",RIGHT(#REF!,2))</f>
        <v>#REF!</v>
      </c>
      <c r="D1699" s="147" t="e">
        <f>CONCATENATE("Export Barge/Vessel Trade of ",Commodities!C54, " from ",$B$1693," to R",RIGHT(C1699))</f>
        <v>#REF!</v>
      </c>
      <c r="E1699" s="163" t="s">
        <v>196</v>
      </c>
      <c r="F1699" s="163" t="s">
        <v>318</v>
      </c>
    </row>
    <row r="1700" spans="2:6">
      <c r="B1700" s="147" t="s">
        <v>1034</v>
      </c>
      <c r="C1700" s="147" t="e">
        <f>CONCATENATE("EXP",Commodities!C55,"B",RIGHT(#REF!,2))</f>
        <v>#REF!</v>
      </c>
      <c r="D1700" s="147" t="e">
        <f>CONCATENATE("Export Barge/Vessel Trade of ",Commodities!C55, " from ",$B$1693," to R",RIGHT(C1700))</f>
        <v>#REF!</v>
      </c>
      <c r="E1700" s="163" t="s">
        <v>196</v>
      </c>
      <c r="F1700" s="163" t="s">
        <v>318</v>
      </c>
    </row>
    <row r="1701" spans="2:6">
      <c r="B1701" s="147" t="s">
        <v>1034</v>
      </c>
      <c r="C1701" s="147" t="e">
        <f>CONCATENATE("EXP",Commodities!C56,"B",RIGHT(#REF!,2))</f>
        <v>#REF!</v>
      </c>
      <c r="D1701" s="147" t="e">
        <f>CONCATENATE("Export Barge/Vessel Trade of ",Commodities!C56, " from ",$B$1693," to R",RIGHT(C1701))</f>
        <v>#REF!</v>
      </c>
      <c r="E1701" s="163" t="s">
        <v>196</v>
      </c>
      <c r="F1701" s="163" t="s">
        <v>318</v>
      </c>
    </row>
    <row r="1702" spans="2:6">
      <c r="B1702" s="147" t="s">
        <v>1034</v>
      </c>
      <c r="C1702" s="147" t="e">
        <f>CONCATENATE("EXP",Commodities!C57,"B",RIGHT(#REF!,2))</f>
        <v>#REF!</v>
      </c>
      <c r="D1702" s="147" t="e">
        <f>CONCATENATE("Export Barge/Vessel Trade of ",Commodities!C57, " from ",$B$1693," to R",RIGHT(C1702))</f>
        <v>#REF!</v>
      </c>
      <c r="E1702" s="163" t="s">
        <v>196</v>
      </c>
      <c r="F1702" s="163" t="s">
        <v>318</v>
      </c>
    </row>
    <row r="1703" spans="2:6">
      <c r="B1703" s="147" t="s">
        <v>1034</v>
      </c>
      <c r="C1703" s="147" t="e">
        <f>CONCATENATE("EXP",Commodities!C58,"B",RIGHT(#REF!,2))</f>
        <v>#REF!</v>
      </c>
      <c r="D1703" s="147" t="e">
        <f>CONCATENATE("Export Barge/Vessel Trade of ",Commodities!C58, " from ",$B$1693," to R",RIGHT(C1703))</f>
        <v>#REF!</v>
      </c>
      <c r="E1703" s="163" t="s">
        <v>196</v>
      </c>
      <c r="F1703" s="163" t="s">
        <v>318</v>
      </c>
    </row>
    <row r="1704" spans="2:6">
      <c r="B1704" s="147" t="s">
        <v>1034</v>
      </c>
      <c r="C1704" s="147" t="e">
        <f>CONCATENATE("EXP",Commodities!C59,"B",RIGHT(#REF!,2))</f>
        <v>#REF!</v>
      </c>
      <c r="D1704" s="147" t="e">
        <f>CONCATENATE("Export Barge/Vessel Trade of ",Commodities!C59, " from ",$B$1693," to R",RIGHT(C1704))</f>
        <v>#REF!</v>
      </c>
      <c r="E1704" s="163" t="s">
        <v>196</v>
      </c>
      <c r="F1704" s="163" t="s">
        <v>318</v>
      </c>
    </row>
    <row r="1705" spans="2:6">
      <c r="B1705" s="147" t="s">
        <v>1034</v>
      </c>
      <c r="C1705" s="147" t="e">
        <f>CONCATENATE("EXP",Commodities!C60,"B",RIGHT(#REF!,2))</f>
        <v>#REF!</v>
      </c>
      <c r="D1705" s="147" t="e">
        <f>CONCATENATE("Export Barge/Vessel Trade of ",Commodities!C60, " from ",$B$1693," to R",RIGHT(C1705))</f>
        <v>#REF!</v>
      </c>
      <c r="E1705" s="163" t="s">
        <v>196</v>
      </c>
      <c r="F1705" s="163" t="s">
        <v>318</v>
      </c>
    </row>
    <row r="1706" spans="2:6">
      <c r="B1706" s="147" t="s">
        <v>1034</v>
      </c>
      <c r="C1706" s="147" t="e">
        <f>CONCATENATE("EXP",Commodities!C48,"B",RIGHT(#REF!,2))</f>
        <v>#REF!</v>
      </c>
      <c r="D1706" s="147" t="e">
        <f>CONCATENATE("Export Barge/Vessel Trade of ",Commodities!C48, " from ",$B$1706," to R",RIGHT(C1706))</f>
        <v>#REF!</v>
      </c>
      <c r="E1706" s="163" t="s">
        <v>196</v>
      </c>
      <c r="F1706" s="163" t="s">
        <v>318</v>
      </c>
    </row>
    <row r="1707" spans="2:6">
      <c r="B1707" s="147" t="s">
        <v>1034</v>
      </c>
      <c r="C1707" s="147" t="e">
        <f>CONCATENATE("EXP",Commodities!C49,"B",RIGHT(#REF!,2))</f>
        <v>#REF!</v>
      </c>
      <c r="D1707" s="147" t="e">
        <f>CONCATENATE("Export Barge/Vessel Trade of ",Commodities!C49, " from ",$B$1706," to R",RIGHT(C1707))</f>
        <v>#REF!</v>
      </c>
      <c r="E1707" s="163" t="s">
        <v>196</v>
      </c>
      <c r="F1707" s="163" t="s">
        <v>318</v>
      </c>
    </row>
    <row r="1708" spans="2:6">
      <c r="B1708" s="147" t="s">
        <v>1034</v>
      </c>
      <c r="C1708" s="147" t="e">
        <f>CONCATENATE("EXP",Commodities!C50,"B",RIGHT(#REF!,2))</f>
        <v>#REF!</v>
      </c>
      <c r="D1708" s="147" t="e">
        <f>CONCATENATE("Export Barge/Vessel Trade of ",Commodities!C50, " from ",$B$1706," to R",RIGHT(C1708))</f>
        <v>#REF!</v>
      </c>
      <c r="E1708" s="163" t="s">
        <v>196</v>
      </c>
      <c r="F1708" s="163" t="s">
        <v>318</v>
      </c>
    </row>
    <row r="1709" spans="2:6">
      <c r="B1709" s="147" t="s">
        <v>1034</v>
      </c>
      <c r="C1709" s="147" t="e">
        <f>CONCATENATE("EXP",Commodities!C51,"B",RIGHT(#REF!,2))</f>
        <v>#REF!</v>
      </c>
      <c r="D1709" s="147" t="e">
        <f>CONCATENATE("Export Barge/Vessel Trade of ",Commodities!C51, " from ",$B$1706," to R",RIGHT(C1709))</f>
        <v>#REF!</v>
      </c>
      <c r="E1709" s="163" t="s">
        <v>196</v>
      </c>
      <c r="F1709" s="163" t="s">
        <v>318</v>
      </c>
    </row>
    <row r="1710" spans="2:6">
      <c r="B1710" s="147" t="s">
        <v>1034</v>
      </c>
      <c r="C1710" s="147" t="e">
        <f>CONCATENATE("EXP",Commodities!C52,"B",RIGHT(#REF!,2))</f>
        <v>#REF!</v>
      </c>
      <c r="D1710" s="147" t="e">
        <f>CONCATENATE("Export Barge/Vessel Trade of ",Commodities!C52, " from ",$B$1706," to R",RIGHT(C1710))</f>
        <v>#REF!</v>
      </c>
      <c r="E1710" s="163" t="s">
        <v>196</v>
      </c>
      <c r="F1710" s="163" t="s">
        <v>318</v>
      </c>
    </row>
    <row r="1711" spans="2:6">
      <c r="B1711" s="147" t="s">
        <v>1034</v>
      </c>
      <c r="C1711" s="147" t="e">
        <f>CONCATENATE("EXP",Commodities!C53,"B",RIGHT(#REF!,2))</f>
        <v>#REF!</v>
      </c>
      <c r="D1711" s="147" t="e">
        <f>CONCATENATE("Export Barge/Vessel Trade of ",Commodities!C53, " from ",$B$1706," to R",RIGHT(C1711))</f>
        <v>#REF!</v>
      </c>
      <c r="E1711" s="163" t="s">
        <v>196</v>
      </c>
      <c r="F1711" s="163" t="s">
        <v>318</v>
      </c>
    </row>
    <row r="1712" spans="2:6">
      <c r="B1712" s="147" t="s">
        <v>1034</v>
      </c>
      <c r="C1712" s="147" t="e">
        <f>CONCATENATE("EXP",Commodities!C54,"B",RIGHT(#REF!,2))</f>
        <v>#REF!</v>
      </c>
      <c r="D1712" s="147" t="e">
        <f>CONCATENATE("Export Barge/Vessel Trade of ",Commodities!C54, " from ",$B$1706," to R",RIGHT(C1712))</f>
        <v>#REF!</v>
      </c>
      <c r="E1712" s="163" t="s">
        <v>196</v>
      </c>
      <c r="F1712" s="163" t="s">
        <v>318</v>
      </c>
    </row>
    <row r="1713" spans="2:6">
      <c r="B1713" s="147" t="s">
        <v>1034</v>
      </c>
      <c r="C1713" s="147" t="e">
        <f>CONCATENATE("EXP",Commodities!C55,"B",RIGHT(#REF!,2))</f>
        <v>#REF!</v>
      </c>
      <c r="D1713" s="147" t="e">
        <f>CONCATENATE("Export Barge/Vessel Trade of ",Commodities!C55, " from ",$B$1706," to R",RIGHT(C1713))</f>
        <v>#REF!</v>
      </c>
      <c r="E1713" s="163" t="s">
        <v>196</v>
      </c>
      <c r="F1713" s="163" t="s">
        <v>318</v>
      </c>
    </row>
    <row r="1714" spans="2:6">
      <c r="B1714" s="147" t="s">
        <v>1034</v>
      </c>
      <c r="C1714" s="147" t="e">
        <f>CONCATENATE("EXP",Commodities!C56,"B",RIGHT(#REF!,2))</f>
        <v>#REF!</v>
      </c>
      <c r="D1714" s="147" t="e">
        <f>CONCATENATE("Export Barge/Vessel Trade of ",Commodities!C56, " from ",$B$1706," to R",RIGHT(C1714))</f>
        <v>#REF!</v>
      </c>
      <c r="E1714" s="163" t="s">
        <v>196</v>
      </c>
      <c r="F1714" s="163" t="s">
        <v>318</v>
      </c>
    </row>
    <row r="1715" spans="2:6">
      <c r="B1715" s="147" t="s">
        <v>1034</v>
      </c>
      <c r="C1715" s="147" t="e">
        <f>CONCATENATE("EXP",Commodities!C57,"B",RIGHT(#REF!,2))</f>
        <v>#REF!</v>
      </c>
      <c r="D1715" s="147" t="e">
        <f>CONCATENATE("Export Barge/Vessel Trade of ",Commodities!C57, " from ",$B$1706," to R",RIGHT(C1715))</f>
        <v>#REF!</v>
      </c>
      <c r="E1715" s="163" t="s">
        <v>196</v>
      </c>
      <c r="F1715" s="163" t="s">
        <v>318</v>
      </c>
    </row>
    <row r="1716" spans="2:6">
      <c r="B1716" s="147" t="s">
        <v>1034</v>
      </c>
      <c r="C1716" s="147" t="e">
        <f>CONCATENATE("EXP",Commodities!C58,"B",RIGHT(#REF!,2))</f>
        <v>#REF!</v>
      </c>
      <c r="D1716" s="147" t="e">
        <f>CONCATENATE("Export Barge/Vessel Trade of ",Commodities!C58, " from ",$B$1706," to R",RIGHT(C1716))</f>
        <v>#REF!</v>
      </c>
      <c r="E1716" s="163" t="s">
        <v>196</v>
      </c>
      <c r="F1716" s="163" t="s">
        <v>318</v>
      </c>
    </row>
    <row r="1717" spans="2:6">
      <c r="B1717" s="147" t="s">
        <v>1034</v>
      </c>
      <c r="C1717" s="147" t="e">
        <f>CONCATENATE("EXP",Commodities!C59,"B",RIGHT(#REF!,2))</f>
        <v>#REF!</v>
      </c>
      <c r="D1717" s="147" t="e">
        <f>CONCATENATE("Export Barge/Vessel Trade of ",Commodities!C59, " from ",$B$1706," to R",RIGHT(C1717))</f>
        <v>#REF!</v>
      </c>
      <c r="E1717" s="163" t="s">
        <v>196</v>
      </c>
      <c r="F1717" s="163" t="s">
        <v>318</v>
      </c>
    </row>
    <row r="1718" spans="2:6">
      <c r="B1718" s="147" t="s">
        <v>1034</v>
      </c>
      <c r="C1718" s="147" t="e">
        <f>CONCATENATE("EXP",Commodities!C60,"B",RIGHT(#REF!,2))</f>
        <v>#REF!</v>
      </c>
      <c r="D1718" s="147" t="e">
        <f>CONCATENATE("Export Barge/Vessel Trade of ",Commodities!C60, " from ",$B$1706," to R",RIGHT(C1718))</f>
        <v>#REF!</v>
      </c>
      <c r="E1718" s="163" t="s">
        <v>196</v>
      </c>
      <c r="F1718" s="163" t="s">
        <v>318</v>
      </c>
    </row>
    <row r="1719" spans="2:6">
      <c r="B1719" s="147" t="s">
        <v>1035</v>
      </c>
      <c r="C1719" s="147" t="e">
        <f>CONCATENATE("EXP",Commodities!C48,"B",RIGHT(#REF!,2))</f>
        <v>#REF!</v>
      </c>
      <c r="D1719" s="147" t="e">
        <f>CONCATENATE("Export Barge/Vessel Trade of ",Commodities!C48, " from ",$B$1719," to R",RIGHT(C1719))</f>
        <v>#REF!</v>
      </c>
      <c r="E1719" s="163" t="s">
        <v>196</v>
      </c>
      <c r="F1719" s="163" t="s">
        <v>318</v>
      </c>
    </row>
    <row r="1720" spans="2:6">
      <c r="B1720" s="147" t="s">
        <v>1035</v>
      </c>
      <c r="C1720" s="147" t="e">
        <f>CONCATENATE("EXP",Commodities!C49,"B",RIGHT(#REF!,2))</f>
        <v>#REF!</v>
      </c>
      <c r="D1720" s="147" t="e">
        <f>CONCATENATE("Export Barge/Vessel Trade of ",Commodities!C49, " from ",$B$1719," to R",RIGHT(C1720))</f>
        <v>#REF!</v>
      </c>
      <c r="E1720" s="163" t="s">
        <v>196</v>
      </c>
      <c r="F1720" s="163" t="s">
        <v>318</v>
      </c>
    </row>
    <row r="1721" spans="2:6">
      <c r="B1721" s="147" t="s">
        <v>1035</v>
      </c>
      <c r="C1721" s="147" t="e">
        <f>CONCATENATE("EXP",Commodities!C50,"B",RIGHT(#REF!,2))</f>
        <v>#REF!</v>
      </c>
      <c r="D1721" s="147" t="e">
        <f>CONCATENATE("Export Barge/Vessel Trade of ",Commodities!C50, " from ",$B$1719," to R",RIGHT(C1721))</f>
        <v>#REF!</v>
      </c>
      <c r="E1721" s="163" t="s">
        <v>196</v>
      </c>
      <c r="F1721" s="163" t="s">
        <v>318</v>
      </c>
    </row>
    <row r="1722" spans="2:6">
      <c r="B1722" s="147" t="s">
        <v>1035</v>
      </c>
      <c r="C1722" s="147" t="e">
        <f>CONCATENATE("EXP",Commodities!C51,"B",RIGHT(#REF!,2))</f>
        <v>#REF!</v>
      </c>
      <c r="D1722" s="147" t="e">
        <f>CONCATENATE("Export Barge/Vessel Trade of ",Commodities!C51, " from ",$B$1719," to R",RIGHT(C1722))</f>
        <v>#REF!</v>
      </c>
      <c r="E1722" s="163" t="s">
        <v>196</v>
      </c>
      <c r="F1722" s="163" t="s">
        <v>318</v>
      </c>
    </row>
    <row r="1723" spans="2:6">
      <c r="B1723" s="147" t="s">
        <v>1035</v>
      </c>
      <c r="C1723" s="147" t="e">
        <f>CONCATENATE("EXP",Commodities!C52,"B",RIGHT(#REF!,2))</f>
        <v>#REF!</v>
      </c>
      <c r="D1723" s="147" t="e">
        <f>CONCATENATE("Export Barge/Vessel Trade of ",Commodities!C52, " from ",$B$1719," to R",RIGHT(C1723))</f>
        <v>#REF!</v>
      </c>
      <c r="E1723" s="163" t="s">
        <v>196</v>
      </c>
      <c r="F1723" s="163" t="s">
        <v>318</v>
      </c>
    </row>
    <row r="1724" spans="2:6">
      <c r="B1724" s="147" t="s">
        <v>1035</v>
      </c>
      <c r="C1724" s="147" t="e">
        <f>CONCATENATE("EXP",Commodities!C53,"B",RIGHT(#REF!,2))</f>
        <v>#REF!</v>
      </c>
      <c r="D1724" s="147" t="e">
        <f>CONCATENATE("Export Barge/Vessel Trade of ",Commodities!C53, " from ",$B$1719," to R",RIGHT(C1724))</f>
        <v>#REF!</v>
      </c>
      <c r="E1724" s="163" t="s">
        <v>196</v>
      </c>
      <c r="F1724" s="163" t="s">
        <v>318</v>
      </c>
    </row>
    <row r="1725" spans="2:6">
      <c r="B1725" s="147" t="s">
        <v>1035</v>
      </c>
      <c r="C1725" s="147" t="e">
        <f>CONCATENATE("EXP",Commodities!C54,"B",RIGHT(#REF!,2))</f>
        <v>#REF!</v>
      </c>
      <c r="D1725" s="147" t="e">
        <f>CONCATENATE("Export Barge/Vessel Trade of ",Commodities!C54, " from ",$B$1719," to R",RIGHT(C1725))</f>
        <v>#REF!</v>
      </c>
      <c r="E1725" s="163" t="s">
        <v>196</v>
      </c>
      <c r="F1725" s="163" t="s">
        <v>318</v>
      </c>
    </row>
    <row r="1726" spans="2:6">
      <c r="B1726" s="147" t="s">
        <v>1035</v>
      </c>
      <c r="C1726" s="147" t="e">
        <f>CONCATENATE("EXP",Commodities!C55,"B",RIGHT(#REF!,2))</f>
        <v>#REF!</v>
      </c>
      <c r="D1726" s="147" t="e">
        <f>CONCATENATE("Export Barge/Vessel Trade of ",Commodities!C55, " from ",$B$1719," to R",RIGHT(C1726))</f>
        <v>#REF!</v>
      </c>
      <c r="E1726" s="163" t="s">
        <v>196</v>
      </c>
      <c r="F1726" s="163" t="s">
        <v>318</v>
      </c>
    </row>
    <row r="1727" spans="2:6">
      <c r="B1727" s="147" t="s">
        <v>1035</v>
      </c>
      <c r="C1727" s="147" t="e">
        <f>CONCATENATE("EXP",Commodities!C56,"B",RIGHT(#REF!,2))</f>
        <v>#REF!</v>
      </c>
      <c r="D1727" s="147" t="e">
        <f>CONCATENATE("Export Barge/Vessel Trade of ",Commodities!C56, " from ",$B$1719," to R",RIGHT(C1727))</f>
        <v>#REF!</v>
      </c>
      <c r="E1727" s="163" t="s">
        <v>196</v>
      </c>
      <c r="F1727" s="163" t="s">
        <v>318</v>
      </c>
    </row>
    <row r="1728" spans="2:6">
      <c r="B1728" s="147" t="s">
        <v>1035</v>
      </c>
      <c r="C1728" s="147" t="e">
        <f>CONCATENATE("EXP",Commodities!C57,"B",RIGHT(#REF!,2))</f>
        <v>#REF!</v>
      </c>
      <c r="D1728" s="147" t="e">
        <f>CONCATENATE("Export Barge/Vessel Trade of ",Commodities!C57, " from ",$B$1719," to R",RIGHT(C1728))</f>
        <v>#REF!</v>
      </c>
      <c r="E1728" s="163" t="s">
        <v>196</v>
      </c>
      <c r="F1728" s="163" t="s">
        <v>318</v>
      </c>
    </row>
    <row r="1729" spans="2:6">
      <c r="B1729" s="147" t="s">
        <v>1035</v>
      </c>
      <c r="C1729" s="147" t="e">
        <f>CONCATENATE("EXP",Commodities!C58,"B",RIGHT(#REF!,2))</f>
        <v>#REF!</v>
      </c>
      <c r="D1729" s="147" t="e">
        <f>CONCATENATE("Export Barge/Vessel Trade of ",Commodities!C58, " from ",$B$1719," to R",RIGHT(C1729))</f>
        <v>#REF!</v>
      </c>
      <c r="E1729" s="163" t="s">
        <v>196</v>
      </c>
      <c r="F1729" s="163" t="s">
        <v>318</v>
      </c>
    </row>
    <row r="1730" spans="2:6">
      <c r="B1730" s="147" t="s">
        <v>1035</v>
      </c>
      <c r="C1730" s="147" t="e">
        <f>CONCATENATE("EXP",Commodities!C59,"B",RIGHT(#REF!,2))</f>
        <v>#REF!</v>
      </c>
      <c r="D1730" s="147" t="e">
        <f>CONCATENATE("Export Barge/Vessel Trade of ",Commodities!C59, " from ",$B$1719," to R",RIGHT(C1730))</f>
        <v>#REF!</v>
      </c>
      <c r="E1730" s="163" t="s">
        <v>196</v>
      </c>
      <c r="F1730" s="163" t="s">
        <v>318</v>
      </c>
    </row>
    <row r="1731" spans="2:6">
      <c r="B1731" s="147" t="s">
        <v>1035</v>
      </c>
      <c r="C1731" s="147" t="e">
        <f>CONCATENATE("EXP",Commodities!C60,"B",RIGHT(#REF!,2))</f>
        <v>#REF!</v>
      </c>
      <c r="D1731" s="147" t="e">
        <f>CONCATENATE("Export Barge/Vessel Trade of ",Commodities!C60, " from ",$B$1719," to R",RIGHT(C1731))</f>
        <v>#REF!</v>
      </c>
      <c r="E1731" s="163" t="s">
        <v>196</v>
      </c>
      <c r="F1731" s="163" t="s">
        <v>318</v>
      </c>
    </row>
    <row r="1732" spans="2:6">
      <c r="B1732" s="147" t="s">
        <v>1035</v>
      </c>
      <c r="C1732" s="147" t="e">
        <f>CONCATENATE("EXP",Commodities!C48,"B",RIGHT(#REF!,2))</f>
        <v>#REF!</v>
      </c>
      <c r="D1732" s="147" t="e">
        <f>CONCATENATE("Export Barge/Vessel Trade of ",Commodities!C48, " from ",$B$1732," to R",RIGHT(C1732))</f>
        <v>#REF!</v>
      </c>
      <c r="E1732" s="163" t="s">
        <v>196</v>
      </c>
      <c r="F1732" s="163" t="s">
        <v>318</v>
      </c>
    </row>
    <row r="1733" spans="2:6">
      <c r="B1733" s="147" t="s">
        <v>1035</v>
      </c>
      <c r="C1733" s="147" t="e">
        <f>CONCATENATE("EXP",Commodities!C49,"B",RIGHT(#REF!,2))</f>
        <v>#REF!</v>
      </c>
      <c r="D1733" s="147" t="e">
        <f>CONCATENATE("Export Barge/Vessel Trade of ",Commodities!C49, " from ",$B$1732," to R",RIGHT(C1733))</f>
        <v>#REF!</v>
      </c>
      <c r="E1733" s="163" t="s">
        <v>196</v>
      </c>
      <c r="F1733" s="163" t="s">
        <v>318</v>
      </c>
    </row>
    <row r="1734" spans="2:6">
      <c r="B1734" s="147" t="s">
        <v>1035</v>
      </c>
      <c r="C1734" s="147" t="e">
        <f>CONCATENATE("EXP",Commodities!C50,"B",RIGHT(#REF!,2))</f>
        <v>#REF!</v>
      </c>
      <c r="D1734" s="147" t="e">
        <f>CONCATENATE("Export Barge/Vessel Trade of ",Commodities!C50, " from ",$B$1732," to R",RIGHT(C1734))</f>
        <v>#REF!</v>
      </c>
      <c r="E1734" s="163" t="s">
        <v>196</v>
      </c>
      <c r="F1734" s="163" t="s">
        <v>318</v>
      </c>
    </row>
    <row r="1735" spans="2:6">
      <c r="B1735" s="147" t="s">
        <v>1035</v>
      </c>
      <c r="C1735" s="147" t="e">
        <f>CONCATENATE("EXP",Commodities!C51,"B",RIGHT(#REF!,2))</f>
        <v>#REF!</v>
      </c>
      <c r="D1735" s="147" t="e">
        <f>CONCATENATE("Export Barge/Vessel Trade of ",Commodities!C51, " from ",$B$1732," to R",RIGHT(C1735))</f>
        <v>#REF!</v>
      </c>
      <c r="E1735" s="163" t="s">
        <v>196</v>
      </c>
      <c r="F1735" s="163" t="s">
        <v>318</v>
      </c>
    </row>
    <row r="1736" spans="2:6">
      <c r="B1736" s="147" t="s">
        <v>1035</v>
      </c>
      <c r="C1736" s="147" t="e">
        <f>CONCATENATE("EXP",Commodities!C52,"B",RIGHT(#REF!,2))</f>
        <v>#REF!</v>
      </c>
      <c r="D1736" s="147" t="e">
        <f>CONCATENATE("Export Barge/Vessel Trade of ",Commodities!C52, " from ",$B$1732," to R",RIGHT(C1736))</f>
        <v>#REF!</v>
      </c>
      <c r="E1736" s="163" t="s">
        <v>196</v>
      </c>
      <c r="F1736" s="163" t="s">
        <v>318</v>
      </c>
    </row>
    <row r="1737" spans="2:6">
      <c r="B1737" s="147" t="s">
        <v>1035</v>
      </c>
      <c r="C1737" s="147" t="e">
        <f>CONCATENATE("EXP",Commodities!C53,"B",RIGHT(#REF!,2))</f>
        <v>#REF!</v>
      </c>
      <c r="D1737" s="147" t="e">
        <f>CONCATENATE("Export Barge/Vessel Trade of ",Commodities!C53, " from ",$B$1732," to R",RIGHT(C1737))</f>
        <v>#REF!</v>
      </c>
      <c r="E1737" s="163" t="s">
        <v>196</v>
      </c>
      <c r="F1737" s="163" t="s">
        <v>318</v>
      </c>
    </row>
    <row r="1738" spans="2:6">
      <c r="B1738" s="147" t="s">
        <v>1035</v>
      </c>
      <c r="C1738" s="147" t="e">
        <f>CONCATENATE("EXP",Commodities!C54,"B",RIGHT(#REF!,2))</f>
        <v>#REF!</v>
      </c>
      <c r="D1738" s="147" t="e">
        <f>CONCATENATE("Export Barge/Vessel Trade of ",Commodities!C54, " from ",$B$1732," to R",RIGHT(C1738))</f>
        <v>#REF!</v>
      </c>
      <c r="E1738" s="163" t="s">
        <v>196</v>
      </c>
      <c r="F1738" s="163" t="s">
        <v>318</v>
      </c>
    </row>
    <row r="1739" spans="2:6">
      <c r="B1739" s="147" t="s">
        <v>1035</v>
      </c>
      <c r="C1739" s="147" t="e">
        <f>CONCATENATE("EXP",Commodities!C55,"B",RIGHT(#REF!,2))</f>
        <v>#REF!</v>
      </c>
      <c r="D1739" s="147" t="e">
        <f>CONCATENATE("Export Barge/Vessel Trade of ",Commodities!C55, " from ",$B$1732," to R",RIGHT(C1739))</f>
        <v>#REF!</v>
      </c>
      <c r="E1739" s="163" t="s">
        <v>196</v>
      </c>
      <c r="F1739" s="163" t="s">
        <v>318</v>
      </c>
    </row>
    <row r="1740" spans="2:6">
      <c r="B1740" s="147" t="s">
        <v>1035</v>
      </c>
      <c r="C1740" s="147" t="e">
        <f>CONCATENATE("EXP",Commodities!C56,"B",RIGHT(#REF!,2))</f>
        <v>#REF!</v>
      </c>
      <c r="D1740" s="147" t="e">
        <f>CONCATENATE("Export Barge/Vessel Trade of ",Commodities!C56, " from ",$B$1732," to R",RIGHT(C1740))</f>
        <v>#REF!</v>
      </c>
      <c r="E1740" s="163" t="s">
        <v>196</v>
      </c>
      <c r="F1740" s="163" t="s">
        <v>318</v>
      </c>
    </row>
    <row r="1741" spans="2:6">
      <c r="B1741" s="147" t="s">
        <v>1035</v>
      </c>
      <c r="C1741" s="147" t="e">
        <f>CONCATENATE("EXP",Commodities!C57,"B",RIGHT(#REF!,2))</f>
        <v>#REF!</v>
      </c>
      <c r="D1741" s="147" t="e">
        <f>CONCATENATE("Export Barge/Vessel Trade of ",Commodities!C57, " from ",$B$1732," to R",RIGHT(C1741))</f>
        <v>#REF!</v>
      </c>
      <c r="E1741" s="163" t="s">
        <v>196</v>
      </c>
      <c r="F1741" s="163" t="s">
        <v>318</v>
      </c>
    </row>
    <row r="1742" spans="2:6">
      <c r="B1742" s="147" t="s">
        <v>1035</v>
      </c>
      <c r="C1742" s="147" t="e">
        <f>CONCATENATE("EXP",Commodities!C58,"B",RIGHT(#REF!,2))</f>
        <v>#REF!</v>
      </c>
      <c r="D1742" s="147" t="e">
        <f>CONCATENATE("Export Barge/Vessel Trade of ",Commodities!C58, " from ",$B$1732," to R",RIGHT(C1742))</f>
        <v>#REF!</v>
      </c>
      <c r="E1742" s="163" t="s">
        <v>196</v>
      </c>
      <c r="F1742" s="163" t="s">
        <v>318</v>
      </c>
    </row>
    <row r="1743" spans="2:6">
      <c r="B1743" s="147" t="s">
        <v>1035</v>
      </c>
      <c r="C1743" s="147" t="e">
        <f>CONCATENATE("EXP",Commodities!C59,"B",RIGHT(#REF!,2))</f>
        <v>#REF!</v>
      </c>
      <c r="D1743" s="147" t="e">
        <f>CONCATENATE("Export Barge/Vessel Trade of ",Commodities!C59, " from ",$B$1732," to R",RIGHT(C1743))</f>
        <v>#REF!</v>
      </c>
      <c r="E1743" s="163" t="s">
        <v>196</v>
      </c>
      <c r="F1743" s="163" t="s">
        <v>318</v>
      </c>
    </row>
    <row r="1744" spans="2:6">
      <c r="B1744" s="147" t="s">
        <v>1035</v>
      </c>
      <c r="C1744" s="147" t="e">
        <f>CONCATENATE("EXP",Commodities!C60,"B",RIGHT(#REF!,2))</f>
        <v>#REF!</v>
      </c>
      <c r="D1744" s="147" t="e">
        <f>CONCATENATE("Export Barge/Vessel Trade of ",Commodities!C60, " from ",$B$1732," to R",RIGHT(C1744))</f>
        <v>#REF!</v>
      </c>
      <c r="E1744" s="163" t="s">
        <v>196</v>
      </c>
      <c r="F1744" s="163" t="s">
        <v>318</v>
      </c>
    </row>
    <row r="1745" spans="2:6">
      <c r="B1745" s="147" t="s">
        <v>1035</v>
      </c>
      <c r="C1745" s="147" t="e">
        <f>CONCATENATE("EXP",Commodities!C48,"B",RIGHT(#REF!,2))</f>
        <v>#REF!</v>
      </c>
      <c r="D1745" s="147" t="e">
        <f>CONCATENATE("Export Barge/Vessel Trade of ",Commodities!C48, " from ",$B$1745," to R",RIGHT(C1745))</f>
        <v>#REF!</v>
      </c>
      <c r="E1745" s="163" t="s">
        <v>196</v>
      </c>
      <c r="F1745" s="163" t="s">
        <v>318</v>
      </c>
    </row>
    <row r="1746" spans="2:6">
      <c r="B1746" s="147" t="s">
        <v>1035</v>
      </c>
      <c r="C1746" s="147" t="e">
        <f>CONCATENATE("EXP",Commodities!C49,"B",RIGHT(#REF!,2))</f>
        <v>#REF!</v>
      </c>
      <c r="D1746" s="147" t="e">
        <f>CONCATENATE("Export Barge/Vessel Trade of ",Commodities!C49, " from ",$B$1745," to R",RIGHT(C1746))</f>
        <v>#REF!</v>
      </c>
      <c r="E1746" s="163" t="s">
        <v>196</v>
      </c>
      <c r="F1746" s="163" t="s">
        <v>318</v>
      </c>
    </row>
    <row r="1747" spans="2:6">
      <c r="B1747" s="147" t="s">
        <v>1035</v>
      </c>
      <c r="C1747" s="147" t="e">
        <f>CONCATENATE("EXP",Commodities!C50,"B",RIGHT(#REF!,2))</f>
        <v>#REF!</v>
      </c>
      <c r="D1747" s="147" t="e">
        <f>CONCATENATE("Export Barge/Vessel Trade of ",Commodities!C50, " from ",$B$1745," to R",RIGHT(C1747))</f>
        <v>#REF!</v>
      </c>
      <c r="E1747" s="163" t="s">
        <v>196</v>
      </c>
      <c r="F1747" s="163" t="s">
        <v>318</v>
      </c>
    </row>
    <row r="1748" spans="2:6">
      <c r="B1748" s="147" t="s">
        <v>1035</v>
      </c>
      <c r="C1748" s="147" t="e">
        <f>CONCATENATE("EXP",Commodities!C51,"B",RIGHT(#REF!,2))</f>
        <v>#REF!</v>
      </c>
      <c r="D1748" s="147" t="e">
        <f>CONCATENATE("Export Barge/Vessel Trade of ",Commodities!C51, " from ",$B$1745," to R",RIGHT(C1748))</f>
        <v>#REF!</v>
      </c>
      <c r="E1748" s="163" t="s">
        <v>196</v>
      </c>
      <c r="F1748" s="163" t="s">
        <v>318</v>
      </c>
    </row>
    <row r="1749" spans="2:6">
      <c r="B1749" s="147" t="s">
        <v>1035</v>
      </c>
      <c r="C1749" s="147" t="e">
        <f>CONCATENATE("EXP",Commodities!C52,"B",RIGHT(#REF!,2))</f>
        <v>#REF!</v>
      </c>
      <c r="D1749" s="147" t="e">
        <f>CONCATENATE("Export Barge/Vessel Trade of ",Commodities!C52, " from ",$B$1745," to R",RIGHT(C1749))</f>
        <v>#REF!</v>
      </c>
      <c r="E1749" s="163" t="s">
        <v>196</v>
      </c>
      <c r="F1749" s="163" t="s">
        <v>318</v>
      </c>
    </row>
    <row r="1750" spans="2:6">
      <c r="B1750" s="147" t="s">
        <v>1035</v>
      </c>
      <c r="C1750" s="147" t="e">
        <f>CONCATENATE("EXP",Commodities!C53,"B",RIGHT(#REF!,2))</f>
        <v>#REF!</v>
      </c>
      <c r="D1750" s="147" t="e">
        <f>CONCATENATE("Export Barge/Vessel Trade of ",Commodities!C53, " from ",$B$1745," to R",RIGHT(C1750))</f>
        <v>#REF!</v>
      </c>
      <c r="E1750" s="163" t="s">
        <v>196</v>
      </c>
      <c r="F1750" s="163" t="s">
        <v>318</v>
      </c>
    </row>
    <row r="1751" spans="2:6">
      <c r="B1751" s="147" t="s">
        <v>1035</v>
      </c>
      <c r="C1751" s="147" t="e">
        <f>CONCATENATE("EXP",Commodities!C54,"B",RIGHT(#REF!,2))</f>
        <v>#REF!</v>
      </c>
      <c r="D1751" s="147" t="e">
        <f>CONCATENATE("Export Barge/Vessel Trade of ",Commodities!C54, " from ",$B$1745," to R",RIGHT(C1751))</f>
        <v>#REF!</v>
      </c>
      <c r="E1751" s="163" t="s">
        <v>196</v>
      </c>
      <c r="F1751" s="163" t="s">
        <v>318</v>
      </c>
    </row>
    <row r="1752" spans="2:6">
      <c r="B1752" s="147" t="s">
        <v>1035</v>
      </c>
      <c r="C1752" s="147" t="e">
        <f>CONCATENATE("EXP",Commodities!C55,"B",RIGHT(#REF!,2))</f>
        <v>#REF!</v>
      </c>
      <c r="D1752" s="147" t="e">
        <f>CONCATENATE("Export Barge/Vessel Trade of ",Commodities!C55, " from ",$B$1745," to R",RIGHT(C1752))</f>
        <v>#REF!</v>
      </c>
      <c r="E1752" s="163" t="s">
        <v>196</v>
      </c>
      <c r="F1752" s="163" t="s">
        <v>318</v>
      </c>
    </row>
    <row r="1753" spans="2:6">
      <c r="B1753" s="147" t="s">
        <v>1035</v>
      </c>
      <c r="C1753" s="147" t="e">
        <f>CONCATENATE("EXP",Commodities!C56,"B",RIGHT(#REF!,2))</f>
        <v>#REF!</v>
      </c>
      <c r="D1753" s="147" t="e">
        <f>CONCATENATE("Export Barge/Vessel Trade of ",Commodities!C56, " from ",$B$1745," to R",RIGHT(C1753))</f>
        <v>#REF!</v>
      </c>
      <c r="E1753" s="163" t="s">
        <v>196</v>
      </c>
      <c r="F1753" s="163" t="s">
        <v>318</v>
      </c>
    </row>
    <row r="1754" spans="2:6">
      <c r="B1754" s="147" t="s">
        <v>1035</v>
      </c>
      <c r="C1754" s="147" t="e">
        <f>CONCATENATE("EXP",Commodities!C57,"B",RIGHT(#REF!,2))</f>
        <v>#REF!</v>
      </c>
      <c r="D1754" s="147" t="e">
        <f>CONCATENATE("Export Barge/Vessel Trade of ",Commodities!C57, " from ",$B$1745," to R",RIGHT(C1754))</f>
        <v>#REF!</v>
      </c>
      <c r="E1754" s="163" t="s">
        <v>196</v>
      </c>
      <c r="F1754" s="163" t="s">
        <v>318</v>
      </c>
    </row>
    <row r="1755" spans="2:6">
      <c r="B1755" s="147" t="s">
        <v>1035</v>
      </c>
      <c r="C1755" s="147" t="e">
        <f>CONCATENATE("EXP",Commodities!C58,"B",RIGHT(#REF!,2))</f>
        <v>#REF!</v>
      </c>
      <c r="D1755" s="147" t="e">
        <f>CONCATENATE("Export Barge/Vessel Trade of ",Commodities!C58, " from ",$B$1745," to R",RIGHT(C1755))</f>
        <v>#REF!</v>
      </c>
      <c r="E1755" s="163" t="s">
        <v>196</v>
      </c>
      <c r="F1755" s="163" t="s">
        <v>318</v>
      </c>
    </row>
    <row r="1756" spans="2:6">
      <c r="B1756" s="147" t="s">
        <v>1035</v>
      </c>
      <c r="C1756" s="147" t="e">
        <f>CONCATENATE("EXP",Commodities!C59,"B",RIGHT(#REF!,2))</f>
        <v>#REF!</v>
      </c>
      <c r="D1756" s="147" t="e">
        <f>CONCATENATE("Export Barge/Vessel Trade of ",Commodities!C59, " from ",$B$1745," to R",RIGHT(C1756))</f>
        <v>#REF!</v>
      </c>
      <c r="E1756" s="163" t="s">
        <v>196</v>
      </c>
      <c r="F1756" s="163" t="s">
        <v>318</v>
      </c>
    </row>
    <row r="1757" spans="2:6">
      <c r="B1757" s="147" t="s">
        <v>1035</v>
      </c>
      <c r="C1757" s="147" t="e">
        <f>CONCATENATE("EXP",Commodities!C60,"B",RIGHT(#REF!,2))</f>
        <v>#REF!</v>
      </c>
      <c r="D1757" s="147" t="e">
        <f>CONCATENATE("Export Barge/Vessel Trade of ",Commodities!C60, " from ",$B$1745," to R",RIGHT(C1757))</f>
        <v>#REF!</v>
      </c>
      <c r="E1757" s="163" t="s">
        <v>196</v>
      </c>
      <c r="F1757" s="163" t="s">
        <v>318</v>
      </c>
    </row>
    <row r="1758" spans="2:6">
      <c r="B1758" s="147" t="s">
        <v>1035</v>
      </c>
      <c r="C1758" s="147" t="e">
        <f>CONCATENATE("EXP",Commodities!C48,"B",RIGHT(#REF!,2))</f>
        <v>#REF!</v>
      </c>
      <c r="D1758" s="147" t="e">
        <f>CONCATENATE("Export Barge/Vessel Trade of ",Commodities!C48, " from ",$B$1758," to R",RIGHT(C1758))</f>
        <v>#REF!</v>
      </c>
      <c r="E1758" s="163" t="s">
        <v>196</v>
      </c>
      <c r="F1758" s="163" t="s">
        <v>318</v>
      </c>
    </row>
    <row r="1759" spans="2:6">
      <c r="B1759" s="147" t="s">
        <v>1035</v>
      </c>
      <c r="C1759" s="147" t="e">
        <f>CONCATENATE("EXP",Commodities!C49,"B",RIGHT(#REF!,2))</f>
        <v>#REF!</v>
      </c>
      <c r="D1759" s="147" t="e">
        <f>CONCATENATE("Export Barge/Vessel Trade of ",Commodities!C49, " from ",$B$1758," to R",RIGHT(C1759))</f>
        <v>#REF!</v>
      </c>
      <c r="E1759" s="163" t="s">
        <v>196</v>
      </c>
      <c r="F1759" s="163" t="s">
        <v>318</v>
      </c>
    </row>
    <row r="1760" spans="2:6">
      <c r="B1760" s="147" t="s">
        <v>1035</v>
      </c>
      <c r="C1760" s="147" t="e">
        <f>CONCATENATE("EXP",Commodities!C50,"B",RIGHT(#REF!,2))</f>
        <v>#REF!</v>
      </c>
      <c r="D1760" s="147" t="e">
        <f>CONCATENATE("Export Barge/Vessel Trade of ",Commodities!C50, " from ",$B$1758," to R",RIGHT(C1760))</f>
        <v>#REF!</v>
      </c>
      <c r="E1760" s="163" t="s">
        <v>196</v>
      </c>
      <c r="F1760" s="163" t="s">
        <v>318</v>
      </c>
    </row>
    <row r="1761" spans="2:6">
      <c r="B1761" s="147" t="s">
        <v>1035</v>
      </c>
      <c r="C1761" s="147" t="e">
        <f>CONCATENATE("EXP",Commodities!C51,"B",RIGHT(#REF!,2))</f>
        <v>#REF!</v>
      </c>
      <c r="D1761" s="147" t="e">
        <f>CONCATENATE("Export Barge/Vessel Trade of ",Commodities!C51, " from ",$B$1758," to R",RIGHT(C1761))</f>
        <v>#REF!</v>
      </c>
      <c r="E1761" s="163" t="s">
        <v>196</v>
      </c>
      <c r="F1761" s="163" t="s">
        <v>318</v>
      </c>
    </row>
    <row r="1762" spans="2:6">
      <c r="B1762" s="147" t="s">
        <v>1035</v>
      </c>
      <c r="C1762" s="147" t="e">
        <f>CONCATENATE("EXP",Commodities!C52,"B",RIGHT(#REF!,2))</f>
        <v>#REF!</v>
      </c>
      <c r="D1762" s="147" t="e">
        <f>CONCATENATE("Export Barge/Vessel Trade of ",Commodities!C52, " from ",$B$1758," to R",RIGHT(C1762))</f>
        <v>#REF!</v>
      </c>
      <c r="E1762" s="163" t="s">
        <v>196</v>
      </c>
      <c r="F1762" s="163" t="s">
        <v>318</v>
      </c>
    </row>
    <row r="1763" spans="2:6">
      <c r="B1763" s="147" t="s">
        <v>1035</v>
      </c>
      <c r="C1763" s="147" t="e">
        <f>CONCATENATE("EXP",Commodities!C53,"B",RIGHT(#REF!,2))</f>
        <v>#REF!</v>
      </c>
      <c r="D1763" s="147" t="e">
        <f>CONCATENATE("Export Barge/Vessel Trade of ",Commodities!C53, " from ",$B$1758," to R",RIGHT(C1763))</f>
        <v>#REF!</v>
      </c>
      <c r="E1763" s="163" t="s">
        <v>196</v>
      </c>
      <c r="F1763" s="163" t="s">
        <v>318</v>
      </c>
    </row>
    <row r="1764" spans="2:6">
      <c r="B1764" s="147" t="s">
        <v>1035</v>
      </c>
      <c r="C1764" s="147" t="e">
        <f>CONCATENATE("EXP",Commodities!C54,"B",RIGHT(#REF!,2))</f>
        <v>#REF!</v>
      </c>
      <c r="D1764" s="147" t="e">
        <f>CONCATENATE("Export Barge/Vessel Trade of ",Commodities!C54, " from ",$B$1758," to R",RIGHT(C1764))</f>
        <v>#REF!</v>
      </c>
      <c r="E1764" s="163" t="s">
        <v>196</v>
      </c>
      <c r="F1764" s="163" t="s">
        <v>318</v>
      </c>
    </row>
    <row r="1765" spans="2:6">
      <c r="B1765" s="147" t="s">
        <v>1035</v>
      </c>
      <c r="C1765" s="147" t="e">
        <f>CONCATENATE("EXP",Commodities!C55,"B",RIGHT(#REF!,2))</f>
        <v>#REF!</v>
      </c>
      <c r="D1765" s="147" t="e">
        <f>CONCATENATE("Export Barge/Vessel Trade of ",Commodities!C55, " from ",$B$1758," to R",RIGHT(C1765))</f>
        <v>#REF!</v>
      </c>
      <c r="E1765" s="163" t="s">
        <v>196</v>
      </c>
      <c r="F1765" s="163" t="s">
        <v>318</v>
      </c>
    </row>
    <row r="1766" spans="2:6">
      <c r="B1766" s="147" t="s">
        <v>1035</v>
      </c>
      <c r="C1766" s="147" t="e">
        <f>CONCATENATE("EXP",Commodities!C56,"B",RIGHT(#REF!,2))</f>
        <v>#REF!</v>
      </c>
      <c r="D1766" s="147" t="e">
        <f>CONCATENATE("Export Barge/Vessel Trade of ",Commodities!C56, " from ",$B$1758," to R",RIGHT(C1766))</f>
        <v>#REF!</v>
      </c>
      <c r="E1766" s="163" t="s">
        <v>196</v>
      </c>
      <c r="F1766" s="163" t="s">
        <v>318</v>
      </c>
    </row>
    <row r="1767" spans="2:6">
      <c r="B1767" s="147" t="s">
        <v>1035</v>
      </c>
      <c r="C1767" s="147" t="e">
        <f>CONCATENATE("EXP",Commodities!C57,"B",RIGHT(#REF!,2))</f>
        <v>#REF!</v>
      </c>
      <c r="D1767" s="147" t="e">
        <f>CONCATENATE("Export Barge/Vessel Trade of ",Commodities!C57, " from ",$B$1758," to R",RIGHT(C1767))</f>
        <v>#REF!</v>
      </c>
      <c r="E1767" s="163" t="s">
        <v>196</v>
      </c>
      <c r="F1767" s="163" t="s">
        <v>318</v>
      </c>
    </row>
    <row r="1768" spans="2:6">
      <c r="B1768" s="147" t="s">
        <v>1035</v>
      </c>
      <c r="C1768" s="147" t="e">
        <f>CONCATENATE("EXP",Commodities!C58,"B",RIGHT(#REF!,2))</f>
        <v>#REF!</v>
      </c>
      <c r="D1768" s="147" t="e">
        <f>CONCATENATE("Export Barge/Vessel Trade of ",Commodities!C58, " from ",$B$1758," to R",RIGHT(C1768))</f>
        <v>#REF!</v>
      </c>
      <c r="E1768" s="163" t="s">
        <v>196</v>
      </c>
      <c r="F1768" s="163" t="s">
        <v>318</v>
      </c>
    </row>
    <row r="1769" spans="2:6">
      <c r="B1769" s="147" t="s">
        <v>1035</v>
      </c>
      <c r="C1769" s="147" t="e">
        <f>CONCATENATE("EXP",Commodities!C59,"B",RIGHT(#REF!,2))</f>
        <v>#REF!</v>
      </c>
      <c r="D1769" s="147" t="e">
        <f>CONCATENATE("Export Barge/Vessel Trade of ",Commodities!C59, " from ",$B$1758," to R",RIGHT(C1769))</f>
        <v>#REF!</v>
      </c>
      <c r="E1769" s="163" t="s">
        <v>196</v>
      </c>
      <c r="F1769" s="163" t="s">
        <v>318</v>
      </c>
    </row>
    <row r="1770" spans="2:6">
      <c r="B1770" s="147" t="s">
        <v>1035</v>
      </c>
      <c r="C1770" s="147" t="e">
        <f>CONCATENATE("EXP",Commodities!C60,"B",RIGHT(#REF!,2))</f>
        <v>#REF!</v>
      </c>
      <c r="D1770" s="147" t="e">
        <f>CONCATENATE("Export Barge/Vessel Trade of ",Commodities!C60, " from ",$B$1758," to R",RIGHT(C1770))</f>
        <v>#REF!</v>
      </c>
      <c r="E1770" s="163" t="s">
        <v>196</v>
      </c>
      <c r="F1770" s="163" t="s">
        <v>318</v>
      </c>
    </row>
    <row r="1771" spans="2:6">
      <c r="B1771" s="147" t="s">
        <v>1035</v>
      </c>
      <c r="C1771" s="147" t="e">
        <f>CONCATENATE("EXP",Commodities!C48,"B",RIGHT(#REF!,2))</f>
        <v>#REF!</v>
      </c>
      <c r="D1771" s="147" t="e">
        <f>CONCATENATE("Export Barge/Vessel Trade of ",Commodities!C48, " from ",$B$1771," to R",RIGHT(C1771))</f>
        <v>#REF!</v>
      </c>
      <c r="E1771" s="163" t="s">
        <v>196</v>
      </c>
      <c r="F1771" s="163" t="s">
        <v>318</v>
      </c>
    </row>
    <row r="1772" spans="2:6">
      <c r="B1772" s="147" t="s">
        <v>1035</v>
      </c>
      <c r="C1772" s="147" t="e">
        <f>CONCATENATE("EXP",Commodities!C49,"B",RIGHT(#REF!,2))</f>
        <v>#REF!</v>
      </c>
      <c r="D1772" s="147" t="e">
        <f>CONCATENATE("Export Barge/Vessel Trade of ",Commodities!C49, " from ",$B$1771," to R",RIGHT(C1772))</f>
        <v>#REF!</v>
      </c>
      <c r="E1772" s="163" t="s">
        <v>196</v>
      </c>
      <c r="F1772" s="163" t="s">
        <v>318</v>
      </c>
    </row>
    <row r="1773" spans="2:6">
      <c r="B1773" s="147" t="s">
        <v>1035</v>
      </c>
      <c r="C1773" s="147" t="e">
        <f>CONCATENATE("EXP",Commodities!C50,"B",RIGHT(#REF!,2))</f>
        <v>#REF!</v>
      </c>
      <c r="D1773" s="147" t="e">
        <f>CONCATENATE("Export Barge/Vessel Trade of ",Commodities!C50, " from ",$B$1771," to R",RIGHT(C1773))</f>
        <v>#REF!</v>
      </c>
      <c r="E1773" s="163" t="s">
        <v>196</v>
      </c>
      <c r="F1773" s="163" t="s">
        <v>318</v>
      </c>
    </row>
    <row r="1774" spans="2:6">
      <c r="B1774" s="147" t="s">
        <v>1035</v>
      </c>
      <c r="C1774" s="147" t="e">
        <f>CONCATENATE("EXP",Commodities!C51,"B",RIGHT(#REF!,2))</f>
        <v>#REF!</v>
      </c>
      <c r="D1774" s="147" t="e">
        <f>CONCATENATE("Export Barge/Vessel Trade of ",Commodities!C51, " from ",$B$1771," to R",RIGHT(C1774))</f>
        <v>#REF!</v>
      </c>
      <c r="E1774" s="163" t="s">
        <v>196</v>
      </c>
      <c r="F1774" s="163" t="s">
        <v>318</v>
      </c>
    </row>
    <row r="1775" spans="2:6">
      <c r="B1775" s="147" t="s">
        <v>1035</v>
      </c>
      <c r="C1775" s="147" t="e">
        <f>CONCATENATE("EXP",Commodities!C52,"B",RIGHT(#REF!,2))</f>
        <v>#REF!</v>
      </c>
      <c r="D1775" s="147" t="e">
        <f>CONCATENATE("Export Barge/Vessel Trade of ",Commodities!C52, " from ",$B$1771," to R",RIGHT(C1775))</f>
        <v>#REF!</v>
      </c>
      <c r="E1775" s="163" t="s">
        <v>196</v>
      </c>
      <c r="F1775" s="163" t="s">
        <v>318</v>
      </c>
    </row>
    <row r="1776" spans="2:6">
      <c r="B1776" s="147" t="s">
        <v>1035</v>
      </c>
      <c r="C1776" s="147" t="e">
        <f>CONCATENATE("EXP",Commodities!C53,"B",RIGHT(#REF!,2))</f>
        <v>#REF!</v>
      </c>
      <c r="D1776" s="147" t="e">
        <f>CONCATENATE("Export Barge/Vessel Trade of ",Commodities!C53, " from ",$B$1771," to R",RIGHT(C1776))</f>
        <v>#REF!</v>
      </c>
      <c r="E1776" s="163" t="s">
        <v>196</v>
      </c>
      <c r="F1776" s="163" t="s">
        <v>318</v>
      </c>
    </row>
    <row r="1777" spans="2:6">
      <c r="B1777" s="147" t="s">
        <v>1035</v>
      </c>
      <c r="C1777" s="147" t="e">
        <f>CONCATENATE("EXP",Commodities!C54,"B",RIGHT(#REF!,2))</f>
        <v>#REF!</v>
      </c>
      <c r="D1777" s="147" t="e">
        <f>CONCATENATE("Export Barge/Vessel Trade of ",Commodities!C54, " from ",$B$1771," to R",RIGHT(C1777))</f>
        <v>#REF!</v>
      </c>
      <c r="E1777" s="163" t="s">
        <v>196</v>
      </c>
      <c r="F1777" s="163" t="s">
        <v>318</v>
      </c>
    </row>
    <row r="1778" spans="2:6">
      <c r="B1778" s="147" t="s">
        <v>1035</v>
      </c>
      <c r="C1778" s="147" t="e">
        <f>CONCATENATE("EXP",Commodities!C55,"B",RIGHT(#REF!,2))</f>
        <v>#REF!</v>
      </c>
      <c r="D1778" s="147" t="e">
        <f>CONCATENATE("Export Barge/Vessel Trade of ",Commodities!C55, " from ",$B$1771," to R",RIGHT(C1778))</f>
        <v>#REF!</v>
      </c>
      <c r="E1778" s="163" t="s">
        <v>196</v>
      </c>
      <c r="F1778" s="163" t="s">
        <v>318</v>
      </c>
    </row>
    <row r="1779" spans="2:6">
      <c r="B1779" s="147" t="s">
        <v>1035</v>
      </c>
      <c r="C1779" s="147" t="e">
        <f>CONCATENATE("EXP",Commodities!C56,"B",RIGHT(#REF!,2))</f>
        <v>#REF!</v>
      </c>
      <c r="D1779" s="147" t="e">
        <f>CONCATENATE("Export Barge/Vessel Trade of ",Commodities!C56, " from ",$B$1771," to R",RIGHT(C1779))</f>
        <v>#REF!</v>
      </c>
      <c r="E1779" s="163" t="s">
        <v>196</v>
      </c>
      <c r="F1779" s="163" t="s">
        <v>318</v>
      </c>
    </row>
    <row r="1780" spans="2:6">
      <c r="B1780" s="147" t="s">
        <v>1035</v>
      </c>
      <c r="C1780" s="147" t="e">
        <f>CONCATENATE("EXP",Commodities!C57,"B",RIGHT(#REF!,2))</f>
        <v>#REF!</v>
      </c>
      <c r="D1780" s="147" t="e">
        <f>CONCATENATE("Export Barge/Vessel Trade of ",Commodities!C57, " from ",$B$1771," to R",RIGHT(C1780))</f>
        <v>#REF!</v>
      </c>
      <c r="E1780" s="163" t="s">
        <v>196</v>
      </c>
      <c r="F1780" s="163" t="s">
        <v>318</v>
      </c>
    </row>
    <row r="1781" spans="2:6">
      <c r="B1781" s="147" t="s">
        <v>1035</v>
      </c>
      <c r="C1781" s="147" t="e">
        <f>CONCATENATE("EXP",Commodities!C58,"B",RIGHT(#REF!,2))</f>
        <v>#REF!</v>
      </c>
      <c r="D1781" s="147" t="e">
        <f>CONCATENATE("Export Barge/Vessel Trade of ",Commodities!C58, " from ",$B$1771," to R",RIGHT(C1781))</f>
        <v>#REF!</v>
      </c>
      <c r="E1781" s="163" t="s">
        <v>196</v>
      </c>
      <c r="F1781" s="163" t="s">
        <v>318</v>
      </c>
    </row>
    <row r="1782" spans="2:6">
      <c r="B1782" s="147" t="s">
        <v>1035</v>
      </c>
      <c r="C1782" s="147" t="e">
        <f>CONCATENATE("EXP",Commodities!C59,"B",RIGHT(#REF!,2))</f>
        <v>#REF!</v>
      </c>
      <c r="D1782" s="147" t="e">
        <f>CONCATENATE("Export Barge/Vessel Trade of ",Commodities!C59, " from ",$B$1771," to R",RIGHT(C1782))</f>
        <v>#REF!</v>
      </c>
      <c r="E1782" s="163" t="s">
        <v>196</v>
      </c>
      <c r="F1782" s="163" t="s">
        <v>318</v>
      </c>
    </row>
    <row r="1783" spans="2:6">
      <c r="B1783" s="147" t="s">
        <v>1035</v>
      </c>
      <c r="C1783" s="147" t="e">
        <f>CONCATENATE("EXP",Commodities!C60,"B",RIGHT(#REF!,2))</f>
        <v>#REF!</v>
      </c>
      <c r="D1783" s="147" t="e">
        <f>CONCATENATE("Export Barge/Vessel Trade of ",Commodities!C60, " from ",$B$1771," to R",RIGHT(C1783))</f>
        <v>#REF!</v>
      </c>
      <c r="E1783" s="163" t="s">
        <v>196</v>
      </c>
      <c r="F1783" s="163" t="s">
        <v>318</v>
      </c>
    </row>
    <row r="1784" spans="2:6">
      <c r="B1784" s="147" t="s">
        <v>1035</v>
      </c>
      <c r="C1784" s="147" t="e">
        <f>CONCATENATE("EXP",Commodities!C48,"B",RIGHT(#REF!,2))</f>
        <v>#REF!</v>
      </c>
      <c r="D1784" s="147" t="e">
        <f>CONCATENATE("Export Barge/Vessel Trade of ",Commodities!C48, " from ",$B$1784," to R",RIGHT(C1784))</f>
        <v>#REF!</v>
      </c>
      <c r="E1784" s="163" t="s">
        <v>196</v>
      </c>
      <c r="F1784" s="163" t="s">
        <v>318</v>
      </c>
    </row>
    <row r="1785" spans="2:6">
      <c r="B1785" s="147" t="s">
        <v>1035</v>
      </c>
      <c r="C1785" s="147" t="e">
        <f>CONCATENATE("EXP",Commodities!C49,"B",RIGHT(#REF!,2))</f>
        <v>#REF!</v>
      </c>
      <c r="D1785" s="147" t="e">
        <f>CONCATENATE("Export Barge/Vessel Trade of ",Commodities!C49, " from ",$B$1784," to R",RIGHT(C1785))</f>
        <v>#REF!</v>
      </c>
      <c r="E1785" s="163" t="s">
        <v>196</v>
      </c>
      <c r="F1785" s="163" t="s">
        <v>318</v>
      </c>
    </row>
    <row r="1786" spans="2:6">
      <c r="B1786" s="147" t="s">
        <v>1035</v>
      </c>
      <c r="C1786" s="147" t="e">
        <f>CONCATENATE("EXP",Commodities!C50,"B",RIGHT(#REF!,2))</f>
        <v>#REF!</v>
      </c>
      <c r="D1786" s="147" t="e">
        <f>CONCATENATE("Export Barge/Vessel Trade of ",Commodities!C50, " from ",$B$1784," to R",RIGHT(C1786))</f>
        <v>#REF!</v>
      </c>
      <c r="E1786" s="163" t="s">
        <v>196</v>
      </c>
      <c r="F1786" s="163" t="s">
        <v>318</v>
      </c>
    </row>
    <row r="1787" spans="2:6">
      <c r="B1787" s="147" t="s">
        <v>1035</v>
      </c>
      <c r="C1787" s="147" t="e">
        <f>CONCATENATE("EXP",Commodities!C51,"B",RIGHT(#REF!,2))</f>
        <v>#REF!</v>
      </c>
      <c r="D1787" s="147" t="e">
        <f>CONCATENATE("Export Barge/Vessel Trade of ",Commodities!C51, " from ",$B$1784," to R",RIGHT(C1787))</f>
        <v>#REF!</v>
      </c>
      <c r="E1787" s="163" t="s">
        <v>196</v>
      </c>
      <c r="F1787" s="163" t="s">
        <v>318</v>
      </c>
    </row>
    <row r="1788" spans="2:6">
      <c r="B1788" s="147" t="s">
        <v>1035</v>
      </c>
      <c r="C1788" s="147" t="e">
        <f>CONCATENATE("EXP",Commodities!C52,"B",RIGHT(#REF!,2))</f>
        <v>#REF!</v>
      </c>
      <c r="D1788" s="147" t="e">
        <f>CONCATENATE("Export Barge/Vessel Trade of ",Commodities!C52, " from ",$B$1784," to R",RIGHT(C1788))</f>
        <v>#REF!</v>
      </c>
      <c r="E1788" s="163" t="s">
        <v>196</v>
      </c>
      <c r="F1788" s="163" t="s">
        <v>318</v>
      </c>
    </row>
    <row r="1789" spans="2:6">
      <c r="B1789" s="147" t="s">
        <v>1035</v>
      </c>
      <c r="C1789" s="147" t="e">
        <f>CONCATENATE("EXP",Commodities!C53,"B",RIGHT(#REF!,2))</f>
        <v>#REF!</v>
      </c>
      <c r="D1789" s="147" t="e">
        <f>CONCATENATE("Export Barge/Vessel Trade of ",Commodities!C53, " from ",$B$1784," to R",RIGHT(C1789))</f>
        <v>#REF!</v>
      </c>
      <c r="E1789" s="163" t="s">
        <v>196</v>
      </c>
      <c r="F1789" s="163" t="s">
        <v>318</v>
      </c>
    </row>
    <row r="1790" spans="2:6">
      <c r="B1790" s="147" t="s">
        <v>1035</v>
      </c>
      <c r="C1790" s="147" t="e">
        <f>CONCATENATE("EXP",Commodities!C54,"B",RIGHT(#REF!,2))</f>
        <v>#REF!</v>
      </c>
      <c r="D1790" s="147" t="e">
        <f>CONCATENATE("Export Barge/Vessel Trade of ",Commodities!C54, " from ",$B$1784," to R",RIGHT(C1790))</f>
        <v>#REF!</v>
      </c>
      <c r="E1790" s="163" t="s">
        <v>196</v>
      </c>
      <c r="F1790" s="163" t="s">
        <v>318</v>
      </c>
    </row>
    <row r="1791" spans="2:6">
      <c r="B1791" s="147" t="s">
        <v>1035</v>
      </c>
      <c r="C1791" s="147" t="e">
        <f>CONCATENATE("EXP",Commodities!C55,"B",RIGHT(#REF!,2))</f>
        <v>#REF!</v>
      </c>
      <c r="D1791" s="147" t="e">
        <f>CONCATENATE("Export Barge/Vessel Trade of ",Commodities!C55, " from ",$B$1784," to R",RIGHT(C1791))</f>
        <v>#REF!</v>
      </c>
      <c r="E1791" s="163" t="s">
        <v>196</v>
      </c>
      <c r="F1791" s="163" t="s">
        <v>318</v>
      </c>
    </row>
    <row r="1792" spans="2:6">
      <c r="B1792" s="147" t="s">
        <v>1035</v>
      </c>
      <c r="C1792" s="147" t="e">
        <f>CONCATENATE("EXP",Commodities!C56,"B",RIGHT(#REF!,2))</f>
        <v>#REF!</v>
      </c>
      <c r="D1792" s="147" t="e">
        <f>CONCATENATE("Export Barge/Vessel Trade of ",Commodities!C56, " from ",$B$1784," to R",RIGHT(C1792))</f>
        <v>#REF!</v>
      </c>
      <c r="E1792" s="163" t="s">
        <v>196</v>
      </c>
      <c r="F1792" s="163" t="s">
        <v>318</v>
      </c>
    </row>
    <row r="1793" spans="2:6">
      <c r="B1793" s="147" t="s">
        <v>1035</v>
      </c>
      <c r="C1793" s="147" t="e">
        <f>CONCATENATE("EXP",Commodities!C57,"B",RIGHT(#REF!,2))</f>
        <v>#REF!</v>
      </c>
      <c r="D1793" s="147" t="e">
        <f>CONCATENATE("Export Barge/Vessel Trade of ",Commodities!C57, " from ",$B$1784," to R",RIGHT(C1793))</f>
        <v>#REF!</v>
      </c>
      <c r="E1793" s="163" t="s">
        <v>196</v>
      </c>
      <c r="F1793" s="163" t="s">
        <v>318</v>
      </c>
    </row>
    <row r="1794" spans="2:6">
      <c r="B1794" s="147" t="s">
        <v>1035</v>
      </c>
      <c r="C1794" s="147" t="e">
        <f>CONCATENATE("EXP",Commodities!C58,"B",RIGHT(#REF!,2))</f>
        <v>#REF!</v>
      </c>
      <c r="D1794" s="147" t="e">
        <f>CONCATENATE("Export Barge/Vessel Trade of ",Commodities!C58, " from ",$B$1784," to R",RIGHT(C1794))</f>
        <v>#REF!</v>
      </c>
      <c r="E1794" s="163" t="s">
        <v>196</v>
      </c>
      <c r="F1794" s="163" t="s">
        <v>318</v>
      </c>
    </row>
    <row r="1795" spans="2:6">
      <c r="B1795" s="147" t="s">
        <v>1035</v>
      </c>
      <c r="C1795" s="147" t="e">
        <f>CONCATENATE("EXP",Commodities!C59,"B",RIGHT(#REF!,2))</f>
        <v>#REF!</v>
      </c>
      <c r="D1795" s="147" t="e">
        <f>CONCATENATE("Export Barge/Vessel Trade of ",Commodities!C59, " from ",$B$1784," to R",RIGHT(C1795))</f>
        <v>#REF!</v>
      </c>
      <c r="E1795" s="163" t="s">
        <v>196</v>
      </c>
      <c r="F1795" s="163" t="s">
        <v>318</v>
      </c>
    </row>
    <row r="1796" spans="2:6">
      <c r="B1796" s="147" t="s">
        <v>1035</v>
      </c>
      <c r="C1796" s="147" t="e">
        <f>CONCATENATE("EXP",Commodities!C60,"B",RIGHT(#REF!,2))</f>
        <v>#REF!</v>
      </c>
      <c r="D1796" s="147" t="e">
        <f>CONCATENATE("Export Barge/Vessel Trade of ",Commodities!C60, " from ",$B$1784," to R",RIGHT(C1796))</f>
        <v>#REF!</v>
      </c>
      <c r="E1796" s="163" t="s">
        <v>196</v>
      </c>
      <c r="F1796" s="163" t="s">
        <v>318</v>
      </c>
    </row>
    <row r="1797" spans="2:6">
      <c r="B1797" s="147" t="s">
        <v>1035</v>
      </c>
      <c r="C1797" s="147" t="e">
        <f>CONCATENATE("EXP",Commodities!C48,"B",RIGHT(#REF!,2))</f>
        <v>#REF!</v>
      </c>
      <c r="D1797" s="147" t="e">
        <f>CONCATENATE("Export Barge/Vessel Trade of ",Commodities!C48, " from ",$B$1797," to R",RIGHT(C1797))</f>
        <v>#REF!</v>
      </c>
      <c r="E1797" s="163" t="s">
        <v>196</v>
      </c>
      <c r="F1797" s="163" t="s">
        <v>318</v>
      </c>
    </row>
    <row r="1798" spans="2:6">
      <c r="B1798" s="147" t="s">
        <v>1035</v>
      </c>
      <c r="C1798" s="147" t="e">
        <f>CONCATENATE("EXP",Commodities!C49,"B",RIGHT(#REF!,2))</f>
        <v>#REF!</v>
      </c>
      <c r="D1798" s="147" t="e">
        <f>CONCATENATE("Export Barge/Vessel Trade of ",Commodities!C49, " from ",$B$1797," to R",RIGHT(C1798))</f>
        <v>#REF!</v>
      </c>
      <c r="E1798" s="163" t="s">
        <v>196</v>
      </c>
      <c r="F1798" s="163" t="s">
        <v>318</v>
      </c>
    </row>
    <row r="1799" spans="2:6">
      <c r="B1799" s="147" t="s">
        <v>1035</v>
      </c>
      <c r="C1799" s="147" t="e">
        <f>CONCATENATE("EXP",Commodities!C50,"B",RIGHT(#REF!,2))</f>
        <v>#REF!</v>
      </c>
      <c r="D1799" s="147" t="e">
        <f>CONCATENATE("Export Barge/Vessel Trade of ",Commodities!C50, " from ",$B$1797," to R",RIGHT(C1799))</f>
        <v>#REF!</v>
      </c>
      <c r="E1799" s="163" t="s">
        <v>196</v>
      </c>
      <c r="F1799" s="163" t="s">
        <v>318</v>
      </c>
    </row>
    <row r="1800" spans="2:6">
      <c r="B1800" s="147" t="s">
        <v>1035</v>
      </c>
      <c r="C1800" s="147" t="e">
        <f>CONCATENATE("EXP",Commodities!C51,"B",RIGHT(#REF!,2))</f>
        <v>#REF!</v>
      </c>
      <c r="D1800" s="147" t="e">
        <f>CONCATENATE("Export Barge/Vessel Trade of ",Commodities!C51, " from ",$B$1797," to R",RIGHT(C1800))</f>
        <v>#REF!</v>
      </c>
      <c r="E1800" s="163" t="s">
        <v>196</v>
      </c>
      <c r="F1800" s="163" t="s">
        <v>318</v>
      </c>
    </row>
    <row r="1801" spans="2:6">
      <c r="B1801" s="147" t="s">
        <v>1035</v>
      </c>
      <c r="C1801" s="147" t="e">
        <f>CONCATENATE("EXP",Commodities!C52,"B",RIGHT(#REF!,2))</f>
        <v>#REF!</v>
      </c>
      <c r="D1801" s="147" t="e">
        <f>CONCATENATE("Export Barge/Vessel Trade of ",Commodities!C52, " from ",$B$1797," to R",RIGHT(C1801))</f>
        <v>#REF!</v>
      </c>
      <c r="E1801" s="163" t="s">
        <v>196</v>
      </c>
      <c r="F1801" s="163" t="s">
        <v>318</v>
      </c>
    </row>
    <row r="1802" spans="2:6">
      <c r="B1802" s="147" t="s">
        <v>1035</v>
      </c>
      <c r="C1802" s="147" t="e">
        <f>CONCATENATE("EXP",Commodities!C53,"B",RIGHT(#REF!,2))</f>
        <v>#REF!</v>
      </c>
      <c r="D1802" s="147" t="e">
        <f>CONCATENATE("Export Barge/Vessel Trade of ",Commodities!C53, " from ",$B$1797," to R",RIGHT(C1802))</f>
        <v>#REF!</v>
      </c>
      <c r="E1802" s="163" t="s">
        <v>196</v>
      </c>
      <c r="F1802" s="163" t="s">
        <v>318</v>
      </c>
    </row>
    <row r="1803" spans="2:6">
      <c r="B1803" s="147" t="s">
        <v>1035</v>
      </c>
      <c r="C1803" s="147" t="e">
        <f>CONCATENATE("EXP",Commodities!C54,"B",RIGHT(#REF!,2))</f>
        <v>#REF!</v>
      </c>
      <c r="D1803" s="147" t="e">
        <f>CONCATENATE("Export Barge/Vessel Trade of ",Commodities!C54, " from ",$B$1797," to R",RIGHT(C1803))</f>
        <v>#REF!</v>
      </c>
      <c r="E1803" s="163" t="s">
        <v>196</v>
      </c>
      <c r="F1803" s="163" t="s">
        <v>318</v>
      </c>
    </row>
    <row r="1804" spans="2:6">
      <c r="B1804" s="147" t="s">
        <v>1035</v>
      </c>
      <c r="C1804" s="147" t="e">
        <f>CONCATENATE("EXP",Commodities!C55,"B",RIGHT(#REF!,2))</f>
        <v>#REF!</v>
      </c>
      <c r="D1804" s="147" t="e">
        <f>CONCATENATE("Export Barge/Vessel Trade of ",Commodities!C55, " from ",$B$1797," to R",RIGHT(C1804))</f>
        <v>#REF!</v>
      </c>
      <c r="E1804" s="163" t="s">
        <v>196</v>
      </c>
      <c r="F1804" s="163" t="s">
        <v>318</v>
      </c>
    </row>
    <row r="1805" spans="2:6">
      <c r="B1805" s="147" t="s">
        <v>1035</v>
      </c>
      <c r="C1805" s="147" t="e">
        <f>CONCATENATE("EXP",Commodities!C56,"B",RIGHT(#REF!,2))</f>
        <v>#REF!</v>
      </c>
      <c r="D1805" s="147" t="e">
        <f>CONCATENATE("Export Barge/Vessel Trade of ",Commodities!C56, " from ",$B$1797," to R",RIGHT(C1805))</f>
        <v>#REF!</v>
      </c>
      <c r="E1805" s="163" t="s">
        <v>196</v>
      </c>
      <c r="F1805" s="163" t="s">
        <v>318</v>
      </c>
    </row>
    <row r="1806" spans="2:6">
      <c r="B1806" s="147" t="s">
        <v>1035</v>
      </c>
      <c r="C1806" s="147" t="e">
        <f>CONCATENATE("EXP",Commodities!C57,"B",RIGHT(#REF!,2))</f>
        <v>#REF!</v>
      </c>
      <c r="D1806" s="147" t="e">
        <f>CONCATENATE("Export Barge/Vessel Trade of ",Commodities!C57, " from ",$B$1797," to R",RIGHT(C1806))</f>
        <v>#REF!</v>
      </c>
      <c r="E1806" s="163" t="s">
        <v>196</v>
      </c>
      <c r="F1806" s="163" t="s">
        <v>318</v>
      </c>
    </row>
    <row r="1807" spans="2:6">
      <c r="B1807" s="147" t="s">
        <v>1035</v>
      </c>
      <c r="C1807" s="147" t="e">
        <f>CONCATENATE("EXP",Commodities!C58,"B",RIGHT(#REF!,2))</f>
        <v>#REF!</v>
      </c>
      <c r="D1807" s="147" t="e">
        <f>CONCATENATE("Export Barge/Vessel Trade of ",Commodities!C58, " from ",$B$1797," to R",RIGHT(C1807))</f>
        <v>#REF!</v>
      </c>
      <c r="E1807" s="163" t="s">
        <v>196</v>
      </c>
      <c r="F1807" s="163" t="s">
        <v>318</v>
      </c>
    </row>
    <row r="1808" spans="2:6">
      <c r="B1808" s="147" t="s">
        <v>1035</v>
      </c>
      <c r="C1808" s="147" t="e">
        <f>CONCATENATE("EXP",Commodities!C59,"B",RIGHT(#REF!,2))</f>
        <v>#REF!</v>
      </c>
      <c r="D1808" s="147" t="e">
        <f>CONCATENATE("Export Barge/Vessel Trade of ",Commodities!C59, " from ",$B$1797," to R",RIGHT(C1808))</f>
        <v>#REF!</v>
      </c>
      <c r="E1808" s="163" t="s">
        <v>196</v>
      </c>
      <c r="F1808" s="163" t="s">
        <v>318</v>
      </c>
    </row>
    <row r="1809" spans="2:6">
      <c r="B1809" s="147" t="s">
        <v>1035</v>
      </c>
      <c r="C1809" s="147" t="e">
        <f>CONCATENATE("EXP",Commodities!C60,"B",RIGHT(#REF!,2))</f>
        <v>#REF!</v>
      </c>
      <c r="D1809" s="147" t="e">
        <f>CONCATENATE("Export Barge/Vessel Trade of ",Commodities!C60, " from ",$B$1797," to R",RIGHT(C1809))</f>
        <v>#REF!</v>
      </c>
      <c r="E1809" s="163" t="s">
        <v>196</v>
      </c>
      <c r="F1809" s="163" t="s">
        <v>318</v>
      </c>
    </row>
    <row r="1810" spans="2:6">
      <c r="B1810" s="147" t="s">
        <v>1005</v>
      </c>
      <c r="C1810" s="147" t="e">
        <f>CONCATENATE("EXP",Commodities!C48,"B",RIGHT(#REF!,2))</f>
        <v>#REF!</v>
      </c>
      <c r="D1810" s="147" t="e">
        <f>CONCATENATE("Export Barge/Vessel Trade of ",Commodities!C48, " from ",$B$1810," to R",RIGHT(C1810))</f>
        <v>#REF!</v>
      </c>
      <c r="E1810" s="163" t="s">
        <v>196</v>
      </c>
      <c r="F1810" s="163" t="s">
        <v>318</v>
      </c>
    </row>
    <row r="1811" spans="2:6">
      <c r="B1811" s="147" t="s">
        <v>1005</v>
      </c>
      <c r="C1811" s="147" t="e">
        <f>CONCATENATE("EXP",Commodities!C49,"B",RIGHT(#REF!,2))</f>
        <v>#REF!</v>
      </c>
      <c r="D1811" s="147" t="e">
        <f>CONCATENATE("Export Barge/Vessel Trade of ",Commodities!C49, " from ",$B$1810," to R",RIGHT(C1811))</f>
        <v>#REF!</v>
      </c>
      <c r="E1811" s="163" t="s">
        <v>196</v>
      </c>
      <c r="F1811" s="163" t="s">
        <v>318</v>
      </c>
    </row>
    <row r="1812" spans="2:6">
      <c r="B1812" s="147" t="s">
        <v>1005</v>
      </c>
      <c r="C1812" s="147" t="e">
        <f>CONCATENATE("EXP",Commodities!C50,"B",RIGHT(#REF!,2))</f>
        <v>#REF!</v>
      </c>
      <c r="D1812" s="147" t="e">
        <f>CONCATENATE("Export Barge/Vessel Trade of ",Commodities!C50, " from ",$B$1810," to R",RIGHT(C1812))</f>
        <v>#REF!</v>
      </c>
      <c r="E1812" s="163" t="s">
        <v>196</v>
      </c>
      <c r="F1812" s="163" t="s">
        <v>318</v>
      </c>
    </row>
    <row r="1813" spans="2:6">
      <c r="B1813" s="147" t="s">
        <v>1005</v>
      </c>
      <c r="C1813" s="147" t="e">
        <f>CONCATENATE("EXP",Commodities!C51,"B",RIGHT(#REF!,2))</f>
        <v>#REF!</v>
      </c>
      <c r="D1813" s="147" t="e">
        <f>CONCATENATE("Export Barge/Vessel Trade of ",Commodities!C51, " from ",$B$1810," to R",RIGHT(C1813))</f>
        <v>#REF!</v>
      </c>
      <c r="E1813" s="163" t="s">
        <v>196</v>
      </c>
      <c r="F1813" s="163" t="s">
        <v>318</v>
      </c>
    </row>
    <row r="1814" spans="2:6">
      <c r="B1814" s="147" t="s">
        <v>1005</v>
      </c>
      <c r="C1814" s="147" t="e">
        <f>CONCATENATE("EXP",Commodities!C52,"B",RIGHT(#REF!,2))</f>
        <v>#REF!</v>
      </c>
      <c r="D1814" s="147" t="e">
        <f>CONCATENATE("Export Barge/Vessel Trade of ",Commodities!C52, " from ",$B$1810," to R",RIGHT(C1814))</f>
        <v>#REF!</v>
      </c>
      <c r="E1814" s="163" t="s">
        <v>196</v>
      </c>
      <c r="F1814" s="163" t="s">
        <v>318</v>
      </c>
    </row>
    <row r="1815" spans="2:6">
      <c r="B1815" s="147" t="s">
        <v>1005</v>
      </c>
      <c r="C1815" s="147" t="e">
        <f>CONCATENATE("EXP",Commodities!C53,"B",RIGHT(#REF!,2))</f>
        <v>#REF!</v>
      </c>
      <c r="D1815" s="147" t="e">
        <f>CONCATENATE("Export Barge/Vessel Trade of ",Commodities!C53, " from ",$B$1810," to R",RIGHT(C1815))</f>
        <v>#REF!</v>
      </c>
      <c r="E1815" s="163" t="s">
        <v>196</v>
      </c>
      <c r="F1815" s="163" t="s">
        <v>318</v>
      </c>
    </row>
    <row r="1816" spans="2:6">
      <c r="B1816" s="147" t="s">
        <v>1005</v>
      </c>
      <c r="C1816" s="147" t="e">
        <f>CONCATENATE("EXP",Commodities!C54,"B",RIGHT(#REF!,2))</f>
        <v>#REF!</v>
      </c>
      <c r="D1816" s="147" t="e">
        <f>CONCATENATE("Export Barge/Vessel Trade of ",Commodities!C54, " from ",$B$1810," to R",RIGHT(C1816))</f>
        <v>#REF!</v>
      </c>
      <c r="E1816" s="163" t="s">
        <v>196</v>
      </c>
      <c r="F1816" s="163" t="s">
        <v>318</v>
      </c>
    </row>
    <row r="1817" spans="2:6">
      <c r="B1817" s="147" t="s">
        <v>1005</v>
      </c>
      <c r="C1817" s="147" t="e">
        <f>CONCATENATE("EXP",Commodities!C55,"B",RIGHT(#REF!,2))</f>
        <v>#REF!</v>
      </c>
      <c r="D1817" s="147" t="e">
        <f>CONCATENATE("Export Barge/Vessel Trade of ",Commodities!C55, " from ",$B$1810," to R",RIGHT(C1817))</f>
        <v>#REF!</v>
      </c>
      <c r="E1817" s="163" t="s">
        <v>196</v>
      </c>
      <c r="F1817" s="163" t="s">
        <v>318</v>
      </c>
    </row>
    <row r="1818" spans="2:6">
      <c r="B1818" s="147" t="s">
        <v>1005</v>
      </c>
      <c r="C1818" s="147" t="e">
        <f>CONCATENATE("EXP",Commodities!C56,"B",RIGHT(#REF!,2))</f>
        <v>#REF!</v>
      </c>
      <c r="D1818" s="147" t="e">
        <f>CONCATENATE("Export Barge/Vessel Trade of ",Commodities!C56, " from ",$B$1810," to R",RIGHT(C1818))</f>
        <v>#REF!</v>
      </c>
      <c r="E1818" s="163" t="s">
        <v>196</v>
      </c>
      <c r="F1818" s="163" t="s">
        <v>318</v>
      </c>
    </row>
    <row r="1819" spans="2:6">
      <c r="B1819" s="147" t="s">
        <v>1005</v>
      </c>
      <c r="C1819" s="147" t="e">
        <f>CONCATENATE("EXP",Commodities!C57,"B",RIGHT(#REF!,2))</f>
        <v>#REF!</v>
      </c>
      <c r="D1819" s="147" t="e">
        <f>CONCATENATE("Export Barge/Vessel Trade of ",Commodities!C57, " from ",$B$1810," to R",RIGHT(C1819))</f>
        <v>#REF!</v>
      </c>
      <c r="E1819" s="163" t="s">
        <v>196</v>
      </c>
      <c r="F1819" s="163" t="s">
        <v>318</v>
      </c>
    </row>
    <row r="1820" spans="2:6">
      <c r="B1820" s="147" t="s">
        <v>1005</v>
      </c>
      <c r="C1820" s="147" t="e">
        <f>CONCATENATE("EXP",Commodities!C58,"B",RIGHT(#REF!,2))</f>
        <v>#REF!</v>
      </c>
      <c r="D1820" s="147" t="e">
        <f>CONCATENATE("Export Barge/Vessel Trade of ",Commodities!C58, " from ",$B$1810," to R",RIGHT(C1820))</f>
        <v>#REF!</v>
      </c>
      <c r="E1820" s="163" t="s">
        <v>196</v>
      </c>
      <c r="F1820" s="163" t="s">
        <v>318</v>
      </c>
    </row>
    <row r="1821" spans="2:6">
      <c r="B1821" s="147" t="s">
        <v>1005</v>
      </c>
      <c r="C1821" s="147" t="e">
        <f>CONCATENATE("EXP",Commodities!C59,"B",RIGHT(#REF!,2))</f>
        <v>#REF!</v>
      </c>
      <c r="D1821" s="147" t="e">
        <f>CONCATENATE("Export Barge/Vessel Trade of ",Commodities!C59, " from ",$B$1810," to R",RIGHT(C1821))</f>
        <v>#REF!</v>
      </c>
      <c r="E1821" s="163" t="s">
        <v>196</v>
      </c>
      <c r="F1821" s="163" t="s">
        <v>318</v>
      </c>
    </row>
    <row r="1822" spans="2:6">
      <c r="B1822" s="147" t="s">
        <v>1005</v>
      </c>
      <c r="C1822" s="147" t="e">
        <f>CONCATENATE("EXP",Commodities!C60,"B",RIGHT(#REF!,2))</f>
        <v>#REF!</v>
      </c>
      <c r="D1822" s="147" t="e">
        <f>CONCATENATE("Export Barge/Vessel Trade of ",Commodities!C60, " from ",$B$1810," to R",RIGHT(C1822))</f>
        <v>#REF!</v>
      </c>
      <c r="E1822" s="163" t="s">
        <v>196</v>
      </c>
      <c r="F1822" s="163" t="s">
        <v>318</v>
      </c>
    </row>
    <row r="1823" spans="2:6">
      <c r="B1823" s="147" t="s">
        <v>1005</v>
      </c>
      <c r="C1823" s="147" t="e">
        <f>CONCATENATE("EXP",Commodities!C48,"B",RIGHT(#REF!,2))</f>
        <v>#REF!</v>
      </c>
      <c r="D1823" s="147" t="e">
        <f>CONCATENATE("Export Barge/Vessel Trade of ",Commodities!C48, " from ",$B$1823," to R",RIGHT(C1823))</f>
        <v>#REF!</v>
      </c>
      <c r="E1823" s="163" t="s">
        <v>196</v>
      </c>
      <c r="F1823" s="163" t="s">
        <v>318</v>
      </c>
    </row>
    <row r="1824" spans="2:6">
      <c r="B1824" s="147" t="s">
        <v>1005</v>
      </c>
      <c r="C1824" s="147" t="e">
        <f>CONCATENATE("EXP",Commodities!C49,"B",RIGHT(#REF!,2))</f>
        <v>#REF!</v>
      </c>
      <c r="D1824" s="147" t="e">
        <f>CONCATENATE("Export Barge/Vessel Trade of ",Commodities!C49, " from ",$B$1823," to R",RIGHT(C1824))</f>
        <v>#REF!</v>
      </c>
      <c r="E1824" s="163" t="s">
        <v>196</v>
      </c>
      <c r="F1824" s="163" t="s">
        <v>318</v>
      </c>
    </row>
    <row r="1825" spans="2:6">
      <c r="B1825" s="147" t="s">
        <v>1005</v>
      </c>
      <c r="C1825" s="147" t="e">
        <f>CONCATENATE("EXP",Commodities!C50,"B",RIGHT(#REF!,2))</f>
        <v>#REF!</v>
      </c>
      <c r="D1825" s="147" t="e">
        <f>CONCATENATE("Export Barge/Vessel Trade of ",Commodities!C50, " from ",$B$1823," to R",RIGHT(C1825))</f>
        <v>#REF!</v>
      </c>
      <c r="E1825" s="163" t="s">
        <v>196</v>
      </c>
      <c r="F1825" s="163" t="s">
        <v>318</v>
      </c>
    </row>
    <row r="1826" spans="2:6">
      <c r="B1826" s="147" t="s">
        <v>1005</v>
      </c>
      <c r="C1826" s="147" t="e">
        <f>CONCATENATE("EXP",Commodities!C51,"B",RIGHT(#REF!,2))</f>
        <v>#REF!</v>
      </c>
      <c r="D1826" s="147" t="e">
        <f>CONCATENATE("Export Barge/Vessel Trade of ",Commodities!C51, " from ",$B$1823," to R",RIGHT(C1826))</f>
        <v>#REF!</v>
      </c>
      <c r="E1826" s="163" t="s">
        <v>196</v>
      </c>
      <c r="F1826" s="163" t="s">
        <v>318</v>
      </c>
    </row>
    <row r="1827" spans="2:6">
      <c r="B1827" s="147" t="s">
        <v>1005</v>
      </c>
      <c r="C1827" s="147" t="e">
        <f>CONCATENATE("EXP",Commodities!C52,"B",RIGHT(#REF!,2))</f>
        <v>#REF!</v>
      </c>
      <c r="D1827" s="147" t="e">
        <f>CONCATENATE("Export Barge/Vessel Trade of ",Commodities!C52, " from ",$B$1823," to R",RIGHT(C1827))</f>
        <v>#REF!</v>
      </c>
      <c r="E1827" s="163" t="s">
        <v>196</v>
      </c>
      <c r="F1827" s="163" t="s">
        <v>318</v>
      </c>
    </row>
    <row r="1828" spans="2:6">
      <c r="B1828" s="147" t="s">
        <v>1005</v>
      </c>
      <c r="C1828" s="147" t="e">
        <f>CONCATENATE("EXP",Commodities!C53,"B",RIGHT(#REF!,2))</f>
        <v>#REF!</v>
      </c>
      <c r="D1828" s="147" t="e">
        <f>CONCATENATE("Export Barge/Vessel Trade of ",Commodities!C53, " from ",$B$1823," to R",RIGHT(C1828))</f>
        <v>#REF!</v>
      </c>
      <c r="E1828" s="163" t="s">
        <v>196</v>
      </c>
      <c r="F1828" s="163" t="s">
        <v>318</v>
      </c>
    </row>
    <row r="1829" spans="2:6">
      <c r="B1829" s="147" t="s">
        <v>1005</v>
      </c>
      <c r="C1829" s="147" t="e">
        <f>CONCATENATE("EXP",Commodities!C54,"B",RIGHT(#REF!,2))</f>
        <v>#REF!</v>
      </c>
      <c r="D1829" s="147" t="e">
        <f>CONCATENATE("Export Barge/Vessel Trade of ",Commodities!C54, " from ",$B$1823," to R",RIGHT(C1829))</f>
        <v>#REF!</v>
      </c>
      <c r="E1829" s="163" t="s">
        <v>196</v>
      </c>
      <c r="F1829" s="163" t="s">
        <v>318</v>
      </c>
    </row>
    <row r="1830" spans="2:6">
      <c r="B1830" s="147" t="s">
        <v>1005</v>
      </c>
      <c r="C1830" s="147" t="e">
        <f>CONCATENATE("EXP",Commodities!C55,"B",RIGHT(#REF!,2))</f>
        <v>#REF!</v>
      </c>
      <c r="D1830" s="147" t="e">
        <f>CONCATENATE("Export Barge/Vessel Trade of ",Commodities!C55, " from ",$B$1823," to R",RIGHT(C1830))</f>
        <v>#REF!</v>
      </c>
      <c r="E1830" s="163" t="s">
        <v>196</v>
      </c>
      <c r="F1830" s="163" t="s">
        <v>318</v>
      </c>
    </row>
    <row r="1831" spans="2:6">
      <c r="B1831" s="147" t="s">
        <v>1005</v>
      </c>
      <c r="C1831" s="147" t="e">
        <f>CONCATENATE("EXP",Commodities!C56,"B",RIGHT(#REF!,2))</f>
        <v>#REF!</v>
      </c>
      <c r="D1831" s="147" t="e">
        <f>CONCATENATE("Export Barge/Vessel Trade of ",Commodities!C56, " from ",$B$1823," to R",RIGHT(C1831))</f>
        <v>#REF!</v>
      </c>
      <c r="E1831" s="163" t="s">
        <v>196</v>
      </c>
      <c r="F1831" s="163" t="s">
        <v>318</v>
      </c>
    </row>
    <row r="1832" spans="2:6">
      <c r="B1832" s="147" t="s">
        <v>1005</v>
      </c>
      <c r="C1832" s="147" t="e">
        <f>CONCATENATE("EXP",Commodities!C57,"B",RIGHT(#REF!,2))</f>
        <v>#REF!</v>
      </c>
      <c r="D1832" s="147" t="e">
        <f>CONCATENATE("Export Barge/Vessel Trade of ",Commodities!C57, " from ",$B$1823," to R",RIGHT(C1832))</f>
        <v>#REF!</v>
      </c>
      <c r="E1832" s="163" t="s">
        <v>196</v>
      </c>
      <c r="F1832" s="163" t="s">
        <v>318</v>
      </c>
    </row>
    <row r="1833" spans="2:6">
      <c r="B1833" s="147" t="s">
        <v>1005</v>
      </c>
      <c r="C1833" s="147" t="e">
        <f>CONCATENATE("EXP",Commodities!C58,"B",RIGHT(#REF!,2))</f>
        <v>#REF!</v>
      </c>
      <c r="D1833" s="147" t="e">
        <f>CONCATENATE("Export Barge/Vessel Trade of ",Commodities!C58, " from ",$B$1823," to R",RIGHT(C1833))</f>
        <v>#REF!</v>
      </c>
      <c r="E1833" s="163" t="s">
        <v>196</v>
      </c>
      <c r="F1833" s="163" t="s">
        <v>318</v>
      </c>
    </row>
    <row r="1834" spans="2:6">
      <c r="B1834" s="147" t="s">
        <v>1005</v>
      </c>
      <c r="C1834" s="147" t="e">
        <f>CONCATENATE("EXP",Commodities!C59,"B",RIGHT(#REF!,2))</f>
        <v>#REF!</v>
      </c>
      <c r="D1834" s="147" t="e">
        <f>CONCATENATE("Export Barge/Vessel Trade of ",Commodities!C59, " from ",$B$1823," to R",RIGHT(C1834))</f>
        <v>#REF!</v>
      </c>
      <c r="E1834" s="163" t="s">
        <v>196</v>
      </c>
      <c r="F1834" s="163" t="s">
        <v>318</v>
      </c>
    </row>
    <row r="1835" spans="2:6">
      <c r="B1835" s="147" t="s">
        <v>1005</v>
      </c>
      <c r="C1835" s="147" t="e">
        <f>CONCATENATE("EXP",Commodities!C60,"B",RIGHT(#REF!,2))</f>
        <v>#REF!</v>
      </c>
      <c r="D1835" s="147" t="e">
        <f>CONCATENATE("Export Barge/Vessel Trade of ",Commodities!C60, " from ",$B$1823," to R",RIGHT(C1835))</f>
        <v>#REF!</v>
      </c>
      <c r="E1835" s="163" t="s">
        <v>196</v>
      </c>
      <c r="F1835" s="163" t="s">
        <v>318</v>
      </c>
    </row>
    <row r="1836" spans="2:6">
      <c r="B1836" s="147" t="s">
        <v>1005</v>
      </c>
      <c r="C1836" s="147" t="e">
        <f>CONCATENATE("EXP",Commodities!C48,"B",RIGHT(#REF!,2))</f>
        <v>#REF!</v>
      </c>
      <c r="D1836" s="147" t="e">
        <f>CONCATENATE("Export Barge/Vessel Trade of ",Commodities!C48, " from ",$B$1836," to R",RIGHT(C1836))</f>
        <v>#REF!</v>
      </c>
      <c r="E1836" s="163" t="s">
        <v>196</v>
      </c>
      <c r="F1836" s="163" t="s">
        <v>318</v>
      </c>
    </row>
    <row r="1837" spans="2:6">
      <c r="B1837" s="147" t="s">
        <v>1005</v>
      </c>
      <c r="C1837" s="147" t="e">
        <f>CONCATENATE("EXP",Commodities!C49,"B",RIGHT(#REF!,2))</f>
        <v>#REF!</v>
      </c>
      <c r="D1837" s="147" t="e">
        <f>CONCATENATE("Export Barge/Vessel Trade of ",Commodities!C49, " from ",$B$1836," to R",RIGHT(C1837))</f>
        <v>#REF!</v>
      </c>
      <c r="E1837" s="163" t="s">
        <v>196</v>
      </c>
      <c r="F1837" s="163" t="s">
        <v>318</v>
      </c>
    </row>
    <row r="1838" spans="2:6">
      <c r="B1838" s="147" t="s">
        <v>1005</v>
      </c>
      <c r="C1838" s="147" t="e">
        <f>CONCATENATE("EXP",Commodities!C50,"B",RIGHT(#REF!,2))</f>
        <v>#REF!</v>
      </c>
      <c r="D1838" s="147" t="e">
        <f>CONCATENATE("Export Barge/Vessel Trade of ",Commodities!C50, " from ",$B$1836," to R",RIGHT(C1838))</f>
        <v>#REF!</v>
      </c>
      <c r="E1838" s="163" t="s">
        <v>196</v>
      </c>
      <c r="F1838" s="163" t="s">
        <v>318</v>
      </c>
    </row>
    <row r="1839" spans="2:6">
      <c r="B1839" s="147" t="s">
        <v>1005</v>
      </c>
      <c r="C1839" s="147" t="e">
        <f>CONCATENATE("EXP",Commodities!C51,"B",RIGHT(#REF!,2))</f>
        <v>#REF!</v>
      </c>
      <c r="D1839" s="147" t="e">
        <f>CONCATENATE("Export Barge/Vessel Trade of ",Commodities!C51, " from ",$B$1836," to R",RIGHT(C1839))</f>
        <v>#REF!</v>
      </c>
      <c r="E1839" s="163" t="s">
        <v>196</v>
      </c>
      <c r="F1839" s="163" t="s">
        <v>318</v>
      </c>
    </row>
    <row r="1840" spans="2:6">
      <c r="B1840" s="147" t="s">
        <v>1005</v>
      </c>
      <c r="C1840" s="147" t="e">
        <f>CONCATENATE("EXP",Commodities!C52,"B",RIGHT(#REF!,2))</f>
        <v>#REF!</v>
      </c>
      <c r="D1840" s="147" t="e">
        <f>CONCATENATE("Export Barge/Vessel Trade of ",Commodities!C52, " from ",$B$1836," to R",RIGHT(C1840))</f>
        <v>#REF!</v>
      </c>
      <c r="E1840" s="163" t="s">
        <v>196</v>
      </c>
      <c r="F1840" s="163" t="s">
        <v>318</v>
      </c>
    </row>
    <row r="1841" spans="2:6">
      <c r="B1841" s="147" t="s">
        <v>1005</v>
      </c>
      <c r="C1841" s="147" t="e">
        <f>CONCATENATE("EXP",Commodities!C53,"B",RIGHT(#REF!,2))</f>
        <v>#REF!</v>
      </c>
      <c r="D1841" s="147" t="e">
        <f>CONCATENATE("Export Barge/Vessel Trade of ",Commodities!C53, " from ",$B$1836," to R",RIGHT(C1841))</f>
        <v>#REF!</v>
      </c>
      <c r="E1841" s="163" t="s">
        <v>196</v>
      </c>
      <c r="F1841" s="163" t="s">
        <v>318</v>
      </c>
    </row>
    <row r="1842" spans="2:6">
      <c r="B1842" s="147" t="s">
        <v>1005</v>
      </c>
      <c r="C1842" s="147" t="e">
        <f>CONCATENATE("EXP",Commodities!C54,"B",RIGHT(#REF!,2))</f>
        <v>#REF!</v>
      </c>
      <c r="D1842" s="147" t="e">
        <f>CONCATENATE("Export Barge/Vessel Trade of ",Commodities!C54, " from ",$B$1836," to R",RIGHT(C1842))</f>
        <v>#REF!</v>
      </c>
      <c r="E1842" s="163" t="s">
        <v>196</v>
      </c>
      <c r="F1842" s="163" t="s">
        <v>318</v>
      </c>
    </row>
    <row r="1843" spans="2:6">
      <c r="B1843" s="147" t="s">
        <v>1005</v>
      </c>
      <c r="C1843" s="147" t="e">
        <f>CONCATENATE("EXP",Commodities!C55,"B",RIGHT(#REF!,2))</f>
        <v>#REF!</v>
      </c>
      <c r="D1843" s="147" t="e">
        <f>CONCATENATE("Export Barge/Vessel Trade of ",Commodities!C55, " from ",$B$1836," to R",RIGHT(C1843))</f>
        <v>#REF!</v>
      </c>
      <c r="E1843" s="163" t="s">
        <v>196</v>
      </c>
      <c r="F1843" s="163" t="s">
        <v>318</v>
      </c>
    </row>
    <row r="1844" spans="2:6">
      <c r="B1844" s="147" t="s">
        <v>1005</v>
      </c>
      <c r="C1844" s="147" t="e">
        <f>CONCATENATE("EXP",Commodities!C56,"B",RIGHT(#REF!,2))</f>
        <v>#REF!</v>
      </c>
      <c r="D1844" s="147" t="e">
        <f>CONCATENATE("Export Barge/Vessel Trade of ",Commodities!C56, " from ",$B$1836," to R",RIGHT(C1844))</f>
        <v>#REF!</v>
      </c>
      <c r="E1844" s="163" t="s">
        <v>196</v>
      </c>
      <c r="F1844" s="163" t="s">
        <v>318</v>
      </c>
    </row>
    <row r="1845" spans="2:6">
      <c r="B1845" s="147" t="s">
        <v>1005</v>
      </c>
      <c r="C1845" s="147" t="e">
        <f>CONCATENATE("EXP",Commodities!C57,"B",RIGHT(#REF!,2))</f>
        <v>#REF!</v>
      </c>
      <c r="D1845" s="147" t="e">
        <f>CONCATENATE("Export Barge/Vessel Trade of ",Commodities!C57, " from ",$B$1836," to R",RIGHT(C1845))</f>
        <v>#REF!</v>
      </c>
      <c r="E1845" s="163" t="s">
        <v>196</v>
      </c>
      <c r="F1845" s="163" t="s">
        <v>318</v>
      </c>
    </row>
    <row r="1846" spans="2:6">
      <c r="B1846" s="147" t="s">
        <v>1005</v>
      </c>
      <c r="C1846" s="147" t="e">
        <f>CONCATENATE("EXP",Commodities!C58,"B",RIGHT(#REF!,2))</f>
        <v>#REF!</v>
      </c>
      <c r="D1846" s="147" t="e">
        <f>CONCATENATE("Export Barge/Vessel Trade of ",Commodities!C58, " from ",$B$1836," to R",RIGHT(C1846))</f>
        <v>#REF!</v>
      </c>
      <c r="E1846" s="163" t="s">
        <v>196</v>
      </c>
      <c r="F1846" s="163" t="s">
        <v>318</v>
      </c>
    </row>
    <row r="1847" spans="2:6">
      <c r="B1847" s="147" t="s">
        <v>1005</v>
      </c>
      <c r="C1847" s="147" t="e">
        <f>CONCATENATE("EXP",Commodities!C59,"B",RIGHT(#REF!,2))</f>
        <v>#REF!</v>
      </c>
      <c r="D1847" s="147" t="e">
        <f>CONCATENATE("Export Barge/Vessel Trade of ",Commodities!C59, " from ",$B$1836," to R",RIGHT(C1847))</f>
        <v>#REF!</v>
      </c>
      <c r="E1847" s="163" t="s">
        <v>196</v>
      </c>
      <c r="F1847" s="163" t="s">
        <v>318</v>
      </c>
    </row>
    <row r="1848" spans="2:6">
      <c r="B1848" s="147" t="s">
        <v>1005</v>
      </c>
      <c r="C1848" s="147" t="e">
        <f>CONCATENATE("EXP",Commodities!C60,"B",RIGHT(#REF!,2))</f>
        <v>#REF!</v>
      </c>
      <c r="D1848" s="147" t="e">
        <f>CONCATENATE("Export Barge/Vessel Trade of ",Commodities!C60, " from ",$B$1836," to R",RIGHT(C1848))</f>
        <v>#REF!</v>
      </c>
      <c r="E1848" s="163" t="s">
        <v>196</v>
      </c>
      <c r="F1848" s="163" t="s">
        <v>318</v>
      </c>
    </row>
    <row r="1849" spans="2:6">
      <c r="B1849" s="147" t="s">
        <v>1005</v>
      </c>
      <c r="C1849" s="147" t="e">
        <f>CONCATENATE("EXP",Commodities!C48,"B",RIGHT(#REF!,2))</f>
        <v>#REF!</v>
      </c>
      <c r="D1849" s="147" t="e">
        <f>CONCATENATE("Export Barge/Vessel Trade of ",Commodities!C48, " from ",$B$1849," to R",RIGHT(C1849))</f>
        <v>#REF!</v>
      </c>
      <c r="E1849" s="163" t="s">
        <v>196</v>
      </c>
      <c r="F1849" s="163" t="s">
        <v>318</v>
      </c>
    </row>
    <row r="1850" spans="2:6">
      <c r="B1850" s="147" t="s">
        <v>1005</v>
      </c>
      <c r="C1850" s="147" t="e">
        <f>CONCATENATE("EXP",Commodities!C49,"B",RIGHT(#REF!,2))</f>
        <v>#REF!</v>
      </c>
      <c r="D1850" s="147" t="e">
        <f>CONCATENATE("Export Barge/Vessel Trade of ",Commodities!C49, " from ",$B$1849," to R",RIGHT(C1850))</f>
        <v>#REF!</v>
      </c>
      <c r="E1850" s="163" t="s">
        <v>196</v>
      </c>
      <c r="F1850" s="163" t="s">
        <v>318</v>
      </c>
    </row>
    <row r="1851" spans="2:6">
      <c r="B1851" s="147" t="s">
        <v>1005</v>
      </c>
      <c r="C1851" s="147" t="e">
        <f>CONCATENATE("EXP",Commodities!C50,"B",RIGHT(#REF!,2))</f>
        <v>#REF!</v>
      </c>
      <c r="D1851" s="147" t="e">
        <f>CONCATENATE("Export Barge/Vessel Trade of ",Commodities!C50, " from ",$B$1849," to R",RIGHT(C1851))</f>
        <v>#REF!</v>
      </c>
      <c r="E1851" s="163" t="s">
        <v>196</v>
      </c>
      <c r="F1851" s="163" t="s">
        <v>318</v>
      </c>
    </row>
    <row r="1852" spans="2:6">
      <c r="B1852" s="147" t="s">
        <v>1005</v>
      </c>
      <c r="C1852" s="147" t="e">
        <f>CONCATENATE("EXP",Commodities!C51,"B",RIGHT(#REF!,2))</f>
        <v>#REF!</v>
      </c>
      <c r="D1852" s="147" t="e">
        <f>CONCATENATE("Export Barge/Vessel Trade of ",Commodities!C51, " from ",$B$1849," to R",RIGHT(C1852))</f>
        <v>#REF!</v>
      </c>
      <c r="E1852" s="163" t="s">
        <v>196</v>
      </c>
      <c r="F1852" s="163" t="s">
        <v>318</v>
      </c>
    </row>
    <row r="1853" spans="2:6">
      <c r="B1853" s="147" t="s">
        <v>1005</v>
      </c>
      <c r="C1853" s="147" t="e">
        <f>CONCATENATE("EXP",Commodities!C52,"B",RIGHT(#REF!,2))</f>
        <v>#REF!</v>
      </c>
      <c r="D1853" s="147" t="e">
        <f>CONCATENATE("Export Barge/Vessel Trade of ",Commodities!C52, " from ",$B$1849," to R",RIGHT(C1853))</f>
        <v>#REF!</v>
      </c>
      <c r="E1853" s="163" t="s">
        <v>196</v>
      </c>
      <c r="F1853" s="163" t="s">
        <v>318</v>
      </c>
    </row>
    <row r="1854" spans="2:6">
      <c r="B1854" s="147" t="s">
        <v>1005</v>
      </c>
      <c r="C1854" s="147" t="e">
        <f>CONCATENATE("EXP",Commodities!C53,"B",RIGHT(#REF!,2))</f>
        <v>#REF!</v>
      </c>
      <c r="D1854" s="147" t="e">
        <f>CONCATENATE("Export Barge/Vessel Trade of ",Commodities!C53, " from ",$B$1849," to R",RIGHT(C1854))</f>
        <v>#REF!</v>
      </c>
      <c r="E1854" s="163" t="s">
        <v>196</v>
      </c>
      <c r="F1854" s="163" t="s">
        <v>318</v>
      </c>
    </row>
    <row r="1855" spans="2:6">
      <c r="B1855" s="147" t="s">
        <v>1005</v>
      </c>
      <c r="C1855" s="147" t="e">
        <f>CONCATENATE("EXP",Commodities!C54,"B",RIGHT(#REF!,2))</f>
        <v>#REF!</v>
      </c>
      <c r="D1855" s="147" t="e">
        <f>CONCATENATE("Export Barge/Vessel Trade of ",Commodities!C54, " from ",$B$1849," to R",RIGHT(C1855))</f>
        <v>#REF!</v>
      </c>
      <c r="E1855" s="163" t="s">
        <v>196</v>
      </c>
      <c r="F1855" s="163" t="s">
        <v>318</v>
      </c>
    </row>
    <row r="1856" spans="2:6">
      <c r="B1856" s="147" t="s">
        <v>1005</v>
      </c>
      <c r="C1856" s="147" t="e">
        <f>CONCATENATE("EXP",Commodities!C55,"B",RIGHT(#REF!,2))</f>
        <v>#REF!</v>
      </c>
      <c r="D1856" s="147" t="e">
        <f>CONCATENATE("Export Barge/Vessel Trade of ",Commodities!C55, " from ",$B$1849," to R",RIGHT(C1856))</f>
        <v>#REF!</v>
      </c>
      <c r="E1856" s="163" t="s">
        <v>196</v>
      </c>
      <c r="F1856" s="163" t="s">
        <v>318</v>
      </c>
    </row>
    <row r="1857" spans="2:6">
      <c r="B1857" s="147" t="s">
        <v>1005</v>
      </c>
      <c r="C1857" s="147" t="e">
        <f>CONCATENATE("EXP",Commodities!C56,"B",RIGHT(#REF!,2))</f>
        <v>#REF!</v>
      </c>
      <c r="D1857" s="147" t="e">
        <f>CONCATENATE("Export Barge/Vessel Trade of ",Commodities!C56, " from ",$B$1849," to R",RIGHT(C1857))</f>
        <v>#REF!</v>
      </c>
      <c r="E1857" s="163" t="s">
        <v>196</v>
      </c>
      <c r="F1857" s="163" t="s">
        <v>318</v>
      </c>
    </row>
    <row r="1858" spans="2:6">
      <c r="B1858" s="147" t="s">
        <v>1005</v>
      </c>
      <c r="C1858" s="147" t="e">
        <f>CONCATENATE("EXP",Commodities!C57,"B",RIGHT(#REF!,2))</f>
        <v>#REF!</v>
      </c>
      <c r="D1858" s="147" t="e">
        <f>CONCATENATE("Export Barge/Vessel Trade of ",Commodities!C57, " from ",$B$1849," to R",RIGHT(C1858))</f>
        <v>#REF!</v>
      </c>
      <c r="E1858" s="163" t="s">
        <v>196</v>
      </c>
      <c r="F1858" s="163" t="s">
        <v>318</v>
      </c>
    </row>
    <row r="1859" spans="2:6">
      <c r="B1859" s="147" t="s">
        <v>1005</v>
      </c>
      <c r="C1859" s="147" t="e">
        <f>CONCATENATE("EXP",Commodities!C58,"B",RIGHT(#REF!,2))</f>
        <v>#REF!</v>
      </c>
      <c r="D1859" s="147" t="e">
        <f>CONCATENATE("Export Barge/Vessel Trade of ",Commodities!C58, " from ",$B$1849," to R",RIGHT(C1859))</f>
        <v>#REF!</v>
      </c>
      <c r="E1859" s="163" t="s">
        <v>196</v>
      </c>
      <c r="F1859" s="163" t="s">
        <v>318</v>
      </c>
    </row>
    <row r="1860" spans="2:6">
      <c r="B1860" s="147" t="s">
        <v>1005</v>
      </c>
      <c r="C1860" s="147" t="e">
        <f>CONCATENATE("EXP",Commodities!C59,"B",RIGHT(#REF!,2))</f>
        <v>#REF!</v>
      </c>
      <c r="D1860" s="147" t="e">
        <f>CONCATENATE("Export Barge/Vessel Trade of ",Commodities!C59, " from ",$B$1849," to R",RIGHT(C1860))</f>
        <v>#REF!</v>
      </c>
      <c r="E1860" s="163" t="s">
        <v>196</v>
      </c>
      <c r="F1860" s="163" t="s">
        <v>318</v>
      </c>
    </row>
    <row r="1861" spans="2:6">
      <c r="B1861" s="147" t="s">
        <v>1005</v>
      </c>
      <c r="C1861" s="147" t="e">
        <f>CONCATENATE("EXP",Commodities!C60,"B",RIGHT(#REF!,2))</f>
        <v>#REF!</v>
      </c>
      <c r="D1861" s="147" t="e">
        <f>CONCATENATE("Export Barge/Vessel Trade of ",Commodities!C60, " from ",$B$1849," to R",RIGHT(C1861))</f>
        <v>#REF!</v>
      </c>
      <c r="E1861" s="163" t="s">
        <v>196</v>
      </c>
      <c r="F1861" s="163" t="s">
        <v>318</v>
      </c>
    </row>
    <row r="1862" spans="2:6">
      <c r="B1862" s="147" t="s">
        <v>1005</v>
      </c>
      <c r="C1862" s="147" t="e">
        <f>CONCATENATE("EXP",Commodities!C48,"B",RIGHT(#REF!,2))</f>
        <v>#REF!</v>
      </c>
      <c r="D1862" s="147" t="e">
        <f>CONCATENATE("Export Barge/Vessel Trade of ",Commodities!C48, " from ",$B$1862," to R",RIGHT(C1862))</f>
        <v>#REF!</v>
      </c>
      <c r="E1862" s="163" t="s">
        <v>196</v>
      </c>
      <c r="F1862" s="163" t="s">
        <v>318</v>
      </c>
    </row>
    <row r="1863" spans="2:6">
      <c r="B1863" s="147" t="s">
        <v>1005</v>
      </c>
      <c r="C1863" s="147" t="e">
        <f>CONCATENATE("EXP",Commodities!C49,"B",RIGHT(#REF!,2))</f>
        <v>#REF!</v>
      </c>
      <c r="D1863" s="147" t="e">
        <f>CONCATENATE("Export Barge/Vessel Trade of ",Commodities!C49, " from ",$B$1862," to R",RIGHT(C1863))</f>
        <v>#REF!</v>
      </c>
      <c r="E1863" s="163" t="s">
        <v>196</v>
      </c>
      <c r="F1863" s="163" t="s">
        <v>318</v>
      </c>
    </row>
    <row r="1864" spans="2:6">
      <c r="B1864" s="147" t="s">
        <v>1005</v>
      </c>
      <c r="C1864" s="147" t="e">
        <f>CONCATENATE("EXP",Commodities!C50,"B",RIGHT(#REF!,2))</f>
        <v>#REF!</v>
      </c>
      <c r="D1864" s="147" t="e">
        <f>CONCATENATE("Export Barge/Vessel Trade of ",Commodities!C50, " from ",$B$1862," to R",RIGHT(C1864))</f>
        <v>#REF!</v>
      </c>
      <c r="E1864" s="163" t="s">
        <v>196</v>
      </c>
      <c r="F1864" s="163" t="s">
        <v>318</v>
      </c>
    </row>
    <row r="1865" spans="2:6">
      <c r="B1865" s="147" t="s">
        <v>1005</v>
      </c>
      <c r="C1865" s="147" t="e">
        <f>CONCATENATE("EXP",Commodities!C51,"B",RIGHT(#REF!,2))</f>
        <v>#REF!</v>
      </c>
      <c r="D1865" s="147" t="e">
        <f>CONCATENATE("Export Barge/Vessel Trade of ",Commodities!C51, " from ",$B$1862," to R",RIGHT(C1865))</f>
        <v>#REF!</v>
      </c>
      <c r="E1865" s="163" t="s">
        <v>196</v>
      </c>
      <c r="F1865" s="163" t="s">
        <v>318</v>
      </c>
    </row>
    <row r="1866" spans="2:6">
      <c r="B1866" s="147" t="s">
        <v>1005</v>
      </c>
      <c r="C1866" s="147" t="e">
        <f>CONCATENATE("EXP",Commodities!C52,"B",RIGHT(#REF!,2))</f>
        <v>#REF!</v>
      </c>
      <c r="D1866" s="147" t="e">
        <f>CONCATENATE("Export Barge/Vessel Trade of ",Commodities!C52, " from ",$B$1862," to R",RIGHT(C1866))</f>
        <v>#REF!</v>
      </c>
      <c r="E1866" s="163" t="s">
        <v>196</v>
      </c>
      <c r="F1866" s="163" t="s">
        <v>318</v>
      </c>
    </row>
    <row r="1867" spans="2:6">
      <c r="B1867" s="147" t="s">
        <v>1005</v>
      </c>
      <c r="C1867" s="147" t="e">
        <f>CONCATENATE("EXP",Commodities!C53,"B",RIGHT(#REF!,2))</f>
        <v>#REF!</v>
      </c>
      <c r="D1867" s="147" t="e">
        <f>CONCATENATE("Export Barge/Vessel Trade of ",Commodities!C53, " from ",$B$1862," to R",RIGHT(C1867))</f>
        <v>#REF!</v>
      </c>
      <c r="E1867" s="163" t="s">
        <v>196</v>
      </c>
      <c r="F1867" s="163" t="s">
        <v>318</v>
      </c>
    </row>
    <row r="1868" spans="2:6">
      <c r="B1868" s="147" t="s">
        <v>1005</v>
      </c>
      <c r="C1868" s="147" t="e">
        <f>CONCATENATE("EXP",Commodities!C54,"B",RIGHT(#REF!,2))</f>
        <v>#REF!</v>
      </c>
      <c r="D1868" s="147" t="e">
        <f>CONCATENATE("Export Barge/Vessel Trade of ",Commodities!C54, " from ",$B$1862," to R",RIGHT(C1868))</f>
        <v>#REF!</v>
      </c>
      <c r="E1868" s="163" t="s">
        <v>196</v>
      </c>
      <c r="F1868" s="163" t="s">
        <v>318</v>
      </c>
    </row>
    <row r="1869" spans="2:6">
      <c r="B1869" s="147" t="s">
        <v>1005</v>
      </c>
      <c r="C1869" s="147" t="e">
        <f>CONCATENATE("EXP",Commodities!C55,"B",RIGHT(#REF!,2))</f>
        <v>#REF!</v>
      </c>
      <c r="D1869" s="147" t="e">
        <f>CONCATENATE("Export Barge/Vessel Trade of ",Commodities!C55, " from ",$B$1862," to R",RIGHT(C1869))</f>
        <v>#REF!</v>
      </c>
      <c r="E1869" s="163" t="s">
        <v>196</v>
      </c>
      <c r="F1869" s="163" t="s">
        <v>318</v>
      </c>
    </row>
    <row r="1870" spans="2:6">
      <c r="B1870" s="147" t="s">
        <v>1005</v>
      </c>
      <c r="C1870" s="147" t="e">
        <f>CONCATENATE("EXP",Commodities!C56,"B",RIGHT(#REF!,2))</f>
        <v>#REF!</v>
      </c>
      <c r="D1870" s="147" t="e">
        <f>CONCATENATE("Export Barge/Vessel Trade of ",Commodities!C56, " from ",$B$1862," to R",RIGHT(C1870))</f>
        <v>#REF!</v>
      </c>
      <c r="E1870" s="163" t="s">
        <v>196</v>
      </c>
      <c r="F1870" s="163" t="s">
        <v>318</v>
      </c>
    </row>
    <row r="1871" spans="2:6">
      <c r="B1871" s="147" t="s">
        <v>1005</v>
      </c>
      <c r="C1871" s="147" t="e">
        <f>CONCATENATE("EXP",Commodities!C57,"B",RIGHT(#REF!,2))</f>
        <v>#REF!</v>
      </c>
      <c r="D1871" s="147" t="e">
        <f>CONCATENATE("Export Barge/Vessel Trade of ",Commodities!C57, " from ",$B$1862," to R",RIGHT(C1871))</f>
        <v>#REF!</v>
      </c>
      <c r="E1871" s="163" t="s">
        <v>196</v>
      </c>
      <c r="F1871" s="163" t="s">
        <v>318</v>
      </c>
    </row>
    <row r="1872" spans="2:6">
      <c r="B1872" s="147" t="s">
        <v>1005</v>
      </c>
      <c r="C1872" s="147" t="e">
        <f>CONCATENATE("EXP",Commodities!C58,"B",RIGHT(#REF!,2))</f>
        <v>#REF!</v>
      </c>
      <c r="D1872" s="147" t="e">
        <f>CONCATENATE("Export Barge/Vessel Trade of ",Commodities!C58, " from ",$B$1862," to R",RIGHT(C1872))</f>
        <v>#REF!</v>
      </c>
      <c r="E1872" s="163" t="s">
        <v>196</v>
      </c>
      <c r="F1872" s="163" t="s">
        <v>318</v>
      </c>
    </row>
    <row r="1873" spans="2:6">
      <c r="B1873" s="147" t="s">
        <v>1005</v>
      </c>
      <c r="C1873" s="147" t="e">
        <f>CONCATENATE("EXP",Commodities!C59,"B",RIGHT(#REF!,2))</f>
        <v>#REF!</v>
      </c>
      <c r="D1873" s="147" t="e">
        <f>CONCATENATE("Export Barge/Vessel Trade of ",Commodities!C59, " from ",$B$1862," to R",RIGHT(C1873))</f>
        <v>#REF!</v>
      </c>
      <c r="E1873" s="163" t="s">
        <v>196</v>
      </c>
      <c r="F1873" s="163" t="s">
        <v>318</v>
      </c>
    </row>
    <row r="1874" spans="2:6">
      <c r="B1874" s="147" t="s">
        <v>1005</v>
      </c>
      <c r="C1874" s="147" t="e">
        <f>CONCATENATE("EXP",Commodities!C60,"B",RIGHT(#REF!,2))</f>
        <v>#REF!</v>
      </c>
      <c r="D1874" s="147" t="e">
        <f>CONCATENATE("Export Barge/Vessel Trade of ",Commodities!C60, " from ",$B$1862," to R",RIGHT(C1874))</f>
        <v>#REF!</v>
      </c>
      <c r="E1874" s="163" t="s">
        <v>196</v>
      </c>
      <c r="F1874" s="163" t="s">
        <v>318</v>
      </c>
    </row>
    <row r="1875" spans="2:6">
      <c r="B1875" s="147" t="s">
        <v>1005</v>
      </c>
      <c r="C1875" s="147" t="e">
        <f>CONCATENATE("EXP",Commodities!C48,"B",RIGHT(#REF!,2))</f>
        <v>#REF!</v>
      </c>
      <c r="D1875" s="147" t="e">
        <f>CONCATENATE("Export Barge/Vessel Trade of ",Commodities!C48, " from ",$B$1875," to R",RIGHT(C1875))</f>
        <v>#REF!</v>
      </c>
      <c r="E1875" s="163" t="s">
        <v>196</v>
      </c>
      <c r="F1875" s="163" t="s">
        <v>318</v>
      </c>
    </row>
    <row r="1876" spans="2:6">
      <c r="B1876" s="147" t="s">
        <v>1005</v>
      </c>
      <c r="C1876" s="147" t="e">
        <f>CONCATENATE("EXP",Commodities!C49,"B",RIGHT(#REF!,2))</f>
        <v>#REF!</v>
      </c>
      <c r="D1876" s="147" t="e">
        <f>CONCATENATE("Export Barge/Vessel Trade of ",Commodities!C49, " from ",$B$1875," to R",RIGHT(C1876))</f>
        <v>#REF!</v>
      </c>
      <c r="E1876" s="163" t="s">
        <v>196</v>
      </c>
      <c r="F1876" s="163" t="s">
        <v>318</v>
      </c>
    </row>
    <row r="1877" spans="2:6">
      <c r="B1877" s="147" t="s">
        <v>1005</v>
      </c>
      <c r="C1877" s="147" t="e">
        <f>CONCATENATE("EXP",Commodities!C50,"B",RIGHT(#REF!,2))</f>
        <v>#REF!</v>
      </c>
      <c r="D1877" s="147" t="e">
        <f>CONCATENATE("Export Barge/Vessel Trade of ",Commodities!C50, " from ",$B$1875," to R",RIGHT(C1877))</f>
        <v>#REF!</v>
      </c>
      <c r="E1877" s="163" t="s">
        <v>196</v>
      </c>
      <c r="F1877" s="163" t="s">
        <v>318</v>
      </c>
    </row>
    <row r="1878" spans="2:6">
      <c r="B1878" s="147" t="s">
        <v>1005</v>
      </c>
      <c r="C1878" s="147" t="e">
        <f>CONCATENATE("EXP",Commodities!C51,"B",RIGHT(#REF!,2))</f>
        <v>#REF!</v>
      </c>
      <c r="D1878" s="147" t="e">
        <f>CONCATENATE("Export Barge/Vessel Trade of ",Commodities!C51, " from ",$B$1875," to R",RIGHT(C1878))</f>
        <v>#REF!</v>
      </c>
      <c r="E1878" s="163" t="s">
        <v>196</v>
      </c>
      <c r="F1878" s="163" t="s">
        <v>318</v>
      </c>
    </row>
    <row r="1879" spans="2:6">
      <c r="B1879" s="147" t="s">
        <v>1005</v>
      </c>
      <c r="C1879" s="147" t="e">
        <f>CONCATENATE("EXP",Commodities!C52,"B",RIGHT(#REF!,2))</f>
        <v>#REF!</v>
      </c>
      <c r="D1879" s="147" t="e">
        <f>CONCATENATE("Export Barge/Vessel Trade of ",Commodities!C52, " from ",$B$1875," to R",RIGHT(C1879))</f>
        <v>#REF!</v>
      </c>
      <c r="E1879" s="163" t="s">
        <v>196</v>
      </c>
      <c r="F1879" s="163" t="s">
        <v>318</v>
      </c>
    </row>
    <row r="1880" spans="2:6">
      <c r="B1880" s="147" t="s">
        <v>1005</v>
      </c>
      <c r="C1880" s="147" t="e">
        <f>CONCATENATE("EXP",Commodities!C53,"B",RIGHT(#REF!,2))</f>
        <v>#REF!</v>
      </c>
      <c r="D1880" s="147" t="e">
        <f>CONCATENATE("Export Barge/Vessel Trade of ",Commodities!C53, " from ",$B$1875," to R",RIGHT(C1880))</f>
        <v>#REF!</v>
      </c>
      <c r="E1880" s="163" t="s">
        <v>196</v>
      </c>
      <c r="F1880" s="163" t="s">
        <v>318</v>
      </c>
    </row>
    <row r="1881" spans="2:6">
      <c r="B1881" s="147" t="s">
        <v>1005</v>
      </c>
      <c r="C1881" s="147" t="e">
        <f>CONCATENATE("EXP",Commodities!C54,"B",RIGHT(#REF!,2))</f>
        <v>#REF!</v>
      </c>
      <c r="D1881" s="147" t="e">
        <f>CONCATENATE("Export Barge/Vessel Trade of ",Commodities!C54, " from ",$B$1875," to R",RIGHT(C1881))</f>
        <v>#REF!</v>
      </c>
      <c r="E1881" s="163" t="s">
        <v>196</v>
      </c>
      <c r="F1881" s="163" t="s">
        <v>318</v>
      </c>
    </row>
    <row r="1882" spans="2:6">
      <c r="B1882" s="147" t="s">
        <v>1005</v>
      </c>
      <c r="C1882" s="147" t="e">
        <f>CONCATENATE("EXP",Commodities!C55,"B",RIGHT(#REF!,2))</f>
        <v>#REF!</v>
      </c>
      <c r="D1882" s="147" t="e">
        <f>CONCATENATE("Export Barge/Vessel Trade of ",Commodities!C55, " from ",$B$1875," to R",RIGHT(C1882))</f>
        <v>#REF!</v>
      </c>
      <c r="E1882" s="163" t="s">
        <v>196</v>
      </c>
      <c r="F1882" s="163" t="s">
        <v>318</v>
      </c>
    </row>
    <row r="1883" spans="2:6">
      <c r="B1883" s="147" t="s">
        <v>1005</v>
      </c>
      <c r="C1883" s="147" t="e">
        <f>CONCATENATE("EXP",Commodities!C56,"B",RIGHT(#REF!,2))</f>
        <v>#REF!</v>
      </c>
      <c r="D1883" s="147" t="e">
        <f>CONCATENATE("Export Barge/Vessel Trade of ",Commodities!C56, " from ",$B$1875," to R",RIGHT(C1883))</f>
        <v>#REF!</v>
      </c>
      <c r="E1883" s="163" t="s">
        <v>196</v>
      </c>
      <c r="F1883" s="163" t="s">
        <v>318</v>
      </c>
    </row>
    <row r="1884" spans="2:6">
      <c r="B1884" s="147" t="s">
        <v>1005</v>
      </c>
      <c r="C1884" s="147" t="e">
        <f>CONCATENATE("EXP",Commodities!C57,"B",RIGHT(#REF!,2))</f>
        <v>#REF!</v>
      </c>
      <c r="D1884" s="147" t="e">
        <f>CONCATENATE("Export Barge/Vessel Trade of ",Commodities!C57, " from ",$B$1875," to R",RIGHT(C1884))</f>
        <v>#REF!</v>
      </c>
      <c r="E1884" s="163" t="s">
        <v>196</v>
      </c>
      <c r="F1884" s="163" t="s">
        <v>318</v>
      </c>
    </row>
    <row r="1885" spans="2:6">
      <c r="B1885" s="147" t="s">
        <v>1005</v>
      </c>
      <c r="C1885" s="147" t="e">
        <f>CONCATENATE("EXP",Commodities!C58,"B",RIGHT(#REF!,2))</f>
        <v>#REF!</v>
      </c>
      <c r="D1885" s="147" t="e">
        <f>CONCATENATE("Export Barge/Vessel Trade of ",Commodities!C58, " from ",$B$1875," to R",RIGHT(C1885))</f>
        <v>#REF!</v>
      </c>
      <c r="E1885" s="163" t="s">
        <v>196</v>
      </c>
      <c r="F1885" s="163" t="s">
        <v>318</v>
      </c>
    </row>
    <row r="1886" spans="2:6">
      <c r="B1886" s="147" t="s">
        <v>1005</v>
      </c>
      <c r="C1886" s="147" t="e">
        <f>CONCATENATE("EXP",Commodities!C59,"B",RIGHT(#REF!,2))</f>
        <v>#REF!</v>
      </c>
      <c r="D1886" s="147" t="e">
        <f>CONCATENATE("Export Barge/Vessel Trade of ",Commodities!C59, " from ",$B$1875," to R",RIGHT(C1886))</f>
        <v>#REF!</v>
      </c>
      <c r="E1886" s="163" t="s">
        <v>196</v>
      </c>
      <c r="F1886" s="163" t="s">
        <v>318</v>
      </c>
    </row>
    <row r="1887" spans="2:6">
      <c r="B1887" s="147" t="s">
        <v>1005</v>
      </c>
      <c r="C1887" s="147" t="e">
        <f>CONCATENATE("EXP",Commodities!C60,"B",RIGHT(#REF!,2))</f>
        <v>#REF!</v>
      </c>
      <c r="D1887" s="147" t="e">
        <f>CONCATENATE("Export Barge/Vessel Trade of ",Commodities!C60, " from ",$B$1875," to R",RIGHT(C1887))</f>
        <v>#REF!</v>
      </c>
      <c r="E1887" s="163" t="s">
        <v>196</v>
      </c>
      <c r="F1887" s="163" t="s">
        <v>318</v>
      </c>
    </row>
    <row r="1888" spans="2:6">
      <c r="B1888" s="147" t="s">
        <v>1005</v>
      </c>
      <c r="C1888" s="147" t="e">
        <f>CONCATENATE("EXP",Commodities!C48,"B",RIGHT(#REF!,2))</f>
        <v>#REF!</v>
      </c>
      <c r="D1888" s="147" t="e">
        <f>CONCATENATE("Export Barge/Vessel Trade of ",Commodities!C48, " from ",$B$1888," to R",RIGHT(C1888))</f>
        <v>#REF!</v>
      </c>
      <c r="E1888" s="163" t="s">
        <v>196</v>
      </c>
      <c r="F1888" s="163" t="s">
        <v>318</v>
      </c>
    </row>
    <row r="1889" spans="2:6">
      <c r="B1889" s="147" t="s">
        <v>1005</v>
      </c>
      <c r="C1889" s="147" t="e">
        <f>CONCATENATE("EXP",Commodities!C49,"B",RIGHT(#REF!,2))</f>
        <v>#REF!</v>
      </c>
      <c r="D1889" s="147" t="e">
        <f>CONCATENATE("Export Barge/Vessel Trade of ",Commodities!C49, " from ",$B$1888," to R",RIGHT(C1889))</f>
        <v>#REF!</v>
      </c>
      <c r="E1889" s="163" t="s">
        <v>196</v>
      </c>
      <c r="F1889" s="163" t="s">
        <v>318</v>
      </c>
    </row>
    <row r="1890" spans="2:6">
      <c r="B1890" s="147" t="s">
        <v>1005</v>
      </c>
      <c r="C1890" s="147" t="e">
        <f>CONCATENATE("EXP",Commodities!C50,"B",RIGHT(#REF!,2))</f>
        <v>#REF!</v>
      </c>
      <c r="D1890" s="147" t="e">
        <f>CONCATENATE("Export Barge/Vessel Trade of ",Commodities!C50, " from ",$B$1888," to R",RIGHT(C1890))</f>
        <v>#REF!</v>
      </c>
      <c r="E1890" s="163" t="s">
        <v>196</v>
      </c>
      <c r="F1890" s="163" t="s">
        <v>318</v>
      </c>
    </row>
    <row r="1891" spans="2:6">
      <c r="B1891" s="147" t="s">
        <v>1005</v>
      </c>
      <c r="C1891" s="147" t="e">
        <f>CONCATENATE("EXP",Commodities!C51,"B",RIGHT(#REF!,2))</f>
        <v>#REF!</v>
      </c>
      <c r="D1891" s="147" t="e">
        <f>CONCATENATE("Export Barge/Vessel Trade of ",Commodities!C51, " from ",$B$1888," to R",RIGHT(C1891))</f>
        <v>#REF!</v>
      </c>
      <c r="E1891" s="163" t="s">
        <v>196</v>
      </c>
      <c r="F1891" s="163" t="s">
        <v>318</v>
      </c>
    </row>
    <row r="1892" spans="2:6">
      <c r="B1892" s="147" t="s">
        <v>1005</v>
      </c>
      <c r="C1892" s="147" t="e">
        <f>CONCATENATE("EXP",Commodities!C52,"B",RIGHT(#REF!,2))</f>
        <v>#REF!</v>
      </c>
      <c r="D1892" s="147" t="e">
        <f>CONCATENATE("Export Barge/Vessel Trade of ",Commodities!C52, " from ",$B$1888," to R",RIGHT(C1892))</f>
        <v>#REF!</v>
      </c>
      <c r="E1892" s="163" t="s">
        <v>196</v>
      </c>
      <c r="F1892" s="163" t="s">
        <v>318</v>
      </c>
    </row>
    <row r="1893" spans="2:6">
      <c r="B1893" s="147" t="s">
        <v>1005</v>
      </c>
      <c r="C1893" s="147" t="e">
        <f>CONCATENATE("EXP",Commodities!C53,"B",RIGHT(#REF!,2))</f>
        <v>#REF!</v>
      </c>
      <c r="D1893" s="147" t="e">
        <f>CONCATENATE("Export Barge/Vessel Trade of ",Commodities!C53, " from ",$B$1888," to R",RIGHT(C1893))</f>
        <v>#REF!</v>
      </c>
      <c r="E1893" s="163" t="s">
        <v>196</v>
      </c>
      <c r="F1893" s="163" t="s">
        <v>318</v>
      </c>
    </row>
    <row r="1894" spans="2:6">
      <c r="B1894" s="147" t="s">
        <v>1005</v>
      </c>
      <c r="C1894" s="147" t="e">
        <f>CONCATENATE("EXP",Commodities!C54,"B",RIGHT(#REF!,2))</f>
        <v>#REF!</v>
      </c>
      <c r="D1894" s="147" t="e">
        <f>CONCATENATE("Export Barge/Vessel Trade of ",Commodities!C54, " from ",$B$1888," to R",RIGHT(C1894))</f>
        <v>#REF!</v>
      </c>
      <c r="E1894" s="163" t="s">
        <v>196</v>
      </c>
      <c r="F1894" s="163" t="s">
        <v>318</v>
      </c>
    </row>
    <row r="1895" spans="2:6">
      <c r="B1895" s="147" t="s">
        <v>1005</v>
      </c>
      <c r="C1895" s="147" t="e">
        <f>CONCATENATE("EXP",Commodities!C55,"B",RIGHT(#REF!,2))</f>
        <v>#REF!</v>
      </c>
      <c r="D1895" s="147" t="e">
        <f>CONCATENATE("Export Barge/Vessel Trade of ",Commodities!C55, " from ",$B$1888," to R",RIGHT(C1895))</f>
        <v>#REF!</v>
      </c>
      <c r="E1895" s="163" t="s">
        <v>196</v>
      </c>
      <c r="F1895" s="163" t="s">
        <v>318</v>
      </c>
    </row>
    <row r="1896" spans="2:6">
      <c r="B1896" s="147" t="s">
        <v>1005</v>
      </c>
      <c r="C1896" s="147" t="e">
        <f>CONCATENATE("EXP",Commodities!C56,"B",RIGHT(#REF!,2))</f>
        <v>#REF!</v>
      </c>
      <c r="D1896" s="147" t="e">
        <f>CONCATENATE("Export Barge/Vessel Trade of ",Commodities!C56, " from ",$B$1888," to R",RIGHT(C1896))</f>
        <v>#REF!</v>
      </c>
      <c r="E1896" s="163" t="s">
        <v>196</v>
      </c>
      <c r="F1896" s="163" t="s">
        <v>318</v>
      </c>
    </row>
    <row r="1897" spans="2:6">
      <c r="B1897" s="147" t="s">
        <v>1005</v>
      </c>
      <c r="C1897" s="147" t="e">
        <f>CONCATENATE("EXP",Commodities!C57,"B",RIGHT(#REF!,2))</f>
        <v>#REF!</v>
      </c>
      <c r="D1897" s="147" t="e">
        <f>CONCATENATE("Export Barge/Vessel Trade of ",Commodities!C57, " from ",$B$1888," to R",RIGHT(C1897))</f>
        <v>#REF!</v>
      </c>
      <c r="E1897" s="163" t="s">
        <v>196</v>
      </c>
      <c r="F1897" s="163" t="s">
        <v>318</v>
      </c>
    </row>
    <row r="1898" spans="2:6">
      <c r="B1898" s="147" t="s">
        <v>1005</v>
      </c>
      <c r="C1898" s="147" t="e">
        <f>CONCATENATE("EXP",Commodities!C58,"B",RIGHT(#REF!,2))</f>
        <v>#REF!</v>
      </c>
      <c r="D1898" s="147" t="e">
        <f>CONCATENATE("Export Barge/Vessel Trade of ",Commodities!C58, " from ",$B$1888," to R",RIGHT(C1898))</f>
        <v>#REF!</v>
      </c>
      <c r="E1898" s="163" t="s">
        <v>196</v>
      </c>
      <c r="F1898" s="163" t="s">
        <v>318</v>
      </c>
    </row>
    <row r="1899" spans="2:6">
      <c r="B1899" s="147" t="s">
        <v>1005</v>
      </c>
      <c r="C1899" s="147" t="e">
        <f>CONCATENATE("EXP",Commodities!C59,"B",RIGHT(#REF!,2))</f>
        <v>#REF!</v>
      </c>
      <c r="D1899" s="147" t="e">
        <f>CONCATENATE("Export Barge/Vessel Trade of ",Commodities!C59, " from ",$B$1888," to R",RIGHT(C1899))</f>
        <v>#REF!</v>
      </c>
      <c r="E1899" s="163" t="s">
        <v>196</v>
      </c>
      <c r="F1899" s="163" t="s">
        <v>318</v>
      </c>
    </row>
    <row r="1900" spans="2:6">
      <c r="B1900" s="147" t="s">
        <v>1005</v>
      </c>
      <c r="C1900" s="147" t="e">
        <f>CONCATENATE("EXP",Commodities!C60,"B",RIGHT(#REF!,2))</f>
        <v>#REF!</v>
      </c>
      <c r="D1900" s="147" t="e">
        <f>CONCATENATE("Export Barge/Vessel Trade of ",Commodities!C60, " from ",$B$1888," to R",RIGHT(C1900))</f>
        <v>#REF!</v>
      </c>
      <c r="E1900" s="163" t="s">
        <v>196</v>
      </c>
      <c r="F1900" s="163" t="s">
        <v>318</v>
      </c>
    </row>
    <row r="1901" spans="2:6">
      <c r="B1901" s="147" t="s">
        <v>1005</v>
      </c>
      <c r="C1901" s="147" t="e">
        <f>CONCATENATE("EXP",Commodities!C48,"B",RIGHT(#REF!,2))</f>
        <v>#REF!</v>
      </c>
      <c r="D1901" s="147" t="e">
        <f>CONCATENATE("Export Barge/Vessel Trade of ",Commodities!C48, " from ",$B$1901," to R",RIGHT(C1901))</f>
        <v>#REF!</v>
      </c>
      <c r="E1901" s="163" t="s">
        <v>196</v>
      </c>
      <c r="F1901" s="163" t="s">
        <v>318</v>
      </c>
    </row>
    <row r="1902" spans="2:6">
      <c r="B1902" s="147" t="s">
        <v>1005</v>
      </c>
      <c r="C1902" s="147" t="e">
        <f>CONCATENATE("EXP",Commodities!C49,"B",RIGHT(#REF!,2))</f>
        <v>#REF!</v>
      </c>
      <c r="D1902" s="147" t="e">
        <f>CONCATENATE("Export Barge/Vessel Trade of ",Commodities!C49, " from ",$B$1901," to R",RIGHT(C1902))</f>
        <v>#REF!</v>
      </c>
      <c r="E1902" s="163" t="s">
        <v>196</v>
      </c>
      <c r="F1902" s="163" t="s">
        <v>318</v>
      </c>
    </row>
    <row r="1903" spans="2:6">
      <c r="B1903" s="147" t="s">
        <v>1005</v>
      </c>
      <c r="C1903" s="147" t="e">
        <f>CONCATENATE("EXP",Commodities!C50,"B",RIGHT(#REF!,2))</f>
        <v>#REF!</v>
      </c>
      <c r="D1903" s="147" t="e">
        <f>CONCATENATE("Export Barge/Vessel Trade of ",Commodities!C50, " from ",$B$1901," to R",RIGHT(C1903))</f>
        <v>#REF!</v>
      </c>
      <c r="E1903" s="163" t="s">
        <v>196</v>
      </c>
      <c r="F1903" s="163" t="s">
        <v>318</v>
      </c>
    </row>
    <row r="1904" spans="2:6">
      <c r="B1904" s="147" t="s">
        <v>1005</v>
      </c>
      <c r="C1904" s="147" t="e">
        <f>CONCATENATE("EXP",Commodities!C51,"B",RIGHT(#REF!,2))</f>
        <v>#REF!</v>
      </c>
      <c r="D1904" s="147" t="e">
        <f>CONCATENATE("Export Barge/Vessel Trade of ",Commodities!C51, " from ",$B$1901," to R",RIGHT(C1904))</f>
        <v>#REF!</v>
      </c>
      <c r="E1904" s="163" t="s">
        <v>196</v>
      </c>
      <c r="F1904" s="163" t="s">
        <v>318</v>
      </c>
    </row>
    <row r="1905" spans="2:7">
      <c r="B1905" s="147" t="s">
        <v>1005</v>
      </c>
      <c r="C1905" s="147" t="e">
        <f>CONCATENATE("EXP",Commodities!C52,"B",RIGHT(#REF!,2))</f>
        <v>#REF!</v>
      </c>
      <c r="D1905" s="147" t="e">
        <f>CONCATENATE("Export Barge/Vessel Trade of ",Commodities!C52, " from ",$B$1901," to R",RIGHT(C1905))</f>
        <v>#REF!</v>
      </c>
      <c r="E1905" s="163" t="s">
        <v>196</v>
      </c>
      <c r="F1905" s="163" t="s">
        <v>318</v>
      </c>
    </row>
    <row r="1906" spans="2:7">
      <c r="B1906" s="147" t="s">
        <v>1005</v>
      </c>
      <c r="C1906" s="147" t="e">
        <f>CONCATENATE("EXP",Commodities!C53,"B",RIGHT(#REF!,2))</f>
        <v>#REF!</v>
      </c>
      <c r="D1906" s="147" t="e">
        <f>CONCATENATE("Export Barge/Vessel Trade of ",Commodities!C53, " from ",$B$1901," to R",RIGHT(C1906))</f>
        <v>#REF!</v>
      </c>
      <c r="E1906" s="163" t="s">
        <v>196</v>
      </c>
      <c r="F1906" s="163" t="s">
        <v>318</v>
      </c>
    </row>
    <row r="1907" spans="2:7">
      <c r="B1907" s="147" t="s">
        <v>1005</v>
      </c>
      <c r="C1907" s="147" t="e">
        <f>CONCATENATE("EXP",Commodities!C54,"B",RIGHT(#REF!,2))</f>
        <v>#REF!</v>
      </c>
      <c r="D1907" s="147" t="e">
        <f>CONCATENATE("Export Barge/Vessel Trade of ",Commodities!C54, " from ",$B$1901," to R",RIGHT(C1907))</f>
        <v>#REF!</v>
      </c>
      <c r="E1907" s="163" t="s">
        <v>196</v>
      </c>
      <c r="F1907" s="163" t="s">
        <v>318</v>
      </c>
    </row>
    <row r="1908" spans="2:7">
      <c r="B1908" s="147" t="s">
        <v>1005</v>
      </c>
      <c r="C1908" s="147" t="e">
        <f>CONCATENATE("EXP",Commodities!C55,"B",RIGHT(#REF!,2))</f>
        <v>#REF!</v>
      </c>
      <c r="D1908" s="147" t="e">
        <f>CONCATENATE("Export Barge/Vessel Trade of ",Commodities!C55, " from ",$B$1901," to R",RIGHT(C1908))</f>
        <v>#REF!</v>
      </c>
      <c r="E1908" s="163" t="s">
        <v>196</v>
      </c>
      <c r="F1908" s="163" t="s">
        <v>318</v>
      </c>
    </row>
    <row r="1909" spans="2:7">
      <c r="B1909" s="147" t="s">
        <v>1005</v>
      </c>
      <c r="C1909" s="147" t="e">
        <f>CONCATENATE("EXP",Commodities!C56,"B",RIGHT(#REF!,2))</f>
        <v>#REF!</v>
      </c>
      <c r="D1909" s="147" t="e">
        <f>CONCATENATE("Export Barge/Vessel Trade of ",Commodities!C56, " from ",$B$1901," to R",RIGHT(C1909))</f>
        <v>#REF!</v>
      </c>
      <c r="E1909" s="163" t="s">
        <v>196</v>
      </c>
      <c r="F1909" s="163" t="s">
        <v>318</v>
      </c>
    </row>
    <row r="1910" spans="2:7">
      <c r="B1910" s="147" t="s">
        <v>1005</v>
      </c>
      <c r="C1910" s="147" t="e">
        <f>CONCATENATE("EXP",Commodities!C57,"B",RIGHT(#REF!,2))</f>
        <v>#REF!</v>
      </c>
      <c r="D1910" s="147" t="e">
        <f>CONCATENATE("Export Barge/Vessel Trade of ",Commodities!C57, " from ",$B$1901," to R",RIGHT(C1910))</f>
        <v>#REF!</v>
      </c>
      <c r="E1910" s="163" t="s">
        <v>196</v>
      </c>
      <c r="F1910" s="163" t="s">
        <v>318</v>
      </c>
    </row>
    <row r="1911" spans="2:7">
      <c r="B1911" s="147" t="s">
        <v>1005</v>
      </c>
      <c r="C1911" s="147" t="e">
        <f>CONCATENATE("EXP",Commodities!C58,"B",RIGHT(#REF!,2))</f>
        <v>#REF!</v>
      </c>
      <c r="D1911" s="147" t="e">
        <f>CONCATENATE("Export Barge/Vessel Trade of ",Commodities!C58, " from ",$B$1901," to R",RIGHT(C1911))</f>
        <v>#REF!</v>
      </c>
      <c r="E1911" s="163" t="s">
        <v>196</v>
      </c>
      <c r="F1911" s="163" t="s">
        <v>318</v>
      </c>
    </row>
    <row r="1912" spans="2:7">
      <c r="B1912" s="147" t="s">
        <v>1005</v>
      </c>
      <c r="C1912" s="147" t="e">
        <f>CONCATENATE("EXP",Commodities!C59,"B",RIGHT(#REF!,2))</f>
        <v>#REF!</v>
      </c>
      <c r="D1912" s="147" t="e">
        <f>CONCATENATE("Export Barge/Vessel Trade of ",Commodities!C59, " from ",$B$1901," to R",RIGHT(C1912))</f>
        <v>#REF!</v>
      </c>
      <c r="E1912" s="163" t="s">
        <v>196</v>
      </c>
      <c r="F1912" s="163" t="s">
        <v>318</v>
      </c>
    </row>
    <row r="1913" spans="2:7">
      <c r="B1913" s="147" t="s">
        <v>1005</v>
      </c>
      <c r="C1913" s="147" t="e">
        <f>CONCATENATE("EXP",Commodities!C60,"B",RIGHT(#REF!,2))</f>
        <v>#REF!</v>
      </c>
      <c r="D1913" s="147" t="e">
        <f>CONCATENATE("Export Barge/Vessel Trade of ",Commodities!C60, " from ",$B$1901," to R",RIGHT(C1913))</f>
        <v>#REF!</v>
      </c>
      <c r="E1913" s="163" t="s">
        <v>196</v>
      </c>
      <c r="F1913" s="163" t="s">
        <v>318</v>
      </c>
    </row>
    <row r="1914" spans="2:7">
      <c r="B1914" s="147" t="s">
        <v>389</v>
      </c>
    </row>
    <row r="1915" spans="2:7">
      <c r="B1915" s="147" t="e">
        <f t="shared" ref="B1915:B1978" si="11">IF(LEFT(B1276,1)="*","*",CONCATENATE("R",RIGHT(C1915,1)))</f>
        <v>#REF!</v>
      </c>
      <c r="C1915" s="147" t="e">
        <f>CONCATENATE("IMP",Commodities!C$48,"R",RIGHT(C1276,2))</f>
        <v>#REF!</v>
      </c>
      <c r="D1915" s="147" t="e">
        <f>CONCATENATE("Import Pipeline Trade of ",Commodities!C$48, " to ",$B1915," from ",B1276)</f>
        <v>#REF!</v>
      </c>
      <c r="E1915" s="163" t="s">
        <v>196</v>
      </c>
      <c r="F1915" s="163" t="s">
        <v>318</v>
      </c>
      <c r="G1915" s="146" t="s">
        <v>1155</v>
      </c>
    </row>
    <row r="1916" spans="2:7">
      <c r="B1916" s="147" t="e">
        <f t="shared" si="11"/>
        <v>#REF!</v>
      </c>
      <c r="C1916" s="147" t="e">
        <f>CONCATENATE("IMP",Commodities!C$49,"R",RIGHT(C1277,2))</f>
        <v>#REF!</v>
      </c>
      <c r="D1916" s="147" t="e">
        <f>CONCATENATE("Import Pipeline Trade of ",Commodities!C$49, " to ",$B1916," from ",B1277)</f>
        <v>#REF!</v>
      </c>
      <c r="E1916" s="163" t="s">
        <v>196</v>
      </c>
      <c r="F1916" s="163" t="s">
        <v>318</v>
      </c>
    </row>
    <row r="1917" spans="2:7">
      <c r="B1917" s="147" t="e">
        <f t="shared" si="11"/>
        <v>#REF!</v>
      </c>
      <c r="C1917" s="147" t="e">
        <f>CONCATENATE("IMP",Commodities!C$50,"R",RIGHT(C1278,2))</f>
        <v>#REF!</v>
      </c>
      <c r="D1917" s="147" t="e">
        <f>CONCATENATE("Import Pipeline Trade of ",Commodities!C$50, " to ",$B1917," from ",B1278)</f>
        <v>#REF!</v>
      </c>
      <c r="E1917" s="163" t="s">
        <v>196</v>
      </c>
      <c r="F1917" s="163" t="s">
        <v>318</v>
      </c>
    </row>
    <row r="1918" spans="2:7">
      <c r="B1918" s="147" t="e">
        <f t="shared" si="11"/>
        <v>#REF!</v>
      </c>
      <c r="C1918" s="147" t="e">
        <f>CONCATENATE("IMP",Commodities!C$51,"R",RIGHT(C1279,2))</f>
        <v>#REF!</v>
      </c>
      <c r="D1918" s="147" t="e">
        <f>CONCATENATE("Import Pipeline Trade of ",Commodities!C$51, " to ",$B1918," from ",B1279)</f>
        <v>#REF!</v>
      </c>
      <c r="E1918" s="163" t="s">
        <v>196</v>
      </c>
      <c r="F1918" s="163" t="s">
        <v>318</v>
      </c>
    </row>
    <row r="1919" spans="2:7">
      <c r="B1919" s="147" t="e">
        <f t="shared" si="11"/>
        <v>#REF!</v>
      </c>
      <c r="C1919" s="147" t="e">
        <f>CONCATENATE("IMP",Commodities!C$52,"R",RIGHT(C1280,2))</f>
        <v>#REF!</v>
      </c>
      <c r="D1919" s="147" t="e">
        <f>CONCATENATE("Import Pipeline Trade of ",Commodities!C$52, " to ",$B1919," from ",B1280)</f>
        <v>#REF!</v>
      </c>
      <c r="E1919" s="163" t="s">
        <v>196</v>
      </c>
      <c r="F1919" s="163" t="s">
        <v>318</v>
      </c>
    </row>
    <row r="1920" spans="2:7">
      <c r="B1920" s="147" t="str">
        <f t="shared" si="11"/>
        <v>*</v>
      </c>
      <c r="C1920" s="147" t="e">
        <f>CONCATENATE("IMP",Commodities!C$53,"R",RIGHT(C1281,2))</f>
        <v>#REF!</v>
      </c>
      <c r="D1920" s="147" t="str">
        <f>CONCATENATE("Import Pipeline Trade of ",Commodities!C$53, " to ",$B1920," from ",B1281)</f>
        <v>Import Pipeline Trade of JTF to * from *R1</v>
      </c>
      <c r="E1920" s="163" t="s">
        <v>196</v>
      </c>
      <c r="F1920" s="163" t="s">
        <v>318</v>
      </c>
    </row>
    <row r="1921" spans="2:6">
      <c r="B1921" s="147" t="str">
        <f t="shared" si="11"/>
        <v>*</v>
      </c>
      <c r="C1921" s="147" t="e">
        <f>CONCATENATE("IMP",Commodities!C$54,"R",RIGHT(C1282,2))</f>
        <v>#REF!</v>
      </c>
      <c r="D1921" s="147" t="str">
        <f>CONCATENATE("Import Pipeline Trade of ",Commodities!C$54, " to ",$B1921," from ",B1282)</f>
        <v>Import Pipeline Trade of KER to * from *R1</v>
      </c>
      <c r="E1921" s="163" t="s">
        <v>196</v>
      </c>
      <c r="F1921" s="163" t="s">
        <v>318</v>
      </c>
    </row>
    <row r="1922" spans="2:6">
      <c r="B1922" s="147" t="str">
        <f t="shared" si="11"/>
        <v>*</v>
      </c>
      <c r="C1922" s="147" t="e">
        <f>CONCATENATE("IMP",Commodities!C$55,"R",RIGHT(C1283,2))</f>
        <v>#REF!</v>
      </c>
      <c r="D1922" s="147" t="str">
        <f>CONCATENATE("Import Pipeline Trade of ",Commodities!C$55, " to ",$B1922," from ",B1283)</f>
        <v>Import Pipeline Trade of LPG to * from *R1</v>
      </c>
      <c r="E1922" s="163" t="s">
        <v>196</v>
      </c>
      <c r="F1922" s="163" t="s">
        <v>318</v>
      </c>
    </row>
    <row r="1923" spans="2:6">
      <c r="B1923" s="147" t="str">
        <f t="shared" si="11"/>
        <v>*</v>
      </c>
      <c r="C1923" s="147" t="e">
        <f>CONCATENATE("IMP",Commodities!C$56,"R",RIGHT(C1284,2))</f>
        <v>#REF!</v>
      </c>
      <c r="D1923" s="147" t="str">
        <f>CONCATENATE("Import Pipeline Trade of ",Commodities!C$56, " to ",$B1923," from ",B1284)</f>
        <v>Import Pipeline Trade of MTH to * from *R1</v>
      </c>
      <c r="E1923" s="163" t="s">
        <v>196</v>
      </c>
      <c r="F1923" s="163" t="s">
        <v>318</v>
      </c>
    </row>
    <row r="1924" spans="2:6">
      <c r="B1924" s="147" t="str">
        <f t="shared" si="11"/>
        <v>*</v>
      </c>
      <c r="C1924" s="147" t="e">
        <f>CONCATENATE("IMP",Commodities!C$57,"R",RIGHT(C1285,2))</f>
        <v>#REF!</v>
      </c>
      <c r="D1924" s="147" t="str">
        <f>CONCATENATE("Import Pipeline Trade of ",Commodities!C$57, " to ",$B1924," from ",B1285)</f>
        <v>Import Pipeline Trade of PFS to * from *R1</v>
      </c>
      <c r="E1924" s="163" t="s">
        <v>196</v>
      </c>
      <c r="F1924" s="163" t="s">
        <v>318</v>
      </c>
    </row>
    <row r="1925" spans="2:6">
      <c r="B1925" s="147" t="str">
        <f t="shared" si="11"/>
        <v>*</v>
      </c>
      <c r="C1925" s="147" t="e">
        <f>CONCATENATE("IMP",Commodities!C$58,"R",RIGHT(C1286,2))</f>
        <v>#REF!</v>
      </c>
      <c r="D1925" s="147" t="str">
        <f>CONCATENATE("Import Pipeline Trade of ",Commodities!C$58, " to ",$B1925," from ",B1286)</f>
        <v>Import Pipeline Trade of RFH to * from *R1</v>
      </c>
      <c r="E1925" s="163" t="s">
        <v>196</v>
      </c>
      <c r="F1925" s="163" t="s">
        <v>318</v>
      </c>
    </row>
    <row r="1926" spans="2:6">
      <c r="B1926" s="147" t="e">
        <f t="shared" si="11"/>
        <v>#REF!</v>
      </c>
      <c r="C1926" s="147" t="e">
        <f>CONCATENATE("IMP",Commodities!C$59,"R",RIGHT(C1287,2))</f>
        <v>#REF!</v>
      </c>
      <c r="D1926" s="147" t="e">
        <f>CONCATENATE("Import Pipeline Trade of ",Commodities!C$59, " to ",$B1926," from ",B1287)</f>
        <v>#REF!</v>
      </c>
      <c r="E1926" s="163" t="s">
        <v>196</v>
      </c>
      <c r="F1926" s="163" t="s">
        <v>318</v>
      </c>
    </row>
    <row r="1927" spans="2:6">
      <c r="B1927" s="147" t="str">
        <f t="shared" si="11"/>
        <v>*</v>
      </c>
      <c r="C1927" s="147" t="e">
        <f>CONCATENATE("IMP",Commodities!C$60,"R",RIGHT(C1288,2))</f>
        <v>#REF!</v>
      </c>
      <c r="D1927" s="147" t="str">
        <f>CONCATENATE("Import Pipeline Trade of ",Commodities!C$60, " to ",$B1927," from ",B1288)</f>
        <v>Import Pipeline Trade of ASP to * from *R1</v>
      </c>
      <c r="E1927" s="163" t="s">
        <v>196</v>
      </c>
      <c r="F1927" s="163" t="s">
        <v>318</v>
      </c>
    </row>
    <row r="1928" spans="2:6">
      <c r="B1928" s="147" t="str">
        <f t="shared" si="11"/>
        <v>*</v>
      </c>
      <c r="C1928" s="147" t="e">
        <f>CONCATENATE("IMP",Commodities!C$48,"R",RIGHT(C1289,2))</f>
        <v>#REF!</v>
      </c>
      <c r="D1928" s="147" t="str">
        <f>CONCATENATE("Import Pipeline Trade of ",Commodities!C$48, " to ",$B1928," from ",B1289)</f>
        <v>Import Pipeline Trade of GSC to * from *R3</v>
      </c>
      <c r="E1928" s="163" t="s">
        <v>196</v>
      </c>
      <c r="F1928" s="163" t="s">
        <v>318</v>
      </c>
    </row>
    <row r="1929" spans="2:6">
      <c r="B1929" s="147" t="str">
        <f t="shared" si="11"/>
        <v>*</v>
      </c>
      <c r="C1929" s="147" t="e">
        <f>CONCATENATE("IMP",Commodities!C$49,"R",RIGHT(C1290,2))</f>
        <v>#REF!</v>
      </c>
      <c r="D1929" s="147" t="str">
        <f>CONCATENATE("Import Pipeline Trade of ",Commodities!C$49, " to ",$B1929," from ",B1290)</f>
        <v>Import Pipeline Trade of GSR to * from *R3</v>
      </c>
      <c r="E1929" s="163" t="s">
        <v>196</v>
      </c>
      <c r="F1929" s="163" t="s">
        <v>318</v>
      </c>
    </row>
    <row r="1930" spans="2:6">
      <c r="B1930" s="147" t="str">
        <f t="shared" si="11"/>
        <v>*</v>
      </c>
      <c r="C1930" s="147" t="e">
        <f>CONCATENATE("IMP",Commodities!C$50,"R",RIGHT(C1291,2))</f>
        <v>#REF!</v>
      </c>
      <c r="D1930" s="147" t="str">
        <f>CONCATENATE("Import Pipeline Trade of ",Commodities!C$50, " to ",$B1930," from ",B1291)</f>
        <v>Import Pipeline Trade of DSH to * from *R3</v>
      </c>
      <c r="E1930" s="163" t="s">
        <v>196</v>
      </c>
      <c r="F1930" s="163" t="s">
        <v>318</v>
      </c>
    </row>
    <row r="1931" spans="2:6">
      <c r="B1931" s="147" t="str">
        <f t="shared" si="11"/>
        <v>*</v>
      </c>
      <c r="C1931" s="147" t="e">
        <f>CONCATENATE("IMP",Commodities!C$51,"R",RIGHT(C1292,2))</f>
        <v>#REF!</v>
      </c>
      <c r="D1931" s="147" t="str">
        <f>CONCATENATE("Import Pipeline Trade of ",Commodities!C$51, " to ",$B1931," from ",B1292)</f>
        <v>Import Pipeline Trade of DSL to * from *R3</v>
      </c>
      <c r="E1931" s="163" t="s">
        <v>196</v>
      </c>
      <c r="F1931" s="163" t="s">
        <v>318</v>
      </c>
    </row>
    <row r="1932" spans="2:6">
      <c r="B1932" s="147" t="str">
        <f t="shared" si="11"/>
        <v>*</v>
      </c>
      <c r="C1932" s="147" t="e">
        <f>CONCATENATE("IMP",Commodities!C$52,"R",RIGHT(C1293,2))</f>
        <v>#REF!</v>
      </c>
      <c r="D1932" s="147" t="str">
        <f>CONCATENATE("Import Pipeline Trade of ",Commodities!C$52, " to ",$B1932," from ",B1293)</f>
        <v>Import Pipeline Trade of DSU to * from *R3</v>
      </c>
      <c r="E1932" s="163" t="s">
        <v>196</v>
      </c>
      <c r="F1932" s="163" t="s">
        <v>318</v>
      </c>
    </row>
    <row r="1933" spans="2:6">
      <c r="B1933" s="147" t="str">
        <f t="shared" si="11"/>
        <v>*</v>
      </c>
      <c r="C1933" s="147" t="e">
        <f>CONCATENATE("IMP",Commodities!C$53,"R",RIGHT(C1294,2))</f>
        <v>#REF!</v>
      </c>
      <c r="D1933" s="147" t="str">
        <f>CONCATENATE("Import Pipeline Trade of ",Commodities!C$53, " to ",$B1933," from ",B1294)</f>
        <v>Import Pipeline Trade of JTF to * from *R3</v>
      </c>
      <c r="E1933" s="163" t="s">
        <v>196</v>
      </c>
      <c r="F1933" s="163" t="s">
        <v>318</v>
      </c>
    </row>
    <row r="1934" spans="2:6">
      <c r="B1934" s="147" t="str">
        <f t="shared" si="11"/>
        <v>*</v>
      </c>
      <c r="C1934" s="147" t="e">
        <f>CONCATENATE("IMP",Commodities!C$54,"R",RIGHT(C1295,2))</f>
        <v>#REF!</v>
      </c>
      <c r="D1934" s="147" t="str">
        <f>CONCATENATE("Import Pipeline Trade of ",Commodities!C$54, " to ",$B1934," from ",B1295)</f>
        <v>Import Pipeline Trade of KER to * from *R3</v>
      </c>
      <c r="E1934" s="163" t="s">
        <v>196</v>
      </c>
      <c r="F1934" s="163" t="s">
        <v>318</v>
      </c>
    </row>
    <row r="1935" spans="2:6">
      <c r="B1935" s="147" t="str">
        <f t="shared" si="11"/>
        <v>*</v>
      </c>
      <c r="C1935" s="147" t="e">
        <f>CONCATENATE("IMP",Commodities!C$55,"R",RIGHT(C1296,2))</f>
        <v>#REF!</v>
      </c>
      <c r="D1935" s="147" t="str">
        <f>CONCATENATE("Import Pipeline Trade of ",Commodities!C$55, " to ",$B1935," from ",B1296)</f>
        <v>Import Pipeline Trade of LPG to * from *R3</v>
      </c>
      <c r="E1935" s="163" t="s">
        <v>196</v>
      </c>
      <c r="F1935" s="163" t="s">
        <v>318</v>
      </c>
    </row>
    <row r="1936" spans="2:6">
      <c r="B1936" s="147" t="str">
        <f t="shared" si="11"/>
        <v>*</v>
      </c>
      <c r="C1936" s="147" t="e">
        <f>CONCATENATE("IMP",Commodities!C$56,"R",RIGHT(C1297,2))</f>
        <v>#REF!</v>
      </c>
      <c r="D1936" s="147" t="str">
        <f>CONCATENATE("Import Pipeline Trade of ",Commodities!C$56, " to ",$B1936," from ",B1297)</f>
        <v>Import Pipeline Trade of MTH to * from *R3</v>
      </c>
      <c r="E1936" s="163" t="s">
        <v>196</v>
      </c>
      <c r="F1936" s="163" t="s">
        <v>318</v>
      </c>
    </row>
    <row r="1937" spans="2:6">
      <c r="B1937" s="147" t="str">
        <f t="shared" si="11"/>
        <v>*</v>
      </c>
      <c r="C1937" s="147" t="e">
        <f>CONCATENATE("IMP",Commodities!C$57,"R",RIGHT(C1298,2))</f>
        <v>#REF!</v>
      </c>
      <c r="D1937" s="147" t="str">
        <f>CONCATENATE("Import Pipeline Trade of ",Commodities!C$57, " to ",$B1937," from ",B1298)</f>
        <v>Import Pipeline Trade of PFS to * from *R3</v>
      </c>
      <c r="E1937" s="163" t="s">
        <v>196</v>
      </c>
      <c r="F1937" s="163" t="s">
        <v>318</v>
      </c>
    </row>
    <row r="1938" spans="2:6">
      <c r="B1938" s="147" t="str">
        <f t="shared" si="11"/>
        <v>*</v>
      </c>
      <c r="C1938" s="147" t="e">
        <f>CONCATENATE("IMP",Commodities!C$58,"R",RIGHT(C1299,2))</f>
        <v>#REF!</v>
      </c>
      <c r="D1938" s="147" t="str">
        <f>CONCATENATE("Import Pipeline Trade of ",Commodities!C$58, " to ",$B1938," from ",B1299)</f>
        <v>Import Pipeline Trade of RFH to * from *R3</v>
      </c>
      <c r="E1938" s="163" t="s">
        <v>196</v>
      </c>
      <c r="F1938" s="163" t="s">
        <v>318</v>
      </c>
    </row>
    <row r="1939" spans="2:6">
      <c r="B1939" s="147" t="str">
        <f t="shared" si="11"/>
        <v>*</v>
      </c>
      <c r="C1939" s="147" t="e">
        <f>CONCATENATE("IMP",Commodities!C$59,"R",RIGHT(C1300,2))</f>
        <v>#REF!</v>
      </c>
      <c r="D1939" s="147" t="str">
        <f>CONCATENATE("Import Pipeline Trade of ",Commodities!C$59, " to ",$B1939," from ",B1300)</f>
        <v>Import Pipeline Trade of RFL to * from *R3</v>
      </c>
      <c r="E1939" s="163" t="s">
        <v>196</v>
      </c>
      <c r="F1939" s="163" t="s">
        <v>318</v>
      </c>
    </row>
    <row r="1940" spans="2:6">
      <c r="B1940" s="147" t="str">
        <f t="shared" si="11"/>
        <v>*</v>
      </c>
      <c r="C1940" s="147" t="e">
        <f>CONCATENATE("IMP",Commodities!C$60,"R",RIGHT(C1301,2))</f>
        <v>#REF!</v>
      </c>
      <c r="D1940" s="147" t="str">
        <f>CONCATENATE("Import Pipeline Trade of ",Commodities!C$60, " to ",$B1940," from ",B1301)</f>
        <v>Import Pipeline Trade of ASP to * from *R3</v>
      </c>
      <c r="E1940" s="163" t="s">
        <v>196</v>
      </c>
      <c r="F1940" s="163" t="s">
        <v>318</v>
      </c>
    </row>
    <row r="1941" spans="2:6">
      <c r="B1941" s="147" t="str">
        <f t="shared" si="11"/>
        <v>*</v>
      </c>
      <c r="C1941" s="147" t="e">
        <f>CONCATENATE("IMP",Commodities!C$48,"R",RIGHT(C1302,2))</f>
        <v>#REF!</v>
      </c>
      <c r="D1941" s="147" t="str">
        <f>CONCATENATE("Import Pipeline Trade of ",Commodities!C$48, " to ",$B1941," from ",B1302)</f>
        <v>Import Pipeline Trade of GSC to * from *R3</v>
      </c>
      <c r="E1941" s="163" t="s">
        <v>196</v>
      </c>
      <c r="F1941" s="163" t="s">
        <v>318</v>
      </c>
    </row>
    <row r="1942" spans="2:6">
      <c r="B1942" s="147" t="str">
        <f t="shared" si="11"/>
        <v>*</v>
      </c>
      <c r="C1942" s="147" t="e">
        <f>CONCATENATE("IMP",Commodities!C$49,"R",RIGHT(C1303,2))</f>
        <v>#REF!</v>
      </c>
      <c r="D1942" s="147" t="str">
        <f>CONCATENATE("Import Pipeline Trade of ",Commodities!C$49, " to ",$B1942," from ",B1303)</f>
        <v>Import Pipeline Trade of GSR to * from *R3</v>
      </c>
      <c r="E1942" s="163" t="s">
        <v>196</v>
      </c>
      <c r="F1942" s="163" t="s">
        <v>318</v>
      </c>
    </row>
    <row r="1943" spans="2:6">
      <c r="B1943" s="147" t="str">
        <f t="shared" si="11"/>
        <v>*</v>
      </c>
      <c r="C1943" s="147" t="e">
        <f>CONCATENATE("IMP",Commodities!C$50,"R",RIGHT(C1304,2))</f>
        <v>#REF!</v>
      </c>
      <c r="D1943" s="147" t="str">
        <f>CONCATENATE("Import Pipeline Trade of ",Commodities!C$50, " to ",$B1943," from ",B1304)</f>
        <v>Import Pipeline Trade of DSH to * from *R3</v>
      </c>
      <c r="E1943" s="163" t="s">
        <v>196</v>
      </c>
      <c r="F1943" s="163" t="s">
        <v>318</v>
      </c>
    </row>
    <row r="1944" spans="2:6">
      <c r="B1944" s="147" t="str">
        <f t="shared" si="11"/>
        <v>*</v>
      </c>
      <c r="C1944" s="147" t="e">
        <f>CONCATENATE("IMP",Commodities!C$51,"R",RIGHT(C1305,2))</f>
        <v>#REF!</v>
      </c>
      <c r="D1944" s="147" t="str">
        <f>CONCATENATE("Import Pipeline Trade of ",Commodities!C$51, " to ",$B1944," from ",B1305)</f>
        <v>Import Pipeline Trade of DSL to * from *R3</v>
      </c>
      <c r="E1944" s="163" t="s">
        <v>196</v>
      </c>
      <c r="F1944" s="163" t="s">
        <v>318</v>
      </c>
    </row>
    <row r="1945" spans="2:6">
      <c r="B1945" s="147" t="str">
        <f t="shared" si="11"/>
        <v>*</v>
      </c>
      <c r="C1945" s="147" t="e">
        <f>CONCATENATE("IMP",Commodities!C$52,"R",RIGHT(C1306,2))</f>
        <v>#REF!</v>
      </c>
      <c r="D1945" s="147" t="str">
        <f>CONCATENATE("Import Pipeline Trade of ",Commodities!C$52, " to ",$B1945," from ",B1306)</f>
        <v>Import Pipeline Trade of DSU to * from *R3</v>
      </c>
      <c r="E1945" s="163" t="s">
        <v>196</v>
      </c>
      <c r="F1945" s="163" t="s">
        <v>318</v>
      </c>
    </row>
    <row r="1946" spans="2:6">
      <c r="B1946" s="147" t="str">
        <f t="shared" si="11"/>
        <v>*</v>
      </c>
      <c r="C1946" s="147" t="e">
        <f>CONCATENATE("IMP",Commodities!C$53,"R",RIGHT(C1307,2))</f>
        <v>#REF!</v>
      </c>
      <c r="D1946" s="147" t="str">
        <f>CONCATENATE("Import Pipeline Trade of ",Commodities!C$53, " to ",$B1946," from ",B1307)</f>
        <v>Import Pipeline Trade of JTF to * from *R3</v>
      </c>
      <c r="E1946" s="163" t="s">
        <v>196</v>
      </c>
      <c r="F1946" s="163" t="s">
        <v>318</v>
      </c>
    </row>
    <row r="1947" spans="2:6">
      <c r="B1947" s="147" t="str">
        <f t="shared" si="11"/>
        <v>*</v>
      </c>
      <c r="C1947" s="147" t="e">
        <f>CONCATENATE("IMP",Commodities!C$54,"R",RIGHT(C1308,2))</f>
        <v>#REF!</v>
      </c>
      <c r="D1947" s="147" t="str">
        <f>CONCATENATE("Import Pipeline Trade of ",Commodities!C$54, " to ",$B1947," from ",B1308)</f>
        <v>Import Pipeline Trade of KER to * from *R3</v>
      </c>
      <c r="E1947" s="163" t="s">
        <v>196</v>
      </c>
      <c r="F1947" s="163" t="s">
        <v>318</v>
      </c>
    </row>
    <row r="1948" spans="2:6">
      <c r="B1948" s="147" t="str">
        <f t="shared" si="11"/>
        <v>*</v>
      </c>
      <c r="C1948" s="147" t="e">
        <f>CONCATENATE("IMP",Commodities!C$55,"R",RIGHT(C1309,2))</f>
        <v>#REF!</v>
      </c>
      <c r="D1948" s="147" t="str">
        <f>CONCATENATE("Import Pipeline Trade of ",Commodities!C$55, " to ",$B1948," from ",B1309)</f>
        <v>Import Pipeline Trade of LPG to * from *R3</v>
      </c>
      <c r="E1948" s="163" t="s">
        <v>196</v>
      </c>
      <c r="F1948" s="163" t="s">
        <v>318</v>
      </c>
    </row>
    <row r="1949" spans="2:6">
      <c r="B1949" s="147" t="str">
        <f t="shared" si="11"/>
        <v>*</v>
      </c>
      <c r="C1949" s="147" t="e">
        <f>CONCATENATE("IMP",Commodities!C$56,"R",RIGHT(C1310,2))</f>
        <v>#REF!</v>
      </c>
      <c r="D1949" s="147" t="str">
        <f>CONCATENATE("Import Pipeline Trade of ",Commodities!C$56, " to ",$B1949," from ",B1310)</f>
        <v>Import Pipeline Trade of MTH to * from *R3</v>
      </c>
      <c r="E1949" s="163" t="s">
        <v>196</v>
      </c>
      <c r="F1949" s="163" t="s">
        <v>318</v>
      </c>
    </row>
    <row r="1950" spans="2:6">
      <c r="B1950" s="147" t="str">
        <f t="shared" si="11"/>
        <v>*</v>
      </c>
      <c r="C1950" s="147" t="e">
        <f>CONCATENATE("IMP",Commodities!C$57,"R",RIGHT(C1311,2))</f>
        <v>#REF!</v>
      </c>
      <c r="D1950" s="147" t="str">
        <f>CONCATENATE("Import Pipeline Trade of ",Commodities!C$57, " to ",$B1950," from ",B1311)</f>
        <v>Import Pipeline Trade of PFS to * from *R3</v>
      </c>
      <c r="E1950" s="163" t="s">
        <v>196</v>
      </c>
      <c r="F1950" s="163" t="s">
        <v>318</v>
      </c>
    </row>
    <row r="1951" spans="2:6">
      <c r="B1951" s="147" t="str">
        <f t="shared" si="11"/>
        <v>*</v>
      </c>
      <c r="C1951" s="147" t="e">
        <f>CONCATENATE("IMP",Commodities!C$58,"R",RIGHT(C1312,2))</f>
        <v>#REF!</v>
      </c>
      <c r="D1951" s="147" t="str">
        <f>CONCATENATE("Import Pipeline Trade of ",Commodities!C$58, " to ",$B1951," from ",B1312)</f>
        <v>Import Pipeline Trade of RFH to * from *R3</v>
      </c>
      <c r="E1951" s="163" t="s">
        <v>196</v>
      </c>
      <c r="F1951" s="163" t="s">
        <v>318</v>
      </c>
    </row>
    <row r="1952" spans="2:6">
      <c r="B1952" s="147" t="str">
        <f t="shared" si="11"/>
        <v>*</v>
      </c>
      <c r="C1952" s="147" t="e">
        <f>CONCATENATE("IMP",Commodities!C$59,"R",RIGHT(C1313,2))</f>
        <v>#REF!</v>
      </c>
      <c r="D1952" s="147" t="str">
        <f>CONCATENATE("Import Pipeline Trade of ",Commodities!C$59, " to ",$B1952," from ",B1313)</f>
        <v>Import Pipeline Trade of RFL to * from *R3</v>
      </c>
      <c r="E1952" s="163" t="s">
        <v>196</v>
      </c>
      <c r="F1952" s="163" t="s">
        <v>318</v>
      </c>
    </row>
    <row r="1953" spans="2:6">
      <c r="B1953" s="147" t="str">
        <f t="shared" si="11"/>
        <v>*</v>
      </c>
      <c r="C1953" s="147" t="e">
        <f>CONCATENATE("IMP",Commodities!C$60,"R",RIGHT(C1314,2))</f>
        <v>#REF!</v>
      </c>
      <c r="D1953" s="147" t="str">
        <f>CONCATENATE("Import Pipeline Trade of ",Commodities!C$60, " to ",$B1953," from ",B1314)</f>
        <v>Import Pipeline Trade of ASP to * from *R3</v>
      </c>
      <c r="E1953" s="163" t="s">
        <v>196</v>
      </c>
      <c r="F1953" s="163" t="s">
        <v>318</v>
      </c>
    </row>
    <row r="1954" spans="2:6">
      <c r="B1954" s="147" t="str">
        <f t="shared" si="11"/>
        <v>*</v>
      </c>
      <c r="C1954" s="147" t="e">
        <f>CONCATENATE("IMP",Commodities!C$48,"R",RIGHT(C1315,2))</f>
        <v>#REF!</v>
      </c>
      <c r="D1954" s="147" t="str">
        <f>CONCATENATE("Import Pipeline Trade of ",Commodities!C$48, " to ",$B1954," from ",B1315)</f>
        <v>Import Pipeline Trade of GSC to * from *R3</v>
      </c>
      <c r="E1954" s="163" t="s">
        <v>196</v>
      </c>
      <c r="F1954" s="163" t="s">
        <v>318</v>
      </c>
    </row>
    <row r="1955" spans="2:6">
      <c r="B1955" s="147" t="str">
        <f t="shared" si="11"/>
        <v>*</v>
      </c>
      <c r="C1955" s="147" t="e">
        <f>CONCATENATE("IMP",Commodities!C$49,"R",RIGHT(C1316,2))</f>
        <v>#REF!</v>
      </c>
      <c r="D1955" s="147" t="str">
        <f>CONCATENATE("Import Pipeline Trade of ",Commodities!C$49, " to ",$B1955," from ",B1316)</f>
        <v>Import Pipeline Trade of GSR to * from *R3</v>
      </c>
      <c r="E1955" s="163" t="s">
        <v>196</v>
      </c>
      <c r="F1955" s="163" t="s">
        <v>318</v>
      </c>
    </row>
    <row r="1956" spans="2:6">
      <c r="B1956" s="147" t="str">
        <f t="shared" si="11"/>
        <v>*</v>
      </c>
      <c r="C1956" s="147" t="e">
        <f>CONCATENATE("IMP",Commodities!C$50,"R",RIGHT(C1317,2))</f>
        <v>#REF!</v>
      </c>
      <c r="D1956" s="147" t="str">
        <f>CONCATENATE("Import Pipeline Trade of ",Commodities!C$50, " to ",$B1956," from ",B1317)</f>
        <v>Import Pipeline Trade of DSH to * from *R3</v>
      </c>
      <c r="E1956" s="163" t="s">
        <v>196</v>
      </c>
      <c r="F1956" s="163" t="s">
        <v>318</v>
      </c>
    </row>
    <row r="1957" spans="2:6">
      <c r="B1957" s="147" t="str">
        <f t="shared" si="11"/>
        <v>*</v>
      </c>
      <c r="C1957" s="147" t="e">
        <f>CONCATENATE("IMP",Commodities!C$51,"R",RIGHT(C1318,2))</f>
        <v>#REF!</v>
      </c>
      <c r="D1957" s="147" t="str">
        <f>CONCATENATE("Import Pipeline Trade of ",Commodities!C$51, " to ",$B1957," from ",B1318)</f>
        <v>Import Pipeline Trade of DSL to * from *R3</v>
      </c>
      <c r="E1957" s="163" t="s">
        <v>196</v>
      </c>
      <c r="F1957" s="163" t="s">
        <v>318</v>
      </c>
    </row>
    <row r="1958" spans="2:6">
      <c r="B1958" s="147" t="str">
        <f t="shared" si="11"/>
        <v>*</v>
      </c>
      <c r="C1958" s="147" t="e">
        <f>CONCATENATE("IMP",Commodities!C$52,"R",RIGHT(C1319,2))</f>
        <v>#REF!</v>
      </c>
      <c r="D1958" s="147" t="str">
        <f>CONCATENATE("Import Pipeline Trade of ",Commodities!C$52, " to ",$B1958," from ",B1319)</f>
        <v>Import Pipeline Trade of DSU to * from *R3</v>
      </c>
      <c r="E1958" s="163" t="s">
        <v>196</v>
      </c>
      <c r="F1958" s="163" t="s">
        <v>318</v>
      </c>
    </row>
    <row r="1959" spans="2:6">
      <c r="B1959" s="147" t="str">
        <f t="shared" si="11"/>
        <v>*</v>
      </c>
      <c r="C1959" s="147" t="e">
        <f>CONCATENATE("IMP",Commodities!C$53,"R",RIGHT(C1320,2))</f>
        <v>#REF!</v>
      </c>
      <c r="D1959" s="147" t="str">
        <f>CONCATENATE("Import Pipeline Trade of ",Commodities!C$53, " to ",$B1959," from ",B1320)</f>
        <v>Import Pipeline Trade of JTF to * from *R3</v>
      </c>
      <c r="E1959" s="163" t="s">
        <v>196</v>
      </c>
      <c r="F1959" s="163" t="s">
        <v>318</v>
      </c>
    </row>
    <row r="1960" spans="2:6">
      <c r="B1960" s="147" t="str">
        <f t="shared" si="11"/>
        <v>*</v>
      </c>
      <c r="C1960" s="147" t="e">
        <f>CONCATENATE("IMP",Commodities!C$54,"R",RIGHT(C1321,2))</f>
        <v>#REF!</v>
      </c>
      <c r="D1960" s="147" t="str">
        <f>CONCATENATE("Import Pipeline Trade of ",Commodities!C$54, " to ",$B1960," from ",B1321)</f>
        <v>Import Pipeline Trade of KER to * from *R3</v>
      </c>
      <c r="E1960" s="163" t="s">
        <v>196</v>
      </c>
      <c r="F1960" s="163" t="s">
        <v>318</v>
      </c>
    </row>
    <row r="1961" spans="2:6">
      <c r="B1961" s="147" t="str">
        <f t="shared" si="11"/>
        <v>*</v>
      </c>
      <c r="C1961" s="147" t="e">
        <f>CONCATENATE("IMP",Commodities!C$55,"R",RIGHT(C1322,2))</f>
        <v>#REF!</v>
      </c>
      <c r="D1961" s="147" t="str">
        <f>CONCATENATE("Import Pipeline Trade of ",Commodities!C$55, " to ",$B1961," from ",B1322)</f>
        <v>Import Pipeline Trade of LPG to * from *R3</v>
      </c>
      <c r="E1961" s="163" t="s">
        <v>196</v>
      </c>
      <c r="F1961" s="163" t="s">
        <v>318</v>
      </c>
    </row>
    <row r="1962" spans="2:6">
      <c r="B1962" s="147" t="str">
        <f t="shared" si="11"/>
        <v>*</v>
      </c>
      <c r="C1962" s="147" t="e">
        <f>CONCATENATE("IMP",Commodities!C$56,"R",RIGHT(C1323,2))</f>
        <v>#REF!</v>
      </c>
      <c r="D1962" s="147" t="str">
        <f>CONCATENATE("Import Pipeline Trade of ",Commodities!C$56, " to ",$B1962," from ",B1323)</f>
        <v>Import Pipeline Trade of MTH to * from *R3</v>
      </c>
      <c r="E1962" s="163" t="s">
        <v>196</v>
      </c>
      <c r="F1962" s="163" t="s">
        <v>318</v>
      </c>
    </row>
    <row r="1963" spans="2:6">
      <c r="B1963" s="147" t="str">
        <f t="shared" si="11"/>
        <v>*</v>
      </c>
      <c r="C1963" s="147" t="e">
        <f>CONCATENATE("IMP",Commodities!C$57,"R",RIGHT(C1324,2))</f>
        <v>#REF!</v>
      </c>
      <c r="D1963" s="147" t="str">
        <f>CONCATENATE("Import Pipeline Trade of ",Commodities!C$57, " to ",$B1963," from ",B1324)</f>
        <v>Import Pipeline Trade of PFS to * from *R3</v>
      </c>
      <c r="E1963" s="163" t="s">
        <v>196</v>
      </c>
      <c r="F1963" s="163" t="s">
        <v>318</v>
      </c>
    </row>
    <row r="1964" spans="2:6">
      <c r="B1964" s="147" t="str">
        <f t="shared" si="11"/>
        <v>*</v>
      </c>
      <c r="C1964" s="147" t="e">
        <f>CONCATENATE("IMP",Commodities!C$58,"R",RIGHT(C1325,2))</f>
        <v>#REF!</v>
      </c>
      <c r="D1964" s="147" t="str">
        <f>CONCATENATE("Import Pipeline Trade of ",Commodities!C$58, " to ",$B1964," from ",B1325)</f>
        <v>Import Pipeline Trade of RFH to * from *R3</v>
      </c>
      <c r="E1964" s="163" t="s">
        <v>196</v>
      </c>
      <c r="F1964" s="163" t="s">
        <v>318</v>
      </c>
    </row>
    <row r="1965" spans="2:6">
      <c r="B1965" s="147" t="str">
        <f t="shared" si="11"/>
        <v>*</v>
      </c>
      <c r="C1965" s="147" t="e">
        <f>CONCATENATE("IMP",Commodities!C$59,"R",RIGHT(C1326,2))</f>
        <v>#REF!</v>
      </c>
      <c r="D1965" s="147" t="str">
        <f>CONCATENATE("Import Pipeline Trade of ",Commodities!C$59, " to ",$B1965," from ",B1326)</f>
        <v>Import Pipeline Trade of RFL to * from *R3</v>
      </c>
      <c r="E1965" s="163" t="s">
        <v>196</v>
      </c>
      <c r="F1965" s="163" t="s">
        <v>318</v>
      </c>
    </row>
    <row r="1966" spans="2:6">
      <c r="B1966" s="147" t="str">
        <f t="shared" si="11"/>
        <v>*</v>
      </c>
      <c r="C1966" s="147" t="e">
        <f>CONCATENATE("IMP",Commodities!C$60,"R",RIGHT(C1327,2))</f>
        <v>#REF!</v>
      </c>
      <c r="D1966" s="147" t="str">
        <f>CONCATENATE("Import Pipeline Trade of ",Commodities!C$60, " to ",$B1966," from ",B1327)</f>
        <v>Import Pipeline Trade of ASP to * from *R3</v>
      </c>
      <c r="E1966" s="163" t="s">
        <v>196</v>
      </c>
      <c r="F1966" s="163" t="s">
        <v>318</v>
      </c>
    </row>
    <row r="1967" spans="2:6">
      <c r="B1967" s="147" t="str">
        <f t="shared" si="11"/>
        <v>*</v>
      </c>
      <c r="C1967" s="147" t="e">
        <f>CONCATENATE("IMP",Commodities!C$48,"R",RIGHT(C1328,2))</f>
        <v>#REF!</v>
      </c>
      <c r="D1967" s="147" t="str">
        <f>CONCATENATE("Import Pipeline Trade of ",Commodities!C$48, " to ",$B1967," from ",B1328)</f>
        <v>Import Pipeline Trade of GSC to * from *R4</v>
      </c>
      <c r="E1967" s="163" t="s">
        <v>196</v>
      </c>
      <c r="F1967" s="163" t="s">
        <v>318</v>
      </c>
    </row>
    <row r="1968" spans="2:6">
      <c r="B1968" s="147" t="str">
        <f t="shared" si="11"/>
        <v>*</v>
      </c>
      <c r="C1968" s="147" t="e">
        <f>CONCATENATE("IMP",Commodities!C$49,"R",RIGHT(C1329,2))</f>
        <v>#REF!</v>
      </c>
      <c r="D1968" s="147" t="str">
        <f>CONCATENATE("Import Pipeline Trade of ",Commodities!C$49, " to ",$B1968," from ",B1329)</f>
        <v>Import Pipeline Trade of GSR to * from *R4</v>
      </c>
      <c r="E1968" s="163" t="s">
        <v>196</v>
      </c>
      <c r="F1968" s="163" t="s">
        <v>318</v>
      </c>
    </row>
    <row r="1969" spans="2:6">
      <c r="B1969" s="147" t="str">
        <f t="shared" si="11"/>
        <v>*</v>
      </c>
      <c r="C1969" s="147" t="e">
        <f>CONCATENATE("IMP",Commodities!C$50,"R",RIGHT(C1330,2))</f>
        <v>#REF!</v>
      </c>
      <c r="D1969" s="147" t="str">
        <f>CONCATENATE("Import Pipeline Trade of ",Commodities!C$50, " to ",$B1969," from ",B1330)</f>
        <v>Import Pipeline Trade of DSH to * from *R4</v>
      </c>
      <c r="E1969" s="163" t="s">
        <v>196</v>
      </c>
      <c r="F1969" s="163" t="s">
        <v>318</v>
      </c>
    </row>
    <row r="1970" spans="2:6">
      <c r="B1970" s="147" t="str">
        <f t="shared" si="11"/>
        <v>*</v>
      </c>
      <c r="C1970" s="147" t="e">
        <f>CONCATENATE("IMP",Commodities!C$51,"R",RIGHT(C1331,2))</f>
        <v>#REF!</v>
      </c>
      <c r="D1970" s="147" t="str">
        <f>CONCATENATE("Import Pipeline Trade of ",Commodities!C$51, " to ",$B1970," from ",B1331)</f>
        <v>Import Pipeline Trade of DSL to * from *R4</v>
      </c>
      <c r="E1970" s="163" t="s">
        <v>196</v>
      </c>
      <c r="F1970" s="163" t="s">
        <v>318</v>
      </c>
    </row>
    <row r="1971" spans="2:6">
      <c r="B1971" s="147" t="str">
        <f t="shared" si="11"/>
        <v>*</v>
      </c>
      <c r="C1971" s="147" t="e">
        <f>CONCATENATE("IMP",Commodities!C$52,"R",RIGHT(C1332,2))</f>
        <v>#REF!</v>
      </c>
      <c r="D1971" s="147" t="str">
        <f>CONCATENATE("Import Pipeline Trade of ",Commodities!C$52, " to ",$B1971," from ",B1332)</f>
        <v>Import Pipeline Trade of DSU to * from *R4</v>
      </c>
      <c r="E1971" s="163" t="s">
        <v>196</v>
      </c>
      <c r="F1971" s="163" t="s">
        <v>318</v>
      </c>
    </row>
    <row r="1972" spans="2:6">
      <c r="B1972" s="147" t="str">
        <f t="shared" si="11"/>
        <v>*</v>
      </c>
      <c r="C1972" s="147" t="e">
        <f>CONCATENATE("IMP",Commodities!C$53,"R",RIGHT(C1333,2))</f>
        <v>#REF!</v>
      </c>
      <c r="D1972" s="147" t="str">
        <f>CONCATENATE("Import Pipeline Trade of ",Commodities!C$53, " to ",$B1972," from ",B1333)</f>
        <v>Import Pipeline Trade of JTF to * from *R4</v>
      </c>
      <c r="E1972" s="163" t="s">
        <v>196</v>
      </c>
      <c r="F1972" s="163" t="s">
        <v>318</v>
      </c>
    </row>
    <row r="1973" spans="2:6">
      <c r="B1973" s="147" t="str">
        <f t="shared" si="11"/>
        <v>*</v>
      </c>
      <c r="C1973" s="147" t="e">
        <f>CONCATENATE("IMP",Commodities!C$54,"R",RIGHT(C1334,2))</f>
        <v>#REF!</v>
      </c>
      <c r="D1973" s="147" t="str">
        <f>CONCATENATE("Import Pipeline Trade of ",Commodities!C$54, " to ",$B1973," from ",B1334)</f>
        <v>Import Pipeline Trade of KER to * from *R4</v>
      </c>
      <c r="E1973" s="163" t="s">
        <v>196</v>
      </c>
      <c r="F1973" s="163" t="s">
        <v>318</v>
      </c>
    </row>
    <row r="1974" spans="2:6">
      <c r="B1974" s="147" t="str">
        <f t="shared" si="11"/>
        <v>*</v>
      </c>
      <c r="C1974" s="147" t="e">
        <f>CONCATENATE("IMP",Commodities!C$55,"R",RIGHT(C1335,2))</f>
        <v>#REF!</v>
      </c>
      <c r="D1974" s="147" t="str">
        <f>CONCATENATE("Import Pipeline Trade of ",Commodities!C$55, " to ",$B1974," from ",B1335)</f>
        <v>Import Pipeline Trade of LPG to * from *R4</v>
      </c>
      <c r="E1974" s="163" t="s">
        <v>196</v>
      </c>
      <c r="F1974" s="163" t="s">
        <v>318</v>
      </c>
    </row>
    <row r="1975" spans="2:6">
      <c r="B1975" s="147" t="str">
        <f t="shared" si="11"/>
        <v>*</v>
      </c>
      <c r="C1975" s="147" t="e">
        <f>CONCATENATE("IMP",Commodities!C$56,"R",RIGHT(C1336,2))</f>
        <v>#REF!</v>
      </c>
      <c r="D1975" s="147" t="str">
        <f>CONCATENATE("Import Pipeline Trade of ",Commodities!C$56, " to ",$B1975," from ",B1336)</f>
        <v>Import Pipeline Trade of MTH to * from *R4</v>
      </c>
      <c r="E1975" s="163" t="s">
        <v>196</v>
      </c>
      <c r="F1975" s="163" t="s">
        <v>318</v>
      </c>
    </row>
    <row r="1976" spans="2:6">
      <c r="B1976" s="147" t="str">
        <f t="shared" si="11"/>
        <v>*</v>
      </c>
      <c r="C1976" s="147" t="e">
        <f>CONCATENATE("IMP",Commodities!C$57,"R",RIGHT(C1337,2))</f>
        <v>#REF!</v>
      </c>
      <c r="D1976" s="147" t="str">
        <f>CONCATENATE("Import Pipeline Trade of ",Commodities!C$57, " to ",$B1976," from ",B1337)</f>
        <v>Import Pipeline Trade of PFS to * from *R4</v>
      </c>
      <c r="E1976" s="163" t="s">
        <v>196</v>
      </c>
      <c r="F1976" s="163" t="s">
        <v>318</v>
      </c>
    </row>
    <row r="1977" spans="2:6">
      <c r="B1977" s="147" t="str">
        <f t="shared" si="11"/>
        <v>*</v>
      </c>
      <c r="C1977" s="147" t="e">
        <f>CONCATENATE("IMP",Commodities!C$58,"R",RIGHT(C1338,2))</f>
        <v>#REF!</v>
      </c>
      <c r="D1977" s="147" t="str">
        <f>CONCATENATE("Import Pipeline Trade of ",Commodities!C$58, " to ",$B1977," from ",B1338)</f>
        <v>Import Pipeline Trade of RFH to * from *R4</v>
      </c>
      <c r="E1977" s="163" t="s">
        <v>196</v>
      </c>
      <c r="F1977" s="163" t="s">
        <v>318</v>
      </c>
    </row>
    <row r="1978" spans="2:6">
      <c r="B1978" s="147" t="str">
        <f t="shared" si="11"/>
        <v>*</v>
      </c>
      <c r="C1978" s="147" t="e">
        <f>CONCATENATE("IMP",Commodities!C$59,"R",RIGHT(C1339,2))</f>
        <v>#REF!</v>
      </c>
      <c r="D1978" s="147" t="str">
        <f>CONCATENATE("Import Pipeline Trade of ",Commodities!C$59, " to ",$B1978," from ",B1339)</f>
        <v>Import Pipeline Trade of RFL to * from *R4</v>
      </c>
      <c r="E1978" s="163" t="s">
        <v>196</v>
      </c>
      <c r="F1978" s="163" t="s">
        <v>318</v>
      </c>
    </row>
    <row r="1979" spans="2:6">
      <c r="B1979" s="147" t="str">
        <f t="shared" ref="B1979:B2042" si="12">IF(LEFT(B1340,1)="*","*",CONCATENATE("R",RIGHT(C1979,1)))</f>
        <v>*</v>
      </c>
      <c r="C1979" s="147" t="e">
        <f>CONCATENATE("IMP",Commodities!C$60,"R",RIGHT(C1340,2))</f>
        <v>#REF!</v>
      </c>
      <c r="D1979" s="147" t="str">
        <f>CONCATENATE("Import Pipeline Trade of ",Commodities!C$60, " to ",$B1979," from ",B1340)</f>
        <v>Import Pipeline Trade of ASP to * from *R4</v>
      </c>
      <c r="E1979" s="163" t="s">
        <v>196</v>
      </c>
      <c r="F1979" s="163" t="s">
        <v>318</v>
      </c>
    </row>
    <row r="1980" spans="2:6">
      <c r="B1980" s="147" t="str">
        <f t="shared" si="12"/>
        <v>*</v>
      </c>
      <c r="C1980" s="147" t="e">
        <f>CONCATENATE("IMP",Commodities!C$48,"R",RIGHT(C1341,2))</f>
        <v>#REF!</v>
      </c>
      <c r="D1980" s="147" t="str">
        <f>CONCATENATE("Import Pipeline Trade of ",Commodities!C$48, " to ",$B1980," from ",B1341)</f>
        <v>Import Pipeline Trade of GSC to * from *R4</v>
      </c>
      <c r="E1980" s="163" t="s">
        <v>196</v>
      </c>
      <c r="F1980" s="163" t="s">
        <v>318</v>
      </c>
    </row>
    <row r="1981" spans="2:6">
      <c r="B1981" s="147" t="str">
        <f t="shared" si="12"/>
        <v>*</v>
      </c>
      <c r="C1981" s="147" t="e">
        <f>CONCATENATE("IMP",Commodities!C$49,"R",RIGHT(C1342,2))</f>
        <v>#REF!</v>
      </c>
      <c r="D1981" s="147" t="str">
        <f>CONCATENATE("Import Pipeline Trade of ",Commodities!C$49, " to ",$B1981," from ",B1342)</f>
        <v>Import Pipeline Trade of GSR to * from *R4</v>
      </c>
      <c r="E1981" s="163" t="s">
        <v>196</v>
      </c>
      <c r="F1981" s="163" t="s">
        <v>318</v>
      </c>
    </row>
    <row r="1982" spans="2:6">
      <c r="B1982" s="147" t="str">
        <f t="shared" si="12"/>
        <v>*</v>
      </c>
      <c r="C1982" s="147" t="e">
        <f>CONCATENATE("IMP",Commodities!C$50,"R",RIGHT(C1343,2))</f>
        <v>#REF!</v>
      </c>
      <c r="D1982" s="147" t="str">
        <f>CONCATENATE("Import Pipeline Trade of ",Commodities!C$50, " to ",$B1982," from ",B1343)</f>
        <v>Import Pipeline Trade of DSH to * from *R4</v>
      </c>
      <c r="E1982" s="163" t="s">
        <v>196</v>
      </c>
      <c r="F1982" s="163" t="s">
        <v>318</v>
      </c>
    </row>
    <row r="1983" spans="2:6">
      <c r="B1983" s="147" t="str">
        <f t="shared" si="12"/>
        <v>*</v>
      </c>
      <c r="C1983" s="147" t="e">
        <f>CONCATENATE("IMP",Commodities!C$51,"R",RIGHT(C1344,2))</f>
        <v>#REF!</v>
      </c>
      <c r="D1983" s="147" t="str">
        <f>CONCATENATE("Import Pipeline Trade of ",Commodities!C$51, " to ",$B1983," from ",B1344)</f>
        <v>Import Pipeline Trade of DSL to * from *R4</v>
      </c>
      <c r="E1983" s="163" t="s">
        <v>196</v>
      </c>
      <c r="F1983" s="163" t="s">
        <v>318</v>
      </c>
    </row>
    <row r="1984" spans="2:6">
      <c r="B1984" s="147" t="str">
        <f t="shared" si="12"/>
        <v>*</v>
      </c>
      <c r="C1984" s="147" t="e">
        <f>CONCATENATE("IMP",Commodities!C$52,"R",RIGHT(C1345,2))</f>
        <v>#REF!</v>
      </c>
      <c r="D1984" s="147" t="str">
        <f>CONCATENATE("Import Pipeline Trade of ",Commodities!C$52, " to ",$B1984," from ",B1345)</f>
        <v>Import Pipeline Trade of DSU to * from *R4</v>
      </c>
      <c r="E1984" s="163" t="s">
        <v>196</v>
      </c>
      <c r="F1984" s="163" t="s">
        <v>318</v>
      </c>
    </row>
    <row r="1985" spans="2:6">
      <c r="B1985" s="147" t="str">
        <f t="shared" si="12"/>
        <v>*</v>
      </c>
      <c r="C1985" s="147" t="e">
        <f>CONCATENATE("IMP",Commodities!C$53,"R",RIGHT(C1346,2))</f>
        <v>#REF!</v>
      </c>
      <c r="D1985" s="147" t="str">
        <f>CONCATENATE("Import Pipeline Trade of ",Commodities!C$53, " to ",$B1985," from ",B1346)</f>
        <v>Import Pipeline Trade of JTF to * from *R4</v>
      </c>
      <c r="E1985" s="163" t="s">
        <v>196</v>
      </c>
      <c r="F1985" s="163" t="s">
        <v>318</v>
      </c>
    </row>
    <row r="1986" spans="2:6">
      <c r="B1986" s="147" t="str">
        <f t="shared" si="12"/>
        <v>*</v>
      </c>
      <c r="C1986" s="147" t="e">
        <f>CONCATENATE("IMP",Commodities!C$54,"R",RIGHT(C1347,2))</f>
        <v>#REF!</v>
      </c>
      <c r="D1986" s="147" t="str">
        <f>CONCATENATE("Import Pipeline Trade of ",Commodities!C$54, " to ",$B1986," from ",B1347)</f>
        <v>Import Pipeline Trade of KER to * from *R4</v>
      </c>
      <c r="E1986" s="163" t="s">
        <v>196</v>
      </c>
      <c r="F1986" s="163" t="s">
        <v>318</v>
      </c>
    </row>
    <row r="1987" spans="2:6">
      <c r="B1987" s="147" t="str">
        <f t="shared" si="12"/>
        <v>*</v>
      </c>
      <c r="C1987" s="147" t="e">
        <f>CONCATENATE("IMP",Commodities!C$55,"R",RIGHT(C1348,2))</f>
        <v>#REF!</v>
      </c>
      <c r="D1987" s="147" t="str">
        <f>CONCATENATE("Import Pipeline Trade of ",Commodities!C$55, " to ",$B1987," from ",B1348)</f>
        <v>Import Pipeline Trade of LPG to * from *R4</v>
      </c>
      <c r="E1987" s="163" t="s">
        <v>196</v>
      </c>
      <c r="F1987" s="163" t="s">
        <v>318</v>
      </c>
    </row>
    <row r="1988" spans="2:6">
      <c r="B1988" s="147" t="str">
        <f t="shared" si="12"/>
        <v>*</v>
      </c>
      <c r="C1988" s="147" t="e">
        <f>CONCATENATE("IMP",Commodities!C$56,"R",RIGHT(C1349,2))</f>
        <v>#REF!</v>
      </c>
      <c r="D1988" s="147" t="str">
        <f>CONCATENATE("Import Pipeline Trade of ",Commodities!C$56, " to ",$B1988," from ",B1349)</f>
        <v>Import Pipeline Trade of MTH to * from *R4</v>
      </c>
      <c r="E1988" s="163" t="s">
        <v>196</v>
      </c>
      <c r="F1988" s="163" t="s">
        <v>318</v>
      </c>
    </row>
    <row r="1989" spans="2:6">
      <c r="B1989" s="147" t="str">
        <f t="shared" si="12"/>
        <v>*</v>
      </c>
      <c r="C1989" s="147" t="e">
        <f>CONCATENATE("IMP",Commodities!C$57,"R",RIGHT(C1350,2))</f>
        <v>#REF!</v>
      </c>
      <c r="D1989" s="147" t="str">
        <f>CONCATENATE("Import Pipeline Trade of ",Commodities!C$57, " to ",$B1989," from ",B1350)</f>
        <v>Import Pipeline Trade of PFS to * from *R4</v>
      </c>
      <c r="E1989" s="163" t="s">
        <v>196</v>
      </c>
      <c r="F1989" s="163" t="s">
        <v>318</v>
      </c>
    </row>
    <row r="1990" spans="2:6">
      <c r="B1990" s="147" t="str">
        <f t="shared" si="12"/>
        <v>*</v>
      </c>
      <c r="C1990" s="147" t="e">
        <f>CONCATENATE("IMP",Commodities!C$58,"R",RIGHT(C1351,2))</f>
        <v>#REF!</v>
      </c>
      <c r="D1990" s="147" t="str">
        <f>CONCATENATE("Import Pipeline Trade of ",Commodities!C$58, " to ",$B1990," from ",B1351)</f>
        <v>Import Pipeline Trade of RFH to * from *R4</v>
      </c>
      <c r="E1990" s="163" t="s">
        <v>196</v>
      </c>
      <c r="F1990" s="163" t="s">
        <v>318</v>
      </c>
    </row>
    <row r="1991" spans="2:6">
      <c r="B1991" s="147" t="str">
        <f t="shared" si="12"/>
        <v>*</v>
      </c>
      <c r="C1991" s="147" t="e">
        <f>CONCATENATE("IMP",Commodities!C$59,"R",RIGHT(C1352,2))</f>
        <v>#REF!</v>
      </c>
      <c r="D1991" s="147" t="str">
        <f>CONCATENATE("Import Pipeline Trade of ",Commodities!C$59, " to ",$B1991," from ",B1352)</f>
        <v>Import Pipeline Trade of RFL to * from *R4</v>
      </c>
      <c r="E1991" s="163" t="s">
        <v>196</v>
      </c>
      <c r="F1991" s="163" t="s">
        <v>318</v>
      </c>
    </row>
    <row r="1992" spans="2:6">
      <c r="B1992" s="147" t="str">
        <f t="shared" si="12"/>
        <v>*</v>
      </c>
      <c r="C1992" s="147" t="e">
        <f>CONCATENATE("IMP",Commodities!C$60,"R",RIGHT(C1353,2))</f>
        <v>#REF!</v>
      </c>
      <c r="D1992" s="147" t="str">
        <f>CONCATENATE("Import Pipeline Trade of ",Commodities!C$60, " to ",$B1992," from ",B1353)</f>
        <v>Import Pipeline Trade of ASP to * from *R4</v>
      </c>
      <c r="E1992" s="163" t="s">
        <v>196</v>
      </c>
      <c r="F1992" s="163" t="s">
        <v>318</v>
      </c>
    </row>
    <row r="1993" spans="2:6">
      <c r="B1993" s="147" t="e">
        <f t="shared" si="12"/>
        <v>#REF!</v>
      </c>
      <c r="C1993" s="147" t="e">
        <f>CONCATENATE("IMP",Commodities!C$48,"R",RIGHT(C1354,2))</f>
        <v>#REF!</v>
      </c>
      <c r="D1993" s="147" t="e">
        <f>CONCATENATE("Import Pipeline Trade of ",Commodities!C$48, " to ",$B1993," from ",B1354)</f>
        <v>#REF!</v>
      </c>
      <c r="E1993" s="163" t="s">
        <v>196</v>
      </c>
      <c r="F1993" s="163" t="s">
        <v>318</v>
      </c>
    </row>
    <row r="1994" spans="2:6">
      <c r="B1994" s="147" t="e">
        <f t="shared" si="12"/>
        <v>#REF!</v>
      </c>
      <c r="C1994" s="147" t="e">
        <f>CONCATENATE("IMP",Commodities!C$49,"R",RIGHT(C1355,2))</f>
        <v>#REF!</v>
      </c>
      <c r="D1994" s="147" t="e">
        <f>CONCATENATE("Import Pipeline Trade of ",Commodities!C$49, " to ",$B1994," from ",B1355)</f>
        <v>#REF!</v>
      </c>
      <c r="E1994" s="163" t="s">
        <v>196</v>
      </c>
      <c r="F1994" s="163" t="s">
        <v>318</v>
      </c>
    </row>
    <row r="1995" spans="2:6">
      <c r="B1995" s="147" t="e">
        <f t="shared" si="12"/>
        <v>#REF!</v>
      </c>
      <c r="C1995" s="147" t="e">
        <f>CONCATENATE("IMP",Commodities!C$50,"R",RIGHT(C1356,2))</f>
        <v>#REF!</v>
      </c>
      <c r="D1995" s="147" t="e">
        <f>CONCATENATE("Import Pipeline Trade of ",Commodities!C$50, " to ",$B1995," from ",B1356)</f>
        <v>#REF!</v>
      </c>
      <c r="E1995" s="163" t="s">
        <v>196</v>
      </c>
      <c r="F1995" s="163" t="s">
        <v>318</v>
      </c>
    </row>
    <row r="1996" spans="2:6">
      <c r="B1996" s="147" t="e">
        <f t="shared" si="12"/>
        <v>#REF!</v>
      </c>
      <c r="C1996" s="147" t="e">
        <f>CONCATENATE("IMP",Commodities!C$51,"R",RIGHT(C1357,2))</f>
        <v>#REF!</v>
      </c>
      <c r="D1996" s="147" t="e">
        <f>CONCATENATE("Import Pipeline Trade of ",Commodities!C$51, " to ",$B1996," from ",B1357)</f>
        <v>#REF!</v>
      </c>
      <c r="E1996" s="163" t="s">
        <v>196</v>
      </c>
      <c r="F1996" s="163" t="s">
        <v>318</v>
      </c>
    </row>
    <row r="1997" spans="2:6">
      <c r="B1997" s="147" t="e">
        <f t="shared" si="12"/>
        <v>#REF!</v>
      </c>
      <c r="C1997" s="147" t="e">
        <f>CONCATENATE("IMP",Commodities!C$52,"R",RIGHT(C1358,2))</f>
        <v>#REF!</v>
      </c>
      <c r="D1997" s="147" t="e">
        <f>CONCATENATE("Import Pipeline Trade of ",Commodities!C$52, " to ",$B1997," from ",B1358)</f>
        <v>#REF!</v>
      </c>
      <c r="E1997" s="163" t="s">
        <v>196</v>
      </c>
      <c r="F1997" s="163" t="s">
        <v>318</v>
      </c>
    </row>
    <row r="1998" spans="2:6">
      <c r="B1998" s="147" t="str">
        <f t="shared" si="12"/>
        <v>*</v>
      </c>
      <c r="C1998" s="147" t="e">
        <f>CONCATENATE("IMP",Commodities!C$53,"R",RIGHT(C1359,2))</f>
        <v>#REF!</v>
      </c>
      <c r="D1998" s="147" t="str">
        <f>CONCATENATE("Import Pipeline Trade of ",Commodities!C$53, " to ",$B1998," from ",B1359)</f>
        <v>Import Pipeline Trade of JTF to * from *R1</v>
      </c>
      <c r="E1998" s="163" t="s">
        <v>196</v>
      </c>
      <c r="F1998" s="163" t="s">
        <v>318</v>
      </c>
    </row>
    <row r="1999" spans="2:6">
      <c r="B1999" s="147" t="str">
        <f t="shared" si="12"/>
        <v>*</v>
      </c>
      <c r="C1999" s="147" t="e">
        <f>CONCATENATE("IMP",Commodities!C$54,"R",RIGHT(C1360,2))</f>
        <v>#REF!</v>
      </c>
      <c r="D1999" s="147" t="str">
        <f>CONCATENATE("Import Pipeline Trade of ",Commodities!C$54, " to ",$B1999," from ",B1360)</f>
        <v>Import Pipeline Trade of KER to * from *R1</v>
      </c>
      <c r="E1999" s="163" t="s">
        <v>196</v>
      </c>
      <c r="F1999" s="163" t="s">
        <v>318</v>
      </c>
    </row>
    <row r="2000" spans="2:6">
      <c r="B2000" s="147" t="str">
        <f t="shared" si="12"/>
        <v>*</v>
      </c>
      <c r="C2000" s="147" t="e">
        <f>CONCATENATE("IMP",Commodities!C$55,"R",RIGHT(C1361,2))</f>
        <v>#REF!</v>
      </c>
      <c r="D2000" s="147" t="str">
        <f>CONCATENATE("Import Pipeline Trade of ",Commodities!C$55, " to ",$B2000," from ",B1361)</f>
        <v>Import Pipeline Trade of LPG to * from *R1</v>
      </c>
      <c r="E2000" s="163" t="s">
        <v>196</v>
      </c>
      <c r="F2000" s="163" t="s">
        <v>318</v>
      </c>
    </row>
    <row r="2001" spans="2:6">
      <c r="B2001" s="147" t="str">
        <f t="shared" si="12"/>
        <v>*</v>
      </c>
      <c r="C2001" s="147" t="e">
        <f>CONCATENATE("IMP",Commodities!C$56,"R",RIGHT(C1362,2))</f>
        <v>#REF!</v>
      </c>
      <c r="D2001" s="147" t="str">
        <f>CONCATENATE("Import Pipeline Trade of ",Commodities!C$56, " to ",$B2001," from ",B1362)</f>
        <v>Import Pipeline Trade of MTH to * from *R1</v>
      </c>
      <c r="E2001" s="163" t="s">
        <v>196</v>
      </c>
      <c r="F2001" s="163" t="s">
        <v>318</v>
      </c>
    </row>
    <row r="2002" spans="2:6">
      <c r="B2002" s="147" t="str">
        <f t="shared" si="12"/>
        <v>*</v>
      </c>
      <c r="C2002" s="147" t="e">
        <f>CONCATENATE("IMP",Commodities!C$57,"R",RIGHT(C1363,2))</f>
        <v>#REF!</v>
      </c>
      <c r="D2002" s="147" t="str">
        <f>CONCATENATE("Import Pipeline Trade of ",Commodities!C$57, " to ",$B2002," from ",B1363)</f>
        <v>Import Pipeline Trade of PFS to * from *R1</v>
      </c>
      <c r="E2002" s="163" t="s">
        <v>196</v>
      </c>
      <c r="F2002" s="163" t="s">
        <v>318</v>
      </c>
    </row>
    <row r="2003" spans="2:6">
      <c r="B2003" s="147" t="str">
        <f t="shared" si="12"/>
        <v>*</v>
      </c>
      <c r="C2003" s="147" t="e">
        <f>CONCATENATE("IMP",Commodities!C$58,"R",RIGHT(C1364,2))</f>
        <v>#REF!</v>
      </c>
      <c r="D2003" s="147" t="str">
        <f>CONCATENATE("Import Pipeline Trade of ",Commodities!C$58, " to ",$B2003," from ",B1364)</f>
        <v>Import Pipeline Trade of RFH to * from *R1</v>
      </c>
      <c r="E2003" s="163" t="s">
        <v>196</v>
      </c>
      <c r="F2003" s="163" t="s">
        <v>318</v>
      </c>
    </row>
    <row r="2004" spans="2:6">
      <c r="B2004" s="147" t="e">
        <f t="shared" si="12"/>
        <v>#REF!</v>
      </c>
      <c r="C2004" s="147" t="e">
        <f>CONCATENATE("IMP",Commodities!C$59,"R",RIGHT(C1365,2))</f>
        <v>#REF!</v>
      </c>
      <c r="D2004" s="147" t="e">
        <f>CONCATENATE("Import Pipeline Trade of ",Commodities!C$59, " to ",$B2004," from ",B1365)</f>
        <v>#REF!</v>
      </c>
      <c r="E2004" s="163" t="s">
        <v>196</v>
      </c>
      <c r="F2004" s="163" t="s">
        <v>318</v>
      </c>
    </row>
    <row r="2005" spans="2:6">
      <c r="B2005" s="147" t="str">
        <f t="shared" si="12"/>
        <v>*</v>
      </c>
      <c r="C2005" s="147" t="e">
        <f>CONCATENATE("IMP",Commodities!C$60,"R",RIGHT(C1366,2))</f>
        <v>#REF!</v>
      </c>
      <c r="D2005" s="147" t="str">
        <f>CONCATENATE("Import Pipeline Trade of ",Commodities!C$60, " to ",$B2005," from ",B1366)</f>
        <v>Import Pipeline Trade of ASP to * from *R1</v>
      </c>
      <c r="E2005" s="163" t="s">
        <v>196</v>
      </c>
      <c r="F2005" s="163" t="s">
        <v>318</v>
      </c>
    </row>
    <row r="2006" spans="2:6">
      <c r="B2006" s="147" t="e">
        <f t="shared" si="12"/>
        <v>#REF!</v>
      </c>
      <c r="C2006" s="147" t="e">
        <f>CONCATENATE("IMP",Commodities!C$48,"R",RIGHT(C1367,2))</f>
        <v>#REF!</v>
      </c>
      <c r="D2006" s="147" t="e">
        <f>CONCATENATE("Import Pipeline Trade of ",Commodities!C$48, " to ",$B2006," from ",B1367)</f>
        <v>#REF!</v>
      </c>
      <c r="E2006" s="163" t="s">
        <v>196</v>
      </c>
      <c r="F2006" s="163" t="s">
        <v>318</v>
      </c>
    </row>
    <row r="2007" spans="2:6">
      <c r="B2007" s="147" t="e">
        <f t="shared" si="12"/>
        <v>#REF!</v>
      </c>
      <c r="C2007" s="147" t="e">
        <f>CONCATENATE("IMP",Commodities!C$49,"R",RIGHT(C1368,2))</f>
        <v>#REF!</v>
      </c>
      <c r="D2007" s="147" t="e">
        <f>CONCATENATE("Import Pipeline Trade of ",Commodities!C$49, " to ",$B2007," from ",B1368)</f>
        <v>#REF!</v>
      </c>
      <c r="E2007" s="163" t="s">
        <v>196</v>
      </c>
      <c r="F2007" s="163" t="s">
        <v>318</v>
      </c>
    </row>
    <row r="2008" spans="2:6">
      <c r="B2008" s="147" t="e">
        <f t="shared" si="12"/>
        <v>#REF!</v>
      </c>
      <c r="C2008" s="147" t="e">
        <f>CONCATENATE("IMP",Commodities!C$50,"R",RIGHT(C1369,2))</f>
        <v>#REF!</v>
      </c>
      <c r="D2008" s="147" t="e">
        <f>CONCATENATE("Import Pipeline Trade of ",Commodities!C$50, " to ",$B2008," from ",B1369)</f>
        <v>#REF!</v>
      </c>
      <c r="E2008" s="163" t="s">
        <v>196</v>
      </c>
      <c r="F2008" s="163" t="s">
        <v>318</v>
      </c>
    </row>
    <row r="2009" spans="2:6">
      <c r="B2009" s="147" t="e">
        <f t="shared" si="12"/>
        <v>#REF!</v>
      </c>
      <c r="C2009" s="147" t="e">
        <f>CONCATENATE("IMP",Commodities!C$51,"R",RIGHT(C1370,2))</f>
        <v>#REF!</v>
      </c>
      <c r="D2009" s="147" t="e">
        <f>CONCATENATE("Import Pipeline Trade of ",Commodities!C$51, " to ",$B2009," from ",B1370)</f>
        <v>#REF!</v>
      </c>
      <c r="E2009" s="163" t="s">
        <v>196</v>
      </c>
      <c r="F2009" s="163" t="s">
        <v>318</v>
      </c>
    </row>
    <row r="2010" spans="2:6">
      <c r="B2010" s="147" t="e">
        <f t="shared" si="12"/>
        <v>#REF!</v>
      </c>
      <c r="C2010" s="147" t="e">
        <f>CONCATENATE("IMP",Commodities!C$52,"R",RIGHT(C1371,2))</f>
        <v>#REF!</v>
      </c>
      <c r="D2010" s="147" t="e">
        <f>CONCATENATE("Import Pipeline Trade of ",Commodities!C$52, " to ",$B2010," from ",B1371)</f>
        <v>#REF!</v>
      </c>
      <c r="E2010" s="163" t="s">
        <v>196</v>
      </c>
      <c r="F2010" s="163" t="s">
        <v>318</v>
      </c>
    </row>
    <row r="2011" spans="2:6">
      <c r="B2011" s="147" t="str">
        <f t="shared" si="12"/>
        <v>*</v>
      </c>
      <c r="C2011" s="147" t="e">
        <f>CONCATENATE("IMP",Commodities!C$53,"R",RIGHT(C1372,2))</f>
        <v>#REF!</v>
      </c>
      <c r="D2011" s="147" t="str">
        <f>CONCATENATE("Import Pipeline Trade of ",Commodities!C$53, " to ",$B2011," from ",B1372)</f>
        <v>Import Pipeline Trade of JTF to * from *R1</v>
      </c>
      <c r="E2011" s="163" t="s">
        <v>196</v>
      </c>
      <c r="F2011" s="163" t="s">
        <v>318</v>
      </c>
    </row>
    <row r="2012" spans="2:6">
      <c r="B2012" s="147" t="str">
        <f t="shared" si="12"/>
        <v>*</v>
      </c>
      <c r="C2012" s="147" t="e">
        <f>CONCATENATE("IMP",Commodities!C$54,"R",RIGHT(C1373,2))</f>
        <v>#REF!</v>
      </c>
      <c r="D2012" s="147" t="str">
        <f>CONCATENATE("Import Pipeline Trade of ",Commodities!C$54, " to ",$B2012," from ",B1373)</f>
        <v>Import Pipeline Trade of KER to * from *R1</v>
      </c>
      <c r="E2012" s="163" t="s">
        <v>196</v>
      </c>
      <c r="F2012" s="163" t="s">
        <v>318</v>
      </c>
    </row>
    <row r="2013" spans="2:6">
      <c r="B2013" s="147" t="str">
        <f t="shared" si="12"/>
        <v>*</v>
      </c>
      <c r="C2013" s="147" t="e">
        <f>CONCATENATE("IMP",Commodities!C$55,"R",RIGHT(C1374,2))</f>
        <v>#REF!</v>
      </c>
      <c r="D2013" s="147" t="str">
        <f>CONCATENATE("Import Pipeline Trade of ",Commodities!C$55, " to ",$B2013," from ",B1374)</f>
        <v>Import Pipeline Trade of LPG to * from *R1</v>
      </c>
      <c r="E2013" s="163" t="s">
        <v>196</v>
      </c>
      <c r="F2013" s="163" t="s">
        <v>318</v>
      </c>
    </row>
    <row r="2014" spans="2:6">
      <c r="B2014" s="147" t="str">
        <f t="shared" si="12"/>
        <v>*</v>
      </c>
      <c r="C2014" s="147" t="e">
        <f>CONCATENATE("IMP",Commodities!C$56,"R",RIGHT(C1375,2))</f>
        <v>#REF!</v>
      </c>
      <c r="D2014" s="147" t="str">
        <f>CONCATENATE("Import Pipeline Trade of ",Commodities!C$56, " to ",$B2014," from ",B1375)</f>
        <v>Import Pipeline Trade of MTH to * from *R1</v>
      </c>
      <c r="E2014" s="163" t="s">
        <v>196</v>
      </c>
      <c r="F2014" s="163" t="s">
        <v>318</v>
      </c>
    </row>
    <row r="2015" spans="2:6">
      <c r="B2015" s="147" t="str">
        <f t="shared" si="12"/>
        <v>*</v>
      </c>
      <c r="C2015" s="147" t="e">
        <f>CONCATENATE("IMP",Commodities!C$57,"R",RIGHT(C1376,2))</f>
        <v>#REF!</v>
      </c>
      <c r="D2015" s="147" t="str">
        <f>CONCATENATE("Import Pipeline Trade of ",Commodities!C$57, " to ",$B2015," from ",B1376)</f>
        <v>Import Pipeline Trade of PFS to * from *R1</v>
      </c>
      <c r="E2015" s="163" t="s">
        <v>196</v>
      </c>
      <c r="F2015" s="163" t="s">
        <v>318</v>
      </c>
    </row>
    <row r="2016" spans="2:6">
      <c r="B2016" s="147" t="str">
        <f t="shared" si="12"/>
        <v>*</v>
      </c>
      <c r="C2016" s="147" t="e">
        <f>CONCATENATE("IMP",Commodities!C$58,"R",RIGHT(C1377,2))</f>
        <v>#REF!</v>
      </c>
      <c r="D2016" s="147" t="str">
        <f>CONCATENATE("Import Pipeline Trade of ",Commodities!C$58, " to ",$B2016," from ",B1377)</f>
        <v>Import Pipeline Trade of RFH to * from *R1</v>
      </c>
      <c r="E2016" s="163" t="s">
        <v>196</v>
      </c>
      <c r="F2016" s="163" t="s">
        <v>318</v>
      </c>
    </row>
    <row r="2017" spans="2:6">
      <c r="B2017" s="147" t="e">
        <f t="shared" si="12"/>
        <v>#REF!</v>
      </c>
      <c r="C2017" s="147" t="e">
        <f>CONCATENATE("IMP",Commodities!C$59,"R",RIGHT(C1378,2))</f>
        <v>#REF!</v>
      </c>
      <c r="D2017" s="147" t="e">
        <f>CONCATENATE("Import Pipeline Trade of ",Commodities!C$59, " to ",$B2017," from ",B1378)</f>
        <v>#REF!</v>
      </c>
      <c r="E2017" s="163" t="s">
        <v>196</v>
      </c>
      <c r="F2017" s="163" t="s">
        <v>318</v>
      </c>
    </row>
    <row r="2018" spans="2:6">
      <c r="B2018" s="147" t="str">
        <f t="shared" si="12"/>
        <v>*</v>
      </c>
      <c r="C2018" s="147" t="e">
        <f>CONCATENATE("IMP",Commodities!C$60,"R",RIGHT(C1379,2))</f>
        <v>#REF!</v>
      </c>
      <c r="D2018" s="147" t="str">
        <f>CONCATENATE("Import Pipeline Trade of ",Commodities!C$60, " to ",$B2018," from ",B1379)</f>
        <v>Import Pipeline Trade of ASP to * from *R1</v>
      </c>
      <c r="E2018" s="163" t="s">
        <v>196</v>
      </c>
      <c r="F2018" s="163" t="s">
        <v>318</v>
      </c>
    </row>
    <row r="2019" spans="2:6">
      <c r="B2019" s="147" t="str">
        <f t="shared" si="12"/>
        <v>*</v>
      </c>
      <c r="C2019" s="147" t="e">
        <f>CONCATENATE("IMP",Commodities!C$48,"R",RIGHT(C1380,2))</f>
        <v>#REF!</v>
      </c>
      <c r="D2019" s="147" t="str">
        <f>CONCATENATE("Import Pipeline Trade of ",Commodities!C$48, " to ",$B2019," from ",B1380)</f>
        <v>Import Pipeline Trade of GSC to * from *R5</v>
      </c>
      <c r="E2019" s="163" t="s">
        <v>196</v>
      </c>
      <c r="F2019" s="163" t="s">
        <v>318</v>
      </c>
    </row>
    <row r="2020" spans="2:6">
      <c r="B2020" s="147" t="str">
        <f t="shared" si="12"/>
        <v>*</v>
      </c>
      <c r="C2020" s="147" t="e">
        <f>CONCATENATE("IMP",Commodities!C$49,"R",RIGHT(C1381,2))</f>
        <v>#REF!</v>
      </c>
      <c r="D2020" s="147" t="str">
        <f>CONCATENATE("Import Pipeline Trade of ",Commodities!C$49, " to ",$B2020," from ",B1381)</f>
        <v>Import Pipeline Trade of GSR to * from *R5</v>
      </c>
      <c r="E2020" s="163" t="s">
        <v>196</v>
      </c>
      <c r="F2020" s="163" t="s">
        <v>318</v>
      </c>
    </row>
    <row r="2021" spans="2:6">
      <c r="B2021" s="147" t="str">
        <f t="shared" si="12"/>
        <v>*</v>
      </c>
      <c r="C2021" s="147" t="e">
        <f>CONCATENATE("IMP",Commodities!C$50,"R",RIGHT(C1382,2))</f>
        <v>#REF!</v>
      </c>
      <c r="D2021" s="147" t="str">
        <f>CONCATENATE("Import Pipeline Trade of ",Commodities!C$50, " to ",$B2021," from ",B1382)</f>
        <v>Import Pipeline Trade of DSH to * from *R5</v>
      </c>
      <c r="E2021" s="163" t="s">
        <v>196</v>
      </c>
      <c r="F2021" s="163" t="s">
        <v>318</v>
      </c>
    </row>
    <row r="2022" spans="2:6">
      <c r="B2022" s="147" t="str">
        <f t="shared" si="12"/>
        <v>*</v>
      </c>
      <c r="C2022" s="147" t="e">
        <f>CONCATENATE("IMP",Commodities!C$51,"R",RIGHT(C1383,2))</f>
        <v>#REF!</v>
      </c>
      <c r="D2022" s="147" t="str">
        <f>CONCATENATE("Import Pipeline Trade of ",Commodities!C$51, " to ",$B2022," from ",B1383)</f>
        <v>Import Pipeline Trade of DSL to * from *R5</v>
      </c>
      <c r="E2022" s="163" t="s">
        <v>196</v>
      </c>
      <c r="F2022" s="163" t="s">
        <v>318</v>
      </c>
    </row>
    <row r="2023" spans="2:6">
      <c r="B2023" s="147" t="str">
        <f t="shared" si="12"/>
        <v>*</v>
      </c>
      <c r="C2023" s="147" t="e">
        <f>CONCATENATE("IMP",Commodities!C$52,"R",RIGHT(C1384,2))</f>
        <v>#REF!</v>
      </c>
      <c r="D2023" s="147" t="str">
        <f>CONCATENATE("Import Pipeline Trade of ",Commodities!C$52, " to ",$B2023," from ",B1384)</f>
        <v>Import Pipeline Trade of DSU to * from *R5</v>
      </c>
      <c r="E2023" s="163" t="s">
        <v>196</v>
      </c>
      <c r="F2023" s="163" t="s">
        <v>318</v>
      </c>
    </row>
    <row r="2024" spans="2:6">
      <c r="B2024" s="147" t="str">
        <f t="shared" si="12"/>
        <v>*</v>
      </c>
      <c r="C2024" s="147" t="e">
        <f>CONCATENATE("IMP",Commodities!C$53,"R",RIGHT(C1385,2))</f>
        <v>#REF!</v>
      </c>
      <c r="D2024" s="147" t="str">
        <f>CONCATENATE("Import Pipeline Trade of ",Commodities!C$53, " to ",$B2024," from ",B1385)</f>
        <v>Import Pipeline Trade of JTF to * from *R5</v>
      </c>
      <c r="E2024" s="163" t="s">
        <v>196</v>
      </c>
      <c r="F2024" s="163" t="s">
        <v>318</v>
      </c>
    </row>
    <row r="2025" spans="2:6">
      <c r="B2025" s="147" t="str">
        <f t="shared" si="12"/>
        <v>*</v>
      </c>
      <c r="C2025" s="147" t="e">
        <f>CONCATENATE("IMP",Commodities!C$54,"R",RIGHT(C1386,2))</f>
        <v>#REF!</v>
      </c>
      <c r="D2025" s="147" t="str">
        <f>CONCATENATE("Import Pipeline Trade of ",Commodities!C$54, " to ",$B2025," from ",B1386)</f>
        <v>Import Pipeline Trade of KER to * from *R5</v>
      </c>
      <c r="E2025" s="163" t="s">
        <v>196</v>
      </c>
      <c r="F2025" s="163" t="s">
        <v>318</v>
      </c>
    </row>
    <row r="2026" spans="2:6">
      <c r="B2026" s="147" t="str">
        <f t="shared" si="12"/>
        <v>*</v>
      </c>
      <c r="C2026" s="147" t="e">
        <f>CONCATENATE("IMP",Commodities!C$55,"R",RIGHT(C1387,2))</f>
        <v>#REF!</v>
      </c>
      <c r="D2026" s="147" t="str">
        <f>CONCATENATE("Import Pipeline Trade of ",Commodities!C$55, " to ",$B2026," from ",B1387)</f>
        <v>Import Pipeline Trade of LPG to * from *R5</v>
      </c>
      <c r="E2026" s="163" t="s">
        <v>196</v>
      </c>
      <c r="F2026" s="163" t="s">
        <v>318</v>
      </c>
    </row>
    <row r="2027" spans="2:6">
      <c r="B2027" s="147" t="str">
        <f t="shared" si="12"/>
        <v>*</v>
      </c>
      <c r="C2027" s="147" t="e">
        <f>CONCATENATE("IMP",Commodities!C$56,"R",RIGHT(C1388,2))</f>
        <v>#REF!</v>
      </c>
      <c r="D2027" s="147" t="str">
        <f>CONCATENATE("Import Pipeline Trade of ",Commodities!C$56, " to ",$B2027," from ",B1388)</f>
        <v>Import Pipeline Trade of MTH to * from *R5</v>
      </c>
      <c r="E2027" s="163" t="s">
        <v>196</v>
      </c>
      <c r="F2027" s="163" t="s">
        <v>318</v>
      </c>
    </row>
    <row r="2028" spans="2:6">
      <c r="B2028" s="147" t="str">
        <f t="shared" si="12"/>
        <v>*</v>
      </c>
      <c r="C2028" s="147" t="e">
        <f>CONCATENATE("IMP",Commodities!C$57,"R",RIGHT(C1389,2))</f>
        <v>#REF!</v>
      </c>
      <c r="D2028" s="147" t="str">
        <f>CONCATENATE("Import Pipeline Trade of ",Commodities!C$57, " to ",$B2028," from ",B1389)</f>
        <v>Import Pipeline Trade of PFS to * from *R5</v>
      </c>
      <c r="E2028" s="163" t="s">
        <v>196</v>
      </c>
      <c r="F2028" s="163" t="s">
        <v>318</v>
      </c>
    </row>
    <row r="2029" spans="2:6">
      <c r="B2029" s="147" t="str">
        <f t="shared" si="12"/>
        <v>*</v>
      </c>
      <c r="C2029" s="147" t="e">
        <f>CONCATENATE("IMP",Commodities!C$58,"R",RIGHT(C1390,2))</f>
        <v>#REF!</v>
      </c>
      <c r="D2029" s="147" t="str">
        <f>CONCATENATE("Import Pipeline Trade of ",Commodities!C$58, " to ",$B2029," from ",B1390)</f>
        <v>Import Pipeline Trade of RFH to * from *R5</v>
      </c>
      <c r="E2029" s="163" t="s">
        <v>196</v>
      </c>
      <c r="F2029" s="163" t="s">
        <v>318</v>
      </c>
    </row>
    <row r="2030" spans="2:6">
      <c r="B2030" s="147" t="str">
        <f t="shared" si="12"/>
        <v>*</v>
      </c>
      <c r="C2030" s="147" t="e">
        <f>CONCATENATE("IMP",Commodities!C$59,"R",RIGHT(C1391,2))</f>
        <v>#REF!</v>
      </c>
      <c r="D2030" s="147" t="str">
        <f>CONCATENATE("Import Pipeline Trade of ",Commodities!C$59, " to ",$B2030," from ",B1391)</f>
        <v>Import Pipeline Trade of RFL to * from *R5</v>
      </c>
      <c r="E2030" s="163" t="s">
        <v>196</v>
      </c>
      <c r="F2030" s="163" t="s">
        <v>318</v>
      </c>
    </row>
    <row r="2031" spans="2:6">
      <c r="B2031" s="147" t="str">
        <f t="shared" si="12"/>
        <v>*</v>
      </c>
      <c r="C2031" s="147" t="e">
        <f>CONCATENATE("IMP",Commodities!C$60,"R",RIGHT(C1392,2))</f>
        <v>#REF!</v>
      </c>
      <c r="D2031" s="147" t="str">
        <f>CONCATENATE("Import Pipeline Trade of ",Commodities!C$60, " to ",$B2031," from ",B1392)</f>
        <v>Import Pipeline Trade of ASP to * from *R5</v>
      </c>
      <c r="E2031" s="163" t="s">
        <v>196</v>
      </c>
      <c r="F2031" s="163" t="s">
        <v>318</v>
      </c>
    </row>
    <row r="2032" spans="2:6">
      <c r="B2032" s="147" t="e">
        <f t="shared" si="12"/>
        <v>#REF!</v>
      </c>
      <c r="C2032" s="147" t="e">
        <f>CONCATENATE("IMP",Commodities!C$48,"R",RIGHT(C1393,2))</f>
        <v>#REF!</v>
      </c>
      <c r="D2032" s="147" t="e">
        <f>CONCATENATE("Import Pipeline Trade of ",Commodities!C$48, " to ",$B2032," from ",B1393)</f>
        <v>#REF!</v>
      </c>
      <c r="E2032" s="163" t="s">
        <v>196</v>
      </c>
      <c r="F2032" s="163" t="s">
        <v>318</v>
      </c>
    </row>
    <row r="2033" spans="2:6">
      <c r="B2033" s="147" t="e">
        <f t="shared" si="12"/>
        <v>#REF!</v>
      </c>
      <c r="C2033" s="147" t="e">
        <f>CONCATENATE("IMP",Commodities!C$49,"R",RIGHT(C1394,2))</f>
        <v>#REF!</v>
      </c>
      <c r="D2033" s="147" t="e">
        <f>CONCATENATE("Import Pipeline Trade of ",Commodities!C$49, " to ",$B2033," from ",B1394)</f>
        <v>#REF!</v>
      </c>
      <c r="E2033" s="163" t="s">
        <v>196</v>
      </c>
      <c r="F2033" s="163" t="s">
        <v>318</v>
      </c>
    </row>
    <row r="2034" spans="2:6">
      <c r="B2034" s="147" t="e">
        <f t="shared" si="12"/>
        <v>#REF!</v>
      </c>
      <c r="C2034" s="147" t="e">
        <f>CONCATENATE("IMP",Commodities!C$50,"R",RIGHT(C1395,2))</f>
        <v>#REF!</v>
      </c>
      <c r="D2034" s="147" t="e">
        <f>CONCATENATE("Import Pipeline Trade of ",Commodities!C$50, " to ",$B2034," from ",B1395)</f>
        <v>#REF!</v>
      </c>
      <c r="E2034" s="163" t="s">
        <v>196</v>
      </c>
      <c r="F2034" s="163" t="s">
        <v>318</v>
      </c>
    </row>
    <row r="2035" spans="2:6">
      <c r="B2035" s="147" t="e">
        <f t="shared" si="12"/>
        <v>#REF!</v>
      </c>
      <c r="C2035" s="147" t="e">
        <f>CONCATENATE("IMP",Commodities!C$51,"R",RIGHT(C1396,2))</f>
        <v>#REF!</v>
      </c>
      <c r="D2035" s="147" t="e">
        <f>CONCATENATE("Import Pipeline Trade of ",Commodities!C$51, " to ",$B2035," from ",B1396)</f>
        <v>#REF!</v>
      </c>
      <c r="E2035" s="163" t="s">
        <v>196</v>
      </c>
      <c r="F2035" s="163" t="s">
        <v>318</v>
      </c>
    </row>
    <row r="2036" spans="2:6">
      <c r="B2036" s="147" t="e">
        <f t="shared" si="12"/>
        <v>#REF!</v>
      </c>
      <c r="C2036" s="147" t="e">
        <f>CONCATENATE("IMP",Commodities!C$52,"R",RIGHT(C1397,2))</f>
        <v>#REF!</v>
      </c>
      <c r="D2036" s="147" t="e">
        <f>CONCATENATE("Import Pipeline Trade of ",Commodities!C$52, " to ",$B2036," from ",B1397)</f>
        <v>#REF!</v>
      </c>
      <c r="E2036" s="163" t="s">
        <v>196</v>
      </c>
      <c r="F2036" s="163" t="s">
        <v>318</v>
      </c>
    </row>
    <row r="2037" spans="2:6">
      <c r="B2037" s="147" t="str">
        <f t="shared" si="12"/>
        <v>*</v>
      </c>
      <c r="C2037" s="147" t="e">
        <f>CONCATENATE("IMP",Commodities!C$53,"R",RIGHT(C1398,2))</f>
        <v>#REF!</v>
      </c>
      <c r="D2037" s="147" t="str">
        <f>CONCATENATE("Import Pipeline Trade of ",Commodities!C$53, " to ",$B2037," from ",B1398)</f>
        <v>Import Pipeline Trade of JTF to * from *R1</v>
      </c>
      <c r="E2037" s="163" t="s">
        <v>196</v>
      </c>
      <c r="F2037" s="163" t="s">
        <v>318</v>
      </c>
    </row>
    <row r="2038" spans="2:6">
      <c r="B2038" s="147" t="str">
        <f t="shared" si="12"/>
        <v>*</v>
      </c>
      <c r="C2038" s="147" t="e">
        <f>CONCATENATE("IMP",Commodities!C$54,"R",RIGHT(C1399,2))</f>
        <v>#REF!</v>
      </c>
      <c r="D2038" s="147" t="str">
        <f>CONCATENATE("Import Pipeline Trade of ",Commodities!C$54, " to ",$B2038," from ",B1399)</f>
        <v>Import Pipeline Trade of KER to * from *R1</v>
      </c>
      <c r="E2038" s="163" t="s">
        <v>196</v>
      </c>
      <c r="F2038" s="163" t="s">
        <v>318</v>
      </c>
    </row>
    <row r="2039" spans="2:6">
      <c r="B2039" s="147" t="str">
        <f t="shared" si="12"/>
        <v>*</v>
      </c>
      <c r="C2039" s="147" t="e">
        <f>CONCATENATE("IMP",Commodities!C$55,"R",RIGHT(C1400,2))</f>
        <v>#REF!</v>
      </c>
      <c r="D2039" s="147" t="str">
        <f>CONCATENATE("Import Pipeline Trade of ",Commodities!C$55, " to ",$B2039," from ",B1400)</f>
        <v>Import Pipeline Trade of LPG to * from *R1</v>
      </c>
      <c r="E2039" s="163" t="s">
        <v>196</v>
      </c>
      <c r="F2039" s="163" t="s">
        <v>318</v>
      </c>
    </row>
    <row r="2040" spans="2:6">
      <c r="B2040" s="147" t="str">
        <f t="shared" si="12"/>
        <v>*</v>
      </c>
      <c r="C2040" s="147" t="e">
        <f>CONCATENATE("IMP",Commodities!C$56,"R",RIGHT(C1401,2))</f>
        <v>#REF!</v>
      </c>
      <c r="D2040" s="147" t="str">
        <f>CONCATENATE("Import Pipeline Trade of ",Commodities!C$56, " to ",$B2040," from ",B1401)</f>
        <v>Import Pipeline Trade of MTH to * from *R1</v>
      </c>
      <c r="E2040" s="163" t="s">
        <v>196</v>
      </c>
      <c r="F2040" s="163" t="s">
        <v>318</v>
      </c>
    </row>
    <row r="2041" spans="2:6">
      <c r="B2041" s="147" t="str">
        <f t="shared" si="12"/>
        <v>*</v>
      </c>
      <c r="C2041" s="147" t="e">
        <f>CONCATENATE("IMP",Commodities!C$57,"R",RIGHT(C1402,2))</f>
        <v>#REF!</v>
      </c>
      <c r="D2041" s="147" t="str">
        <f>CONCATENATE("Import Pipeline Trade of ",Commodities!C$57, " to ",$B2041," from ",B1402)</f>
        <v>Import Pipeline Trade of PFS to * from *R1</v>
      </c>
      <c r="E2041" s="163" t="s">
        <v>196</v>
      </c>
      <c r="F2041" s="163" t="s">
        <v>318</v>
      </c>
    </row>
    <row r="2042" spans="2:6">
      <c r="B2042" s="147" t="str">
        <f t="shared" si="12"/>
        <v>*</v>
      </c>
      <c r="C2042" s="147" t="e">
        <f>CONCATENATE("IMP",Commodities!C$58,"R",RIGHT(C1403,2))</f>
        <v>#REF!</v>
      </c>
      <c r="D2042" s="147" t="str">
        <f>CONCATENATE("Import Pipeline Trade of ",Commodities!C$58, " to ",$B2042," from ",B1403)</f>
        <v>Import Pipeline Trade of RFH to * from *R1</v>
      </c>
      <c r="E2042" s="163" t="s">
        <v>196</v>
      </c>
      <c r="F2042" s="163" t="s">
        <v>318</v>
      </c>
    </row>
    <row r="2043" spans="2:6">
      <c r="B2043" s="147" t="e">
        <f t="shared" ref="B2043:B2106" si="13">IF(LEFT(B1404,1)="*","*",CONCATENATE("R",RIGHT(C2043,1)))</f>
        <v>#REF!</v>
      </c>
      <c r="C2043" s="147" t="e">
        <f>CONCATENATE("IMP",Commodities!C$59,"R",RIGHT(C1404,2))</f>
        <v>#REF!</v>
      </c>
      <c r="D2043" s="147" t="e">
        <f>CONCATENATE("Import Pipeline Trade of ",Commodities!C$59, " to ",$B2043," from ",B1404)</f>
        <v>#REF!</v>
      </c>
      <c r="E2043" s="163" t="s">
        <v>196</v>
      </c>
      <c r="F2043" s="163" t="s">
        <v>318</v>
      </c>
    </row>
    <row r="2044" spans="2:6">
      <c r="B2044" s="147" t="str">
        <f t="shared" si="13"/>
        <v>*</v>
      </c>
      <c r="C2044" s="147" t="e">
        <f>CONCATENATE("IMP",Commodities!C$60,"R",RIGHT(C1405,2))</f>
        <v>#REF!</v>
      </c>
      <c r="D2044" s="147" t="str">
        <f>CONCATENATE("Import Pipeline Trade of ",Commodities!C$60, " to ",$B2044," from ",B1405)</f>
        <v>Import Pipeline Trade of ASP to * from *R1</v>
      </c>
      <c r="E2044" s="163" t="s">
        <v>196</v>
      </c>
      <c r="F2044" s="163" t="s">
        <v>318</v>
      </c>
    </row>
    <row r="2045" spans="2:6">
      <c r="B2045" s="147" t="str">
        <f t="shared" si="13"/>
        <v>*</v>
      </c>
      <c r="C2045" s="147" t="e">
        <f>CONCATENATE("IMP",Commodities!C$48,"R",RIGHT(C1406,2))</f>
        <v>#REF!</v>
      </c>
      <c r="D2045" s="147" t="str">
        <f>CONCATENATE("Import Pipeline Trade of ",Commodities!C$48, " to ",$B2045," from ",B1406)</f>
        <v>Import Pipeline Trade of GSC to * from *R6</v>
      </c>
      <c r="E2045" s="163" t="s">
        <v>196</v>
      </c>
      <c r="F2045" s="163" t="s">
        <v>318</v>
      </c>
    </row>
    <row r="2046" spans="2:6">
      <c r="B2046" s="147" t="str">
        <f t="shared" si="13"/>
        <v>*</v>
      </c>
      <c r="C2046" s="147" t="e">
        <f>CONCATENATE("IMP",Commodities!C$49,"R",RIGHT(C1407,2))</f>
        <v>#REF!</v>
      </c>
      <c r="D2046" s="147" t="str">
        <f>CONCATENATE("Import Pipeline Trade of ",Commodities!C$49, " to ",$B2046," from ",B1407)</f>
        <v>Import Pipeline Trade of GSR to * from *R6</v>
      </c>
      <c r="E2046" s="163" t="s">
        <v>196</v>
      </c>
      <c r="F2046" s="163" t="s">
        <v>318</v>
      </c>
    </row>
    <row r="2047" spans="2:6">
      <c r="B2047" s="147" t="str">
        <f t="shared" si="13"/>
        <v>*</v>
      </c>
      <c r="C2047" s="147" t="e">
        <f>CONCATENATE("IMP",Commodities!C$50,"R",RIGHT(C1408,2))</f>
        <v>#REF!</v>
      </c>
      <c r="D2047" s="147" t="str">
        <f>CONCATENATE("Import Pipeline Trade of ",Commodities!C$50, " to ",$B2047," from ",B1408)</f>
        <v>Import Pipeline Trade of DSH to * from *R6</v>
      </c>
      <c r="E2047" s="163" t="s">
        <v>196</v>
      </c>
      <c r="F2047" s="163" t="s">
        <v>318</v>
      </c>
    </row>
    <row r="2048" spans="2:6">
      <c r="B2048" s="147" t="str">
        <f t="shared" si="13"/>
        <v>*</v>
      </c>
      <c r="C2048" s="147" t="e">
        <f>CONCATENATE("IMP",Commodities!C$51,"R",RIGHT(C1409,2))</f>
        <v>#REF!</v>
      </c>
      <c r="D2048" s="147" t="str">
        <f>CONCATENATE("Import Pipeline Trade of ",Commodities!C$51, " to ",$B2048," from ",B1409)</f>
        <v>Import Pipeline Trade of DSL to * from *R6</v>
      </c>
      <c r="E2048" s="163" t="s">
        <v>196</v>
      </c>
      <c r="F2048" s="163" t="s">
        <v>318</v>
      </c>
    </row>
    <row r="2049" spans="2:6">
      <c r="B2049" s="147" t="str">
        <f t="shared" si="13"/>
        <v>*</v>
      </c>
      <c r="C2049" s="147" t="e">
        <f>CONCATENATE("IMP",Commodities!C$52,"R",RIGHT(C1410,2))</f>
        <v>#REF!</v>
      </c>
      <c r="D2049" s="147" t="str">
        <f>CONCATENATE("Import Pipeline Trade of ",Commodities!C$52, " to ",$B2049," from ",B1410)</f>
        <v>Import Pipeline Trade of DSU to * from *R6</v>
      </c>
      <c r="E2049" s="163" t="s">
        <v>196</v>
      </c>
      <c r="F2049" s="163" t="s">
        <v>318</v>
      </c>
    </row>
    <row r="2050" spans="2:6">
      <c r="B2050" s="147" t="str">
        <f t="shared" si="13"/>
        <v>*</v>
      </c>
      <c r="C2050" s="147" t="e">
        <f>CONCATENATE("IMP",Commodities!C$53,"R",RIGHT(C1411,2))</f>
        <v>#REF!</v>
      </c>
      <c r="D2050" s="147" t="str">
        <f>CONCATENATE("Import Pipeline Trade of ",Commodities!C$53, " to ",$B2050," from ",B1411)</f>
        <v>Import Pipeline Trade of JTF to * from *R6</v>
      </c>
      <c r="E2050" s="163" t="s">
        <v>196</v>
      </c>
      <c r="F2050" s="163" t="s">
        <v>318</v>
      </c>
    </row>
    <row r="2051" spans="2:6">
      <c r="B2051" s="147" t="str">
        <f t="shared" si="13"/>
        <v>*</v>
      </c>
      <c r="C2051" s="147" t="e">
        <f>CONCATENATE("IMP",Commodities!C$54,"R",RIGHT(C1412,2))</f>
        <v>#REF!</v>
      </c>
      <c r="D2051" s="147" t="str">
        <f>CONCATENATE("Import Pipeline Trade of ",Commodities!C$54, " to ",$B2051," from ",B1412)</f>
        <v>Import Pipeline Trade of KER to * from *R6</v>
      </c>
      <c r="E2051" s="163" t="s">
        <v>196</v>
      </c>
      <c r="F2051" s="163" t="s">
        <v>318</v>
      </c>
    </row>
    <row r="2052" spans="2:6">
      <c r="B2052" s="147" t="str">
        <f t="shared" si="13"/>
        <v>*</v>
      </c>
      <c r="C2052" s="147" t="e">
        <f>CONCATENATE("IMP",Commodities!C$55,"R",RIGHT(C1413,2))</f>
        <v>#REF!</v>
      </c>
      <c r="D2052" s="147" t="str">
        <f>CONCATENATE("Import Pipeline Trade of ",Commodities!C$55, " to ",$B2052," from ",B1413)</f>
        <v>Import Pipeline Trade of LPG to * from *R6</v>
      </c>
      <c r="E2052" s="163" t="s">
        <v>196</v>
      </c>
      <c r="F2052" s="163" t="s">
        <v>318</v>
      </c>
    </row>
    <row r="2053" spans="2:6">
      <c r="B2053" s="147" t="str">
        <f t="shared" si="13"/>
        <v>*</v>
      </c>
      <c r="C2053" s="147" t="e">
        <f>CONCATENATE("IMP",Commodities!C$56,"R",RIGHT(C1414,2))</f>
        <v>#REF!</v>
      </c>
      <c r="D2053" s="147" t="str">
        <f>CONCATENATE("Import Pipeline Trade of ",Commodities!C$56, " to ",$B2053," from ",B1414)</f>
        <v>Import Pipeline Trade of MTH to * from *R6</v>
      </c>
      <c r="E2053" s="163" t="s">
        <v>196</v>
      </c>
      <c r="F2053" s="163" t="s">
        <v>318</v>
      </c>
    </row>
    <row r="2054" spans="2:6">
      <c r="B2054" s="147" t="str">
        <f t="shared" si="13"/>
        <v>*</v>
      </c>
      <c r="C2054" s="147" t="e">
        <f>CONCATENATE("IMP",Commodities!C$57,"R",RIGHT(C1415,2))</f>
        <v>#REF!</v>
      </c>
      <c r="D2054" s="147" t="str">
        <f>CONCATENATE("Import Pipeline Trade of ",Commodities!C$57, " to ",$B2054," from ",B1415)</f>
        <v>Import Pipeline Trade of PFS to * from *R6</v>
      </c>
      <c r="E2054" s="163" t="s">
        <v>196</v>
      </c>
      <c r="F2054" s="163" t="s">
        <v>318</v>
      </c>
    </row>
    <row r="2055" spans="2:6">
      <c r="B2055" s="147" t="str">
        <f t="shared" si="13"/>
        <v>*</v>
      </c>
      <c r="C2055" s="147" t="e">
        <f>CONCATENATE("IMP",Commodities!C$58,"R",RIGHT(C1416,2))</f>
        <v>#REF!</v>
      </c>
      <c r="D2055" s="147" t="str">
        <f>CONCATENATE("Import Pipeline Trade of ",Commodities!C$58, " to ",$B2055," from ",B1416)</f>
        <v>Import Pipeline Trade of RFH to * from *R6</v>
      </c>
      <c r="E2055" s="163" t="s">
        <v>196</v>
      </c>
      <c r="F2055" s="163" t="s">
        <v>318</v>
      </c>
    </row>
    <row r="2056" spans="2:6">
      <c r="B2056" s="147" t="str">
        <f t="shared" si="13"/>
        <v>*</v>
      </c>
      <c r="C2056" s="147" t="e">
        <f>CONCATENATE("IMP",Commodities!C$59,"R",RIGHT(C1417,2))</f>
        <v>#REF!</v>
      </c>
      <c r="D2056" s="147" t="str">
        <f>CONCATENATE("Import Pipeline Trade of ",Commodities!C$59, " to ",$B2056," from ",B1417)</f>
        <v>Import Pipeline Trade of RFL to * from *R6</v>
      </c>
      <c r="E2056" s="163" t="s">
        <v>196</v>
      </c>
      <c r="F2056" s="163" t="s">
        <v>318</v>
      </c>
    </row>
    <row r="2057" spans="2:6">
      <c r="B2057" s="147" t="str">
        <f t="shared" si="13"/>
        <v>*</v>
      </c>
      <c r="C2057" s="147" t="e">
        <f>CONCATENATE("IMP",Commodities!C$60,"R",RIGHT(C1418,2))</f>
        <v>#REF!</v>
      </c>
      <c r="D2057" s="147" t="str">
        <f>CONCATENATE("Import Pipeline Trade of ",Commodities!C$60, " to ",$B2057," from ",B1418)</f>
        <v>Import Pipeline Trade of ASP to * from *R6</v>
      </c>
      <c r="E2057" s="163" t="s">
        <v>196</v>
      </c>
      <c r="F2057" s="163" t="s">
        <v>318</v>
      </c>
    </row>
    <row r="2058" spans="2:6">
      <c r="B2058" s="147" t="str">
        <f t="shared" si="13"/>
        <v>*</v>
      </c>
      <c r="C2058" s="147" t="e">
        <f>CONCATENATE("IMP",Commodities!C$48,"R",RIGHT(C1419,2))</f>
        <v>#REF!</v>
      </c>
      <c r="D2058" s="147" t="str">
        <f>CONCATENATE("Import Pipeline Trade of ",Commodities!C$48, " to ",$B2058," from ",B1419)</f>
        <v>Import Pipeline Trade of GSC to * from *R6</v>
      </c>
      <c r="E2058" s="163" t="s">
        <v>196</v>
      </c>
      <c r="F2058" s="163" t="s">
        <v>318</v>
      </c>
    </row>
    <row r="2059" spans="2:6">
      <c r="B2059" s="147" t="str">
        <f t="shared" si="13"/>
        <v>*</v>
      </c>
      <c r="C2059" s="147" t="e">
        <f>CONCATENATE("IMP",Commodities!C$49,"R",RIGHT(C1420,2))</f>
        <v>#REF!</v>
      </c>
      <c r="D2059" s="147" t="str">
        <f>CONCATENATE("Import Pipeline Trade of ",Commodities!C$49, " to ",$B2059," from ",B1420)</f>
        <v>Import Pipeline Trade of GSR to * from *R6</v>
      </c>
      <c r="E2059" s="163" t="s">
        <v>196</v>
      </c>
      <c r="F2059" s="163" t="s">
        <v>318</v>
      </c>
    </row>
    <row r="2060" spans="2:6">
      <c r="B2060" s="147" t="str">
        <f t="shared" si="13"/>
        <v>*</v>
      </c>
      <c r="C2060" s="147" t="e">
        <f>CONCATENATE("IMP",Commodities!C$50,"R",RIGHT(C1421,2))</f>
        <v>#REF!</v>
      </c>
      <c r="D2060" s="147" t="str">
        <f>CONCATENATE("Import Pipeline Trade of ",Commodities!C$50, " to ",$B2060," from ",B1421)</f>
        <v>Import Pipeline Trade of DSH to * from *R6</v>
      </c>
      <c r="E2060" s="163" t="s">
        <v>196</v>
      </c>
      <c r="F2060" s="163" t="s">
        <v>318</v>
      </c>
    </row>
    <row r="2061" spans="2:6">
      <c r="B2061" s="147" t="str">
        <f t="shared" si="13"/>
        <v>*</v>
      </c>
      <c r="C2061" s="147" t="e">
        <f>CONCATENATE("IMP",Commodities!C$51,"R",RIGHT(C1422,2))</f>
        <v>#REF!</v>
      </c>
      <c r="D2061" s="147" t="str">
        <f>CONCATENATE("Import Pipeline Trade of ",Commodities!C$51, " to ",$B2061," from ",B1422)</f>
        <v>Import Pipeline Trade of DSL to * from *R6</v>
      </c>
      <c r="E2061" s="163" t="s">
        <v>196</v>
      </c>
      <c r="F2061" s="163" t="s">
        <v>318</v>
      </c>
    </row>
    <row r="2062" spans="2:6">
      <c r="B2062" s="147" t="str">
        <f t="shared" si="13"/>
        <v>*</v>
      </c>
      <c r="C2062" s="147" t="e">
        <f>CONCATENATE("IMP",Commodities!C$52,"R",RIGHT(C1423,2))</f>
        <v>#REF!</v>
      </c>
      <c r="D2062" s="147" t="str">
        <f>CONCATENATE("Import Pipeline Trade of ",Commodities!C$52, " to ",$B2062," from ",B1423)</f>
        <v>Import Pipeline Trade of DSU to * from *R6</v>
      </c>
      <c r="E2062" s="163" t="s">
        <v>196</v>
      </c>
      <c r="F2062" s="163" t="s">
        <v>318</v>
      </c>
    </row>
    <row r="2063" spans="2:6">
      <c r="B2063" s="147" t="str">
        <f t="shared" si="13"/>
        <v>*</v>
      </c>
      <c r="C2063" s="147" t="e">
        <f>CONCATENATE("IMP",Commodities!C$53,"R",RIGHT(C1424,2))</f>
        <v>#REF!</v>
      </c>
      <c r="D2063" s="147" t="str">
        <f>CONCATENATE("Import Pipeline Trade of ",Commodities!C$53, " to ",$B2063," from ",B1424)</f>
        <v>Import Pipeline Trade of JTF to * from *R6</v>
      </c>
      <c r="E2063" s="163" t="s">
        <v>196</v>
      </c>
      <c r="F2063" s="163" t="s">
        <v>318</v>
      </c>
    </row>
    <row r="2064" spans="2:6">
      <c r="B2064" s="147" t="str">
        <f t="shared" si="13"/>
        <v>*</v>
      </c>
      <c r="C2064" s="147" t="e">
        <f>CONCATENATE("IMP",Commodities!C$54,"R",RIGHT(C1425,2))</f>
        <v>#REF!</v>
      </c>
      <c r="D2064" s="147" t="str">
        <f>CONCATENATE("Import Pipeline Trade of ",Commodities!C$54, " to ",$B2064," from ",B1425)</f>
        <v>Import Pipeline Trade of KER to * from *R6</v>
      </c>
      <c r="E2064" s="163" t="s">
        <v>196</v>
      </c>
      <c r="F2064" s="163" t="s">
        <v>318</v>
      </c>
    </row>
    <row r="2065" spans="2:6">
      <c r="B2065" s="147" t="str">
        <f t="shared" si="13"/>
        <v>*</v>
      </c>
      <c r="C2065" s="147" t="e">
        <f>CONCATENATE("IMP",Commodities!C$55,"R",RIGHT(C1426,2))</f>
        <v>#REF!</v>
      </c>
      <c r="D2065" s="147" t="str">
        <f>CONCATENATE("Import Pipeline Trade of ",Commodities!C$55, " to ",$B2065," from ",B1426)</f>
        <v>Import Pipeline Trade of LPG to * from *R6</v>
      </c>
      <c r="E2065" s="163" t="s">
        <v>196</v>
      </c>
      <c r="F2065" s="163" t="s">
        <v>318</v>
      </c>
    </row>
    <row r="2066" spans="2:6">
      <c r="B2066" s="147" t="str">
        <f t="shared" si="13"/>
        <v>*</v>
      </c>
      <c r="C2066" s="147" t="e">
        <f>CONCATENATE("IMP",Commodities!C$56,"R",RIGHT(C1427,2))</f>
        <v>#REF!</v>
      </c>
      <c r="D2066" s="147" t="str">
        <f>CONCATENATE("Import Pipeline Trade of ",Commodities!C$56, " to ",$B2066," from ",B1427)</f>
        <v>Import Pipeline Trade of MTH to * from *R6</v>
      </c>
      <c r="E2066" s="163" t="s">
        <v>196</v>
      </c>
      <c r="F2066" s="163" t="s">
        <v>318</v>
      </c>
    </row>
    <row r="2067" spans="2:6">
      <c r="B2067" s="147" t="str">
        <f t="shared" si="13"/>
        <v>*</v>
      </c>
      <c r="C2067" s="147" t="e">
        <f>CONCATENATE("IMP",Commodities!C$57,"R",RIGHT(C1428,2))</f>
        <v>#REF!</v>
      </c>
      <c r="D2067" s="147" t="str">
        <f>CONCATENATE("Import Pipeline Trade of ",Commodities!C$57, " to ",$B2067," from ",B1428)</f>
        <v>Import Pipeline Trade of PFS to * from *R6</v>
      </c>
      <c r="E2067" s="163" t="s">
        <v>196</v>
      </c>
      <c r="F2067" s="163" t="s">
        <v>318</v>
      </c>
    </row>
    <row r="2068" spans="2:6">
      <c r="B2068" s="147" t="str">
        <f t="shared" si="13"/>
        <v>*</v>
      </c>
      <c r="C2068" s="147" t="e">
        <f>CONCATENATE("IMP",Commodities!C$58,"R",RIGHT(C1429,2))</f>
        <v>#REF!</v>
      </c>
      <c r="D2068" s="147" t="str">
        <f>CONCATENATE("Import Pipeline Trade of ",Commodities!C$58, " to ",$B2068," from ",B1429)</f>
        <v>Import Pipeline Trade of RFH to * from *R6</v>
      </c>
      <c r="E2068" s="163" t="s">
        <v>196</v>
      </c>
      <c r="F2068" s="163" t="s">
        <v>318</v>
      </c>
    </row>
    <row r="2069" spans="2:6">
      <c r="B2069" s="147" t="str">
        <f t="shared" si="13"/>
        <v>*</v>
      </c>
      <c r="C2069" s="147" t="e">
        <f>CONCATENATE("IMP",Commodities!C$59,"R",RIGHT(C1430,2))</f>
        <v>#REF!</v>
      </c>
      <c r="D2069" s="147" t="str">
        <f>CONCATENATE("Import Pipeline Trade of ",Commodities!C$59, " to ",$B2069," from ",B1430)</f>
        <v>Import Pipeline Trade of RFL to * from *R6</v>
      </c>
      <c r="E2069" s="163" t="s">
        <v>196</v>
      </c>
      <c r="F2069" s="163" t="s">
        <v>318</v>
      </c>
    </row>
    <row r="2070" spans="2:6">
      <c r="B2070" s="147" t="str">
        <f t="shared" si="13"/>
        <v>*</v>
      </c>
      <c r="C2070" s="147" t="e">
        <f>CONCATENATE("IMP",Commodities!C$60,"R",RIGHT(C1431,2))</f>
        <v>#REF!</v>
      </c>
      <c r="D2070" s="147" t="str">
        <f>CONCATENATE("Import Pipeline Trade of ",Commodities!C$60, " to ",$B2070," from ",B1431)</f>
        <v>Import Pipeline Trade of ASP to * from *R6</v>
      </c>
      <c r="E2070" s="163" t="s">
        <v>196</v>
      </c>
      <c r="F2070" s="163" t="s">
        <v>318</v>
      </c>
    </row>
    <row r="2071" spans="2:6">
      <c r="B2071" s="147" t="e">
        <f t="shared" si="13"/>
        <v>#REF!</v>
      </c>
      <c r="C2071" s="147" t="e">
        <f>CONCATENATE("IMP",Commodities!C$48,"R",RIGHT(C1432,2))</f>
        <v>#REF!</v>
      </c>
      <c r="D2071" s="147" t="e">
        <f>CONCATENATE("Import Pipeline Trade of ",Commodities!C$48, " to ",$B2071," from ",B1432)</f>
        <v>#REF!</v>
      </c>
      <c r="E2071" s="163" t="s">
        <v>196</v>
      </c>
      <c r="F2071" s="163" t="s">
        <v>318</v>
      </c>
    </row>
    <row r="2072" spans="2:6">
      <c r="B2072" s="147" t="e">
        <f t="shared" si="13"/>
        <v>#REF!</v>
      </c>
      <c r="C2072" s="147" t="e">
        <f>CONCATENATE("IMP",Commodities!C$49,"R",RIGHT(C1433,2))</f>
        <v>#REF!</v>
      </c>
      <c r="D2072" s="147" t="e">
        <f>CONCATENATE("Import Pipeline Trade of ",Commodities!C$49, " to ",$B2072," from ",B1433)</f>
        <v>#REF!</v>
      </c>
      <c r="E2072" s="163" t="s">
        <v>196</v>
      </c>
      <c r="F2072" s="163" t="s">
        <v>318</v>
      </c>
    </row>
    <row r="2073" spans="2:6">
      <c r="B2073" s="147" t="e">
        <f t="shared" si="13"/>
        <v>#REF!</v>
      </c>
      <c r="C2073" s="147" t="e">
        <f>CONCATENATE("IMP",Commodities!C$50,"R",RIGHT(C1434,2))</f>
        <v>#REF!</v>
      </c>
      <c r="D2073" s="147" t="e">
        <f>CONCATENATE("Import Pipeline Trade of ",Commodities!C$50, " to ",$B2073," from ",B1434)</f>
        <v>#REF!</v>
      </c>
      <c r="E2073" s="163" t="s">
        <v>196</v>
      </c>
      <c r="F2073" s="163" t="s">
        <v>318</v>
      </c>
    </row>
    <row r="2074" spans="2:6">
      <c r="B2074" s="147" t="e">
        <f t="shared" si="13"/>
        <v>#REF!</v>
      </c>
      <c r="C2074" s="147" t="e">
        <f>CONCATENATE("IMP",Commodities!C$51,"R",RIGHT(C1435,2))</f>
        <v>#REF!</v>
      </c>
      <c r="D2074" s="147" t="e">
        <f>CONCATENATE("Import Pipeline Trade of ",Commodities!C$51, " to ",$B2074," from ",B1435)</f>
        <v>#REF!</v>
      </c>
      <c r="E2074" s="163" t="s">
        <v>196</v>
      </c>
      <c r="F2074" s="163" t="s">
        <v>318</v>
      </c>
    </row>
    <row r="2075" spans="2:6">
      <c r="B2075" s="147" t="e">
        <f t="shared" si="13"/>
        <v>#REF!</v>
      </c>
      <c r="C2075" s="147" t="e">
        <f>CONCATENATE("IMP",Commodities!C$52,"R",RIGHT(C1436,2))</f>
        <v>#REF!</v>
      </c>
      <c r="D2075" s="147" t="e">
        <f>CONCATENATE("Import Pipeline Trade of ",Commodities!C$52, " to ",$B2075," from ",B1436)</f>
        <v>#REF!</v>
      </c>
      <c r="E2075" s="163" t="s">
        <v>196</v>
      </c>
      <c r="F2075" s="163" t="s">
        <v>318</v>
      </c>
    </row>
    <row r="2076" spans="2:6">
      <c r="B2076" s="147" t="str">
        <f t="shared" si="13"/>
        <v>*</v>
      </c>
      <c r="C2076" s="147" t="e">
        <f>CONCATENATE("IMP",Commodities!C$53,"R",RIGHT(C1437,2))</f>
        <v>#REF!</v>
      </c>
      <c r="D2076" s="147" t="str">
        <f>CONCATENATE("Import Pipeline Trade of ",Commodities!C$53, " to ",$B2076," from ",B1437)</f>
        <v>Import Pipeline Trade of JTF to * from *R1</v>
      </c>
      <c r="E2076" s="163" t="s">
        <v>196</v>
      </c>
      <c r="F2076" s="163" t="s">
        <v>318</v>
      </c>
    </row>
    <row r="2077" spans="2:6">
      <c r="B2077" s="147" t="str">
        <f t="shared" si="13"/>
        <v>*</v>
      </c>
      <c r="C2077" s="147" t="e">
        <f>CONCATENATE("IMP",Commodities!C$54,"R",RIGHT(C1438,2))</f>
        <v>#REF!</v>
      </c>
      <c r="D2077" s="147" t="str">
        <f>CONCATENATE("Import Pipeline Trade of ",Commodities!C$54, " to ",$B2077," from ",B1438)</f>
        <v>Import Pipeline Trade of KER to * from *R1</v>
      </c>
      <c r="E2077" s="163" t="s">
        <v>196</v>
      </c>
      <c r="F2077" s="163" t="s">
        <v>318</v>
      </c>
    </row>
    <row r="2078" spans="2:6">
      <c r="B2078" s="147" t="str">
        <f t="shared" si="13"/>
        <v>*</v>
      </c>
      <c r="C2078" s="147" t="e">
        <f>CONCATENATE("IMP",Commodities!C$55,"R",RIGHT(C1439,2))</f>
        <v>#REF!</v>
      </c>
      <c r="D2078" s="147" t="str">
        <f>CONCATENATE("Import Pipeline Trade of ",Commodities!C$55, " to ",$B2078," from ",B1439)</f>
        <v>Import Pipeline Trade of LPG to * from *R1</v>
      </c>
      <c r="E2078" s="163" t="s">
        <v>196</v>
      </c>
      <c r="F2078" s="163" t="s">
        <v>318</v>
      </c>
    </row>
    <row r="2079" spans="2:6">
      <c r="B2079" s="147" t="str">
        <f t="shared" si="13"/>
        <v>*</v>
      </c>
      <c r="C2079" s="147" t="e">
        <f>CONCATENATE("IMP",Commodities!C$56,"R",RIGHT(C1440,2))</f>
        <v>#REF!</v>
      </c>
      <c r="D2079" s="147" t="str">
        <f>CONCATENATE("Import Pipeline Trade of ",Commodities!C$56, " to ",$B2079," from ",B1440)</f>
        <v>Import Pipeline Trade of MTH to * from *R1</v>
      </c>
      <c r="E2079" s="163" t="s">
        <v>196</v>
      </c>
      <c r="F2079" s="163" t="s">
        <v>318</v>
      </c>
    </row>
    <row r="2080" spans="2:6">
      <c r="B2080" s="147" t="str">
        <f t="shared" si="13"/>
        <v>*</v>
      </c>
      <c r="C2080" s="147" t="e">
        <f>CONCATENATE("IMP",Commodities!C$57,"R",RIGHT(C1441,2))</f>
        <v>#REF!</v>
      </c>
      <c r="D2080" s="147" t="str">
        <f>CONCATENATE("Import Pipeline Trade of ",Commodities!C$57, " to ",$B2080," from ",B1441)</f>
        <v>Import Pipeline Trade of PFS to * from *R1</v>
      </c>
      <c r="E2080" s="163" t="s">
        <v>196</v>
      </c>
      <c r="F2080" s="163" t="s">
        <v>318</v>
      </c>
    </row>
    <row r="2081" spans="2:6">
      <c r="B2081" s="147" t="str">
        <f t="shared" si="13"/>
        <v>*</v>
      </c>
      <c r="C2081" s="147" t="e">
        <f>CONCATENATE("IMP",Commodities!C$58,"R",RIGHT(C1442,2))</f>
        <v>#REF!</v>
      </c>
      <c r="D2081" s="147" t="str">
        <f>CONCATENATE("Import Pipeline Trade of ",Commodities!C$58, " to ",$B2081," from ",B1442)</f>
        <v>Import Pipeline Trade of RFH to * from *R1</v>
      </c>
      <c r="E2081" s="163" t="s">
        <v>196</v>
      </c>
      <c r="F2081" s="163" t="s">
        <v>318</v>
      </c>
    </row>
    <row r="2082" spans="2:6">
      <c r="B2082" s="147" t="e">
        <f t="shared" si="13"/>
        <v>#REF!</v>
      </c>
      <c r="C2082" s="147" t="e">
        <f>CONCATENATE("IMP",Commodities!C$59,"R",RIGHT(C1443,2))</f>
        <v>#REF!</v>
      </c>
      <c r="D2082" s="147" t="e">
        <f>CONCATENATE("Import Pipeline Trade of ",Commodities!C$59, " to ",$B2082," from ",B1443)</f>
        <v>#REF!</v>
      </c>
      <c r="E2082" s="163" t="s">
        <v>196</v>
      </c>
      <c r="F2082" s="163" t="s">
        <v>318</v>
      </c>
    </row>
    <row r="2083" spans="2:6">
      <c r="B2083" s="147" t="str">
        <f t="shared" si="13"/>
        <v>*</v>
      </c>
      <c r="C2083" s="147" t="e">
        <f>CONCATENATE("IMP",Commodities!C$60,"R",RIGHT(C1444,2))</f>
        <v>#REF!</v>
      </c>
      <c r="D2083" s="147" t="str">
        <f>CONCATENATE("Import Pipeline Trade of ",Commodities!C$60, " to ",$B2083," from ",B1444)</f>
        <v>Import Pipeline Trade of ASP to * from *R1</v>
      </c>
      <c r="E2083" s="163" t="s">
        <v>196</v>
      </c>
      <c r="F2083" s="163" t="s">
        <v>318</v>
      </c>
    </row>
    <row r="2084" spans="2:6">
      <c r="B2084" s="147" t="str">
        <f t="shared" si="13"/>
        <v>*</v>
      </c>
      <c r="C2084" s="147" t="e">
        <f>CONCATENATE("IMP",Commodities!C48,"R",RIGHT(#REF!,2))</f>
        <v>#REF!</v>
      </c>
      <c r="D2084" s="147" t="e">
        <f>CONCATENATE("Import Pipeline Trade of ",Commodities!C48, " to ",$B$2084," from ",#REF!)</f>
        <v>#REF!</v>
      </c>
      <c r="E2084" s="163" t="s">
        <v>196</v>
      </c>
      <c r="F2084" s="163" t="s">
        <v>318</v>
      </c>
    </row>
    <row r="2085" spans="2:6">
      <c r="B2085" s="147" t="str">
        <f t="shared" si="13"/>
        <v>*</v>
      </c>
      <c r="C2085" s="147" t="e">
        <f>CONCATENATE("IMP",Commodities!C49,"R",RIGHT(#REF!,2))</f>
        <v>#REF!</v>
      </c>
      <c r="D2085" s="147" t="e">
        <f>CONCATENATE("Import Pipeline Trade of ",Commodities!C49, " to ",$B$2084," from ",#REF!)</f>
        <v>#REF!</v>
      </c>
      <c r="E2085" s="163" t="s">
        <v>196</v>
      </c>
      <c r="F2085" s="163" t="s">
        <v>318</v>
      </c>
    </row>
    <row r="2086" spans="2:6">
      <c r="B2086" s="147" t="str">
        <f t="shared" si="13"/>
        <v>*</v>
      </c>
      <c r="C2086" s="147" t="e">
        <f>CONCATENATE("IMP",Commodities!C50,"R",RIGHT(#REF!,2))</f>
        <v>#REF!</v>
      </c>
      <c r="D2086" s="147" t="e">
        <f>CONCATENATE("Import Pipeline Trade of ",Commodities!C50, " to ",$B$2084," from ",#REF!)</f>
        <v>#REF!</v>
      </c>
      <c r="E2086" s="163" t="s">
        <v>196</v>
      </c>
      <c r="F2086" s="163" t="s">
        <v>318</v>
      </c>
    </row>
    <row r="2087" spans="2:6">
      <c r="B2087" s="147" t="str">
        <f t="shared" si="13"/>
        <v>*</v>
      </c>
      <c r="C2087" s="147" t="e">
        <f>CONCATENATE("IMP",Commodities!C51,"R",RIGHT(#REF!,2))</f>
        <v>#REF!</v>
      </c>
      <c r="D2087" s="147" t="e">
        <f>CONCATENATE("Import Pipeline Trade of ",Commodities!C51, " to ",$B$2084," from ",#REF!)</f>
        <v>#REF!</v>
      </c>
      <c r="E2087" s="163" t="s">
        <v>196</v>
      </c>
      <c r="F2087" s="163" t="s">
        <v>318</v>
      </c>
    </row>
    <row r="2088" spans="2:6">
      <c r="B2088" s="147" t="str">
        <f t="shared" si="13"/>
        <v>*</v>
      </c>
      <c r="C2088" s="147" t="e">
        <f>CONCATENATE("IMP",Commodities!C52,"R",RIGHT(#REF!,2))</f>
        <v>#REF!</v>
      </c>
      <c r="D2088" s="147" t="e">
        <f>CONCATENATE("Import Pipeline Trade of ",Commodities!C52, " to ",$B$2084," from ",#REF!)</f>
        <v>#REF!</v>
      </c>
      <c r="E2088" s="163" t="s">
        <v>196</v>
      </c>
      <c r="F2088" s="163" t="s">
        <v>318</v>
      </c>
    </row>
    <row r="2089" spans="2:6">
      <c r="B2089" s="147" t="str">
        <f t="shared" si="13"/>
        <v>*</v>
      </c>
      <c r="C2089" s="147" t="e">
        <f>CONCATENATE("IMP",Commodities!C53,"R",RIGHT(#REF!,2))</f>
        <v>#REF!</v>
      </c>
      <c r="D2089" s="147" t="e">
        <f>CONCATENATE("Import Pipeline Trade of ",Commodities!C53, " to ",$B$2084," from ",#REF!)</f>
        <v>#REF!</v>
      </c>
      <c r="E2089" s="163" t="s">
        <v>196</v>
      </c>
      <c r="F2089" s="163" t="s">
        <v>318</v>
      </c>
    </row>
    <row r="2090" spans="2:6">
      <c r="B2090" s="147" t="str">
        <f t="shared" si="13"/>
        <v>*</v>
      </c>
      <c r="C2090" s="147" t="e">
        <f>CONCATENATE("IMP",Commodities!C54,"R",RIGHT(#REF!,2))</f>
        <v>#REF!</v>
      </c>
      <c r="D2090" s="147" t="e">
        <f>CONCATENATE("Import Pipeline Trade of ",Commodities!C54, " to ",$B$2084," from ",#REF!)</f>
        <v>#REF!</v>
      </c>
      <c r="E2090" s="163" t="s">
        <v>196</v>
      </c>
      <c r="F2090" s="163" t="s">
        <v>318</v>
      </c>
    </row>
    <row r="2091" spans="2:6">
      <c r="B2091" s="147" t="str">
        <f t="shared" si="13"/>
        <v>*</v>
      </c>
      <c r="C2091" s="147" t="e">
        <f>CONCATENATE("IMP",Commodities!C55,"R",RIGHT(#REF!,2))</f>
        <v>#REF!</v>
      </c>
      <c r="D2091" s="147" t="e">
        <f>CONCATENATE("Import Pipeline Trade of ",Commodities!C55, " to ",$B$2084," from ",#REF!)</f>
        <v>#REF!</v>
      </c>
      <c r="E2091" s="163" t="s">
        <v>196</v>
      </c>
      <c r="F2091" s="163" t="s">
        <v>318</v>
      </c>
    </row>
    <row r="2092" spans="2:6">
      <c r="B2092" s="147" t="str">
        <f t="shared" si="13"/>
        <v>*</v>
      </c>
      <c r="C2092" s="147" t="e">
        <f>CONCATENATE("IMP",Commodities!C56,"R",RIGHT(#REF!,2))</f>
        <v>#REF!</v>
      </c>
      <c r="D2092" s="147" t="e">
        <f>CONCATENATE("Import Pipeline Trade of ",Commodities!C56, " to ",$B$2084," from ",#REF!)</f>
        <v>#REF!</v>
      </c>
      <c r="E2092" s="163" t="s">
        <v>196</v>
      </c>
      <c r="F2092" s="163" t="s">
        <v>318</v>
      </c>
    </row>
    <row r="2093" spans="2:6">
      <c r="B2093" s="147" t="str">
        <f t="shared" si="13"/>
        <v>*</v>
      </c>
      <c r="C2093" s="147" t="e">
        <f>CONCATENATE("IMP",Commodities!C57,"R",RIGHT(#REF!,2))</f>
        <v>#REF!</v>
      </c>
      <c r="D2093" s="147" t="e">
        <f>CONCATENATE("Import Pipeline Trade of ",Commodities!C57, " to ",$B$2084," from ",#REF!)</f>
        <v>#REF!</v>
      </c>
      <c r="E2093" s="163" t="s">
        <v>196</v>
      </c>
      <c r="F2093" s="163" t="s">
        <v>318</v>
      </c>
    </row>
    <row r="2094" spans="2:6">
      <c r="B2094" s="147" t="str">
        <f t="shared" si="13"/>
        <v>*</v>
      </c>
      <c r="C2094" s="147" t="e">
        <f>CONCATENATE("IMP",Commodities!C58,"R",RIGHT(#REF!,2))</f>
        <v>#REF!</v>
      </c>
      <c r="D2094" s="147" t="e">
        <f>CONCATENATE("Import Pipeline Trade of ",Commodities!C58, " to ",$B$2084," from ",#REF!)</f>
        <v>#REF!</v>
      </c>
      <c r="E2094" s="163" t="s">
        <v>196</v>
      </c>
      <c r="F2094" s="163" t="s">
        <v>318</v>
      </c>
    </row>
    <row r="2095" spans="2:6">
      <c r="B2095" s="147" t="str">
        <f t="shared" si="13"/>
        <v>*</v>
      </c>
      <c r="C2095" s="147" t="e">
        <f>CONCATENATE("IMP",Commodities!C59,"R",RIGHT(#REF!,2))</f>
        <v>#REF!</v>
      </c>
      <c r="D2095" s="147" t="e">
        <f>CONCATENATE("Import Pipeline Trade of ",Commodities!C59, " to ",$B$2084," from ",#REF!)</f>
        <v>#REF!</v>
      </c>
      <c r="E2095" s="163" t="s">
        <v>196</v>
      </c>
      <c r="F2095" s="163" t="s">
        <v>318</v>
      </c>
    </row>
    <row r="2096" spans="2:6">
      <c r="B2096" s="147" t="str">
        <f t="shared" si="13"/>
        <v>*</v>
      </c>
      <c r="C2096" s="147" t="e">
        <f>CONCATENATE("IMP",Commodities!C60,"R",RIGHT(#REF!,2))</f>
        <v>#REF!</v>
      </c>
      <c r="D2096" s="147" t="e">
        <f>CONCATENATE("Import Pipeline Trade of ",Commodities!C60, " to ",$B$2084," from ",#REF!)</f>
        <v>#REF!</v>
      </c>
      <c r="E2096" s="163" t="s">
        <v>196</v>
      </c>
      <c r="F2096" s="163" t="s">
        <v>318</v>
      </c>
    </row>
    <row r="2097" spans="2:6">
      <c r="B2097" s="147" t="str">
        <f t="shared" si="13"/>
        <v>*</v>
      </c>
      <c r="C2097" s="147" t="e">
        <f>CONCATENATE("IMP",Commodities!C48,"R",RIGHT(#REF!,2))</f>
        <v>#REF!</v>
      </c>
      <c r="D2097" s="147" t="e">
        <f>CONCATENATE("Import Pipeline Trade of ",Commodities!C48, " to ",$B$2097," from ",#REF!)</f>
        <v>#REF!</v>
      </c>
      <c r="E2097" s="163" t="s">
        <v>196</v>
      </c>
      <c r="F2097" s="163" t="s">
        <v>318</v>
      </c>
    </row>
    <row r="2098" spans="2:6">
      <c r="B2098" s="147" t="str">
        <f t="shared" si="13"/>
        <v>*</v>
      </c>
      <c r="C2098" s="147" t="e">
        <f>CONCATENATE("IMP",Commodities!C49,"R",RIGHT(#REF!,2))</f>
        <v>#REF!</v>
      </c>
      <c r="D2098" s="147" t="e">
        <f>CONCATENATE("Import Pipeline Trade of ",Commodities!C49, " to ",$B$2097," from ",#REF!)</f>
        <v>#REF!</v>
      </c>
      <c r="E2098" s="163" t="s">
        <v>196</v>
      </c>
      <c r="F2098" s="163" t="s">
        <v>318</v>
      </c>
    </row>
    <row r="2099" spans="2:6">
      <c r="B2099" s="147" t="str">
        <f t="shared" si="13"/>
        <v>*</v>
      </c>
      <c r="C2099" s="147" t="e">
        <f>CONCATENATE("IMP",Commodities!C50,"R",RIGHT(#REF!,2))</f>
        <v>#REF!</v>
      </c>
      <c r="D2099" s="147" t="e">
        <f>CONCATENATE("Import Pipeline Trade of ",Commodities!C50, " to ",$B$2097," from ",#REF!)</f>
        <v>#REF!</v>
      </c>
      <c r="E2099" s="163" t="s">
        <v>196</v>
      </c>
      <c r="F2099" s="163" t="s">
        <v>318</v>
      </c>
    </row>
    <row r="2100" spans="2:6">
      <c r="B2100" s="147" t="str">
        <f t="shared" si="13"/>
        <v>*</v>
      </c>
      <c r="C2100" s="147" t="e">
        <f>CONCATENATE("IMP",Commodities!C51,"R",RIGHT(#REF!,2))</f>
        <v>#REF!</v>
      </c>
      <c r="D2100" s="147" t="e">
        <f>CONCATENATE("Import Pipeline Trade of ",Commodities!C51, " to ",$B$2097," from ",#REF!)</f>
        <v>#REF!</v>
      </c>
      <c r="E2100" s="163" t="s">
        <v>196</v>
      </c>
      <c r="F2100" s="163" t="s">
        <v>318</v>
      </c>
    </row>
    <row r="2101" spans="2:6">
      <c r="B2101" s="147" t="str">
        <f t="shared" si="13"/>
        <v>*</v>
      </c>
      <c r="C2101" s="147" t="e">
        <f>CONCATENATE("IMP",Commodities!C52,"R",RIGHT(#REF!,2))</f>
        <v>#REF!</v>
      </c>
      <c r="D2101" s="147" t="e">
        <f>CONCATENATE("Import Pipeline Trade of ",Commodities!C52, " to ",$B$2097," from ",#REF!)</f>
        <v>#REF!</v>
      </c>
      <c r="E2101" s="163" t="s">
        <v>196</v>
      </c>
      <c r="F2101" s="163" t="s">
        <v>318</v>
      </c>
    </row>
    <row r="2102" spans="2:6">
      <c r="B2102" s="147" t="str">
        <f t="shared" si="13"/>
        <v>*</v>
      </c>
      <c r="C2102" s="147" t="e">
        <f>CONCATENATE("IMP",Commodities!C53,"R",RIGHT(#REF!,2))</f>
        <v>#REF!</v>
      </c>
      <c r="D2102" s="147" t="e">
        <f>CONCATENATE("Import Pipeline Trade of ",Commodities!C53, " to ",$B$2097," from ",#REF!)</f>
        <v>#REF!</v>
      </c>
      <c r="E2102" s="163" t="s">
        <v>196</v>
      </c>
      <c r="F2102" s="163" t="s">
        <v>318</v>
      </c>
    </row>
    <row r="2103" spans="2:6">
      <c r="B2103" s="147" t="str">
        <f t="shared" si="13"/>
        <v>*</v>
      </c>
      <c r="C2103" s="147" t="e">
        <f>CONCATENATE("IMP",Commodities!C54,"R",RIGHT(#REF!,2))</f>
        <v>#REF!</v>
      </c>
      <c r="D2103" s="147" t="e">
        <f>CONCATENATE("Import Pipeline Trade of ",Commodities!C54, " to ",$B$2097," from ",#REF!)</f>
        <v>#REF!</v>
      </c>
      <c r="E2103" s="163" t="s">
        <v>196</v>
      </c>
      <c r="F2103" s="163" t="s">
        <v>318</v>
      </c>
    </row>
    <row r="2104" spans="2:6">
      <c r="B2104" s="147" t="str">
        <f t="shared" si="13"/>
        <v>*</v>
      </c>
      <c r="C2104" s="147" t="e">
        <f>CONCATENATE("IMP",Commodities!C55,"R",RIGHT(#REF!,2))</f>
        <v>#REF!</v>
      </c>
      <c r="D2104" s="147" t="e">
        <f>CONCATENATE("Import Pipeline Trade of ",Commodities!C55, " to ",$B$2097," from ",#REF!)</f>
        <v>#REF!</v>
      </c>
      <c r="E2104" s="163" t="s">
        <v>196</v>
      </c>
      <c r="F2104" s="163" t="s">
        <v>318</v>
      </c>
    </row>
    <row r="2105" spans="2:6">
      <c r="B2105" s="147" t="str">
        <f t="shared" si="13"/>
        <v>*</v>
      </c>
      <c r="C2105" s="147" t="e">
        <f>CONCATENATE("IMP",Commodities!C56,"R",RIGHT(#REF!,2))</f>
        <v>#REF!</v>
      </c>
      <c r="D2105" s="147" t="e">
        <f>CONCATENATE("Import Pipeline Trade of ",Commodities!C56, " to ",$B$2097," from ",#REF!)</f>
        <v>#REF!</v>
      </c>
      <c r="E2105" s="163" t="s">
        <v>196</v>
      </c>
      <c r="F2105" s="163" t="s">
        <v>318</v>
      </c>
    </row>
    <row r="2106" spans="2:6">
      <c r="B2106" s="147" t="str">
        <f t="shared" si="13"/>
        <v>*</v>
      </c>
      <c r="C2106" s="147" t="e">
        <f>CONCATENATE("IMP",Commodities!C57,"R",RIGHT(#REF!,2))</f>
        <v>#REF!</v>
      </c>
      <c r="D2106" s="147" t="e">
        <f>CONCATENATE("Import Pipeline Trade of ",Commodities!C57, " to ",$B$2097," from ",#REF!)</f>
        <v>#REF!</v>
      </c>
      <c r="E2106" s="163" t="s">
        <v>196</v>
      </c>
      <c r="F2106" s="163" t="s">
        <v>318</v>
      </c>
    </row>
    <row r="2107" spans="2:6">
      <c r="B2107" s="147" t="str">
        <f t="shared" ref="B2107:B2170" si="14">IF(LEFT(B1468,1)="*","*",CONCATENATE("R",RIGHT(C2107,1)))</f>
        <v>*</v>
      </c>
      <c r="C2107" s="147" t="e">
        <f>CONCATENATE("IMP",Commodities!C58,"R",RIGHT(#REF!,2))</f>
        <v>#REF!</v>
      </c>
      <c r="D2107" s="147" t="e">
        <f>CONCATENATE("Import Pipeline Trade of ",Commodities!C58, " to ",$B$2097," from ",#REF!)</f>
        <v>#REF!</v>
      </c>
      <c r="E2107" s="163" t="s">
        <v>196</v>
      </c>
      <c r="F2107" s="163" t="s">
        <v>318</v>
      </c>
    </row>
    <row r="2108" spans="2:6">
      <c r="B2108" s="147" t="str">
        <f t="shared" si="14"/>
        <v>*</v>
      </c>
      <c r="C2108" s="147" t="e">
        <f>CONCATENATE("IMP",Commodities!C59,"R",RIGHT(#REF!,2))</f>
        <v>#REF!</v>
      </c>
      <c r="D2108" s="147" t="e">
        <f>CONCATENATE("Import Pipeline Trade of ",Commodities!C59, " to ",$B$2097," from ",#REF!)</f>
        <v>#REF!</v>
      </c>
      <c r="E2108" s="163" t="s">
        <v>196</v>
      </c>
      <c r="F2108" s="163" t="s">
        <v>318</v>
      </c>
    </row>
    <row r="2109" spans="2:6">
      <c r="B2109" s="147" t="str">
        <f t="shared" si="14"/>
        <v>*</v>
      </c>
      <c r="C2109" s="147" t="e">
        <f>CONCATENATE("IMP",Commodities!C60,"R",RIGHT(#REF!,2))</f>
        <v>#REF!</v>
      </c>
      <c r="D2109" s="147" t="e">
        <f>CONCATENATE("Import Pipeline Trade of ",Commodities!C60, " to ",$B$2097," from ",#REF!)</f>
        <v>#REF!</v>
      </c>
      <c r="E2109" s="163" t="s">
        <v>196</v>
      </c>
      <c r="F2109" s="163" t="s">
        <v>318</v>
      </c>
    </row>
    <row r="2110" spans="2:6">
      <c r="B2110" s="147" t="str">
        <f t="shared" si="14"/>
        <v>*</v>
      </c>
      <c r="C2110" s="147" t="e">
        <f>CONCATENATE("IMP",Commodities!C48,"R",RIGHT(#REF!,2))</f>
        <v>#REF!</v>
      </c>
      <c r="D2110" s="147" t="e">
        <f>CONCATENATE("Import Pipeline Trade of ",Commodities!C48, " to ",$B$2110," from ",#REF!)</f>
        <v>#REF!</v>
      </c>
      <c r="E2110" s="163" t="s">
        <v>196</v>
      </c>
      <c r="F2110" s="163" t="s">
        <v>318</v>
      </c>
    </row>
    <row r="2111" spans="2:6">
      <c r="B2111" s="147" t="str">
        <f t="shared" si="14"/>
        <v>*</v>
      </c>
      <c r="C2111" s="147" t="e">
        <f>CONCATENATE("IMP",Commodities!C49,"R",RIGHT(#REF!,2))</f>
        <v>#REF!</v>
      </c>
      <c r="D2111" s="147" t="e">
        <f>CONCATENATE("Import Pipeline Trade of ",Commodities!C49, " to ",$B$2110," from ",#REF!)</f>
        <v>#REF!</v>
      </c>
      <c r="E2111" s="163" t="s">
        <v>196</v>
      </c>
      <c r="F2111" s="163" t="s">
        <v>318</v>
      </c>
    </row>
    <row r="2112" spans="2:6">
      <c r="B2112" s="147" t="str">
        <f t="shared" si="14"/>
        <v>*</v>
      </c>
      <c r="C2112" s="147" t="e">
        <f>CONCATENATE("IMP",Commodities!C50,"R",RIGHT(#REF!,2))</f>
        <v>#REF!</v>
      </c>
      <c r="D2112" s="147" t="e">
        <f>CONCATENATE("Import Pipeline Trade of ",Commodities!C50, " to ",$B$2110," from ",#REF!)</f>
        <v>#REF!</v>
      </c>
      <c r="E2112" s="163" t="s">
        <v>196</v>
      </c>
      <c r="F2112" s="163" t="s">
        <v>318</v>
      </c>
    </row>
    <row r="2113" spans="2:6">
      <c r="B2113" s="147" t="str">
        <f t="shared" si="14"/>
        <v>*</v>
      </c>
      <c r="C2113" s="147" t="e">
        <f>CONCATENATE("IMP",Commodities!C51,"R",RIGHT(#REF!,2))</f>
        <v>#REF!</v>
      </c>
      <c r="D2113" s="147" t="e">
        <f>CONCATENATE("Import Pipeline Trade of ",Commodities!C51, " to ",$B$2110," from ",#REF!)</f>
        <v>#REF!</v>
      </c>
      <c r="E2113" s="163" t="s">
        <v>196</v>
      </c>
      <c r="F2113" s="163" t="s">
        <v>318</v>
      </c>
    </row>
    <row r="2114" spans="2:6">
      <c r="B2114" s="147" t="str">
        <f t="shared" si="14"/>
        <v>*</v>
      </c>
      <c r="C2114" s="147" t="e">
        <f>CONCATENATE("IMP",Commodities!C52,"R",RIGHT(#REF!,2))</f>
        <v>#REF!</v>
      </c>
      <c r="D2114" s="147" t="e">
        <f>CONCATENATE("Import Pipeline Trade of ",Commodities!C52, " to ",$B$2110," from ",#REF!)</f>
        <v>#REF!</v>
      </c>
      <c r="E2114" s="163" t="s">
        <v>196</v>
      </c>
      <c r="F2114" s="163" t="s">
        <v>318</v>
      </c>
    </row>
    <row r="2115" spans="2:6">
      <c r="B2115" s="147" t="str">
        <f t="shared" si="14"/>
        <v>*</v>
      </c>
      <c r="C2115" s="147" t="e">
        <f>CONCATENATE("IMP",Commodities!C53,"R",RIGHT(#REF!,2))</f>
        <v>#REF!</v>
      </c>
      <c r="D2115" s="147" t="e">
        <f>CONCATENATE("Import Pipeline Trade of ",Commodities!C53, " to ",$B$2110," from ",#REF!)</f>
        <v>#REF!</v>
      </c>
      <c r="E2115" s="163" t="s">
        <v>196</v>
      </c>
      <c r="F2115" s="163" t="s">
        <v>318</v>
      </c>
    </row>
    <row r="2116" spans="2:6">
      <c r="B2116" s="147" t="str">
        <f t="shared" si="14"/>
        <v>*</v>
      </c>
      <c r="C2116" s="147" t="e">
        <f>CONCATENATE("IMP",Commodities!C54,"R",RIGHT(#REF!,2))</f>
        <v>#REF!</v>
      </c>
      <c r="D2116" s="147" t="e">
        <f>CONCATENATE("Import Pipeline Trade of ",Commodities!C54, " to ",$B$2110," from ",#REF!)</f>
        <v>#REF!</v>
      </c>
      <c r="E2116" s="163" t="s">
        <v>196</v>
      </c>
      <c r="F2116" s="163" t="s">
        <v>318</v>
      </c>
    </row>
    <row r="2117" spans="2:6">
      <c r="B2117" s="147" t="str">
        <f t="shared" si="14"/>
        <v>*</v>
      </c>
      <c r="C2117" s="147" t="e">
        <f>CONCATENATE("IMP",Commodities!C55,"R",RIGHT(#REF!,2))</f>
        <v>#REF!</v>
      </c>
      <c r="D2117" s="147" t="e">
        <f>CONCATENATE("Import Pipeline Trade of ",Commodities!C55, " to ",$B$2110," from ",#REF!)</f>
        <v>#REF!</v>
      </c>
      <c r="E2117" s="163" t="s">
        <v>196</v>
      </c>
      <c r="F2117" s="163" t="s">
        <v>318</v>
      </c>
    </row>
    <row r="2118" spans="2:6">
      <c r="B2118" s="147" t="str">
        <f t="shared" si="14"/>
        <v>*</v>
      </c>
      <c r="C2118" s="147" t="e">
        <f>CONCATENATE("IMP",Commodities!C56,"R",RIGHT(#REF!,2))</f>
        <v>#REF!</v>
      </c>
      <c r="D2118" s="147" t="e">
        <f>CONCATENATE("Import Pipeline Trade of ",Commodities!C56, " to ",$B$2110," from ",#REF!)</f>
        <v>#REF!</v>
      </c>
      <c r="E2118" s="163" t="s">
        <v>196</v>
      </c>
      <c r="F2118" s="163" t="s">
        <v>318</v>
      </c>
    </row>
    <row r="2119" spans="2:6">
      <c r="B2119" s="147" t="str">
        <f t="shared" si="14"/>
        <v>*</v>
      </c>
      <c r="C2119" s="147" t="e">
        <f>CONCATENATE("IMP",Commodities!C57,"R",RIGHT(#REF!,2))</f>
        <v>#REF!</v>
      </c>
      <c r="D2119" s="147" t="e">
        <f>CONCATENATE("Import Pipeline Trade of ",Commodities!C57, " to ",$B$2110," from ",#REF!)</f>
        <v>#REF!</v>
      </c>
      <c r="E2119" s="163" t="s">
        <v>196</v>
      </c>
      <c r="F2119" s="163" t="s">
        <v>318</v>
      </c>
    </row>
    <row r="2120" spans="2:6">
      <c r="B2120" s="147" t="str">
        <f t="shared" si="14"/>
        <v>*</v>
      </c>
      <c r="C2120" s="147" t="e">
        <f>CONCATENATE("IMP",Commodities!C58,"R",RIGHT(#REF!,2))</f>
        <v>#REF!</v>
      </c>
      <c r="D2120" s="147" t="e">
        <f>CONCATENATE("Import Pipeline Trade of ",Commodities!C58, " to ",$B$2110," from ",#REF!)</f>
        <v>#REF!</v>
      </c>
      <c r="E2120" s="163" t="s">
        <v>196</v>
      </c>
      <c r="F2120" s="163" t="s">
        <v>318</v>
      </c>
    </row>
    <row r="2121" spans="2:6">
      <c r="B2121" s="147" t="str">
        <f t="shared" si="14"/>
        <v>*</v>
      </c>
      <c r="C2121" s="147" t="e">
        <f>CONCATENATE("IMP",Commodities!C59,"R",RIGHT(#REF!,2))</f>
        <v>#REF!</v>
      </c>
      <c r="D2121" s="147" t="e">
        <f>CONCATENATE("Import Pipeline Trade of ",Commodities!C59, " to ",$B$2110," from ",#REF!)</f>
        <v>#REF!</v>
      </c>
      <c r="E2121" s="163" t="s">
        <v>196</v>
      </c>
      <c r="F2121" s="163" t="s">
        <v>318</v>
      </c>
    </row>
    <row r="2122" spans="2:6">
      <c r="B2122" s="147" t="str">
        <f t="shared" si="14"/>
        <v>*</v>
      </c>
      <c r="C2122" s="147" t="e">
        <f>CONCATENATE("IMP",Commodities!C60,"R",RIGHT(#REF!,2))</f>
        <v>#REF!</v>
      </c>
      <c r="D2122" s="147" t="e">
        <f>CONCATENATE("Import Pipeline Trade of ",Commodities!C60, " to ",$B$2110," from ",#REF!)</f>
        <v>#REF!</v>
      </c>
      <c r="E2122" s="163" t="s">
        <v>196</v>
      </c>
      <c r="F2122" s="163" t="s">
        <v>318</v>
      </c>
    </row>
    <row r="2123" spans="2:6">
      <c r="B2123" s="147" t="str">
        <f t="shared" si="14"/>
        <v>*</v>
      </c>
      <c r="C2123" s="147" t="e">
        <f>CONCATENATE("IMP",Commodities!C48,"R",RIGHT(#REF!,2))</f>
        <v>#REF!</v>
      </c>
      <c r="D2123" s="147" t="e">
        <f>CONCATENATE("Import Pipeline Trade of ",Commodities!C48, " to ",$B$2123," from ",#REF!)</f>
        <v>#REF!</v>
      </c>
      <c r="E2123" s="163" t="s">
        <v>196</v>
      </c>
      <c r="F2123" s="163" t="s">
        <v>318</v>
      </c>
    </row>
    <row r="2124" spans="2:6">
      <c r="B2124" s="147" t="str">
        <f t="shared" si="14"/>
        <v>*</v>
      </c>
      <c r="C2124" s="147" t="e">
        <f>CONCATENATE("IMP",Commodities!C49,"R",RIGHT(#REF!,2))</f>
        <v>#REF!</v>
      </c>
      <c r="D2124" s="147" t="e">
        <f>CONCATENATE("Import Pipeline Trade of ",Commodities!C49, " to ",$B$2123," from ",#REF!)</f>
        <v>#REF!</v>
      </c>
      <c r="E2124" s="163" t="s">
        <v>196</v>
      </c>
      <c r="F2124" s="163" t="s">
        <v>318</v>
      </c>
    </row>
    <row r="2125" spans="2:6">
      <c r="B2125" s="147" t="str">
        <f t="shared" si="14"/>
        <v>*</v>
      </c>
      <c r="C2125" s="147" t="e">
        <f>CONCATENATE("IMP",Commodities!C50,"R",RIGHT(#REF!,2))</f>
        <v>#REF!</v>
      </c>
      <c r="D2125" s="147" t="e">
        <f>CONCATENATE("Import Pipeline Trade of ",Commodities!C50, " to ",$B$2123," from ",#REF!)</f>
        <v>#REF!</v>
      </c>
      <c r="E2125" s="163" t="s">
        <v>196</v>
      </c>
      <c r="F2125" s="163" t="s">
        <v>318</v>
      </c>
    </row>
    <row r="2126" spans="2:6">
      <c r="B2126" s="147" t="str">
        <f t="shared" si="14"/>
        <v>*</v>
      </c>
      <c r="C2126" s="147" t="e">
        <f>CONCATENATE("IMP",Commodities!C51,"R",RIGHT(#REF!,2))</f>
        <v>#REF!</v>
      </c>
      <c r="D2126" s="147" t="e">
        <f>CONCATENATE("Import Pipeline Trade of ",Commodities!C51, " to ",$B$2123," from ",#REF!)</f>
        <v>#REF!</v>
      </c>
      <c r="E2126" s="163" t="s">
        <v>196</v>
      </c>
      <c r="F2126" s="163" t="s">
        <v>318</v>
      </c>
    </row>
    <row r="2127" spans="2:6">
      <c r="B2127" s="147" t="str">
        <f t="shared" si="14"/>
        <v>*</v>
      </c>
      <c r="C2127" s="147" t="e">
        <f>CONCATENATE("IMP",Commodities!C52,"R",RIGHT(#REF!,2))</f>
        <v>#REF!</v>
      </c>
      <c r="D2127" s="147" t="e">
        <f>CONCATENATE("Import Pipeline Trade of ",Commodities!C52, " to ",$B$2123," from ",#REF!)</f>
        <v>#REF!</v>
      </c>
      <c r="E2127" s="163" t="s">
        <v>196</v>
      </c>
      <c r="F2127" s="163" t="s">
        <v>318</v>
      </c>
    </row>
    <row r="2128" spans="2:6">
      <c r="B2128" s="147" t="str">
        <f t="shared" si="14"/>
        <v>*</v>
      </c>
      <c r="C2128" s="147" t="e">
        <f>CONCATENATE("IMP",Commodities!C53,"R",RIGHT(#REF!,2))</f>
        <v>#REF!</v>
      </c>
      <c r="D2128" s="147" t="e">
        <f>CONCATENATE("Import Pipeline Trade of ",Commodities!C53, " to ",$B$2123," from ",#REF!)</f>
        <v>#REF!</v>
      </c>
      <c r="E2128" s="163" t="s">
        <v>196</v>
      </c>
      <c r="F2128" s="163" t="s">
        <v>318</v>
      </c>
    </row>
    <row r="2129" spans="2:6">
      <c r="B2129" s="147" t="str">
        <f t="shared" si="14"/>
        <v>*</v>
      </c>
      <c r="C2129" s="147" t="e">
        <f>CONCATENATE("IMP",Commodities!C54,"R",RIGHT(#REF!,2))</f>
        <v>#REF!</v>
      </c>
      <c r="D2129" s="147" t="e">
        <f>CONCATENATE("Import Pipeline Trade of ",Commodities!C54, " to ",$B$2123," from ",#REF!)</f>
        <v>#REF!</v>
      </c>
      <c r="E2129" s="163" t="s">
        <v>196</v>
      </c>
      <c r="F2129" s="163" t="s">
        <v>318</v>
      </c>
    </row>
    <row r="2130" spans="2:6">
      <c r="B2130" s="147" t="str">
        <f t="shared" si="14"/>
        <v>*</v>
      </c>
      <c r="C2130" s="147" t="e">
        <f>CONCATENATE("IMP",Commodities!C55,"R",RIGHT(#REF!,2))</f>
        <v>#REF!</v>
      </c>
      <c r="D2130" s="147" t="e">
        <f>CONCATENATE("Import Pipeline Trade of ",Commodities!C55, " to ",$B$2123," from ",#REF!)</f>
        <v>#REF!</v>
      </c>
      <c r="E2130" s="163" t="s">
        <v>196</v>
      </c>
      <c r="F2130" s="163" t="s">
        <v>318</v>
      </c>
    </row>
    <row r="2131" spans="2:6">
      <c r="B2131" s="147" t="str">
        <f t="shared" si="14"/>
        <v>*</v>
      </c>
      <c r="C2131" s="147" t="e">
        <f>CONCATENATE("IMP",Commodities!C56,"R",RIGHT(#REF!,2))</f>
        <v>#REF!</v>
      </c>
      <c r="D2131" s="147" t="e">
        <f>CONCATENATE("Import Pipeline Trade of ",Commodities!C56, " to ",$B$2123," from ",#REF!)</f>
        <v>#REF!</v>
      </c>
      <c r="E2131" s="163" t="s">
        <v>196</v>
      </c>
      <c r="F2131" s="163" t="s">
        <v>318</v>
      </c>
    </row>
    <row r="2132" spans="2:6">
      <c r="B2132" s="147" t="str">
        <f t="shared" si="14"/>
        <v>*</v>
      </c>
      <c r="C2132" s="147" t="e">
        <f>CONCATENATE("IMP",Commodities!C57,"R",RIGHT(#REF!,2))</f>
        <v>#REF!</v>
      </c>
      <c r="D2132" s="147" t="e">
        <f>CONCATENATE("Import Pipeline Trade of ",Commodities!C57, " to ",$B$2123," from ",#REF!)</f>
        <v>#REF!</v>
      </c>
      <c r="E2132" s="163" t="s">
        <v>196</v>
      </c>
      <c r="F2132" s="163" t="s">
        <v>318</v>
      </c>
    </row>
    <row r="2133" spans="2:6">
      <c r="B2133" s="147" t="str">
        <f t="shared" si="14"/>
        <v>*</v>
      </c>
      <c r="C2133" s="147" t="e">
        <f>CONCATENATE("IMP",Commodities!C58,"R",RIGHT(#REF!,2))</f>
        <v>#REF!</v>
      </c>
      <c r="D2133" s="147" t="e">
        <f>CONCATENATE("Import Pipeline Trade of ",Commodities!C58, " to ",$B$2123," from ",#REF!)</f>
        <v>#REF!</v>
      </c>
      <c r="E2133" s="163" t="s">
        <v>196</v>
      </c>
      <c r="F2133" s="163" t="s">
        <v>318</v>
      </c>
    </row>
    <row r="2134" spans="2:6">
      <c r="B2134" s="147" t="str">
        <f t="shared" si="14"/>
        <v>*</v>
      </c>
      <c r="C2134" s="147" t="e">
        <f>CONCATENATE("IMP",Commodities!C59,"R",RIGHT(#REF!,2))</f>
        <v>#REF!</v>
      </c>
      <c r="D2134" s="147" t="e">
        <f>CONCATENATE("Import Pipeline Trade of ",Commodities!C59, " to ",$B$2123," from ",#REF!)</f>
        <v>#REF!</v>
      </c>
      <c r="E2134" s="163" t="s">
        <v>196</v>
      </c>
      <c r="F2134" s="163" t="s">
        <v>318</v>
      </c>
    </row>
    <row r="2135" spans="2:6">
      <c r="B2135" s="147" t="str">
        <f t="shared" si="14"/>
        <v>*</v>
      </c>
      <c r="C2135" s="147" t="e">
        <f>CONCATENATE("IMP",Commodities!C60,"R",RIGHT(#REF!,2))</f>
        <v>#REF!</v>
      </c>
      <c r="D2135" s="147" t="e">
        <f>CONCATENATE("Import Pipeline Trade of ",Commodities!C60, " to ",$B$2123," from ",#REF!)</f>
        <v>#REF!</v>
      </c>
      <c r="E2135" s="163" t="s">
        <v>196</v>
      </c>
      <c r="F2135" s="163" t="s">
        <v>318</v>
      </c>
    </row>
    <row r="2136" spans="2:6">
      <c r="B2136" s="147" t="str">
        <f t="shared" si="14"/>
        <v>*</v>
      </c>
      <c r="C2136" s="147" t="e">
        <f>CONCATENATE("IMP",Commodities!C48,"R",RIGHT(#REF!,2))</f>
        <v>#REF!</v>
      </c>
      <c r="D2136" s="147" t="e">
        <f>CONCATENATE("Import Pipeline Trade of ",Commodities!C48, " to ",$B$2136," from ",#REF!)</f>
        <v>#REF!</v>
      </c>
      <c r="E2136" s="163" t="s">
        <v>196</v>
      </c>
      <c r="F2136" s="163" t="s">
        <v>318</v>
      </c>
    </row>
    <row r="2137" spans="2:6">
      <c r="B2137" s="147" t="str">
        <f t="shared" si="14"/>
        <v>*</v>
      </c>
      <c r="C2137" s="147" t="e">
        <f>CONCATENATE("IMP",Commodities!C49,"R",RIGHT(#REF!,2))</f>
        <v>#REF!</v>
      </c>
      <c r="D2137" s="147" t="e">
        <f>CONCATENATE("Import Pipeline Trade of ",Commodities!C49, " to ",$B$2136," from ",#REF!)</f>
        <v>#REF!</v>
      </c>
      <c r="E2137" s="163" t="s">
        <v>196</v>
      </c>
      <c r="F2137" s="163" t="s">
        <v>318</v>
      </c>
    </row>
    <row r="2138" spans="2:6">
      <c r="B2138" s="147" t="str">
        <f t="shared" si="14"/>
        <v>*</v>
      </c>
      <c r="C2138" s="147" t="e">
        <f>CONCATENATE("IMP",Commodities!C50,"R",RIGHT(#REF!,2))</f>
        <v>#REF!</v>
      </c>
      <c r="D2138" s="147" t="e">
        <f>CONCATENATE("Import Pipeline Trade of ",Commodities!C50, " to ",$B$2136," from ",#REF!)</f>
        <v>#REF!</v>
      </c>
      <c r="E2138" s="163" t="s">
        <v>196</v>
      </c>
      <c r="F2138" s="163" t="s">
        <v>318</v>
      </c>
    </row>
    <row r="2139" spans="2:6">
      <c r="B2139" s="147" t="str">
        <f t="shared" si="14"/>
        <v>*</v>
      </c>
      <c r="C2139" s="147" t="e">
        <f>CONCATENATE("IMP",Commodities!C51,"R",RIGHT(#REF!,2))</f>
        <v>#REF!</v>
      </c>
      <c r="D2139" s="147" t="e">
        <f>CONCATENATE("Import Pipeline Trade of ",Commodities!C51, " to ",$B$2136," from ",#REF!)</f>
        <v>#REF!</v>
      </c>
      <c r="E2139" s="163" t="s">
        <v>196</v>
      </c>
      <c r="F2139" s="163" t="s">
        <v>318</v>
      </c>
    </row>
    <row r="2140" spans="2:6">
      <c r="B2140" s="147" t="str">
        <f t="shared" si="14"/>
        <v>*</v>
      </c>
      <c r="C2140" s="147" t="e">
        <f>CONCATENATE("IMP",Commodities!C52,"R",RIGHT(#REF!,2))</f>
        <v>#REF!</v>
      </c>
      <c r="D2140" s="147" t="e">
        <f>CONCATENATE("Import Pipeline Trade of ",Commodities!C52, " to ",$B$2136," from ",#REF!)</f>
        <v>#REF!</v>
      </c>
      <c r="E2140" s="163" t="s">
        <v>196</v>
      </c>
      <c r="F2140" s="163" t="s">
        <v>318</v>
      </c>
    </row>
    <row r="2141" spans="2:6">
      <c r="B2141" s="147" t="str">
        <f t="shared" si="14"/>
        <v>*</v>
      </c>
      <c r="C2141" s="147" t="e">
        <f>CONCATENATE("IMP",Commodities!C53,"R",RIGHT(#REF!,2))</f>
        <v>#REF!</v>
      </c>
      <c r="D2141" s="147" t="e">
        <f>CONCATENATE("Import Pipeline Trade of ",Commodities!C53, " to ",$B$2136," from ",#REF!)</f>
        <v>#REF!</v>
      </c>
      <c r="E2141" s="163" t="s">
        <v>196</v>
      </c>
      <c r="F2141" s="163" t="s">
        <v>318</v>
      </c>
    </row>
    <row r="2142" spans="2:6">
      <c r="B2142" s="147" t="str">
        <f t="shared" si="14"/>
        <v>*</v>
      </c>
      <c r="C2142" s="147" t="e">
        <f>CONCATENATE("IMP",Commodities!C54,"R",RIGHT(#REF!,2))</f>
        <v>#REF!</v>
      </c>
      <c r="D2142" s="147" t="e">
        <f>CONCATENATE("Import Pipeline Trade of ",Commodities!C54, " to ",$B$2136," from ",#REF!)</f>
        <v>#REF!</v>
      </c>
      <c r="E2142" s="163" t="s">
        <v>196</v>
      </c>
      <c r="F2142" s="163" t="s">
        <v>318</v>
      </c>
    </row>
    <row r="2143" spans="2:6">
      <c r="B2143" s="147" t="str">
        <f t="shared" si="14"/>
        <v>*</v>
      </c>
      <c r="C2143" s="147" t="e">
        <f>CONCATENATE("IMP",Commodities!C55,"R",RIGHT(#REF!,2))</f>
        <v>#REF!</v>
      </c>
      <c r="D2143" s="147" t="e">
        <f>CONCATENATE("Import Pipeline Trade of ",Commodities!C55, " to ",$B$2136," from ",#REF!)</f>
        <v>#REF!</v>
      </c>
      <c r="E2143" s="163" t="s">
        <v>196</v>
      </c>
      <c r="F2143" s="163" t="s">
        <v>318</v>
      </c>
    </row>
    <row r="2144" spans="2:6">
      <c r="B2144" s="147" t="str">
        <f t="shared" si="14"/>
        <v>*</v>
      </c>
      <c r="C2144" s="147" t="e">
        <f>CONCATENATE("IMP",Commodities!C56,"R",RIGHT(#REF!,2))</f>
        <v>#REF!</v>
      </c>
      <c r="D2144" s="147" t="e">
        <f>CONCATENATE("Import Pipeline Trade of ",Commodities!C56, " to ",$B$2136," from ",#REF!)</f>
        <v>#REF!</v>
      </c>
      <c r="E2144" s="163" t="s">
        <v>196</v>
      </c>
      <c r="F2144" s="163" t="s">
        <v>318</v>
      </c>
    </row>
    <row r="2145" spans="2:6">
      <c r="B2145" s="147" t="str">
        <f t="shared" si="14"/>
        <v>*</v>
      </c>
      <c r="C2145" s="147" t="e">
        <f>CONCATENATE("IMP",Commodities!C57,"R",RIGHT(#REF!,2))</f>
        <v>#REF!</v>
      </c>
      <c r="D2145" s="147" t="e">
        <f>CONCATENATE("Import Pipeline Trade of ",Commodities!C57, " to ",$B$2136," from ",#REF!)</f>
        <v>#REF!</v>
      </c>
      <c r="E2145" s="163" t="s">
        <v>196</v>
      </c>
      <c r="F2145" s="163" t="s">
        <v>318</v>
      </c>
    </row>
    <row r="2146" spans="2:6">
      <c r="B2146" s="147" t="str">
        <f t="shared" si="14"/>
        <v>*</v>
      </c>
      <c r="C2146" s="147" t="e">
        <f>CONCATENATE("IMP",Commodities!C58,"R",RIGHT(#REF!,2))</f>
        <v>#REF!</v>
      </c>
      <c r="D2146" s="147" t="e">
        <f>CONCATENATE("Import Pipeline Trade of ",Commodities!C58, " to ",$B$2136," from ",#REF!)</f>
        <v>#REF!</v>
      </c>
      <c r="E2146" s="163" t="s">
        <v>196</v>
      </c>
      <c r="F2146" s="163" t="s">
        <v>318</v>
      </c>
    </row>
    <row r="2147" spans="2:6">
      <c r="B2147" s="147" t="str">
        <f t="shared" si="14"/>
        <v>*</v>
      </c>
      <c r="C2147" s="147" t="e">
        <f>CONCATENATE("IMP",Commodities!C59,"R",RIGHT(#REF!,2))</f>
        <v>#REF!</v>
      </c>
      <c r="D2147" s="147" t="e">
        <f>CONCATENATE("Import Pipeline Trade of ",Commodities!C59, " to ",$B$2136," from ",#REF!)</f>
        <v>#REF!</v>
      </c>
      <c r="E2147" s="163" t="s">
        <v>196</v>
      </c>
      <c r="F2147" s="163" t="s">
        <v>318</v>
      </c>
    </row>
    <row r="2148" spans="2:6">
      <c r="B2148" s="147" t="str">
        <f t="shared" si="14"/>
        <v>*</v>
      </c>
      <c r="C2148" s="147" t="e">
        <f>CONCATENATE("IMP",Commodities!C60,"R",RIGHT(#REF!,2))</f>
        <v>#REF!</v>
      </c>
      <c r="D2148" s="147" t="e">
        <f>CONCATENATE("Import Pipeline Trade of ",Commodities!C60, " to ",$B$2136," from ",#REF!)</f>
        <v>#REF!</v>
      </c>
      <c r="E2148" s="163" t="s">
        <v>196</v>
      </c>
      <c r="F2148" s="163" t="s">
        <v>318</v>
      </c>
    </row>
    <row r="2149" spans="2:6">
      <c r="B2149" s="147" t="str">
        <f t="shared" si="14"/>
        <v>*</v>
      </c>
      <c r="C2149" s="147" t="e">
        <f>CONCATENATE("IMP",Commodities!C48,"R",RIGHT(#REF!,2))</f>
        <v>#REF!</v>
      </c>
      <c r="D2149" s="147" t="e">
        <f>CONCATENATE("Import Pipeline Trade of ",Commodities!C48, " to ",$B$2149," from ",#REF!)</f>
        <v>#REF!</v>
      </c>
      <c r="E2149" s="163" t="s">
        <v>196</v>
      </c>
      <c r="F2149" s="163" t="s">
        <v>318</v>
      </c>
    </row>
    <row r="2150" spans="2:6">
      <c r="B2150" s="147" t="str">
        <f t="shared" si="14"/>
        <v>*</v>
      </c>
      <c r="C2150" s="147" t="e">
        <f>CONCATENATE("IMP",Commodities!C49,"R",RIGHT(#REF!,2))</f>
        <v>#REF!</v>
      </c>
      <c r="D2150" s="147" t="e">
        <f>CONCATENATE("Import Pipeline Trade of ",Commodities!C49, " to ",$B$2149," from ",#REF!)</f>
        <v>#REF!</v>
      </c>
      <c r="E2150" s="163" t="s">
        <v>196</v>
      </c>
      <c r="F2150" s="163" t="s">
        <v>318</v>
      </c>
    </row>
    <row r="2151" spans="2:6">
      <c r="B2151" s="147" t="str">
        <f t="shared" si="14"/>
        <v>*</v>
      </c>
      <c r="C2151" s="147" t="e">
        <f>CONCATENATE("IMP",Commodities!C50,"R",RIGHT(#REF!,2))</f>
        <v>#REF!</v>
      </c>
      <c r="D2151" s="147" t="e">
        <f>CONCATENATE("Import Pipeline Trade of ",Commodities!C50, " to ",$B$2149," from ",#REF!)</f>
        <v>#REF!</v>
      </c>
      <c r="E2151" s="163" t="s">
        <v>196</v>
      </c>
      <c r="F2151" s="163" t="s">
        <v>318</v>
      </c>
    </row>
    <row r="2152" spans="2:6">
      <c r="B2152" s="147" t="str">
        <f t="shared" si="14"/>
        <v>*</v>
      </c>
      <c r="C2152" s="147" t="e">
        <f>CONCATENATE("IMP",Commodities!C51,"R",RIGHT(#REF!,2))</f>
        <v>#REF!</v>
      </c>
      <c r="D2152" s="147" t="e">
        <f>CONCATENATE("Import Pipeline Trade of ",Commodities!C51, " to ",$B$2149," from ",#REF!)</f>
        <v>#REF!</v>
      </c>
      <c r="E2152" s="163" t="s">
        <v>196</v>
      </c>
      <c r="F2152" s="163" t="s">
        <v>318</v>
      </c>
    </row>
    <row r="2153" spans="2:6">
      <c r="B2153" s="147" t="str">
        <f t="shared" si="14"/>
        <v>*</v>
      </c>
      <c r="C2153" s="147" t="e">
        <f>CONCATENATE("IMP",Commodities!C52,"R",RIGHT(#REF!,2))</f>
        <v>#REF!</v>
      </c>
      <c r="D2153" s="147" t="e">
        <f>CONCATENATE("Import Pipeline Trade of ",Commodities!C52, " to ",$B$2149," from ",#REF!)</f>
        <v>#REF!</v>
      </c>
      <c r="E2153" s="163" t="s">
        <v>196</v>
      </c>
      <c r="F2153" s="163" t="s">
        <v>318</v>
      </c>
    </row>
    <row r="2154" spans="2:6">
      <c r="B2154" s="147" t="str">
        <f t="shared" si="14"/>
        <v>*</v>
      </c>
      <c r="C2154" s="147" t="e">
        <f>CONCATENATE("IMP",Commodities!C53,"R",RIGHT(#REF!,2))</f>
        <v>#REF!</v>
      </c>
      <c r="D2154" s="147" t="e">
        <f>CONCATENATE("Import Pipeline Trade of ",Commodities!C53, " to ",$B$2149," from ",#REF!)</f>
        <v>#REF!</v>
      </c>
      <c r="E2154" s="163" t="s">
        <v>196</v>
      </c>
      <c r="F2154" s="163" t="s">
        <v>318</v>
      </c>
    </row>
    <row r="2155" spans="2:6">
      <c r="B2155" s="147" t="str">
        <f t="shared" si="14"/>
        <v>*</v>
      </c>
      <c r="C2155" s="147" t="e">
        <f>CONCATENATE("IMP",Commodities!C54,"R",RIGHT(#REF!,2))</f>
        <v>#REF!</v>
      </c>
      <c r="D2155" s="147" t="e">
        <f>CONCATENATE("Import Pipeline Trade of ",Commodities!C54, " to ",$B$2149," from ",#REF!)</f>
        <v>#REF!</v>
      </c>
      <c r="E2155" s="163" t="s">
        <v>196</v>
      </c>
      <c r="F2155" s="163" t="s">
        <v>318</v>
      </c>
    </row>
    <row r="2156" spans="2:6">
      <c r="B2156" s="147" t="str">
        <f t="shared" si="14"/>
        <v>*</v>
      </c>
      <c r="C2156" s="147" t="e">
        <f>CONCATENATE("IMP",Commodities!C55,"R",RIGHT(#REF!,2))</f>
        <v>#REF!</v>
      </c>
      <c r="D2156" s="147" t="e">
        <f>CONCATENATE("Import Pipeline Trade of ",Commodities!C55, " to ",$B$2149," from ",#REF!)</f>
        <v>#REF!</v>
      </c>
      <c r="E2156" s="163" t="s">
        <v>196</v>
      </c>
      <c r="F2156" s="163" t="s">
        <v>318</v>
      </c>
    </row>
    <row r="2157" spans="2:6">
      <c r="B2157" s="147" t="str">
        <f t="shared" si="14"/>
        <v>*</v>
      </c>
      <c r="C2157" s="147" t="e">
        <f>CONCATENATE("IMP",Commodities!C56,"R",RIGHT(#REF!,2))</f>
        <v>#REF!</v>
      </c>
      <c r="D2157" s="147" t="e">
        <f>CONCATENATE("Import Pipeline Trade of ",Commodities!C56, " to ",$B$2149," from ",#REF!)</f>
        <v>#REF!</v>
      </c>
      <c r="E2157" s="163" t="s">
        <v>196</v>
      </c>
      <c r="F2157" s="163" t="s">
        <v>318</v>
      </c>
    </row>
    <row r="2158" spans="2:6">
      <c r="B2158" s="147" t="str">
        <f t="shared" si="14"/>
        <v>*</v>
      </c>
      <c r="C2158" s="147" t="e">
        <f>CONCATENATE("IMP",Commodities!C57,"R",RIGHT(#REF!,2))</f>
        <v>#REF!</v>
      </c>
      <c r="D2158" s="147" t="e">
        <f>CONCATENATE("Import Pipeline Trade of ",Commodities!C57, " to ",$B$2149," from ",#REF!)</f>
        <v>#REF!</v>
      </c>
      <c r="E2158" s="163" t="s">
        <v>196</v>
      </c>
      <c r="F2158" s="163" t="s">
        <v>318</v>
      </c>
    </row>
    <row r="2159" spans="2:6">
      <c r="B2159" s="147" t="str">
        <f t="shared" si="14"/>
        <v>*</v>
      </c>
      <c r="C2159" s="147" t="e">
        <f>CONCATENATE("IMP",Commodities!C58,"R",RIGHT(#REF!,2))</f>
        <v>#REF!</v>
      </c>
      <c r="D2159" s="147" t="e">
        <f>CONCATENATE("Import Pipeline Trade of ",Commodities!C58, " to ",$B$2149," from ",#REF!)</f>
        <v>#REF!</v>
      </c>
      <c r="E2159" s="163" t="s">
        <v>196</v>
      </c>
      <c r="F2159" s="163" t="s">
        <v>318</v>
      </c>
    </row>
    <row r="2160" spans="2:6">
      <c r="B2160" s="147" t="str">
        <f t="shared" si="14"/>
        <v>*</v>
      </c>
      <c r="C2160" s="147" t="e">
        <f>CONCATENATE("IMP",Commodities!C59,"R",RIGHT(#REF!,2))</f>
        <v>#REF!</v>
      </c>
      <c r="D2160" s="147" t="e">
        <f>CONCATENATE("Import Pipeline Trade of ",Commodities!C59, " to ",$B$2149," from ",#REF!)</f>
        <v>#REF!</v>
      </c>
      <c r="E2160" s="163" t="s">
        <v>196</v>
      </c>
      <c r="F2160" s="163" t="s">
        <v>318</v>
      </c>
    </row>
    <row r="2161" spans="2:6">
      <c r="B2161" s="147" t="str">
        <f t="shared" si="14"/>
        <v>*</v>
      </c>
      <c r="C2161" s="147" t="e">
        <f>CONCATENATE("IMP",Commodities!C60,"R",RIGHT(#REF!,2))</f>
        <v>#REF!</v>
      </c>
      <c r="D2161" s="147" t="e">
        <f>CONCATENATE("Import Pipeline Trade of ",Commodities!C60, " to ",$B$2149," from ",#REF!)</f>
        <v>#REF!</v>
      </c>
      <c r="E2161" s="163" t="s">
        <v>196</v>
      </c>
      <c r="F2161" s="163" t="s">
        <v>318</v>
      </c>
    </row>
    <row r="2162" spans="2:6">
      <c r="B2162" s="147" t="str">
        <f t="shared" si="14"/>
        <v>*</v>
      </c>
      <c r="C2162" s="147" t="e">
        <f>CONCATENATE("IMP",Commodities!C48,"R",RIGHT(#REF!,2))</f>
        <v>#REF!</v>
      </c>
      <c r="D2162" s="147" t="e">
        <f>CONCATENATE("Import Pipeline Trade of ",Commodities!C48, " to ",$B$2162," from ",#REF!)</f>
        <v>#REF!</v>
      </c>
      <c r="E2162" s="163" t="s">
        <v>196</v>
      </c>
      <c r="F2162" s="163" t="s">
        <v>318</v>
      </c>
    </row>
    <row r="2163" spans="2:6">
      <c r="B2163" s="147" t="str">
        <f t="shared" si="14"/>
        <v>*</v>
      </c>
      <c r="C2163" s="147" t="e">
        <f>CONCATENATE("IMP",Commodities!C49,"R",RIGHT(#REF!,2))</f>
        <v>#REF!</v>
      </c>
      <c r="D2163" s="147" t="e">
        <f>CONCATENATE("Import Pipeline Trade of ",Commodities!C49, " to ",$B$2162," from ",#REF!)</f>
        <v>#REF!</v>
      </c>
      <c r="E2163" s="163" t="s">
        <v>196</v>
      </c>
      <c r="F2163" s="163" t="s">
        <v>318</v>
      </c>
    </row>
    <row r="2164" spans="2:6">
      <c r="B2164" s="147" t="str">
        <f t="shared" si="14"/>
        <v>*</v>
      </c>
      <c r="C2164" s="147" t="e">
        <f>CONCATENATE("IMP",Commodities!C50,"R",RIGHT(#REF!,2))</f>
        <v>#REF!</v>
      </c>
      <c r="D2164" s="147" t="e">
        <f>CONCATENATE("Import Pipeline Trade of ",Commodities!C50, " to ",$B$2162," from ",#REF!)</f>
        <v>#REF!</v>
      </c>
      <c r="E2164" s="163" t="s">
        <v>196</v>
      </c>
      <c r="F2164" s="163" t="s">
        <v>318</v>
      </c>
    </row>
    <row r="2165" spans="2:6">
      <c r="B2165" s="147" t="str">
        <f t="shared" si="14"/>
        <v>*</v>
      </c>
      <c r="C2165" s="147" t="e">
        <f>CONCATENATE("IMP",Commodities!C51,"R",RIGHT(#REF!,2))</f>
        <v>#REF!</v>
      </c>
      <c r="D2165" s="147" t="e">
        <f>CONCATENATE("Import Pipeline Trade of ",Commodities!C51, " to ",$B$2162," from ",#REF!)</f>
        <v>#REF!</v>
      </c>
      <c r="E2165" s="163" t="s">
        <v>196</v>
      </c>
      <c r="F2165" s="163" t="s">
        <v>318</v>
      </c>
    </row>
    <row r="2166" spans="2:6">
      <c r="B2166" s="147" t="str">
        <f t="shared" si="14"/>
        <v>*</v>
      </c>
      <c r="C2166" s="147" t="e">
        <f>CONCATENATE("IMP",Commodities!C52,"R",RIGHT(#REF!,2))</f>
        <v>#REF!</v>
      </c>
      <c r="D2166" s="147" t="e">
        <f>CONCATENATE("Import Pipeline Trade of ",Commodities!C52, " to ",$B$2162," from ",#REF!)</f>
        <v>#REF!</v>
      </c>
      <c r="E2166" s="163" t="s">
        <v>196</v>
      </c>
      <c r="F2166" s="163" t="s">
        <v>318</v>
      </c>
    </row>
    <row r="2167" spans="2:6">
      <c r="B2167" s="147" t="str">
        <f t="shared" si="14"/>
        <v>*</v>
      </c>
      <c r="C2167" s="147" t="e">
        <f>CONCATENATE("IMP",Commodities!C53,"R",RIGHT(#REF!,2))</f>
        <v>#REF!</v>
      </c>
      <c r="D2167" s="147" t="e">
        <f>CONCATENATE("Import Pipeline Trade of ",Commodities!C53, " to ",$B$2162," from ",#REF!)</f>
        <v>#REF!</v>
      </c>
      <c r="E2167" s="163" t="s">
        <v>196</v>
      </c>
      <c r="F2167" s="163" t="s">
        <v>318</v>
      </c>
    </row>
    <row r="2168" spans="2:6">
      <c r="B2168" s="147" t="str">
        <f t="shared" si="14"/>
        <v>*</v>
      </c>
      <c r="C2168" s="147" t="e">
        <f>CONCATENATE("IMP",Commodities!C54,"R",RIGHT(#REF!,2))</f>
        <v>#REF!</v>
      </c>
      <c r="D2168" s="147" t="e">
        <f>CONCATENATE("Import Pipeline Trade of ",Commodities!C54, " to ",$B$2162," from ",#REF!)</f>
        <v>#REF!</v>
      </c>
      <c r="E2168" s="163" t="s">
        <v>196</v>
      </c>
      <c r="F2168" s="163" t="s">
        <v>318</v>
      </c>
    </row>
    <row r="2169" spans="2:6">
      <c r="B2169" s="147" t="str">
        <f t="shared" si="14"/>
        <v>*</v>
      </c>
      <c r="C2169" s="147" t="e">
        <f>CONCATENATE("IMP",Commodities!C55,"R",RIGHT(#REF!,2))</f>
        <v>#REF!</v>
      </c>
      <c r="D2169" s="147" t="e">
        <f>CONCATENATE("Import Pipeline Trade of ",Commodities!C55, " to ",$B$2162," from ",#REF!)</f>
        <v>#REF!</v>
      </c>
      <c r="E2169" s="163" t="s">
        <v>196</v>
      </c>
      <c r="F2169" s="163" t="s">
        <v>318</v>
      </c>
    </row>
    <row r="2170" spans="2:6">
      <c r="B2170" s="147" t="str">
        <f t="shared" si="14"/>
        <v>*</v>
      </c>
      <c r="C2170" s="147" t="e">
        <f>CONCATENATE("IMP",Commodities!C56,"R",RIGHT(#REF!,2))</f>
        <v>#REF!</v>
      </c>
      <c r="D2170" s="147" t="e">
        <f>CONCATENATE("Import Pipeline Trade of ",Commodities!C56, " to ",$B$2162," from ",#REF!)</f>
        <v>#REF!</v>
      </c>
      <c r="E2170" s="163" t="s">
        <v>196</v>
      </c>
      <c r="F2170" s="163" t="s">
        <v>318</v>
      </c>
    </row>
    <row r="2171" spans="2:6">
      <c r="B2171" s="147" t="str">
        <f t="shared" ref="B2171:B2174" si="15">IF(LEFT(B1532,1)="*","*",CONCATENATE("R",RIGHT(C2171,1)))</f>
        <v>*</v>
      </c>
      <c r="C2171" s="147" t="e">
        <f>CONCATENATE("IMP",Commodities!C57,"R",RIGHT(#REF!,2))</f>
        <v>#REF!</v>
      </c>
      <c r="D2171" s="147" t="e">
        <f>CONCATENATE("Import Pipeline Trade of ",Commodities!C57, " to ",$B$2162," from ",#REF!)</f>
        <v>#REF!</v>
      </c>
      <c r="E2171" s="163" t="s">
        <v>196</v>
      </c>
      <c r="F2171" s="163" t="s">
        <v>318</v>
      </c>
    </row>
    <row r="2172" spans="2:6">
      <c r="B2172" s="147" t="str">
        <f t="shared" si="15"/>
        <v>*</v>
      </c>
      <c r="C2172" s="147" t="e">
        <f>CONCATENATE("IMP",Commodities!C58,"R",RIGHT(#REF!,2))</f>
        <v>#REF!</v>
      </c>
      <c r="D2172" s="147" t="e">
        <f>CONCATENATE("Import Pipeline Trade of ",Commodities!C58, " to ",$B$2162," from ",#REF!)</f>
        <v>#REF!</v>
      </c>
      <c r="E2172" s="163" t="s">
        <v>196</v>
      </c>
      <c r="F2172" s="163" t="s">
        <v>318</v>
      </c>
    </row>
    <row r="2173" spans="2:6">
      <c r="B2173" s="147" t="str">
        <f t="shared" si="15"/>
        <v>*</v>
      </c>
      <c r="C2173" s="147" t="e">
        <f>CONCATENATE("IMP",Commodities!C59,"R",RIGHT(#REF!,2))</f>
        <v>#REF!</v>
      </c>
      <c r="D2173" s="147" t="e">
        <f>CONCATENATE("Import Pipeline Trade of ",Commodities!C59, " to ",$B$2162," from ",#REF!)</f>
        <v>#REF!</v>
      </c>
      <c r="E2173" s="163" t="s">
        <v>196</v>
      </c>
      <c r="F2173" s="163" t="s">
        <v>318</v>
      </c>
    </row>
    <row r="2174" spans="2:6">
      <c r="B2174" s="147" t="str">
        <f t="shared" si="15"/>
        <v>*</v>
      </c>
      <c r="C2174" s="147" t="e">
        <f>CONCATENATE("IMP",Commodities!C60,"R",RIGHT(#REF!,2))</f>
        <v>#REF!</v>
      </c>
      <c r="D2174" s="147" t="e">
        <f>CONCATENATE("Import Pipeline Trade of ",Commodities!C60, " to ",$B$2162," from ",#REF!)</f>
        <v>#REF!</v>
      </c>
      <c r="E2174" s="163" t="s">
        <v>196</v>
      </c>
      <c r="F2174" s="163" t="s">
        <v>318</v>
      </c>
    </row>
    <row r="2175" spans="2:6">
      <c r="B2175" s="147" t="s">
        <v>390</v>
      </c>
    </row>
    <row r="2176" spans="2:6">
      <c r="B2176" s="147" t="s">
        <v>1037</v>
      </c>
      <c r="C2176" s="147" t="e">
        <f>CONCATENATE("IMP",Commodities!C48,"BR",RIGHT(#REF!,2))</f>
        <v>#REF!</v>
      </c>
      <c r="D2176" s="147" t="e">
        <f>CONCATENATE("Import Barge/Vessel Trade of ",Commodities!C48, " to ",$B$2176," from ",#REF!)</f>
        <v>#REF!</v>
      </c>
      <c r="E2176" s="163" t="s">
        <v>196</v>
      </c>
      <c r="F2176" s="163" t="s">
        <v>318</v>
      </c>
    </row>
    <row r="2177" spans="2:6">
      <c r="B2177" s="147" t="s">
        <v>1037</v>
      </c>
      <c r="C2177" s="147" t="e">
        <f>CONCATENATE("IMP",Commodities!C49,"BR",RIGHT(#REF!,2))</f>
        <v>#REF!</v>
      </c>
      <c r="D2177" s="147" t="e">
        <f>CONCATENATE("Import Barge/Vessel Trade of ",Commodities!C49, " to ",$B$2176," from ",#REF!)</f>
        <v>#REF!</v>
      </c>
      <c r="E2177" s="163" t="s">
        <v>196</v>
      </c>
      <c r="F2177" s="163" t="s">
        <v>318</v>
      </c>
    </row>
    <row r="2178" spans="2:6">
      <c r="B2178" s="147" t="s">
        <v>1037</v>
      </c>
      <c r="C2178" s="147" t="e">
        <f>CONCATENATE("IMP",Commodities!C50,"BR",RIGHT(#REF!,2))</f>
        <v>#REF!</v>
      </c>
      <c r="D2178" s="147" t="e">
        <f>CONCATENATE("Import Barge/Vessel Trade of ",Commodities!C50, " to ",$B$2176," from ",#REF!)</f>
        <v>#REF!</v>
      </c>
      <c r="E2178" s="163" t="s">
        <v>196</v>
      </c>
      <c r="F2178" s="163" t="s">
        <v>318</v>
      </c>
    </row>
    <row r="2179" spans="2:6">
      <c r="B2179" s="147" t="s">
        <v>1037</v>
      </c>
      <c r="C2179" s="147" t="e">
        <f>CONCATENATE("IMP",Commodities!C51,"BR",RIGHT(#REF!,2))</f>
        <v>#REF!</v>
      </c>
      <c r="D2179" s="147" t="e">
        <f>CONCATENATE("Import Barge/Vessel Trade of ",Commodities!C51, " to ",$B$2176," from ",#REF!)</f>
        <v>#REF!</v>
      </c>
      <c r="E2179" s="163" t="s">
        <v>196</v>
      </c>
      <c r="F2179" s="163" t="s">
        <v>318</v>
      </c>
    </row>
    <row r="2180" spans="2:6">
      <c r="B2180" s="147" t="s">
        <v>1037</v>
      </c>
      <c r="C2180" s="147" t="e">
        <f>CONCATENATE("IMP",Commodities!C52,"BR",RIGHT(#REF!,2))</f>
        <v>#REF!</v>
      </c>
      <c r="D2180" s="147" t="e">
        <f>CONCATENATE("Import Barge/Vessel Trade of ",Commodities!C52, " to ",$B$2176," from ",#REF!)</f>
        <v>#REF!</v>
      </c>
      <c r="E2180" s="163" t="s">
        <v>196</v>
      </c>
      <c r="F2180" s="163" t="s">
        <v>318</v>
      </c>
    </row>
    <row r="2181" spans="2:6">
      <c r="B2181" s="147" t="s">
        <v>1037</v>
      </c>
      <c r="C2181" s="147" t="e">
        <f>CONCATENATE("IMP",Commodities!C53,"BR",RIGHT(#REF!,2))</f>
        <v>#REF!</v>
      </c>
      <c r="D2181" s="147" t="e">
        <f>CONCATENATE("Import Barge/Vessel Trade of ",Commodities!C53, " to ",$B$2176," from ",#REF!)</f>
        <v>#REF!</v>
      </c>
      <c r="E2181" s="163" t="s">
        <v>196</v>
      </c>
      <c r="F2181" s="163" t="s">
        <v>318</v>
      </c>
    </row>
    <row r="2182" spans="2:6">
      <c r="B2182" s="147" t="s">
        <v>1037</v>
      </c>
      <c r="C2182" s="147" t="e">
        <f>CONCATENATE("IMP",Commodities!C54,"BR",RIGHT(#REF!,2))</f>
        <v>#REF!</v>
      </c>
      <c r="D2182" s="147" t="e">
        <f>CONCATENATE("Import Barge/Vessel Trade of ",Commodities!C54, " to ",$B$2176," from ",#REF!)</f>
        <v>#REF!</v>
      </c>
      <c r="E2182" s="163" t="s">
        <v>196</v>
      </c>
      <c r="F2182" s="163" t="s">
        <v>318</v>
      </c>
    </row>
    <row r="2183" spans="2:6">
      <c r="B2183" s="147" t="s">
        <v>1037</v>
      </c>
      <c r="C2183" s="147" t="e">
        <f>CONCATENATE("IMP",Commodities!C55,"BR",RIGHT(#REF!,2))</f>
        <v>#REF!</v>
      </c>
      <c r="D2183" s="147" t="e">
        <f>CONCATENATE("Import Barge/Vessel Trade of ",Commodities!C55, " to ",$B$2176," from ",#REF!)</f>
        <v>#REF!</v>
      </c>
      <c r="E2183" s="163" t="s">
        <v>196</v>
      </c>
      <c r="F2183" s="163" t="s">
        <v>318</v>
      </c>
    </row>
    <row r="2184" spans="2:6">
      <c r="B2184" s="147" t="s">
        <v>1037</v>
      </c>
      <c r="C2184" s="147" t="e">
        <f>CONCATENATE("IMP",Commodities!C56,"BR",RIGHT(#REF!,2))</f>
        <v>#REF!</v>
      </c>
      <c r="D2184" s="147" t="e">
        <f>CONCATENATE("Import Barge/Vessel Trade of ",Commodities!C56, " to ",$B$2176," from ",#REF!)</f>
        <v>#REF!</v>
      </c>
      <c r="E2184" s="163" t="s">
        <v>196</v>
      </c>
      <c r="F2184" s="163" t="s">
        <v>318</v>
      </c>
    </row>
    <row r="2185" spans="2:6">
      <c r="B2185" s="147" t="s">
        <v>1037</v>
      </c>
      <c r="C2185" s="147" t="e">
        <f>CONCATENATE("IMP",Commodities!C57,"BR",RIGHT(#REF!,2))</f>
        <v>#REF!</v>
      </c>
      <c r="D2185" s="147" t="e">
        <f>CONCATENATE("Import Barge/Vessel Trade of ",Commodities!C57, " to ",$B$2176," from ",#REF!)</f>
        <v>#REF!</v>
      </c>
      <c r="E2185" s="163" t="s">
        <v>196</v>
      </c>
      <c r="F2185" s="163" t="s">
        <v>318</v>
      </c>
    </row>
    <row r="2186" spans="2:6">
      <c r="B2186" s="147" t="s">
        <v>1037</v>
      </c>
      <c r="C2186" s="147" t="e">
        <f>CONCATENATE("IMP",Commodities!C58,"BR",RIGHT(#REF!,2))</f>
        <v>#REF!</v>
      </c>
      <c r="D2186" s="147" t="e">
        <f>CONCATENATE("Import Barge/Vessel Trade of ",Commodities!C58, " to ",$B$2176," from ",#REF!)</f>
        <v>#REF!</v>
      </c>
      <c r="E2186" s="163" t="s">
        <v>196</v>
      </c>
      <c r="F2186" s="163" t="s">
        <v>318</v>
      </c>
    </row>
    <row r="2187" spans="2:6">
      <c r="B2187" s="147" t="s">
        <v>1037</v>
      </c>
      <c r="C2187" s="147" t="e">
        <f>CONCATENATE("IMP",Commodities!C59,"BR",RIGHT(#REF!,2))</f>
        <v>#REF!</v>
      </c>
      <c r="D2187" s="147" t="e">
        <f>CONCATENATE("Import Barge/Vessel Trade of ",Commodities!C59, " to ",$B$2176," from ",#REF!)</f>
        <v>#REF!</v>
      </c>
      <c r="E2187" s="163" t="s">
        <v>196</v>
      </c>
      <c r="F2187" s="163" t="s">
        <v>318</v>
      </c>
    </row>
    <row r="2188" spans="2:6">
      <c r="B2188" s="147" t="s">
        <v>1037</v>
      </c>
      <c r="C2188" s="147" t="e">
        <f>CONCATENATE("IMP",Commodities!C60,"BR",RIGHT(#REF!,2))</f>
        <v>#REF!</v>
      </c>
      <c r="D2188" s="147" t="e">
        <f>CONCATENATE("Import Barge/Vessel Trade of ",Commodities!C60, " to ",$B$2176," from ",#REF!)</f>
        <v>#REF!</v>
      </c>
      <c r="E2188" s="163" t="s">
        <v>196</v>
      </c>
      <c r="F2188" s="163" t="s">
        <v>318</v>
      </c>
    </row>
    <row r="2189" spans="2:6">
      <c r="B2189" s="147" t="s">
        <v>1037</v>
      </c>
      <c r="C2189" s="147" t="e">
        <f>CONCATENATE("IMP",Commodities!C48,"BR",RIGHT(#REF!,2))</f>
        <v>#REF!</v>
      </c>
      <c r="D2189" s="147" t="e">
        <f>CONCATENATE("Import Barge/Vessel Trade of ",Commodities!C48, " to ",$B$2189," from ",#REF!)</f>
        <v>#REF!</v>
      </c>
      <c r="E2189" s="163" t="s">
        <v>196</v>
      </c>
      <c r="F2189" s="163" t="s">
        <v>318</v>
      </c>
    </row>
    <row r="2190" spans="2:6">
      <c r="B2190" s="147" t="s">
        <v>1037</v>
      </c>
      <c r="C2190" s="147" t="e">
        <f>CONCATENATE("IMP",Commodities!C49,"BR",RIGHT(#REF!,2))</f>
        <v>#REF!</v>
      </c>
      <c r="D2190" s="147" t="e">
        <f>CONCATENATE("Import Barge/Vessel Trade of ",Commodities!C49, " to ",$B$2189," from ",#REF!)</f>
        <v>#REF!</v>
      </c>
      <c r="E2190" s="163" t="s">
        <v>196</v>
      </c>
      <c r="F2190" s="163" t="s">
        <v>318</v>
      </c>
    </row>
    <row r="2191" spans="2:6">
      <c r="B2191" s="147" t="s">
        <v>1037</v>
      </c>
      <c r="C2191" s="147" t="e">
        <f>CONCATENATE("IMP",Commodities!C50,"BR",RIGHT(#REF!,2))</f>
        <v>#REF!</v>
      </c>
      <c r="D2191" s="147" t="e">
        <f>CONCATENATE("Import Barge/Vessel Trade of ",Commodities!C50, " to ",$B$2189," from ",#REF!)</f>
        <v>#REF!</v>
      </c>
      <c r="E2191" s="163" t="s">
        <v>196</v>
      </c>
      <c r="F2191" s="163" t="s">
        <v>318</v>
      </c>
    </row>
    <row r="2192" spans="2:6">
      <c r="B2192" s="147" t="s">
        <v>1037</v>
      </c>
      <c r="C2192" s="147" t="e">
        <f>CONCATENATE("IMP",Commodities!C51,"BR",RIGHT(#REF!,2))</f>
        <v>#REF!</v>
      </c>
      <c r="D2192" s="147" t="e">
        <f>CONCATENATE("Import Barge/Vessel Trade of ",Commodities!C51, " to ",$B$2189," from ",#REF!)</f>
        <v>#REF!</v>
      </c>
      <c r="E2192" s="163" t="s">
        <v>196</v>
      </c>
      <c r="F2192" s="163" t="s">
        <v>318</v>
      </c>
    </row>
    <row r="2193" spans="2:6">
      <c r="B2193" s="147" t="s">
        <v>1037</v>
      </c>
      <c r="C2193" s="147" t="e">
        <f>CONCATENATE("IMP",Commodities!C52,"BR",RIGHT(#REF!,2))</f>
        <v>#REF!</v>
      </c>
      <c r="D2193" s="147" t="e">
        <f>CONCATENATE("Import Barge/Vessel Trade of ",Commodities!C52, " to ",$B$2189," from ",#REF!)</f>
        <v>#REF!</v>
      </c>
      <c r="E2193" s="163" t="s">
        <v>196</v>
      </c>
      <c r="F2193" s="163" t="s">
        <v>318</v>
      </c>
    </row>
    <row r="2194" spans="2:6">
      <c r="B2194" s="147" t="s">
        <v>1037</v>
      </c>
      <c r="C2194" s="147" t="e">
        <f>CONCATENATE("IMP",Commodities!C53,"BR",RIGHT(#REF!,2))</f>
        <v>#REF!</v>
      </c>
      <c r="D2194" s="147" t="e">
        <f>CONCATENATE("Import Barge/Vessel Trade of ",Commodities!C53, " to ",$B$2189," from ",#REF!)</f>
        <v>#REF!</v>
      </c>
      <c r="E2194" s="163" t="s">
        <v>196</v>
      </c>
      <c r="F2194" s="163" t="s">
        <v>318</v>
      </c>
    </row>
    <row r="2195" spans="2:6">
      <c r="B2195" s="147" t="s">
        <v>1037</v>
      </c>
      <c r="C2195" s="147" t="e">
        <f>CONCATENATE("IMP",Commodities!C54,"BR",RIGHT(#REF!,2))</f>
        <v>#REF!</v>
      </c>
      <c r="D2195" s="147" t="e">
        <f>CONCATENATE("Import Barge/Vessel Trade of ",Commodities!C54, " to ",$B$2189," from ",#REF!)</f>
        <v>#REF!</v>
      </c>
      <c r="E2195" s="163" t="s">
        <v>196</v>
      </c>
      <c r="F2195" s="163" t="s">
        <v>318</v>
      </c>
    </row>
    <row r="2196" spans="2:6">
      <c r="B2196" s="147" t="s">
        <v>1037</v>
      </c>
      <c r="C2196" s="147" t="e">
        <f>CONCATENATE("IMP",Commodities!C55,"BR",RIGHT(#REF!,2))</f>
        <v>#REF!</v>
      </c>
      <c r="D2196" s="147" t="e">
        <f>CONCATENATE("Import Barge/Vessel Trade of ",Commodities!C55, " to ",$B$2189," from ",#REF!)</f>
        <v>#REF!</v>
      </c>
      <c r="E2196" s="163" t="s">
        <v>196</v>
      </c>
      <c r="F2196" s="163" t="s">
        <v>318</v>
      </c>
    </row>
    <row r="2197" spans="2:6">
      <c r="B2197" s="147" t="s">
        <v>1037</v>
      </c>
      <c r="C2197" s="147" t="e">
        <f>CONCATENATE("IMP",Commodities!C56,"BR",RIGHT(#REF!,2))</f>
        <v>#REF!</v>
      </c>
      <c r="D2197" s="147" t="e">
        <f>CONCATENATE("Import Barge/Vessel Trade of ",Commodities!C56, " to ",$B$2189," from ",#REF!)</f>
        <v>#REF!</v>
      </c>
      <c r="E2197" s="163" t="s">
        <v>196</v>
      </c>
      <c r="F2197" s="163" t="s">
        <v>318</v>
      </c>
    </row>
    <row r="2198" spans="2:6">
      <c r="B2198" s="147" t="s">
        <v>1037</v>
      </c>
      <c r="C2198" s="147" t="e">
        <f>CONCATENATE("IMP",Commodities!C57,"BR",RIGHT(#REF!,2))</f>
        <v>#REF!</v>
      </c>
      <c r="D2198" s="147" t="e">
        <f>CONCATENATE("Import Barge/Vessel Trade of ",Commodities!C57, " to ",$B$2189," from ",#REF!)</f>
        <v>#REF!</v>
      </c>
      <c r="E2198" s="163" t="s">
        <v>196</v>
      </c>
      <c r="F2198" s="163" t="s">
        <v>318</v>
      </c>
    </row>
    <row r="2199" spans="2:6">
      <c r="B2199" s="147" t="s">
        <v>1037</v>
      </c>
      <c r="C2199" s="147" t="e">
        <f>CONCATENATE("IMP",Commodities!C58,"BR",RIGHT(#REF!,2))</f>
        <v>#REF!</v>
      </c>
      <c r="D2199" s="147" t="e">
        <f>CONCATENATE("Import Barge/Vessel Trade of ",Commodities!C58, " to ",$B$2189," from ",#REF!)</f>
        <v>#REF!</v>
      </c>
      <c r="E2199" s="163" t="s">
        <v>196</v>
      </c>
      <c r="F2199" s="163" t="s">
        <v>318</v>
      </c>
    </row>
    <row r="2200" spans="2:6">
      <c r="B2200" s="147" t="s">
        <v>1037</v>
      </c>
      <c r="C2200" s="147" t="e">
        <f>CONCATENATE("IMP",Commodities!C59,"BR",RIGHT(#REF!,2))</f>
        <v>#REF!</v>
      </c>
      <c r="D2200" s="147" t="e">
        <f>CONCATENATE("Import Barge/Vessel Trade of ",Commodities!C59, " to ",$B$2189," from ",#REF!)</f>
        <v>#REF!</v>
      </c>
      <c r="E2200" s="163" t="s">
        <v>196</v>
      </c>
      <c r="F2200" s="163" t="s">
        <v>318</v>
      </c>
    </row>
    <row r="2201" spans="2:6">
      <c r="B2201" s="147" t="s">
        <v>1037</v>
      </c>
      <c r="C2201" s="147" t="e">
        <f>CONCATENATE("IMP",Commodities!C60,"BR",RIGHT(#REF!,2))</f>
        <v>#REF!</v>
      </c>
      <c r="D2201" s="147" t="e">
        <f>CONCATENATE("Import Barge/Vessel Trade of ",Commodities!C60, " to ",$B$2189," from ",#REF!)</f>
        <v>#REF!</v>
      </c>
      <c r="E2201" s="163" t="s">
        <v>196</v>
      </c>
      <c r="F2201" s="163" t="s">
        <v>318</v>
      </c>
    </row>
    <row r="2202" spans="2:6">
      <c r="B2202" s="147" t="s">
        <v>1031</v>
      </c>
      <c r="C2202" s="147" t="e">
        <f>CONCATENATE("IMP",Commodities!C48,"BR",RIGHT(#REF!,2))</f>
        <v>#REF!</v>
      </c>
      <c r="D2202" s="147" t="e">
        <f>CONCATENATE("Import Barge/Vessel Trade of ",Commodities!C48, " to ",$B$2202," from ",#REF!)</f>
        <v>#REF!</v>
      </c>
      <c r="E2202" s="163" t="s">
        <v>196</v>
      </c>
      <c r="F2202" s="163" t="s">
        <v>318</v>
      </c>
    </row>
    <row r="2203" spans="2:6">
      <c r="B2203" s="147" t="s">
        <v>1031</v>
      </c>
      <c r="C2203" s="147" t="e">
        <f>CONCATENATE("IMP",Commodities!C49,"BR",RIGHT(#REF!,2))</f>
        <v>#REF!</v>
      </c>
      <c r="D2203" s="147" t="e">
        <f>CONCATENATE("Import Barge/Vessel Trade of ",Commodities!C49, " to ",$B$2202," from ",#REF!)</f>
        <v>#REF!</v>
      </c>
      <c r="E2203" s="163" t="s">
        <v>196</v>
      </c>
      <c r="F2203" s="163" t="s">
        <v>318</v>
      </c>
    </row>
    <row r="2204" spans="2:6">
      <c r="B2204" s="147" t="s">
        <v>1031</v>
      </c>
      <c r="C2204" s="147" t="e">
        <f>CONCATENATE("IMP",Commodities!C50,"BR",RIGHT(#REF!,2))</f>
        <v>#REF!</v>
      </c>
      <c r="D2204" s="147" t="e">
        <f>CONCATENATE("Import Barge/Vessel Trade of ",Commodities!C50, " to ",$B$2202," from ",#REF!)</f>
        <v>#REF!</v>
      </c>
      <c r="E2204" s="163" t="s">
        <v>196</v>
      </c>
      <c r="F2204" s="163" t="s">
        <v>318</v>
      </c>
    </row>
    <row r="2205" spans="2:6">
      <c r="B2205" s="147" t="s">
        <v>1031</v>
      </c>
      <c r="C2205" s="147" t="e">
        <f>CONCATENATE("IMP",Commodities!C51,"BR",RIGHT(#REF!,2))</f>
        <v>#REF!</v>
      </c>
      <c r="D2205" s="147" t="e">
        <f>CONCATENATE("Import Barge/Vessel Trade of ",Commodities!C51, " to ",$B$2202," from ",#REF!)</f>
        <v>#REF!</v>
      </c>
      <c r="E2205" s="163" t="s">
        <v>196</v>
      </c>
      <c r="F2205" s="163" t="s">
        <v>318</v>
      </c>
    </row>
    <row r="2206" spans="2:6">
      <c r="B2206" s="147" t="s">
        <v>1031</v>
      </c>
      <c r="C2206" s="147" t="e">
        <f>CONCATENATE("IMP",Commodities!C52,"BR",RIGHT(#REF!,2))</f>
        <v>#REF!</v>
      </c>
      <c r="D2206" s="147" t="e">
        <f>CONCATENATE("Import Barge/Vessel Trade of ",Commodities!C52, " to ",$B$2202," from ",#REF!)</f>
        <v>#REF!</v>
      </c>
      <c r="E2206" s="163" t="s">
        <v>196</v>
      </c>
      <c r="F2206" s="163" t="s">
        <v>318</v>
      </c>
    </row>
    <row r="2207" spans="2:6">
      <c r="B2207" s="147" t="s">
        <v>1031</v>
      </c>
      <c r="C2207" s="147" t="e">
        <f>CONCATENATE("IMP",Commodities!C53,"BR",RIGHT(#REF!,2))</f>
        <v>#REF!</v>
      </c>
      <c r="D2207" s="147" t="e">
        <f>CONCATENATE("Import Barge/Vessel Trade of ",Commodities!C53, " to ",$B$2202," from ",#REF!)</f>
        <v>#REF!</v>
      </c>
      <c r="E2207" s="163" t="s">
        <v>196</v>
      </c>
      <c r="F2207" s="163" t="s">
        <v>318</v>
      </c>
    </row>
    <row r="2208" spans="2:6">
      <c r="B2208" s="147" t="s">
        <v>1031</v>
      </c>
      <c r="C2208" s="147" t="e">
        <f>CONCATENATE("IMP",Commodities!C54,"BR",RIGHT(#REF!,2))</f>
        <v>#REF!</v>
      </c>
      <c r="D2208" s="147" t="e">
        <f>CONCATENATE("Import Barge/Vessel Trade of ",Commodities!C54, " to ",$B$2202," from ",#REF!)</f>
        <v>#REF!</v>
      </c>
      <c r="E2208" s="163" t="s">
        <v>196</v>
      </c>
      <c r="F2208" s="163" t="s">
        <v>318</v>
      </c>
    </row>
    <row r="2209" spans="2:6">
      <c r="B2209" s="147" t="s">
        <v>1031</v>
      </c>
      <c r="C2209" s="147" t="e">
        <f>CONCATENATE("IMP",Commodities!C55,"BR",RIGHT(#REF!,2))</f>
        <v>#REF!</v>
      </c>
      <c r="D2209" s="147" t="e">
        <f>CONCATENATE("Import Barge/Vessel Trade of ",Commodities!C55, " to ",$B$2202," from ",#REF!)</f>
        <v>#REF!</v>
      </c>
      <c r="E2209" s="163" t="s">
        <v>196</v>
      </c>
      <c r="F2209" s="163" t="s">
        <v>318</v>
      </c>
    </row>
    <row r="2210" spans="2:6">
      <c r="B2210" s="147" t="s">
        <v>1031</v>
      </c>
      <c r="C2210" s="147" t="e">
        <f>CONCATENATE("IMP",Commodities!C56,"BR",RIGHT(#REF!,2))</f>
        <v>#REF!</v>
      </c>
      <c r="D2210" s="147" t="e">
        <f>CONCATENATE("Import Barge/Vessel Trade of ",Commodities!C56, " to ",$B$2202," from ",#REF!)</f>
        <v>#REF!</v>
      </c>
      <c r="E2210" s="163" t="s">
        <v>196</v>
      </c>
      <c r="F2210" s="163" t="s">
        <v>318</v>
      </c>
    </row>
    <row r="2211" spans="2:6">
      <c r="B2211" s="147" t="s">
        <v>1031</v>
      </c>
      <c r="C2211" s="147" t="e">
        <f>CONCATENATE("IMP",Commodities!C57,"BR",RIGHT(#REF!,2))</f>
        <v>#REF!</v>
      </c>
      <c r="D2211" s="147" t="e">
        <f>CONCATENATE("Import Barge/Vessel Trade of ",Commodities!C57, " to ",$B$2202," from ",#REF!)</f>
        <v>#REF!</v>
      </c>
      <c r="E2211" s="163" t="s">
        <v>196</v>
      </c>
      <c r="F2211" s="163" t="s">
        <v>318</v>
      </c>
    </row>
    <row r="2212" spans="2:6">
      <c r="B2212" s="147" t="s">
        <v>1031</v>
      </c>
      <c r="C2212" s="147" t="e">
        <f>CONCATENATE("IMP",Commodities!C58,"BR",RIGHT(#REF!,2))</f>
        <v>#REF!</v>
      </c>
      <c r="D2212" s="147" t="e">
        <f>CONCATENATE("Import Barge/Vessel Trade of ",Commodities!C58, " to ",$B$2202," from ",#REF!)</f>
        <v>#REF!</v>
      </c>
      <c r="E2212" s="163" t="s">
        <v>196</v>
      </c>
      <c r="F2212" s="163" t="s">
        <v>318</v>
      </c>
    </row>
    <row r="2213" spans="2:6">
      <c r="B2213" s="147" t="s">
        <v>1031</v>
      </c>
      <c r="C2213" s="147" t="e">
        <f>CONCATENATE("IMP",Commodities!C59,"BR",RIGHT(#REF!,2))</f>
        <v>#REF!</v>
      </c>
      <c r="D2213" s="147" t="e">
        <f>CONCATENATE("Import Barge/Vessel Trade of ",Commodities!C59, " to ",$B$2202," from ",#REF!)</f>
        <v>#REF!</v>
      </c>
      <c r="E2213" s="163" t="s">
        <v>196</v>
      </c>
      <c r="F2213" s="163" t="s">
        <v>318</v>
      </c>
    </row>
    <row r="2214" spans="2:6">
      <c r="B2214" s="147" t="s">
        <v>1031</v>
      </c>
      <c r="C2214" s="147" t="e">
        <f>CONCATENATE("IMP",Commodities!C60,"BR",RIGHT(#REF!,2))</f>
        <v>#REF!</v>
      </c>
      <c r="D2214" s="147" t="e">
        <f>CONCATENATE("Import Barge/Vessel Trade of ",Commodities!C60, " to ",$B$2202," from ",#REF!)</f>
        <v>#REF!</v>
      </c>
      <c r="E2214" s="163" t="s">
        <v>196</v>
      </c>
      <c r="F2214" s="163" t="s">
        <v>318</v>
      </c>
    </row>
    <row r="2215" spans="2:6">
      <c r="B2215" s="147" t="s">
        <v>1031</v>
      </c>
      <c r="C2215" s="147" t="e">
        <f>CONCATENATE("IMP",Commodities!C48,"BR",RIGHT(#REF!,2))</f>
        <v>#REF!</v>
      </c>
      <c r="D2215" s="147" t="e">
        <f>CONCATENATE("Import Barge/Vessel Trade of ",Commodities!C48, " to ",$B$2215," from ",#REF!)</f>
        <v>#REF!</v>
      </c>
      <c r="E2215" s="163" t="s">
        <v>196</v>
      </c>
      <c r="F2215" s="163" t="s">
        <v>318</v>
      </c>
    </row>
    <row r="2216" spans="2:6">
      <c r="B2216" s="147" t="s">
        <v>1031</v>
      </c>
      <c r="C2216" s="147" t="e">
        <f>CONCATENATE("IMP",Commodities!C49,"BR",RIGHT(#REF!,2))</f>
        <v>#REF!</v>
      </c>
      <c r="D2216" s="147" t="e">
        <f>CONCATENATE("Import Barge/Vessel Trade of ",Commodities!C49, " to ",$B$2215," from ",#REF!)</f>
        <v>#REF!</v>
      </c>
      <c r="E2216" s="163" t="s">
        <v>196</v>
      </c>
      <c r="F2216" s="163" t="s">
        <v>318</v>
      </c>
    </row>
    <row r="2217" spans="2:6">
      <c r="B2217" s="147" t="s">
        <v>1031</v>
      </c>
      <c r="C2217" s="147" t="e">
        <f>CONCATENATE("IMP",Commodities!C50,"BR",RIGHT(#REF!,2))</f>
        <v>#REF!</v>
      </c>
      <c r="D2217" s="147" t="e">
        <f>CONCATENATE("Import Barge/Vessel Trade of ",Commodities!C50, " to ",$B$2215," from ",#REF!)</f>
        <v>#REF!</v>
      </c>
      <c r="E2217" s="163" t="s">
        <v>196</v>
      </c>
      <c r="F2217" s="163" t="s">
        <v>318</v>
      </c>
    </row>
    <row r="2218" spans="2:6">
      <c r="B2218" s="147" t="s">
        <v>1031</v>
      </c>
      <c r="C2218" s="147" t="e">
        <f>CONCATENATE("IMP",Commodities!C51,"BR",RIGHT(#REF!,2))</f>
        <v>#REF!</v>
      </c>
      <c r="D2218" s="147" t="e">
        <f>CONCATENATE("Import Barge/Vessel Trade of ",Commodities!C51, " to ",$B$2215," from ",#REF!)</f>
        <v>#REF!</v>
      </c>
      <c r="E2218" s="163" t="s">
        <v>196</v>
      </c>
      <c r="F2218" s="163" t="s">
        <v>318</v>
      </c>
    </row>
    <row r="2219" spans="2:6">
      <c r="B2219" s="147" t="s">
        <v>1031</v>
      </c>
      <c r="C2219" s="147" t="e">
        <f>CONCATENATE("IMP",Commodities!C52,"BR",RIGHT(#REF!,2))</f>
        <v>#REF!</v>
      </c>
      <c r="D2219" s="147" t="e">
        <f>CONCATENATE("Import Barge/Vessel Trade of ",Commodities!C52, " to ",$B$2215," from ",#REF!)</f>
        <v>#REF!</v>
      </c>
      <c r="E2219" s="163" t="s">
        <v>196</v>
      </c>
      <c r="F2219" s="163" t="s">
        <v>318</v>
      </c>
    </row>
    <row r="2220" spans="2:6">
      <c r="B2220" s="147" t="s">
        <v>1031</v>
      </c>
      <c r="C2220" s="147" t="e">
        <f>CONCATENATE("IMP",Commodities!C53,"BR",RIGHT(#REF!,2))</f>
        <v>#REF!</v>
      </c>
      <c r="D2220" s="147" t="e">
        <f>CONCATENATE("Import Barge/Vessel Trade of ",Commodities!C53, " to ",$B$2215," from ",#REF!)</f>
        <v>#REF!</v>
      </c>
      <c r="E2220" s="163" t="s">
        <v>196</v>
      </c>
      <c r="F2220" s="163" t="s">
        <v>318</v>
      </c>
    </row>
    <row r="2221" spans="2:6">
      <c r="B2221" s="147" t="s">
        <v>1031</v>
      </c>
      <c r="C2221" s="147" t="e">
        <f>CONCATENATE("IMP",Commodities!C54,"BR",RIGHT(#REF!,2))</f>
        <v>#REF!</v>
      </c>
      <c r="D2221" s="147" t="e">
        <f>CONCATENATE("Import Barge/Vessel Trade of ",Commodities!C54, " to ",$B$2215," from ",#REF!)</f>
        <v>#REF!</v>
      </c>
      <c r="E2221" s="163" t="s">
        <v>196</v>
      </c>
      <c r="F2221" s="163" t="s">
        <v>318</v>
      </c>
    </row>
    <row r="2222" spans="2:6">
      <c r="B2222" s="147" t="s">
        <v>1031</v>
      </c>
      <c r="C2222" s="147" t="e">
        <f>CONCATENATE("IMP",Commodities!C55,"BR",RIGHT(#REF!,2))</f>
        <v>#REF!</v>
      </c>
      <c r="D2222" s="147" t="e">
        <f>CONCATENATE("Import Barge/Vessel Trade of ",Commodities!C55, " to ",$B$2215," from ",#REF!)</f>
        <v>#REF!</v>
      </c>
      <c r="E2222" s="163" t="s">
        <v>196</v>
      </c>
      <c r="F2222" s="163" t="s">
        <v>318</v>
      </c>
    </row>
    <row r="2223" spans="2:6">
      <c r="B2223" s="147" t="s">
        <v>1031</v>
      </c>
      <c r="C2223" s="147" t="e">
        <f>CONCATENATE("IMP",Commodities!C56,"BR",RIGHT(#REF!,2))</f>
        <v>#REF!</v>
      </c>
      <c r="D2223" s="147" t="e">
        <f>CONCATENATE("Import Barge/Vessel Trade of ",Commodities!C56, " to ",$B$2215," from ",#REF!)</f>
        <v>#REF!</v>
      </c>
      <c r="E2223" s="163" t="s">
        <v>196</v>
      </c>
      <c r="F2223" s="163" t="s">
        <v>318</v>
      </c>
    </row>
    <row r="2224" spans="2:6">
      <c r="B2224" s="147" t="s">
        <v>1031</v>
      </c>
      <c r="C2224" s="147" t="e">
        <f>CONCATENATE("IMP",Commodities!C57,"BR",RIGHT(#REF!,2))</f>
        <v>#REF!</v>
      </c>
      <c r="D2224" s="147" t="e">
        <f>CONCATENATE("Import Barge/Vessel Trade of ",Commodities!C57, " to ",$B$2215," from ",#REF!)</f>
        <v>#REF!</v>
      </c>
      <c r="E2224" s="163" t="s">
        <v>196</v>
      </c>
      <c r="F2224" s="163" t="s">
        <v>318</v>
      </c>
    </row>
    <row r="2225" spans="2:6">
      <c r="B2225" s="147" t="s">
        <v>1031</v>
      </c>
      <c r="C2225" s="147" t="e">
        <f>CONCATENATE("IMP",Commodities!C58,"BR",RIGHT(#REF!,2))</f>
        <v>#REF!</v>
      </c>
      <c r="D2225" s="147" t="e">
        <f>CONCATENATE("Import Barge/Vessel Trade of ",Commodities!C58, " to ",$B$2215," from ",#REF!)</f>
        <v>#REF!</v>
      </c>
      <c r="E2225" s="163" t="s">
        <v>196</v>
      </c>
      <c r="F2225" s="163" t="s">
        <v>318</v>
      </c>
    </row>
    <row r="2226" spans="2:6">
      <c r="B2226" s="147" t="s">
        <v>1031</v>
      </c>
      <c r="C2226" s="147" t="e">
        <f>CONCATENATE("IMP",Commodities!C59,"BR",RIGHT(#REF!,2))</f>
        <v>#REF!</v>
      </c>
      <c r="D2226" s="147" t="e">
        <f>CONCATENATE("Import Barge/Vessel Trade of ",Commodities!C59, " to ",$B$2215," from ",#REF!)</f>
        <v>#REF!</v>
      </c>
      <c r="E2226" s="163" t="s">
        <v>196</v>
      </c>
      <c r="F2226" s="163" t="s">
        <v>318</v>
      </c>
    </row>
    <row r="2227" spans="2:6">
      <c r="B2227" s="147" t="s">
        <v>1031</v>
      </c>
      <c r="C2227" s="147" t="e">
        <f>CONCATENATE("IMP",Commodities!C60,"BR",RIGHT(#REF!,2))</f>
        <v>#REF!</v>
      </c>
      <c r="D2227" s="147" t="e">
        <f>CONCATENATE("Import Barge/Vessel Trade of ",Commodities!C60, " to ",$B$2215," from ",#REF!)</f>
        <v>#REF!</v>
      </c>
      <c r="E2227" s="163" t="s">
        <v>196</v>
      </c>
      <c r="F2227" s="163" t="s">
        <v>318</v>
      </c>
    </row>
    <row r="2228" spans="2:6">
      <c r="B2228" s="147" t="s">
        <v>1031</v>
      </c>
      <c r="C2228" s="147" t="e">
        <f>CONCATENATE("IMP",Commodities!C48,"BR",RIGHT(#REF!,2))</f>
        <v>#REF!</v>
      </c>
      <c r="D2228" s="147" t="e">
        <f>CONCATENATE("Import Barge/Vessel Trade of ",Commodities!C48, " to ",$B$2228," from ",#REF!)</f>
        <v>#REF!</v>
      </c>
      <c r="E2228" s="163" t="s">
        <v>196</v>
      </c>
      <c r="F2228" s="163" t="s">
        <v>318</v>
      </c>
    </row>
    <row r="2229" spans="2:6">
      <c r="B2229" s="147" t="s">
        <v>1031</v>
      </c>
      <c r="C2229" s="147" t="e">
        <f>CONCATENATE("IMP",Commodities!C49,"BR",RIGHT(#REF!,2))</f>
        <v>#REF!</v>
      </c>
      <c r="D2229" s="147" t="e">
        <f>CONCATENATE("Import Barge/Vessel Trade of ",Commodities!C49, " to ",$B$2228," from ",#REF!)</f>
        <v>#REF!</v>
      </c>
      <c r="E2229" s="163" t="s">
        <v>196</v>
      </c>
      <c r="F2229" s="163" t="s">
        <v>318</v>
      </c>
    </row>
    <row r="2230" spans="2:6">
      <c r="B2230" s="147" t="s">
        <v>1031</v>
      </c>
      <c r="C2230" s="147" t="e">
        <f>CONCATENATE("IMP",Commodities!C50,"BR",RIGHT(#REF!,2))</f>
        <v>#REF!</v>
      </c>
      <c r="D2230" s="147" t="e">
        <f>CONCATENATE("Import Barge/Vessel Trade of ",Commodities!C50, " to ",$B$2228," from ",#REF!)</f>
        <v>#REF!</v>
      </c>
      <c r="E2230" s="163" t="s">
        <v>196</v>
      </c>
      <c r="F2230" s="163" t="s">
        <v>318</v>
      </c>
    </row>
    <row r="2231" spans="2:6">
      <c r="B2231" s="147" t="s">
        <v>1031</v>
      </c>
      <c r="C2231" s="147" t="e">
        <f>CONCATENATE("IMP",Commodities!C51,"BR",RIGHT(#REF!,2))</f>
        <v>#REF!</v>
      </c>
      <c r="D2231" s="147" t="e">
        <f>CONCATENATE("Import Barge/Vessel Trade of ",Commodities!C51, " to ",$B$2228," from ",#REF!)</f>
        <v>#REF!</v>
      </c>
      <c r="E2231" s="163" t="s">
        <v>196</v>
      </c>
      <c r="F2231" s="163" t="s">
        <v>318</v>
      </c>
    </row>
    <row r="2232" spans="2:6">
      <c r="B2232" s="147" t="s">
        <v>1031</v>
      </c>
      <c r="C2232" s="147" t="e">
        <f>CONCATENATE("IMP",Commodities!C52,"BR",RIGHT(#REF!,2))</f>
        <v>#REF!</v>
      </c>
      <c r="D2232" s="147" t="e">
        <f>CONCATENATE("Import Barge/Vessel Trade of ",Commodities!C52, " to ",$B$2228," from ",#REF!)</f>
        <v>#REF!</v>
      </c>
      <c r="E2232" s="163" t="s">
        <v>196</v>
      </c>
      <c r="F2232" s="163" t="s">
        <v>318</v>
      </c>
    </row>
    <row r="2233" spans="2:6">
      <c r="B2233" s="147" t="s">
        <v>1031</v>
      </c>
      <c r="C2233" s="147" t="e">
        <f>CONCATENATE("IMP",Commodities!C53,"BR",RIGHT(#REF!,2))</f>
        <v>#REF!</v>
      </c>
      <c r="D2233" s="147" t="e">
        <f>CONCATENATE("Import Barge/Vessel Trade of ",Commodities!C53, " to ",$B$2228," from ",#REF!)</f>
        <v>#REF!</v>
      </c>
      <c r="E2233" s="163" t="s">
        <v>196</v>
      </c>
      <c r="F2233" s="163" t="s">
        <v>318</v>
      </c>
    </row>
    <row r="2234" spans="2:6">
      <c r="B2234" s="147" t="s">
        <v>1031</v>
      </c>
      <c r="C2234" s="147" t="e">
        <f>CONCATENATE("IMP",Commodities!C54,"BR",RIGHT(#REF!,2))</f>
        <v>#REF!</v>
      </c>
      <c r="D2234" s="147" t="e">
        <f>CONCATENATE("Import Barge/Vessel Trade of ",Commodities!C54, " to ",$B$2228," from ",#REF!)</f>
        <v>#REF!</v>
      </c>
      <c r="E2234" s="163" t="s">
        <v>196</v>
      </c>
      <c r="F2234" s="163" t="s">
        <v>318</v>
      </c>
    </row>
    <row r="2235" spans="2:6">
      <c r="B2235" s="147" t="s">
        <v>1031</v>
      </c>
      <c r="C2235" s="147" t="e">
        <f>CONCATENATE("IMP",Commodities!C55,"BR",RIGHT(#REF!,2))</f>
        <v>#REF!</v>
      </c>
      <c r="D2235" s="147" t="e">
        <f>CONCATENATE("Import Barge/Vessel Trade of ",Commodities!C55, " to ",$B$2228," from ",#REF!)</f>
        <v>#REF!</v>
      </c>
      <c r="E2235" s="163" t="s">
        <v>196</v>
      </c>
      <c r="F2235" s="163" t="s">
        <v>318</v>
      </c>
    </row>
    <row r="2236" spans="2:6">
      <c r="B2236" s="147" t="s">
        <v>1031</v>
      </c>
      <c r="C2236" s="147" t="e">
        <f>CONCATENATE("IMP",Commodities!C56,"BR",RIGHT(#REF!,2))</f>
        <v>#REF!</v>
      </c>
      <c r="D2236" s="147" t="e">
        <f>CONCATENATE("Import Barge/Vessel Trade of ",Commodities!C56, " to ",$B$2228," from ",#REF!)</f>
        <v>#REF!</v>
      </c>
      <c r="E2236" s="163" t="s">
        <v>196</v>
      </c>
      <c r="F2236" s="163" t="s">
        <v>318</v>
      </c>
    </row>
    <row r="2237" spans="2:6">
      <c r="B2237" s="147" t="s">
        <v>1031</v>
      </c>
      <c r="C2237" s="147" t="e">
        <f>CONCATENATE("IMP",Commodities!C57,"BR",RIGHT(#REF!,2))</f>
        <v>#REF!</v>
      </c>
      <c r="D2237" s="147" t="e">
        <f>CONCATENATE("Import Barge/Vessel Trade of ",Commodities!C57, " to ",$B$2228," from ",#REF!)</f>
        <v>#REF!</v>
      </c>
      <c r="E2237" s="163" t="s">
        <v>196</v>
      </c>
      <c r="F2237" s="163" t="s">
        <v>318</v>
      </c>
    </row>
    <row r="2238" spans="2:6">
      <c r="B2238" s="147" t="s">
        <v>1031</v>
      </c>
      <c r="C2238" s="147" t="e">
        <f>CONCATENATE("IMP",Commodities!C58,"BR",RIGHT(#REF!,2))</f>
        <v>#REF!</v>
      </c>
      <c r="D2238" s="147" t="e">
        <f>CONCATENATE("Import Barge/Vessel Trade of ",Commodities!C58, " to ",$B$2228," from ",#REF!)</f>
        <v>#REF!</v>
      </c>
      <c r="E2238" s="163" t="s">
        <v>196</v>
      </c>
      <c r="F2238" s="163" t="s">
        <v>318</v>
      </c>
    </row>
    <row r="2239" spans="2:6">
      <c r="B2239" s="147" t="s">
        <v>1031</v>
      </c>
      <c r="C2239" s="147" t="e">
        <f>CONCATENATE("IMP",Commodities!C59,"BR",RIGHT(#REF!,2))</f>
        <v>#REF!</v>
      </c>
      <c r="D2239" s="147" t="e">
        <f>CONCATENATE("Import Barge/Vessel Trade of ",Commodities!C59, " to ",$B$2228," from ",#REF!)</f>
        <v>#REF!</v>
      </c>
      <c r="E2239" s="163" t="s">
        <v>196</v>
      </c>
      <c r="F2239" s="163" t="s">
        <v>318</v>
      </c>
    </row>
    <row r="2240" spans="2:6">
      <c r="B2240" s="147" t="s">
        <v>1031</v>
      </c>
      <c r="C2240" s="147" t="e">
        <f>CONCATENATE("IMP",Commodities!C60,"BR",RIGHT(#REF!,2))</f>
        <v>#REF!</v>
      </c>
      <c r="D2240" s="147" t="e">
        <f>CONCATENATE("Import Barge/Vessel Trade of ",Commodities!C60, " to ",$B$2228," from ",#REF!)</f>
        <v>#REF!</v>
      </c>
      <c r="E2240" s="163" t="s">
        <v>196</v>
      </c>
      <c r="F2240" s="163" t="s">
        <v>318</v>
      </c>
    </row>
    <row r="2241" spans="2:6">
      <c r="B2241" s="147" t="s">
        <v>1031</v>
      </c>
      <c r="C2241" s="147" t="e">
        <f>CONCATENATE("IMP",Commodities!C48,"BR",RIGHT(#REF!,2))</f>
        <v>#REF!</v>
      </c>
      <c r="D2241" s="147" t="e">
        <f>CONCATENATE("Import Barge/Vessel Trade of ",Commodities!C48, " to ",$B$2241," from ",#REF!)</f>
        <v>#REF!</v>
      </c>
      <c r="E2241" s="163" t="s">
        <v>196</v>
      </c>
      <c r="F2241" s="163" t="s">
        <v>318</v>
      </c>
    </row>
    <row r="2242" spans="2:6">
      <c r="B2242" s="147" t="s">
        <v>1031</v>
      </c>
      <c r="C2242" s="147" t="e">
        <f>CONCATENATE("IMP",Commodities!C49,"BR",RIGHT(#REF!,2))</f>
        <v>#REF!</v>
      </c>
      <c r="D2242" s="147" t="e">
        <f>CONCATENATE("Import Barge/Vessel Trade of ",Commodities!C49, " to ",$B$2241," from ",#REF!)</f>
        <v>#REF!</v>
      </c>
      <c r="E2242" s="163" t="s">
        <v>196</v>
      </c>
      <c r="F2242" s="163" t="s">
        <v>318</v>
      </c>
    </row>
    <row r="2243" spans="2:6">
      <c r="B2243" s="147" t="s">
        <v>1031</v>
      </c>
      <c r="C2243" s="147" t="e">
        <f>CONCATENATE("IMP",Commodities!C50,"BR",RIGHT(#REF!,2))</f>
        <v>#REF!</v>
      </c>
      <c r="D2243" s="147" t="e">
        <f>CONCATENATE("Import Barge/Vessel Trade of ",Commodities!C50, " to ",$B$2241," from ",#REF!)</f>
        <v>#REF!</v>
      </c>
      <c r="E2243" s="163" t="s">
        <v>196</v>
      </c>
      <c r="F2243" s="163" t="s">
        <v>318</v>
      </c>
    </row>
    <row r="2244" spans="2:6">
      <c r="B2244" s="147" t="s">
        <v>1031</v>
      </c>
      <c r="C2244" s="147" t="e">
        <f>CONCATENATE("IMP",Commodities!C51,"BR",RIGHT(#REF!,2))</f>
        <v>#REF!</v>
      </c>
      <c r="D2244" s="147" t="e">
        <f>CONCATENATE("Import Barge/Vessel Trade of ",Commodities!C51, " to ",$B$2241," from ",#REF!)</f>
        <v>#REF!</v>
      </c>
      <c r="E2244" s="163" t="s">
        <v>196</v>
      </c>
      <c r="F2244" s="163" t="s">
        <v>318</v>
      </c>
    </row>
    <row r="2245" spans="2:6">
      <c r="B2245" s="147" t="s">
        <v>1031</v>
      </c>
      <c r="C2245" s="147" t="e">
        <f>CONCATENATE("IMP",Commodities!C52,"BR",RIGHT(#REF!,2))</f>
        <v>#REF!</v>
      </c>
      <c r="D2245" s="147" t="e">
        <f>CONCATENATE("Import Barge/Vessel Trade of ",Commodities!C52, " to ",$B$2241," from ",#REF!)</f>
        <v>#REF!</v>
      </c>
      <c r="E2245" s="163" t="s">
        <v>196</v>
      </c>
      <c r="F2245" s="163" t="s">
        <v>318</v>
      </c>
    </row>
    <row r="2246" spans="2:6">
      <c r="B2246" s="147" t="s">
        <v>1031</v>
      </c>
      <c r="C2246" s="147" t="e">
        <f>CONCATENATE("IMP",Commodities!C53,"BR",RIGHT(#REF!,2))</f>
        <v>#REF!</v>
      </c>
      <c r="D2246" s="147" t="e">
        <f>CONCATENATE("Import Barge/Vessel Trade of ",Commodities!C53, " to ",$B$2241," from ",#REF!)</f>
        <v>#REF!</v>
      </c>
      <c r="E2246" s="163" t="s">
        <v>196</v>
      </c>
      <c r="F2246" s="163" t="s">
        <v>318</v>
      </c>
    </row>
    <row r="2247" spans="2:6">
      <c r="B2247" s="147" t="s">
        <v>1031</v>
      </c>
      <c r="C2247" s="147" t="e">
        <f>CONCATENATE("IMP",Commodities!C54,"BR",RIGHT(#REF!,2))</f>
        <v>#REF!</v>
      </c>
      <c r="D2247" s="147" t="e">
        <f>CONCATENATE("Import Barge/Vessel Trade of ",Commodities!C54, " to ",$B$2241," from ",#REF!)</f>
        <v>#REF!</v>
      </c>
      <c r="E2247" s="163" t="s">
        <v>196</v>
      </c>
      <c r="F2247" s="163" t="s">
        <v>318</v>
      </c>
    </row>
    <row r="2248" spans="2:6">
      <c r="B2248" s="147" t="s">
        <v>1031</v>
      </c>
      <c r="C2248" s="147" t="e">
        <f>CONCATENATE("IMP",Commodities!C55,"BR",RIGHT(#REF!,2))</f>
        <v>#REF!</v>
      </c>
      <c r="D2248" s="147" t="e">
        <f>CONCATENATE("Import Barge/Vessel Trade of ",Commodities!C55, " to ",$B$2241," from ",#REF!)</f>
        <v>#REF!</v>
      </c>
      <c r="E2248" s="163" t="s">
        <v>196</v>
      </c>
      <c r="F2248" s="163" t="s">
        <v>318</v>
      </c>
    </row>
    <row r="2249" spans="2:6">
      <c r="B2249" s="147" t="s">
        <v>1031</v>
      </c>
      <c r="C2249" s="147" t="e">
        <f>CONCATENATE("IMP",Commodities!C56,"BR",RIGHT(#REF!,2))</f>
        <v>#REF!</v>
      </c>
      <c r="D2249" s="147" t="e">
        <f>CONCATENATE("Import Barge/Vessel Trade of ",Commodities!C56, " to ",$B$2241," from ",#REF!)</f>
        <v>#REF!</v>
      </c>
      <c r="E2249" s="163" t="s">
        <v>196</v>
      </c>
      <c r="F2249" s="163" t="s">
        <v>318</v>
      </c>
    </row>
    <row r="2250" spans="2:6">
      <c r="B2250" s="147" t="s">
        <v>1031</v>
      </c>
      <c r="C2250" s="147" t="e">
        <f>CONCATENATE("IMP",Commodities!C57,"BR",RIGHT(#REF!,2))</f>
        <v>#REF!</v>
      </c>
      <c r="D2250" s="147" t="e">
        <f>CONCATENATE("Import Barge/Vessel Trade of ",Commodities!C57, " to ",$B$2241," from ",#REF!)</f>
        <v>#REF!</v>
      </c>
      <c r="E2250" s="163" t="s">
        <v>196</v>
      </c>
      <c r="F2250" s="163" t="s">
        <v>318</v>
      </c>
    </row>
    <row r="2251" spans="2:6">
      <c r="B2251" s="147" t="s">
        <v>1031</v>
      </c>
      <c r="C2251" s="147" t="e">
        <f>CONCATENATE("IMP",Commodities!C58,"BR",RIGHT(#REF!,2))</f>
        <v>#REF!</v>
      </c>
      <c r="D2251" s="147" t="e">
        <f>CONCATENATE("Import Barge/Vessel Trade of ",Commodities!C58, " to ",$B$2241," from ",#REF!)</f>
        <v>#REF!</v>
      </c>
      <c r="E2251" s="163" t="s">
        <v>196</v>
      </c>
      <c r="F2251" s="163" t="s">
        <v>318</v>
      </c>
    </row>
    <row r="2252" spans="2:6">
      <c r="B2252" s="147" t="s">
        <v>1031</v>
      </c>
      <c r="C2252" s="147" t="e">
        <f>CONCATENATE("IMP",Commodities!C59,"BR",RIGHT(#REF!,2))</f>
        <v>#REF!</v>
      </c>
      <c r="D2252" s="147" t="e">
        <f>CONCATENATE("Import Barge/Vessel Trade of ",Commodities!C59, " to ",$B$2241," from ",#REF!)</f>
        <v>#REF!</v>
      </c>
      <c r="E2252" s="163" t="s">
        <v>196</v>
      </c>
      <c r="F2252" s="163" t="s">
        <v>318</v>
      </c>
    </row>
    <row r="2253" spans="2:6">
      <c r="B2253" s="147" t="s">
        <v>1031</v>
      </c>
      <c r="C2253" s="147" t="e">
        <f>CONCATENATE("IMP",Commodities!C60,"BR",RIGHT(#REF!,2))</f>
        <v>#REF!</v>
      </c>
      <c r="D2253" s="147" t="e">
        <f>CONCATENATE("Import Barge/Vessel Trade of ",Commodities!C60, " to ",$B$2241," from ",#REF!)</f>
        <v>#REF!</v>
      </c>
      <c r="E2253" s="163" t="s">
        <v>196</v>
      </c>
      <c r="F2253" s="163" t="s">
        <v>318</v>
      </c>
    </row>
    <row r="2254" spans="2:6">
      <c r="B2254" s="147" t="s">
        <v>1032</v>
      </c>
      <c r="C2254" s="147" t="e">
        <f>CONCATENATE("IMP",Commodities!C48,"BR",RIGHT(#REF!,2))</f>
        <v>#REF!</v>
      </c>
      <c r="D2254" s="147" t="e">
        <f>CONCATENATE("Import Barge/Vessel Trade of ",Commodities!C48, " to ",$B$2254," from ",#REF!)</f>
        <v>#REF!</v>
      </c>
      <c r="E2254" s="163" t="s">
        <v>196</v>
      </c>
      <c r="F2254" s="163" t="s">
        <v>318</v>
      </c>
    </row>
    <row r="2255" spans="2:6">
      <c r="B2255" s="147" t="s">
        <v>1032</v>
      </c>
      <c r="C2255" s="147" t="e">
        <f>CONCATENATE("IMP",Commodities!C49,"BR",RIGHT(#REF!,2))</f>
        <v>#REF!</v>
      </c>
      <c r="D2255" s="147" t="e">
        <f>CONCATENATE("Import Barge/Vessel Trade of ",Commodities!C49, " to ",$B$2254," from ",#REF!)</f>
        <v>#REF!</v>
      </c>
      <c r="E2255" s="163" t="s">
        <v>196</v>
      </c>
      <c r="F2255" s="163" t="s">
        <v>318</v>
      </c>
    </row>
    <row r="2256" spans="2:6">
      <c r="B2256" s="147" t="s">
        <v>1032</v>
      </c>
      <c r="C2256" s="147" t="e">
        <f>CONCATENATE("IMP",Commodities!C50,"BR",RIGHT(#REF!,2))</f>
        <v>#REF!</v>
      </c>
      <c r="D2256" s="147" t="e">
        <f>CONCATENATE("Import Barge/Vessel Trade of ",Commodities!C50, " to ",$B$2254," from ",#REF!)</f>
        <v>#REF!</v>
      </c>
      <c r="E2256" s="163" t="s">
        <v>196</v>
      </c>
      <c r="F2256" s="163" t="s">
        <v>318</v>
      </c>
    </row>
    <row r="2257" spans="2:6">
      <c r="B2257" s="147" t="s">
        <v>1032</v>
      </c>
      <c r="C2257" s="147" t="e">
        <f>CONCATENATE("IMP",Commodities!C51,"BR",RIGHT(#REF!,2))</f>
        <v>#REF!</v>
      </c>
      <c r="D2257" s="147" t="e">
        <f>CONCATENATE("Import Barge/Vessel Trade of ",Commodities!C51, " to ",$B$2254," from ",#REF!)</f>
        <v>#REF!</v>
      </c>
      <c r="E2257" s="163" t="s">
        <v>196</v>
      </c>
      <c r="F2257" s="163" t="s">
        <v>318</v>
      </c>
    </row>
    <row r="2258" spans="2:6">
      <c r="B2258" s="147" t="s">
        <v>1032</v>
      </c>
      <c r="C2258" s="147" t="e">
        <f>CONCATENATE("IMP",Commodities!C52,"BR",RIGHT(#REF!,2))</f>
        <v>#REF!</v>
      </c>
      <c r="D2258" s="147" t="e">
        <f>CONCATENATE("Import Barge/Vessel Trade of ",Commodities!C52, " to ",$B$2254," from ",#REF!)</f>
        <v>#REF!</v>
      </c>
      <c r="E2258" s="163" t="s">
        <v>196</v>
      </c>
      <c r="F2258" s="163" t="s">
        <v>318</v>
      </c>
    </row>
    <row r="2259" spans="2:6">
      <c r="B2259" s="147" t="s">
        <v>1032</v>
      </c>
      <c r="C2259" s="147" t="e">
        <f>CONCATENATE("IMP",Commodities!C53,"BR",RIGHT(#REF!,2))</f>
        <v>#REF!</v>
      </c>
      <c r="D2259" s="147" t="e">
        <f>CONCATENATE("Import Barge/Vessel Trade of ",Commodities!C53, " to ",$B$2254," from ",#REF!)</f>
        <v>#REF!</v>
      </c>
      <c r="E2259" s="163" t="s">
        <v>196</v>
      </c>
      <c r="F2259" s="163" t="s">
        <v>318</v>
      </c>
    </row>
    <row r="2260" spans="2:6">
      <c r="B2260" s="147" t="s">
        <v>1032</v>
      </c>
      <c r="C2260" s="147" t="e">
        <f>CONCATENATE("IMP",Commodities!C54,"BR",RIGHT(#REF!,2))</f>
        <v>#REF!</v>
      </c>
      <c r="D2260" s="147" t="e">
        <f>CONCATENATE("Import Barge/Vessel Trade of ",Commodities!C54, " to ",$B$2254," from ",#REF!)</f>
        <v>#REF!</v>
      </c>
      <c r="E2260" s="163" t="s">
        <v>196</v>
      </c>
      <c r="F2260" s="163" t="s">
        <v>318</v>
      </c>
    </row>
    <row r="2261" spans="2:6">
      <c r="B2261" s="147" t="s">
        <v>1032</v>
      </c>
      <c r="C2261" s="147" t="e">
        <f>CONCATENATE("IMP",Commodities!C55,"BR",RIGHT(#REF!,2))</f>
        <v>#REF!</v>
      </c>
      <c r="D2261" s="147" t="e">
        <f>CONCATENATE("Import Barge/Vessel Trade of ",Commodities!C55, " to ",$B$2254," from ",#REF!)</f>
        <v>#REF!</v>
      </c>
      <c r="E2261" s="163" t="s">
        <v>196</v>
      </c>
      <c r="F2261" s="163" t="s">
        <v>318</v>
      </c>
    </row>
    <row r="2262" spans="2:6">
      <c r="B2262" s="147" t="s">
        <v>1032</v>
      </c>
      <c r="C2262" s="147" t="e">
        <f>CONCATENATE("IMP",Commodities!C56,"BR",RIGHT(#REF!,2))</f>
        <v>#REF!</v>
      </c>
      <c r="D2262" s="147" t="e">
        <f>CONCATENATE("Import Barge/Vessel Trade of ",Commodities!C56, " to ",$B$2254," from ",#REF!)</f>
        <v>#REF!</v>
      </c>
      <c r="E2262" s="163" t="s">
        <v>196</v>
      </c>
      <c r="F2262" s="163" t="s">
        <v>318</v>
      </c>
    </row>
    <row r="2263" spans="2:6">
      <c r="B2263" s="147" t="s">
        <v>1032</v>
      </c>
      <c r="C2263" s="147" t="e">
        <f>CONCATENATE("IMP",Commodities!C57,"BR",RIGHT(#REF!,2))</f>
        <v>#REF!</v>
      </c>
      <c r="D2263" s="147" t="e">
        <f>CONCATENATE("Import Barge/Vessel Trade of ",Commodities!C57, " to ",$B$2254," from ",#REF!)</f>
        <v>#REF!</v>
      </c>
      <c r="E2263" s="163" t="s">
        <v>196</v>
      </c>
      <c r="F2263" s="163" t="s">
        <v>318</v>
      </c>
    </row>
    <row r="2264" spans="2:6">
      <c r="B2264" s="147" t="s">
        <v>1032</v>
      </c>
      <c r="C2264" s="147" t="e">
        <f>CONCATENATE("IMP",Commodities!C58,"BR",RIGHT(#REF!,2))</f>
        <v>#REF!</v>
      </c>
      <c r="D2264" s="147" t="e">
        <f>CONCATENATE("Import Barge/Vessel Trade of ",Commodities!C58, " to ",$B$2254," from ",#REF!)</f>
        <v>#REF!</v>
      </c>
      <c r="E2264" s="163" t="s">
        <v>196</v>
      </c>
      <c r="F2264" s="163" t="s">
        <v>318</v>
      </c>
    </row>
    <row r="2265" spans="2:6">
      <c r="B2265" s="147" t="s">
        <v>1032</v>
      </c>
      <c r="C2265" s="147" t="e">
        <f>CONCATENATE("IMP",Commodities!C59,"BR",RIGHT(#REF!,2))</f>
        <v>#REF!</v>
      </c>
      <c r="D2265" s="147" t="e">
        <f>CONCATENATE("Import Barge/Vessel Trade of ",Commodities!C59, " to ",$B$2254," from ",#REF!)</f>
        <v>#REF!</v>
      </c>
      <c r="E2265" s="163" t="s">
        <v>196</v>
      </c>
      <c r="F2265" s="163" t="s">
        <v>318</v>
      </c>
    </row>
    <row r="2266" spans="2:6">
      <c r="B2266" s="147" t="s">
        <v>1032</v>
      </c>
      <c r="C2266" s="147" t="e">
        <f>CONCATENATE("IMP",Commodities!C60,"BR",RIGHT(#REF!,2))</f>
        <v>#REF!</v>
      </c>
      <c r="D2266" s="147" t="e">
        <f>CONCATENATE("Import Barge/Vessel Trade of ",Commodities!C60, " to ",$B$2254," from ",#REF!)</f>
        <v>#REF!</v>
      </c>
      <c r="E2266" s="163" t="s">
        <v>196</v>
      </c>
      <c r="F2266" s="163" t="s">
        <v>318</v>
      </c>
    </row>
    <row r="2267" spans="2:6">
      <c r="B2267" s="147" t="s">
        <v>1032</v>
      </c>
      <c r="C2267" s="147" t="e">
        <f>CONCATENATE("IMP",Commodities!C48,"BR",RIGHT(#REF!,2))</f>
        <v>#REF!</v>
      </c>
      <c r="D2267" s="147" t="e">
        <f>CONCATENATE("Import Barge/Vessel Trade of ",Commodities!C48, " to ",$B$2267," from ",#REF!)</f>
        <v>#REF!</v>
      </c>
      <c r="E2267" s="163" t="s">
        <v>196</v>
      </c>
      <c r="F2267" s="163" t="s">
        <v>318</v>
      </c>
    </row>
    <row r="2268" spans="2:6">
      <c r="B2268" s="147" t="s">
        <v>1032</v>
      </c>
      <c r="C2268" s="147" t="e">
        <f>CONCATENATE("IMP",Commodities!C49,"BR",RIGHT(#REF!,2))</f>
        <v>#REF!</v>
      </c>
      <c r="D2268" s="147" t="e">
        <f>CONCATENATE("Import Barge/Vessel Trade of ",Commodities!C49, " to ",$B$2267," from ",#REF!)</f>
        <v>#REF!</v>
      </c>
      <c r="E2268" s="163" t="s">
        <v>196</v>
      </c>
      <c r="F2268" s="163" t="s">
        <v>318</v>
      </c>
    </row>
    <row r="2269" spans="2:6">
      <c r="B2269" s="147" t="s">
        <v>1032</v>
      </c>
      <c r="C2269" s="147" t="e">
        <f>CONCATENATE("IMP",Commodities!C50,"BR",RIGHT(#REF!,2))</f>
        <v>#REF!</v>
      </c>
      <c r="D2269" s="147" t="e">
        <f>CONCATENATE("Import Barge/Vessel Trade of ",Commodities!C50, " to ",$B$2267," from ",#REF!)</f>
        <v>#REF!</v>
      </c>
      <c r="E2269" s="163" t="s">
        <v>196</v>
      </c>
      <c r="F2269" s="163" t="s">
        <v>318</v>
      </c>
    </row>
    <row r="2270" spans="2:6">
      <c r="B2270" s="147" t="s">
        <v>1032</v>
      </c>
      <c r="C2270" s="147" t="e">
        <f>CONCATENATE("IMP",Commodities!C51,"BR",RIGHT(#REF!,2))</f>
        <v>#REF!</v>
      </c>
      <c r="D2270" s="147" t="e">
        <f>CONCATENATE("Import Barge/Vessel Trade of ",Commodities!C51, " to ",$B$2267," from ",#REF!)</f>
        <v>#REF!</v>
      </c>
      <c r="E2270" s="163" t="s">
        <v>196</v>
      </c>
      <c r="F2270" s="163" t="s">
        <v>318</v>
      </c>
    </row>
    <row r="2271" spans="2:6">
      <c r="B2271" s="147" t="s">
        <v>1032</v>
      </c>
      <c r="C2271" s="147" t="e">
        <f>CONCATENATE("IMP",Commodities!C52,"BR",RIGHT(#REF!,2))</f>
        <v>#REF!</v>
      </c>
      <c r="D2271" s="147" t="e">
        <f>CONCATENATE("Import Barge/Vessel Trade of ",Commodities!C52, " to ",$B$2267," from ",#REF!)</f>
        <v>#REF!</v>
      </c>
      <c r="E2271" s="163" t="s">
        <v>196</v>
      </c>
      <c r="F2271" s="163" t="s">
        <v>318</v>
      </c>
    </row>
    <row r="2272" spans="2:6">
      <c r="B2272" s="147" t="s">
        <v>1032</v>
      </c>
      <c r="C2272" s="147" t="e">
        <f>CONCATENATE("IMP",Commodities!C53,"BR",RIGHT(#REF!,2))</f>
        <v>#REF!</v>
      </c>
      <c r="D2272" s="147" t="e">
        <f>CONCATENATE("Import Barge/Vessel Trade of ",Commodities!C53, " to ",$B$2267," from ",#REF!)</f>
        <v>#REF!</v>
      </c>
      <c r="E2272" s="163" t="s">
        <v>196</v>
      </c>
      <c r="F2272" s="163" t="s">
        <v>318</v>
      </c>
    </row>
    <row r="2273" spans="2:6">
      <c r="B2273" s="147" t="s">
        <v>1032</v>
      </c>
      <c r="C2273" s="147" t="e">
        <f>CONCATENATE("IMP",Commodities!C54,"BR",RIGHT(#REF!,2))</f>
        <v>#REF!</v>
      </c>
      <c r="D2273" s="147" t="e">
        <f>CONCATENATE("Import Barge/Vessel Trade of ",Commodities!C54, " to ",$B$2267," from ",#REF!)</f>
        <v>#REF!</v>
      </c>
      <c r="E2273" s="163" t="s">
        <v>196</v>
      </c>
      <c r="F2273" s="163" t="s">
        <v>318</v>
      </c>
    </row>
    <row r="2274" spans="2:6">
      <c r="B2274" s="147" t="s">
        <v>1032</v>
      </c>
      <c r="C2274" s="147" t="e">
        <f>CONCATENATE("IMP",Commodities!C55,"BR",RIGHT(#REF!,2))</f>
        <v>#REF!</v>
      </c>
      <c r="D2274" s="147" t="e">
        <f>CONCATENATE("Import Barge/Vessel Trade of ",Commodities!C55, " to ",$B$2267," from ",#REF!)</f>
        <v>#REF!</v>
      </c>
      <c r="E2274" s="163" t="s">
        <v>196</v>
      </c>
      <c r="F2274" s="163" t="s">
        <v>318</v>
      </c>
    </row>
    <row r="2275" spans="2:6">
      <c r="B2275" s="147" t="s">
        <v>1032</v>
      </c>
      <c r="C2275" s="147" t="e">
        <f>CONCATENATE("IMP",Commodities!C56,"BR",RIGHT(#REF!,2))</f>
        <v>#REF!</v>
      </c>
      <c r="D2275" s="147" t="e">
        <f>CONCATENATE("Import Barge/Vessel Trade of ",Commodities!C56, " to ",$B$2267," from ",#REF!)</f>
        <v>#REF!</v>
      </c>
      <c r="E2275" s="163" t="s">
        <v>196</v>
      </c>
      <c r="F2275" s="163" t="s">
        <v>318</v>
      </c>
    </row>
    <row r="2276" spans="2:6">
      <c r="B2276" s="147" t="s">
        <v>1032</v>
      </c>
      <c r="C2276" s="147" t="e">
        <f>CONCATENATE("IMP",Commodities!C57,"BR",RIGHT(#REF!,2))</f>
        <v>#REF!</v>
      </c>
      <c r="D2276" s="147" t="e">
        <f>CONCATENATE("Import Barge/Vessel Trade of ",Commodities!C57, " to ",$B$2267," from ",#REF!)</f>
        <v>#REF!</v>
      </c>
      <c r="E2276" s="163" t="s">
        <v>196</v>
      </c>
      <c r="F2276" s="163" t="s">
        <v>318</v>
      </c>
    </row>
    <row r="2277" spans="2:6">
      <c r="B2277" s="147" t="s">
        <v>1032</v>
      </c>
      <c r="C2277" s="147" t="e">
        <f>CONCATENATE("IMP",Commodities!C58,"BR",RIGHT(#REF!,2))</f>
        <v>#REF!</v>
      </c>
      <c r="D2277" s="147" t="e">
        <f>CONCATENATE("Import Barge/Vessel Trade of ",Commodities!C58, " to ",$B$2267," from ",#REF!)</f>
        <v>#REF!</v>
      </c>
      <c r="E2277" s="163" t="s">
        <v>196</v>
      </c>
      <c r="F2277" s="163" t="s">
        <v>318</v>
      </c>
    </row>
    <row r="2278" spans="2:6">
      <c r="B2278" s="147" t="s">
        <v>1032</v>
      </c>
      <c r="C2278" s="147" t="e">
        <f>CONCATENATE("IMP",Commodities!C59,"BR",RIGHT(#REF!,2))</f>
        <v>#REF!</v>
      </c>
      <c r="D2278" s="147" t="e">
        <f>CONCATENATE("Import Barge/Vessel Trade of ",Commodities!C59, " to ",$B$2267," from ",#REF!)</f>
        <v>#REF!</v>
      </c>
      <c r="E2278" s="163" t="s">
        <v>196</v>
      </c>
      <c r="F2278" s="163" t="s">
        <v>318</v>
      </c>
    </row>
    <row r="2279" spans="2:6">
      <c r="B2279" s="147" t="s">
        <v>1032</v>
      </c>
      <c r="C2279" s="147" t="e">
        <f>CONCATENATE("IMP",Commodities!C60,"BR",RIGHT(#REF!,2))</f>
        <v>#REF!</v>
      </c>
      <c r="D2279" s="147" t="e">
        <f>CONCATENATE("Import Barge/Vessel Trade of ",Commodities!C60, " to ",$B$2267," from ",#REF!)</f>
        <v>#REF!</v>
      </c>
      <c r="E2279" s="163" t="s">
        <v>196</v>
      </c>
      <c r="F2279" s="163" t="s">
        <v>318</v>
      </c>
    </row>
    <row r="2280" spans="2:6">
      <c r="B2280" s="147" t="s">
        <v>1032</v>
      </c>
      <c r="C2280" s="147" t="e">
        <f>CONCATENATE("IMP",Commodities!C48,"BR",RIGHT(#REF!,2))</f>
        <v>#REF!</v>
      </c>
      <c r="D2280" s="147" t="e">
        <f>CONCATENATE("Import Barge/Vessel Trade of ",Commodities!C48, " to ",$B$2280," from ",#REF!)</f>
        <v>#REF!</v>
      </c>
      <c r="E2280" s="163" t="s">
        <v>196</v>
      </c>
      <c r="F2280" s="163" t="s">
        <v>318</v>
      </c>
    </row>
    <row r="2281" spans="2:6">
      <c r="B2281" s="147" t="s">
        <v>1032</v>
      </c>
      <c r="C2281" s="147" t="e">
        <f>CONCATENATE("IMP",Commodities!C49,"BR",RIGHT(#REF!,2))</f>
        <v>#REF!</v>
      </c>
      <c r="D2281" s="147" t="e">
        <f>CONCATENATE("Import Barge/Vessel Trade of ",Commodities!C49, " to ",$B$2280," from ",#REF!)</f>
        <v>#REF!</v>
      </c>
      <c r="E2281" s="163" t="s">
        <v>196</v>
      </c>
      <c r="F2281" s="163" t="s">
        <v>318</v>
      </c>
    </row>
    <row r="2282" spans="2:6">
      <c r="B2282" s="147" t="s">
        <v>1032</v>
      </c>
      <c r="C2282" s="147" t="e">
        <f>CONCATENATE("IMP",Commodities!C50,"BR",RIGHT(#REF!,2))</f>
        <v>#REF!</v>
      </c>
      <c r="D2282" s="147" t="e">
        <f>CONCATENATE("Import Barge/Vessel Trade of ",Commodities!C50, " to ",$B$2280," from ",#REF!)</f>
        <v>#REF!</v>
      </c>
      <c r="E2282" s="163" t="s">
        <v>196</v>
      </c>
      <c r="F2282" s="163" t="s">
        <v>318</v>
      </c>
    </row>
    <row r="2283" spans="2:6">
      <c r="B2283" s="147" t="s">
        <v>1032</v>
      </c>
      <c r="C2283" s="147" t="e">
        <f>CONCATENATE("IMP",Commodities!C51,"BR",RIGHT(#REF!,2))</f>
        <v>#REF!</v>
      </c>
      <c r="D2283" s="147" t="e">
        <f>CONCATENATE("Import Barge/Vessel Trade of ",Commodities!C51, " to ",$B$2280," from ",#REF!)</f>
        <v>#REF!</v>
      </c>
      <c r="E2283" s="163" t="s">
        <v>196</v>
      </c>
      <c r="F2283" s="163" t="s">
        <v>318</v>
      </c>
    </row>
    <row r="2284" spans="2:6">
      <c r="B2284" s="147" t="s">
        <v>1032</v>
      </c>
      <c r="C2284" s="147" t="e">
        <f>CONCATENATE("IMP",Commodities!C52,"BR",RIGHT(#REF!,2))</f>
        <v>#REF!</v>
      </c>
      <c r="D2284" s="147" t="e">
        <f>CONCATENATE("Import Barge/Vessel Trade of ",Commodities!C52, " to ",$B$2280," from ",#REF!)</f>
        <v>#REF!</v>
      </c>
      <c r="E2284" s="163" t="s">
        <v>196</v>
      </c>
      <c r="F2284" s="163" t="s">
        <v>318</v>
      </c>
    </row>
    <row r="2285" spans="2:6">
      <c r="B2285" s="147" t="s">
        <v>1032</v>
      </c>
      <c r="C2285" s="147" t="e">
        <f>CONCATENATE("IMP",Commodities!C53,"BR",RIGHT(#REF!,2))</f>
        <v>#REF!</v>
      </c>
      <c r="D2285" s="147" t="e">
        <f>CONCATENATE("Import Barge/Vessel Trade of ",Commodities!C53, " to ",$B$2280," from ",#REF!)</f>
        <v>#REF!</v>
      </c>
      <c r="E2285" s="163" t="s">
        <v>196</v>
      </c>
      <c r="F2285" s="163" t="s">
        <v>318</v>
      </c>
    </row>
    <row r="2286" spans="2:6">
      <c r="B2286" s="147" t="s">
        <v>1032</v>
      </c>
      <c r="C2286" s="147" t="e">
        <f>CONCATENATE("IMP",Commodities!C54,"BR",RIGHT(#REF!,2))</f>
        <v>#REF!</v>
      </c>
      <c r="D2286" s="147" t="e">
        <f>CONCATENATE("Import Barge/Vessel Trade of ",Commodities!C54, " to ",$B$2280," from ",#REF!)</f>
        <v>#REF!</v>
      </c>
      <c r="E2286" s="163" t="s">
        <v>196</v>
      </c>
      <c r="F2286" s="163" t="s">
        <v>318</v>
      </c>
    </row>
    <row r="2287" spans="2:6">
      <c r="B2287" s="147" t="s">
        <v>1032</v>
      </c>
      <c r="C2287" s="147" t="e">
        <f>CONCATENATE("IMP",Commodities!C55,"BR",RIGHT(#REF!,2))</f>
        <v>#REF!</v>
      </c>
      <c r="D2287" s="147" t="e">
        <f>CONCATENATE("Import Barge/Vessel Trade of ",Commodities!C55, " to ",$B$2280," from ",#REF!)</f>
        <v>#REF!</v>
      </c>
      <c r="E2287" s="163" t="s">
        <v>196</v>
      </c>
      <c r="F2287" s="163" t="s">
        <v>318</v>
      </c>
    </row>
    <row r="2288" spans="2:6">
      <c r="B2288" s="147" t="s">
        <v>1032</v>
      </c>
      <c r="C2288" s="147" t="e">
        <f>CONCATENATE("IMP",Commodities!C56,"BR",RIGHT(#REF!,2))</f>
        <v>#REF!</v>
      </c>
      <c r="D2288" s="147" t="e">
        <f>CONCATENATE("Import Barge/Vessel Trade of ",Commodities!C56, " to ",$B$2280," from ",#REF!)</f>
        <v>#REF!</v>
      </c>
      <c r="E2288" s="163" t="s">
        <v>196</v>
      </c>
      <c r="F2288" s="163" t="s">
        <v>318</v>
      </c>
    </row>
    <row r="2289" spans="2:6">
      <c r="B2289" s="147" t="s">
        <v>1032</v>
      </c>
      <c r="C2289" s="147" t="e">
        <f>CONCATENATE("IMP",Commodities!C57,"BR",RIGHT(#REF!,2))</f>
        <v>#REF!</v>
      </c>
      <c r="D2289" s="147" t="e">
        <f>CONCATENATE("Import Barge/Vessel Trade of ",Commodities!C57, " to ",$B$2280," from ",#REF!)</f>
        <v>#REF!</v>
      </c>
      <c r="E2289" s="163" t="s">
        <v>196</v>
      </c>
      <c r="F2289" s="163" t="s">
        <v>318</v>
      </c>
    </row>
    <row r="2290" spans="2:6">
      <c r="B2290" s="147" t="s">
        <v>1032</v>
      </c>
      <c r="C2290" s="147" t="e">
        <f>CONCATENATE("IMP",Commodities!C58,"BR",RIGHT(#REF!,2))</f>
        <v>#REF!</v>
      </c>
      <c r="D2290" s="147" t="e">
        <f>CONCATENATE("Import Barge/Vessel Trade of ",Commodities!C58, " to ",$B$2280," from ",#REF!)</f>
        <v>#REF!</v>
      </c>
      <c r="E2290" s="163" t="s">
        <v>196</v>
      </c>
      <c r="F2290" s="163" t="s">
        <v>318</v>
      </c>
    </row>
    <row r="2291" spans="2:6">
      <c r="B2291" s="147" t="s">
        <v>1032</v>
      </c>
      <c r="C2291" s="147" t="e">
        <f>CONCATENATE("IMP",Commodities!C59,"BR",RIGHT(#REF!,2))</f>
        <v>#REF!</v>
      </c>
      <c r="D2291" s="147" t="e">
        <f>CONCATENATE("Import Barge/Vessel Trade of ",Commodities!C59, " to ",$B$2280," from ",#REF!)</f>
        <v>#REF!</v>
      </c>
      <c r="E2291" s="163" t="s">
        <v>196</v>
      </c>
      <c r="F2291" s="163" t="s">
        <v>318</v>
      </c>
    </row>
    <row r="2292" spans="2:6">
      <c r="B2292" s="147" t="s">
        <v>1032</v>
      </c>
      <c r="C2292" s="147" t="e">
        <f>CONCATENATE("IMP",Commodities!C60,"BR",RIGHT(#REF!,2))</f>
        <v>#REF!</v>
      </c>
      <c r="D2292" s="147" t="e">
        <f>CONCATENATE("Import Barge/Vessel Trade of ",Commodities!C60, " to ",$B$2280," from ",#REF!)</f>
        <v>#REF!</v>
      </c>
      <c r="E2292" s="163" t="s">
        <v>196</v>
      </c>
      <c r="F2292" s="163" t="s">
        <v>318</v>
      </c>
    </row>
    <row r="2293" spans="2:6">
      <c r="B2293" s="147" t="s">
        <v>1032</v>
      </c>
      <c r="C2293" s="147" t="e">
        <f>CONCATENATE("IMP",Commodities!C48,"BR",RIGHT(#REF!,2))</f>
        <v>#REF!</v>
      </c>
      <c r="D2293" s="147" t="e">
        <f>CONCATENATE("Import Barge/Vessel Trade of ",Commodities!C48, " to ",$B$2293," from ",#REF!)</f>
        <v>#REF!</v>
      </c>
      <c r="E2293" s="163" t="s">
        <v>196</v>
      </c>
      <c r="F2293" s="163" t="s">
        <v>318</v>
      </c>
    </row>
    <row r="2294" spans="2:6">
      <c r="B2294" s="147" t="s">
        <v>1032</v>
      </c>
      <c r="C2294" s="147" t="e">
        <f>CONCATENATE("IMP",Commodities!C49,"BR",RIGHT(#REF!,2))</f>
        <v>#REF!</v>
      </c>
      <c r="D2294" s="147" t="e">
        <f>CONCATENATE("Import Barge/Vessel Trade of ",Commodities!C49, " to ",$B$2293," from ",#REF!)</f>
        <v>#REF!</v>
      </c>
      <c r="E2294" s="163" t="s">
        <v>196</v>
      </c>
      <c r="F2294" s="163" t="s">
        <v>318</v>
      </c>
    </row>
    <row r="2295" spans="2:6">
      <c r="B2295" s="147" t="s">
        <v>1032</v>
      </c>
      <c r="C2295" s="147" t="e">
        <f>CONCATENATE("IMP",Commodities!C50,"BR",RIGHT(#REF!,2))</f>
        <v>#REF!</v>
      </c>
      <c r="D2295" s="147" t="e">
        <f>CONCATENATE("Import Barge/Vessel Trade of ",Commodities!C50, " to ",$B$2293," from ",#REF!)</f>
        <v>#REF!</v>
      </c>
      <c r="E2295" s="163" t="s">
        <v>196</v>
      </c>
      <c r="F2295" s="163" t="s">
        <v>318</v>
      </c>
    </row>
    <row r="2296" spans="2:6">
      <c r="B2296" s="147" t="s">
        <v>1032</v>
      </c>
      <c r="C2296" s="147" t="e">
        <f>CONCATENATE("IMP",Commodities!C51,"BR",RIGHT(#REF!,2))</f>
        <v>#REF!</v>
      </c>
      <c r="D2296" s="147" t="e">
        <f>CONCATENATE("Import Barge/Vessel Trade of ",Commodities!C51, " to ",$B$2293," from ",#REF!)</f>
        <v>#REF!</v>
      </c>
      <c r="E2296" s="163" t="s">
        <v>196</v>
      </c>
      <c r="F2296" s="163" t="s">
        <v>318</v>
      </c>
    </row>
    <row r="2297" spans="2:6">
      <c r="B2297" s="147" t="s">
        <v>1032</v>
      </c>
      <c r="C2297" s="147" t="e">
        <f>CONCATENATE("IMP",Commodities!C52,"BR",RIGHT(#REF!,2))</f>
        <v>#REF!</v>
      </c>
      <c r="D2297" s="147" t="e">
        <f>CONCATENATE("Import Barge/Vessel Trade of ",Commodities!C52, " to ",$B$2293," from ",#REF!)</f>
        <v>#REF!</v>
      </c>
      <c r="E2297" s="163" t="s">
        <v>196</v>
      </c>
      <c r="F2297" s="163" t="s">
        <v>318</v>
      </c>
    </row>
    <row r="2298" spans="2:6">
      <c r="B2298" s="147" t="s">
        <v>1032</v>
      </c>
      <c r="C2298" s="147" t="e">
        <f>CONCATENATE("IMP",Commodities!C53,"BR",RIGHT(#REF!,2))</f>
        <v>#REF!</v>
      </c>
      <c r="D2298" s="147" t="e">
        <f>CONCATENATE("Import Barge/Vessel Trade of ",Commodities!C53, " to ",$B$2293," from ",#REF!)</f>
        <v>#REF!</v>
      </c>
      <c r="E2298" s="163" t="s">
        <v>196</v>
      </c>
      <c r="F2298" s="163" t="s">
        <v>318</v>
      </c>
    </row>
    <row r="2299" spans="2:6">
      <c r="B2299" s="147" t="s">
        <v>1032</v>
      </c>
      <c r="C2299" s="147" t="e">
        <f>CONCATENATE("IMP",Commodities!C54,"BR",RIGHT(#REF!,2))</f>
        <v>#REF!</v>
      </c>
      <c r="D2299" s="147" t="e">
        <f>CONCATENATE("Import Barge/Vessel Trade of ",Commodities!C54, " to ",$B$2293," from ",#REF!)</f>
        <v>#REF!</v>
      </c>
      <c r="E2299" s="163" t="s">
        <v>196</v>
      </c>
      <c r="F2299" s="163" t="s">
        <v>318</v>
      </c>
    </row>
    <row r="2300" spans="2:6">
      <c r="B2300" s="147" t="s">
        <v>1032</v>
      </c>
      <c r="C2300" s="147" t="e">
        <f>CONCATENATE("IMP",Commodities!C55,"BR",RIGHT(#REF!,2))</f>
        <v>#REF!</v>
      </c>
      <c r="D2300" s="147" t="e">
        <f>CONCATENATE("Import Barge/Vessel Trade of ",Commodities!C55, " to ",$B$2293," from ",#REF!)</f>
        <v>#REF!</v>
      </c>
      <c r="E2300" s="163" t="s">
        <v>196</v>
      </c>
      <c r="F2300" s="163" t="s">
        <v>318</v>
      </c>
    </row>
    <row r="2301" spans="2:6">
      <c r="B2301" s="147" t="s">
        <v>1032</v>
      </c>
      <c r="C2301" s="147" t="e">
        <f>CONCATENATE("IMP",Commodities!C56,"BR",RIGHT(#REF!,2))</f>
        <v>#REF!</v>
      </c>
      <c r="D2301" s="147" t="e">
        <f>CONCATENATE("Import Barge/Vessel Trade of ",Commodities!C56, " to ",$B$2293," from ",#REF!)</f>
        <v>#REF!</v>
      </c>
      <c r="E2301" s="163" t="s">
        <v>196</v>
      </c>
      <c r="F2301" s="163" t="s">
        <v>318</v>
      </c>
    </row>
    <row r="2302" spans="2:6">
      <c r="B2302" s="147" t="s">
        <v>1032</v>
      </c>
      <c r="C2302" s="147" t="e">
        <f>CONCATENATE("IMP",Commodities!C57,"BR",RIGHT(#REF!,2))</f>
        <v>#REF!</v>
      </c>
      <c r="D2302" s="147" t="e">
        <f>CONCATENATE("Import Barge/Vessel Trade of ",Commodities!C57, " to ",$B$2293," from ",#REF!)</f>
        <v>#REF!</v>
      </c>
      <c r="E2302" s="163" t="s">
        <v>196</v>
      </c>
      <c r="F2302" s="163" t="s">
        <v>318</v>
      </c>
    </row>
    <row r="2303" spans="2:6">
      <c r="B2303" s="147" t="s">
        <v>1032</v>
      </c>
      <c r="C2303" s="147" t="e">
        <f>CONCATENATE("IMP",Commodities!C58,"BR",RIGHT(#REF!,2))</f>
        <v>#REF!</v>
      </c>
      <c r="D2303" s="147" t="e">
        <f>CONCATENATE("Import Barge/Vessel Trade of ",Commodities!C58, " to ",$B$2293," from ",#REF!)</f>
        <v>#REF!</v>
      </c>
      <c r="E2303" s="163" t="s">
        <v>196</v>
      </c>
      <c r="F2303" s="163" t="s">
        <v>318</v>
      </c>
    </row>
    <row r="2304" spans="2:6">
      <c r="B2304" s="147" t="s">
        <v>1032</v>
      </c>
      <c r="C2304" s="147" t="e">
        <f>CONCATENATE("IMP",Commodities!C59,"BR",RIGHT(#REF!,2))</f>
        <v>#REF!</v>
      </c>
      <c r="D2304" s="147" t="e">
        <f>CONCATENATE("Import Barge/Vessel Trade of ",Commodities!C59, " to ",$B$2293," from ",#REF!)</f>
        <v>#REF!</v>
      </c>
      <c r="E2304" s="163" t="s">
        <v>196</v>
      </c>
      <c r="F2304" s="163" t="s">
        <v>318</v>
      </c>
    </row>
    <row r="2305" spans="2:6">
      <c r="B2305" s="147" t="s">
        <v>1032</v>
      </c>
      <c r="C2305" s="147" t="e">
        <f>CONCATENATE("IMP",Commodities!C60,"BR",RIGHT(#REF!,2))</f>
        <v>#REF!</v>
      </c>
      <c r="D2305" s="147" t="e">
        <f>CONCATENATE("Import Barge/Vessel Trade of ",Commodities!C60, " to ",$B$2293," from ",#REF!)</f>
        <v>#REF!</v>
      </c>
      <c r="E2305" s="163" t="s">
        <v>196</v>
      </c>
      <c r="F2305" s="163" t="s">
        <v>318</v>
      </c>
    </row>
    <row r="2306" spans="2:6">
      <c r="B2306" s="147" t="s">
        <v>1033</v>
      </c>
      <c r="C2306" s="147" t="e">
        <f>CONCATENATE("IMP",Commodities!C48,"BR",RIGHT(#REF!,2))</f>
        <v>#REF!</v>
      </c>
      <c r="D2306" s="147" t="e">
        <f>CONCATENATE("Import Barge/Vessel Trade of ",Commodities!C48, " to ",$B$2306," from ",#REF!)</f>
        <v>#REF!</v>
      </c>
      <c r="E2306" s="163" t="s">
        <v>196</v>
      </c>
      <c r="F2306" s="163" t="s">
        <v>318</v>
      </c>
    </row>
    <row r="2307" spans="2:6">
      <c r="B2307" s="147" t="s">
        <v>1033</v>
      </c>
      <c r="C2307" s="147" t="e">
        <f>CONCATENATE("IMP",Commodities!C49,"BR",RIGHT(#REF!,2))</f>
        <v>#REF!</v>
      </c>
      <c r="D2307" s="147" t="e">
        <f>CONCATENATE("Import Barge/Vessel Trade of ",Commodities!C49, " to ",$B$2306," from ",#REF!)</f>
        <v>#REF!</v>
      </c>
      <c r="E2307" s="163" t="s">
        <v>196</v>
      </c>
      <c r="F2307" s="163" t="s">
        <v>318</v>
      </c>
    </row>
    <row r="2308" spans="2:6">
      <c r="B2308" s="147" t="s">
        <v>1033</v>
      </c>
      <c r="C2308" s="147" t="e">
        <f>CONCATENATE("IMP",Commodities!C50,"BR",RIGHT(#REF!,2))</f>
        <v>#REF!</v>
      </c>
      <c r="D2308" s="147" t="e">
        <f>CONCATENATE("Import Barge/Vessel Trade of ",Commodities!C50, " to ",$B$2306," from ",#REF!)</f>
        <v>#REF!</v>
      </c>
      <c r="E2308" s="163" t="s">
        <v>196</v>
      </c>
      <c r="F2308" s="163" t="s">
        <v>318</v>
      </c>
    </row>
    <row r="2309" spans="2:6">
      <c r="B2309" s="147" t="s">
        <v>1033</v>
      </c>
      <c r="C2309" s="147" t="e">
        <f>CONCATENATE("IMP",Commodities!C51,"BR",RIGHT(#REF!,2))</f>
        <v>#REF!</v>
      </c>
      <c r="D2309" s="147" t="e">
        <f>CONCATENATE("Import Barge/Vessel Trade of ",Commodities!C51, " to ",$B$2306," from ",#REF!)</f>
        <v>#REF!</v>
      </c>
      <c r="E2309" s="163" t="s">
        <v>196</v>
      </c>
      <c r="F2309" s="163" t="s">
        <v>318</v>
      </c>
    </row>
    <row r="2310" spans="2:6">
      <c r="B2310" s="147" t="s">
        <v>1033</v>
      </c>
      <c r="C2310" s="147" t="e">
        <f>CONCATENATE("IMP",Commodities!C52,"BR",RIGHT(#REF!,2))</f>
        <v>#REF!</v>
      </c>
      <c r="D2310" s="147" t="e">
        <f>CONCATENATE("Import Barge/Vessel Trade of ",Commodities!C52, " to ",$B$2306," from ",#REF!)</f>
        <v>#REF!</v>
      </c>
      <c r="E2310" s="163" t="s">
        <v>196</v>
      </c>
      <c r="F2310" s="163" t="s">
        <v>318</v>
      </c>
    </row>
    <row r="2311" spans="2:6">
      <c r="B2311" s="147" t="s">
        <v>1033</v>
      </c>
      <c r="C2311" s="147" t="e">
        <f>CONCATENATE("IMP",Commodities!C53,"BR",RIGHT(#REF!,2))</f>
        <v>#REF!</v>
      </c>
      <c r="D2311" s="147" t="e">
        <f>CONCATENATE("Import Barge/Vessel Trade of ",Commodities!C53, " to ",$B$2306," from ",#REF!)</f>
        <v>#REF!</v>
      </c>
      <c r="E2311" s="163" t="s">
        <v>196</v>
      </c>
      <c r="F2311" s="163" t="s">
        <v>318</v>
      </c>
    </row>
    <row r="2312" spans="2:6">
      <c r="B2312" s="147" t="s">
        <v>1033</v>
      </c>
      <c r="C2312" s="147" t="e">
        <f>CONCATENATE("IMP",Commodities!C54,"BR",RIGHT(#REF!,2))</f>
        <v>#REF!</v>
      </c>
      <c r="D2312" s="147" t="e">
        <f>CONCATENATE("Import Barge/Vessel Trade of ",Commodities!C54, " to ",$B$2306," from ",#REF!)</f>
        <v>#REF!</v>
      </c>
      <c r="E2312" s="163" t="s">
        <v>196</v>
      </c>
      <c r="F2312" s="163" t="s">
        <v>318</v>
      </c>
    </row>
    <row r="2313" spans="2:6">
      <c r="B2313" s="147" t="s">
        <v>1033</v>
      </c>
      <c r="C2313" s="147" t="e">
        <f>CONCATENATE("IMP",Commodities!C55,"BR",RIGHT(#REF!,2))</f>
        <v>#REF!</v>
      </c>
      <c r="D2313" s="147" t="e">
        <f>CONCATENATE("Import Barge/Vessel Trade of ",Commodities!C55, " to ",$B$2306," from ",#REF!)</f>
        <v>#REF!</v>
      </c>
      <c r="E2313" s="163" t="s">
        <v>196</v>
      </c>
      <c r="F2313" s="163" t="s">
        <v>318</v>
      </c>
    </row>
    <row r="2314" spans="2:6">
      <c r="B2314" s="147" t="s">
        <v>1033</v>
      </c>
      <c r="C2314" s="147" t="e">
        <f>CONCATENATE("IMP",Commodities!C56,"BR",RIGHT(#REF!,2))</f>
        <v>#REF!</v>
      </c>
      <c r="D2314" s="147" t="e">
        <f>CONCATENATE("Import Barge/Vessel Trade of ",Commodities!C56, " to ",$B$2306," from ",#REF!)</f>
        <v>#REF!</v>
      </c>
      <c r="E2314" s="163" t="s">
        <v>196</v>
      </c>
      <c r="F2314" s="163" t="s">
        <v>318</v>
      </c>
    </row>
    <row r="2315" spans="2:6">
      <c r="B2315" s="147" t="s">
        <v>1033</v>
      </c>
      <c r="C2315" s="147" t="e">
        <f>CONCATENATE("IMP",Commodities!C57,"BR",RIGHT(#REF!,2))</f>
        <v>#REF!</v>
      </c>
      <c r="D2315" s="147" t="e">
        <f>CONCATENATE("Import Barge/Vessel Trade of ",Commodities!C57, " to ",$B$2306," from ",#REF!)</f>
        <v>#REF!</v>
      </c>
      <c r="E2315" s="163" t="s">
        <v>196</v>
      </c>
      <c r="F2315" s="163" t="s">
        <v>318</v>
      </c>
    </row>
    <row r="2316" spans="2:6">
      <c r="B2316" s="147" t="s">
        <v>1033</v>
      </c>
      <c r="C2316" s="147" t="e">
        <f>CONCATENATE("IMP",Commodities!C58,"BR",RIGHT(#REF!,2))</f>
        <v>#REF!</v>
      </c>
      <c r="D2316" s="147" t="e">
        <f>CONCATENATE("Import Barge/Vessel Trade of ",Commodities!C58, " to ",$B$2306," from ",#REF!)</f>
        <v>#REF!</v>
      </c>
      <c r="E2316" s="163" t="s">
        <v>196</v>
      </c>
      <c r="F2316" s="163" t="s">
        <v>318</v>
      </c>
    </row>
    <row r="2317" spans="2:6">
      <c r="B2317" s="147" t="s">
        <v>1033</v>
      </c>
      <c r="C2317" s="147" t="e">
        <f>CONCATENATE("IMP",Commodities!C59,"BR",RIGHT(#REF!,2))</f>
        <v>#REF!</v>
      </c>
      <c r="D2317" s="147" t="e">
        <f>CONCATENATE("Import Barge/Vessel Trade of ",Commodities!C59, " to ",$B$2306," from ",#REF!)</f>
        <v>#REF!</v>
      </c>
      <c r="E2317" s="163" t="s">
        <v>196</v>
      </c>
      <c r="F2317" s="163" t="s">
        <v>318</v>
      </c>
    </row>
    <row r="2318" spans="2:6">
      <c r="B2318" s="147" t="s">
        <v>1033</v>
      </c>
      <c r="C2318" s="147" t="e">
        <f>CONCATENATE("IMP",Commodities!C60,"BR",RIGHT(#REF!,2))</f>
        <v>#REF!</v>
      </c>
      <c r="D2318" s="147" t="e">
        <f>CONCATENATE("Import Barge/Vessel Trade of ",Commodities!C60, " to ",$B$2306," from ",#REF!)</f>
        <v>#REF!</v>
      </c>
      <c r="E2318" s="163" t="s">
        <v>196</v>
      </c>
      <c r="F2318" s="163" t="s">
        <v>318</v>
      </c>
    </row>
    <row r="2319" spans="2:6">
      <c r="B2319" s="147" t="s">
        <v>1033</v>
      </c>
      <c r="C2319" s="147" t="e">
        <f>CONCATENATE("IMP",Commodities!C48,"BR",RIGHT(#REF!,2))</f>
        <v>#REF!</v>
      </c>
      <c r="D2319" s="147" t="e">
        <f>CONCATENATE("Import Barge/Vessel Trade of ",Commodities!C48, " to ",$B$2319," from ",#REF!)</f>
        <v>#REF!</v>
      </c>
      <c r="E2319" s="163" t="s">
        <v>196</v>
      </c>
      <c r="F2319" s="163" t="s">
        <v>318</v>
      </c>
    </row>
    <row r="2320" spans="2:6">
      <c r="B2320" s="147" t="s">
        <v>1033</v>
      </c>
      <c r="C2320" s="147" t="e">
        <f>CONCATENATE("IMP",Commodities!C49,"BR",RIGHT(#REF!,2))</f>
        <v>#REF!</v>
      </c>
      <c r="D2320" s="147" t="e">
        <f>CONCATENATE("Import Barge/Vessel Trade of ",Commodities!C49, " to ",$B$2319," from ",#REF!)</f>
        <v>#REF!</v>
      </c>
      <c r="E2320" s="163" t="s">
        <v>196</v>
      </c>
      <c r="F2320" s="163" t="s">
        <v>318</v>
      </c>
    </row>
    <row r="2321" spans="2:6">
      <c r="B2321" s="147" t="s">
        <v>1033</v>
      </c>
      <c r="C2321" s="147" t="e">
        <f>CONCATENATE("IMP",Commodities!C50,"BR",RIGHT(#REF!,2))</f>
        <v>#REF!</v>
      </c>
      <c r="D2321" s="147" t="e">
        <f>CONCATENATE("Import Barge/Vessel Trade of ",Commodities!C50, " to ",$B$2319," from ",#REF!)</f>
        <v>#REF!</v>
      </c>
      <c r="E2321" s="163" t="s">
        <v>196</v>
      </c>
      <c r="F2321" s="163" t="s">
        <v>318</v>
      </c>
    </row>
    <row r="2322" spans="2:6">
      <c r="B2322" s="147" t="s">
        <v>1033</v>
      </c>
      <c r="C2322" s="147" t="e">
        <f>CONCATENATE("IMP",Commodities!C51,"BR",RIGHT(#REF!,2))</f>
        <v>#REF!</v>
      </c>
      <c r="D2322" s="147" t="e">
        <f>CONCATENATE("Import Barge/Vessel Trade of ",Commodities!C51, " to ",$B$2319," from ",#REF!)</f>
        <v>#REF!</v>
      </c>
      <c r="E2322" s="163" t="s">
        <v>196</v>
      </c>
      <c r="F2322" s="163" t="s">
        <v>318</v>
      </c>
    </row>
    <row r="2323" spans="2:6">
      <c r="B2323" s="147" t="s">
        <v>1033</v>
      </c>
      <c r="C2323" s="147" t="e">
        <f>CONCATENATE("IMP",Commodities!C52,"BR",RIGHT(#REF!,2))</f>
        <v>#REF!</v>
      </c>
      <c r="D2323" s="147" t="e">
        <f>CONCATENATE("Import Barge/Vessel Trade of ",Commodities!C52, " to ",$B$2319," from ",#REF!)</f>
        <v>#REF!</v>
      </c>
      <c r="E2323" s="163" t="s">
        <v>196</v>
      </c>
      <c r="F2323" s="163" t="s">
        <v>318</v>
      </c>
    </row>
    <row r="2324" spans="2:6">
      <c r="B2324" s="147" t="s">
        <v>1033</v>
      </c>
      <c r="C2324" s="147" t="e">
        <f>CONCATENATE("IMP",Commodities!C53,"BR",RIGHT(#REF!,2))</f>
        <v>#REF!</v>
      </c>
      <c r="D2324" s="147" t="e">
        <f>CONCATENATE("Import Barge/Vessel Trade of ",Commodities!C53, " to ",$B$2319," from ",#REF!)</f>
        <v>#REF!</v>
      </c>
      <c r="E2324" s="163" t="s">
        <v>196</v>
      </c>
      <c r="F2324" s="163" t="s">
        <v>318</v>
      </c>
    </row>
    <row r="2325" spans="2:6">
      <c r="B2325" s="147" t="s">
        <v>1033</v>
      </c>
      <c r="C2325" s="147" t="e">
        <f>CONCATENATE("IMP",Commodities!C54,"BR",RIGHT(#REF!,2))</f>
        <v>#REF!</v>
      </c>
      <c r="D2325" s="147" t="e">
        <f>CONCATENATE("Import Barge/Vessel Trade of ",Commodities!C54, " to ",$B$2319," from ",#REF!)</f>
        <v>#REF!</v>
      </c>
      <c r="E2325" s="163" t="s">
        <v>196</v>
      </c>
      <c r="F2325" s="163" t="s">
        <v>318</v>
      </c>
    </row>
    <row r="2326" spans="2:6">
      <c r="B2326" s="147" t="s">
        <v>1033</v>
      </c>
      <c r="C2326" s="147" t="e">
        <f>CONCATENATE("IMP",Commodities!C55,"BR",RIGHT(#REF!,2))</f>
        <v>#REF!</v>
      </c>
      <c r="D2326" s="147" t="e">
        <f>CONCATENATE("Import Barge/Vessel Trade of ",Commodities!C55, " to ",$B$2319," from ",#REF!)</f>
        <v>#REF!</v>
      </c>
      <c r="E2326" s="163" t="s">
        <v>196</v>
      </c>
      <c r="F2326" s="163" t="s">
        <v>318</v>
      </c>
    </row>
    <row r="2327" spans="2:6">
      <c r="B2327" s="147" t="s">
        <v>1033</v>
      </c>
      <c r="C2327" s="147" t="e">
        <f>CONCATENATE("IMP",Commodities!C56,"BR",RIGHT(#REF!,2))</f>
        <v>#REF!</v>
      </c>
      <c r="D2327" s="147" t="e">
        <f>CONCATENATE("Import Barge/Vessel Trade of ",Commodities!C56, " to ",$B$2319," from ",#REF!)</f>
        <v>#REF!</v>
      </c>
      <c r="E2327" s="163" t="s">
        <v>196</v>
      </c>
      <c r="F2327" s="163" t="s">
        <v>318</v>
      </c>
    </row>
    <row r="2328" spans="2:6">
      <c r="B2328" s="147" t="s">
        <v>1033</v>
      </c>
      <c r="C2328" s="147" t="e">
        <f>CONCATENATE("IMP",Commodities!C57,"BR",RIGHT(#REF!,2))</f>
        <v>#REF!</v>
      </c>
      <c r="D2328" s="147" t="e">
        <f>CONCATENATE("Import Barge/Vessel Trade of ",Commodities!C57, " to ",$B$2319," from ",#REF!)</f>
        <v>#REF!</v>
      </c>
      <c r="E2328" s="163" t="s">
        <v>196</v>
      </c>
      <c r="F2328" s="163" t="s">
        <v>318</v>
      </c>
    </row>
    <row r="2329" spans="2:6">
      <c r="B2329" s="147" t="s">
        <v>1033</v>
      </c>
      <c r="C2329" s="147" t="e">
        <f>CONCATENATE("IMP",Commodities!C58,"BR",RIGHT(#REF!,2))</f>
        <v>#REF!</v>
      </c>
      <c r="D2329" s="147" t="e">
        <f>CONCATENATE("Import Barge/Vessel Trade of ",Commodities!C58, " to ",$B$2319," from ",#REF!)</f>
        <v>#REF!</v>
      </c>
      <c r="E2329" s="163" t="s">
        <v>196</v>
      </c>
      <c r="F2329" s="163" t="s">
        <v>318</v>
      </c>
    </row>
    <row r="2330" spans="2:6">
      <c r="B2330" s="147" t="s">
        <v>1033</v>
      </c>
      <c r="C2330" s="147" t="e">
        <f>CONCATENATE("IMP",Commodities!C59,"BR",RIGHT(#REF!,2))</f>
        <v>#REF!</v>
      </c>
      <c r="D2330" s="147" t="e">
        <f>CONCATENATE("Import Barge/Vessel Trade of ",Commodities!C59, " to ",$B$2319," from ",#REF!)</f>
        <v>#REF!</v>
      </c>
      <c r="E2330" s="163" t="s">
        <v>196</v>
      </c>
      <c r="F2330" s="163" t="s">
        <v>318</v>
      </c>
    </row>
    <row r="2331" spans="2:6">
      <c r="B2331" s="147" t="s">
        <v>1033</v>
      </c>
      <c r="C2331" s="147" t="e">
        <f>CONCATENATE("IMP",Commodities!C60,"BR",RIGHT(#REF!,2))</f>
        <v>#REF!</v>
      </c>
      <c r="D2331" s="147" t="e">
        <f>CONCATENATE("Import Barge/Vessel Trade of ",Commodities!C60, " to ",$B$2319," from ",#REF!)</f>
        <v>#REF!</v>
      </c>
      <c r="E2331" s="163" t="s">
        <v>196</v>
      </c>
      <c r="F2331" s="163" t="s">
        <v>318</v>
      </c>
    </row>
    <row r="2332" spans="2:6">
      <c r="B2332" s="147" t="s">
        <v>1034</v>
      </c>
      <c r="C2332" s="147" t="e">
        <f>CONCATENATE("IMP",Commodities!C48,"BR",RIGHT(#REF!,2))</f>
        <v>#REF!</v>
      </c>
      <c r="D2332" s="147" t="e">
        <f>CONCATENATE("Import Barge/Vessel Trade of ",Commodities!C48, " to ",$B$2332," from ",#REF!)</f>
        <v>#REF!</v>
      </c>
      <c r="E2332" s="163" t="s">
        <v>196</v>
      </c>
      <c r="F2332" s="163" t="s">
        <v>318</v>
      </c>
    </row>
    <row r="2333" spans="2:6">
      <c r="B2333" s="147" t="s">
        <v>1034</v>
      </c>
      <c r="C2333" s="147" t="e">
        <f>CONCATENATE("IMP",Commodities!C49,"BR",RIGHT(#REF!,2))</f>
        <v>#REF!</v>
      </c>
      <c r="D2333" s="147" t="e">
        <f>CONCATENATE("Import Barge/Vessel Trade of ",Commodities!C49, " to ",$B$2332," from ",#REF!)</f>
        <v>#REF!</v>
      </c>
      <c r="E2333" s="163" t="s">
        <v>196</v>
      </c>
      <c r="F2333" s="163" t="s">
        <v>318</v>
      </c>
    </row>
    <row r="2334" spans="2:6">
      <c r="B2334" s="147" t="s">
        <v>1034</v>
      </c>
      <c r="C2334" s="147" t="e">
        <f>CONCATENATE("IMP",Commodities!C50,"BR",RIGHT(#REF!,2))</f>
        <v>#REF!</v>
      </c>
      <c r="D2334" s="147" t="e">
        <f>CONCATENATE("Import Barge/Vessel Trade of ",Commodities!C50, " to ",$B$2332," from ",#REF!)</f>
        <v>#REF!</v>
      </c>
      <c r="E2334" s="163" t="s">
        <v>196</v>
      </c>
      <c r="F2334" s="163" t="s">
        <v>318</v>
      </c>
    </row>
    <row r="2335" spans="2:6">
      <c r="B2335" s="147" t="s">
        <v>1034</v>
      </c>
      <c r="C2335" s="147" t="e">
        <f>CONCATENATE("IMP",Commodities!C51,"BR",RIGHT(#REF!,2))</f>
        <v>#REF!</v>
      </c>
      <c r="D2335" s="147" t="e">
        <f>CONCATENATE("Import Barge/Vessel Trade of ",Commodities!C51, " to ",$B$2332," from ",#REF!)</f>
        <v>#REF!</v>
      </c>
      <c r="E2335" s="163" t="s">
        <v>196</v>
      </c>
      <c r="F2335" s="163" t="s">
        <v>318</v>
      </c>
    </row>
    <row r="2336" spans="2:6">
      <c r="B2336" s="147" t="s">
        <v>1034</v>
      </c>
      <c r="C2336" s="147" t="e">
        <f>CONCATENATE("IMP",Commodities!C52,"BR",RIGHT(#REF!,2))</f>
        <v>#REF!</v>
      </c>
      <c r="D2336" s="147" t="e">
        <f>CONCATENATE("Import Barge/Vessel Trade of ",Commodities!C52, " to ",$B$2332," from ",#REF!)</f>
        <v>#REF!</v>
      </c>
      <c r="E2336" s="163" t="s">
        <v>196</v>
      </c>
      <c r="F2336" s="163" t="s">
        <v>318</v>
      </c>
    </row>
    <row r="2337" spans="2:6">
      <c r="B2337" s="147" t="s">
        <v>1034</v>
      </c>
      <c r="C2337" s="147" t="e">
        <f>CONCATENATE("IMP",Commodities!C53,"BR",RIGHT(#REF!,2))</f>
        <v>#REF!</v>
      </c>
      <c r="D2337" s="147" t="e">
        <f>CONCATENATE("Import Barge/Vessel Trade of ",Commodities!C53, " to ",$B$2332," from ",#REF!)</f>
        <v>#REF!</v>
      </c>
      <c r="E2337" s="163" t="s">
        <v>196</v>
      </c>
      <c r="F2337" s="163" t="s">
        <v>318</v>
      </c>
    </row>
    <row r="2338" spans="2:6">
      <c r="B2338" s="147" t="s">
        <v>1034</v>
      </c>
      <c r="C2338" s="147" t="e">
        <f>CONCATENATE("IMP",Commodities!C54,"BR",RIGHT(#REF!,2))</f>
        <v>#REF!</v>
      </c>
      <c r="D2338" s="147" t="e">
        <f>CONCATENATE("Import Barge/Vessel Trade of ",Commodities!C54, " to ",$B$2332," from ",#REF!)</f>
        <v>#REF!</v>
      </c>
      <c r="E2338" s="163" t="s">
        <v>196</v>
      </c>
      <c r="F2338" s="163" t="s">
        <v>318</v>
      </c>
    </row>
    <row r="2339" spans="2:6">
      <c r="B2339" s="147" t="s">
        <v>1034</v>
      </c>
      <c r="C2339" s="147" t="e">
        <f>CONCATENATE("IMP",Commodities!C55,"BR",RIGHT(#REF!,2))</f>
        <v>#REF!</v>
      </c>
      <c r="D2339" s="147" t="e">
        <f>CONCATENATE("Import Barge/Vessel Trade of ",Commodities!C55, " to ",$B$2332," from ",#REF!)</f>
        <v>#REF!</v>
      </c>
      <c r="E2339" s="163" t="s">
        <v>196</v>
      </c>
      <c r="F2339" s="163" t="s">
        <v>318</v>
      </c>
    </row>
    <row r="2340" spans="2:6">
      <c r="B2340" s="147" t="s">
        <v>1034</v>
      </c>
      <c r="C2340" s="147" t="e">
        <f>CONCATENATE("IMP",Commodities!C56,"BR",RIGHT(#REF!,2))</f>
        <v>#REF!</v>
      </c>
      <c r="D2340" s="147" t="e">
        <f>CONCATENATE("Import Barge/Vessel Trade of ",Commodities!C56, " to ",$B$2332," from ",#REF!)</f>
        <v>#REF!</v>
      </c>
      <c r="E2340" s="163" t="s">
        <v>196</v>
      </c>
      <c r="F2340" s="163" t="s">
        <v>318</v>
      </c>
    </row>
    <row r="2341" spans="2:6">
      <c r="B2341" s="147" t="s">
        <v>1034</v>
      </c>
      <c r="C2341" s="147" t="e">
        <f>CONCATENATE("IMP",Commodities!C57,"BR",RIGHT(#REF!,2))</f>
        <v>#REF!</v>
      </c>
      <c r="D2341" s="147" t="e">
        <f>CONCATENATE("Import Barge/Vessel Trade of ",Commodities!C57, " to ",$B$2332," from ",#REF!)</f>
        <v>#REF!</v>
      </c>
      <c r="E2341" s="163" t="s">
        <v>196</v>
      </c>
      <c r="F2341" s="163" t="s">
        <v>318</v>
      </c>
    </row>
    <row r="2342" spans="2:6">
      <c r="B2342" s="147" t="s">
        <v>1034</v>
      </c>
      <c r="C2342" s="147" t="e">
        <f>CONCATENATE("IMP",Commodities!C58,"BR",RIGHT(#REF!,2))</f>
        <v>#REF!</v>
      </c>
      <c r="D2342" s="147" t="e">
        <f>CONCATENATE("Import Barge/Vessel Trade of ",Commodities!C58, " to ",$B$2332," from ",#REF!)</f>
        <v>#REF!</v>
      </c>
      <c r="E2342" s="163" t="s">
        <v>196</v>
      </c>
      <c r="F2342" s="163" t="s">
        <v>318</v>
      </c>
    </row>
    <row r="2343" spans="2:6">
      <c r="B2343" s="147" t="s">
        <v>1034</v>
      </c>
      <c r="C2343" s="147" t="e">
        <f>CONCATENATE("IMP",Commodities!C59,"BR",RIGHT(#REF!,2))</f>
        <v>#REF!</v>
      </c>
      <c r="D2343" s="147" t="e">
        <f>CONCATENATE("Import Barge/Vessel Trade of ",Commodities!C59, " to ",$B$2332," from ",#REF!)</f>
        <v>#REF!</v>
      </c>
      <c r="E2343" s="163" t="s">
        <v>196</v>
      </c>
      <c r="F2343" s="163" t="s">
        <v>318</v>
      </c>
    </row>
    <row r="2344" spans="2:6">
      <c r="B2344" s="147" t="s">
        <v>1034</v>
      </c>
      <c r="C2344" s="147" t="e">
        <f>CONCATENATE("IMP",Commodities!C60,"BR",RIGHT(#REF!,2))</f>
        <v>#REF!</v>
      </c>
      <c r="D2344" s="147" t="e">
        <f>CONCATENATE("Import Barge/Vessel Trade of ",Commodities!C60, " to ",$B$2332," from ",#REF!)</f>
        <v>#REF!</v>
      </c>
      <c r="E2344" s="163" t="s">
        <v>196</v>
      </c>
      <c r="F2344" s="163" t="s">
        <v>318</v>
      </c>
    </row>
    <row r="2345" spans="2:6">
      <c r="B2345" s="147" t="s">
        <v>1034</v>
      </c>
      <c r="C2345" s="147" t="e">
        <f>CONCATENATE("IMP",Commodities!C48,"BR",RIGHT(#REF!,2))</f>
        <v>#REF!</v>
      </c>
      <c r="D2345" s="147" t="e">
        <f>CONCATENATE("Import Barge/Vessel Trade of ",Commodities!C48, " to ",$B$2345," from ",#REF!)</f>
        <v>#REF!</v>
      </c>
      <c r="E2345" s="163" t="s">
        <v>196</v>
      </c>
      <c r="F2345" s="163" t="s">
        <v>318</v>
      </c>
    </row>
    <row r="2346" spans="2:6">
      <c r="B2346" s="147" t="s">
        <v>1034</v>
      </c>
      <c r="C2346" s="147" t="e">
        <f>CONCATENATE("IMP",Commodities!C49,"BR",RIGHT(#REF!,2))</f>
        <v>#REF!</v>
      </c>
      <c r="D2346" s="147" t="e">
        <f>CONCATENATE("Import Barge/Vessel Trade of ",Commodities!C49, " to ",$B$2345," from ",#REF!)</f>
        <v>#REF!</v>
      </c>
      <c r="E2346" s="163" t="s">
        <v>196</v>
      </c>
      <c r="F2346" s="163" t="s">
        <v>318</v>
      </c>
    </row>
    <row r="2347" spans="2:6">
      <c r="B2347" s="147" t="s">
        <v>1034</v>
      </c>
      <c r="C2347" s="147" t="e">
        <f>CONCATENATE("IMP",Commodities!C50,"BR",RIGHT(#REF!,2))</f>
        <v>#REF!</v>
      </c>
      <c r="D2347" s="147" t="e">
        <f>CONCATENATE("Import Barge/Vessel Trade of ",Commodities!C50, " to ",$B$2345," from ",#REF!)</f>
        <v>#REF!</v>
      </c>
      <c r="E2347" s="163" t="s">
        <v>196</v>
      </c>
      <c r="F2347" s="163" t="s">
        <v>318</v>
      </c>
    </row>
    <row r="2348" spans="2:6">
      <c r="B2348" s="147" t="s">
        <v>1034</v>
      </c>
      <c r="C2348" s="147" t="e">
        <f>CONCATENATE("IMP",Commodities!C51,"BR",RIGHT(#REF!,2))</f>
        <v>#REF!</v>
      </c>
      <c r="D2348" s="147" t="e">
        <f>CONCATENATE("Import Barge/Vessel Trade of ",Commodities!C51, " to ",$B$2345," from ",#REF!)</f>
        <v>#REF!</v>
      </c>
      <c r="E2348" s="163" t="s">
        <v>196</v>
      </c>
      <c r="F2348" s="163" t="s">
        <v>318</v>
      </c>
    </row>
    <row r="2349" spans="2:6">
      <c r="B2349" s="147" t="s">
        <v>1034</v>
      </c>
      <c r="C2349" s="147" t="e">
        <f>CONCATENATE("IMP",Commodities!C52,"BR",RIGHT(#REF!,2))</f>
        <v>#REF!</v>
      </c>
      <c r="D2349" s="147" t="e">
        <f>CONCATENATE("Import Barge/Vessel Trade of ",Commodities!C52, " to ",$B$2345," from ",#REF!)</f>
        <v>#REF!</v>
      </c>
      <c r="E2349" s="163" t="s">
        <v>196</v>
      </c>
      <c r="F2349" s="163" t="s">
        <v>318</v>
      </c>
    </row>
    <row r="2350" spans="2:6">
      <c r="B2350" s="147" t="s">
        <v>1034</v>
      </c>
      <c r="C2350" s="147" t="e">
        <f>CONCATENATE("IMP",Commodities!C53,"BR",RIGHT(#REF!,2))</f>
        <v>#REF!</v>
      </c>
      <c r="D2350" s="147" t="e">
        <f>CONCATENATE("Import Barge/Vessel Trade of ",Commodities!C53, " to ",$B$2345," from ",#REF!)</f>
        <v>#REF!</v>
      </c>
      <c r="E2350" s="163" t="s">
        <v>196</v>
      </c>
      <c r="F2350" s="163" t="s">
        <v>318</v>
      </c>
    </row>
    <row r="2351" spans="2:6">
      <c r="B2351" s="147" t="s">
        <v>1034</v>
      </c>
      <c r="C2351" s="147" t="e">
        <f>CONCATENATE("IMP",Commodities!C54,"BR",RIGHT(#REF!,2))</f>
        <v>#REF!</v>
      </c>
      <c r="D2351" s="147" t="e">
        <f>CONCATENATE("Import Barge/Vessel Trade of ",Commodities!C54, " to ",$B$2345," from ",#REF!)</f>
        <v>#REF!</v>
      </c>
      <c r="E2351" s="163" t="s">
        <v>196</v>
      </c>
      <c r="F2351" s="163" t="s">
        <v>318</v>
      </c>
    </row>
    <row r="2352" spans="2:6">
      <c r="B2352" s="147" t="s">
        <v>1034</v>
      </c>
      <c r="C2352" s="147" t="e">
        <f>CONCATENATE("IMP",Commodities!C55,"BR",RIGHT(#REF!,2))</f>
        <v>#REF!</v>
      </c>
      <c r="D2352" s="147" t="e">
        <f>CONCATENATE("Import Barge/Vessel Trade of ",Commodities!C55, " to ",$B$2345," from ",#REF!)</f>
        <v>#REF!</v>
      </c>
      <c r="E2352" s="163" t="s">
        <v>196</v>
      </c>
      <c r="F2352" s="163" t="s">
        <v>318</v>
      </c>
    </row>
    <row r="2353" spans="2:6">
      <c r="B2353" s="147" t="s">
        <v>1034</v>
      </c>
      <c r="C2353" s="147" t="e">
        <f>CONCATENATE("IMP",Commodities!C56,"BR",RIGHT(#REF!,2))</f>
        <v>#REF!</v>
      </c>
      <c r="D2353" s="147" t="e">
        <f>CONCATENATE("Import Barge/Vessel Trade of ",Commodities!C56, " to ",$B$2345," from ",#REF!)</f>
        <v>#REF!</v>
      </c>
      <c r="E2353" s="163" t="s">
        <v>196</v>
      </c>
      <c r="F2353" s="163" t="s">
        <v>318</v>
      </c>
    </row>
    <row r="2354" spans="2:6">
      <c r="B2354" s="147" t="s">
        <v>1034</v>
      </c>
      <c r="C2354" s="147" t="e">
        <f>CONCATENATE("IMP",Commodities!C57,"BR",RIGHT(#REF!,2))</f>
        <v>#REF!</v>
      </c>
      <c r="D2354" s="147" t="e">
        <f>CONCATENATE("Import Barge/Vessel Trade of ",Commodities!C57, " to ",$B$2345," from ",#REF!)</f>
        <v>#REF!</v>
      </c>
      <c r="E2354" s="163" t="s">
        <v>196</v>
      </c>
      <c r="F2354" s="163" t="s">
        <v>318</v>
      </c>
    </row>
    <row r="2355" spans="2:6">
      <c r="B2355" s="147" t="s">
        <v>1034</v>
      </c>
      <c r="C2355" s="147" t="e">
        <f>CONCATENATE("IMP",Commodities!C58,"BR",RIGHT(#REF!,2))</f>
        <v>#REF!</v>
      </c>
      <c r="D2355" s="147" t="e">
        <f>CONCATENATE("Import Barge/Vessel Trade of ",Commodities!C58, " to ",$B$2345," from ",#REF!)</f>
        <v>#REF!</v>
      </c>
      <c r="E2355" s="163" t="s">
        <v>196</v>
      </c>
      <c r="F2355" s="163" t="s">
        <v>318</v>
      </c>
    </row>
    <row r="2356" spans="2:6">
      <c r="B2356" s="147" t="s">
        <v>1034</v>
      </c>
      <c r="C2356" s="147" t="e">
        <f>CONCATENATE("IMP",Commodities!C59,"BR",RIGHT(#REF!,2))</f>
        <v>#REF!</v>
      </c>
      <c r="D2356" s="147" t="e">
        <f>CONCATENATE("Import Barge/Vessel Trade of ",Commodities!C59, " to ",$B$2345," from ",#REF!)</f>
        <v>#REF!</v>
      </c>
      <c r="E2356" s="163" t="s">
        <v>196</v>
      </c>
      <c r="F2356" s="163" t="s">
        <v>318</v>
      </c>
    </row>
    <row r="2357" spans="2:6">
      <c r="B2357" s="147" t="s">
        <v>1034</v>
      </c>
      <c r="C2357" s="147" t="e">
        <f>CONCATENATE("IMP",Commodities!C60,"BR",RIGHT(#REF!,2))</f>
        <v>#REF!</v>
      </c>
      <c r="D2357" s="147" t="e">
        <f>CONCATENATE("Import Barge/Vessel Trade of ",Commodities!C60, " to ",$B$2345," from ",#REF!)</f>
        <v>#REF!</v>
      </c>
      <c r="E2357" s="163" t="s">
        <v>196</v>
      </c>
      <c r="F2357" s="163" t="s">
        <v>318</v>
      </c>
    </row>
    <row r="2358" spans="2:6">
      <c r="B2358" s="147" t="s">
        <v>1034</v>
      </c>
      <c r="C2358" s="147" t="e">
        <f>CONCATENATE("IMP",Commodities!C48,"BR",RIGHT(#REF!,2))</f>
        <v>#REF!</v>
      </c>
      <c r="D2358" s="147" t="e">
        <f>CONCATENATE("Import Barge/Vessel Trade of ",Commodities!C48, " to ",$B$2358," from ",#REF!)</f>
        <v>#REF!</v>
      </c>
      <c r="E2358" s="163" t="s">
        <v>196</v>
      </c>
      <c r="F2358" s="163" t="s">
        <v>318</v>
      </c>
    </row>
    <row r="2359" spans="2:6">
      <c r="B2359" s="147" t="s">
        <v>1034</v>
      </c>
      <c r="C2359" s="147" t="e">
        <f>CONCATENATE("IMP",Commodities!C49,"BR",RIGHT(#REF!,2))</f>
        <v>#REF!</v>
      </c>
      <c r="D2359" s="147" t="e">
        <f>CONCATENATE("Import Barge/Vessel Trade of ",Commodities!C49, " to ",$B$2358," from ",#REF!)</f>
        <v>#REF!</v>
      </c>
      <c r="E2359" s="163" t="s">
        <v>196</v>
      </c>
      <c r="F2359" s="163" t="s">
        <v>318</v>
      </c>
    </row>
    <row r="2360" spans="2:6">
      <c r="B2360" s="147" t="s">
        <v>1034</v>
      </c>
      <c r="C2360" s="147" t="e">
        <f>CONCATENATE("IMP",Commodities!C50,"BR",RIGHT(#REF!,2))</f>
        <v>#REF!</v>
      </c>
      <c r="D2360" s="147" t="e">
        <f>CONCATENATE("Import Barge/Vessel Trade of ",Commodities!C50, " to ",$B$2358," from ",#REF!)</f>
        <v>#REF!</v>
      </c>
      <c r="E2360" s="163" t="s">
        <v>196</v>
      </c>
      <c r="F2360" s="163" t="s">
        <v>318</v>
      </c>
    </row>
    <row r="2361" spans="2:6">
      <c r="B2361" s="147" t="s">
        <v>1034</v>
      </c>
      <c r="C2361" s="147" t="e">
        <f>CONCATENATE("IMP",Commodities!C51,"BR",RIGHT(#REF!,2))</f>
        <v>#REF!</v>
      </c>
      <c r="D2361" s="147" t="e">
        <f>CONCATENATE("Import Barge/Vessel Trade of ",Commodities!C51, " to ",$B$2358," from ",#REF!)</f>
        <v>#REF!</v>
      </c>
      <c r="E2361" s="163" t="s">
        <v>196</v>
      </c>
      <c r="F2361" s="163" t="s">
        <v>318</v>
      </c>
    </row>
    <row r="2362" spans="2:6">
      <c r="B2362" s="147" t="s">
        <v>1034</v>
      </c>
      <c r="C2362" s="147" t="e">
        <f>CONCATENATE("IMP",Commodities!C52,"BR",RIGHT(#REF!,2))</f>
        <v>#REF!</v>
      </c>
      <c r="D2362" s="147" t="e">
        <f>CONCATENATE("Import Barge/Vessel Trade of ",Commodities!C52, " to ",$B$2358," from ",#REF!)</f>
        <v>#REF!</v>
      </c>
      <c r="E2362" s="163" t="s">
        <v>196</v>
      </c>
      <c r="F2362" s="163" t="s">
        <v>318</v>
      </c>
    </row>
    <row r="2363" spans="2:6">
      <c r="B2363" s="147" t="s">
        <v>1034</v>
      </c>
      <c r="C2363" s="147" t="e">
        <f>CONCATENATE("IMP",Commodities!C53,"BR",RIGHT(#REF!,2))</f>
        <v>#REF!</v>
      </c>
      <c r="D2363" s="147" t="e">
        <f>CONCATENATE("Import Barge/Vessel Trade of ",Commodities!C53, " to ",$B$2358," from ",#REF!)</f>
        <v>#REF!</v>
      </c>
      <c r="E2363" s="163" t="s">
        <v>196</v>
      </c>
      <c r="F2363" s="163" t="s">
        <v>318</v>
      </c>
    </row>
    <row r="2364" spans="2:6">
      <c r="B2364" s="147" t="s">
        <v>1034</v>
      </c>
      <c r="C2364" s="147" t="e">
        <f>CONCATENATE("IMP",Commodities!C54,"BR",RIGHT(#REF!,2))</f>
        <v>#REF!</v>
      </c>
      <c r="D2364" s="147" t="e">
        <f>CONCATENATE("Import Barge/Vessel Trade of ",Commodities!C54, " to ",$B$2358," from ",#REF!)</f>
        <v>#REF!</v>
      </c>
      <c r="E2364" s="163" t="s">
        <v>196</v>
      </c>
      <c r="F2364" s="163" t="s">
        <v>318</v>
      </c>
    </row>
    <row r="2365" spans="2:6">
      <c r="B2365" s="147" t="s">
        <v>1034</v>
      </c>
      <c r="C2365" s="147" t="e">
        <f>CONCATENATE("IMP",Commodities!C55,"BR",RIGHT(#REF!,2))</f>
        <v>#REF!</v>
      </c>
      <c r="D2365" s="147" t="e">
        <f>CONCATENATE("Import Barge/Vessel Trade of ",Commodities!C55, " to ",$B$2358," from ",#REF!)</f>
        <v>#REF!</v>
      </c>
      <c r="E2365" s="163" t="s">
        <v>196</v>
      </c>
      <c r="F2365" s="163" t="s">
        <v>318</v>
      </c>
    </row>
    <row r="2366" spans="2:6">
      <c r="B2366" s="147" t="s">
        <v>1034</v>
      </c>
      <c r="C2366" s="147" t="e">
        <f>CONCATENATE("IMP",Commodities!C56,"BR",RIGHT(#REF!,2))</f>
        <v>#REF!</v>
      </c>
      <c r="D2366" s="147" t="e">
        <f>CONCATENATE("Import Barge/Vessel Trade of ",Commodities!C56, " to ",$B$2358," from ",#REF!)</f>
        <v>#REF!</v>
      </c>
      <c r="E2366" s="163" t="s">
        <v>196</v>
      </c>
      <c r="F2366" s="163" t="s">
        <v>318</v>
      </c>
    </row>
    <row r="2367" spans="2:6">
      <c r="B2367" s="147" t="s">
        <v>1034</v>
      </c>
      <c r="C2367" s="147" t="e">
        <f>CONCATENATE("IMP",Commodities!C57,"BR",RIGHT(#REF!,2))</f>
        <v>#REF!</v>
      </c>
      <c r="D2367" s="147" t="e">
        <f>CONCATENATE("Import Barge/Vessel Trade of ",Commodities!C57, " to ",$B$2358," from ",#REF!)</f>
        <v>#REF!</v>
      </c>
      <c r="E2367" s="163" t="s">
        <v>196</v>
      </c>
      <c r="F2367" s="163" t="s">
        <v>318</v>
      </c>
    </row>
    <row r="2368" spans="2:6">
      <c r="B2368" s="147" t="s">
        <v>1034</v>
      </c>
      <c r="C2368" s="147" t="e">
        <f>CONCATENATE("IMP",Commodities!C58,"BR",RIGHT(#REF!,2))</f>
        <v>#REF!</v>
      </c>
      <c r="D2368" s="147" t="e">
        <f>CONCATENATE("Import Barge/Vessel Trade of ",Commodities!C58, " to ",$B$2358," from ",#REF!)</f>
        <v>#REF!</v>
      </c>
      <c r="E2368" s="163" t="s">
        <v>196</v>
      </c>
      <c r="F2368" s="163" t="s">
        <v>318</v>
      </c>
    </row>
    <row r="2369" spans="2:6">
      <c r="B2369" s="147" t="s">
        <v>1034</v>
      </c>
      <c r="C2369" s="147" t="e">
        <f>CONCATENATE("IMP",Commodities!C59,"BR",RIGHT(#REF!,2))</f>
        <v>#REF!</v>
      </c>
      <c r="D2369" s="147" t="e">
        <f>CONCATENATE("Import Barge/Vessel Trade of ",Commodities!C59, " to ",$B$2358," from ",#REF!)</f>
        <v>#REF!</v>
      </c>
      <c r="E2369" s="163" t="s">
        <v>196</v>
      </c>
      <c r="F2369" s="163" t="s">
        <v>318</v>
      </c>
    </row>
    <row r="2370" spans="2:6">
      <c r="B2370" s="147" t="s">
        <v>1034</v>
      </c>
      <c r="C2370" s="147" t="e">
        <f>CONCATENATE("IMP",Commodities!C60,"BR",RIGHT(#REF!,2))</f>
        <v>#REF!</v>
      </c>
      <c r="D2370" s="147" t="e">
        <f>CONCATENATE("Import Barge/Vessel Trade of ",Commodities!C60, " to ",$B$2358," from ",#REF!)</f>
        <v>#REF!</v>
      </c>
      <c r="E2370" s="163" t="s">
        <v>196</v>
      </c>
      <c r="F2370" s="163" t="s">
        <v>318</v>
      </c>
    </row>
    <row r="2371" spans="2:6">
      <c r="B2371" s="147" t="s">
        <v>1034</v>
      </c>
      <c r="C2371" s="147" t="e">
        <f>CONCATENATE("IMP",Commodities!C48,"BR",RIGHT(#REF!,2))</f>
        <v>#REF!</v>
      </c>
      <c r="D2371" s="147" t="e">
        <f>CONCATENATE("Import Barge/Vessel Trade of ",Commodities!C48, " to ",$B$2371," from ",#REF!)</f>
        <v>#REF!</v>
      </c>
      <c r="E2371" s="163" t="s">
        <v>196</v>
      </c>
      <c r="F2371" s="163" t="s">
        <v>318</v>
      </c>
    </row>
    <row r="2372" spans="2:6">
      <c r="B2372" s="147" t="s">
        <v>1034</v>
      </c>
      <c r="C2372" s="147" t="e">
        <f>CONCATENATE("IMP",Commodities!C49,"BR",RIGHT(#REF!,2))</f>
        <v>#REF!</v>
      </c>
      <c r="D2372" s="147" t="e">
        <f>CONCATENATE("Import Barge/Vessel Trade of ",Commodities!C49, " to ",$B$2371," from ",#REF!)</f>
        <v>#REF!</v>
      </c>
      <c r="E2372" s="163" t="s">
        <v>196</v>
      </c>
      <c r="F2372" s="163" t="s">
        <v>318</v>
      </c>
    </row>
    <row r="2373" spans="2:6">
      <c r="B2373" s="147" t="s">
        <v>1034</v>
      </c>
      <c r="C2373" s="147" t="e">
        <f>CONCATENATE("IMP",Commodities!C50,"BR",RIGHT(#REF!,2))</f>
        <v>#REF!</v>
      </c>
      <c r="D2373" s="147" t="e">
        <f>CONCATENATE("Import Barge/Vessel Trade of ",Commodities!C50, " to ",$B$2371," from ",#REF!)</f>
        <v>#REF!</v>
      </c>
      <c r="E2373" s="163" t="s">
        <v>196</v>
      </c>
      <c r="F2373" s="163" t="s">
        <v>318</v>
      </c>
    </row>
    <row r="2374" spans="2:6">
      <c r="B2374" s="147" t="s">
        <v>1034</v>
      </c>
      <c r="C2374" s="147" t="e">
        <f>CONCATENATE("IMP",Commodities!C51,"BR",RIGHT(#REF!,2))</f>
        <v>#REF!</v>
      </c>
      <c r="D2374" s="147" t="e">
        <f>CONCATENATE("Import Barge/Vessel Trade of ",Commodities!C51, " to ",$B$2371," from ",#REF!)</f>
        <v>#REF!</v>
      </c>
      <c r="E2374" s="163" t="s">
        <v>196</v>
      </c>
      <c r="F2374" s="163" t="s">
        <v>318</v>
      </c>
    </row>
    <row r="2375" spans="2:6">
      <c r="B2375" s="147" t="s">
        <v>1034</v>
      </c>
      <c r="C2375" s="147" t="e">
        <f>CONCATENATE("IMP",Commodities!C52,"BR",RIGHT(#REF!,2))</f>
        <v>#REF!</v>
      </c>
      <c r="D2375" s="147" t="e">
        <f>CONCATENATE("Import Barge/Vessel Trade of ",Commodities!C52, " to ",$B$2371," from ",#REF!)</f>
        <v>#REF!</v>
      </c>
      <c r="E2375" s="163" t="s">
        <v>196</v>
      </c>
      <c r="F2375" s="163" t="s">
        <v>318</v>
      </c>
    </row>
    <row r="2376" spans="2:6">
      <c r="B2376" s="147" t="s">
        <v>1034</v>
      </c>
      <c r="C2376" s="147" t="e">
        <f>CONCATENATE("IMP",Commodities!C53,"BR",RIGHT(#REF!,2))</f>
        <v>#REF!</v>
      </c>
      <c r="D2376" s="147" t="e">
        <f>CONCATENATE("Import Barge/Vessel Trade of ",Commodities!C53, " to ",$B$2371," from ",#REF!)</f>
        <v>#REF!</v>
      </c>
      <c r="E2376" s="163" t="s">
        <v>196</v>
      </c>
      <c r="F2376" s="163" t="s">
        <v>318</v>
      </c>
    </row>
    <row r="2377" spans="2:6">
      <c r="B2377" s="147" t="s">
        <v>1034</v>
      </c>
      <c r="C2377" s="147" t="e">
        <f>CONCATENATE("IMP",Commodities!C54,"BR",RIGHT(#REF!,2))</f>
        <v>#REF!</v>
      </c>
      <c r="D2377" s="147" t="e">
        <f>CONCATENATE("Import Barge/Vessel Trade of ",Commodities!C54, " to ",$B$2371," from ",#REF!)</f>
        <v>#REF!</v>
      </c>
      <c r="E2377" s="163" t="s">
        <v>196</v>
      </c>
      <c r="F2377" s="163" t="s">
        <v>318</v>
      </c>
    </row>
    <row r="2378" spans="2:6">
      <c r="B2378" s="147" t="s">
        <v>1034</v>
      </c>
      <c r="C2378" s="147" t="e">
        <f>CONCATENATE("IMP",Commodities!C55,"BR",RIGHT(#REF!,2))</f>
        <v>#REF!</v>
      </c>
      <c r="D2378" s="147" t="e">
        <f>CONCATENATE("Import Barge/Vessel Trade of ",Commodities!C55, " to ",$B$2371," from ",#REF!)</f>
        <v>#REF!</v>
      </c>
      <c r="E2378" s="163" t="s">
        <v>196</v>
      </c>
      <c r="F2378" s="163" t="s">
        <v>318</v>
      </c>
    </row>
    <row r="2379" spans="2:6">
      <c r="B2379" s="147" t="s">
        <v>1034</v>
      </c>
      <c r="C2379" s="147" t="e">
        <f>CONCATENATE("IMP",Commodities!C56,"BR",RIGHT(#REF!,2))</f>
        <v>#REF!</v>
      </c>
      <c r="D2379" s="147" t="e">
        <f>CONCATENATE("Import Barge/Vessel Trade of ",Commodities!C56, " to ",$B$2371," from ",#REF!)</f>
        <v>#REF!</v>
      </c>
      <c r="E2379" s="163" t="s">
        <v>196</v>
      </c>
      <c r="F2379" s="163" t="s">
        <v>318</v>
      </c>
    </row>
    <row r="2380" spans="2:6">
      <c r="B2380" s="147" t="s">
        <v>1034</v>
      </c>
      <c r="C2380" s="147" t="e">
        <f>CONCATENATE("IMP",Commodities!C57,"BR",RIGHT(#REF!,2))</f>
        <v>#REF!</v>
      </c>
      <c r="D2380" s="147" t="e">
        <f>CONCATENATE("Import Barge/Vessel Trade of ",Commodities!C57, " to ",$B$2371," from ",#REF!)</f>
        <v>#REF!</v>
      </c>
      <c r="E2380" s="163" t="s">
        <v>196</v>
      </c>
      <c r="F2380" s="163" t="s">
        <v>318</v>
      </c>
    </row>
    <row r="2381" spans="2:6">
      <c r="B2381" s="147" t="s">
        <v>1034</v>
      </c>
      <c r="C2381" s="147" t="e">
        <f>CONCATENATE("IMP",Commodities!C58,"BR",RIGHT(#REF!,2))</f>
        <v>#REF!</v>
      </c>
      <c r="D2381" s="147" t="e">
        <f>CONCATENATE("Import Barge/Vessel Trade of ",Commodities!C58, " to ",$B$2371," from ",#REF!)</f>
        <v>#REF!</v>
      </c>
      <c r="E2381" s="163" t="s">
        <v>196</v>
      </c>
      <c r="F2381" s="163" t="s">
        <v>318</v>
      </c>
    </row>
    <row r="2382" spans="2:6">
      <c r="B2382" s="147" t="s">
        <v>1034</v>
      </c>
      <c r="C2382" s="147" t="e">
        <f>CONCATENATE("IMP",Commodities!C59,"BR",RIGHT(#REF!,2))</f>
        <v>#REF!</v>
      </c>
      <c r="D2382" s="147" t="e">
        <f>CONCATENATE("Import Barge/Vessel Trade of ",Commodities!C59, " to ",$B$2371," from ",#REF!)</f>
        <v>#REF!</v>
      </c>
      <c r="E2382" s="163" t="s">
        <v>196</v>
      </c>
      <c r="F2382" s="163" t="s">
        <v>318</v>
      </c>
    </row>
    <row r="2383" spans="2:6">
      <c r="B2383" s="147" t="s">
        <v>1034</v>
      </c>
      <c r="C2383" s="147" t="e">
        <f>CONCATENATE("IMP",Commodities!C60,"BR",RIGHT(#REF!,2))</f>
        <v>#REF!</v>
      </c>
      <c r="D2383" s="147" t="e">
        <f>CONCATENATE("Import Barge/Vessel Trade of ",Commodities!C60, " to ",$B$2371," from ",#REF!)</f>
        <v>#REF!</v>
      </c>
      <c r="E2383" s="163" t="s">
        <v>196</v>
      </c>
      <c r="F2383" s="163" t="s">
        <v>318</v>
      </c>
    </row>
    <row r="2384" spans="2:6">
      <c r="B2384" s="147" t="s">
        <v>1035</v>
      </c>
      <c r="C2384" s="147" t="e">
        <f>CONCATENATE("IMP",Commodities!C48,"BR",RIGHT(#REF!,2))</f>
        <v>#REF!</v>
      </c>
      <c r="D2384" s="147" t="e">
        <f>CONCATENATE("Import Barge/Vessel Trade of ",Commodities!C48, " to ",$B$2384," from ",#REF!)</f>
        <v>#REF!</v>
      </c>
      <c r="E2384" s="163" t="s">
        <v>196</v>
      </c>
      <c r="F2384" s="163" t="s">
        <v>318</v>
      </c>
    </row>
    <row r="2385" spans="2:6">
      <c r="B2385" s="147" t="s">
        <v>1035</v>
      </c>
      <c r="C2385" s="147" t="e">
        <f>CONCATENATE("IMP",Commodities!C49,"BR",RIGHT(#REF!,2))</f>
        <v>#REF!</v>
      </c>
      <c r="D2385" s="147" t="e">
        <f>CONCATENATE("Import Barge/Vessel Trade of ",Commodities!C49, " to ",$B$2384," from ",#REF!)</f>
        <v>#REF!</v>
      </c>
      <c r="E2385" s="163" t="s">
        <v>196</v>
      </c>
      <c r="F2385" s="163" t="s">
        <v>318</v>
      </c>
    </row>
    <row r="2386" spans="2:6">
      <c r="B2386" s="147" t="s">
        <v>1035</v>
      </c>
      <c r="C2386" s="147" t="e">
        <f>CONCATENATE("IMP",Commodities!C50,"BR",RIGHT(#REF!,2))</f>
        <v>#REF!</v>
      </c>
      <c r="D2386" s="147" t="e">
        <f>CONCATENATE("Import Barge/Vessel Trade of ",Commodities!C50, " to ",$B$2384," from ",#REF!)</f>
        <v>#REF!</v>
      </c>
      <c r="E2386" s="163" t="s">
        <v>196</v>
      </c>
      <c r="F2386" s="163" t="s">
        <v>318</v>
      </c>
    </row>
    <row r="2387" spans="2:6">
      <c r="B2387" s="147" t="s">
        <v>1035</v>
      </c>
      <c r="C2387" s="147" t="e">
        <f>CONCATENATE("IMP",Commodities!C51,"BR",RIGHT(#REF!,2))</f>
        <v>#REF!</v>
      </c>
      <c r="D2387" s="147" t="e">
        <f>CONCATENATE("Import Barge/Vessel Trade of ",Commodities!C51, " to ",$B$2384," from ",#REF!)</f>
        <v>#REF!</v>
      </c>
      <c r="E2387" s="163" t="s">
        <v>196</v>
      </c>
      <c r="F2387" s="163" t="s">
        <v>318</v>
      </c>
    </row>
    <row r="2388" spans="2:6">
      <c r="B2388" s="147" t="s">
        <v>1035</v>
      </c>
      <c r="C2388" s="147" t="e">
        <f>CONCATENATE("IMP",Commodities!C52,"BR",RIGHT(#REF!,2))</f>
        <v>#REF!</v>
      </c>
      <c r="D2388" s="147" t="e">
        <f>CONCATENATE("Import Barge/Vessel Trade of ",Commodities!C52, " to ",$B$2384," from ",#REF!)</f>
        <v>#REF!</v>
      </c>
      <c r="E2388" s="163" t="s">
        <v>196</v>
      </c>
      <c r="F2388" s="163" t="s">
        <v>318</v>
      </c>
    </row>
    <row r="2389" spans="2:6">
      <c r="B2389" s="147" t="s">
        <v>1035</v>
      </c>
      <c r="C2389" s="147" t="e">
        <f>CONCATENATE("IMP",Commodities!C53,"BR",RIGHT(#REF!,2))</f>
        <v>#REF!</v>
      </c>
      <c r="D2389" s="147" t="e">
        <f>CONCATENATE("Import Barge/Vessel Trade of ",Commodities!C53, " to ",$B$2384," from ",#REF!)</f>
        <v>#REF!</v>
      </c>
      <c r="E2389" s="163" t="s">
        <v>196</v>
      </c>
      <c r="F2389" s="163" t="s">
        <v>318</v>
      </c>
    </row>
    <row r="2390" spans="2:6">
      <c r="B2390" s="147" t="s">
        <v>1035</v>
      </c>
      <c r="C2390" s="147" t="e">
        <f>CONCATENATE("IMP",Commodities!C54,"BR",RIGHT(#REF!,2))</f>
        <v>#REF!</v>
      </c>
      <c r="D2390" s="147" t="e">
        <f>CONCATENATE("Import Barge/Vessel Trade of ",Commodities!C54, " to ",$B$2384," from ",#REF!)</f>
        <v>#REF!</v>
      </c>
      <c r="E2390" s="163" t="s">
        <v>196</v>
      </c>
      <c r="F2390" s="163" t="s">
        <v>318</v>
      </c>
    </row>
    <row r="2391" spans="2:6">
      <c r="B2391" s="147" t="s">
        <v>1035</v>
      </c>
      <c r="C2391" s="147" t="e">
        <f>CONCATENATE("IMP",Commodities!C55,"BR",RIGHT(#REF!,2))</f>
        <v>#REF!</v>
      </c>
      <c r="D2391" s="147" t="e">
        <f>CONCATENATE("Import Barge/Vessel Trade of ",Commodities!C55, " to ",$B$2384," from ",#REF!)</f>
        <v>#REF!</v>
      </c>
      <c r="E2391" s="163" t="s">
        <v>196</v>
      </c>
      <c r="F2391" s="163" t="s">
        <v>318</v>
      </c>
    </row>
    <row r="2392" spans="2:6">
      <c r="B2392" s="147" t="s">
        <v>1035</v>
      </c>
      <c r="C2392" s="147" t="e">
        <f>CONCATENATE("IMP",Commodities!C56,"BR",RIGHT(#REF!,2))</f>
        <v>#REF!</v>
      </c>
      <c r="D2392" s="147" t="e">
        <f>CONCATENATE("Import Barge/Vessel Trade of ",Commodities!C56, " to ",$B$2384," from ",#REF!)</f>
        <v>#REF!</v>
      </c>
      <c r="E2392" s="163" t="s">
        <v>196</v>
      </c>
      <c r="F2392" s="163" t="s">
        <v>318</v>
      </c>
    </row>
    <row r="2393" spans="2:6">
      <c r="B2393" s="147" t="s">
        <v>1035</v>
      </c>
      <c r="C2393" s="147" t="e">
        <f>CONCATENATE("IMP",Commodities!C57,"BR",RIGHT(#REF!,2))</f>
        <v>#REF!</v>
      </c>
      <c r="D2393" s="147" t="e">
        <f>CONCATENATE("Import Barge/Vessel Trade of ",Commodities!C57, " to ",$B$2384," from ",#REF!)</f>
        <v>#REF!</v>
      </c>
      <c r="E2393" s="163" t="s">
        <v>196</v>
      </c>
      <c r="F2393" s="163" t="s">
        <v>318</v>
      </c>
    </row>
    <row r="2394" spans="2:6">
      <c r="B2394" s="147" t="s">
        <v>1035</v>
      </c>
      <c r="C2394" s="147" t="e">
        <f>CONCATENATE("IMP",Commodities!C58,"BR",RIGHT(#REF!,2))</f>
        <v>#REF!</v>
      </c>
      <c r="D2394" s="147" t="e">
        <f>CONCATENATE("Import Barge/Vessel Trade of ",Commodities!C58, " to ",$B$2384," from ",#REF!)</f>
        <v>#REF!</v>
      </c>
      <c r="E2394" s="163" t="s">
        <v>196</v>
      </c>
      <c r="F2394" s="163" t="s">
        <v>318</v>
      </c>
    </row>
    <row r="2395" spans="2:6">
      <c r="B2395" s="147" t="s">
        <v>1035</v>
      </c>
      <c r="C2395" s="147" t="e">
        <f>CONCATENATE("IMP",Commodities!C59,"BR",RIGHT(#REF!,2))</f>
        <v>#REF!</v>
      </c>
      <c r="D2395" s="147" t="e">
        <f>CONCATENATE("Import Barge/Vessel Trade of ",Commodities!C59, " to ",$B$2384," from ",#REF!)</f>
        <v>#REF!</v>
      </c>
      <c r="E2395" s="163" t="s">
        <v>196</v>
      </c>
      <c r="F2395" s="163" t="s">
        <v>318</v>
      </c>
    </row>
    <row r="2396" spans="2:6">
      <c r="B2396" s="147" t="s">
        <v>1035</v>
      </c>
      <c r="C2396" s="147" t="e">
        <f>CONCATENATE("IMP",Commodities!C60,"BR",RIGHT(#REF!,2))</f>
        <v>#REF!</v>
      </c>
      <c r="D2396" s="147" t="e">
        <f>CONCATENATE("Import Barge/Vessel Trade of ",Commodities!C60, " to ",$B$2384," from ",#REF!)</f>
        <v>#REF!</v>
      </c>
      <c r="E2396" s="163" t="s">
        <v>196</v>
      </c>
      <c r="F2396" s="163" t="s">
        <v>318</v>
      </c>
    </row>
    <row r="2397" spans="2:6">
      <c r="B2397" s="147" t="s">
        <v>1035</v>
      </c>
      <c r="C2397" s="147" t="e">
        <f>CONCATENATE("IMP",Commodities!C48,"BR",RIGHT(#REF!,2))</f>
        <v>#REF!</v>
      </c>
      <c r="D2397" s="147" t="e">
        <f>CONCATENATE("Import Barge/Vessel Trade of ",Commodities!C48, " to ",$B$2397," from ",#REF!)</f>
        <v>#REF!</v>
      </c>
      <c r="E2397" s="163" t="s">
        <v>196</v>
      </c>
      <c r="F2397" s="163" t="s">
        <v>318</v>
      </c>
    </row>
    <row r="2398" spans="2:6">
      <c r="B2398" s="147" t="s">
        <v>1035</v>
      </c>
      <c r="C2398" s="147" t="e">
        <f>CONCATENATE("IMP",Commodities!C49,"BR",RIGHT(#REF!,2))</f>
        <v>#REF!</v>
      </c>
      <c r="D2398" s="147" t="e">
        <f>CONCATENATE("Import Barge/Vessel Trade of ",Commodities!C49, " to ",$B$2397," from ",#REF!)</f>
        <v>#REF!</v>
      </c>
      <c r="E2398" s="163" t="s">
        <v>196</v>
      </c>
      <c r="F2398" s="163" t="s">
        <v>318</v>
      </c>
    </row>
    <row r="2399" spans="2:6">
      <c r="B2399" s="147" t="s">
        <v>1035</v>
      </c>
      <c r="C2399" s="147" t="e">
        <f>CONCATENATE("IMP",Commodities!C50,"BR",RIGHT(#REF!,2))</f>
        <v>#REF!</v>
      </c>
      <c r="D2399" s="147" t="e">
        <f>CONCATENATE("Import Barge/Vessel Trade of ",Commodities!C50, " to ",$B$2397," from ",#REF!)</f>
        <v>#REF!</v>
      </c>
      <c r="E2399" s="163" t="s">
        <v>196</v>
      </c>
      <c r="F2399" s="163" t="s">
        <v>318</v>
      </c>
    </row>
    <row r="2400" spans="2:6">
      <c r="B2400" s="147" t="s">
        <v>1035</v>
      </c>
      <c r="C2400" s="147" t="e">
        <f>CONCATENATE("IMP",Commodities!C51,"BR",RIGHT(#REF!,2))</f>
        <v>#REF!</v>
      </c>
      <c r="D2400" s="147" t="e">
        <f>CONCATENATE("Import Barge/Vessel Trade of ",Commodities!C51, " to ",$B$2397," from ",#REF!)</f>
        <v>#REF!</v>
      </c>
      <c r="E2400" s="163" t="s">
        <v>196</v>
      </c>
      <c r="F2400" s="163" t="s">
        <v>318</v>
      </c>
    </row>
    <row r="2401" spans="2:6">
      <c r="B2401" s="147" t="s">
        <v>1035</v>
      </c>
      <c r="C2401" s="147" t="e">
        <f>CONCATENATE("IMP",Commodities!C52,"BR",RIGHT(#REF!,2))</f>
        <v>#REF!</v>
      </c>
      <c r="D2401" s="147" t="e">
        <f>CONCATENATE("Import Barge/Vessel Trade of ",Commodities!C52, " to ",$B$2397," from ",#REF!)</f>
        <v>#REF!</v>
      </c>
      <c r="E2401" s="163" t="s">
        <v>196</v>
      </c>
      <c r="F2401" s="163" t="s">
        <v>318</v>
      </c>
    </row>
    <row r="2402" spans="2:6">
      <c r="B2402" s="147" t="s">
        <v>1035</v>
      </c>
      <c r="C2402" s="147" t="e">
        <f>CONCATENATE("IMP",Commodities!C53,"BR",RIGHT(#REF!,2))</f>
        <v>#REF!</v>
      </c>
      <c r="D2402" s="147" t="e">
        <f>CONCATENATE("Import Barge/Vessel Trade of ",Commodities!C53, " to ",$B$2397," from ",#REF!)</f>
        <v>#REF!</v>
      </c>
      <c r="E2402" s="163" t="s">
        <v>196</v>
      </c>
      <c r="F2402" s="163" t="s">
        <v>318</v>
      </c>
    </row>
    <row r="2403" spans="2:6">
      <c r="B2403" s="147" t="s">
        <v>1035</v>
      </c>
      <c r="C2403" s="147" t="e">
        <f>CONCATENATE("IMP",Commodities!C54,"BR",RIGHT(#REF!,2))</f>
        <v>#REF!</v>
      </c>
      <c r="D2403" s="147" t="e">
        <f>CONCATENATE("Import Barge/Vessel Trade of ",Commodities!C54, " to ",$B$2397," from ",#REF!)</f>
        <v>#REF!</v>
      </c>
      <c r="E2403" s="163" t="s">
        <v>196</v>
      </c>
      <c r="F2403" s="163" t="s">
        <v>318</v>
      </c>
    </row>
    <row r="2404" spans="2:6">
      <c r="B2404" s="147" t="s">
        <v>1035</v>
      </c>
      <c r="C2404" s="147" t="e">
        <f>CONCATENATE("IMP",Commodities!C55,"BR",RIGHT(#REF!,2))</f>
        <v>#REF!</v>
      </c>
      <c r="D2404" s="147" t="e">
        <f>CONCATENATE("Import Barge/Vessel Trade of ",Commodities!C55, " to ",$B$2397," from ",#REF!)</f>
        <v>#REF!</v>
      </c>
      <c r="E2404" s="163" t="s">
        <v>196</v>
      </c>
      <c r="F2404" s="163" t="s">
        <v>318</v>
      </c>
    </row>
    <row r="2405" spans="2:6">
      <c r="B2405" s="147" t="s">
        <v>1035</v>
      </c>
      <c r="C2405" s="147" t="e">
        <f>CONCATENATE("IMP",Commodities!C56,"BR",RIGHT(#REF!,2))</f>
        <v>#REF!</v>
      </c>
      <c r="D2405" s="147" t="e">
        <f>CONCATENATE("Import Barge/Vessel Trade of ",Commodities!C56, " to ",$B$2397," from ",#REF!)</f>
        <v>#REF!</v>
      </c>
      <c r="E2405" s="163" t="s">
        <v>196</v>
      </c>
      <c r="F2405" s="163" t="s">
        <v>318</v>
      </c>
    </row>
    <row r="2406" spans="2:6">
      <c r="B2406" s="147" t="s">
        <v>1035</v>
      </c>
      <c r="C2406" s="147" t="e">
        <f>CONCATENATE("IMP",Commodities!C57,"BR",RIGHT(#REF!,2))</f>
        <v>#REF!</v>
      </c>
      <c r="D2406" s="147" t="e">
        <f>CONCATENATE("Import Barge/Vessel Trade of ",Commodities!C57, " to ",$B$2397," from ",#REF!)</f>
        <v>#REF!</v>
      </c>
      <c r="E2406" s="163" t="s">
        <v>196</v>
      </c>
      <c r="F2406" s="163" t="s">
        <v>318</v>
      </c>
    </row>
    <row r="2407" spans="2:6">
      <c r="B2407" s="147" t="s">
        <v>1035</v>
      </c>
      <c r="C2407" s="147" t="e">
        <f>CONCATENATE("IMP",Commodities!C58,"BR",RIGHT(#REF!,2))</f>
        <v>#REF!</v>
      </c>
      <c r="D2407" s="147" t="e">
        <f>CONCATENATE("Import Barge/Vessel Trade of ",Commodities!C58, " to ",$B$2397," from ",#REF!)</f>
        <v>#REF!</v>
      </c>
      <c r="E2407" s="163" t="s">
        <v>196</v>
      </c>
      <c r="F2407" s="163" t="s">
        <v>318</v>
      </c>
    </row>
    <row r="2408" spans="2:6">
      <c r="B2408" s="147" t="s">
        <v>1035</v>
      </c>
      <c r="C2408" s="147" t="e">
        <f>CONCATENATE("IMP",Commodities!C59,"BR",RIGHT(#REF!,2))</f>
        <v>#REF!</v>
      </c>
      <c r="D2408" s="147" t="e">
        <f>CONCATENATE("Import Barge/Vessel Trade of ",Commodities!C59, " to ",$B$2397," from ",#REF!)</f>
        <v>#REF!</v>
      </c>
      <c r="E2408" s="163" t="s">
        <v>196</v>
      </c>
      <c r="F2408" s="163" t="s">
        <v>318</v>
      </c>
    </row>
    <row r="2409" spans="2:6">
      <c r="B2409" s="147" t="s">
        <v>1035</v>
      </c>
      <c r="C2409" s="147" t="e">
        <f>CONCATENATE("IMP",Commodities!C60,"BR",RIGHT(#REF!,2))</f>
        <v>#REF!</v>
      </c>
      <c r="D2409" s="147" t="e">
        <f>CONCATENATE("Import Barge/Vessel Trade of ",Commodities!C60, " to ",$B$2397," from ",#REF!)</f>
        <v>#REF!</v>
      </c>
      <c r="E2409" s="163" t="s">
        <v>196</v>
      </c>
      <c r="F2409" s="163" t="s">
        <v>318</v>
      </c>
    </row>
    <row r="2410" spans="2:6">
      <c r="B2410" s="147" t="s">
        <v>1035</v>
      </c>
      <c r="C2410" s="147" t="e">
        <f>CONCATENATE("IMP",Commodities!C48,"BR",RIGHT(#REF!,2))</f>
        <v>#REF!</v>
      </c>
      <c r="D2410" s="147" t="e">
        <f>CONCATENATE("Import Barge/Vessel Trade of ",Commodities!C48, " to ",$B$2410," from ",#REF!)</f>
        <v>#REF!</v>
      </c>
      <c r="E2410" s="163" t="s">
        <v>196</v>
      </c>
      <c r="F2410" s="163" t="s">
        <v>318</v>
      </c>
    </row>
    <row r="2411" spans="2:6">
      <c r="B2411" s="147" t="s">
        <v>1035</v>
      </c>
      <c r="C2411" s="147" t="e">
        <f>CONCATENATE("IMP",Commodities!C49,"BR",RIGHT(#REF!,2))</f>
        <v>#REF!</v>
      </c>
      <c r="D2411" s="147" t="e">
        <f>CONCATENATE("Import Barge/Vessel Trade of ",Commodities!C49, " to ",$B$2410," from ",#REF!)</f>
        <v>#REF!</v>
      </c>
      <c r="E2411" s="163" t="s">
        <v>196</v>
      </c>
      <c r="F2411" s="163" t="s">
        <v>318</v>
      </c>
    </row>
    <row r="2412" spans="2:6">
      <c r="B2412" s="147" t="s">
        <v>1035</v>
      </c>
      <c r="C2412" s="147" t="e">
        <f>CONCATENATE("IMP",Commodities!C50,"BR",RIGHT(#REF!,2))</f>
        <v>#REF!</v>
      </c>
      <c r="D2412" s="147" t="e">
        <f>CONCATENATE("Import Barge/Vessel Trade of ",Commodities!C50, " to ",$B$2410," from ",#REF!)</f>
        <v>#REF!</v>
      </c>
      <c r="E2412" s="163" t="s">
        <v>196</v>
      </c>
      <c r="F2412" s="163" t="s">
        <v>318</v>
      </c>
    </row>
    <row r="2413" spans="2:6">
      <c r="B2413" s="147" t="s">
        <v>1035</v>
      </c>
      <c r="C2413" s="147" t="e">
        <f>CONCATENATE("IMP",Commodities!C51,"BR",RIGHT(#REF!,2))</f>
        <v>#REF!</v>
      </c>
      <c r="D2413" s="147" t="e">
        <f>CONCATENATE("Import Barge/Vessel Trade of ",Commodities!C51, " to ",$B$2410," from ",#REF!)</f>
        <v>#REF!</v>
      </c>
      <c r="E2413" s="163" t="s">
        <v>196</v>
      </c>
      <c r="F2413" s="163" t="s">
        <v>318</v>
      </c>
    </row>
    <row r="2414" spans="2:6">
      <c r="B2414" s="147" t="s">
        <v>1035</v>
      </c>
      <c r="C2414" s="147" t="e">
        <f>CONCATENATE("IMP",Commodities!C52,"BR",RIGHT(#REF!,2))</f>
        <v>#REF!</v>
      </c>
      <c r="D2414" s="147" t="e">
        <f>CONCATENATE("Import Barge/Vessel Trade of ",Commodities!C52, " to ",$B$2410," from ",#REF!)</f>
        <v>#REF!</v>
      </c>
      <c r="E2414" s="163" t="s">
        <v>196</v>
      </c>
      <c r="F2414" s="163" t="s">
        <v>318</v>
      </c>
    </row>
    <row r="2415" spans="2:6">
      <c r="B2415" s="147" t="s">
        <v>1035</v>
      </c>
      <c r="C2415" s="147" t="e">
        <f>CONCATENATE("IMP",Commodities!C53,"BR",RIGHT(#REF!,2))</f>
        <v>#REF!</v>
      </c>
      <c r="D2415" s="147" t="e">
        <f>CONCATENATE("Import Barge/Vessel Trade of ",Commodities!C53, " to ",$B$2410," from ",#REF!)</f>
        <v>#REF!</v>
      </c>
      <c r="E2415" s="163" t="s">
        <v>196</v>
      </c>
      <c r="F2415" s="163" t="s">
        <v>318</v>
      </c>
    </row>
    <row r="2416" spans="2:6">
      <c r="B2416" s="147" t="s">
        <v>1035</v>
      </c>
      <c r="C2416" s="147" t="e">
        <f>CONCATENATE("IMP",Commodities!C54,"BR",RIGHT(#REF!,2))</f>
        <v>#REF!</v>
      </c>
      <c r="D2416" s="147" t="e">
        <f>CONCATENATE("Import Barge/Vessel Trade of ",Commodities!C54, " to ",$B$2410," from ",#REF!)</f>
        <v>#REF!</v>
      </c>
      <c r="E2416" s="163" t="s">
        <v>196</v>
      </c>
      <c r="F2416" s="163" t="s">
        <v>318</v>
      </c>
    </row>
    <row r="2417" spans="2:6">
      <c r="B2417" s="147" t="s">
        <v>1035</v>
      </c>
      <c r="C2417" s="147" t="e">
        <f>CONCATENATE("IMP",Commodities!C55,"BR",RIGHT(#REF!,2))</f>
        <v>#REF!</v>
      </c>
      <c r="D2417" s="147" t="e">
        <f>CONCATENATE("Import Barge/Vessel Trade of ",Commodities!C55, " to ",$B$2410," from ",#REF!)</f>
        <v>#REF!</v>
      </c>
      <c r="E2417" s="163" t="s">
        <v>196</v>
      </c>
      <c r="F2417" s="163" t="s">
        <v>318</v>
      </c>
    </row>
    <row r="2418" spans="2:6">
      <c r="B2418" s="147" t="s">
        <v>1035</v>
      </c>
      <c r="C2418" s="147" t="e">
        <f>CONCATENATE("IMP",Commodities!C56,"BR",RIGHT(#REF!,2))</f>
        <v>#REF!</v>
      </c>
      <c r="D2418" s="147" t="e">
        <f>CONCATENATE("Import Barge/Vessel Trade of ",Commodities!C56, " to ",$B$2410," from ",#REF!)</f>
        <v>#REF!</v>
      </c>
      <c r="E2418" s="163" t="s">
        <v>196</v>
      </c>
      <c r="F2418" s="163" t="s">
        <v>318</v>
      </c>
    </row>
    <row r="2419" spans="2:6">
      <c r="B2419" s="147" t="s">
        <v>1035</v>
      </c>
      <c r="C2419" s="147" t="e">
        <f>CONCATENATE("IMP",Commodities!C57,"BR",RIGHT(#REF!,2))</f>
        <v>#REF!</v>
      </c>
      <c r="D2419" s="147" t="e">
        <f>CONCATENATE("Import Barge/Vessel Trade of ",Commodities!C57, " to ",$B$2410," from ",#REF!)</f>
        <v>#REF!</v>
      </c>
      <c r="E2419" s="163" t="s">
        <v>196</v>
      </c>
      <c r="F2419" s="163" t="s">
        <v>318</v>
      </c>
    </row>
    <row r="2420" spans="2:6">
      <c r="B2420" s="147" t="s">
        <v>1035</v>
      </c>
      <c r="C2420" s="147" t="e">
        <f>CONCATENATE("IMP",Commodities!C58,"BR",RIGHT(#REF!,2))</f>
        <v>#REF!</v>
      </c>
      <c r="D2420" s="147" t="e">
        <f>CONCATENATE("Import Barge/Vessel Trade of ",Commodities!C58, " to ",$B$2410," from ",#REF!)</f>
        <v>#REF!</v>
      </c>
      <c r="E2420" s="163" t="s">
        <v>196</v>
      </c>
      <c r="F2420" s="163" t="s">
        <v>318</v>
      </c>
    </row>
    <row r="2421" spans="2:6">
      <c r="B2421" s="147" t="s">
        <v>1035</v>
      </c>
      <c r="C2421" s="147" t="e">
        <f>CONCATENATE("IMP",Commodities!C59,"BR",RIGHT(#REF!,2))</f>
        <v>#REF!</v>
      </c>
      <c r="D2421" s="147" t="e">
        <f>CONCATENATE("Import Barge/Vessel Trade of ",Commodities!C59, " to ",$B$2410," from ",#REF!)</f>
        <v>#REF!</v>
      </c>
      <c r="E2421" s="163" t="s">
        <v>196</v>
      </c>
      <c r="F2421" s="163" t="s">
        <v>318</v>
      </c>
    </row>
    <row r="2422" spans="2:6">
      <c r="B2422" s="147" t="s">
        <v>1035</v>
      </c>
      <c r="C2422" s="147" t="e">
        <f>CONCATENATE("IMP",Commodities!C60,"BR",RIGHT(#REF!,2))</f>
        <v>#REF!</v>
      </c>
      <c r="D2422" s="147" t="e">
        <f>CONCATENATE("Import Barge/Vessel Trade of ",Commodities!C60, " to ",$B$2410," from ",#REF!)</f>
        <v>#REF!</v>
      </c>
      <c r="E2422" s="163" t="s">
        <v>196</v>
      </c>
      <c r="F2422" s="163" t="s">
        <v>318</v>
      </c>
    </row>
    <row r="2423" spans="2:6">
      <c r="B2423" s="147" t="s">
        <v>1035</v>
      </c>
      <c r="C2423" s="147" t="e">
        <f>CONCATENATE("IMP",Commodities!C48,"BR",RIGHT(#REF!,2))</f>
        <v>#REF!</v>
      </c>
      <c r="D2423" s="147" t="e">
        <f>CONCATENATE("Import Barge/Vessel Trade of ",Commodities!C48, " to ",$B$2423," from ",#REF!)</f>
        <v>#REF!</v>
      </c>
      <c r="E2423" s="163" t="s">
        <v>196</v>
      </c>
      <c r="F2423" s="163" t="s">
        <v>318</v>
      </c>
    </row>
    <row r="2424" spans="2:6">
      <c r="B2424" s="147" t="s">
        <v>1035</v>
      </c>
      <c r="C2424" s="147" t="e">
        <f>CONCATENATE("IMP",Commodities!C49,"BR",RIGHT(#REF!,2))</f>
        <v>#REF!</v>
      </c>
      <c r="D2424" s="147" t="e">
        <f>CONCATENATE("Import Barge/Vessel Trade of ",Commodities!C49, " to ",$B$2423," from ",#REF!)</f>
        <v>#REF!</v>
      </c>
      <c r="E2424" s="163" t="s">
        <v>196</v>
      </c>
      <c r="F2424" s="163" t="s">
        <v>318</v>
      </c>
    </row>
    <row r="2425" spans="2:6">
      <c r="B2425" s="147" t="s">
        <v>1035</v>
      </c>
      <c r="C2425" s="147" t="e">
        <f>CONCATENATE("IMP",Commodities!C50,"BR",RIGHT(#REF!,2))</f>
        <v>#REF!</v>
      </c>
      <c r="D2425" s="147" t="e">
        <f>CONCATENATE("Import Barge/Vessel Trade of ",Commodities!C50, " to ",$B$2423," from ",#REF!)</f>
        <v>#REF!</v>
      </c>
      <c r="E2425" s="163" t="s">
        <v>196</v>
      </c>
      <c r="F2425" s="163" t="s">
        <v>318</v>
      </c>
    </row>
    <row r="2426" spans="2:6">
      <c r="B2426" s="147" t="s">
        <v>1035</v>
      </c>
      <c r="C2426" s="147" t="e">
        <f>CONCATENATE("IMP",Commodities!C51,"BR",RIGHT(#REF!,2))</f>
        <v>#REF!</v>
      </c>
      <c r="D2426" s="147" t="e">
        <f>CONCATENATE("Import Barge/Vessel Trade of ",Commodities!C51, " to ",$B$2423," from ",#REF!)</f>
        <v>#REF!</v>
      </c>
      <c r="E2426" s="163" t="s">
        <v>196</v>
      </c>
      <c r="F2426" s="163" t="s">
        <v>318</v>
      </c>
    </row>
    <row r="2427" spans="2:6">
      <c r="B2427" s="147" t="s">
        <v>1035</v>
      </c>
      <c r="C2427" s="147" t="e">
        <f>CONCATENATE("IMP",Commodities!C52,"BR",RIGHT(#REF!,2))</f>
        <v>#REF!</v>
      </c>
      <c r="D2427" s="147" t="e">
        <f>CONCATENATE("Import Barge/Vessel Trade of ",Commodities!C52, " to ",$B$2423," from ",#REF!)</f>
        <v>#REF!</v>
      </c>
      <c r="E2427" s="163" t="s">
        <v>196</v>
      </c>
      <c r="F2427" s="163" t="s">
        <v>318</v>
      </c>
    </row>
    <row r="2428" spans="2:6">
      <c r="B2428" s="147" t="s">
        <v>1035</v>
      </c>
      <c r="C2428" s="147" t="e">
        <f>CONCATENATE("IMP",Commodities!C53,"BR",RIGHT(#REF!,2))</f>
        <v>#REF!</v>
      </c>
      <c r="D2428" s="147" t="e">
        <f>CONCATENATE("Import Barge/Vessel Trade of ",Commodities!C53, " to ",$B$2423," from ",#REF!)</f>
        <v>#REF!</v>
      </c>
      <c r="E2428" s="163" t="s">
        <v>196</v>
      </c>
      <c r="F2428" s="163" t="s">
        <v>318</v>
      </c>
    </row>
    <row r="2429" spans="2:6">
      <c r="B2429" s="147" t="s">
        <v>1035</v>
      </c>
      <c r="C2429" s="147" t="e">
        <f>CONCATENATE("IMP",Commodities!C54,"BR",RIGHT(#REF!,2))</f>
        <v>#REF!</v>
      </c>
      <c r="D2429" s="147" t="e">
        <f>CONCATENATE("Import Barge/Vessel Trade of ",Commodities!C54, " to ",$B$2423," from ",#REF!)</f>
        <v>#REF!</v>
      </c>
      <c r="E2429" s="163" t="s">
        <v>196</v>
      </c>
      <c r="F2429" s="163" t="s">
        <v>318</v>
      </c>
    </row>
    <row r="2430" spans="2:6">
      <c r="B2430" s="147" t="s">
        <v>1035</v>
      </c>
      <c r="C2430" s="147" t="e">
        <f>CONCATENATE("IMP",Commodities!C55,"BR",RIGHT(#REF!,2))</f>
        <v>#REF!</v>
      </c>
      <c r="D2430" s="147" t="e">
        <f>CONCATENATE("Import Barge/Vessel Trade of ",Commodities!C55, " to ",$B$2423," from ",#REF!)</f>
        <v>#REF!</v>
      </c>
      <c r="E2430" s="163" t="s">
        <v>196</v>
      </c>
      <c r="F2430" s="163" t="s">
        <v>318</v>
      </c>
    </row>
    <row r="2431" spans="2:6">
      <c r="B2431" s="147" t="s">
        <v>1035</v>
      </c>
      <c r="C2431" s="147" t="e">
        <f>CONCATENATE("IMP",Commodities!C56,"BR",RIGHT(#REF!,2))</f>
        <v>#REF!</v>
      </c>
      <c r="D2431" s="147" t="e">
        <f>CONCATENATE("Import Barge/Vessel Trade of ",Commodities!C56, " to ",$B$2423," from ",#REF!)</f>
        <v>#REF!</v>
      </c>
      <c r="E2431" s="163" t="s">
        <v>196</v>
      </c>
      <c r="F2431" s="163" t="s">
        <v>318</v>
      </c>
    </row>
    <row r="2432" spans="2:6">
      <c r="B2432" s="147" t="s">
        <v>1035</v>
      </c>
      <c r="C2432" s="147" t="e">
        <f>CONCATENATE("IMP",Commodities!C57,"BR",RIGHT(#REF!,2))</f>
        <v>#REF!</v>
      </c>
      <c r="D2432" s="147" t="e">
        <f>CONCATENATE("Import Barge/Vessel Trade of ",Commodities!C57, " to ",$B$2423," from ",#REF!)</f>
        <v>#REF!</v>
      </c>
      <c r="E2432" s="163" t="s">
        <v>196</v>
      </c>
      <c r="F2432" s="163" t="s">
        <v>318</v>
      </c>
    </row>
    <row r="2433" spans="2:6">
      <c r="B2433" s="147" t="s">
        <v>1035</v>
      </c>
      <c r="C2433" s="147" t="e">
        <f>CONCATENATE("IMP",Commodities!C58,"BR",RIGHT(#REF!,2))</f>
        <v>#REF!</v>
      </c>
      <c r="D2433" s="147" t="e">
        <f>CONCATENATE("Import Barge/Vessel Trade of ",Commodities!C58, " to ",$B$2423," from ",#REF!)</f>
        <v>#REF!</v>
      </c>
      <c r="E2433" s="163" t="s">
        <v>196</v>
      </c>
      <c r="F2433" s="163" t="s">
        <v>318</v>
      </c>
    </row>
    <row r="2434" spans="2:6">
      <c r="B2434" s="147" t="s">
        <v>1035</v>
      </c>
      <c r="C2434" s="147" t="e">
        <f>CONCATENATE("IMP",Commodities!C59,"BR",RIGHT(#REF!,2))</f>
        <v>#REF!</v>
      </c>
      <c r="D2434" s="147" t="e">
        <f>CONCATENATE("Import Barge/Vessel Trade of ",Commodities!C59, " to ",$B$2423," from ",#REF!)</f>
        <v>#REF!</v>
      </c>
      <c r="E2434" s="163" t="s">
        <v>196</v>
      </c>
      <c r="F2434" s="163" t="s">
        <v>318</v>
      </c>
    </row>
    <row r="2435" spans="2:6">
      <c r="B2435" s="147" t="s">
        <v>1035</v>
      </c>
      <c r="C2435" s="147" t="e">
        <f>CONCATENATE("IMP",Commodities!C60,"BR",RIGHT(#REF!,2))</f>
        <v>#REF!</v>
      </c>
      <c r="D2435" s="147" t="e">
        <f>CONCATENATE("Import Barge/Vessel Trade of ",Commodities!C60, " to ",$B$2423," from ",#REF!)</f>
        <v>#REF!</v>
      </c>
      <c r="E2435" s="163" t="s">
        <v>196</v>
      </c>
      <c r="F2435" s="163" t="s">
        <v>318</v>
      </c>
    </row>
    <row r="2436" spans="2:6">
      <c r="B2436" s="147" t="s">
        <v>1035</v>
      </c>
      <c r="C2436" s="147" t="e">
        <f>CONCATENATE("IMP",Commodities!C48,"BR",RIGHT(#REF!,2))</f>
        <v>#REF!</v>
      </c>
      <c r="D2436" s="147" t="e">
        <f>CONCATENATE("Import Barge/Vessel Trade of ",Commodities!C48, " to ",$B$2436," from ",#REF!)</f>
        <v>#REF!</v>
      </c>
      <c r="E2436" s="163" t="s">
        <v>196</v>
      </c>
      <c r="F2436" s="163" t="s">
        <v>318</v>
      </c>
    </row>
    <row r="2437" spans="2:6">
      <c r="B2437" s="147" t="s">
        <v>1035</v>
      </c>
      <c r="C2437" s="147" t="e">
        <f>CONCATENATE("IMP",Commodities!C49,"BR",RIGHT(#REF!,2))</f>
        <v>#REF!</v>
      </c>
      <c r="D2437" s="147" t="e">
        <f>CONCATENATE("Import Barge/Vessel Trade of ",Commodities!C49, " to ",$B$2436," from ",#REF!)</f>
        <v>#REF!</v>
      </c>
      <c r="E2437" s="163" t="s">
        <v>196</v>
      </c>
      <c r="F2437" s="163" t="s">
        <v>318</v>
      </c>
    </row>
    <row r="2438" spans="2:6">
      <c r="B2438" s="147" t="s">
        <v>1035</v>
      </c>
      <c r="C2438" s="147" t="e">
        <f>CONCATENATE("IMP",Commodities!C50,"BR",RIGHT(#REF!,2))</f>
        <v>#REF!</v>
      </c>
      <c r="D2438" s="147" t="e">
        <f>CONCATENATE("Import Barge/Vessel Trade of ",Commodities!C50, " to ",$B$2436," from ",#REF!)</f>
        <v>#REF!</v>
      </c>
      <c r="E2438" s="163" t="s">
        <v>196</v>
      </c>
      <c r="F2438" s="163" t="s">
        <v>318</v>
      </c>
    </row>
    <row r="2439" spans="2:6">
      <c r="B2439" s="147" t="s">
        <v>1035</v>
      </c>
      <c r="C2439" s="147" t="e">
        <f>CONCATENATE("IMP",Commodities!C51,"BR",RIGHT(#REF!,2))</f>
        <v>#REF!</v>
      </c>
      <c r="D2439" s="147" t="e">
        <f>CONCATENATE("Import Barge/Vessel Trade of ",Commodities!C51, " to ",$B$2436," from ",#REF!)</f>
        <v>#REF!</v>
      </c>
      <c r="E2439" s="163" t="s">
        <v>196</v>
      </c>
      <c r="F2439" s="163" t="s">
        <v>318</v>
      </c>
    </row>
    <row r="2440" spans="2:6">
      <c r="B2440" s="147" t="s">
        <v>1035</v>
      </c>
      <c r="C2440" s="147" t="e">
        <f>CONCATENATE("IMP",Commodities!C52,"BR",RIGHT(#REF!,2))</f>
        <v>#REF!</v>
      </c>
      <c r="D2440" s="147" t="e">
        <f>CONCATENATE("Import Barge/Vessel Trade of ",Commodities!C52, " to ",$B$2436," from ",#REF!)</f>
        <v>#REF!</v>
      </c>
      <c r="E2440" s="163" t="s">
        <v>196</v>
      </c>
      <c r="F2440" s="163" t="s">
        <v>318</v>
      </c>
    </row>
    <row r="2441" spans="2:6">
      <c r="B2441" s="147" t="s">
        <v>1035</v>
      </c>
      <c r="C2441" s="147" t="e">
        <f>CONCATENATE("IMP",Commodities!C53,"BR",RIGHT(#REF!,2))</f>
        <v>#REF!</v>
      </c>
      <c r="D2441" s="147" t="e">
        <f>CONCATENATE("Import Barge/Vessel Trade of ",Commodities!C53, " to ",$B$2436," from ",#REF!)</f>
        <v>#REF!</v>
      </c>
      <c r="E2441" s="163" t="s">
        <v>196</v>
      </c>
      <c r="F2441" s="163" t="s">
        <v>318</v>
      </c>
    </row>
    <row r="2442" spans="2:6">
      <c r="B2442" s="147" t="s">
        <v>1035</v>
      </c>
      <c r="C2442" s="147" t="e">
        <f>CONCATENATE("IMP",Commodities!C54,"BR",RIGHT(#REF!,2))</f>
        <v>#REF!</v>
      </c>
      <c r="D2442" s="147" t="e">
        <f>CONCATENATE("Import Barge/Vessel Trade of ",Commodities!C54, " to ",$B$2436," from ",#REF!)</f>
        <v>#REF!</v>
      </c>
      <c r="E2442" s="163" t="s">
        <v>196</v>
      </c>
      <c r="F2442" s="163" t="s">
        <v>318</v>
      </c>
    </row>
    <row r="2443" spans="2:6">
      <c r="B2443" s="147" t="s">
        <v>1035</v>
      </c>
      <c r="C2443" s="147" t="e">
        <f>CONCATENATE("IMP",Commodities!C55,"BR",RIGHT(#REF!,2))</f>
        <v>#REF!</v>
      </c>
      <c r="D2443" s="147" t="e">
        <f>CONCATENATE("Import Barge/Vessel Trade of ",Commodities!C55, " to ",$B$2436," from ",#REF!)</f>
        <v>#REF!</v>
      </c>
      <c r="E2443" s="163" t="s">
        <v>196</v>
      </c>
      <c r="F2443" s="163" t="s">
        <v>318</v>
      </c>
    </row>
    <row r="2444" spans="2:6">
      <c r="B2444" s="147" t="s">
        <v>1035</v>
      </c>
      <c r="C2444" s="147" t="e">
        <f>CONCATENATE("IMP",Commodities!C56,"BR",RIGHT(#REF!,2))</f>
        <v>#REF!</v>
      </c>
      <c r="D2444" s="147" t="e">
        <f>CONCATENATE("Import Barge/Vessel Trade of ",Commodities!C56, " to ",$B$2436," from ",#REF!)</f>
        <v>#REF!</v>
      </c>
      <c r="E2444" s="163" t="s">
        <v>196</v>
      </c>
      <c r="F2444" s="163" t="s">
        <v>318</v>
      </c>
    </row>
    <row r="2445" spans="2:6">
      <c r="B2445" s="147" t="s">
        <v>1035</v>
      </c>
      <c r="C2445" s="147" t="e">
        <f>CONCATENATE("IMP",Commodities!C57,"BR",RIGHT(#REF!,2))</f>
        <v>#REF!</v>
      </c>
      <c r="D2445" s="147" t="e">
        <f>CONCATENATE("Import Barge/Vessel Trade of ",Commodities!C57, " to ",$B$2436," from ",#REF!)</f>
        <v>#REF!</v>
      </c>
      <c r="E2445" s="163" t="s">
        <v>196</v>
      </c>
      <c r="F2445" s="163" t="s">
        <v>318</v>
      </c>
    </row>
    <row r="2446" spans="2:6">
      <c r="B2446" s="147" t="s">
        <v>1035</v>
      </c>
      <c r="C2446" s="147" t="e">
        <f>CONCATENATE("IMP",Commodities!C58,"BR",RIGHT(#REF!,2))</f>
        <v>#REF!</v>
      </c>
      <c r="D2446" s="147" t="e">
        <f>CONCATENATE("Import Barge/Vessel Trade of ",Commodities!C58, " to ",$B$2436," from ",#REF!)</f>
        <v>#REF!</v>
      </c>
      <c r="E2446" s="163" t="s">
        <v>196</v>
      </c>
      <c r="F2446" s="163" t="s">
        <v>318</v>
      </c>
    </row>
    <row r="2447" spans="2:6">
      <c r="B2447" s="147" t="s">
        <v>1035</v>
      </c>
      <c r="C2447" s="147" t="e">
        <f>CONCATENATE("IMP",Commodities!C59,"BR",RIGHT(#REF!,2))</f>
        <v>#REF!</v>
      </c>
      <c r="D2447" s="147" t="e">
        <f>CONCATENATE("Import Barge/Vessel Trade of ",Commodities!C59, " to ",$B$2436," from ",#REF!)</f>
        <v>#REF!</v>
      </c>
      <c r="E2447" s="163" t="s">
        <v>196</v>
      </c>
      <c r="F2447" s="163" t="s">
        <v>318</v>
      </c>
    </row>
    <row r="2448" spans="2:6">
      <c r="B2448" s="147" t="s">
        <v>1035</v>
      </c>
      <c r="C2448" s="147" t="e">
        <f>CONCATENATE("IMP",Commodities!C60,"BR",RIGHT(#REF!,2))</f>
        <v>#REF!</v>
      </c>
      <c r="D2448" s="147" t="e">
        <f>CONCATENATE("Import Barge/Vessel Trade of ",Commodities!C60, " to ",$B$2436," from ",#REF!)</f>
        <v>#REF!</v>
      </c>
      <c r="E2448" s="163" t="s">
        <v>196</v>
      </c>
      <c r="F2448" s="163" t="s">
        <v>318</v>
      </c>
    </row>
    <row r="2449" spans="2:6">
      <c r="B2449" s="147" t="s">
        <v>1005</v>
      </c>
      <c r="C2449" s="147" t="e">
        <f>CONCATENATE("IMP",Commodities!C48,"BR",RIGHT(#REF!,2))</f>
        <v>#REF!</v>
      </c>
      <c r="D2449" s="147" t="e">
        <f>CONCATENATE("Import Barge/Vessel Trade of ",Commodities!C48, " to ",$B$2449," from ",#REF!)</f>
        <v>#REF!</v>
      </c>
      <c r="E2449" s="163" t="s">
        <v>196</v>
      </c>
      <c r="F2449" s="163" t="s">
        <v>318</v>
      </c>
    </row>
    <row r="2450" spans="2:6">
      <c r="B2450" s="147" t="s">
        <v>1005</v>
      </c>
      <c r="C2450" s="147" t="e">
        <f>CONCATENATE("IMP",Commodities!C49,"BR",RIGHT(#REF!,2))</f>
        <v>#REF!</v>
      </c>
      <c r="D2450" s="147" t="e">
        <f>CONCATENATE("Import Barge/Vessel Trade of ",Commodities!C49, " to ",$B$2449," from ",#REF!)</f>
        <v>#REF!</v>
      </c>
      <c r="E2450" s="163" t="s">
        <v>196</v>
      </c>
      <c r="F2450" s="163" t="s">
        <v>318</v>
      </c>
    </row>
    <row r="2451" spans="2:6">
      <c r="B2451" s="147" t="s">
        <v>1005</v>
      </c>
      <c r="C2451" s="147" t="e">
        <f>CONCATENATE("IMP",Commodities!C50,"BR",RIGHT(#REF!,2))</f>
        <v>#REF!</v>
      </c>
      <c r="D2451" s="147" t="e">
        <f>CONCATENATE("Import Barge/Vessel Trade of ",Commodities!C50, " to ",$B$2449," from ",#REF!)</f>
        <v>#REF!</v>
      </c>
      <c r="E2451" s="163" t="s">
        <v>196</v>
      </c>
      <c r="F2451" s="163" t="s">
        <v>318</v>
      </c>
    </row>
    <row r="2452" spans="2:6">
      <c r="B2452" s="147" t="s">
        <v>1005</v>
      </c>
      <c r="C2452" s="147" t="e">
        <f>CONCATENATE("IMP",Commodities!C51,"BR",RIGHT(#REF!,2))</f>
        <v>#REF!</v>
      </c>
      <c r="D2452" s="147" t="e">
        <f>CONCATENATE("Import Barge/Vessel Trade of ",Commodities!C51, " to ",$B$2449," from ",#REF!)</f>
        <v>#REF!</v>
      </c>
      <c r="E2452" s="163" t="s">
        <v>196</v>
      </c>
      <c r="F2452" s="163" t="s">
        <v>318</v>
      </c>
    </row>
    <row r="2453" spans="2:6">
      <c r="B2453" s="147" t="s">
        <v>1005</v>
      </c>
      <c r="C2453" s="147" t="e">
        <f>CONCATENATE("IMP",Commodities!C52,"BR",RIGHT(#REF!,2))</f>
        <v>#REF!</v>
      </c>
      <c r="D2453" s="147" t="e">
        <f>CONCATENATE("Import Barge/Vessel Trade of ",Commodities!C52, " to ",$B$2449," from ",#REF!)</f>
        <v>#REF!</v>
      </c>
      <c r="E2453" s="163" t="s">
        <v>196</v>
      </c>
      <c r="F2453" s="163" t="s">
        <v>318</v>
      </c>
    </row>
    <row r="2454" spans="2:6">
      <c r="B2454" s="147" t="s">
        <v>1005</v>
      </c>
      <c r="C2454" s="147" t="e">
        <f>CONCATENATE("IMP",Commodities!C53,"BR",RIGHT(#REF!,2))</f>
        <v>#REF!</v>
      </c>
      <c r="D2454" s="147" t="e">
        <f>CONCATENATE("Import Barge/Vessel Trade of ",Commodities!C53, " to ",$B$2449," from ",#REF!)</f>
        <v>#REF!</v>
      </c>
      <c r="E2454" s="163" t="s">
        <v>196</v>
      </c>
      <c r="F2454" s="163" t="s">
        <v>318</v>
      </c>
    </row>
    <row r="2455" spans="2:6">
      <c r="B2455" s="147" t="s">
        <v>1005</v>
      </c>
      <c r="C2455" s="147" t="e">
        <f>CONCATENATE("IMP",Commodities!C54,"BR",RIGHT(#REF!,2))</f>
        <v>#REF!</v>
      </c>
      <c r="D2455" s="147" t="e">
        <f>CONCATENATE("Import Barge/Vessel Trade of ",Commodities!C54, " to ",$B$2449," from ",#REF!)</f>
        <v>#REF!</v>
      </c>
      <c r="E2455" s="163" t="s">
        <v>196</v>
      </c>
      <c r="F2455" s="163" t="s">
        <v>318</v>
      </c>
    </row>
    <row r="2456" spans="2:6">
      <c r="B2456" s="147" t="s">
        <v>1005</v>
      </c>
      <c r="C2456" s="147" t="e">
        <f>CONCATENATE("IMP",Commodities!C55,"BR",RIGHT(#REF!,2))</f>
        <v>#REF!</v>
      </c>
      <c r="D2456" s="147" t="e">
        <f>CONCATENATE("Import Barge/Vessel Trade of ",Commodities!C55, " to ",$B$2449," from ",#REF!)</f>
        <v>#REF!</v>
      </c>
      <c r="E2456" s="163" t="s">
        <v>196</v>
      </c>
      <c r="F2456" s="163" t="s">
        <v>318</v>
      </c>
    </row>
    <row r="2457" spans="2:6">
      <c r="B2457" s="147" t="s">
        <v>1005</v>
      </c>
      <c r="C2457" s="147" t="e">
        <f>CONCATENATE("IMP",Commodities!C56,"BR",RIGHT(#REF!,2))</f>
        <v>#REF!</v>
      </c>
      <c r="D2457" s="147" t="e">
        <f>CONCATENATE("Import Barge/Vessel Trade of ",Commodities!C56, " to ",$B$2449," from ",#REF!)</f>
        <v>#REF!</v>
      </c>
      <c r="E2457" s="163" t="s">
        <v>196</v>
      </c>
      <c r="F2457" s="163" t="s">
        <v>318</v>
      </c>
    </row>
    <row r="2458" spans="2:6">
      <c r="B2458" s="147" t="s">
        <v>1005</v>
      </c>
      <c r="C2458" s="147" t="e">
        <f>CONCATENATE("IMP",Commodities!C57,"BR",RIGHT(#REF!,2))</f>
        <v>#REF!</v>
      </c>
      <c r="D2458" s="147" t="e">
        <f>CONCATENATE("Import Barge/Vessel Trade of ",Commodities!C57, " to ",$B$2449," from ",#REF!)</f>
        <v>#REF!</v>
      </c>
      <c r="E2458" s="163" t="s">
        <v>196</v>
      </c>
      <c r="F2458" s="163" t="s">
        <v>318</v>
      </c>
    </row>
    <row r="2459" spans="2:6">
      <c r="B2459" s="147" t="s">
        <v>1005</v>
      </c>
      <c r="C2459" s="147" t="e">
        <f>CONCATENATE("IMP",Commodities!C58,"BR",RIGHT(#REF!,2))</f>
        <v>#REF!</v>
      </c>
      <c r="D2459" s="147" t="e">
        <f>CONCATENATE("Import Barge/Vessel Trade of ",Commodities!C58, " to ",$B$2449," from ",#REF!)</f>
        <v>#REF!</v>
      </c>
      <c r="E2459" s="163" t="s">
        <v>196</v>
      </c>
      <c r="F2459" s="163" t="s">
        <v>318</v>
      </c>
    </row>
    <row r="2460" spans="2:6">
      <c r="B2460" s="147" t="s">
        <v>1005</v>
      </c>
      <c r="C2460" s="147" t="e">
        <f>CONCATENATE("IMP",Commodities!C59,"BR",RIGHT(#REF!,2))</f>
        <v>#REF!</v>
      </c>
      <c r="D2460" s="147" t="e">
        <f>CONCATENATE("Import Barge/Vessel Trade of ",Commodities!C59, " to ",$B$2449," from ",#REF!)</f>
        <v>#REF!</v>
      </c>
      <c r="E2460" s="163" t="s">
        <v>196</v>
      </c>
      <c r="F2460" s="163" t="s">
        <v>318</v>
      </c>
    </row>
    <row r="2461" spans="2:6">
      <c r="B2461" s="147" t="s">
        <v>1005</v>
      </c>
      <c r="C2461" s="147" t="e">
        <f>CONCATENATE("IMP",Commodities!C60,"BR",RIGHT(#REF!,2))</f>
        <v>#REF!</v>
      </c>
      <c r="D2461" s="147" t="e">
        <f>CONCATENATE("Import Barge/Vessel Trade of ",Commodities!C60, " to ",$B$2449," from ",#REF!)</f>
        <v>#REF!</v>
      </c>
      <c r="E2461" s="163" t="s">
        <v>196</v>
      </c>
      <c r="F2461" s="163" t="s">
        <v>318</v>
      </c>
    </row>
    <row r="2462" spans="2:6">
      <c r="B2462" s="147" t="s">
        <v>1005</v>
      </c>
      <c r="C2462" s="147" t="e">
        <f>CONCATENATE("IMP",Commodities!C48,"BR",RIGHT(#REF!,2))</f>
        <v>#REF!</v>
      </c>
      <c r="D2462" s="147" t="e">
        <f>CONCATENATE("Import Barge/Vessel Trade of ",Commodities!C48, " to ",$B$2462," from ",#REF!)</f>
        <v>#REF!</v>
      </c>
      <c r="E2462" s="163" t="s">
        <v>196</v>
      </c>
      <c r="F2462" s="163" t="s">
        <v>318</v>
      </c>
    </row>
    <row r="2463" spans="2:6">
      <c r="B2463" s="147" t="s">
        <v>1005</v>
      </c>
      <c r="C2463" s="147" t="e">
        <f>CONCATENATE("IMP",Commodities!C49,"BR",RIGHT(#REF!,2))</f>
        <v>#REF!</v>
      </c>
      <c r="D2463" s="147" t="e">
        <f>CONCATENATE("Import Barge/Vessel Trade of ",Commodities!C49, " to ",$B$2462," from ",#REF!)</f>
        <v>#REF!</v>
      </c>
      <c r="E2463" s="163" t="s">
        <v>196</v>
      </c>
      <c r="F2463" s="163" t="s">
        <v>318</v>
      </c>
    </row>
    <row r="2464" spans="2:6">
      <c r="B2464" s="147" t="s">
        <v>1005</v>
      </c>
      <c r="C2464" s="147" t="e">
        <f>CONCATENATE("IMP",Commodities!C50,"BR",RIGHT(#REF!,2))</f>
        <v>#REF!</v>
      </c>
      <c r="D2464" s="147" t="e">
        <f>CONCATENATE("Import Barge/Vessel Trade of ",Commodities!C50, " to ",$B$2462," from ",#REF!)</f>
        <v>#REF!</v>
      </c>
      <c r="E2464" s="163" t="s">
        <v>196</v>
      </c>
      <c r="F2464" s="163" t="s">
        <v>318</v>
      </c>
    </row>
    <row r="2465" spans="2:6">
      <c r="B2465" s="147" t="s">
        <v>1005</v>
      </c>
      <c r="C2465" s="147" t="e">
        <f>CONCATENATE("IMP",Commodities!C51,"BR",RIGHT(#REF!,2))</f>
        <v>#REF!</v>
      </c>
      <c r="D2465" s="147" t="e">
        <f>CONCATENATE("Import Barge/Vessel Trade of ",Commodities!C51, " to ",$B$2462," from ",#REF!)</f>
        <v>#REF!</v>
      </c>
      <c r="E2465" s="163" t="s">
        <v>196</v>
      </c>
      <c r="F2465" s="163" t="s">
        <v>318</v>
      </c>
    </row>
    <row r="2466" spans="2:6">
      <c r="B2466" s="147" t="s">
        <v>1005</v>
      </c>
      <c r="C2466" s="147" t="e">
        <f>CONCATENATE("IMP",Commodities!C52,"BR",RIGHT(#REF!,2))</f>
        <v>#REF!</v>
      </c>
      <c r="D2466" s="147" t="e">
        <f>CONCATENATE("Import Barge/Vessel Trade of ",Commodities!C52, " to ",$B$2462," from ",#REF!)</f>
        <v>#REF!</v>
      </c>
      <c r="E2466" s="163" t="s">
        <v>196</v>
      </c>
      <c r="F2466" s="163" t="s">
        <v>318</v>
      </c>
    </row>
    <row r="2467" spans="2:6">
      <c r="B2467" s="147" t="s">
        <v>1005</v>
      </c>
      <c r="C2467" s="147" t="e">
        <f>CONCATENATE("IMP",Commodities!C53,"BR",RIGHT(#REF!,2))</f>
        <v>#REF!</v>
      </c>
      <c r="D2467" s="147" t="e">
        <f>CONCATENATE("Import Barge/Vessel Trade of ",Commodities!C53, " to ",$B$2462," from ",#REF!)</f>
        <v>#REF!</v>
      </c>
      <c r="E2467" s="163" t="s">
        <v>196</v>
      </c>
      <c r="F2467" s="163" t="s">
        <v>318</v>
      </c>
    </row>
    <row r="2468" spans="2:6">
      <c r="B2468" s="147" t="s">
        <v>1005</v>
      </c>
      <c r="C2468" s="147" t="e">
        <f>CONCATENATE("IMP",Commodities!C54,"BR",RIGHT(#REF!,2))</f>
        <v>#REF!</v>
      </c>
      <c r="D2468" s="147" t="e">
        <f>CONCATENATE("Import Barge/Vessel Trade of ",Commodities!C54, " to ",$B$2462," from ",#REF!)</f>
        <v>#REF!</v>
      </c>
      <c r="E2468" s="163" t="s">
        <v>196</v>
      </c>
      <c r="F2468" s="163" t="s">
        <v>318</v>
      </c>
    </row>
    <row r="2469" spans="2:6">
      <c r="B2469" s="147" t="s">
        <v>1005</v>
      </c>
      <c r="C2469" s="147" t="e">
        <f>CONCATENATE("IMP",Commodities!C55,"BR",RIGHT(#REF!,2))</f>
        <v>#REF!</v>
      </c>
      <c r="D2469" s="147" t="e">
        <f>CONCATENATE("Import Barge/Vessel Trade of ",Commodities!C55, " to ",$B$2462," from ",#REF!)</f>
        <v>#REF!</v>
      </c>
      <c r="E2469" s="163" t="s">
        <v>196</v>
      </c>
      <c r="F2469" s="163" t="s">
        <v>318</v>
      </c>
    </row>
    <row r="2470" spans="2:6">
      <c r="B2470" s="147" t="s">
        <v>1005</v>
      </c>
      <c r="C2470" s="147" t="e">
        <f>CONCATENATE("IMP",Commodities!C56,"BR",RIGHT(#REF!,2))</f>
        <v>#REF!</v>
      </c>
      <c r="D2470" s="147" t="e">
        <f>CONCATENATE("Import Barge/Vessel Trade of ",Commodities!C56, " to ",$B$2462," from ",#REF!)</f>
        <v>#REF!</v>
      </c>
      <c r="E2470" s="163" t="s">
        <v>196</v>
      </c>
      <c r="F2470" s="163" t="s">
        <v>318</v>
      </c>
    </row>
    <row r="2471" spans="2:6">
      <c r="B2471" s="147" t="s">
        <v>1005</v>
      </c>
      <c r="C2471" s="147" t="e">
        <f>CONCATENATE("IMP",Commodities!C57,"BR",RIGHT(#REF!,2))</f>
        <v>#REF!</v>
      </c>
      <c r="D2471" s="147" t="e">
        <f>CONCATENATE("Import Barge/Vessel Trade of ",Commodities!C57, " to ",$B$2462," from ",#REF!)</f>
        <v>#REF!</v>
      </c>
      <c r="E2471" s="163" t="s">
        <v>196</v>
      </c>
      <c r="F2471" s="163" t="s">
        <v>318</v>
      </c>
    </row>
    <row r="2472" spans="2:6">
      <c r="B2472" s="147" t="s">
        <v>1005</v>
      </c>
      <c r="C2472" s="147" t="e">
        <f>CONCATENATE("IMP",Commodities!C58,"BR",RIGHT(#REF!,2))</f>
        <v>#REF!</v>
      </c>
      <c r="D2472" s="147" t="e">
        <f>CONCATENATE("Import Barge/Vessel Trade of ",Commodities!C58, " to ",$B$2462," from ",#REF!)</f>
        <v>#REF!</v>
      </c>
      <c r="E2472" s="163" t="s">
        <v>196</v>
      </c>
      <c r="F2472" s="163" t="s">
        <v>318</v>
      </c>
    </row>
    <row r="2473" spans="2:6">
      <c r="B2473" s="147" t="s">
        <v>1005</v>
      </c>
      <c r="C2473" s="147" t="e">
        <f>CONCATENATE("IMP",Commodities!C59,"BR",RIGHT(#REF!,2))</f>
        <v>#REF!</v>
      </c>
      <c r="D2473" s="147" t="e">
        <f>CONCATENATE("Import Barge/Vessel Trade of ",Commodities!C59, " to ",$B$2462," from ",#REF!)</f>
        <v>#REF!</v>
      </c>
      <c r="E2473" s="163" t="s">
        <v>196</v>
      </c>
      <c r="F2473" s="163" t="s">
        <v>318</v>
      </c>
    </row>
    <row r="2474" spans="2:6">
      <c r="B2474" s="147" t="s">
        <v>1005</v>
      </c>
      <c r="C2474" s="147" t="e">
        <f>CONCATENATE("IMP",Commodities!C60,"BR",RIGHT(#REF!,2))</f>
        <v>#REF!</v>
      </c>
      <c r="D2474" s="147" t="e">
        <f>CONCATENATE("Import Barge/Vessel Trade of ",Commodities!C60, " to ",$B$2462," from ",#REF!)</f>
        <v>#REF!</v>
      </c>
      <c r="E2474" s="163" t="s">
        <v>196</v>
      </c>
      <c r="F2474" s="163" t="s">
        <v>318</v>
      </c>
    </row>
    <row r="2475" spans="2:6">
      <c r="B2475" s="147" t="s">
        <v>1005</v>
      </c>
      <c r="C2475" s="147" t="e">
        <f>CONCATENATE("IMP",Commodities!C48,"BR",RIGHT(#REF!,2))</f>
        <v>#REF!</v>
      </c>
      <c r="D2475" s="147" t="e">
        <f>CONCATENATE("Import Barge/Vessel Trade of ",Commodities!C48, " to ",$B$2475," from ",#REF!)</f>
        <v>#REF!</v>
      </c>
      <c r="E2475" s="163" t="s">
        <v>196</v>
      </c>
      <c r="F2475" s="163" t="s">
        <v>318</v>
      </c>
    </row>
    <row r="2476" spans="2:6">
      <c r="B2476" s="147" t="s">
        <v>1005</v>
      </c>
      <c r="C2476" s="147" t="e">
        <f>CONCATENATE("IMP",Commodities!C49,"BR",RIGHT(#REF!,2))</f>
        <v>#REF!</v>
      </c>
      <c r="D2476" s="147" t="e">
        <f>CONCATENATE("Import Barge/Vessel Trade of ",Commodities!C49, " to ",$B$2475," from ",#REF!)</f>
        <v>#REF!</v>
      </c>
      <c r="E2476" s="163" t="s">
        <v>196</v>
      </c>
      <c r="F2476" s="163" t="s">
        <v>318</v>
      </c>
    </row>
    <row r="2477" spans="2:6">
      <c r="B2477" s="147" t="s">
        <v>1005</v>
      </c>
      <c r="C2477" s="147" t="e">
        <f>CONCATENATE("IMP",Commodities!C50,"BR",RIGHT(#REF!,2))</f>
        <v>#REF!</v>
      </c>
      <c r="D2477" s="147" t="e">
        <f>CONCATENATE("Import Barge/Vessel Trade of ",Commodities!C50, " to ",$B$2475," from ",#REF!)</f>
        <v>#REF!</v>
      </c>
      <c r="E2477" s="163" t="s">
        <v>196</v>
      </c>
      <c r="F2477" s="163" t="s">
        <v>318</v>
      </c>
    </row>
    <row r="2478" spans="2:6">
      <c r="B2478" s="147" t="s">
        <v>1005</v>
      </c>
      <c r="C2478" s="147" t="e">
        <f>CONCATENATE("IMP",Commodities!C51,"BR",RIGHT(#REF!,2))</f>
        <v>#REF!</v>
      </c>
      <c r="D2478" s="147" t="e">
        <f>CONCATENATE("Import Barge/Vessel Trade of ",Commodities!C51, " to ",$B$2475," from ",#REF!)</f>
        <v>#REF!</v>
      </c>
      <c r="E2478" s="163" t="s">
        <v>196</v>
      </c>
      <c r="F2478" s="163" t="s">
        <v>318</v>
      </c>
    </row>
    <row r="2479" spans="2:6">
      <c r="B2479" s="147" t="s">
        <v>1005</v>
      </c>
      <c r="C2479" s="147" t="e">
        <f>CONCATENATE("IMP",Commodities!C52,"BR",RIGHT(#REF!,2))</f>
        <v>#REF!</v>
      </c>
      <c r="D2479" s="147" t="e">
        <f>CONCATENATE("Import Barge/Vessel Trade of ",Commodities!C52, " to ",$B$2475," from ",#REF!)</f>
        <v>#REF!</v>
      </c>
      <c r="E2479" s="163" t="s">
        <v>196</v>
      </c>
      <c r="F2479" s="163" t="s">
        <v>318</v>
      </c>
    </row>
    <row r="2480" spans="2:6">
      <c r="B2480" s="147" t="s">
        <v>1005</v>
      </c>
      <c r="C2480" s="147" t="e">
        <f>CONCATENATE("IMP",Commodities!C53,"BR",RIGHT(#REF!,2))</f>
        <v>#REF!</v>
      </c>
      <c r="D2480" s="147" t="e">
        <f>CONCATENATE("Import Barge/Vessel Trade of ",Commodities!C53, " to ",$B$2475," from ",#REF!)</f>
        <v>#REF!</v>
      </c>
      <c r="E2480" s="163" t="s">
        <v>196</v>
      </c>
      <c r="F2480" s="163" t="s">
        <v>318</v>
      </c>
    </row>
    <row r="2481" spans="2:6">
      <c r="B2481" s="147" t="s">
        <v>1005</v>
      </c>
      <c r="C2481" s="147" t="e">
        <f>CONCATENATE("IMP",Commodities!C54,"BR",RIGHT(#REF!,2))</f>
        <v>#REF!</v>
      </c>
      <c r="D2481" s="147" t="e">
        <f>CONCATENATE("Import Barge/Vessel Trade of ",Commodities!C54, " to ",$B$2475," from ",#REF!)</f>
        <v>#REF!</v>
      </c>
      <c r="E2481" s="163" t="s">
        <v>196</v>
      </c>
      <c r="F2481" s="163" t="s">
        <v>318</v>
      </c>
    </row>
    <row r="2482" spans="2:6">
      <c r="B2482" s="147" t="s">
        <v>1005</v>
      </c>
      <c r="C2482" s="147" t="e">
        <f>CONCATENATE("IMP",Commodities!C55,"BR",RIGHT(#REF!,2))</f>
        <v>#REF!</v>
      </c>
      <c r="D2482" s="147" t="e">
        <f>CONCATENATE("Import Barge/Vessel Trade of ",Commodities!C55, " to ",$B$2475," from ",#REF!)</f>
        <v>#REF!</v>
      </c>
      <c r="E2482" s="163" t="s">
        <v>196</v>
      </c>
      <c r="F2482" s="163" t="s">
        <v>318</v>
      </c>
    </row>
    <row r="2483" spans="2:6">
      <c r="B2483" s="147" t="s">
        <v>1005</v>
      </c>
      <c r="C2483" s="147" t="e">
        <f>CONCATENATE("IMP",Commodities!C56,"BR",RIGHT(#REF!,2))</f>
        <v>#REF!</v>
      </c>
      <c r="D2483" s="147" t="e">
        <f>CONCATENATE("Import Barge/Vessel Trade of ",Commodities!C56, " to ",$B$2475," from ",#REF!)</f>
        <v>#REF!</v>
      </c>
      <c r="E2483" s="163" t="s">
        <v>196</v>
      </c>
      <c r="F2483" s="163" t="s">
        <v>318</v>
      </c>
    </row>
    <row r="2484" spans="2:6">
      <c r="B2484" s="147" t="s">
        <v>1005</v>
      </c>
      <c r="C2484" s="147" t="e">
        <f>CONCATENATE("IMP",Commodities!C57,"BR",RIGHT(#REF!,2))</f>
        <v>#REF!</v>
      </c>
      <c r="D2484" s="147" t="e">
        <f>CONCATENATE("Import Barge/Vessel Trade of ",Commodities!C57, " to ",$B$2475," from ",#REF!)</f>
        <v>#REF!</v>
      </c>
      <c r="E2484" s="163" t="s">
        <v>196</v>
      </c>
      <c r="F2484" s="163" t="s">
        <v>318</v>
      </c>
    </row>
    <row r="2485" spans="2:6">
      <c r="B2485" s="147" t="s">
        <v>1005</v>
      </c>
      <c r="C2485" s="147" t="e">
        <f>CONCATENATE("IMP",Commodities!C58,"BR",RIGHT(#REF!,2))</f>
        <v>#REF!</v>
      </c>
      <c r="D2485" s="147" t="e">
        <f>CONCATENATE("Import Barge/Vessel Trade of ",Commodities!C58, " to ",$B$2475," from ",#REF!)</f>
        <v>#REF!</v>
      </c>
      <c r="E2485" s="163" t="s">
        <v>196</v>
      </c>
      <c r="F2485" s="163" t="s">
        <v>318</v>
      </c>
    </row>
    <row r="2486" spans="2:6">
      <c r="B2486" s="147" t="s">
        <v>1005</v>
      </c>
      <c r="C2486" s="147" t="e">
        <f>CONCATENATE("IMP",Commodities!C59,"BR",RIGHT(#REF!,2))</f>
        <v>#REF!</v>
      </c>
      <c r="D2486" s="147" t="e">
        <f>CONCATENATE("Import Barge/Vessel Trade of ",Commodities!C59, " to ",$B$2475," from ",#REF!)</f>
        <v>#REF!</v>
      </c>
      <c r="E2486" s="163" t="s">
        <v>196</v>
      </c>
      <c r="F2486" s="163" t="s">
        <v>318</v>
      </c>
    </row>
    <row r="2487" spans="2:6">
      <c r="B2487" s="147" t="s">
        <v>1005</v>
      </c>
      <c r="C2487" s="147" t="e">
        <f>CONCATENATE("IMP",Commodities!C60,"BR",RIGHT(#REF!,2))</f>
        <v>#REF!</v>
      </c>
      <c r="D2487" s="147" t="e">
        <f>CONCATENATE("Import Barge/Vessel Trade of ",Commodities!C60, " to ",$B$2475," from ",#REF!)</f>
        <v>#REF!</v>
      </c>
      <c r="E2487" s="163" t="s">
        <v>196</v>
      </c>
      <c r="F2487" s="163" t="s">
        <v>318</v>
      </c>
    </row>
    <row r="2488" spans="2:6">
      <c r="B2488" s="147" t="s">
        <v>1005</v>
      </c>
      <c r="C2488" s="147" t="e">
        <f>CONCATENATE("IMP",Commodities!C48,"BR",RIGHT(#REF!,2))</f>
        <v>#REF!</v>
      </c>
      <c r="D2488" s="147" t="e">
        <f>CONCATENATE("Import Barge/Vessel Trade of ",Commodities!C48, " to ",$B$2488," from ",#REF!)</f>
        <v>#REF!</v>
      </c>
      <c r="E2488" s="163" t="s">
        <v>196</v>
      </c>
      <c r="F2488" s="163" t="s">
        <v>318</v>
      </c>
    </row>
    <row r="2489" spans="2:6">
      <c r="B2489" s="147" t="s">
        <v>1005</v>
      </c>
      <c r="C2489" s="147" t="e">
        <f>CONCATENATE("IMP",Commodities!C49,"BR",RIGHT(#REF!,2))</f>
        <v>#REF!</v>
      </c>
      <c r="D2489" s="147" t="e">
        <f>CONCATENATE("Import Barge/Vessel Trade of ",Commodities!C49, " to ",$B$2488," from ",#REF!)</f>
        <v>#REF!</v>
      </c>
      <c r="E2489" s="163" t="s">
        <v>196</v>
      </c>
      <c r="F2489" s="163" t="s">
        <v>318</v>
      </c>
    </row>
    <row r="2490" spans="2:6">
      <c r="B2490" s="147" t="s">
        <v>1005</v>
      </c>
      <c r="C2490" s="147" t="e">
        <f>CONCATENATE("IMP",Commodities!C50,"BR",RIGHT(#REF!,2))</f>
        <v>#REF!</v>
      </c>
      <c r="D2490" s="147" t="e">
        <f>CONCATENATE("Import Barge/Vessel Trade of ",Commodities!C50, " to ",$B$2488," from ",#REF!)</f>
        <v>#REF!</v>
      </c>
      <c r="E2490" s="163" t="s">
        <v>196</v>
      </c>
      <c r="F2490" s="163" t="s">
        <v>318</v>
      </c>
    </row>
    <row r="2491" spans="2:6">
      <c r="B2491" s="147" t="s">
        <v>1005</v>
      </c>
      <c r="C2491" s="147" t="e">
        <f>CONCATENATE("IMP",Commodities!C51,"BR",RIGHT(#REF!,2))</f>
        <v>#REF!</v>
      </c>
      <c r="D2491" s="147" t="e">
        <f>CONCATENATE("Import Barge/Vessel Trade of ",Commodities!C51, " to ",$B$2488," from ",#REF!)</f>
        <v>#REF!</v>
      </c>
      <c r="E2491" s="163" t="s">
        <v>196</v>
      </c>
      <c r="F2491" s="163" t="s">
        <v>318</v>
      </c>
    </row>
    <row r="2492" spans="2:6">
      <c r="B2492" s="147" t="s">
        <v>1005</v>
      </c>
      <c r="C2492" s="147" t="e">
        <f>CONCATENATE("IMP",Commodities!C52,"BR",RIGHT(#REF!,2))</f>
        <v>#REF!</v>
      </c>
      <c r="D2492" s="147" t="e">
        <f>CONCATENATE("Import Barge/Vessel Trade of ",Commodities!C52, " to ",$B$2488," from ",#REF!)</f>
        <v>#REF!</v>
      </c>
      <c r="E2492" s="163" t="s">
        <v>196</v>
      </c>
      <c r="F2492" s="163" t="s">
        <v>318</v>
      </c>
    </row>
    <row r="2493" spans="2:6">
      <c r="B2493" s="147" t="s">
        <v>1005</v>
      </c>
      <c r="C2493" s="147" t="e">
        <f>CONCATENATE("IMP",Commodities!C53,"BR",RIGHT(#REF!,2))</f>
        <v>#REF!</v>
      </c>
      <c r="D2493" s="147" t="e">
        <f>CONCATENATE("Import Barge/Vessel Trade of ",Commodities!C53, " to ",$B$2488," from ",#REF!)</f>
        <v>#REF!</v>
      </c>
      <c r="E2493" s="163" t="s">
        <v>196</v>
      </c>
      <c r="F2493" s="163" t="s">
        <v>318</v>
      </c>
    </row>
    <row r="2494" spans="2:6">
      <c r="B2494" s="147" t="s">
        <v>1005</v>
      </c>
      <c r="C2494" s="147" t="e">
        <f>CONCATENATE("IMP",Commodities!C54,"BR",RIGHT(#REF!,2))</f>
        <v>#REF!</v>
      </c>
      <c r="D2494" s="147" t="e">
        <f>CONCATENATE("Import Barge/Vessel Trade of ",Commodities!C54, " to ",$B$2488," from ",#REF!)</f>
        <v>#REF!</v>
      </c>
      <c r="E2494" s="163" t="s">
        <v>196</v>
      </c>
      <c r="F2494" s="163" t="s">
        <v>318</v>
      </c>
    </row>
    <row r="2495" spans="2:6">
      <c r="B2495" s="147" t="s">
        <v>1005</v>
      </c>
      <c r="C2495" s="147" t="e">
        <f>CONCATENATE("IMP",Commodities!C55,"BR",RIGHT(#REF!,2))</f>
        <v>#REF!</v>
      </c>
      <c r="D2495" s="147" t="e">
        <f>CONCATENATE("Import Barge/Vessel Trade of ",Commodities!C55, " to ",$B$2488," from ",#REF!)</f>
        <v>#REF!</v>
      </c>
      <c r="E2495" s="163" t="s">
        <v>196</v>
      </c>
      <c r="F2495" s="163" t="s">
        <v>318</v>
      </c>
    </row>
    <row r="2496" spans="2:6">
      <c r="B2496" s="147" t="s">
        <v>1005</v>
      </c>
      <c r="C2496" s="147" t="e">
        <f>CONCATENATE("IMP",Commodities!C56,"BR",RIGHT(#REF!,2))</f>
        <v>#REF!</v>
      </c>
      <c r="D2496" s="147" t="e">
        <f>CONCATENATE("Import Barge/Vessel Trade of ",Commodities!C56, " to ",$B$2488," from ",#REF!)</f>
        <v>#REF!</v>
      </c>
      <c r="E2496" s="163" t="s">
        <v>196</v>
      </c>
      <c r="F2496" s="163" t="s">
        <v>318</v>
      </c>
    </row>
    <row r="2497" spans="2:6">
      <c r="B2497" s="147" t="s">
        <v>1005</v>
      </c>
      <c r="C2497" s="147" t="e">
        <f>CONCATENATE("IMP",Commodities!C57,"BR",RIGHT(#REF!,2))</f>
        <v>#REF!</v>
      </c>
      <c r="D2497" s="147" t="e">
        <f>CONCATENATE("Import Barge/Vessel Trade of ",Commodities!C57, " to ",$B$2488," from ",#REF!)</f>
        <v>#REF!</v>
      </c>
      <c r="E2497" s="163" t="s">
        <v>196</v>
      </c>
      <c r="F2497" s="163" t="s">
        <v>318</v>
      </c>
    </row>
    <row r="2498" spans="2:6">
      <c r="B2498" s="147" t="s">
        <v>1005</v>
      </c>
      <c r="C2498" s="147" t="e">
        <f>CONCATENATE("IMP",Commodities!C58,"BR",RIGHT(#REF!,2))</f>
        <v>#REF!</v>
      </c>
      <c r="D2498" s="147" t="e">
        <f>CONCATENATE("Import Barge/Vessel Trade of ",Commodities!C58, " to ",$B$2488," from ",#REF!)</f>
        <v>#REF!</v>
      </c>
      <c r="E2498" s="163" t="s">
        <v>196</v>
      </c>
      <c r="F2498" s="163" t="s">
        <v>318</v>
      </c>
    </row>
    <row r="2499" spans="2:6">
      <c r="B2499" s="147" t="s">
        <v>1005</v>
      </c>
      <c r="C2499" s="147" t="e">
        <f>CONCATENATE("IMP",Commodities!C59,"BR",RIGHT(#REF!,2))</f>
        <v>#REF!</v>
      </c>
      <c r="D2499" s="147" t="e">
        <f>CONCATENATE("Import Barge/Vessel Trade of ",Commodities!C59, " to ",$B$2488," from ",#REF!)</f>
        <v>#REF!</v>
      </c>
      <c r="E2499" s="163" t="s">
        <v>196</v>
      </c>
      <c r="F2499" s="163" t="s">
        <v>318</v>
      </c>
    </row>
    <row r="2500" spans="2:6">
      <c r="B2500" s="147" t="s">
        <v>1005</v>
      </c>
      <c r="C2500" s="147" t="e">
        <f>CONCATENATE("IMP",Commodities!C60,"BR",RIGHT(#REF!,2))</f>
        <v>#REF!</v>
      </c>
      <c r="D2500" s="147" t="e">
        <f>CONCATENATE("Import Barge/Vessel Trade of ",Commodities!C60, " to ",$B$2488," from ",#REF!)</f>
        <v>#REF!</v>
      </c>
      <c r="E2500" s="163" t="s">
        <v>196</v>
      </c>
      <c r="F2500" s="163" t="s">
        <v>318</v>
      </c>
    </row>
    <row r="2501" spans="2:6">
      <c r="B2501" s="147" t="s">
        <v>971</v>
      </c>
      <c r="C2501" s="147" t="e">
        <f>CONCATENATE("IMP",Commodities!C48,"BR",RIGHT(#REF!,2))</f>
        <v>#REF!</v>
      </c>
      <c r="D2501" s="147" t="e">
        <f>CONCATENATE("Import Barge/Vessel Trade of ",Commodities!C48, " to ",$B$2501," from ",#REF!)</f>
        <v>#REF!</v>
      </c>
      <c r="E2501" s="163" t="s">
        <v>196</v>
      </c>
      <c r="F2501" s="163" t="s">
        <v>318</v>
      </c>
    </row>
    <row r="2502" spans="2:6">
      <c r="B2502" s="147" t="s">
        <v>971</v>
      </c>
      <c r="C2502" s="147" t="e">
        <f>CONCATENATE("IMP",Commodities!C49,"BR",RIGHT(#REF!,2))</f>
        <v>#REF!</v>
      </c>
      <c r="D2502" s="147" t="e">
        <f>CONCATENATE("Import Barge/Vessel Trade of ",Commodities!C49, " to ",$B$2501," from ",#REF!)</f>
        <v>#REF!</v>
      </c>
      <c r="E2502" s="163" t="s">
        <v>196</v>
      </c>
      <c r="F2502" s="163" t="s">
        <v>318</v>
      </c>
    </row>
    <row r="2503" spans="2:6">
      <c r="B2503" s="147" t="s">
        <v>971</v>
      </c>
      <c r="C2503" s="147" t="e">
        <f>CONCATENATE("IMP",Commodities!C50,"BR",RIGHT(#REF!,2))</f>
        <v>#REF!</v>
      </c>
      <c r="D2503" s="147" t="e">
        <f>CONCATENATE("Import Barge/Vessel Trade of ",Commodities!C50, " to ",$B$2501," from ",#REF!)</f>
        <v>#REF!</v>
      </c>
      <c r="E2503" s="163" t="s">
        <v>196</v>
      </c>
      <c r="F2503" s="163" t="s">
        <v>318</v>
      </c>
    </row>
    <row r="2504" spans="2:6">
      <c r="B2504" s="147" t="s">
        <v>971</v>
      </c>
      <c r="C2504" s="147" t="e">
        <f>CONCATENATE("IMP",Commodities!C51,"BR",RIGHT(#REF!,2))</f>
        <v>#REF!</v>
      </c>
      <c r="D2504" s="147" t="e">
        <f>CONCATENATE("Import Barge/Vessel Trade of ",Commodities!C51, " to ",$B$2501," from ",#REF!)</f>
        <v>#REF!</v>
      </c>
      <c r="E2504" s="163" t="s">
        <v>196</v>
      </c>
      <c r="F2504" s="163" t="s">
        <v>318</v>
      </c>
    </row>
    <row r="2505" spans="2:6">
      <c r="B2505" s="147" t="s">
        <v>971</v>
      </c>
      <c r="C2505" s="147" t="e">
        <f>CONCATENATE("IMP",Commodities!C52,"BR",RIGHT(#REF!,2))</f>
        <v>#REF!</v>
      </c>
      <c r="D2505" s="147" t="e">
        <f>CONCATENATE("Import Barge/Vessel Trade of ",Commodities!C52, " to ",$B$2501," from ",#REF!)</f>
        <v>#REF!</v>
      </c>
      <c r="E2505" s="163" t="s">
        <v>196</v>
      </c>
      <c r="F2505" s="163" t="s">
        <v>318</v>
      </c>
    </row>
    <row r="2506" spans="2:6">
      <c r="B2506" s="147" t="s">
        <v>971</v>
      </c>
      <c r="C2506" s="147" t="e">
        <f>CONCATENATE("IMP",Commodities!C53,"BR",RIGHT(#REF!,2))</f>
        <v>#REF!</v>
      </c>
      <c r="D2506" s="147" t="e">
        <f>CONCATENATE("Import Barge/Vessel Trade of ",Commodities!C53, " to ",$B$2501," from ",#REF!)</f>
        <v>#REF!</v>
      </c>
      <c r="E2506" s="163" t="s">
        <v>196</v>
      </c>
      <c r="F2506" s="163" t="s">
        <v>318</v>
      </c>
    </row>
    <row r="2507" spans="2:6">
      <c r="B2507" s="147" t="s">
        <v>971</v>
      </c>
      <c r="C2507" s="147" t="e">
        <f>CONCATENATE("IMP",Commodities!C54,"BR",RIGHT(#REF!,2))</f>
        <v>#REF!</v>
      </c>
      <c r="D2507" s="147" t="e">
        <f>CONCATENATE("Import Barge/Vessel Trade of ",Commodities!C54, " to ",$B$2501," from ",#REF!)</f>
        <v>#REF!</v>
      </c>
      <c r="E2507" s="163" t="s">
        <v>196</v>
      </c>
      <c r="F2507" s="163" t="s">
        <v>318</v>
      </c>
    </row>
    <row r="2508" spans="2:6">
      <c r="B2508" s="147" t="s">
        <v>971</v>
      </c>
      <c r="C2508" s="147" t="e">
        <f>CONCATENATE("IMP",Commodities!C55,"BR",RIGHT(#REF!,2))</f>
        <v>#REF!</v>
      </c>
      <c r="D2508" s="147" t="e">
        <f>CONCATENATE("Import Barge/Vessel Trade of ",Commodities!C55, " to ",$B$2501," from ",#REF!)</f>
        <v>#REF!</v>
      </c>
      <c r="E2508" s="163" t="s">
        <v>196</v>
      </c>
      <c r="F2508" s="163" t="s">
        <v>318</v>
      </c>
    </row>
    <row r="2509" spans="2:6">
      <c r="B2509" s="147" t="s">
        <v>971</v>
      </c>
      <c r="C2509" s="147" t="e">
        <f>CONCATENATE("IMP",Commodities!C56,"BR",RIGHT(#REF!,2))</f>
        <v>#REF!</v>
      </c>
      <c r="D2509" s="147" t="e">
        <f>CONCATENATE("Import Barge/Vessel Trade of ",Commodities!C56, " to ",$B$2501," from ",#REF!)</f>
        <v>#REF!</v>
      </c>
      <c r="E2509" s="163" t="s">
        <v>196</v>
      </c>
      <c r="F2509" s="163" t="s">
        <v>318</v>
      </c>
    </row>
    <row r="2510" spans="2:6">
      <c r="B2510" s="147" t="s">
        <v>971</v>
      </c>
      <c r="C2510" s="147" t="e">
        <f>CONCATENATE("IMP",Commodities!C57,"BR",RIGHT(#REF!,2))</f>
        <v>#REF!</v>
      </c>
      <c r="D2510" s="147" t="e">
        <f>CONCATENATE("Import Barge/Vessel Trade of ",Commodities!C57, " to ",$B$2501," from ",#REF!)</f>
        <v>#REF!</v>
      </c>
      <c r="E2510" s="163" t="s">
        <v>196</v>
      </c>
      <c r="F2510" s="163" t="s">
        <v>318</v>
      </c>
    </row>
    <row r="2511" spans="2:6">
      <c r="B2511" s="147" t="s">
        <v>971</v>
      </c>
      <c r="C2511" s="147" t="e">
        <f>CONCATENATE("IMP",Commodities!C58,"BR",RIGHT(#REF!,2))</f>
        <v>#REF!</v>
      </c>
      <c r="D2511" s="147" t="e">
        <f>CONCATENATE("Import Barge/Vessel Trade of ",Commodities!C58, " to ",$B$2501," from ",#REF!)</f>
        <v>#REF!</v>
      </c>
      <c r="E2511" s="163" t="s">
        <v>196</v>
      </c>
      <c r="F2511" s="163" t="s">
        <v>318</v>
      </c>
    </row>
    <row r="2512" spans="2:6">
      <c r="B2512" s="147" t="s">
        <v>971</v>
      </c>
      <c r="C2512" s="147" t="e">
        <f>CONCATENATE("IMP",Commodities!C59,"BR",RIGHT(#REF!,2))</f>
        <v>#REF!</v>
      </c>
      <c r="D2512" s="147" t="e">
        <f>CONCATENATE("Import Barge/Vessel Trade of ",Commodities!C59, " to ",$B$2501," from ",#REF!)</f>
        <v>#REF!</v>
      </c>
      <c r="E2512" s="163" t="s">
        <v>196</v>
      </c>
      <c r="F2512" s="163" t="s">
        <v>318</v>
      </c>
    </row>
    <row r="2513" spans="2:6">
      <c r="B2513" s="147" t="s">
        <v>971</v>
      </c>
      <c r="C2513" s="147" t="e">
        <f>CONCATENATE("IMP",Commodities!C60,"BR",RIGHT(#REF!,2))</f>
        <v>#REF!</v>
      </c>
      <c r="D2513" s="147" t="e">
        <f>CONCATENATE("Import Barge/Vessel Trade of ",Commodities!C60, " to ",$B$2501," from ",#REF!)</f>
        <v>#REF!</v>
      </c>
      <c r="E2513" s="163" t="s">
        <v>196</v>
      </c>
      <c r="F2513" s="163" t="s">
        <v>318</v>
      </c>
    </row>
    <row r="2514" spans="2:6">
      <c r="B2514" s="147" t="s">
        <v>971</v>
      </c>
      <c r="C2514" s="147" t="e">
        <f>CONCATENATE("IMP",Commodities!C48,"BR",RIGHT(#REF!,2))</f>
        <v>#REF!</v>
      </c>
      <c r="D2514" s="147" t="e">
        <f>CONCATENATE("Import Barge/Vessel Trade of ",Commodities!C48, " to ",$B$2514," from ",#REF!)</f>
        <v>#REF!</v>
      </c>
      <c r="E2514" s="163" t="s">
        <v>196</v>
      </c>
      <c r="F2514" s="163" t="s">
        <v>318</v>
      </c>
    </row>
    <row r="2515" spans="2:6">
      <c r="B2515" s="147" t="s">
        <v>971</v>
      </c>
      <c r="C2515" s="147" t="e">
        <f>CONCATENATE("IMP",Commodities!C49,"BR",RIGHT(#REF!,2))</f>
        <v>#REF!</v>
      </c>
      <c r="D2515" s="147" t="e">
        <f>CONCATENATE("Import Barge/Vessel Trade of ",Commodities!C49, " to ",$B$2514," from ",#REF!)</f>
        <v>#REF!</v>
      </c>
      <c r="E2515" s="163" t="s">
        <v>196</v>
      </c>
      <c r="F2515" s="163" t="s">
        <v>318</v>
      </c>
    </row>
    <row r="2516" spans="2:6">
      <c r="B2516" s="147" t="s">
        <v>971</v>
      </c>
      <c r="C2516" s="147" t="e">
        <f>CONCATENATE("IMP",Commodities!C50,"BR",RIGHT(#REF!,2))</f>
        <v>#REF!</v>
      </c>
      <c r="D2516" s="147" t="e">
        <f>CONCATENATE("Import Barge/Vessel Trade of ",Commodities!C50, " to ",$B$2514," from ",#REF!)</f>
        <v>#REF!</v>
      </c>
      <c r="E2516" s="163" t="s">
        <v>196</v>
      </c>
      <c r="F2516" s="163" t="s">
        <v>318</v>
      </c>
    </row>
    <row r="2517" spans="2:6">
      <c r="B2517" s="147" t="s">
        <v>971</v>
      </c>
      <c r="C2517" s="147" t="e">
        <f>CONCATENATE("IMP",Commodities!C51,"BR",RIGHT(#REF!,2))</f>
        <v>#REF!</v>
      </c>
      <c r="D2517" s="147" t="e">
        <f>CONCATENATE("Import Barge/Vessel Trade of ",Commodities!C51, " to ",$B$2514," from ",#REF!)</f>
        <v>#REF!</v>
      </c>
      <c r="E2517" s="163" t="s">
        <v>196</v>
      </c>
      <c r="F2517" s="163" t="s">
        <v>318</v>
      </c>
    </row>
    <row r="2518" spans="2:6">
      <c r="B2518" s="147" t="s">
        <v>971</v>
      </c>
      <c r="C2518" s="147" t="e">
        <f>CONCATENATE("IMP",Commodities!C52,"BR",RIGHT(#REF!,2))</f>
        <v>#REF!</v>
      </c>
      <c r="D2518" s="147" t="e">
        <f>CONCATENATE("Import Barge/Vessel Trade of ",Commodities!C52, " to ",$B$2514," from ",#REF!)</f>
        <v>#REF!</v>
      </c>
      <c r="E2518" s="163" t="s">
        <v>196</v>
      </c>
      <c r="F2518" s="163" t="s">
        <v>318</v>
      </c>
    </row>
    <row r="2519" spans="2:6">
      <c r="B2519" s="147" t="s">
        <v>971</v>
      </c>
      <c r="C2519" s="147" t="e">
        <f>CONCATENATE("IMP",Commodities!C53,"BR",RIGHT(#REF!,2))</f>
        <v>#REF!</v>
      </c>
      <c r="D2519" s="147" t="e">
        <f>CONCATENATE("Import Barge/Vessel Trade of ",Commodities!C53, " to ",$B$2514," from ",#REF!)</f>
        <v>#REF!</v>
      </c>
      <c r="E2519" s="163" t="s">
        <v>196</v>
      </c>
      <c r="F2519" s="163" t="s">
        <v>318</v>
      </c>
    </row>
    <row r="2520" spans="2:6">
      <c r="B2520" s="147" t="s">
        <v>971</v>
      </c>
      <c r="C2520" s="147" t="e">
        <f>CONCATENATE("IMP",Commodities!C54,"BR",RIGHT(#REF!,2))</f>
        <v>#REF!</v>
      </c>
      <c r="D2520" s="147" t="e">
        <f>CONCATENATE("Import Barge/Vessel Trade of ",Commodities!C54, " to ",$B$2514," from ",#REF!)</f>
        <v>#REF!</v>
      </c>
      <c r="E2520" s="163" t="s">
        <v>196</v>
      </c>
      <c r="F2520" s="163" t="s">
        <v>318</v>
      </c>
    </row>
    <row r="2521" spans="2:6">
      <c r="B2521" s="147" t="s">
        <v>971</v>
      </c>
      <c r="C2521" s="147" t="e">
        <f>CONCATENATE("IMP",Commodities!C55,"BR",RIGHT(#REF!,2))</f>
        <v>#REF!</v>
      </c>
      <c r="D2521" s="147" t="e">
        <f>CONCATENATE("Import Barge/Vessel Trade of ",Commodities!C55, " to ",$B$2514," from ",#REF!)</f>
        <v>#REF!</v>
      </c>
      <c r="E2521" s="163" t="s">
        <v>196</v>
      </c>
      <c r="F2521" s="163" t="s">
        <v>318</v>
      </c>
    </row>
    <row r="2522" spans="2:6">
      <c r="B2522" s="147" t="s">
        <v>971</v>
      </c>
      <c r="C2522" s="147" t="e">
        <f>CONCATENATE("IMP",Commodities!C56,"BR",RIGHT(#REF!,2))</f>
        <v>#REF!</v>
      </c>
      <c r="D2522" s="147" t="e">
        <f>CONCATENATE("Import Barge/Vessel Trade of ",Commodities!C56, " to ",$B$2514," from ",#REF!)</f>
        <v>#REF!</v>
      </c>
      <c r="E2522" s="163" t="s">
        <v>196</v>
      </c>
      <c r="F2522" s="163" t="s">
        <v>318</v>
      </c>
    </row>
    <row r="2523" spans="2:6">
      <c r="B2523" s="147" t="s">
        <v>971</v>
      </c>
      <c r="C2523" s="147" t="e">
        <f>CONCATENATE("IMP",Commodities!C57,"BR",RIGHT(#REF!,2))</f>
        <v>#REF!</v>
      </c>
      <c r="D2523" s="147" t="e">
        <f>CONCATENATE("Import Barge/Vessel Trade of ",Commodities!C57, " to ",$B$2514," from ",#REF!)</f>
        <v>#REF!</v>
      </c>
      <c r="E2523" s="163" t="s">
        <v>196</v>
      </c>
      <c r="F2523" s="163" t="s">
        <v>318</v>
      </c>
    </row>
    <row r="2524" spans="2:6">
      <c r="B2524" s="147" t="s">
        <v>971</v>
      </c>
      <c r="C2524" s="147" t="e">
        <f>CONCATENATE("IMP",Commodities!C58,"BR",RIGHT(#REF!,2))</f>
        <v>#REF!</v>
      </c>
      <c r="D2524" s="147" t="e">
        <f>CONCATENATE("Import Barge/Vessel Trade of ",Commodities!C58, " to ",$B$2514," from ",#REF!)</f>
        <v>#REF!</v>
      </c>
      <c r="E2524" s="163" t="s">
        <v>196</v>
      </c>
      <c r="F2524" s="163" t="s">
        <v>318</v>
      </c>
    </row>
    <row r="2525" spans="2:6">
      <c r="B2525" s="147" t="s">
        <v>971</v>
      </c>
      <c r="C2525" s="147" t="e">
        <f>CONCATENATE("IMP",Commodities!C59,"BR",RIGHT(#REF!,2))</f>
        <v>#REF!</v>
      </c>
      <c r="D2525" s="147" t="e">
        <f>CONCATENATE("Import Barge/Vessel Trade of ",Commodities!C59, " to ",$B$2514," from ",#REF!)</f>
        <v>#REF!</v>
      </c>
      <c r="E2525" s="163" t="s">
        <v>196</v>
      </c>
      <c r="F2525" s="163" t="s">
        <v>318</v>
      </c>
    </row>
    <row r="2526" spans="2:6">
      <c r="B2526" s="147" t="s">
        <v>971</v>
      </c>
      <c r="C2526" s="147" t="e">
        <f>CONCATENATE("IMP",Commodities!C60,"BR",RIGHT(#REF!,2))</f>
        <v>#REF!</v>
      </c>
      <c r="D2526" s="147" t="e">
        <f>CONCATENATE("Import Barge/Vessel Trade of ",Commodities!C60, " to ",$B$2514," from ",#REF!)</f>
        <v>#REF!</v>
      </c>
      <c r="E2526" s="163" t="s">
        <v>196</v>
      </c>
      <c r="F2526" s="163" t="s">
        <v>318</v>
      </c>
    </row>
    <row r="2527" spans="2:6">
      <c r="B2527" s="147" t="s">
        <v>972</v>
      </c>
      <c r="C2527" s="147" t="e">
        <f>CONCATENATE("IMP",Commodities!C48,"BR",RIGHT(#REF!,2))</f>
        <v>#REF!</v>
      </c>
      <c r="D2527" s="147" t="e">
        <f>CONCATENATE("Import Barge/Vessel Trade of ",Commodities!C48, " to ",$B$2527," from ",#REF!)</f>
        <v>#REF!</v>
      </c>
      <c r="E2527" s="163" t="s">
        <v>196</v>
      </c>
      <c r="F2527" s="163" t="s">
        <v>318</v>
      </c>
    </row>
    <row r="2528" spans="2:6">
      <c r="B2528" s="147" t="s">
        <v>972</v>
      </c>
      <c r="C2528" s="147" t="e">
        <f>CONCATENATE("IMP",Commodities!C49,"BR",RIGHT(#REF!,2))</f>
        <v>#REF!</v>
      </c>
      <c r="D2528" s="147" t="e">
        <f>CONCATENATE("Import Barge/Vessel Trade of ",Commodities!C49, " to ",$B$2527," from ",#REF!)</f>
        <v>#REF!</v>
      </c>
      <c r="E2528" s="163" t="s">
        <v>196</v>
      </c>
      <c r="F2528" s="163" t="s">
        <v>318</v>
      </c>
    </row>
    <row r="2529" spans="2:6">
      <c r="B2529" s="147" t="s">
        <v>972</v>
      </c>
      <c r="C2529" s="147" t="e">
        <f>CONCATENATE("IMP",Commodities!C50,"BR",RIGHT(#REF!,2))</f>
        <v>#REF!</v>
      </c>
      <c r="D2529" s="147" t="e">
        <f>CONCATENATE("Import Barge/Vessel Trade of ",Commodities!C50, " to ",$B$2527," from ",#REF!)</f>
        <v>#REF!</v>
      </c>
      <c r="E2529" s="163" t="s">
        <v>196</v>
      </c>
      <c r="F2529" s="163" t="s">
        <v>318</v>
      </c>
    </row>
    <row r="2530" spans="2:6">
      <c r="B2530" s="147" t="s">
        <v>972</v>
      </c>
      <c r="C2530" s="147" t="e">
        <f>CONCATENATE("IMP",Commodities!C51,"BR",RIGHT(#REF!,2))</f>
        <v>#REF!</v>
      </c>
      <c r="D2530" s="147" t="e">
        <f>CONCATENATE("Import Barge/Vessel Trade of ",Commodities!C51, " to ",$B$2527," from ",#REF!)</f>
        <v>#REF!</v>
      </c>
      <c r="E2530" s="163" t="s">
        <v>196</v>
      </c>
      <c r="F2530" s="163" t="s">
        <v>318</v>
      </c>
    </row>
    <row r="2531" spans="2:6">
      <c r="B2531" s="147" t="s">
        <v>972</v>
      </c>
      <c r="C2531" s="147" t="e">
        <f>CONCATENATE("IMP",Commodities!C52,"BR",RIGHT(#REF!,2))</f>
        <v>#REF!</v>
      </c>
      <c r="D2531" s="147" t="e">
        <f>CONCATENATE("Import Barge/Vessel Trade of ",Commodities!C52, " to ",$B$2527," from ",#REF!)</f>
        <v>#REF!</v>
      </c>
      <c r="E2531" s="163" t="s">
        <v>196</v>
      </c>
      <c r="F2531" s="163" t="s">
        <v>318</v>
      </c>
    </row>
    <row r="2532" spans="2:6">
      <c r="B2532" s="147" t="s">
        <v>972</v>
      </c>
      <c r="C2532" s="147" t="e">
        <f>CONCATENATE("IMP",Commodities!C53,"BR",RIGHT(#REF!,2))</f>
        <v>#REF!</v>
      </c>
      <c r="D2532" s="147" t="e">
        <f>CONCATENATE("Import Barge/Vessel Trade of ",Commodities!C53, " to ",$B$2527," from ",#REF!)</f>
        <v>#REF!</v>
      </c>
      <c r="E2532" s="163" t="s">
        <v>196</v>
      </c>
      <c r="F2532" s="163" t="s">
        <v>318</v>
      </c>
    </row>
    <row r="2533" spans="2:6">
      <c r="B2533" s="147" t="s">
        <v>972</v>
      </c>
      <c r="C2533" s="147" t="e">
        <f>CONCATENATE("IMP",Commodities!C54,"BR",RIGHT(#REF!,2))</f>
        <v>#REF!</v>
      </c>
      <c r="D2533" s="147" t="e">
        <f>CONCATENATE("Import Barge/Vessel Trade of ",Commodities!C54, " to ",$B$2527," from ",#REF!)</f>
        <v>#REF!</v>
      </c>
      <c r="E2533" s="163" t="s">
        <v>196</v>
      </c>
      <c r="F2533" s="163" t="s">
        <v>318</v>
      </c>
    </row>
    <row r="2534" spans="2:6">
      <c r="B2534" s="147" t="s">
        <v>972</v>
      </c>
      <c r="C2534" s="147" t="e">
        <f>CONCATENATE("IMP",Commodities!C55,"BR",RIGHT(#REF!,2))</f>
        <v>#REF!</v>
      </c>
      <c r="D2534" s="147" t="e">
        <f>CONCATENATE("Import Barge/Vessel Trade of ",Commodities!C55, " to ",$B$2527," from ",#REF!)</f>
        <v>#REF!</v>
      </c>
      <c r="E2534" s="163" t="s">
        <v>196</v>
      </c>
      <c r="F2534" s="163" t="s">
        <v>318</v>
      </c>
    </row>
    <row r="2535" spans="2:6">
      <c r="B2535" s="147" t="s">
        <v>972</v>
      </c>
      <c r="C2535" s="147" t="e">
        <f>CONCATENATE("IMP",Commodities!C56,"BR",RIGHT(#REF!,2))</f>
        <v>#REF!</v>
      </c>
      <c r="D2535" s="147" t="e">
        <f>CONCATENATE("Import Barge/Vessel Trade of ",Commodities!C56, " to ",$B$2527," from ",#REF!)</f>
        <v>#REF!</v>
      </c>
      <c r="E2535" s="163" t="s">
        <v>196</v>
      </c>
      <c r="F2535" s="163" t="s">
        <v>318</v>
      </c>
    </row>
    <row r="2536" spans="2:6">
      <c r="B2536" s="147" t="s">
        <v>972</v>
      </c>
      <c r="C2536" s="147" t="e">
        <f>CONCATENATE("IMP",Commodities!C57,"BR",RIGHT(#REF!,2))</f>
        <v>#REF!</v>
      </c>
      <c r="D2536" s="147" t="e">
        <f>CONCATENATE("Import Barge/Vessel Trade of ",Commodities!C57, " to ",$B$2527," from ",#REF!)</f>
        <v>#REF!</v>
      </c>
      <c r="E2536" s="163" t="s">
        <v>196</v>
      </c>
      <c r="F2536" s="163" t="s">
        <v>318</v>
      </c>
    </row>
    <row r="2537" spans="2:6">
      <c r="B2537" s="147" t="s">
        <v>972</v>
      </c>
      <c r="C2537" s="147" t="e">
        <f>CONCATENATE("IMP",Commodities!C58,"BR",RIGHT(#REF!,2))</f>
        <v>#REF!</v>
      </c>
      <c r="D2537" s="147" t="e">
        <f>CONCATENATE("Import Barge/Vessel Trade of ",Commodities!C58, " to ",$B$2527," from ",#REF!)</f>
        <v>#REF!</v>
      </c>
      <c r="E2537" s="163" t="s">
        <v>196</v>
      </c>
      <c r="F2537" s="163" t="s">
        <v>318</v>
      </c>
    </row>
    <row r="2538" spans="2:6">
      <c r="B2538" s="147" t="s">
        <v>972</v>
      </c>
      <c r="C2538" s="147" t="e">
        <f>CONCATENATE("IMP",Commodities!C59,"BR",RIGHT(#REF!,2))</f>
        <v>#REF!</v>
      </c>
      <c r="D2538" s="147" t="e">
        <f>CONCATENATE("Import Barge/Vessel Trade of ",Commodities!C59, " to ",$B$2527," from ",#REF!)</f>
        <v>#REF!</v>
      </c>
      <c r="E2538" s="163" t="s">
        <v>196</v>
      </c>
      <c r="F2538" s="163" t="s">
        <v>318</v>
      </c>
    </row>
    <row r="2539" spans="2:6">
      <c r="B2539" s="147" t="s">
        <v>972</v>
      </c>
      <c r="C2539" s="147" t="e">
        <f>CONCATENATE("IMP",Commodities!C60,"BR",RIGHT(#REF!,2))</f>
        <v>#REF!</v>
      </c>
      <c r="D2539" s="147" t="e">
        <f>CONCATENATE("Import Barge/Vessel Trade of ",Commodities!C60, " to ",$B$2527," from ",#REF!)</f>
        <v>#REF!</v>
      </c>
      <c r="E2539" s="163" t="s">
        <v>196</v>
      </c>
      <c r="F2539" s="163" t="s">
        <v>318</v>
      </c>
    </row>
    <row r="2540" spans="2:6">
      <c r="B2540" s="147" t="s">
        <v>972</v>
      </c>
      <c r="C2540" s="147" t="e">
        <f>CONCATENATE("IMP",Commodities!C48,"BR",RIGHT(#REF!,2))</f>
        <v>#REF!</v>
      </c>
      <c r="D2540" s="147" t="e">
        <f>CONCATENATE("Import Barge/Vessel Trade of ",Commodities!C48, " to ",$B$2527," from ",#REF!)</f>
        <v>#REF!</v>
      </c>
      <c r="E2540" s="163" t="s">
        <v>196</v>
      </c>
      <c r="F2540" s="163" t="s">
        <v>318</v>
      </c>
    </row>
    <row r="2541" spans="2:6">
      <c r="B2541" s="147" t="s">
        <v>972</v>
      </c>
      <c r="C2541" s="147" t="e">
        <f>CONCATENATE("IMP",Commodities!C49,"BR",RIGHT(#REF!,2))</f>
        <v>#REF!</v>
      </c>
      <c r="D2541" s="147" t="e">
        <f>CONCATENATE("Import Barge/Vessel Trade of ",Commodities!C49, " to ",$B$2527," from ",#REF!)</f>
        <v>#REF!</v>
      </c>
      <c r="E2541" s="163" t="s">
        <v>196</v>
      </c>
      <c r="F2541" s="163" t="s">
        <v>318</v>
      </c>
    </row>
    <row r="2542" spans="2:6">
      <c r="B2542" s="147" t="s">
        <v>972</v>
      </c>
      <c r="C2542" s="147" t="e">
        <f>CONCATENATE("IMP",Commodities!C50,"BR",RIGHT(#REF!,2))</f>
        <v>#REF!</v>
      </c>
      <c r="D2542" s="147" t="e">
        <f>CONCATENATE("Import Barge/Vessel Trade of ",Commodities!C50, " to ",$B$2527," from ",#REF!)</f>
        <v>#REF!</v>
      </c>
      <c r="E2542" s="163" t="s">
        <v>196</v>
      </c>
      <c r="F2542" s="163" t="s">
        <v>318</v>
      </c>
    </row>
    <row r="2543" spans="2:6">
      <c r="B2543" s="147" t="s">
        <v>972</v>
      </c>
      <c r="C2543" s="147" t="e">
        <f>CONCATENATE("IMP",Commodities!C51,"BR",RIGHT(#REF!,2))</f>
        <v>#REF!</v>
      </c>
      <c r="D2543" s="147" t="e">
        <f>CONCATENATE("Import Barge/Vessel Trade of ",Commodities!C51, " to ",$B$2527," from ",#REF!)</f>
        <v>#REF!</v>
      </c>
      <c r="E2543" s="163" t="s">
        <v>196</v>
      </c>
      <c r="F2543" s="163" t="s">
        <v>318</v>
      </c>
    </row>
    <row r="2544" spans="2:6">
      <c r="B2544" s="147" t="s">
        <v>972</v>
      </c>
      <c r="C2544" s="147" t="e">
        <f>CONCATENATE("IMP",Commodities!C52,"BR",RIGHT(#REF!,2))</f>
        <v>#REF!</v>
      </c>
      <c r="D2544" s="147" t="e">
        <f>CONCATENATE("Import Barge/Vessel Trade of ",Commodities!C52, " to ",$B$2527," from ",#REF!)</f>
        <v>#REF!</v>
      </c>
      <c r="E2544" s="163" t="s">
        <v>196</v>
      </c>
      <c r="F2544" s="163" t="s">
        <v>318</v>
      </c>
    </row>
    <row r="2545" spans="2:6">
      <c r="B2545" s="147" t="s">
        <v>972</v>
      </c>
      <c r="C2545" s="147" t="e">
        <f>CONCATENATE("IMP",Commodities!C53,"BR",RIGHT(#REF!,2))</f>
        <v>#REF!</v>
      </c>
      <c r="D2545" s="147" t="e">
        <f>CONCATENATE("Import Barge/Vessel Trade of ",Commodities!C53, " to ",$B$2527," from ",#REF!)</f>
        <v>#REF!</v>
      </c>
      <c r="E2545" s="163" t="s">
        <v>196</v>
      </c>
      <c r="F2545" s="163" t="s">
        <v>318</v>
      </c>
    </row>
    <row r="2546" spans="2:6">
      <c r="B2546" s="147" t="s">
        <v>972</v>
      </c>
      <c r="C2546" s="147" t="e">
        <f>CONCATENATE("IMP",Commodities!C54,"BR",RIGHT(#REF!,2))</f>
        <v>#REF!</v>
      </c>
      <c r="D2546" s="147" t="e">
        <f>CONCATENATE("Import Barge/Vessel Trade of ",Commodities!C54, " to ",$B$2527," from ",#REF!)</f>
        <v>#REF!</v>
      </c>
      <c r="E2546" s="163" t="s">
        <v>196</v>
      </c>
      <c r="F2546" s="163" t="s">
        <v>318</v>
      </c>
    </row>
    <row r="2547" spans="2:6">
      <c r="B2547" s="147" t="s">
        <v>972</v>
      </c>
      <c r="C2547" s="147" t="e">
        <f>CONCATENATE("IMP",Commodities!C55,"BR",RIGHT(#REF!,2))</f>
        <v>#REF!</v>
      </c>
      <c r="D2547" s="147" t="e">
        <f>CONCATENATE("Import Barge/Vessel Trade of ",Commodities!C55, " to ",$B$2527," from ",#REF!)</f>
        <v>#REF!</v>
      </c>
      <c r="E2547" s="163" t="s">
        <v>196</v>
      </c>
      <c r="F2547" s="163" t="s">
        <v>318</v>
      </c>
    </row>
    <row r="2548" spans="2:6">
      <c r="B2548" s="147" t="s">
        <v>972</v>
      </c>
      <c r="C2548" s="147" t="e">
        <f>CONCATENATE("IMP",Commodities!C56,"BR",RIGHT(#REF!,2))</f>
        <v>#REF!</v>
      </c>
      <c r="D2548" s="147" t="e">
        <f>CONCATENATE("Import Barge/Vessel Trade of ",Commodities!C56, " to ",$B$2527," from ",#REF!)</f>
        <v>#REF!</v>
      </c>
      <c r="E2548" s="163" t="s">
        <v>196</v>
      </c>
      <c r="F2548" s="163" t="s">
        <v>318</v>
      </c>
    </row>
    <row r="2549" spans="2:6">
      <c r="B2549" s="147" t="s">
        <v>972</v>
      </c>
      <c r="C2549" s="147" t="e">
        <f>CONCATENATE("IMP",Commodities!C57,"BR",RIGHT(#REF!,2))</f>
        <v>#REF!</v>
      </c>
      <c r="D2549" s="147" t="e">
        <f>CONCATENATE("Import Barge/Vessel Trade of ",Commodities!C57, " to ",$B$2527," from ",#REF!)</f>
        <v>#REF!</v>
      </c>
      <c r="E2549" s="163" t="s">
        <v>196</v>
      </c>
      <c r="F2549" s="163" t="s">
        <v>318</v>
      </c>
    </row>
    <row r="2550" spans="2:6">
      <c r="B2550" s="147" t="s">
        <v>972</v>
      </c>
      <c r="C2550" s="147" t="e">
        <f>CONCATENATE("IMP",Commodities!C58,"BR",RIGHT(#REF!,2))</f>
        <v>#REF!</v>
      </c>
      <c r="D2550" s="147" t="e">
        <f>CONCATENATE("Import Barge/Vessel Trade of ",Commodities!C58, " to ",$B$2527," from ",#REF!)</f>
        <v>#REF!</v>
      </c>
      <c r="E2550" s="163" t="s">
        <v>196</v>
      </c>
      <c r="F2550" s="163" t="s">
        <v>318</v>
      </c>
    </row>
    <row r="2551" spans="2:6">
      <c r="B2551" s="147" t="s">
        <v>972</v>
      </c>
      <c r="C2551" s="147" t="e">
        <f>CONCATENATE("IMP",Commodities!C59,"BR",RIGHT(#REF!,2))</f>
        <v>#REF!</v>
      </c>
      <c r="D2551" s="147" t="e">
        <f>CONCATENATE("Import Barge/Vessel Trade of ",Commodities!C59, " to ",$B$2527," from ",#REF!)</f>
        <v>#REF!</v>
      </c>
      <c r="E2551" s="163" t="s">
        <v>196</v>
      </c>
      <c r="F2551" s="163" t="s">
        <v>318</v>
      </c>
    </row>
    <row r="2552" spans="2:6">
      <c r="B2552" s="147" t="s">
        <v>972</v>
      </c>
      <c r="C2552" s="147" t="e">
        <f>CONCATENATE("IMP",Commodities!C60,"BR",RIGHT(#REF!,2))</f>
        <v>#REF!</v>
      </c>
      <c r="D2552" s="147" t="e">
        <f>CONCATENATE("Import Barge/Vessel Trade of ",Commodities!C60, " to ",$B$2527," from ",#REF!)</f>
        <v>#REF!</v>
      </c>
      <c r="E2552" s="163" t="s">
        <v>196</v>
      </c>
      <c r="F2552" s="163" t="s">
        <v>318</v>
      </c>
    </row>
    <row r="2553" spans="2:6">
      <c r="B2553" s="146" t="s">
        <v>392</v>
      </c>
    </row>
    <row r="2554" spans="2:6">
      <c r="B2554" s="147" t="s">
        <v>975</v>
      </c>
      <c r="C2554" s="147" t="str">
        <f>CONCATENATE("PEX",Commodities!C48,"B")</f>
        <v>PEXGSCB</v>
      </c>
      <c r="D2554" s="147" t="str">
        <f>CONCATENATE("Dummy Process for Barge/Vessel Traded ",Commodities!C48)</f>
        <v>Dummy Process for Barge/Vessel Traded GSC</v>
      </c>
      <c r="E2554" s="163" t="s">
        <v>196</v>
      </c>
      <c r="F2554" s="163" t="s">
        <v>318</v>
      </c>
    </row>
    <row r="2555" spans="2:6">
      <c r="B2555" s="147" t="s">
        <v>975</v>
      </c>
      <c r="C2555" s="147" t="str">
        <f>CONCATENATE("PEX",Commodities!C49,"B")</f>
        <v>PEXGSRB</v>
      </c>
      <c r="D2555" s="147" t="str">
        <f>CONCATENATE("Dummy Process for Barge/Vessel Traded ",Commodities!C49)</f>
        <v>Dummy Process for Barge/Vessel Traded GSR</v>
      </c>
      <c r="E2555" s="163" t="s">
        <v>196</v>
      </c>
      <c r="F2555" s="163" t="s">
        <v>318</v>
      </c>
    </row>
    <row r="2556" spans="2:6">
      <c r="B2556" s="147" t="s">
        <v>975</v>
      </c>
      <c r="C2556" s="147" t="str">
        <f>CONCATENATE("PEX",Commodities!C50,"B")</f>
        <v>PEXDSHB</v>
      </c>
      <c r="D2556" s="147" t="str">
        <f>CONCATENATE("Dummy Process for Barge/Vessel Traded ",Commodities!C50)</f>
        <v>Dummy Process for Barge/Vessel Traded DSH</v>
      </c>
      <c r="E2556" s="163" t="s">
        <v>196</v>
      </c>
      <c r="F2556" s="163" t="s">
        <v>318</v>
      </c>
    </row>
    <row r="2557" spans="2:6">
      <c r="B2557" s="147" t="s">
        <v>975</v>
      </c>
      <c r="C2557" s="147" t="str">
        <f>CONCATENATE("PEX",Commodities!C51,"B")</f>
        <v>PEXDSLB</v>
      </c>
      <c r="D2557" s="147" t="str">
        <f>CONCATENATE("Dummy Process for Barge/Vessel Traded ",Commodities!C51)</f>
        <v>Dummy Process for Barge/Vessel Traded DSL</v>
      </c>
      <c r="E2557" s="163" t="s">
        <v>196</v>
      </c>
      <c r="F2557" s="163" t="s">
        <v>318</v>
      </c>
    </row>
    <row r="2558" spans="2:6">
      <c r="B2558" s="147" t="s">
        <v>975</v>
      </c>
      <c r="C2558" s="147" t="str">
        <f>CONCATENATE("PEX",Commodities!C52,"B")</f>
        <v>PEXDSUB</v>
      </c>
      <c r="D2558" s="147" t="str">
        <f>CONCATENATE("Dummy Process for Barge/Vessel Traded ",Commodities!C52)</f>
        <v>Dummy Process for Barge/Vessel Traded DSU</v>
      </c>
      <c r="E2558" s="163" t="s">
        <v>196</v>
      </c>
      <c r="F2558" s="163" t="s">
        <v>318</v>
      </c>
    </row>
    <row r="2559" spans="2:6">
      <c r="B2559" s="147" t="s">
        <v>975</v>
      </c>
      <c r="C2559" s="147" t="str">
        <f>CONCATENATE("PEX",Commodities!C53,"B")</f>
        <v>PEXJTFB</v>
      </c>
      <c r="D2559" s="147" t="str">
        <f>CONCATENATE("Dummy Process for Barge/Vessel Traded ",Commodities!C53)</f>
        <v>Dummy Process for Barge/Vessel Traded JTF</v>
      </c>
      <c r="E2559" s="163" t="s">
        <v>196</v>
      </c>
      <c r="F2559" s="163" t="s">
        <v>318</v>
      </c>
    </row>
    <row r="2560" spans="2:6">
      <c r="B2560" s="147" t="s">
        <v>975</v>
      </c>
      <c r="C2560" s="147" t="str">
        <f>CONCATENATE("PEX",Commodities!C54,"B")</f>
        <v>PEXKERB</v>
      </c>
      <c r="D2560" s="147" t="str">
        <f>CONCATENATE("Dummy Process for Barge/Vessel Traded ",Commodities!C54)</f>
        <v>Dummy Process for Barge/Vessel Traded KER</v>
      </c>
      <c r="E2560" s="163" t="s">
        <v>196</v>
      </c>
      <c r="F2560" s="163" t="s">
        <v>318</v>
      </c>
    </row>
    <row r="2561" spans="2:6">
      <c r="B2561" s="147" t="s">
        <v>975</v>
      </c>
      <c r="C2561" s="147" t="str">
        <f>CONCATENATE("PEX",Commodities!C55,"B")</f>
        <v>PEXLPGB</v>
      </c>
      <c r="D2561" s="147" t="str">
        <f>CONCATENATE("Dummy Process for Barge/Vessel Traded ",Commodities!C55)</f>
        <v>Dummy Process for Barge/Vessel Traded LPG</v>
      </c>
      <c r="E2561" s="163" t="s">
        <v>196</v>
      </c>
      <c r="F2561" s="163" t="s">
        <v>318</v>
      </c>
    </row>
    <row r="2562" spans="2:6">
      <c r="B2562" s="147" t="s">
        <v>975</v>
      </c>
      <c r="C2562" s="147" t="str">
        <f>CONCATENATE("PEX",Commodities!C56,"B")</f>
        <v>PEXMTHB</v>
      </c>
      <c r="D2562" s="147" t="str">
        <f>CONCATENATE("Dummy Process for Barge/Vessel Traded ",Commodities!C56)</f>
        <v>Dummy Process for Barge/Vessel Traded MTH</v>
      </c>
      <c r="E2562" s="163" t="s">
        <v>196</v>
      </c>
      <c r="F2562" s="163" t="s">
        <v>318</v>
      </c>
    </row>
    <row r="2563" spans="2:6">
      <c r="B2563" s="147" t="s">
        <v>975</v>
      </c>
      <c r="C2563" s="147" t="str">
        <f>CONCATENATE("PEX",Commodities!C57,"B")</f>
        <v>PEXPFSB</v>
      </c>
      <c r="D2563" s="147" t="str">
        <f>CONCATENATE("Dummy Process for Barge/Vessel Traded ",Commodities!C57)</f>
        <v>Dummy Process for Barge/Vessel Traded PFS</v>
      </c>
      <c r="E2563" s="163" t="s">
        <v>196</v>
      </c>
      <c r="F2563" s="163" t="s">
        <v>318</v>
      </c>
    </row>
    <row r="2564" spans="2:6">
      <c r="B2564" s="147" t="s">
        <v>975</v>
      </c>
      <c r="C2564" s="147" t="str">
        <f>CONCATENATE("PEX",Commodities!C58,"B")</f>
        <v>PEXRFHB</v>
      </c>
      <c r="D2564" s="147" t="str">
        <f>CONCATENATE("Dummy Process for Barge/Vessel Traded ",Commodities!C58)</f>
        <v>Dummy Process for Barge/Vessel Traded RFH</v>
      </c>
      <c r="E2564" s="163" t="s">
        <v>196</v>
      </c>
      <c r="F2564" s="163" t="s">
        <v>318</v>
      </c>
    </row>
    <row r="2565" spans="2:6">
      <c r="B2565" s="147" t="s">
        <v>975</v>
      </c>
      <c r="C2565" s="147" t="str">
        <f>CONCATENATE("PEX",Commodities!C59,"B")</f>
        <v>PEXRFLB</v>
      </c>
      <c r="D2565" s="147" t="str">
        <f>CONCATENATE("Dummy Process for Barge/Vessel Traded ",Commodities!C59)</f>
        <v>Dummy Process for Barge/Vessel Traded RFL</v>
      </c>
      <c r="E2565" s="163" t="s">
        <v>196</v>
      </c>
      <c r="F2565" s="163" t="s">
        <v>318</v>
      </c>
    </row>
    <row r="2566" spans="2:6">
      <c r="B2566" s="147" t="s">
        <v>975</v>
      </c>
      <c r="C2566" s="147" t="str">
        <f>CONCATENATE("PEX",Commodities!C60,"B")</f>
        <v>PEXASPB</v>
      </c>
      <c r="D2566" s="147" t="str">
        <f>CONCATENATE("Dummy Process for Barge/Vessel Traded ",Commodities!C60)</f>
        <v>Dummy Process for Barge/Vessel Traded ASP</v>
      </c>
      <c r="E2566" s="163" t="s">
        <v>196</v>
      </c>
      <c r="F2566" s="163" t="s">
        <v>318</v>
      </c>
    </row>
    <row r="2567" spans="2:6">
      <c r="B2567" s="146" t="s">
        <v>393</v>
      </c>
    </row>
    <row r="2568" spans="2:6">
      <c r="B2568" s="147" t="s">
        <v>1038</v>
      </c>
      <c r="C2568" s="147" t="e">
        <f>CONCATENATE("XB",Commodities!C222,#REF!)</f>
        <v>#REF!</v>
      </c>
      <c r="D2568" s="147" t="e">
        <f xml:space="preserve"> CONCATENATE("Delivery of Barge/Vessel Traded ",Commodities!C222," from ",#REF!)</f>
        <v>#REF!</v>
      </c>
      <c r="E2568" s="163" t="s">
        <v>196</v>
      </c>
      <c r="F2568" s="163" t="s">
        <v>318</v>
      </c>
    </row>
    <row r="2569" spans="2:6">
      <c r="B2569" s="147" t="s">
        <v>1038</v>
      </c>
      <c r="C2569" s="147" t="e">
        <f>CONCATENATE("XB",Commodities!C223,#REF!)</f>
        <v>#REF!</v>
      </c>
      <c r="D2569" s="147" t="e">
        <f xml:space="preserve"> CONCATENATE("Delivery of Barge/Vessel Traded ",Commodities!C223," from ",#REF!)</f>
        <v>#REF!</v>
      </c>
      <c r="E2569" s="163" t="s">
        <v>196</v>
      </c>
      <c r="F2569" s="163" t="s">
        <v>318</v>
      </c>
    </row>
    <row r="2570" spans="2:6">
      <c r="B2570" s="147" t="s">
        <v>1038</v>
      </c>
      <c r="C2570" s="147" t="e">
        <f>CONCATENATE("XB",Commodities!C224,#REF!)</f>
        <v>#REF!</v>
      </c>
      <c r="D2570" s="147" t="e">
        <f xml:space="preserve"> CONCATENATE("Delivery of Barge/Vessel Traded ",Commodities!C224," from ",#REF!)</f>
        <v>#REF!</v>
      </c>
      <c r="E2570" s="163" t="s">
        <v>196</v>
      </c>
      <c r="F2570" s="163" t="s">
        <v>318</v>
      </c>
    </row>
    <row r="2571" spans="2:6">
      <c r="B2571" s="147" t="s">
        <v>1038</v>
      </c>
      <c r="C2571" s="147" t="e">
        <f>CONCATENATE("XB",Commodities!C225,#REF!)</f>
        <v>#REF!</v>
      </c>
      <c r="D2571" s="147" t="e">
        <f xml:space="preserve"> CONCATENATE("Delivery of Barge/Vessel Traded ",Commodities!C225," from ",#REF!)</f>
        <v>#REF!</v>
      </c>
      <c r="E2571" s="163" t="s">
        <v>196</v>
      </c>
      <c r="F2571" s="163" t="s">
        <v>318</v>
      </c>
    </row>
    <row r="2572" spans="2:6">
      <c r="B2572" s="147" t="s">
        <v>1038</v>
      </c>
      <c r="C2572" s="147" t="e">
        <f>CONCATENATE("XB",Commodities!C226,#REF!)</f>
        <v>#REF!</v>
      </c>
      <c r="D2572" s="147" t="e">
        <f xml:space="preserve"> CONCATENATE("Delivery of Barge/Vessel Traded ",Commodities!C226," from ",#REF!)</f>
        <v>#REF!</v>
      </c>
      <c r="E2572" s="163" t="s">
        <v>196</v>
      </c>
      <c r="F2572" s="163" t="s">
        <v>318</v>
      </c>
    </row>
    <row r="2573" spans="2:6">
      <c r="B2573" s="147" t="s">
        <v>1038</v>
      </c>
      <c r="C2573" s="147" t="e">
        <f>CONCATENATE("XB",Commodities!C227,#REF!)</f>
        <v>#REF!</v>
      </c>
      <c r="D2573" s="147" t="e">
        <f xml:space="preserve"> CONCATENATE("Delivery of Barge/Vessel Traded ",Commodities!C227," from ",#REF!)</f>
        <v>#REF!</v>
      </c>
      <c r="E2573" s="163" t="s">
        <v>196</v>
      </c>
      <c r="F2573" s="163" t="s">
        <v>318</v>
      </c>
    </row>
    <row r="2574" spans="2:6">
      <c r="B2574" s="147" t="s">
        <v>1038</v>
      </c>
      <c r="C2574" s="147" t="e">
        <f>CONCATENATE("XB",Commodities!C228,#REF!)</f>
        <v>#REF!</v>
      </c>
      <c r="D2574" s="147" t="e">
        <f xml:space="preserve"> CONCATENATE("Delivery of Barge/Vessel Traded ",Commodities!C228," from ",#REF!)</f>
        <v>#REF!</v>
      </c>
      <c r="E2574" s="163" t="s">
        <v>196</v>
      </c>
      <c r="F2574" s="163" t="s">
        <v>318</v>
      </c>
    </row>
    <row r="2575" spans="2:6">
      <c r="B2575" s="147" t="s">
        <v>1038</v>
      </c>
      <c r="C2575" s="147" t="e">
        <f>CONCATENATE("XB",Commodities!C229,#REF!)</f>
        <v>#REF!</v>
      </c>
      <c r="D2575" s="147" t="e">
        <f xml:space="preserve"> CONCATENATE("Delivery of Barge/Vessel Traded ",Commodities!C229," from ",#REF!)</f>
        <v>#REF!</v>
      </c>
      <c r="E2575" s="163" t="s">
        <v>196</v>
      </c>
      <c r="F2575" s="163" t="s">
        <v>318</v>
      </c>
    </row>
    <row r="2576" spans="2:6">
      <c r="B2576" s="147" t="s">
        <v>1038</v>
      </c>
      <c r="C2576" s="147" t="e">
        <f>CONCATENATE("XB",Commodities!C230,#REF!)</f>
        <v>#REF!</v>
      </c>
      <c r="D2576" s="147" t="e">
        <f xml:space="preserve"> CONCATENATE("Delivery of Barge/Vessel Traded ",Commodities!C230," from ",#REF!)</f>
        <v>#REF!</v>
      </c>
      <c r="E2576" s="163" t="s">
        <v>196</v>
      </c>
      <c r="F2576" s="163" t="s">
        <v>318</v>
      </c>
    </row>
    <row r="2577" spans="2:6">
      <c r="B2577" s="147" t="s">
        <v>1038</v>
      </c>
      <c r="C2577" s="147" t="e">
        <f>CONCATENATE("XB",Commodities!C231,#REF!)</f>
        <v>#REF!</v>
      </c>
      <c r="D2577" s="147" t="e">
        <f xml:space="preserve"> CONCATENATE("Delivery of Barge/Vessel Traded ",Commodities!C231," from ",#REF!)</f>
        <v>#REF!</v>
      </c>
      <c r="E2577" s="163" t="s">
        <v>196</v>
      </c>
      <c r="F2577" s="163" t="s">
        <v>318</v>
      </c>
    </row>
    <row r="2578" spans="2:6">
      <c r="B2578" s="147" t="s">
        <v>1038</v>
      </c>
      <c r="C2578" s="147" t="e">
        <f>CONCATENATE("XB",Commodities!C232,#REF!)</f>
        <v>#REF!</v>
      </c>
      <c r="D2578" s="147" t="e">
        <f xml:space="preserve"> CONCATENATE("Delivery of Barge/Vessel Traded ",Commodities!C232," from ",#REF!)</f>
        <v>#REF!</v>
      </c>
      <c r="E2578" s="163" t="s">
        <v>196</v>
      </c>
      <c r="F2578" s="163" t="s">
        <v>318</v>
      </c>
    </row>
    <row r="2579" spans="2:6">
      <c r="B2579" s="147" t="s">
        <v>1038</v>
      </c>
      <c r="C2579" s="147" t="e">
        <f>CONCATENATE("XB",Commodities!C233,#REF!)</f>
        <v>#REF!</v>
      </c>
      <c r="D2579" s="147" t="e">
        <f xml:space="preserve"> CONCATENATE("Delivery of Barge/Vessel Traded ",Commodities!C233," from ",#REF!)</f>
        <v>#REF!</v>
      </c>
      <c r="E2579" s="163" t="s">
        <v>196</v>
      </c>
      <c r="F2579" s="163" t="s">
        <v>318</v>
      </c>
    </row>
    <row r="2580" spans="2:6">
      <c r="B2580" s="147" t="s">
        <v>1038</v>
      </c>
      <c r="C2580" s="147" t="e">
        <f>CONCATENATE("XB",Commodities!C234,#REF!)</f>
        <v>#REF!</v>
      </c>
      <c r="D2580" s="147" t="e">
        <f xml:space="preserve"> CONCATENATE("Delivery of Barge/Vessel Traded ",Commodities!C234," from ",#REF!)</f>
        <v>#REF!</v>
      </c>
      <c r="E2580" s="163" t="s">
        <v>196</v>
      </c>
      <c r="F2580" s="163" t="s">
        <v>318</v>
      </c>
    </row>
    <row r="2581" spans="2:6">
      <c r="B2581" s="147" t="s">
        <v>1038</v>
      </c>
      <c r="C2581" s="147" t="e">
        <f>CONCATENATE("XB",Commodities!C235,#REF!)</f>
        <v>#REF!</v>
      </c>
      <c r="D2581" s="147" t="e">
        <f xml:space="preserve"> CONCATENATE("Delivery of Barge/Vessel Traded ",Commodities!C235," from ",#REF!)</f>
        <v>#REF!</v>
      </c>
      <c r="E2581" s="163" t="s">
        <v>196</v>
      </c>
      <c r="F2581" s="163" t="s">
        <v>318</v>
      </c>
    </row>
    <row r="2582" spans="2:6">
      <c r="B2582" s="147" t="s">
        <v>1038</v>
      </c>
      <c r="C2582" s="147" t="e">
        <f>CONCATENATE("XB",Commodities!C236,#REF!)</f>
        <v>#REF!</v>
      </c>
      <c r="D2582" s="147" t="e">
        <f xml:space="preserve"> CONCATENATE("Delivery of Barge/Vessel Traded ",Commodities!C236," from ",#REF!)</f>
        <v>#REF!</v>
      </c>
      <c r="E2582" s="163" t="s">
        <v>196</v>
      </c>
      <c r="F2582" s="163" t="s">
        <v>318</v>
      </c>
    </row>
    <row r="2583" spans="2:6">
      <c r="B2583" s="147" t="s">
        <v>1038</v>
      </c>
      <c r="C2583" s="147" t="e">
        <f>CONCATENATE("XB",Commodities!C237,#REF!)</f>
        <v>#REF!</v>
      </c>
      <c r="D2583" s="147" t="e">
        <f xml:space="preserve"> CONCATENATE("Delivery of Barge/Vessel Traded ",Commodities!C237," from ",#REF!)</f>
        <v>#REF!</v>
      </c>
      <c r="E2583" s="163" t="s">
        <v>196</v>
      </c>
      <c r="F2583" s="163" t="s">
        <v>318</v>
      </c>
    </row>
    <row r="2584" spans="2:6">
      <c r="B2584" s="147" t="s">
        <v>1038</v>
      </c>
      <c r="C2584" s="147" t="e">
        <f>CONCATENATE("XB",Commodities!C238,#REF!)</f>
        <v>#REF!</v>
      </c>
      <c r="D2584" s="147" t="e">
        <f xml:space="preserve"> CONCATENATE("Delivery of Barge/Vessel Traded ",Commodities!C238," from ",#REF!)</f>
        <v>#REF!</v>
      </c>
      <c r="E2584" s="163" t="s">
        <v>196</v>
      </c>
      <c r="F2584" s="163" t="s">
        <v>318</v>
      </c>
    </row>
    <row r="2585" spans="2:6">
      <c r="B2585" s="147" t="s">
        <v>1038</v>
      </c>
      <c r="C2585" s="147" t="e">
        <f>CONCATENATE("XB",Commodities!C239,#REF!)</f>
        <v>#REF!</v>
      </c>
      <c r="D2585" s="147" t="e">
        <f xml:space="preserve"> CONCATENATE("Delivery of Barge/Vessel Traded ",Commodities!C239," from ",#REF!)</f>
        <v>#REF!</v>
      </c>
      <c r="E2585" s="163" t="s">
        <v>196</v>
      </c>
      <c r="F2585" s="163" t="s">
        <v>318</v>
      </c>
    </row>
    <row r="2586" spans="2:6">
      <c r="B2586" s="147" t="s">
        <v>1038</v>
      </c>
      <c r="C2586" s="147" t="e">
        <f>CONCATENATE("XB",Commodities!C241,#REF!)</f>
        <v>#REF!</v>
      </c>
      <c r="D2586" s="147" t="e">
        <f xml:space="preserve"> CONCATENATE("Delivery of Barge/Vessel Traded ",Commodities!C241," from ",#REF!)</f>
        <v>#REF!</v>
      </c>
      <c r="E2586" s="163" t="s">
        <v>196</v>
      </c>
      <c r="F2586" s="163" t="s">
        <v>318</v>
      </c>
    </row>
    <row r="2587" spans="2:6">
      <c r="B2587" s="147" t="s">
        <v>1038</v>
      </c>
      <c r="C2587" s="147" t="e">
        <f>CONCATENATE("XB",Commodities!C242,#REF!)</f>
        <v>#REF!</v>
      </c>
      <c r="D2587" s="147" t="e">
        <f xml:space="preserve"> CONCATENATE("Delivery of Barge/Vessel Traded ",Commodities!C242," from ",#REF!)</f>
        <v>#REF!</v>
      </c>
      <c r="E2587" s="163" t="s">
        <v>196</v>
      </c>
      <c r="F2587" s="163" t="s">
        <v>318</v>
      </c>
    </row>
    <row r="2588" spans="2:6">
      <c r="B2588" s="147" t="s">
        <v>1038</v>
      </c>
      <c r="C2588" s="147" t="e">
        <f>CONCATENATE("XB",Commodities!C243,#REF!)</f>
        <v>#REF!</v>
      </c>
      <c r="D2588" s="147" t="e">
        <f xml:space="preserve"> CONCATENATE("Delivery of Barge/Vessel Traded ",Commodities!C243," from ",#REF!)</f>
        <v>#REF!</v>
      </c>
      <c r="E2588" s="163" t="s">
        <v>196</v>
      </c>
      <c r="F2588" s="163" t="s">
        <v>318</v>
      </c>
    </row>
    <row r="2589" spans="2:6">
      <c r="B2589" s="147" t="s">
        <v>1038</v>
      </c>
      <c r="C2589" s="147" t="e">
        <f>CONCATENATE("XB",Commodities!C244,#REF!)</f>
        <v>#REF!</v>
      </c>
      <c r="D2589" s="147" t="e">
        <f xml:space="preserve"> CONCATENATE("Delivery of Barge/Vessel Traded ",Commodities!C244," from ",#REF!)</f>
        <v>#REF!</v>
      </c>
      <c r="E2589" s="163" t="s">
        <v>196</v>
      </c>
      <c r="F2589" s="163" t="s">
        <v>318</v>
      </c>
    </row>
    <row r="2590" spans="2:6">
      <c r="B2590" s="147" t="s">
        <v>1038</v>
      </c>
      <c r="C2590" s="147" t="e">
        <f>CONCATENATE("XB",Commodities!C245,#REF!)</f>
        <v>#REF!</v>
      </c>
      <c r="D2590" s="147" t="e">
        <f xml:space="preserve"> CONCATENATE("Delivery of Barge/Vessel Traded ",Commodities!C245," from ",#REF!)</f>
        <v>#REF!</v>
      </c>
      <c r="E2590" s="163" t="s">
        <v>196</v>
      </c>
      <c r="F2590" s="163" t="s">
        <v>318</v>
      </c>
    </row>
    <row r="2591" spans="2:6">
      <c r="B2591" s="147" t="s">
        <v>1038</v>
      </c>
      <c r="C2591" s="147" t="e">
        <f>CONCATENATE("XB",Commodities!C246,#REF!)</f>
        <v>#REF!</v>
      </c>
      <c r="D2591" s="147" t="e">
        <f xml:space="preserve"> CONCATENATE("Delivery of Barge/Vessel Traded ",Commodities!C246," from ",#REF!)</f>
        <v>#REF!</v>
      </c>
      <c r="E2591" s="163" t="s">
        <v>196</v>
      </c>
      <c r="F2591" s="163" t="s">
        <v>318</v>
      </c>
    </row>
    <row r="2592" spans="2:6">
      <c r="B2592" s="147" t="s">
        <v>1039</v>
      </c>
      <c r="C2592" s="147" t="e">
        <f>CONCATENATE("XB",Commodities!C222,#REF!)</f>
        <v>#REF!</v>
      </c>
      <c r="D2592" s="147" t="e">
        <f xml:space="preserve"> CONCATENATE("Delivery of Barge/Vessel Traded ",Commodities!C222," from ",#REF!)</f>
        <v>#REF!</v>
      </c>
      <c r="E2592" s="163" t="s">
        <v>196</v>
      </c>
      <c r="F2592" s="163" t="s">
        <v>318</v>
      </c>
    </row>
    <row r="2593" spans="2:6">
      <c r="B2593" s="147" t="s">
        <v>1039</v>
      </c>
      <c r="C2593" s="147" t="e">
        <f>CONCATENATE("XB",Commodities!C223,#REF!)</f>
        <v>#REF!</v>
      </c>
      <c r="D2593" s="147" t="e">
        <f xml:space="preserve"> CONCATENATE("Delivery of Barge/Vessel Traded ",Commodities!C223," from ",#REF!)</f>
        <v>#REF!</v>
      </c>
      <c r="E2593" s="163" t="s">
        <v>196</v>
      </c>
      <c r="F2593" s="163" t="s">
        <v>318</v>
      </c>
    </row>
    <row r="2594" spans="2:6">
      <c r="B2594" s="147" t="s">
        <v>1039</v>
      </c>
      <c r="C2594" s="147" t="e">
        <f>CONCATENATE("XB",Commodities!C224,#REF!)</f>
        <v>#REF!</v>
      </c>
      <c r="D2594" s="147" t="e">
        <f xml:space="preserve"> CONCATENATE("Delivery of Barge/Vessel Traded ",Commodities!C224," from ",#REF!)</f>
        <v>#REF!</v>
      </c>
      <c r="E2594" s="163" t="s">
        <v>196</v>
      </c>
      <c r="F2594" s="163" t="s">
        <v>318</v>
      </c>
    </row>
    <row r="2595" spans="2:6">
      <c r="B2595" s="147" t="s">
        <v>1039</v>
      </c>
      <c r="C2595" s="147" t="e">
        <f>CONCATENATE("XB",Commodities!C225,#REF!)</f>
        <v>#REF!</v>
      </c>
      <c r="D2595" s="147" t="e">
        <f xml:space="preserve"> CONCATENATE("Delivery of Barge/Vessel Traded ",Commodities!C225," from ",#REF!)</f>
        <v>#REF!</v>
      </c>
      <c r="E2595" s="163" t="s">
        <v>196</v>
      </c>
      <c r="F2595" s="163" t="s">
        <v>318</v>
      </c>
    </row>
    <row r="2596" spans="2:6">
      <c r="B2596" s="147" t="s">
        <v>1039</v>
      </c>
      <c r="C2596" s="147" t="e">
        <f>CONCATENATE("XB",Commodities!C226,#REF!)</f>
        <v>#REF!</v>
      </c>
      <c r="D2596" s="147" t="e">
        <f xml:space="preserve"> CONCATENATE("Delivery of Barge/Vessel Traded ",Commodities!C226," from ",#REF!)</f>
        <v>#REF!</v>
      </c>
      <c r="E2596" s="163" t="s">
        <v>196</v>
      </c>
      <c r="F2596" s="163" t="s">
        <v>318</v>
      </c>
    </row>
    <row r="2597" spans="2:6">
      <c r="B2597" s="147" t="s">
        <v>1039</v>
      </c>
      <c r="C2597" s="147" t="e">
        <f>CONCATENATE("XB",Commodities!C227,#REF!)</f>
        <v>#REF!</v>
      </c>
      <c r="D2597" s="147" t="e">
        <f xml:space="preserve"> CONCATENATE("Delivery of Barge/Vessel Traded ",Commodities!C227," from ",#REF!)</f>
        <v>#REF!</v>
      </c>
      <c r="E2597" s="163" t="s">
        <v>196</v>
      </c>
      <c r="F2597" s="163" t="s">
        <v>318</v>
      </c>
    </row>
    <row r="2598" spans="2:6">
      <c r="B2598" s="147" t="s">
        <v>1039</v>
      </c>
      <c r="C2598" s="147" t="e">
        <f>CONCATENATE("XB",Commodities!C228,#REF!)</f>
        <v>#REF!</v>
      </c>
      <c r="D2598" s="147" t="e">
        <f xml:space="preserve"> CONCATENATE("Delivery of Barge/Vessel Traded ",Commodities!C228," from ",#REF!)</f>
        <v>#REF!</v>
      </c>
      <c r="E2598" s="163" t="s">
        <v>196</v>
      </c>
      <c r="F2598" s="163" t="s">
        <v>318</v>
      </c>
    </row>
    <row r="2599" spans="2:6">
      <c r="B2599" s="147" t="s">
        <v>1039</v>
      </c>
      <c r="C2599" s="147" t="e">
        <f>CONCATENATE("XB",Commodities!C229,#REF!)</f>
        <v>#REF!</v>
      </c>
      <c r="D2599" s="147" t="e">
        <f xml:space="preserve"> CONCATENATE("Delivery of Barge/Vessel Traded ",Commodities!C229," from ",#REF!)</f>
        <v>#REF!</v>
      </c>
      <c r="E2599" s="163" t="s">
        <v>196</v>
      </c>
      <c r="F2599" s="163" t="s">
        <v>318</v>
      </c>
    </row>
    <row r="2600" spans="2:6">
      <c r="B2600" s="147" t="s">
        <v>1039</v>
      </c>
      <c r="C2600" s="147" t="e">
        <f>CONCATENATE("XB",Commodities!C230,#REF!)</f>
        <v>#REF!</v>
      </c>
      <c r="D2600" s="147" t="e">
        <f xml:space="preserve"> CONCATENATE("Delivery of Barge/Vessel Traded ",Commodities!C230," from ",#REF!)</f>
        <v>#REF!</v>
      </c>
      <c r="E2600" s="163" t="s">
        <v>196</v>
      </c>
      <c r="F2600" s="163" t="s">
        <v>318</v>
      </c>
    </row>
    <row r="2601" spans="2:6">
      <c r="B2601" s="147" t="s">
        <v>1039</v>
      </c>
      <c r="C2601" s="147" t="e">
        <f>CONCATENATE("XB",Commodities!C231,#REF!)</f>
        <v>#REF!</v>
      </c>
      <c r="D2601" s="147" t="e">
        <f xml:space="preserve"> CONCATENATE("Delivery of Barge/Vessel Traded ",Commodities!C231," from ",#REF!)</f>
        <v>#REF!</v>
      </c>
      <c r="E2601" s="163" t="s">
        <v>196</v>
      </c>
      <c r="F2601" s="163" t="s">
        <v>318</v>
      </c>
    </row>
    <row r="2602" spans="2:6">
      <c r="B2602" s="147" t="s">
        <v>1039</v>
      </c>
      <c r="C2602" s="147" t="e">
        <f>CONCATENATE("XB",Commodities!C232,#REF!)</f>
        <v>#REF!</v>
      </c>
      <c r="D2602" s="147" t="e">
        <f xml:space="preserve"> CONCATENATE("Delivery of Barge/Vessel Traded ",Commodities!C232," from ",#REF!)</f>
        <v>#REF!</v>
      </c>
      <c r="E2602" s="163" t="s">
        <v>196</v>
      </c>
      <c r="F2602" s="163" t="s">
        <v>318</v>
      </c>
    </row>
    <row r="2603" spans="2:6">
      <c r="B2603" s="147" t="s">
        <v>1039</v>
      </c>
      <c r="C2603" s="147" t="e">
        <f>CONCATENATE("XB",Commodities!C233,#REF!)</f>
        <v>#REF!</v>
      </c>
      <c r="D2603" s="147" t="e">
        <f xml:space="preserve"> CONCATENATE("Delivery of Barge/Vessel Traded ",Commodities!C233," from ",#REF!)</f>
        <v>#REF!</v>
      </c>
      <c r="E2603" s="163" t="s">
        <v>196</v>
      </c>
      <c r="F2603" s="163" t="s">
        <v>318</v>
      </c>
    </row>
    <row r="2604" spans="2:6">
      <c r="B2604" s="147" t="s">
        <v>1039</v>
      </c>
      <c r="C2604" s="147" t="e">
        <f>CONCATENATE("XB",Commodities!C234,#REF!)</f>
        <v>#REF!</v>
      </c>
      <c r="D2604" s="147" t="e">
        <f xml:space="preserve"> CONCATENATE("Delivery of Barge/Vessel Traded ",Commodities!C234," from ",#REF!)</f>
        <v>#REF!</v>
      </c>
      <c r="E2604" s="163" t="s">
        <v>196</v>
      </c>
      <c r="F2604" s="163" t="s">
        <v>318</v>
      </c>
    </row>
    <row r="2605" spans="2:6">
      <c r="B2605" s="147" t="s">
        <v>1039</v>
      </c>
      <c r="C2605" s="147" t="e">
        <f>CONCATENATE("XB",Commodities!C235,#REF!)</f>
        <v>#REF!</v>
      </c>
      <c r="D2605" s="147" t="e">
        <f xml:space="preserve"> CONCATENATE("Delivery of Barge/Vessel Traded ",Commodities!C235," from ",#REF!)</f>
        <v>#REF!</v>
      </c>
      <c r="E2605" s="163" t="s">
        <v>196</v>
      </c>
      <c r="F2605" s="163" t="s">
        <v>318</v>
      </c>
    </row>
    <row r="2606" spans="2:6">
      <c r="B2606" s="147" t="s">
        <v>1039</v>
      </c>
      <c r="C2606" s="147" t="e">
        <f>CONCATENATE("XB",Commodities!C236,#REF!)</f>
        <v>#REF!</v>
      </c>
      <c r="D2606" s="147" t="e">
        <f xml:space="preserve"> CONCATENATE("Delivery of Barge/Vessel Traded ",Commodities!C236," from ",#REF!)</f>
        <v>#REF!</v>
      </c>
      <c r="E2606" s="163" t="s">
        <v>196</v>
      </c>
      <c r="F2606" s="163" t="s">
        <v>318</v>
      </c>
    </row>
    <row r="2607" spans="2:6">
      <c r="B2607" s="147" t="s">
        <v>1039</v>
      </c>
      <c r="C2607" s="147" t="e">
        <f>CONCATENATE("XB",Commodities!C237,#REF!)</f>
        <v>#REF!</v>
      </c>
      <c r="D2607" s="147" t="e">
        <f xml:space="preserve"> CONCATENATE("Delivery of Barge/Vessel Traded ",Commodities!C237," from ",#REF!)</f>
        <v>#REF!</v>
      </c>
      <c r="E2607" s="163" t="s">
        <v>196</v>
      </c>
      <c r="F2607" s="163" t="s">
        <v>318</v>
      </c>
    </row>
    <row r="2608" spans="2:6">
      <c r="B2608" s="147" t="s">
        <v>1039</v>
      </c>
      <c r="C2608" s="147" t="e">
        <f>CONCATENATE("XB",Commodities!C238,#REF!)</f>
        <v>#REF!</v>
      </c>
      <c r="D2608" s="147" t="e">
        <f xml:space="preserve"> CONCATENATE("Delivery of Barge/Vessel Traded ",Commodities!C238," from ",#REF!)</f>
        <v>#REF!</v>
      </c>
      <c r="E2608" s="163" t="s">
        <v>196</v>
      </c>
      <c r="F2608" s="163" t="s">
        <v>318</v>
      </c>
    </row>
    <row r="2609" spans="2:6">
      <c r="B2609" s="147" t="s">
        <v>1039</v>
      </c>
      <c r="C2609" s="147" t="e">
        <f>CONCATENATE("XB",Commodities!C239,#REF!)</f>
        <v>#REF!</v>
      </c>
      <c r="D2609" s="147" t="e">
        <f xml:space="preserve"> CONCATENATE("Delivery of Barge/Vessel Traded ",Commodities!C239," from ",#REF!)</f>
        <v>#REF!</v>
      </c>
      <c r="E2609" s="163" t="s">
        <v>196</v>
      </c>
      <c r="F2609" s="163" t="s">
        <v>318</v>
      </c>
    </row>
    <row r="2610" spans="2:6">
      <c r="B2610" s="147" t="s">
        <v>1039</v>
      </c>
      <c r="C2610" s="147" t="e">
        <f>CONCATENATE("XB",Commodities!C241,#REF!)</f>
        <v>#REF!</v>
      </c>
      <c r="D2610" s="147" t="e">
        <f xml:space="preserve"> CONCATENATE("Delivery of Barge/Vessel Traded ",Commodities!C241," from ",#REF!)</f>
        <v>#REF!</v>
      </c>
      <c r="E2610" s="163" t="s">
        <v>196</v>
      </c>
      <c r="F2610" s="163" t="s">
        <v>318</v>
      </c>
    </row>
    <row r="2611" spans="2:6">
      <c r="B2611" s="147" t="s">
        <v>1039</v>
      </c>
      <c r="C2611" s="147" t="e">
        <f>CONCATENATE("XB",Commodities!C242,#REF!)</f>
        <v>#REF!</v>
      </c>
      <c r="D2611" s="147" t="e">
        <f xml:space="preserve"> CONCATENATE("Delivery of Barge/Vessel Traded ",Commodities!C242," from ",#REF!)</f>
        <v>#REF!</v>
      </c>
      <c r="E2611" s="163" t="s">
        <v>196</v>
      </c>
      <c r="F2611" s="163" t="s">
        <v>318</v>
      </c>
    </row>
    <row r="2612" spans="2:6">
      <c r="B2612" s="147" t="s">
        <v>1039</v>
      </c>
      <c r="C2612" s="147" t="e">
        <f>CONCATENATE("XB",Commodities!C243,#REF!)</f>
        <v>#REF!</v>
      </c>
      <c r="D2612" s="147" t="e">
        <f xml:space="preserve"> CONCATENATE("Delivery of Barge/Vessel Traded ",Commodities!C243," from ",#REF!)</f>
        <v>#REF!</v>
      </c>
      <c r="E2612" s="163" t="s">
        <v>196</v>
      </c>
      <c r="F2612" s="163" t="s">
        <v>318</v>
      </c>
    </row>
    <row r="2613" spans="2:6">
      <c r="B2613" s="147" t="s">
        <v>1039</v>
      </c>
      <c r="C2613" s="147" t="e">
        <f>CONCATENATE("XB",Commodities!C244,#REF!)</f>
        <v>#REF!</v>
      </c>
      <c r="D2613" s="147" t="e">
        <f xml:space="preserve"> CONCATENATE("Delivery of Barge/Vessel Traded ",Commodities!C244," from ",#REF!)</f>
        <v>#REF!</v>
      </c>
      <c r="E2613" s="163" t="s">
        <v>196</v>
      </c>
      <c r="F2613" s="163" t="s">
        <v>318</v>
      </c>
    </row>
    <row r="2614" spans="2:6">
      <c r="B2614" s="147" t="s">
        <v>1039</v>
      </c>
      <c r="C2614" s="147" t="e">
        <f>CONCATENATE("XB",Commodities!C245,#REF!)</f>
        <v>#REF!</v>
      </c>
      <c r="D2614" s="147" t="e">
        <f xml:space="preserve"> CONCATENATE("Delivery of Barge/Vessel Traded ",Commodities!C245," from ",#REF!)</f>
        <v>#REF!</v>
      </c>
      <c r="E2614" s="163" t="s">
        <v>196</v>
      </c>
      <c r="F2614" s="163" t="s">
        <v>318</v>
      </c>
    </row>
    <row r="2615" spans="2:6">
      <c r="B2615" s="147" t="s">
        <v>1039</v>
      </c>
      <c r="C2615" s="147" t="e">
        <f>CONCATENATE("XB",Commodities!C246,#REF!)</f>
        <v>#REF!</v>
      </c>
      <c r="D2615" s="147" t="e">
        <f xml:space="preserve"> CONCATENATE("Delivery of Barge/Vessel Traded ",Commodities!C246," from ",#REF!)</f>
        <v>#REF!</v>
      </c>
      <c r="E2615" s="163" t="s">
        <v>196</v>
      </c>
      <c r="F2615" s="163" t="s">
        <v>318</v>
      </c>
    </row>
    <row r="2616" spans="2:6">
      <c r="B2616" s="147" t="s">
        <v>1039</v>
      </c>
      <c r="C2616" s="147" t="e">
        <f>CONCATENATE("XB",Commodities!C222,#REF!)</f>
        <v>#REF!</v>
      </c>
      <c r="D2616" s="147" t="e">
        <f xml:space="preserve"> CONCATENATE("Delivery of Barge/Vessel Traded ",Commodities!C222," from ",#REF!)</f>
        <v>#REF!</v>
      </c>
      <c r="E2616" s="163" t="s">
        <v>196</v>
      </c>
      <c r="F2616" s="163" t="s">
        <v>318</v>
      </c>
    </row>
    <row r="2617" spans="2:6">
      <c r="B2617" s="147" t="s">
        <v>1039</v>
      </c>
      <c r="C2617" s="147" t="e">
        <f>CONCATENATE("XB",Commodities!C223,#REF!)</f>
        <v>#REF!</v>
      </c>
      <c r="D2617" s="147" t="e">
        <f xml:space="preserve"> CONCATENATE("Delivery of Barge/Vessel Traded ",Commodities!C223," from ",#REF!)</f>
        <v>#REF!</v>
      </c>
      <c r="E2617" s="163" t="s">
        <v>196</v>
      </c>
      <c r="F2617" s="163" t="s">
        <v>318</v>
      </c>
    </row>
    <row r="2618" spans="2:6">
      <c r="B2618" s="147" t="s">
        <v>1039</v>
      </c>
      <c r="C2618" s="147" t="e">
        <f>CONCATENATE("XB",Commodities!C224,#REF!)</f>
        <v>#REF!</v>
      </c>
      <c r="D2618" s="147" t="e">
        <f xml:space="preserve"> CONCATENATE("Delivery of Barge/Vessel Traded ",Commodities!C224," from ",#REF!)</f>
        <v>#REF!</v>
      </c>
      <c r="E2618" s="163" t="s">
        <v>196</v>
      </c>
      <c r="F2618" s="163" t="s">
        <v>318</v>
      </c>
    </row>
    <row r="2619" spans="2:6">
      <c r="B2619" s="147" t="s">
        <v>1039</v>
      </c>
      <c r="C2619" s="147" t="e">
        <f>CONCATENATE("XB",Commodities!C225,#REF!)</f>
        <v>#REF!</v>
      </c>
      <c r="D2619" s="147" t="e">
        <f xml:space="preserve"> CONCATENATE("Delivery of Barge/Vessel Traded ",Commodities!C225," from ",#REF!)</f>
        <v>#REF!</v>
      </c>
      <c r="E2619" s="163" t="s">
        <v>196</v>
      </c>
      <c r="F2619" s="163" t="s">
        <v>318</v>
      </c>
    </row>
    <row r="2620" spans="2:6">
      <c r="B2620" s="147" t="s">
        <v>1039</v>
      </c>
      <c r="C2620" s="147" t="e">
        <f>CONCATENATE("XB",Commodities!C226,#REF!)</f>
        <v>#REF!</v>
      </c>
      <c r="D2620" s="147" t="e">
        <f xml:space="preserve"> CONCATENATE("Delivery of Barge/Vessel Traded ",Commodities!C226," from ",#REF!)</f>
        <v>#REF!</v>
      </c>
      <c r="E2620" s="163" t="s">
        <v>196</v>
      </c>
      <c r="F2620" s="163" t="s">
        <v>318</v>
      </c>
    </row>
    <row r="2621" spans="2:6">
      <c r="B2621" s="147" t="s">
        <v>1039</v>
      </c>
      <c r="C2621" s="147" t="e">
        <f>CONCATENATE("XB",Commodities!C227,#REF!)</f>
        <v>#REF!</v>
      </c>
      <c r="D2621" s="147" t="e">
        <f xml:space="preserve"> CONCATENATE("Delivery of Barge/Vessel Traded ",Commodities!C227," from ",#REF!)</f>
        <v>#REF!</v>
      </c>
      <c r="E2621" s="163" t="s">
        <v>196</v>
      </c>
      <c r="F2621" s="163" t="s">
        <v>318</v>
      </c>
    </row>
    <row r="2622" spans="2:6">
      <c r="B2622" s="147" t="s">
        <v>1039</v>
      </c>
      <c r="C2622" s="147" t="e">
        <f>CONCATENATE("XB",Commodities!C228,#REF!)</f>
        <v>#REF!</v>
      </c>
      <c r="D2622" s="147" t="e">
        <f xml:space="preserve"> CONCATENATE("Delivery of Barge/Vessel Traded ",Commodities!C228," from ",#REF!)</f>
        <v>#REF!</v>
      </c>
      <c r="E2622" s="163" t="s">
        <v>196</v>
      </c>
      <c r="F2622" s="163" t="s">
        <v>318</v>
      </c>
    </row>
    <row r="2623" spans="2:6">
      <c r="B2623" s="147" t="s">
        <v>1039</v>
      </c>
      <c r="C2623" s="147" t="e">
        <f>CONCATENATE("XB",Commodities!C229,#REF!)</f>
        <v>#REF!</v>
      </c>
      <c r="D2623" s="147" t="e">
        <f xml:space="preserve"> CONCATENATE("Delivery of Barge/Vessel Traded ",Commodities!C229," from ",#REF!)</f>
        <v>#REF!</v>
      </c>
      <c r="E2623" s="163" t="s">
        <v>196</v>
      </c>
      <c r="F2623" s="163" t="s">
        <v>318</v>
      </c>
    </row>
    <row r="2624" spans="2:6">
      <c r="B2624" s="147" t="s">
        <v>1039</v>
      </c>
      <c r="C2624" s="147" t="e">
        <f>CONCATENATE("XB",Commodities!C230,#REF!)</f>
        <v>#REF!</v>
      </c>
      <c r="D2624" s="147" t="e">
        <f xml:space="preserve"> CONCATENATE("Delivery of Barge/Vessel Traded ",Commodities!C230," from ",#REF!)</f>
        <v>#REF!</v>
      </c>
      <c r="E2624" s="163" t="s">
        <v>196</v>
      </c>
      <c r="F2624" s="163" t="s">
        <v>318</v>
      </c>
    </row>
    <row r="2625" spans="2:6">
      <c r="B2625" s="147" t="s">
        <v>1039</v>
      </c>
      <c r="C2625" s="147" t="e">
        <f>CONCATENATE("XB",Commodities!C231,#REF!)</f>
        <v>#REF!</v>
      </c>
      <c r="D2625" s="147" t="e">
        <f xml:space="preserve"> CONCATENATE("Delivery of Barge/Vessel Traded ",Commodities!C231," from ",#REF!)</f>
        <v>#REF!</v>
      </c>
      <c r="E2625" s="163" t="s">
        <v>196</v>
      </c>
      <c r="F2625" s="163" t="s">
        <v>318</v>
      </c>
    </row>
    <row r="2626" spans="2:6">
      <c r="B2626" s="147" t="s">
        <v>1039</v>
      </c>
      <c r="C2626" s="147" t="e">
        <f>CONCATENATE("XB",Commodities!C232,#REF!)</f>
        <v>#REF!</v>
      </c>
      <c r="D2626" s="147" t="e">
        <f xml:space="preserve"> CONCATENATE("Delivery of Barge/Vessel Traded ",Commodities!C232," from ",#REF!)</f>
        <v>#REF!</v>
      </c>
      <c r="E2626" s="163" t="s">
        <v>196</v>
      </c>
      <c r="F2626" s="163" t="s">
        <v>318</v>
      </c>
    </row>
    <row r="2627" spans="2:6">
      <c r="B2627" s="147" t="s">
        <v>1039</v>
      </c>
      <c r="C2627" s="147" t="e">
        <f>CONCATENATE("XB",Commodities!C233,#REF!)</f>
        <v>#REF!</v>
      </c>
      <c r="D2627" s="147" t="e">
        <f xml:space="preserve"> CONCATENATE("Delivery of Barge/Vessel Traded ",Commodities!C233," from ",#REF!)</f>
        <v>#REF!</v>
      </c>
      <c r="E2627" s="163" t="s">
        <v>196</v>
      </c>
      <c r="F2627" s="163" t="s">
        <v>318</v>
      </c>
    </row>
    <row r="2628" spans="2:6">
      <c r="B2628" s="147" t="s">
        <v>1039</v>
      </c>
      <c r="C2628" s="147" t="e">
        <f>CONCATENATE("XB",Commodities!C234,#REF!)</f>
        <v>#REF!</v>
      </c>
      <c r="D2628" s="147" t="e">
        <f xml:space="preserve"> CONCATENATE("Delivery of Barge/Vessel Traded ",Commodities!C234," from ",#REF!)</f>
        <v>#REF!</v>
      </c>
      <c r="E2628" s="163" t="s">
        <v>196</v>
      </c>
      <c r="F2628" s="163" t="s">
        <v>318</v>
      </c>
    </row>
    <row r="2629" spans="2:6">
      <c r="B2629" s="147" t="s">
        <v>1039</v>
      </c>
      <c r="C2629" s="147" t="e">
        <f>CONCATENATE("XB",Commodities!C235,#REF!)</f>
        <v>#REF!</v>
      </c>
      <c r="D2629" s="147" t="e">
        <f xml:space="preserve"> CONCATENATE("Delivery of Barge/Vessel Traded ",Commodities!C235," from ",#REF!)</f>
        <v>#REF!</v>
      </c>
      <c r="E2629" s="163" t="s">
        <v>196</v>
      </c>
      <c r="F2629" s="163" t="s">
        <v>318</v>
      </c>
    </row>
    <row r="2630" spans="2:6">
      <c r="B2630" s="147" t="s">
        <v>1039</v>
      </c>
      <c r="C2630" s="147" t="e">
        <f>CONCATENATE("XB",Commodities!C236,#REF!)</f>
        <v>#REF!</v>
      </c>
      <c r="D2630" s="147" t="e">
        <f xml:space="preserve"> CONCATENATE("Delivery of Barge/Vessel Traded ",Commodities!C236," from ",#REF!)</f>
        <v>#REF!</v>
      </c>
      <c r="E2630" s="163" t="s">
        <v>196</v>
      </c>
      <c r="F2630" s="163" t="s">
        <v>318</v>
      </c>
    </row>
    <row r="2631" spans="2:6">
      <c r="B2631" s="147" t="s">
        <v>1039</v>
      </c>
      <c r="C2631" s="147" t="e">
        <f>CONCATENATE("XB",Commodities!C237,#REF!)</f>
        <v>#REF!</v>
      </c>
      <c r="D2631" s="147" t="e">
        <f xml:space="preserve"> CONCATENATE("Delivery of Barge/Vessel Traded ",Commodities!C237," from ",#REF!)</f>
        <v>#REF!</v>
      </c>
      <c r="E2631" s="163" t="s">
        <v>196</v>
      </c>
      <c r="F2631" s="163" t="s">
        <v>318</v>
      </c>
    </row>
    <row r="2632" spans="2:6">
      <c r="B2632" s="147" t="s">
        <v>1039</v>
      </c>
      <c r="C2632" s="147" t="e">
        <f>CONCATENATE("XB",Commodities!C238,#REF!)</f>
        <v>#REF!</v>
      </c>
      <c r="D2632" s="147" t="e">
        <f xml:space="preserve"> CONCATENATE("Delivery of Barge/Vessel Traded ",Commodities!C238," from ",#REF!)</f>
        <v>#REF!</v>
      </c>
      <c r="E2632" s="163" t="s">
        <v>196</v>
      </c>
      <c r="F2632" s="163" t="s">
        <v>318</v>
      </c>
    </row>
    <row r="2633" spans="2:6">
      <c r="B2633" s="147" t="s">
        <v>1039</v>
      </c>
      <c r="C2633" s="147" t="e">
        <f>CONCATENATE("XB",Commodities!C239,#REF!)</f>
        <v>#REF!</v>
      </c>
      <c r="D2633" s="147" t="e">
        <f xml:space="preserve"> CONCATENATE("Delivery of Barge/Vessel Traded ",Commodities!C239," from ",#REF!)</f>
        <v>#REF!</v>
      </c>
      <c r="E2633" s="163" t="s">
        <v>196</v>
      </c>
      <c r="F2633" s="163" t="s">
        <v>318</v>
      </c>
    </row>
    <row r="2634" spans="2:6">
      <c r="B2634" s="147" t="s">
        <v>1039</v>
      </c>
      <c r="C2634" s="147" t="e">
        <f>CONCATENATE("XB",Commodities!C241,#REF!)</f>
        <v>#REF!</v>
      </c>
      <c r="D2634" s="147" t="e">
        <f xml:space="preserve"> CONCATENATE("Delivery of Barge/Vessel Traded ",Commodities!C241," from ",#REF!)</f>
        <v>#REF!</v>
      </c>
      <c r="E2634" s="163" t="s">
        <v>196</v>
      </c>
      <c r="F2634" s="163" t="s">
        <v>318</v>
      </c>
    </row>
    <row r="2635" spans="2:6">
      <c r="B2635" s="147" t="s">
        <v>1039</v>
      </c>
      <c r="C2635" s="147" t="e">
        <f>CONCATENATE("XB",Commodities!C242,#REF!)</f>
        <v>#REF!</v>
      </c>
      <c r="D2635" s="147" t="e">
        <f xml:space="preserve"> CONCATENATE("Delivery of Barge/Vessel Traded ",Commodities!C242," from ",#REF!)</f>
        <v>#REF!</v>
      </c>
      <c r="E2635" s="163" t="s">
        <v>196</v>
      </c>
      <c r="F2635" s="163" t="s">
        <v>318</v>
      </c>
    </row>
    <row r="2636" spans="2:6">
      <c r="B2636" s="147" t="s">
        <v>1039</v>
      </c>
      <c r="C2636" s="147" t="e">
        <f>CONCATENATE("XB",Commodities!C243,#REF!)</f>
        <v>#REF!</v>
      </c>
      <c r="D2636" s="147" t="e">
        <f xml:space="preserve"> CONCATENATE("Delivery of Barge/Vessel Traded ",Commodities!C243," from ",#REF!)</f>
        <v>#REF!</v>
      </c>
      <c r="E2636" s="163" t="s">
        <v>196</v>
      </c>
      <c r="F2636" s="163" t="s">
        <v>318</v>
      </c>
    </row>
    <row r="2637" spans="2:6">
      <c r="B2637" s="147" t="s">
        <v>1039</v>
      </c>
      <c r="C2637" s="147" t="e">
        <f>CONCATENATE("XB",Commodities!C244,#REF!)</f>
        <v>#REF!</v>
      </c>
      <c r="D2637" s="147" t="e">
        <f xml:space="preserve"> CONCATENATE("Delivery of Barge/Vessel Traded ",Commodities!C244," from ",#REF!)</f>
        <v>#REF!</v>
      </c>
      <c r="E2637" s="163" t="s">
        <v>196</v>
      </c>
      <c r="F2637" s="163" t="s">
        <v>318</v>
      </c>
    </row>
    <row r="2638" spans="2:6">
      <c r="B2638" s="147" t="s">
        <v>1039</v>
      </c>
      <c r="C2638" s="147" t="e">
        <f>CONCATENATE("XB",Commodities!C245,#REF!)</f>
        <v>#REF!</v>
      </c>
      <c r="D2638" s="147" t="e">
        <f xml:space="preserve"> CONCATENATE("Delivery of Barge/Vessel Traded ",Commodities!C245," from ",#REF!)</f>
        <v>#REF!</v>
      </c>
      <c r="E2638" s="163" t="s">
        <v>196</v>
      </c>
      <c r="F2638" s="163" t="s">
        <v>318</v>
      </c>
    </row>
    <row r="2639" spans="2:6">
      <c r="B2639" s="147" t="s">
        <v>1039</v>
      </c>
      <c r="C2639" s="147" t="e">
        <f>CONCATENATE("XB",Commodities!C246,#REF!)</f>
        <v>#REF!</v>
      </c>
      <c r="D2639" s="147" t="e">
        <f xml:space="preserve"> CONCATENATE("Delivery of Barge/Vessel Traded ",Commodities!C246," from ",#REF!)</f>
        <v>#REF!</v>
      </c>
      <c r="E2639" s="163" t="s">
        <v>196</v>
      </c>
      <c r="F2639" s="163" t="s">
        <v>318</v>
      </c>
    </row>
    <row r="2640" spans="2:6">
      <c r="B2640" s="147" t="s">
        <v>1038</v>
      </c>
      <c r="C2640" s="147" t="e">
        <f>CONCATENATE("XB",Commodities!C222,#REF!)</f>
        <v>#REF!</v>
      </c>
      <c r="D2640" s="147" t="e">
        <f xml:space="preserve"> CONCATENATE("Delivery of Barge/Vessel Traded ",Commodities!C222," from ",#REF!)</f>
        <v>#REF!</v>
      </c>
      <c r="E2640" s="163" t="s">
        <v>196</v>
      </c>
      <c r="F2640" s="163" t="s">
        <v>318</v>
      </c>
    </row>
    <row r="2641" spans="2:6">
      <c r="B2641" s="147" t="s">
        <v>1038</v>
      </c>
      <c r="C2641" s="147" t="e">
        <f>CONCATENATE("XB",Commodities!C223,#REF!)</f>
        <v>#REF!</v>
      </c>
      <c r="D2641" s="147" t="e">
        <f xml:space="preserve"> CONCATENATE("Delivery of Barge/Vessel Traded ",Commodities!C223," from ",#REF!)</f>
        <v>#REF!</v>
      </c>
      <c r="E2641" s="163" t="s">
        <v>196</v>
      </c>
      <c r="F2641" s="163" t="s">
        <v>318</v>
      </c>
    </row>
    <row r="2642" spans="2:6">
      <c r="B2642" s="147" t="s">
        <v>1038</v>
      </c>
      <c r="C2642" s="147" t="e">
        <f>CONCATENATE("XB",Commodities!C224,#REF!)</f>
        <v>#REF!</v>
      </c>
      <c r="D2642" s="147" t="e">
        <f xml:space="preserve"> CONCATENATE("Delivery of Barge/Vessel Traded ",Commodities!C224," from ",#REF!)</f>
        <v>#REF!</v>
      </c>
      <c r="E2642" s="163" t="s">
        <v>196</v>
      </c>
      <c r="F2642" s="163" t="s">
        <v>318</v>
      </c>
    </row>
    <row r="2643" spans="2:6">
      <c r="B2643" s="147" t="s">
        <v>1038</v>
      </c>
      <c r="C2643" s="147" t="e">
        <f>CONCATENATE("XB",Commodities!C225,#REF!)</f>
        <v>#REF!</v>
      </c>
      <c r="D2643" s="147" t="e">
        <f xml:space="preserve"> CONCATENATE("Delivery of Barge/Vessel Traded ",Commodities!C225," from ",#REF!)</f>
        <v>#REF!</v>
      </c>
      <c r="E2643" s="163" t="s">
        <v>196</v>
      </c>
      <c r="F2643" s="163" t="s">
        <v>318</v>
      </c>
    </row>
    <row r="2644" spans="2:6">
      <c r="B2644" s="147" t="s">
        <v>1038</v>
      </c>
      <c r="C2644" s="147" t="e">
        <f>CONCATENATE("XB",Commodities!C226,#REF!)</f>
        <v>#REF!</v>
      </c>
      <c r="D2644" s="147" t="e">
        <f xml:space="preserve"> CONCATENATE("Delivery of Barge/Vessel Traded ",Commodities!C226," from ",#REF!)</f>
        <v>#REF!</v>
      </c>
      <c r="E2644" s="163" t="s">
        <v>196</v>
      </c>
      <c r="F2644" s="163" t="s">
        <v>318</v>
      </c>
    </row>
    <row r="2645" spans="2:6">
      <c r="B2645" s="147" t="s">
        <v>1038</v>
      </c>
      <c r="C2645" s="147" t="e">
        <f>CONCATENATE("XB",Commodities!C227,#REF!)</f>
        <v>#REF!</v>
      </c>
      <c r="D2645" s="147" t="e">
        <f xml:space="preserve"> CONCATENATE("Delivery of Barge/Vessel Traded ",Commodities!C227," from ",#REF!)</f>
        <v>#REF!</v>
      </c>
      <c r="E2645" s="163" t="s">
        <v>196</v>
      </c>
      <c r="F2645" s="163" t="s">
        <v>318</v>
      </c>
    </row>
    <row r="2646" spans="2:6">
      <c r="B2646" s="147" t="s">
        <v>1038</v>
      </c>
      <c r="C2646" s="147" t="e">
        <f>CONCATENATE("XB",Commodities!C228,#REF!)</f>
        <v>#REF!</v>
      </c>
      <c r="D2646" s="147" t="e">
        <f xml:space="preserve"> CONCATENATE("Delivery of Barge/Vessel Traded ",Commodities!C228," from ",#REF!)</f>
        <v>#REF!</v>
      </c>
      <c r="E2646" s="163" t="s">
        <v>196</v>
      </c>
      <c r="F2646" s="163" t="s">
        <v>318</v>
      </c>
    </row>
    <row r="2647" spans="2:6">
      <c r="B2647" s="147" t="s">
        <v>1038</v>
      </c>
      <c r="C2647" s="147" t="e">
        <f>CONCATENATE("XB",Commodities!C229,#REF!)</f>
        <v>#REF!</v>
      </c>
      <c r="D2647" s="147" t="e">
        <f xml:space="preserve"> CONCATENATE("Delivery of Barge/Vessel Traded ",Commodities!C229," from ",#REF!)</f>
        <v>#REF!</v>
      </c>
      <c r="E2647" s="163" t="s">
        <v>196</v>
      </c>
      <c r="F2647" s="163" t="s">
        <v>318</v>
      </c>
    </row>
    <row r="2648" spans="2:6">
      <c r="B2648" s="147" t="s">
        <v>1038</v>
      </c>
      <c r="C2648" s="147" t="e">
        <f>CONCATENATE("XB",Commodities!C230,#REF!)</f>
        <v>#REF!</v>
      </c>
      <c r="D2648" s="147" t="e">
        <f xml:space="preserve"> CONCATENATE("Delivery of Barge/Vessel Traded ",Commodities!C230," from ",#REF!)</f>
        <v>#REF!</v>
      </c>
      <c r="E2648" s="163" t="s">
        <v>196</v>
      </c>
      <c r="F2648" s="163" t="s">
        <v>318</v>
      </c>
    </row>
    <row r="2649" spans="2:6">
      <c r="B2649" s="147" t="s">
        <v>1038</v>
      </c>
      <c r="C2649" s="147" t="e">
        <f>CONCATENATE("XB",Commodities!C231,#REF!)</f>
        <v>#REF!</v>
      </c>
      <c r="D2649" s="147" t="e">
        <f xml:space="preserve"> CONCATENATE("Delivery of Barge/Vessel Traded ",Commodities!C231," from ",#REF!)</f>
        <v>#REF!</v>
      </c>
      <c r="E2649" s="163" t="s">
        <v>196</v>
      </c>
      <c r="F2649" s="163" t="s">
        <v>318</v>
      </c>
    </row>
    <row r="2650" spans="2:6">
      <c r="B2650" s="147" t="s">
        <v>1038</v>
      </c>
      <c r="C2650" s="147" t="e">
        <f>CONCATENATE("XB",Commodities!C232,#REF!)</f>
        <v>#REF!</v>
      </c>
      <c r="D2650" s="147" t="e">
        <f xml:space="preserve"> CONCATENATE("Delivery of Barge/Vessel Traded ",Commodities!C232," from ",#REF!)</f>
        <v>#REF!</v>
      </c>
      <c r="E2650" s="163" t="s">
        <v>196</v>
      </c>
      <c r="F2650" s="163" t="s">
        <v>318</v>
      </c>
    </row>
    <row r="2651" spans="2:6">
      <c r="B2651" s="147" t="s">
        <v>1038</v>
      </c>
      <c r="C2651" s="147" t="e">
        <f>CONCATENATE("XB",Commodities!C233,#REF!)</f>
        <v>#REF!</v>
      </c>
      <c r="D2651" s="147" t="e">
        <f xml:space="preserve"> CONCATENATE("Delivery of Barge/Vessel Traded ",Commodities!C233," from ",#REF!)</f>
        <v>#REF!</v>
      </c>
      <c r="E2651" s="163" t="s">
        <v>196</v>
      </c>
      <c r="F2651" s="163" t="s">
        <v>318</v>
      </c>
    </row>
    <row r="2652" spans="2:6">
      <c r="B2652" s="147" t="s">
        <v>1038</v>
      </c>
      <c r="C2652" s="147" t="e">
        <f>CONCATENATE("XB",Commodities!C234,#REF!)</f>
        <v>#REF!</v>
      </c>
      <c r="D2652" s="147" t="e">
        <f xml:space="preserve"> CONCATENATE("Delivery of Barge/Vessel Traded ",Commodities!C234," from ",#REF!)</f>
        <v>#REF!</v>
      </c>
      <c r="E2652" s="163" t="s">
        <v>196</v>
      </c>
      <c r="F2652" s="163" t="s">
        <v>318</v>
      </c>
    </row>
    <row r="2653" spans="2:6">
      <c r="B2653" s="147" t="s">
        <v>1038</v>
      </c>
      <c r="C2653" s="147" t="e">
        <f>CONCATENATE("XB",Commodities!C235,#REF!)</f>
        <v>#REF!</v>
      </c>
      <c r="D2653" s="147" t="e">
        <f xml:space="preserve"> CONCATENATE("Delivery of Barge/Vessel Traded ",Commodities!C235," from ",#REF!)</f>
        <v>#REF!</v>
      </c>
      <c r="E2653" s="163" t="s">
        <v>196</v>
      </c>
      <c r="F2653" s="163" t="s">
        <v>318</v>
      </c>
    </row>
    <row r="2654" spans="2:6">
      <c r="B2654" s="147" t="s">
        <v>1038</v>
      </c>
      <c r="C2654" s="147" t="e">
        <f>CONCATENATE("XB",Commodities!C236,#REF!)</f>
        <v>#REF!</v>
      </c>
      <c r="D2654" s="147" t="e">
        <f xml:space="preserve"> CONCATENATE("Delivery of Barge/Vessel Traded ",Commodities!C236," from ",#REF!)</f>
        <v>#REF!</v>
      </c>
      <c r="E2654" s="163" t="s">
        <v>196</v>
      </c>
      <c r="F2654" s="163" t="s">
        <v>318</v>
      </c>
    </row>
    <row r="2655" spans="2:6">
      <c r="B2655" s="147" t="s">
        <v>1038</v>
      </c>
      <c r="C2655" s="147" t="e">
        <f>CONCATENATE("XB",Commodities!C237,#REF!)</f>
        <v>#REF!</v>
      </c>
      <c r="D2655" s="147" t="e">
        <f xml:space="preserve"> CONCATENATE("Delivery of Barge/Vessel Traded ",Commodities!C237," from ",#REF!)</f>
        <v>#REF!</v>
      </c>
      <c r="E2655" s="163" t="s">
        <v>196</v>
      </c>
      <c r="F2655" s="163" t="s">
        <v>318</v>
      </c>
    </row>
    <row r="2656" spans="2:6">
      <c r="B2656" s="147" t="s">
        <v>1038</v>
      </c>
      <c r="C2656" s="147" t="e">
        <f>CONCATENATE("XB",Commodities!C238,#REF!)</f>
        <v>#REF!</v>
      </c>
      <c r="D2656" s="147" t="e">
        <f xml:space="preserve"> CONCATENATE("Delivery of Barge/Vessel Traded ",Commodities!C238," from ",#REF!)</f>
        <v>#REF!</v>
      </c>
      <c r="E2656" s="163" t="s">
        <v>196</v>
      </c>
      <c r="F2656" s="163" t="s">
        <v>318</v>
      </c>
    </row>
    <row r="2657" spans="2:6">
      <c r="B2657" s="147" t="s">
        <v>1038</v>
      </c>
      <c r="C2657" s="147" t="e">
        <f>CONCATENATE("XB",Commodities!C239,#REF!)</f>
        <v>#REF!</v>
      </c>
      <c r="D2657" s="147" t="e">
        <f xml:space="preserve"> CONCATENATE("Delivery of Barge/Vessel Traded ",Commodities!C239," from ",#REF!)</f>
        <v>#REF!</v>
      </c>
      <c r="E2657" s="163" t="s">
        <v>196</v>
      </c>
      <c r="F2657" s="163" t="s">
        <v>318</v>
      </c>
    </row>
    <row r="2658" spans="2:6">
      <c r="B2658" s="147" t="s">
        <v>1038</v>
      </c>
      <c r="C2658" s="147" t="e">
        <f>CONCATENATE("XB",Commodities!C241,#REF!)</f>
        <v>#REF!</v>
      </c>
      <c r="D2658" s="147" t="e">
        <f xml:space="preserve"> CONCATENATE("Delivery of Barge/Vessel Traded ",Commodities!C241," from ",#REF!)</f>
        <v>#REF!</v>
      </c>
      <c r="E2658" s="163" t="s">
        <v>196</v>
      </c>
      <c r="F2658" s="163" t="s">
        <v>318</v>
      </c>
    </row>
    <row r="2659" spans="2:6">
      <c r="B2659" s="147" t="s">
        <v>1038</v>
      </c>
      <c r="C2659" s="147" t="e">
        <f>CONCATENATE("XB",Commodities!C242,#REF!)</f>
        <v>#REF!</v>
      </c>
      <c r="D2659" s="147" t="e">
        <f xml:space="preserve"> CONCATENATE("Delivery of Barge/Vessel Traded ",Commodities!C242," from ",#REF!)</f>
        <v>#REF!</v>
      </c>
      <c r="E2659" s="163" t="s">
        <v>196</v>
      </c>
      <c r="F2659" s="163" t="s">
        <v>318</v>
      </c>
    </row>
    <row r="2660" spans="2:6">
      <c r="B2660" s="147" t="s">
        <v>1038</v>
      </c>
      <c r="C2660" s="147" t="e">
        <f>CONCATENATE("XB",Commodities!C243,#REF!)</f>
        <v>#REF!</v>
      </c>
      <c r="D2660" s="147" t="e">
        <f xml:space="preserve"> CONCATENATE("Delivery of Barge/Vessel Traded ",Commodities!C243," from ",#REF!)</f>
        <v>#REF!</v>
      </c>
      <c r="E2660" s="163" t="s">
        <v>196</v>
      </c>
      <c r="F2660" s="163" t="s">
        <v>318</v>
      </c>
    </row>
    <row r="2661" spans="2:6">
      <c r="B2661" s="147" t="s">
        <v>1038</v>
      </c>
      <c r="C2661" s="147" t="e">
        <f>CONCATENATE("XB",Commodities!C244,#REF!)</f>
        <v>#REF!</v>
      </c>
      <c r="D2661" s="147" t="e">
        <f xml:space="preserve"> CONCATENATE("Delivery of Barge/Vessel Traded ",Commodities!C244," from ",#REF!)</f>
        <v>#REF!</v>
      </c>
      <c r="E2661" s="163" t="s">
        <v>196</v>
      </c>
      <c r="F2661" s="163" t="s">
        <v>318</v>
      </c>
    </row>
    <row r="2662" spans="2:6">
      <c r="B2662" s="147" t="s">
        <v>1038</v>
      </c>
      <c r="C2662" s="147" t="e">
        <f>CONCATENATE("XB",Commodities!C245,#REF!)</f>
        <v>#REF!</v>
      </c>
      <c r="D2662" s="147" t="e">
        <f xml:space="preserve"> CONCATENATE("Delivery of Barge/Vessel Traded ",Commodities!C245," from ",#REF!)</f>
        <v>#REF!</v>
      </c>
      <c r="E2662" s="163" t="s">
        <v>196</v>
      </c>
      <c r="F2662" s="163" t="s">
        <v>318</v>
      </c>
    </row>
    <row r="2663" spans="2:6">
      <c r="B2663" s="147" t="s">
        <v>1038</v>
      </c>
      <c r="C2663" s="147" t="e">
        <f>CONCATENATE("XB",Commodities!C246,#REF!)</f>
        <v>#REF!</v>
      </c>
      <c r="D2663" s="147" t="e">
        <f xml:space="preserve"> CONCATENATE("Delivery of Barge/Vessel Traded ",Commodities!C246," from ",#REF!)</f>
        <v>#REF!</v>
      </c>
      <c r="E2663" s="163" t="s">
        <v>196</v>
      </c>
      <c r="F2663" s="163" t="s">
        <v>318</v>
      </c>
    </row>
    <row r="2664" spans="2:6">
      <c r="B2664" s="147" t="s">
        <v>1040</v>
      </c>
      <c r="C2664" s="147" t="e">
        <f>CONCATENATE("XB",Commodities!C222,#REF!)</f>
        <v>#REF!</v>
      </c>
      <c r="D2664" s="147" t="e">
        <f xml:space="preserve"> CONCATENATE("Delivery of Barge/Vessel Traded ",Commodities!C222," from ",#REF!)</f>
        <v>#REF!</v>
      </c>
      <c r="E2664" s="163" t="s">
        <v>196</v>
      </c>
      <c r="F2664" s="163" t="s">
        <v>318</v>
      </c>
    </row>
    <row r="2665" spans="2:6">
      <c r="B2665" s="147" t="s">
        <v>1040</v>
      </c>
      <c r="C2665" s="147" t="e">
        <f>CONCATENATE("XB",Commodities!C223,#REF!)</f>
        <v>#REF!</v>
      </c>
      <c r="D2665" s="147" t="e">
        <f xml:space="preserve"> CONCATENATE("Delivery of Barge/Vessel Traded ",Commodities!C223," from ",#REF!)</f>
        <v>#REF!</v>
      </c>
      <c r="E2665" s="163" t="s">
        <v>196</v>
      </c>
      <c r="F2665" s="163" t="s">
        <v>318</v>
      </c>
    </row>
    <row r="2666" spans="2:6">
      <c r="B2666" s="147" t="s">
        <v>1040</v>
      </c>
      <c r="C2666" s="147" t="e">
        <f>CONCATENATE("XB",Commodities!C224,#REF!)</f>
        <v>#REF!</v>
      </c>
      <c r="D2666" s="147" t="e">
        <f xml:space="preserve"> CONCATENATE("Delivery of Barge/Vessel Traded ",Commodities!C224," from ",#REF!)</f>
        <v>#REF!</v>
      </c>
      <c r="E2666" s="163" t="s">
        <v>196</v>
      </c>
      <c r="F2666" s="163" t="s">
        <v>318</v>
      </c>
    </row>
    <row r="2667" spans="2:6">
      <c r="B2667" s="147" t="s">
        <v>1040</v>
      </c>
      <c r="C2667" s="147" t="e">
        <f>CONCATENATE("XB",Commodities!C225,#REF!)</f>
        <v>#REF!</v>
      </c>
      <c r="D2667" s="147" t="e">
        <f xml:space="preserve"> CONCATENATE("Delivery of Barge/Vessel Traded ",Commodities!C225," from ",#REF!)</f>
        <v>#REF!</v>
      </c>
      <c r="E2667" s="163" t="s">
        <v>196</v>
      </c>
      <c r="F2667" s="163" t="s">
        <v>318</v>
      </c>
    </row>
    <row r="2668" spans="2:6">
      <c r="B2668" s="147" t="s">
        <v>1040</v>
      </c>
      <c r="C2668" s="147" t="e">
        <f>CONCATENATE("XB",Commodities!C226,#REF!)</f>
        <v>#REF!</v>
      </c>
      <c r="D2668" s="147" t="e">
        <f xml:space="preserve"> CONCATENATE("Delivery of Barge/Vessel Traded ",Commodities!C226," from ",#REF!)</f>
        <v>#REF!</v>
      </c>
      <c r="E2668" s="163" t="s">
        <v>196</v>
      </c>
      <c r="F2668" s="163" t="s">
        <v>318</v>
      </c>
    </row>
    <row r="2669" spans="2:6">
      <c r="B2669" s="147" t="s">
        <v>1040</v>
      </c>
      <c r="C2669" s="147" t="e">
        <f>CONCATENATE("XB",Commodities!C227,#REF!)</f>
        <v>#REF!</v>
      </c>
      <c r="D2669" s="147" t="e">
        <f xml:space="preserve"> CONCATENATE("Delivery of Barge/Vessel Traded ",Commodities!C227," from ",#REF!)</f>
        <v>#REF!</v>
      </c>
      <c r="E2669" s="163" t="s">
        <v>196</v>
      </c>
      <c r="F2669" s="163" t="s">
        <v>318</v>
      </c>
    </row>
    <row r="2670" spans="2:6">
      <c r="B2670" s="147" t="s">
        <v>1040</v>
      </c>
      <c r="C2670" s="147" t="e">
        <f>CONCATENATE("XB",Commodities!C228,#REF!)</f>
        <v>#REF!</v>
      </c>
      <c r="D2670" s="147" t="e">
        <f xml:space="preserve"> CONCATENATE("Delivery of Barge/Vessel Traded ",Commodities!C228," from ",#REF!)</f>
        <v>#REF!</v>
      </c>
      <c r="E2670" s="163" t="s">
        <v>196</v>
      </c>
      <c r="F2670" s="163" t="s">
        <v>318</v>
      </c>
    </row>
    <row r="2671" spans="2:6">
      <c r="B2671" s="147" t="s">
        <v>1040</v>
      </c>
      <c r="C2671" s="147" t="e">
        <f>CONCATENATE("XB",Commodities!C229,#REF!)</f>
        <v>#REF!</v>
      </c>
      <c r="D2671" s="147" t="e">
        <f xml:space="preserve"> CONCATENATE("Delivery of Barge/Vessel Traded ",Commodities!C229," from ",#REF!)</f>
        <v>#REF!</v>
      </c>
      <c r="E2671" s="163" t="s">
        <v>196</v>
      </c>
      <c r="F2671" s="163" t="s">
        <v>318</v>
      </c>
    </row>
    <row r="2672" spans="2:6">
      <c r="B2672" s="147" t="s">
        <v>1040</v>
      </c>
      <c r="C2672" s="147" t="e">
        <f>CONCATENATE("XB",Commodities!C230,#REF!)</f>
        <v>#REF!</v>
      </c>
      <c r="D2672" s="147" t="e">
        <f xml:space="preserve"> CONCATENATE("Delivery of Barge/Vessel Traded ",Commodities!C230," from ",#REF!)</f>
        <v>#REF!</v>
      </c>
      <c r="E2672" s="163" t="s">
        <v>196</v>
      </c>
      <c r="F2672" s="163" t="s">
        <v>318</v>
      </c>
    </row>
    <row r="2673" spans="2:6">
      <c r="B2673" s="147" t="s">
        <v>1040</v>
      </c>
      <c r="C2673" s="147" t="e">
        <f>CONCATENATE("XB",Commodities!C231,#REF!)</f>
        <v>#REF!</v>
      </c>
      <c r="D2673" s="147" t="e">
        <f xml:space="preserve"> CONCATENATE("Delivery of Barge/Vessel Traded ",Commodities!C231," from ",#REF!)</f>
        <v>#REF!</v>
      </c>
      <c r="E2673" s="163" t="s">
        <v>196</v>
      </c>
      <c r="F2673" s="163" t="s">
        <v>318</v>
      </c>
    </row>
    <row r="2674" spans="2:6">
      <c r="B2674" s="147" t="s">
        <v>1040</v>
      </c>
      <c r="C2674" s="147" t="e">
        <f>CONCATENATE("XB",Commodities!C232,#REF!)</f>
        <v>#REF!</v>
      </c>
      <c r="D2674" s="147" t="e">
        <f xml:space="preserve"> CONCATENATE("Delivery of Barge/Vessel Traded ",Commodities!C232," from ",#REF!)</f>
        <v>#REF!</v>
      </c>
      <c r="E2674" s="163" t="s">
        <v>196</v>
      </c>
      <c r="F2674" s="163" t="s">
        <v>318</v>
      </c>
    </row>
    <row r="2675" spans="2:6">
      <c r="B2675" s="147" t="s">
        <v>1040</v>
      </c>
      <c r="C2675" s="147" t="e">
        <f>CONCATENATE("XB",Commodities!C233,#REF!)</f>
        <v>#REF!</v>
      </c>
      <c r="D2675" s="147" t="e">
        <f xml:space="preserve"> CONCATENATE("Delivery of Barge/Vessel Traded ",Commodities!C233," from ",#REF!)</f>
        <v>#REF!</v>
      </c>
      <c r="E2675" s="163" t="s">
        <v>196</v>
      </c>
      <c r="F2675" s="163" t="s">
        <v>318</v>
      </c>
    </row>
    <row r="2676" spans="2:6">
      <c r="B2676" s="147" t="s">
        <v>1040</v>
      </c>
      <c r="C2676" s="147" t="e">
        <f>CONCATENATE("XB",Commodities!C234,#REF!)</f>
        <v>#REF!</v>
      </c>
      <c r="D2676" s="147" t="e">
        <f xml:space="preserve"> CONCATENATE("Delivery of Barge/Vessel Traded ",Commodities!C234," from ",#REF!)</f>
        <v>#REF!</v>
      </c>
      <c r="E2676" s="163" t="s">
        <v>196</v>
      </c>
      <c r="F2676" s="163" t="s">
        <v>318</v>
      </c>
    </row>
    <row r="2677" spans="2:6">
      <c r="B2677" s="147" t="s">
        <v>1040</v>
      </c>
      <c r="C2677" s="147" t="e">
        <f>CONCATENATE("XB",Commodities!C235,#REF!)</f>
        <v>#REF!</v>
      </c>
      <c r="D2677" s="147" t="e">
        <f xml:space="preserve"> CONCATENATE("Delivery of Barge/Vessel Traded ",Commodities!C235," from ",#REF!)</f>
        <v>#REF!</v>
      </c>
      <c r="E2677" s="163" t="s">
        <v>196</v>
      </c>
      <c r="F2677" s="163" t="s">
        <v>318</v>
      </c>
    </row>
    <row r="2678" spans="2:6">
      <c r="B2678" s="147" t="s">
        <v>1040</v>
      </c>
      <c r="C2678" s="147" t="e">
        <f>CONCATENATE("XB",Commodities!C236,#REF!)</f>
        <v>#REF!</v>
      </c>
      <c r="D2678" s="147" t="e">
        <f xml:space="preserve"> CONCATENATE("Delivery of Barge/Vessel Traded ",Commodities!C236," from ",#REF!)</f>
        <v>#REF!</v>
      </c>
      <c r="E2678" s="163" t="s">
        <v>196</v>
      </c>
      <c r="F2678" s="163" t="s">
        <v>318</v>
      </c>
    </row>
    <row r="2679" spans="2:6">
      <c r="B2679" s="147" t="s">
        <v>1040</v>
      </c>
      <c r="C2679" s="147" t="e">
        <f>CONCATENATE("XB",Commodities!C237,#REF!)</f>
        <v>#REF!</v>
      </c>
      <c r="D2679" s="147" t="e">
        <f xml:space="preserve"> CONCATENATE("Delivery of Barge/Vessel Traded ",Commodities!C237," from ",#REF!)</f>
        <v>#REF!</v>
      </c>
      <c r="E2679" s="163" t="s">
        <v>196</v>
      </c>
      <c r="F2679" s="163" t="s">
        <v>318</v>
      </c>
    </row>
    <row r="2680" spans="2:6">
      <c r="B2680" s="147" t="s">
        <v>1040</v>
      </c>
      <c r="C2680" s="147" t="e">
        <f>CONCATENATE("XB",Commodities!C238,#REF!)</f>
        <v>#REF!</v>
      </c>
      <c r="D2680" s="147" t="e">
        <f xml:space="preserve"> CONCATENATE("Delivery of Barge/Vessel Traded ",Commodities!C238," from ",#REF!)</f>
        <v>#REF!</v>
      </c>
      <c r="E2680" s="163" t="s">
        <v>196</v>
      </c>
      <c r="F2680" s="163" t="s">
        <v>318</v>
      </c>
    </row>
    <row r="2681" spans="2:6">
      <c r="B2681" s="147" t="s">
        <v>1040</v>
      </c>
      <c r="C2681" s="147" t="e">
        <f>CONCATENATE("XB",Commodities!C239,#REF!)</f>
        <v>#REF!</v>
      </c>
      <c r="D2681" s="147" t="e">
        <f xml:space="preserve"> CONCATENATE("Delivery of Barge/Vessel Traded ",Commodities!C239," from ",#REF!)</f>
        <v>#REF!</v>
      </c>
      <c r="E2681" s="163" t="s">
        <v>196</v>
      </c>
      <c r="F2681" s="163" t="s">
        <v>318</v>
      </c>
    </row>
    <row r="2682" spans="2:6">
      <c r="B2682" s="147" t="s">
        <v>1040</v>
      </c>
      <c r="C2682" s="147" t="e">
        <f>CONCATENATE("XB",Commodities!C241,#REF!)</f>
        <v>#REF!</v>
      </c>
      <c r="D2682" s="147" t="e">
        <f xml:space="preserve"> CONCATENATE("Delivery of Barge/Vessel Traded ",Commodities!C241," from ",#REF!)</f>
        <v>#REF!</v>
      </c>
      <c r="E2682" s="163" t="s">
        <v>196</v>
      </c>
      <c r="F2682" s="163" t="s">
        <v>318</v>
      </c>
    </row>
    <row r="2683" spans="2:6">
      <c r="B2683" s="147" t="s">
        <v>1040</v>
      </c>
      <c r="C2683" s="147" t="e">
        <f>CONCATENATE("XB",Commodities!C242,#REF!)</f>
        <v>#REF!</v>
      </c>
      <c r="D2683" s="147" t="e">
        <f xml:space="preserve"> CONCATENATE("Delivery of Barge/Vessel Traded ",Commodities!C242," from ",#REF!)</f>
        <v>#REF!</v>
      </c>
      <c r="E2683" s="163" t="s">
        <v>196</v>
      </c>
      <c r="F2683" s="163" t="s">
        <v>318</v>
      </c>
    </row>
    <row r="2684" spans="2:6">
      <c r="B2684" s="147" t="s">
        <v>1040</v>
      </c>
      <c r="C2684" s="147" t="e">
        <f>CONCATENATE("XB",Commodities!C243,#REF!)</f>
        <v>#REF!</v>
      </c>
      <c r="D2684" s="147" t="e">
        <f xml:space="preserve"> CONCATENATE("Delivery of Barge/Vessel Traded ",Commodities!C243," from ",#REF!)</f>
        <v>#REF!</v>
      </c>
      <c r="E2684" s="163" t="s">
        <v>196</v>
      </c>
      <c r="F2684" s="163" t="s">
        <v>318</v>
      </c>
    </row>
    <row r="2685" spans="2:6">
      <c r="B2685" s="147" t="s">
        <v>1040</v>
      </c>
      <c r="C2685" s="147" t="e">
        <f>CONCATENATE("XB",Commodities!C244,#REF!)</f>
        <v>#REF!</v>
      </c>
      <c r="D2685" s="147" t="e">
        <f xml:space="preserve"> CONCATENATE("Delivery of Barge/Vessel Traded ",Commodities!C244," from ",#REF!)</f>
        <v>#REF!</v>
      </c>
      <c r="E2685" s="163" t="s">
        <v>196</v>
      </c>
      <c r="F2685" s="163" t="s">
        <v>318</v>
      </c>
    </row>
    <row r="2686" spans="2:6">
      <c r="B2686" s="147" t="s">
        <v>1040</v>
      </c>
      <c r="C2686" s="147" t="e">
        <f>CONCATENATE("XB",Commodities!C245,#REF!)</f>
        <v>#REF!</v>
      </c>
      <c r="D2686" s="147" t="e">
        <f xml:space="preserve"> CONCATENATE("Delivery of Barge/Vessel Traded ",Commodities!C245," from ",#REF!)</f>
        <v>#REF!</v>
      </c>
      <c r="E2686" s="163" t="s">
        <v>196</v>
      </c>
      <c r="F2686" s="163" t="s">
        <v>318</v>
      </c>
    </row>
    <row r="2687" spans="2:6">
      <c r="B2687" s="147" t="s">
        <v>1040</v>
      </c>
      <c r="C2687" s="147" t="e">
        <f>CONCATENATE("XB",Commodities!C246,#REF!)</f>
        <v>#REF!</v>
      </c>
      <c r="D2687" s="147" t="e">
        <f xml:space="preserve"> CONCATENATE("Delivery of Barge/Vessel Traded ",Commodities!C246," from ",#REF!)</f>
        <v>#REF!</v>
      </c>
      <c r="E2687" s="163" t="s">
        <v>196</v>
      </c>
      <c r="F2687" s="163" t="s">
        <v>318</v>
      </c>
    </row>
    <row r="2688" spans="2:6">
      <c r="B2688" s="147" t="s">
        <v>975</v>
      </c>
      <c r="C2688" s="147" t="e">
        <f>CONCATENATE("XB",Commodities!C222,#REF!)</f>
        <v>#REF!</v>
      </c>
      <c r="D2688" s="147" t="e">
        <f xml:space="preserve"> CONCATENATE("Delivery of Barge/Vessel Traded ",Commodities!C222," from ",#REF!)</f>
        <v>#REF!</v>
      </c>
      <c r="E2688" s="163" t="s">
        <v>196</v>
      </c>
      <c r="F2688" s="163" t="s">
        <v>318</v>
      </c>
    </row>
    <row r="2689" spans="2:6">
      <c r="B2689" s="147" t="s">
        <v>975</v>
      </c>
      <c r="C2689" s="147" t="e">
        <f>CONCATENATE("XB",Commodities!C223,#REF!)</f>
        <v>#REF!</v>
      </c>
      <c r="D2689" s="147" t="e">
        <f xml:space="preserve"> CONCATENATE("Delivery of Barge/Vessel Traded ",Commodities!C223," from ",#REF!)</f>
        <v>#REF!</v>
      </c>
      <c r="E2689" s="163" t="s">
        <v>196</v>
      </c>
      <c r="F2689" s="163" t="s">
        <v>318</v>
      </c>
    </row>
    <row r="2690" spans="2:6">
      <c r="B2690" s="147" t="s">
        <v>975</v>
      </c>
      <c r="C2690" s="147" t="e">
        <f>CONCATENATE("XB",Commodities!C224,#REF!)</f>
        <v>#REF!</v>
      </c>
      <c r="D2690" s="147" t="e">
        <f xml:space="preserve"> CONCATENATE("Delivery of Barge/Vessel Traded ",Commodities!C224," from ",#REF!)</f>
        <v>#REF!</v>
      </c>
      <c r="E2690" s="163" t="s">
        <v>196</v>
      </c>
      <c r="F2690" s="163" t="s">
        <v>318</v>
      </c>
    </row>
    <row r="2691" spans="2:6">
      <c r="B2691" s="147" t="s">
        <v>975</v>
      </c>
      <c r="C2691" s="147" t="e">
        <f>CONCATENATE("XB",Commodities!C225,#REF!)</f>
        <v>#REF!</v>
      </c>
      <c r="D2691" s="147" t="e">
        <f xml:space="preserve"> CONCATENATE("Delivery of Barge/Vessel Traded ",Commodities!C225," from ",#REF!)</f>
        <v>#REF!</v>
      </c>
      <c r="E2691" s="163" t="s">
        <v>196</v>
      </c>
      <c r="F2691" s="163" t="s">
        <v>318</v>
      </c>
    </row>
    <row r="2692" spans="2:6">
      <c r="B2692" s="147" t="s">
        <v>975</v>
      </c>
      <c r="C2692" s="147" t="e">
        <f>CONCATENATE("XB",Commodities!C226,#REF!)</f>
        <v>#REF!</v>
      </c>
      <c r="D2692" s="147" t="e">
        <f xml:space="preserve"> CONCATENATE("Delivery of Barge/Vessel Traded ",Commodities!C226," from ",#REF!)</f>
        <v>#REF!</v>
      </c>
      <c r="E2692" s="163" t="s">
        <v>196</v>
      </c>
      <c r="F2692" s="163" t="s">
        <v>318</v>
      </c>
    </row>
    <row r="2693" spans="2:6">
      <c r="B2693" s="147" t="s">
        <v>975</v>
      </c>
      <c r="C2693" s="147" t="e">
        <f>CONCATENATE("XB",Commodities!C227,#REF!)</f>
        <v>#REF!</v>
      </c>
      <c r="D2693" s="147" t="e">
        <f xml:space="preserve"> CONCATENATE("Delivery of Barge/Vessel Traded ",Commodities!C227," from ",#REF!)</f>
        <v>#REF!</v>
      </c>
      <c r="E2693" s="163" t="s">
        <v>196</v>
      </c>
      <c r="F2693" s="163" t="s">
        <v>318</v>
      </c>
    </row>
    <row r="2694" spans="2:6">
      <c r="B2694" s="147" t="s">
        <v>975</v>
      </c>
      <c r="C2694" s="147" t="e">
        <f>CONCATENATE("XB",Commodities!C228,#REF!)</f>
        <v>#REF!</v>
      </c>
      <c r="D2694" s="147" t="e">
        <f xml:space="preserve"> CONCATENATE("Delivery of Barge/Vessel Traded ",Commodities!C228," from ",#REF!)</f>
        <v>#REF!</v>
      </c>
      <c r="E2694" s="163" t="s">
        <v>196</v>
      </c>
      <c r="F2694" s="163" t="s">
        <v>318</v>
      </c>
    </row>
    <row r="2695" spans="2:6">
      <c r="B2695" s="147" t="s">
        <v>975</v>
      </c>
      <c r="C2695" s="147" t="e">
        <f>CONCATENATE("XB",Commodities!C229,#REF!)</f>
        <v>#REF!</v>
      </c>
      <c r="D2695" s="147" t="e">
        <f xml:space="preserve"> CONCATENATE("Delivery of Barge/Vessel Traded ",Commodities!C229," from ",#REF!)</f>
        <v>#REF!</v>
      </c>
      <c r="E2695" s="163" t="s">
        <v>196</v>
      </c>
      <c r="F2695" s="163" t="s">
        <v>318</v>
      </c>
    </row>
    <row r="2696" spans="2:6">
      <c r="B2696" s="147" t="s">
        <v>975</v>
      </c>
      <c r="C2696" s="147" t="e">
        <f>CONCATENATE("XB",Commodities!C230,#REF!)</f>
        <v>#REF!</v>
      </c>
      <c r="D2696" s="147" t="e">
        <f xml:space="preserve"> CONCATENATE("Delivery of Barge/Vessel Traded ",Commodities!C230," from ",#REF!)</f>
        <v>#REF!</v>
      </c>
      <c r="E2696" s="163" t="s">
        <v>196</v>
      </c>
      <c r="F2696" s="163" t="s">
        <v>318</v>
      </c>
    </row>
    <row r="2697" spans="2:6">
      <c r="B2697" s="147" t="s">
        <v>975</v>
      </c>
      <c r="C2697" s="147" t="e">
        <f>CONCATENATE("XB",Commodities!C231,#REF!)</f>
        <v>#REF!</v>
      </c>
      <c r="D2697" s="147" t="e">
        <f xml:space="preserve"> CONCATENATE("Delivery of Barge/Vessel Traded ",Commodities!C231," from ",#REF!)</f>
        <v>#REF!</v>
      </c>
      <c r="E2697" s="163" t="s">
        <v>196</v>
      </c>
      <c r="F2697" s="163" t="s">
        <v>318</v>
      </c>
    </row>
    <row r="2698" spans="2:6">
      <c r="B2698" s="147" t="s">
        <v>975</v>
      </c>
      <c r="C2698" s="147" t="e">
        <f>CONCATENATE("XB",Commodities!C232,#REF!)</f>
        <v>#REF!</v>
      </c>
      <c r="D2698" s="147" t="e">
        <f xml:space="preserve"> CONCATENATE("Delivery of Barge/Vessel Traded ",Commodities!C232," from ",#REF!)</f>
        <v>#REF!</v>
      </c>
      <c r="E2698" s="163" t="s">
        <v>196</v>
      </c>
      <c r="F2698" s="163" t="s">
        <v>318</v>
      </c>
    </row>
    <row r="2699" spans="2:6">
      <c r="B2699" s="147" t="s">
        <v>975</v>
      </c>
      <c r="C2699" s="147" t="e">
        <f>CONCATENATE("XB",Commodities!C233,#REF!)</f>
        <v>#REF!</v>
      </c>
      <c r="D2699" s="147" t="e">
        <f xml:space="preserve"> CONCATENATE("Delivery of Barge/Vessel Traded ",Commodities!C233," from ",#REF!)</f>
        <v>#REF!</v>
      </c>
      <c r="E2699" s="163" t="s">
        <v>196</v>
      </c>
      <c r="F2699" s="163" t="s">
        <v>318</v>
      </c>
    </row>
    <row r="2700" spans="2:6">
      <c r="B2700" s="147" t="s">
        <v>975</v>
      </c>
      <c r="C2700" s="147" t="e">
        <f>CONCATENATE("XB",Commodities!C234,#REF!)</f>
        <v>#REF!</v>
      </c>
      <c r="D2700" s="147" t="e">
        <f xml:space="preserve"> CONCATENATE("Delivery of Barge/Vessel Traded ",Commodities!C234," from ",#REF!)</f>
        <v>#REF!</v>
      </c>
      <c r="E2700" s="163" t="s">
        <v>196</v>
      </c>
      <c r="F2700" s="163" t="s">
        <v>318</v>
      </c>
    </row>
    <row r="2701" spans="2:6">
      <c r="B2701" s="147" t="s">
        <v>975</v>
      </c>
      <c r="C2701" s="147" t="e">
        <f>CONCATENATE("XB",Commodities!C235,#REF!)</f>
        <v>#REF!</v>
      </c>
      <c r="D2701" s="147" t="e">
        <f xml:space="preserve"> CONCATENATE("Delivery of Barge/Vessel Traded ",Commodities!C235," from ",#REF!)</f>
        <v>#REF!</v>
      </c>
      <c r="E2701" s="163" t="s">
        <v>196</v>
      </c>
      <c r="F2701" s="163" t="s">
        <v>318</v>
      </c>
    </row>
    <row r="2702" spans="2:6">
      <c r="B2702" s="147" t="s">
        <v>975</v>
      </c>
      <c r="C2702" s="147" t="e">
        <f>CONCATENATE("XB",Commodities!C236,#REF!)</f>
        <v>#REF!</v>
      </c>
      <c r="D2702" s="147" t="e">
        <f xml:space="preserve"> CONCATENATE("Delivery of Barge/Vessel Traded ",Commodities!C236," from ",#REF!)</f>
        <v>#REF!</v>
      </c>
      <c r="E2702" s="163" t="s">
        <v>196</v>
      </c>
      <c r="F2702" s="163" t="s">
        <v>318</v>
      </c>
    </row>
    <row r="2703" spans="2:6">
      <c r="B2703" s="147" t="s">
        <v>975</v>
      </c>
      <c r="C2703" s="147" t="e">
        <f>CONCATENATE("XB",Commodities!C237,#REF!)</f>
        <v>#REF!</v>
      </c>
      <c r="D2703" s="147" t="e">
        <f xml:space="preserve"> CONCATENATE("Delivery of Barge/Vessel Traded ",Commodities!C237," from ",#REF!)</f>
        <v>#REF!</v>
      </c>
      <c r="E2703" s="163" t="s">
        <v>196</v>
      </c>
      <c r="F2703" s="163" t="s">
        <v>318</v>
      </c>
    </row>
    <row r="2704" spans="2:6">
      <c r="B2704" s="147" t="s">
        <v>975</v>
      </c>
      <c r="C2704" s="147" t="e">
        <f>CONCATENATE("XB",Commodities!C238,#REF!)</f>
        <v>#REF!</v>
      </c>
      <c r="D2704" s="147" t="e">
        <f xml:space="preserve"> CONCATENATE("Delivery of Barge/Vessel Traded ",Commodities!C238," from ",#REF!)</f>
        <v>#REF!</v>
      </c>
      <c r="E2704" s="163" t="s">
        <v>196</v>
      </c>
      <c r="F2704" s="163" t="s">
        <v>318</v>
      </c>
    </row>
    <row r="2705" spans="2:6">
      <c r="B2705" s="147" t="s">
        <v>975</v>
      </c>
      <c r="C2705" s="147" t="e">
        <f>CONCATENATE("XB",Commodities!C239,#REF!)</f>
        <v>#REF!</v>
      </c>
      <c r="D2705" s="147" t="e">
        <f xml:space="preserve"> CONCATENATE("Delivery of Barge/Vessel Traded ",Commodities!C239," from ",#REF!)</f>
        <v>#REF!</v>
      </c>
      <c r="E2705" s="163" t="s">
        <v>196</v>
      </c>
      <c r="F2705" s="163" t="s">
        <v>318</v>
      </c>
    </row>
    <row r="2706" spans="2:6">
      <c r="B2706" s="147" t="s">
        <v>975</v>
      </c>
      <c r="C2706" s="147" t="e">
        <f>CONCATENATE("XB",Commodities!C241,#REF!)</f>
        <v>#REF!</v>
      </c>
      <c r="D2706" s="147" t="e">
        <f xml:space="preserve"> CONCATENATE("Delivery of Barge/Vessel Traded ",Commodities!C241," from ",#REF!)</f>
        <v>#REF!</v>
      </c>
      <c r="E2706" s="163" t="s">
        <v>196</v>
      </c>
      <c r="F2706" s="163" t="s">
        <v>318</v>
      </c>
    </row>
    <row r="2707" spans="2:6">
      <c r="B2707" s="147" t="s">
        <v>975</v>
      </c>
      <c r="C2707" s="147" t="e">
        <f>CONCATENATE("XB",Commodities!C242,#REF!)</f>
        <v>#REF!</v>
      </c>
      <c r="D2707" s="147" t="e">
        <f xml:space="preserve"> CONCATENATE("Delivery of Barge/Vessel Traded ",Commodities!C242," from ",#REF!)</f>
        <v>#REF!</v>
      </c>
      <c r="E2707" s="163" t="s">
        <v>196</v>
      </c>
      <c r="F2707" s="163" t="s">
        <v>318</v>
      </c>
    </row>
    <row r="2708" spans="2:6">
      <c r="B2708" s="147" t="s">
        <v>975</v>
      </c>
      <c r="C2708" s="147" t="e">
        <f>CONCATENATE("XB",Commodities!C243,#REF!)</f>
        <v>#REF!</v>
      </c>
      <c r="D2708" s="147" t="e">
        <f xml:space="preserve"> CONCATENATE("Delivery of Barge/Vessel Traded ",Commodities!C243," from ",#REF!)</f>
        <v>#REF!</v>
      </c>
      <c r="E2708" s="163" t="s">
        <v>196</v>
      </c>
      <c r="F2708" s="163" t="s">
        <v>318</v>
      </c>
    </row>
    <row r="2709" spans="2:6">
      <c r="B2709" s="147" t="s">
        <v>975</v>
      </c>
      <c r="C2709" s="147" t="e">
        <f>CONCATENATE("XB",Commodities!C244,#REF!)</f>
        <v>#REF!</v>
      </c>
      <c r="D2709" s="147" t="e">
        <f xml:space="preserve"> CONCATENATE("Delivery of Barge/Vessel Traded ",Commodities!C244," from ",#REF!)</f>
        <v>#REF!</v>
      </c>
      <c r="E2709" s="163" t="s">
        <v>196</v>
      </c>
      <c r="F2709" s="163" t="s">
        <v>318</v>
      </c>
    </row>
    <row r="2710" spans="2:6">
      <c r="B2710" s="147" t="s">
        <v>975</v>
      </c>
      <c r="C2710" s="147" t="e">
        <f>CONCATENATE("XB",Commodities!C245,#REF!)</f>
        <v>#REF!</v>
      </c>
      <c r="D2710" s="147" t="e">
        <f xml:space="preserve"> CONCATENATE("Delivery of Barge/Vessel Traded ",Commodities!C245," from ",#REF!)</f>
        <v>#REF!</v>
      </c>
      <c r="E2710" s="163" t="s">
        <v>196</v>
      </c>
      <c r="F2710" s="163" t="s">
        <v>318</v>
      </c>
    </row>
    <row r="2711" spans="2:6">
      <c r="B2711" s="147" t="s">
        <v>975</v>
      </c>
      <c r="C2711" s="147" t="e">
        <f>CONCATENATE("XB",Commodities!C246,#REF!)</f>
        <v>#REF!</v>
      </c>
      <c r="D2711" s="147" t="e">
        <f xml:space="preserve"> CONCATENATE("Delivery of Barge/Vessel Traded ",Commodities!C246," from ",#REF!)</f>
        <v>#REF!</v>
      </c>
      <c r="E2711" s="163" t="s">
        <v>196</v>
      </c>
      <c r="F2711" s="163" t="s">
        <v>318</v>
      </c>
    </row>
    <row r="2712" spans="2:6">
      <c r="D2712" s="165"/>
    </row>
    <row r="2713" spans="2:6">
      <c r="D2713" s="165"/>
    </row>
    <row r="2714" spans="2:6">
      <c r="D2714" s="165"/>
    </row>
    <row r="2715" spans="2:6">
      <c r="D2715" s="165"/>
    </row>
    <row r="2716" spans="2:6">
      <c r="D2716" s="165"/>
    </row>
    <row r="2717" spans="2:6">
      <c r="D2717" s="165"/>
    </row>
    <row r="2718" spans="2:6">
      <c r="D2718" s="165"/>
    </row>
    <row r="2719" spans="2:6">
      <c r="D2719" s="165"/>
    </row>
    <row r="2720" spans="2:6">
      <c r="D2720" s="165"/>
    </row>
    <row r="2721" spans="4:4">
      <c r="D2721" s="165"/>
    </row>
    <row r="2722" spans="4:4">
      <c r="D2722" s="165"/>
    </row>
    <row r="2723" spans="4:4">
      <c r="D2723" s="165"/>
    </row>
    <row r="2724" spans="4:4">
      <c r="D2724" s="165"/>
    </row>
    <row r="2725" spans="4:4">
      <c r="D2725" s="165"/>
    </row>
    <row r="2726" spans="4:4">
      <c r="D2726" s="165"/>
    </row>
    <row r="2727" spans="4:4">
      <c r="D2727" s="165"/>
    </row>
    <row r="2728" spans="4:4">
      <c r="D2728" s="165"/>
    </row>
    <row r="2729" spans="4:4">
      <c r="D2729" s="165"/>
    </row>
    <row r="2730" spans="4:4">
      <c r="D2730" s="165"/>
    </row>
    <row r="2731" spans="4:4">
      <c r="D2731" s="165"/>
    </row>
    <row r="2732" spans="4:4">
      <c r="D2732" s="165"/>
    </row>
    <row r="2733" spans="4:4">
      <c r="D2733" s="165"/>
    </row>
    <row r="2734" spans="4:4">
      <c r="D2734" s="165"/>
    </row>
    <row r="2735" spans="4:4">
      <c r="D2735" s="165"/>
    </row>
    <row r="2736" spans="4:4">
      <c r="D2736" s="165"/>
    </row>
    <row r="2737" spans="2:4">
      <c r="D2737" s="165"/>
    </row>
    <row r="2738" spans="2:4">
      <c r="D2738" s="165"/>
    </row>
    <row r="2739" spans="2:4">
      <c r="D2739" s="165"/>
    </row>
    <row r="2740" spans="2:4">
      <c r="D2740" s="165"/>
    </row>
    <row r="2741" spans="2:4">
      <c r="D2741" s="165"/>
    </row>
    <row r="2742" spans="2:4">
      <c r="D2742" s="165"/>
    </row>
    <row r="2743" spans="2:4">
      <c r="B2743" s="146"/>
    </row>
    <row r="2750" spans="2:4">
      <c r="D2750" s="165"/>
    </row>
    <row r="2751" spans="2:4">
      <c r="D2751" s="165"/>
    </row>
    <row r="2753" spans="2:4">
      <c r="B2753" s="146"/>
    </row>
    <row r="2754" spans="2:4">
      <c r="D2754" s="165"/>
    </row>
    <row r="2755" spans="2:4">
      <c r="D2755" s="165"/>
    </row>
    <row r="2756" spans="2:4">
      <c r="D2756" s="165"/>
    </row>
    <row r="2757" spans="2:4">
      <c r="D2757" s="165"/>
    </row>
    <row r="2758" spans="2:4">
      <c r="D2758" s="165"/>
    </row>
    <row r="2759" spans="2:4">
      <c r="D2759" s="165"/>
    </row>
    <row r="2760" spans="2:4">
      <c r="D2760" s="165"/>
    </row>
    <row r="2761" spans="2:4">
      <c r="D2761" s="165"/>
    </row>
    <row r="2762" spans="2:4">
      <c r="D2762" s="165"/>
    </row>
    <row r="2763" spans="2:4">
      <c r="D2763" s="165"/>
    </row>
    <row r="2764" spans="2:4">
      <c r="D2764" s="165"/>
    </row>
    <row r="2765" spans="2:4">
      <c r="D2765" s="165"/>
    </row>
    <row r="2766" spans="2:4">
      <c r="D2766" s="165"/>
    </row>
    <row r="2767" spans="2:4">
      <c r="D2767" s="165"/>
    </row>
    <row r="2768" spans="2:4">
      <c r="D2768" s="165"/>
    </row>
    <row r="2769" spans="2:4">
      <c r="D2769" s="165"/>
    </row>
    <row r="2770" spans="2:4">
      <c r="D2770" s="165"/>
    </row>
    <row r="2771" spans="2:4">
      <c r="D2771" s="165"/>
    </row>
    <row r="2772" spans="2:4">
      <c r="B2772" s="146"/>
      <c r="D2772" s="165"/>
    </row>
    <row r="2781" spans="2:4">
      <c r="D2781" s="165"/>
    </row>
    <row r="2782" spans="2:4">
      <c r="D2782" s="165"/>
    </row>
    <row r="2783" spans="2:4">
      <c r="D2783" s="165"/>
    </row>
    <row r="2784" spans="2:4">
      <c r="D2784" s="165"/>
    </row>
    <row r="2785" spans="2:4">
      <c r="D2785" s="165"/>
    </row>
    <row r="2786" spans="2:4">
      <c r="D2786" s="165"/>
    </row>
    <row r="2787" spans="2:4">
      <c r="D2787" s="165"/>
    </row>
    <row r="2788" spans="2:4">
      <c r="D2788" s="165"/>
    </row>
    <row r="2789" spans="2:4">
      <c r="D2789" s="165"/>
    </row>
    <row r="2790" spans="2:4">
      <c r="D2790" s="165"/>
    </row>
    <row r="2791" spans="2:4">
      <c r="B2791" s="146"/>
      <c r="D2791" s="165"/>
    </row>
    <row r="2792" spans="2:4">
      <c r="D2792" s="165"/>
    </row>
    <row r="2793" spans="2:4">
      <c r="D2793" s="165"/>
    </row>
    <row r="2794" spans="2:4">
      <c r="D2794" s="165"/>
    </row>
    <row r="2795" spans="2:4">
      <c r="D2795" s="165"/>
    </row>
    <row r="2796" spans="2:4">
      <c r="D2796" s="165"/>
    </row>
    <row r="2797" spans="2:4">
      <c r="D2797" s="165"/>
    </row>
    <row r="2798" spans="2:4">
      <c r="D2798" s="165"/>
    </row>
    <row r="2799" spans="2:4">
      <c r="D2799" s="165"/>
    </row>
    <row r="2800" spans="2:4">
      <c r="D2800" s="165"/>
    </row>
    <row r="2801" spans="2:4">
      <c r="D2801" s="165"/>
    </row>
    <row r="2802" spans="2:4">
      <c r="D2802" s="165"/>
    </row>
    <row r="2803" spans="2:4">
      <c r="D2803" s="165"/>
    </row>
    <row r="2804" spans="2:4">
      <c r="D2804" s="165"/>
    </row>
    <row r="2805" spans="2:4">
      <c r="D2805" s="165"/>
    </row>
    <row r="2806" spans="2:4">
      <c r="D2806" s="165"/>
    </row>
    <row r="2807" spans="2:4">
      <c r="D2807" s="165"/>
    </row>
    <row r="2808" spans="2:4">
      <c r="D2808" s="165"/>
    </row>
    <row r="2809" spans="2:4">
      <c r="D2809" s="165"/>
    </row>
    <row r="2810" spans="2:4">
      <c r="B2810" s="146"/>
    </row>
    <row r="2811" spans="2:4">
      <c r="D2811" s="165"/>
    </row>
    <row r="2812" spans="2:4">
      <c r="D2812" s="165"/>
    </row>
    <row r="2813" spans="2:4">
      <c r="D2813" s="165"/>
    </row>
    <row r="2814" spans="2:4">
      <c r="D2814" s="165"/>
    </row>
    <row r="2815" spans="2:4">
      <c r="D2815" s="165"/>
    </row>
    <row r="2816" spans="2:4">
      <c r="B2816" s="146"/>
    </row>
    <row r="2817" spans="4:4">
      <c r="D2817" s="165"/>
    </row>
    <row r="2818" spans="4:4">
      <c r="D2818" s="165"/>
    </row>
    <row r="2819" spans="4:4">
      <c r="D2819" s="165"/>
    </row>
    <row r="2820" spans="4:4">
      <c r="D2820" s="165"/>
    </row>
    <row r="2821" spans="4:4">
      <c r="D2821" s="165"/>
    </row>
    <row r="2822" spans="4:4">
      <c r="D2822" s="165"/>
    </row>
    <row r="2823" spans="4:4">
      <c r="D2823" s="165"/>
    </row>
    <row r="2824" spans="4:4">
      <c r="D2824" s="165"/>
    </row>
    <row r="2825" spans="4:4">
      <c r="D2825" s="165"/>
    </row>
    <row r="2826" spans="4:4">
      <c r="D2826" s="165"/>
    </row>
    <row r="2827" spans="4:4">
      <c r="D2827" s="165"/>
    </row>
    <row r="2828" spans="4:4">
      <c r="D2828" s="165"/>
    </row>
    <row r="2829" spans="4:4">
      <c r="D2829" s="165"/>
    </row>
    <row r="2830" spans="4:4">
      <c r="D2830" s="165"/>
    </row>
    <row r="2831" spans="4:4">
      <c r="D2831" s="165"/>
    </row>
    <row r="2832" spans="4:4">
      <c r="D2832" s="165"/>
    </row>
    <row r="2833" spans="2:4">
      <c r="D2833" s="165"/>
    </row>
    <row r="2834" spans="2:4">
      <c r="D2834" s="165"/>
    </row>
    <row r="2835" spans="2:4">
      <c r="D2835" s="165"/>
    </row>
    <row r="2836" spans="2:4">
      <c r="D2836" s="165"/>
    </row>
    <row r="2837" spans="2:4">
      <c r="D2837" s="165"/>
    </row>
    <row r="2838" spans="2:4">
      <c r="D2838" s="165"/>
    </row>
    <row r="2839" spans="2:4">
      <c r="D2839" s="165"/>
    </row>
    <row r="2840" spans="2:4">
      <c r="D2840" s="165"/>
    </row>
    <row r="2841" spans="2:4">
      <c r="D2841" s="165"/>
    </row>
    <row r="2842" spans="2:4">
      <c r="B2842" s="146"/>
    </row>
    <row r="2843" spans="2:4">
      <c r="D2843" s="165"/>
    </row>
    <row r="2844" spans="2:4">
      <c r="D2844" s="165"/>
    </row>
    <row r="2845" spans="2:4">
      <c r="D2845" s="165"/>
    </row>
    <row r="2846" spans="2:4">
      <c r="D2846" s="165"/>
    </row>
    <row r="2847" spans="2:4">
      <c r="D2847" s="165"/>
    </row>
    <row r="2848" spans="2:4">
      <c r="D2848" s="165"/>
    </row>
    <row r="2849" spans="4:4">
      <c r="D2849" s="165"/>
    </row>
    <row r="2850" spans="4:4">
      <c r="D2850" s="165"/>
    </row>
    <row r="2851" spans="4:4">
      <c r="D2851" s="165"/>
    </row>
    <row r="2852" spans="4:4">
      <c r="D2852" s="165"/>
    </row>
    <row r="2853" spans="4:4">
      <c r="D2853" s="165"/>
    </row>
    <row r="2854" spans="4:4">
      <c r="D2854" s="165"/>
    </row>
    <row r="2855" spans="4:4">
      <c r="D2855" s="165"/>
    </row>
    <row r="2856" spans="4:4">
      <c r="D2856" s="165"/>
    </row>
    <row r="2857" spans="4:4">
      <c r="D2857" s="165"/>
    </row>
    <row r="2858" spans="4:4">
      <c r="D2858" s="165"/>
    </row>
    <row r="2859" spans="4:4">
      <c r="D2859" s="165"/>
    </row>
    <row r="2860" spans="4:4">
      <c r="D2860" s="165"/>
    </row>
    <row r="2861" spans="4:4">
      <c r="D2861" s="165"/>
    </row>
    <row r="2862" spans="4:4">
      <c r="D2862" s="165"/>
    </row>
    <row r="2863" spans="4:4">
      <c r="D2863" s="165"/>
    </row>
    <row r="2864" spans="4:4">
      <c r="D2864" s="165"/>
    </row>
    <row r="2865" spans="2:4">
      <c r="D2865" s="165"/>
    </row>
    <row r="2866" spans="2:4">
      <c r="D2866" s="165"/>
    </row>
    <row r="2867" spans="2:4">
      <c r="B2867" s="146"/>
    </row>
    <row r="2868" spans="2:4">
      <c r="D2868" s="165"/>
    </row>
    <row r="2869" spans="2:4">
      <c r="D2869" s="165"/>
    </row>
    <row r="2870" spans="2:4">
      <c r="D2870" s="165"/>
    </row>
    <row r="2871" spans="2:4">
      <c r="D2871" s="165"/>
    </row>
    <row r="2872" spans="2:4">
      <c r="D2872" s="165"/>
    </row>
    <row r="2873" spans="2:4">
      <c r="D2873" s="165"/>
    </row>
    <row r="2874" spans="2:4">
      <c r="D2874" s="165"/>
    </row>
    <row r="2875" spans="2:4">
      <c r="D2875" s="165"/>
    </row>
    <row r="2876" spans="2:4">
      <c r="D2876" s="165"/>
    </row>
    <row r="2877" spans="2:4">
      <c r="D2877" s="165"/>
    </row>
    <row r="2878" spans="2:4">
      <c r="D2878" s="165"/>
    </row>
    <row r="2879" spans="2:4">
      <c r="D2879" s="165"/>
    </row>
    <row r="2880" spans="2:4">
      <c r="D2880" s="165"/>
    </row>
    <row r="2881" spans="4:4">
      <c r="D2881" s="165"/>
    </row>
    <row r="2882" spans="4:4">
      <c r="D2882" s="165"/>
    </row>
    <row r="2883" spans="4:4">
      <c r="D2883" s="165"/>
    </row>
    <row r="2884" spans="4:4">
      <c r="D2884" s="165"/>
    </row>
    <row r="2885" spans="4:4">
      <c r="D2885" s="165"/>
    </row>
    <row r="2886" spans="4:4">
      <c r="D2886" s="165"/>
    </row>
    <row r="2887" spans="4:4">
      <c r="D2887" s="165"/>
    </row>
    <row r="2888" spans="4:4">
      <c r="D2888" s="165"/>
    </row>
    <row r="2889" spans="4:4">
      <c r="D2889" s="165"/>
    </row>
    <row r="2890" spans="4:4">
      <c r="D2890" s="165"/>
    </row>
  </sheetData>
  <phoneticPr fontId="0" type="noConversion"/>
  <pageMargins left="0.75" right="0.75" top="1" bottom="1" header="0.5" footer="0.5"/>
  <pageSetup paperSize="9" orientation="portrait" horizont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tabColor rgb="FFFFC000"/>
  </sheetPr>
  <dimension ref="B1:AC1007"/>
  <sheetViews>
    <sheetView topLeftCell="A508" zoomScale="80" zoomScaleNormal="80" workbookViewId="0">
      <selection activeCell="I33" sqref="I33"/>
    </sheetView>
  </sheetViews>
  <sheetFormatPr defaultColWidth="9.140625" defaultRowHeight="12.75"/>
  <cols>
    <col min="1" max="1" width="9.140625" style="191"/>
    <col min="2" max="2" width="19" style="191" customWidth="1"/>
    <col min="3" max="3" width="21" style="191" bestFit="1" customWidth="1"/>
    <col min="4" max="4" width="76.28515625" style="191" bestFit="1" customWidth="1"/>
    <col min="5" max="5" width="9.5703125" style="178" bestFit="1" customWidth="1"/>
    <col min="6" max="6" width="11.7109375" style="178" bestFit="1" customWidth="1"/>
    <col min="7" max="7" width="14.28515625" style="178" bestFit="1" customWidth="1"/>
    <col min="8" max="9" width="17.42578125" style="178" bestFit="1" customWidth="1"/>
    <col min="10" max="15" width="17.42578125" style="191" bestFit="1" customWidth="1"/>
    <col min="16" max="16" width="17.42578125" style="191" customWidth="1"/>
    <col min="17" max="19" width="17.42578125" style="191" bestFit="1" customWidth="1"/>
    <col min="20" max="20" width="9.140625" style="191"/>
    <col min="21" max="31" width="9.7109375" style="191" customWidth="1"/>
    <col min="32" max="16384" width="9.140625" style="191"/>
  </cols>
  <sheetData>
    <row r="1" spans="2:29">
      <c r="B1" s="179" t="s">
        <v>397</v>
      </c>
      <c r="C1" s="191" t="s">
        <v>974</v>
      </c>
    </row>
    <row r="4" spans="2:29" ht="17.25" customHeight="1">
      <c r="F4" s="192"/>
    </row>
    <row r="5" spans="2:29" ht="15.75" customHeight="1">
      <c r="B5" s="153" t="s">
        <v>541</v>
      </c>
      <c r="C5" s="153" t="s">
        <v>187</v>
      </c>
      <c r="D5" s="153" t="s">
        <v>188</v>
      </c>
      <c r="E5" s="153" t="s">
        <v>190</v>
      </c>
      <c r="F5" s="153" t="s">
        <v>191</v>
      </c>
      <c r="G5" s="153" t="s">
        <v>1157</v>
      </c>
      <c r="H5" s="153" t="s">
        <v>1159</v>
      </c>
      <c r="I5" s="153" t="s">
        <v>1160</v>
      </c>
      <c r="J5" s="153" t="s">
        <v>1161</v>
      </c>
      <c r="K5" s="153" t="s">
        <v>1162</v>
      </c>
      <c r="L5" s="153" t="s">
        <v>1163</v>
      </c>
      <c r="M5" s="153" t="s">
        <v>1164</v>
      </c>
      <c r="N5" s="153" t="s">
        <v>1165</v>
      </c>
      <c r="O5" s="153" t="s">
        <v>1166</v>
      </c>
      <c r="P5" s="153" t="s">
        <v>1167</v>
      </c>
      <c r="Q5" s="153" t="s">
        <v>1168</v>
      </c>
      <c r="S5" s="189"/>
      <c r="T5" s="189"/>
      <c r="U5" s="189"/>
      <c r="V5" s="189"/>
      <c r="W5" s="189"/>
      <c r="X5" s="189"/>
      <c r="Y5" s="189"/>
      <c r="Z5" s="189"/>
      <c r="AA5" s="189"/>
      <c r="AB5" s="189"/>
      <c r="AC5" s="189"/>
    </row>
    <row r="6" spans="2:29">
      <c r="B6" s="202" t="s">
        <v>405</v>
      </c>
      <c r="C6" s="201"/>
      <c r="D6" s="201"/>
      <c r="E6" s="200"/>
      <c r="F6" s="200"/>
      <c r="G6" s="200"/>
      <c r="H6" s="201"/>
      <c r="I6" s="201"/>
      <c r="J6" s="201"/>
      <c r="K6" s="201"/>
      <c r="L6" s="201"/>
      <c r="M6" s="201"/>
      <c r="N6" s="201"/>
      <c r="O6" s="201"/>
      <c r="P6" s="201"/>
      <c r="Q6" s="201"/>
    </row>
    <row r="7" spans="2:29">
      <c r="B7" s="158" t="str">
        <f>Technologies!B19</f>
        <v>R1</v>
      </c>
      <c r="C7" s="158" t="str">
        <f>Technologies!C19</f>
        <v>XOILD1</v>
      </c>
      <c r="D7" s="158" t="str">
        <f>Technologies!D19</f>
        <v>Domestic crude delivery charge from R1</v>
      </c>
      <c r="E7" s="197" t="str">
        <f>Commodities!C11</f>
        <v>OILD1</v>
      </c>
      <c r="F7" s="197" t="str">
        <f>Commodities!$C$9</f>
        <v>OIL</v>
      </c>
      <c r="G7" s="204">
        <v>1</v>
      </c>
      <c r="H7" s="203" t="e">
        <f>#REF!*#REF!^5/(Conv!$I$5*Conv!$D$46)/10^6</f>
        <v>#REF!</v>
      </c>
      <c r="I7" s="203" t="e">
        <f>#REF!*#REF!^5/(Conv!$I$5*Conv!$D$46)/10^6</f>
        <v>#REF!</v>
      </c>
      <c r="J7" s="203" t="e">
        <f>#REF!*#REF!^5/(Conv!$I$5*Conv!$D$46)/10^6</f>
        <v>#REF!</v>
      </c>
      <c r="K7" s="203" t="e">
        <f>#REF!*#REF!^5/(Conv!$I$5*Conv!$D$46)/10^6</f>
        <v>#REF!</v>
      </c>
      <c r="L7" s="203" t="e">
        <f>#REF!*#REF!^5/(Conv!$I$5*Conv!$D$46)/10^6</f>
        <v>#REF!</v>
      </c>
      <c r="M7" s="203" t="e">
        <f>#REF!*#REF!^5/(Conv!$I$5*Conv!$D$46)/10^6</f>
        <v>#REF!</v>
      </c>
      <c r="N7" s="203" t="e">
        <f>#REF!*#REF!^5/(Conv!$I$5*Conv!$D$46)/10^6</f>
        <v>#REF!</v>
      </c>
      <c r="O7" s="203" t="e">
        <f>#REF!*#REF!^5/(Conv!$I$5*Conv!$D$46)/10^6</f>
        <v>#REF!</v>
      </c>
      <c r="P7" s="203" t="e">
        <f>#REF!*#REF!^5/(Conv!$I$5*Conv!$D$46)/10^6</f>
        <v>#REF!</v>
      </c>
      <c r="Q7" s="203" t="e">
        <f>#REF!*#REF!^5/(Conv!$I$5*Conv!$D$46)/10^6</f>
        <v>#REF!</v>
      </c>
      <c r="S7" s="177"/>
      <c r="T7" s="177"/>
      <c r="U7" s="177"/>
      <c r="V7" s="177"/>
      <c r="W7" s="177"/>
      <c r="X7" s="177"/>
      <c r="Y7" s="177"/>
      <c r="Z7" s="177"/>
      <c r="AA7" s="177"/>
      <c r="AB7" s="177"/>
      <c r="AC7" s="177"/>
    </row>
    <row r="8" spans="2:29">
      <c r="B8" s="158" t="str">
        <f>Technologies!B20</f>
        <v>*R3</v>
      </c>
      <c r="C8" s="158" t="str">
        <f>Technologies!C20</f>
        <v>XOILD3</v>
      </c>
      <c r="D8" s="158" t="str">
        <f>Technologies!D20</f>
        <v>Domestic crude delivery charge from R3</v>
      </c>
      <c r="E8" s="197" t="str">
        <f>Commodities!C13</f>
        <v>OILD3</v>
      </c>
      <c r="F8" s="197" t="str">
        <f>Commodities!$C$9</f>
        <v>OIL</v>
      </c>
      <c r="G8" s="204">
        <v>1</v>
      </c>
      <c r="H8" s="203" t="e">
        <f>#REF!*#REF!^5/(Conv!$I$5*Conv!$D$46)/10^6</f>
        <v>#REF!</v>
      </c>
      <c r="I8" s="203" t="e">
        <f>#REF!*#REF!^5/(Conv!$I$5*Conv!$D$46)/10^6</f>
        <v>#REF!</v>
      </c>
      <c r="J8" s="203" t="e">
        <f>#REF!*#REF!^5/(Conv!$I$5*Conv!$D$46)/10^6</f>
        <v>#REF!</v>
      </c>
      <c r="K8" s="203" t="e">
        <f>#REF!*#REF!^5/(Conv!$I$5*Conv!$D$46)/10^6</f>
        <v>#REF!</v>
      </c>
      <c r="L8" s="203" t="e">
        <f>#REF!*#REF!^5/(Conv!$I$5*Conv!$D$46)/10^6</f>
        <v>#REF!</v>
      </c>
      <c r="M8" s="203" t="e">
        <f>#REF!*#REF!^5/(Conv!$I$5*Conv!$D$46)/10^6</f>
        <v>#REF!</v>
      </c>
      <c r="N8" s="203" t="e">
        <f>#REF!*#REF!^5/(Conv!$I$5*Conv!$D$46)/10^6</f>
        <v>#REF!</v>
      </c>
      <c r="O8" s="203" t="e">
        <f>#REF!*#REF!^5/(Conv!$I$5*Conv!$D$46)/10^6</f>
        <v>#REF!</v>
      </c>
      <c r="P8" s="203" t="e">
        <f>#REF!*#REF!^5/(Conv!$I$5*Conv!$D$46)/10^6</f>
        <v>#REF!</v>
      </c>
      <c r="Q8" s="203" t="e">
        <f>#REF!*#REF!^5/(Conv!$I$5*Conv!$D$46)/10^6</f>
        <v>#REF!</v>
      </c>
      <c r="S8" s="177"/>
      <c r="T8" s="177"/>
      <c r="U8" s="177"/>
      <c r="V8" s="177"/>
      <c r="W8" s="177"/>
      <c r="X8" s="177"/>
      <c r="Y8" s="177"/>
      <c r="Z8" s="177"/>
      <c r="AA8" s="177"/>
      <c r="AB8" s="177"/>
      <c r="AC8" s="177"/>
    </row>
    <row r="9" spans="2:29">
      <c r="B9" s="158" t="str">
        <f>Technologies!B21</f>
        <v>*R4</v>
      </c>
      <c r="C9" s="158" t="str">
        <f>Technologies!C21</f>
        <v>XOILD4</v>
      </c>
      <c r="D9" s="158" t="str">
        <f>Technologies!D21</f>
        <v>Domestic crude delivery charge from R4</v>
      </c>
      <c r="E9" s="197" t="str">
        <f>Commodities!C14</f>
        <v>OILD4</v>
      </c>
      <c r="F9" s="197" t="str">
        <f>Commodities!$C$9</f>
        <v>OIL</v>
      </c>
      <c r="G9" s="204">
        <v>1</v>
      </c>
      <c r="H9" s="203" t="e">
        <f t="shared" ref="H9:Q9" si="0">H8</f>
        <v>#REF!</v>
      </c>
      <c r="I9" s="203" t="e">
        <f t="shared" si="0"/>
        <v>#REF!</v>
      </c>
      <c r="J9" s="203" t="e">
        <f t="shared" si="0"/>
        <v>#REF!</v>
      </c>
      <c r="K9" s="203" t="e">
        <f t="shared" si="0"/>
        <v>#REF!</v>
      </c>
      <c r="L9" s="203" t="e">
        <f t="shared" si="0"/>
        <v>#REF!</v>
      </c>
      <c r="M9" s="203" t="e">
        <f t="shared" si="0"/>
        <v>#REF!</v>
      </c>
      <c r="N9" s="203" t="e">
        <f t="shared" si="0"/>
        <v>#REF!</v>
      </c>
      <c r="O9" s="203" t="e">
        <f t="shared" si="0"/>
        <v>#REF!</v>
      </c>
      <c r="P9" s="203" t="e">
        <f t="shared" si="0"/>
        <v>#REF!</v>
      </c>
      <c r="Q9" s="203" t="e">
        <f t="shared" si="0"/>
        <v>#REF!</v>
      </c>
      <c r="S9" s="177"/>
      <c r="T9" s="177"/>
      <c r="U9" s="177"/>
      <c r="V9" s="177"/>
      <c r="W9" s="177"/>
      <c r="X9" s="177"/>
      <c r="Y9" s="177"/>
      <c r="Z9" s="177"/>
      <c r="AA9" s="177"/>
      <c r="AB9" s="177"/>
      <c r="AC9" s="177"/>
    </row>
    <row r="10" spans="2:29">
      <c r="B10" s="158" t="str">
        <f>Technologies!B22</f>
        <v>*R5</v>
      </c>
      <c r="C10" s="158" t="str">
        <f>Technologies!C22</f>
        <v>XOILD5</v>
      </c>
      <c r="D10" s="158" t="str">
        <f>Technologies!D22</f>
        <v>Domestic crude delivery charge from R5</v>
      </c>
      <c r="E10" s="197" t="str">
        <f>Commodities!C15</f>
        <v>OILD5</v>
      </c>
      <c r="F10" s="197" t="str">
        <f>Commodities!$C$9</f>
        <v>OIL</v>
      </c>
      <c r="G10" s="204">
        <v>1</v>
      </c>
      <c r="H10" s="203" t="e">
        <f t="shared" ref="H10:Q10" si="1">H7</f>
        <v>#REF!</v>
      </c>
      <c r="I10" s="203" t="e">
        <f t="shared" si="1"/>
        <v>#REF!</v>
      </c>
      <c r="J10" s="203" t="e">
        <f t="shared" si="1"/>
        <v>#REF!</v>
      </c>
      <c r="K10" s="203" t="e">
        <f t="shared" si="1"/>
        <v>#REF!</v>
      </c>
      <c r="L10" s="203" t="e">
        <f t="shared" si="1"/>
        <v>#REF!</v>
      </c>
      <c r="M10" s="203" t="e">
        <f t="shared" si="1"/>
        <v>#REF!</v>
      </c>
      <c r="N10" s="203" t="e">
        <f t="shared" si="1"/>
        <v>#REF!</v>
      </c>
      <c r="O10" s="203" t="e">
        <f t="shared" si="1"/>
        <v>#REF!</v>
      </c>
      <c r="P10" s="203" t="e">
        <f t="shared" si="1"/>
        <v>#REF!</v>
      </c>
      <c r="Q10" s="203" t="e">
        <f t="shared" si="1"/>
        <v>#REF!</v>
      </c>
      <c r="S10" s="177"/>
      <c r="T10" s="177"/>
      <c r="U10" s="177"/>
      <c r="V10" s="177"/>
      <c r="W10" s="177"/>
      <c r="X10" s="177"/>
      <c r="Y10" s="177"/>
      <c r="Z10" s="177"/>
      <c r="AA10" s="177"/>
      <c r="AB10" s="177"/>
      <c r="AC10" s="177"/>
    </row>
    <row r="11" spans="2:29">
      <c r="B11" s="158" t="str">
        <f>Technologies!B23</f>
        <v>*R6</v>
      </c>
      <c r="C11" s="158" t="str">
        <f>Technologies!C23</f>
        <v>XOILD6</v>
      </c>
      <c r="D11" s="158" t="str">
        <f>Technologies!D23</f>
        <v>Domestic crude delivery charge from R6</v>
      </c>
      <c r="E11" s="197" t="str">
        <f>Commodities!C16</f>
        <v>OILD6</v>
      </c>
      <c r="F11" s="197" t="str">
        <f>Commodities!$C$9</f>
        <v>OIL</v>
      </c>
      <c r="G11" s="204">
        <v>1</v>
      </c>
      <c r="H11" s="203" t="e">
        <f>#REF!*#REF!^5/(Conv!$I$5*Conv!$D$46)/10^6</f>
        <v>#REF!</v>
      </c>
      <c r="I11" s="203" t="e">
        <f>#REF!*#REF!^5/(Conv!$I$5*Conv!$D$46)/10^6</f>
        <v>#REF!</v>
      </c>
      <c r="J11" s="203" t="e">
        <f>#REF!*#REF!^5/(Conv!$I$5*Conv!$D$46)/10^6</f>
        <v>#REF!</v>
      </c>
      <c r="K11" s="203" t="e">
        <f>#REF!*#REF!^5/(Conv!$I$5*Conv!$D$46)/10^6</f>
        <v>#REF!</v>
      </c>
      <c r="L11" s="203" t="e">
        <f>#REF!*#REF!^5/(Conv!$I$5*Conv!$D$46)/10^6</f>
        <v>#REF!</v>
      </c>
      <c r="M11" s="203" t="e">
        <f>#REF!*#REF!^5/(Conv!$I$5*Conv!$D$46)/10^6</f>
        <v>#REF!</v>
      </c>
      <c r="N11" s="203" t="e">
        <f>#REF!*#REF!^5/(Conv!$I$5*Conv!$D$46)/10^6</f>
        <v>#REF!</v>
      </c>
      <c r="O11" s="203" t="e">
        <f>#REF!*#REF!^5/(Conv!$I$5*Conv!$D$46)/10^6</f>
        <v>#REF!</v>
      </c>
      <c r="P11" s="203" t="e">
        <f>#REF!*#REF!^5/(Conv!$I$5*Conv!$D$46)/10^6</f>
        <v>#REF!</v>
      </c>
      <c r="Q11" s="203" t="e">
        <f>#REF!*#REF!^5/(Conv!$I$5*Conv!$D$46)/10^6</f>
        <v>#REF!</v>
      </c>
      <c r="S11" s="177"/>
      <c r="T11" s="177"/>
      <c r="U11" s="177"/>
      <c r="V11" s="177"/>
      <c r="W11" s="177"/>
      <c r="X11" s="177"/>
      <c r="Y11" s="177"/>
      <c r="Z11" s="177"/>
      <c r="AA11" s="177"/>
      <c r="AB11" s="177"/>
      <c r="AC11" s="177"/>
    </row>
    <row r="14" spans="2:29" ht="17.25" customHeight="1">
      <c r="F14" s="192"/>
    </row>
    <row r="15" spans="2:29" ht="15.75" customHeight="1">
      <c r="B15" s="153" t="s">
        <v>541</v>
      </c>
      <c r="C15" s="153" t="s">
        <v>187</v>
      </c>
      <c r="D15" s="153" t="s">
        <v>188</v>
      </c>
      <c r="E15" s="153" t="s">
        <v>190</v>
      </c>
      <c r="F15" s="153" t="s">
        <v>191</v>
      </c>
      <c r="G15" s="153" t="s">
        <v>1157</v>
      </c>
      <c r="H15" s="153" t="s">
        <v>1159</v>
      </c>
      <c r="I15" s="153" t="s">
        <v>1160</v>
      </c>
      <c r="J15" s="153" t="s">
        <v>1161</v>
      </c>
      <c r="K15" s="153" t="s">
        <v>1162</v>
      </c>
      <c r="L15" s="153" t="s">
        <v>1163</v>
      </c>
      <c r="M15" s="153" t="s">
        <v>1164</v>
      </c>
      <c r="N15" s="153" t="s">
        <v>1165</v>
      </c>
      <c r="O15" s="153" t="s">
        <v>1166</v>
      </c>
      <c r="P15" s="153" t="s">
        <v>1167</v>
      </c>
      <c r="Q15" s="153" t="s">
        <v>1168</v>
      </c>
      <c r="S15" s="189"/>
      <c r="T15" s="189"/>
      <c r="U15" s="189"/>
      <c r="V15" s="189"/>
      <c r="W15" s="189"/>
      <c r="X15" s="189"/>
      <c r="Y15" s="189"/>
      <c r="Z15" s="189"/>
      <c r="AA15" s="189"/>
      <c r="AB15" s="189"/>
      <c r="AC15" s="189"/>
    </row>
    <row r="16" spans="2:29">
      <c r="B16" s="202" t="s">
        <v>406</v>
      </c>
      <c r="C16" s="201"/>
      <c r="D16" s="201"/>
      <c r="E16" s="200"/>
      <c r="F16" s="200"/>
      <c r="G16" s="200"/>
      <c r="H16" s="201"/>
      <c r="I16" s="201"/>
      <c r="J16" s="201"/>
      <c r="K16" s="201"/>
      <c r="L16" s="201"/>
      <c r="M16" s="201"/>
      <c r="N16" s="201"/>
      <c r="O16" s="201"/>
      <c r="P16" s="201"/>
      <c r="Q16" s="201"/>
    </row>
    <row r="17" spans="2:29">
      <c r="B17" s="158" t="str">
        <f>Technologies!$B181</f>
        <v>R1</v>
      </c>
      <c r="C17" s="158" t="str">
        <f>Technologies!$C181</f>
        <v>XOILIP1</v>
      </c>
      <c r="D17" s="158" t="str">
        <f>Technologies!$D181</f>
        <v>Imported crude delivery charge from PADD 1</v>
      </c>
      <c r="E17" s="197" t="str">
        <f>Commodities!C17</f>
        <v>OILIP1</v>
      </c>
      <c r="F17" s="197" t="str">
        <f>Commodities!$C$9</f>
        <v>OIL</v>
      </c>
      <c r="G17" s="204">
        <v>1</v>
      </c>
      <c r="H17" s="203" t="e">
        <f t="shared" ref="H17:Q17" si="2">H7+2.5</f>
        <v>#REF!</v>
      </c>
      <c r="I17" s="203" t="e">
        <f t="shared" si="2"/>
        <v>#REF!</v>
      </c>
      <c r="J17" s="203" t="e">
        <f t="shared" si="2"/>
        <v>#REF!</v>
      </c>
      <c r="K17" s="203" t="e">
        <f t="shared" si="2"/>
        <v>#REF!</v>
      </c>
      <c r="L17" s="203" t="e">
        <f t="shared" si="2"/>
        <v>#REF!</v>
      </c>
      <c r="M17" s="203" t="e">
        <f t="shared" si="2"/>
        <v>#REF!</v>
      </c>
      <c r="N17" s="203" t="e">
        <f t="shared" si="2"/>
        <v>#REF!</v>
      </c>
      <c r="O17" s="203" t="e">
        <f t="shared" si="2"/>
        <v>#REF!</v>
      </c>
      <c r="P17" s="203" t="e">
        <f t="shared" si="2"/>
        <v>#REF!</v>
      </c>
      <c r="Q17" s="203" t="e">
        <f t="shared" si="2"/>
        <v>#REF!</v>
      </c>
      <c r="S17" s="177"/>
      <c r="T17" s="177"/>
      <c r="U17" s="177"/>
      <c r="V17" s="177"/>
      <c r="W17" s="177"/>
      <c r="X17" s="177"/>
      <c r="Y17" s="177"/>
      <c r="Z17" s="177"/>
      <c r="AA17" s="177"/>
      <c r="AB17" s="177"/>
      <c r="AC17" s="177"/>
    </row>
    <row r="18" spans="2:29">
      <c r="B18" s="158" t="str">
        <f>Technologies!$B182</f>
        <v>R1</v>
      </c>
      <c r="C18" s="158" t="str">
        <f>Technologies!$C182</f>
        <v>XOILIP2</v>
      </c>
      <c r="D18" s="158" t="str">
        <f>Technologies!$D182</f>
        <v>Imported crude delivery charge from PADD 2</v>
      </c>
      <c r="E18" s="197" t="str">
        <f>Commodities!C18</f>
        <v>OILIP2</v>
      </c>
      <c r="F18" s="197" t="str">
        <f>Commodities!$C$9</f>
        <v>OIL</v>
      </c>
      <c r="G18" s="204">
        <v>1</v>
      </c>
      <c r="H18" s="203" t="e">
        <f t="shared" ref="H18:Q18" si="3">H8+2.5</f>
        <v>#REF!</v>
      </c>
      <c r="I18" s="203" t="e">
        <f t="shared" si="3"/>
        <v>#REF!</v>
      </c>
      <c r="J18" s="203" t="e">
        <f t="shared" si="3"/>
        <v>#REF!</v>
      </c>
      <c r="K18" s="203" t="e">
        <f t="shared" si="3"/>
        <v>#REF!</v>
      </c>
      <c r="L18" s="203" t="e">
        <f t="shared" si="3"/>
        <v>#REF!</v>
      </c>
      <c r="M18" s="203" t="e">
        <f t="shared" si="3"/>
        <v>#REF!</v>
      </c>
      <c r="N18" s="203" t="e">
        <f t="shared" si="3"/>
        <v>#REF!</v>
      </c>
      <c r="O18" s="203" t="e">
        <f t="shared" si="3"/>
        <v>#REF!</v>
      </c>
      <c r="P18" s="203" t="e">
        <f t="shared" si="3"/>
        <v>#REF!</v>
      </c>
      <c r="Q18" s="203" t="e">
        <f t="shared" si="3"/>
        <v>#REF!</v>
      </c>
      <c r="S18" s="177"/>
      <c r="T18" s="177"/>
      <c r="U18" s="177"/>
      <c r="V18" s="177"/>
      <c r="W18" s="177"/>
      <c r="X18" s="177"/>
      <c r="Y18" s="177"/>
      <c r="Z18" s="177"/>
      <c r="AA18" s="177"/>
      <c r="AB18" s="177"/>
      <c r="AC18" s="177"/>
    </row>
    <row r="19" spans="2:29">
      <c r="B19" s="158" t="str">
        <f>Technologies!$B183</f>
        <v>R1</v>
      </c>
      <c r="C19" s="158" t="str">
        <f>Technologies!$C183</f>
        <v>XOILIP3</v>
      </c>
      <c r="D19" s="158" t="str">
        <f>Technologies!$D183</f>
        <v>Imported crude delivery charge from PADD 3</v>
      </c>
      <c r="E19" s="197" t="str">
        <f>Commodities!C19</f>
        <v>OILIP3</v>
      </c>
      <c r="F19" s="197" t="str">
        <f>Commodities!$C$9</f>
        <v>OIL</v>
      </c>
      <c r="G19" s="204">
        <v>1</v>
      </c>
      <c r="H19" s="203" t="e">
        <f t="shared" ref="H19:Q19" si="4">H9+2.5</f>
        <v>#REF!</v>
      </c>
      <c r="I19" s="203" t="e">
        <f t="shared" si="4"/>
        <v>#REF!</v>
      </c>
      <c r="J19" s="203" t="e">
        <f t="shared" si="4"/>
        <v>#REF!</v>
      </c>
      <c r="K19" s="203" t="e">
        <f t="shared" si="4"/>
        <v>#REF!</v>
      </c>
      <c r="L19" s="203" t="e">
        <f t="shared" si="4"/>
        <v>#REF!</v>
      </c>
      <c r="M19" s="203" t="e">
        <f t="shared" si="4"/>
        <v>#REF!</v>
      </c>
      <c r="N19" s="203" t="e">
        <f t="shared" si="4"/>
        <v>#REF!</v>
      </c>
      <c r="O19" s="203" t="e">
        <f t="shared" si="4"/>
        <v>#REF!</v>
      </c>
      <c r="P19" s="203" t="e">
        <f t="shared" si="4"/>
        <v>#REF!</v>
      </c>
      <c r="Q19" s="203" t="e">
        <f t="shared" si="4"/>
        <v>#REF!</v>
      </c>
      <c r="S19" s="177"/>
      <c r="T19" s="177"/>
      <c r="U19" s="177"/>
      <c r="V19" s="177"/>
      <c r="W19" s="177"/>
      <c r="X19" s="177"/>
      <c r="Y19" s="177"/>
      <c r="Z19" s="177"/>
      <c r="AA19" s="177"/>
      <c r="AB19" s="177"/>
      <c r="AC19" s="177"/>
    </row>
    <row r="20" spans="2:29">
      <c r="B20" s="158" t="str">
        <f>Technologies!$B184</f>
        <v>*</v>
      </c>
      <c r="C20" s="158" t="str">
        <f>Technologies!$C184</f>
        <v>XOILIP4</v>
      </c>
      <c r="D20" s="158" t="str">
        <f>Technologies!$D184</f>
        <v>Imported crude delivery charge from PADD 4</v>
      </c>
      <c r="E20" s="197" t="str">
        <f>Commodities!C20</f>
        <v>OILIP4</v>
      </c>
      <c r="F20" s="197" t="str">
        <f>Commodities!$C$9</f>
        <v>OIL</v>
      </c>
      <c r="G20" s="204">
        <v>1</v>
      </c>
      <c r="H20" s="203" t="e">
        <f t="shared" ref="H20:Q20" si="5">H10+2.5</f>
        <v>#REF!</v>
      </c>
      <c r="I20" s="203" t="e">
        <f t="shared" si="5"/>
        <v>#REF!</v>
      </c>
      <c r="J20" s="203" t="e">
        <f t="shared" si="5"/>
        <v>#REF!</v>
      </c>
      <c r="K20" s="203" t="e">
        <f t="shared" si="5"/>
        <v>#REF!</v>
      </c>
      <c r="L20" s="203" t="e">
        <f t="shared" si="5"/>
        <v>#REF!</v>
      </c>
      <c r="M20" s="203" t="e">
        <f t="shared" si="5"/>
        <v>#REF!</v>
      </c>
      <c r="N20" s="203" t="e">
        <f t="shared" si="5"/>
        <v>#REF!</v>
      </c>
      <c r="O20" s="203" t="e">
        <f t="shared" si="5"/>
        <v>#REF!</v>
      </c>
      <c r="P20" s="203" t="e">
        <f t="shared" si="5"/>
        <v>#REF!</v>
      </c>
      <c r="Q20" s="203" t="e">
        <f t="shared" si="5"/>
        <v>#REF!</v>
      </c>
      <c r="S20" s="177"/>
      <c r="T20" s="177"/>
      <c r="U20" s="177"/>
      <c r="V20" s="177"/>
      <c r="W20" s="177"/>
      <c r="X20" s="177"/>
      <c r="Y20" s="177"/>
      <c r="Z20" s="177"/>
      <c r="AA20" s="177"/>
      <c r="AB20" s="177"/>
      <c r="AC20" s="177"/>
    </row>
    <row r="21" spans="2:29">
      <c r="B21" s="158" t="str">
        <f>Technologies!$B185</f>
        <v>*</v>
      </c>
      <c r="C21" s="158"/>
      <c r="D21" s="158"/>
      <c r="E21" s="197"/>
      <c r="F21" s="197"/>
      <c r="G21" s="204"/>
      <c r="H21" s="203"/>
      <c r="I21" s="203"/>
      <c r="J21" s="203"/>
      <c r="K21" s="203"/>
      <c r="L21" s="203"/>
      <c r="M21" s="203"/>
      <c r="N21" s="203"/>
      <c r="O21" s="203"/>
      <c r="P21" s="203"/>
      <c r="Q21" s="203"/>
      <c r="S21" s="177"/>
      <c r="T21" s="177"/>
      <c r="U21" s="177"/>
      <c r="V21" s="177"/>
      <c r="W21" s="177"/>
      <c r="X21" s="177"/>
      <c r="Y21" s="177"/>
      <c r="Z21" s="177"/>
      <c r="AA21" s="177"/>
      <c r="AB21" s="177"/>
      <c r="AC21" s="177"/>
    </row>
    <row r="24" spans="2:29" ht="17.25" customHeight="1">
      <c r="F24" s="192"/>
    </row>
    <row r="25" spans="2:29" ht="15.75" customHeight="1">
      <c r="B25" s="153" t="s">
        <v>541</v>
      </c>
      <c r="C25" s="153" t="s">
        <v>187</v>
      </c>
      <c r="D25" s="153" t="s">
        <v>188</v>
      </c>
      <c r="E25" s="153" t="s">
        <v>190</v>
      </c>
      <c r="F25" s="153" t="s">
        <v>191</v>
      </c>
      <c r="G25" s="153" t="s">
        <v>1157</v>
      </c>
      <c r="H25" s="153" t="s">
        <v>1159</v>
      </c>
      <c r="I25" s="153" t="s">
        <v>1160</v>
      </c>
      <c r="J25" s="153" t="s">
        <v>1161</v>
      </c>
      <c r="K25" s="153" t="s">
        <v>1162</v>
      </c>
      <c r="L25" s="153" t="s">
        <v>1163</v>
      </c>
      <c r="M25" s="153" t="s">
        <v>1164</v>
      </c>
      <c r="N25" s="153" t="s">
        <v>1165</v>
      </c>
      <c r="O25" s="153" t="s">
        <v>1166</v>
      </c>
      <c r="P25" s="153" t="s">
        <v>1167</v>
      </c>
      <c r="Q25" s="153" t="s">
        <v>1168</v>
      </c>
      <c r="S25" s="189"/>
      <c r="T25" s="189"/>
      <c r="U25" s="189"/>
      <c r="V25" s="189"/>
      <c r="W25" s="189"/>
      <c r="X25" s="189"/>
      <c r="Y25" s="189"/>
      <c r="Z25" s="189"/>
      <c r="AA25" s="189"/>
      <c r="AB25" s="189"/>
      <c r="AC25" s="189"/>
    </row>
    <row r="26" spans="2:29">
      <c r="B26" s="205" t="s">
        <v>251</v>
      </c>
      <c r="C26" s="205" t="str">
        <f>"X"&amp;E26</f>
        <v>XGSC</v>
      </c>
      <c r="D26" s="205" t="str">
        <f>"Convert "&amp;E26&amp;" to "&amp;F26</f>
        <v>Convert GSC to GSCR1</v>
      </c>
      <c r="E26" s="204" t="str">
        <f>Commodities!C48</f>
        <v>GSC</v>
      </c>
      <c r="F26" s="204" t="str">
        <f>E26&amp;"R1"</f>
        <v>GSCR1</v>
      </c>
      <c r="G26" s="204">
        <v>1</v>
      </c>
      <c r="H26" s="205"/>
      <c r="I26" s="205"/>
      <c r="J26" s="205"/>
      <c r="K26" s="205"/>
      <c r="L26" s="205"/>
      <c r="M26" s="205"/>
      <c r="N26" s="205"/>
      <c r="O26" s="205"/>
      <c r="P26" s="205"/>
      <c r="Q26" s="205"/>
    </row>
    <row r="27" spans="2:29">
      <c r="B27" s="205" t="s">
        <v>251</v>
      </c>
      <c r="C27" s="205" t="str">
        <f t="shared" ref="C27:C31" si="6">"X"&amp;E27</f>
        <v>XGSR</v>
      </c>
      <c r="D27" s="205" t="str">
        <f t="shared" ref="D27:D31" si="7">"Convert "&amp;E27&amp;" to "&amp;F27</f>
        <v>Convert GSR to GSRR1</v>
      </c>
      <c r="E27" s="204" t="str">
        <f>Commodities!C49</f>
        <v>GSR</v>
      </c>
      <c r="F27" s="204" t="str">
        <f t="shared" ref="F27:F31" si="8">E27&amp;"R1"</f>
        <v>GSRR1</v>
      </c>
      <c r="G27" s="204">
        <v>1</v>
      </c>
      <c r="H27" s="205"/>
      <c r="I27" s="205"/>
      <c r="J27" s="205"/>
      <c r="K27" s="205"/>
      <c r="L27" s="205"/>
      <c r="M27" s="205"/>
      <c r="N27" s="205"/>
      <c r="O27" s="205"/>
      <c r="P27" s="205"/>
      <c r="Q27" s="205"/>
    </row>
    <row r="28" spans="2:29">
      <c r="B28" s="205" t="s">
        <v>251</v>
      </c>
      <c r="C28" s="205" t="str">
        <f t="shared" si="6"/>
        <v>XDSH</v>
      </c>
      <c r="D28" s="205" t="str">
        <f t="shared" si="7"/>
        <v>Convert DSH to DSHR1</v>
      </c>
      <c r="E28" s="204" t="str">
        <f>Commodities!C50</f>
        <v>DSH</v>
      </c>
      <c r="F28" s="204" t="str">
        <f t="shared" si="8"/>
        <v>DSHR1</v>
      </c>
      <c r="G28" s="204">
        <v>1</v>
      </c>
      <c r="H28" s="205"/>
      <c r="I28" s="205"/>
      <c r="J28" s="205"/>
      <c r="K28" s="205"/>
      <c r="L28" s="205"/>
      <c r="M28" s="205"/>
      <c r="N28" s="205"/>
      <c r="O28" s="205"/>
      <c r="P28" s="205"/>
      <c r="Q28" s="205"/>
    </row>
    <row r="29" spans="2:29">
      <c r="B29" s="205" t="s">
        <v>251</v>
      </c>
      <c r="C29" s="205" t="str">
        <f t="shared" si="6"/>
        <v>XDSL</v>
      </c>
      <c r="D29" s="205" t="str">
        <f t="shared" si="7"/>
        <v>Convert DSL to DSLR1</v>
      </c>
      <c r="E29" s="204" t="str">
        <f>Commodities!C51</f>
        <v>DSL</v>
      </c>
      <c r="F29" s="204" t="str">
        <f t="shared" si="8"/>
        <v>DSLR1</v>
      </c>
      <c r="G29" s="204">
        <v>1</v>
      </c>
      <c r="H29" s="205"/>
      <c r="I29" s="205"/>
      <c r="J29" s="205"/>
      <c r="K29" s="205"/>
      <c r="L29" s="205"/>
      <c r="M29" s="205"/>
      <c r="N29" s="205"/>
      <c r="O29" s="205"/>
      <c r="P29" s="205"/>
      <c r="Q29" s="205"/>
    </row>
    <row r="30" spans="2:29">
      <c r="B30" s="205" t="s">
        <v>251</v>
      </c>
      <c r="C30" s="205" t="str">
        <f t="shared" si="6"/>
        <v>XDSU</v>
      </c>
      <c r="D30" s="205" t="str">
        <f t="shared" si="7"/>
        <v>Convert DSU to DSUR1</v>
      </c>
      <c r="E30" s="204" t="str">
        <f>Commodities!C52</f>
        <v>DSU</v>
      </c>
      <c r="F30" s="204" t="str">
        <f t="shared" si="8"/>
        <v>DSUR1</v>
      </c>
      <c r="G30" s="204">
        <v>1</v>
      </c>
      <c r="H30" s="205"/>
      <c r="I30" s="205"/>
      <c r="J30" s="205"/>
      <c r="K30" s="205"/>
      <c r="L30" s="205"/>
      <c r="M30" s="205"/>
      <c r="N30" s="205"/>
      <c r="O30" s="205"/>
      <c r="P30" s="205"/>
      <c r="Q30" s="205"/>
    </row>
    <row r="31" spans="2:29">
      <c r="B31" s="205" t="s">
        <v>251</v>
      </c>
      <c r="C31" s="205" t="str">
        <f t="shared" si="6"/>
        <v>XRFL</v>
      </c>
      <c r="D31" s="205" t="str">
        <f t="shared" si="7"/>
        <v>Convert RFL to RFLR1</v>
      </c>
      <c r="E31" s="204" t="str">
        <f>Commodities!C59</f>
        <v>RFL</v>
      </c>
      <c r="F31" s="204" t="str">
        <f t="shared" si="8"/>
        <v>RFLR1</v>
      </c>
      <c r="G31" s="204">
        <v>1</v>
      </c>
      <c r="H31" s="205"/>
      <c r="I31" s="205"/>
      <c r="J31" s="205"/>
      <c r="K31" s="205"/>
      <c r="L31" s="205"/>
      <c r="M31" s="205"/>
      <c r="N31" s="205"/>
      <c r="O31" s="205"/>
      <c r="P31" s="205"/>
      <c r="Q31" s="205"/>
    </row>
    <row r="35" spans="2:29" ht="17.25" customHeight="1">
      <c r="F35" s="192"/>
    </row>
    <row r="36" spans="2:29" ht="15.75" customHeight="1">
      <c r="B36" s="153" t="s">
        <v>541</v>
      </c>
      <c r="C36" s="153" t="s">
        <v>187</v>
      </c>
      <c r="D36" s="153" t="s">
        <v>188</v>
      </c>
      <c r="E36" s="153" t="s">
        <v>190</v>
      </c>
      <c r="F36" s="153" t="s">
        <v>191</v>
      </c>
      <c r="G36" s="153" t="s">
        <v>1157</v>
      </c>
      <c r="H36" s="153" t="s">
        <v>1159</v>
      </c>
      <c r="I36" s="153" t="s">
        <v>1160</v>
      </c>
      <c r="J36" s="153" t="s">
        <v>1161</v>
      </c>
      <c r="K36" s="153" t="s">
        <v>1162</v>
      </c>
      <c r="L36" s="153" t="s">
        <v>1163</v>
      </c>
      <c r="M36" s="153" t="s">
        <v>1164</v>
      </c>
      <c r="N36" s="153" t="s">
        <v>1165</v>
      </c>
      <c r="O36" s="153" t="s">
        <v>1166</v>
      </c>
      <c r="P36" s="153" t="s">
        <v>1167</v>
      </c>
      <c r="Q36" s="153" t="s">
        <v>1168</v>
      </c>
      <c r="S36" s="189"/>
      <c r="T36" s="189"/>
      <c r="U36" s="189"/>
      <c r="V36" s="189"/>
      <c r="W36" s="189"/>
      <c r="X36" s="189"/>
      <c r="Y36" s="189"/>
      <c r="Z36" s="189"/>
      <c r="AA36" s="189"/>
      <c r="AB36" s="189"/>
      <c r="AC36" s="189"/>
    </row>
    <row r="37" spans="2:29">
      <c r="B37" s="154" t="s">
        <v>407</v>
      </c>
      <c r="C37" s="154"/>
      <c r="D37" s="154"/>
      <c r="E37" s="194"/>
      <c r="F37" s="194"/>
      <c r="G37" s="190"/>
      <c r="H37" s="202"/>
      <c r="I37" s="202"/>
      <c r="J37" s="202"/>
      <c r="K37" s="202"/>
      <c r="L37" s="202"/>
      <c r="M37" s="202"/>
      <c r="N37" s="202"/>
      <c r="O37" s="202"/>
      <c r="P37" s="202"/>
      <c r="Q37" s="202"/>
    </row>
    <row r="38" spans="2:29">
      <c r="B38" s="158" t="str">
        <f>IF(LEFT(Technologies!B$585,1)="*","*R2","R2")</f>
        <v>R2</v>
      </c>
      <c r="C38" s="158" t="e">
        <f>Technologies!C$585</f>
        <v>#REF!</v>
      </c>
      <c r="D38" s="158" t="e">
        <f>Technologies!D$585</f>
        <v>#REF!</v>
      </c>
      <c r="E38" s="197" t="str">
        <f>Commodities!C$130</f>
        <v>GSCR1</v>
      </c>
      <c r="F38" s="197" t="e">
        <f>Commodities!C$222</f>
        <v>#REF!</v>
      </c>
      <c r="G38" s="204">
        <v>1</v>
      </c>
      <c r="H38" s="203" t="e">
        <f>H168</f>
        <v>#REF!</v>
      </c>
      <c r="I38" s="203" t="e">
        <f t="shared" ref="I38:Q38" si="9">I168</f>
        <v>#REF!</v>
      </c>
      <c r="J38" s="203" t="e">
        <f t="shared" si="9"/>
        <v>#REF!</v>
      </c>
      <c r="K38" s="203" t="e">
        <f t="shared" si="9"/>
        <v>#REF!</v>
      </c>
      <c r="L38" s="203" t="e">
        <f t="shared" si="9"/>
        <v>#REF!</v>
      </c>
      <c r="M38" s="203" t="e">
        <f t="shared" si="9"/>
        <v>#REF!</v>
      </c>
      <c r="N38" s="203" t="e">
        <f t="shared" si="9"/>
        <v>#REF!</v>
      </c>
      <c r="O38" s="203" t="e">
        <f t="shared" si="9"/>
        <v>#REF!</v>
      </c>
      <c r="P38" s="203" t="e">
        <f t="shared" si="9"/>
        <v>#REF!</v>
      </c>
      <c r="Q38" s="203" t="e">
        <f t="shared" si="9"/>
        <v>#REF!</v>
      </c>
      <c r="S38" s="177"/>
      <c r="T38" s="177"/>
      <c r="U38" s="177"/>
      <c r="V38" s="177"/>
      <c r="W38" s="177"/>
      <c r="X38" s="177"/>
      <c r="Y38" s="177"/>
      <c r="Z38" s="177"/>
      <c r="AA38" s="177"/>
      <c r="AB38" s="177"/>
      <c r="AC38" s="177"/>
    </row>
    <row r="39" spans="2:29">
      <c r="B39" s="158" t="str">
        <f>IF(LEFT(Technologies!B$586,1)="*","*R2","R2")</f>
        <v>R2</v>
      </c>
      <c r="C39" s="158" t="e">
        <f>Technologies!C$586</f>
        <v>#REF!</v>
      </c>
      <c r="D39" s="158" t="e">
        <f>Technologies!D$586</f>
        <v>#REF!</v>
      </c>
      <c r="E39" s="197" t="str">
        <f>Commodities!C$131</f>
        <v>GSRR1</v>
      </c>
      <c r="F39" s="197" t="e">
        <f>Commodities!C$223</f>
        <v>#REF!</v>
      </c>
      <c r="G39" s="204">
        <v>1</v>
      </c>
      <c r="H39" s="203" t="e">
        <f t="shared" ref="H39:Q54" si="10">H169</f>
        <v>#REF!</v>
      </c>
      <c r="I39" s="203" t="e">
        <f t="shared" si="10"/>
        <v>#REF!</v>
      </c>
      <c r="J39" s="203" t="e">
        <f t="shared" si="10"/>
        <v>#REF!</v>
      </c>
      <c r="K39" s="203" t="e">
        <f t="shared" si="10"/>
        <v>#REF!</v>
      </c>
      <c r="L39" s="203" t="e">
        <f t="shared" si="10"/>
        <v>#REF!</v>
      </c>
      <c r="M39" s="203" t="e">
        <f t="shared" si="10"/>
        <v>#REF!</v>
      </c>
      <c r="N39" s="203" t="e">
        <f t="shared" si="10"/>
        <v>#REF!</v>
      </c>
      <c r="O39" s="203" t="e">
        <f t="shared" si="10"/>
        <v>#REF!</v>
      </c>
      <c r="P39" s="203" t="e">
        <f t="shared" si="10"/>
        <v>#REF!</v>
      </c>
      <c r="Q39" s="203" t="e">
        <f t="shared" si="10"/>
        <v>#REF!</v>
      </c>
      <c r="S39" s="177"/>
      <c r="T39" s="177"/>
      <c r="U39" s="177"/>
      <c r="V39" s="177"/>
      <c r="W39" s="177"/>
      <c r="X39" s="177"/>
      <c r="Y39" s="177"/>
      <c r="Z39" s="177"/>
      <c r="AA39" s="177"/>
      <c r="AB39" s="177"/>
      <c r="AC39" s="177"/>
    </row>
    <row r="40" spans="2:29">
      <c r="B40" s="158" t="str">
        <f>IF(LEFT(Technologies!B$587,1)="*","*R2","R2")</f>
        <v>R2</v>
      </c>
      <c r="C40" s="158" t="e">
        <f>Technologies!C$587</f>
        <v>#REF!</v>
      </c>
      <c r="D40" s="158" t="e">
        <f>Technologies!D$587</f>
        <v>#REF!</v>
      </c>
      <c r="E40" s="197" t="str">
        <f>Commodities!C$132</f>
        <v>DSHR1</v>
      </c>
      <c r="F40" s="197" t="e">
        <f>Commodities!C$224</f>
        <v>#REF!</v>
      </c>
      <c r="G40" s="204">
        <v>1</v>
      </c>
      <c r="H40" s="203" t="e">
        <f t="shared" si="10"/>
        <v>#REF!</v>
      </c>
      <c r="I40" s="203" t="e">
        <f t="shared" si="10"/>
        <v>#REF!</v>
      </c>
      <c r="J40" s="203" t="e">
        <f t="shared" si="10"/>
        <v>#REF!</v>
      </c>
      <c r="K40" s="203" t="e">
        <f t="shared" si="10"/>
        <v>#REF!</v>
      </c>
      <c r="L40" s="203" t="e">
        <f t="shared" si="10"/>
        <v>#REF!</v>
      </c>
      <c r="M40" s="203" t="e">
        <f t="shared" si="10"/>
        <v>#REF!</v>
      </c>
      <c r="N40" s="203" t="e">
        <f t="shared" si="10"/>
        <v>#REF!</v>
      </c>
      <c r="O40" s="203" t="e">
        <f t="shared" si="10"/>
        <v>#REF!</v>
      </c>
      <c r="P40" s="203" t="e">
        <f t="shared" si="10"/>
        <v>#REF!</v>
      </c>
      <c r="Q40" s="203" t="e">
        <f t="shared" si="10"/>
        <v>#REF!</v>
      </c>
      <c r="S40" s="177"/>
      <c r="T40" s="177"/>
      <c r="U40" s="177"/>
      <c r="V40" s="177"/>
      <c r="W40" s="177"/>
      <c r="X40" s="177"/>
      <c r="Y40" s="177"/>
      <c r="Z40" s="177"/>
      <c r="AA40" s="177"/>
      <c r="AB40" s="177"/>
      <c r="AC40" s="177"/>
    </row>
    <row r="41" spans="2:29">
      <c r="B41" s="158" t="str">
        <f>IF(LEFT(Technologies!B$588,1)="*","*R2","R2")</f>
        <v>R2</v>
      </c>
      <c r="C41" s="158" t="e">
        <f>Technologies!C$588</f>
        <v>#REF!</v>
      </c>
      <c r="D41" s="158" t="e">
        <f>Technologies!D$588</f>
        <v>#REF!</v>
      </c>
      <c r="E41" s="197" t="str">
        <f>Commodities!C$132</f>
        <v>DSHR1</v>
      </c>
      <c r="F41" s="197" t="e">
        <f>Commodities!C$225</f>
        <v>#REF!</v>
      </c>
      <c r="G41" s="204">
        <v>1</v>
      </c>
      <c r="H41" s="203" t="e">
        <f t="shared" si="10"/>
        <v>#REF!</v>
      </c>
      <c r="I41" s="203" t="e">
        <f t="shared" si="10"/>
        <v>#REF!</v>
      </c>
      <c r="J41" s="203" t="e">
        <f t="shared" si="10"/>
        <v>#REF!</v>
      </c>
      <c r="K41" s="203" t="e">
        <f t="shared" si="10"/>
        <v>#REF!</v>
      </c>
      <c r="L41" s="203" t="e">
        <f t="shared" si="10"/>
        <v>#REF!</v>
      </c>
      <c r="M41" s="203" t="e">
        <f t="shared" si="10"/>
        <v>#REF!</v>
      </c>
      <c r="N41" s="203" t="e">
        <f t="shared" si="10"/>
        <v>#REF!</v>
      </c>
      <c r="O41" s="203" t="e">
        <f t="shared" si="10"/>
        <v>#REF!</v>
      </c>
      <c r="P41" s="203" t="e">
        <f t="shared" si="10"/>
        <v>#REF!</v>
      </c>
      <c r="Q41" s="203" t="e">
        <f t="shared" si="10"/>
        <v>#REF!</v>
      </c>
      <c r="S41" s="177"/>
      <c r="T41" s="177"/>
      <c r="U41" s="177"/>
      <c r="V41" s="177"/>
      <c r="W41" s="177"/>
      <c r="X41" s="177"/>
      <c r="Y41" s="177"/>
      <c r="Z41" s="177"/>
      <c r="AA41" s="177"/>
      <c r="AB41" s="177"/>
      <c r="AC41" s="177"/>
    </row>
    <row r="42" spans="2:29">
      <c r="B42" s="158" t="str">
        <f>IF(LEFT(Technologies!B$589,1)="*","*R2","R2")</f>
        <v>*R2</v>
      </c>
      <c r="C42" s="158" t="e">
        <f>Technologies!C$589</f>
        <v>#REF!</v>
      </c>
      <c r="D42" s="158" t="e">
        <f>Technologies!D$589</f>
        <v>#REF!</v>
      </c>
      <c r="E42" s="197" t="str">
        <f>Commodities!C$132</f>
        <v>DSHR1</v>
      </c>
      <c r="F42" s="197" t="e">
        <f>Commodities!C$226</f>
        <v>#REF!</v>
      </c>
      <c r="G42" s="204">
        <v>1</v>
      </c>
      <c r="H42" s="203" t="e">
        <f t="shared" si="10"/>
        <v>#REF!</v>
      </c>
      <c r="I42" s="203" t="e">
        <f t="shared" si="10"/>
        <v>#REF!</v>
      </c>
      <c r="J42" s="203" t="e">
        <f t="shared" si="10"/>
        <v>#REF!</v>
      </c>
      <c r="K42" s="203" t="e">
        <f t="shared" si="10"/>
        <v>#REF!</v>
      </c>
      <c r="L42" s="203" t="e">
        <f t="shared" si="10"/>
        <v>#REF!</v>
      </c>
      <c r="M42" s="203" t="e">
        <f t="shared" si="10"/>
        <v>#REF!</v>
      </c>
      <c r="N42" s="203" t="e">
        <f t="shared" si="10"/>
        <v>#REF!</v>
      </c>
      <c r="O42" s="203" t="e">
        <f t="shared" si="10"/>
        <v>#REF!</v>
      </c>
      <c r="P42" s="203" t="e">
        <f t="shared" si="10"/>
        <v>#REF!</v>
      </c>
      <c r="Q42" s="203" t="e">
        <f t="shared" si="10"/>
        <v>#REF!</v>
      </c>
      <c r="S42" s="177"/>
      <c r="T42" s="177"/>
      <c r="U42" s="177"/>
      <c r="V42" s="177"/>
      <c r="W42" s="177"/>
      <c r="X42" s="177"/>
      <c r="Y42" s="177"/>
      <c r="Z42" s="177"/>
      <c r="AA42" s="177"/>
      <c r="AB42" s="177"/>
      <c r="AC42" s="177"/>
    </row>
    <row r="43" spans="2:29">
      <c r="B43" s="158" t="str">
        <f>IF(LEFT(Technologies!B$590,1)="*","*R2","R2")</f>
        <v>R2</v>
      </c>
      <c r="C43" s="158" t="e">
        <f>Technologies!C$590</f>
        <v>#REF!</v>
      </c>
      <c r="D43" s="158" t="e">
        <f>Technologies!D$590</f>
        <v>#REF!</v>
      </c>
      <c r="E43" s="197" t="str">
        <f>Commodities!C$132</f>
        <v>DSHR1</v>
      </c>
      <c r="F43" s="197" t="e">
        <f>Commodities!C$227</f>
        <v>#REF!</v>
      </c>
      <c r="G43" s="204">
        <v>1</v>
      </c>
      <c r="H43" s="203" t="e">
        <f t="shared" si="10"/>
        <v>#REF!</v>
      </c>
      <c r="I43" s="203" t="e">
        <f t="shared" si="10"/>
        <v>#REF!</v>
      </c>
      <c r="J43" s="203" t="e">
        <f t="shared" si="10"/>
        <v>#REF!</v>
      </c>
      <c r="K43" s="203" t="e">
        <f t="shared" si="10"/>
        <v>#REF!</v>
      </c>
      <c r="L43" s="203" t="e">
        <f t="shared" si="10"/>
        <v>#REF!</v>
      </c>
      <c r="M43" s="203" t="e">
        <f t="shared" si="10"/>
        <v>#REF!</v>
      </c>
      <c r="N43" s="203" t="e">
        <f t="shared" si="10"/>
        <v>#REF!</v>
      </c>
      <c r="O43" s="203" t="e">
        <f t="shared" si="10"/>
        <v>#REF!</v>
      </c>
      <c r="P43" s="203" t="e">
        <f t="shared" si="10"/>
        <v>#REF!</v>
      </c>
      <c r="Q43" s="203" t="e">
        <f t="shared" si="10"/>
        <v>#REF!</v>
      </c>
      <c r="S43" s="177"/>
      <c r="T43" s="177"/>
      <c r="U43" s="177"/>
      <c r="V43" s="177"/>
      <c r="W43" s="177"/>
      <c r="X43" s="177"/>
      <c r="Y43" s="177"/>
      <c r="Z43" s="177"/>
      <c r="AA43" s="177"/>
      <c r="AB43" s="177"/>
      <c r="AC43" s="177"/>
    </row>
    <row r="44" spans="2:29">
      <c r="B44" s="158" t="str">
        <f>IF(LEFT(Technologies!B$591,1)="*","*R2","R2")</f>
        <v>R2</v>
      </c>
      <c r="C44" s="158" t="e">
        <f>Technologies!C$591</f>
        <v>#REF!</v>
      </c>
      <c r="D44" s="158" t="e">
        <f>Technologies!D$591</f>
        <v>#REF!</v>
      </c>
      <c r="E44" s="197" t="str">
        <f>Commodities!C$133</f>
        <v>DSLR1</v>
      </c>
      <c r="F44" s="197" t="e">
        <f>Commodities!C$228</f>
        <v>#REF!</v>
      </c>
      <c r="G44" s="204">
        <v>1</v>
      </c>
      <c r="H44" s="203" t="e">
        <f t="shared" si="10"/>
        <v>#REF!</v>
      </c>
      <c r="I44" s="203" t="e">
        <f t="shared" si="10"/>
        <v>#REF!</v>
      </c>
      <c r="J44" s="203" t="e">
        <f t="shared" si="10"/>
        <v>#REF!</v>
      </c>
      <c r="K44" s="203" t="e">
        <f t="shared" si="10"/>
        <v>#REF!</v>
      </c>
      <c r="L44" s="203" t="e">
        <f t="shared" si="10"/>
        <v>#REF!</v>
      </c>
      <c r="M44" s="203" t="e">
        <f t="shared" si="10"/>
        <v>#REF!</v>
      </c>
      <c r="N44" s="203" t="e">
        <f t="shared" si="10"/>
        <v>#REF!</v>
      </c>
      <c r="O44" s="203" t="e">
        <f t="shared" si="10"/>
        <v>#REF!</v>
      </c>
      <c r="P44" s="203" t="e">
        <f t="shared" si="10"/>
        <v>#REF!</v>
      </c>
      <c r="Q44" s="203" t="e">
        <f t="shared" si="10"/>
        <v>#REF!</v>
      </c>
      <c r="S44" s="177"/>
      <c r="T44" s="177"/>
      <c r="U44" s="177"/>
      <c r="V44" s="177"/>
      <c r="W44" s="177"/>
      <c r="X44" s="177"/>
      <c r="Y44" s="177"/>
      <c r="Z44" s="177"/>
      <c r="AA44" s="177"/>
      <c r="AB44" s="177"/>
      <c r="AC44" s="177"/>
    </row>
    <row r="45" spans="2:29">
      <c r="B45" s="158" t="str">
        <f>IF(LEFT(Technologies!B$592,1)="*","*R2","R2")</f>
        <v>R2</v>
      </c>
      <c r="C45" s="158" t="e">
        <f>Technologies!C$592</f>
        <v>#REF!</v>
      </c>
      <c r="D45" s="158" t="e">
        <f>Technologies!D$592</f>
        <v>#REF!</v>
      </c>
      <c r="E45" s="197" t="str">
        <f>Commodities!C$134</f>
        <v>DSUR1</v>
      </c>
      <c r="F45" s="197" t="e">
        <f>Commodities!C$229</f>
        <v>#REF!</v>
      </c>
      <c r="G45" s="204">
        <v>1</v>
      </c>
      <c r="H45" s="203" t="e">
        <f t="shared" si="10"/>
        <v>#REF!</v>
      </c>
      <c r="I45" s="203" t="e">
        <f t="shared" si="10"/>
        <v>#REF!</v>
      </c>
      <c r="J45" s="203" t="e">
        <f t="shared" si="10"/>
        <v>#REF!</v>
      </c>
      <c r="K45" s="203" t="e">
        <f t="shared" si="10"/>
        <v>#REF!</v>
      </c>
      <c r="L45" s="203" t="e">
        <f t="shared" si="10"/>
        <v>#REF!</v>
      </c>
      <c r="M45" s="203" t="e">
        <f t="shared" si="10"/>
        <v>#REF!</v>
      </c>
      <c r="N45" s="203" t="e">
        <f t="shared" si="10"/>
        <v>#REF!</v>
      </c>
      <c r="O45" s="203" t="e">
        <f t="shared" si="10"/>
        <v>#REF!</v>
      </c>
      <c r="P45" s="203" t="e">
        <f t="shared" si="10"/>
        <v>#REF!</v>
      </c>
      <c r="Q45" s="203" t="e">
        <f t="shared" si="10"/>
        <v>#REF!</v>
      </c>
      <c r="S45" s="177"/>
      <c r="T45" s="177"/>
      <c r="U45" s="177"/>
      <c r="V45" s="177"/>
      <c r="W45" s="177"/>
      <c r="X45" s="177"/>
      <c r="Y45" s="177"/>
      <c r="Z45" s="177"/>
      <c r="AA45" s="177"/>
      <c r="AB45" s="177"/>
      <c r="AC45" s="177"/>
    </row>
    <row r="46" spans="2:29">
      <c r="B46" s="158" t="str">
        <f>IF(LEFT(Technologies!B$593,1)="*","*R2","R2")</f>
        <v>*R2</v>
      </c>
      <c r="C46" s="158" t="e">
        <f>Technologies!C$593</f>
        <v>#REF!</v>
      </c>
      <c r="D46" s="158" t="e">
        <f>Technologies!D$593</f>
        <v>#REF!</v>
      </c>
      <c r="E46" s="197" t="str">
        <f>Commodities!C$135</f>
        <v>JTFR1</v>
      </c>
      <c r="F46" s="197" t="e">
        <f>Commodities!C$230</f>
        <v>#REF!</v>
      </c>
      <c r="G46" s="204">
        <v>1</v>
      </c>
      <c r="H46" s="203" t="e">
        <f t="shared" si="10"/>
        <v>#REF!</v>
      </c>
      <c r="I46" s="203" t="e">
        <f t="shared" si="10"/>
        <v>#REF!</v>
      </c>
      <c r="J46" s="203" t="e">
        <f t="shared" si="10"/>
        <v>#REF!</v>
      </c>
      <c r="K46" s="203" t="e">
        <f t="shared" si="10"/>
        <v>#REF!</v>
      </c>
      <c r="L46" s="203" t="e">
        <f t="shared" si="10"/>
        <v>#REF!</v>
      </c>
      <c r="M46" s="203" t="e">
        <f t="shared" si="10"/>
        <v>#REF!</v>
      </c>
      <c r="N46" s="203" t="e">
        <f t="shared" si="10"/>
        <v>#REF!</v>
      </c>
      <c r="O46" s="203" t="e">
        <f t="shared" si="10"/>
        <v>#REF!</v>
      </c>
      <c r="P46" s="203" t="e">
        <f t="shared" si="10"/>
        <v>#REF!</v>
      </c>
      <c r="Q46" s="203" t="e">
        <f t="shared" si="10"/>
        <v>#REF!</v>
      </c>
      <c r="S46" s="177"/>
      <c r="T46" s="177"/>
      <c r="U46" s="177"/>
      <c r="V46" s="177"/>
      <c r="W46" s="177"/>
      <c r="X46" s="177"/>
      <c r="Y46" s="177"/>
      <c r="Z46" s="177"/>
      <c r="AA46" s="177"/>
      <c r="AB46" s="177"/>
      <c r="AC46" s="177"/>
    </row>
    <row r="47" spans="2:29">
      <c r="B47" s="158" t="str">
        <f>IF(LEFT(Technologies!B$594,1)="*","*R2","R2")</f>
        <v>*R2</v>
      </c>
      <c r="C47" s="158" t="e">
        <f>Technologies!C$594</f>
        <v>#REF!</v>
      </c>
      <c r="D47" s="158" t="e">
        <f>Technologies!D$594</f>
        <v>#REF!</v>
      </c>
      <c r="E47" s="197" t="str">
        <f>Commodities!C$136</f>
        <v>KERR1</v>
      </c>
      <c r="F47" s="197" t="e">
        <f>Commodities!C$231</f>
        <v>#REF!</v>
      </c>
      <c r="G47" s="204">
        <v>1</v>
      </c>
      <c r="H47" s="203" t="e">
        <f t="shared" si="10"/>
        <v>#REF!</v>
      </c>
      <c r="I47" s="203" t="e">
        <f t="shared" si="10"/>
        <v>#REF!</v>
      </c>
      <c r="J47" s="203" t="e">
        <f t="shared" si="10"/>
        <v>#REF!</v>
      </c>
      <c r="K47" s="203" t="e">
        <f t="shared" si="10"/>
        <v>#REF!</v>
      </c>
      <c r="L47" s="203" t="e">
        <f t="shared" si="10"/>
        <v>#REF!</v>
      </c>
      <c r="M47" s="203" t="e">
        <f t="shared" si="10"/>
        <v>#REF!</v>
      </c>
      <c r="N47" s="203" t="e">
        <f t="shared" si="10"/>
        <v>#REF!</v>
      </c>
      <c r="O47" s="203" t="e">
        <f t="shared" si="10"/>
        <v>#REF!</v>
      </c>
      <c r="P47" s="203" t="e">
        <f t="shared" si="10"/>
        <v>#REF!</v>
      </c>
      <c r="Q47" s="203" t="e">
        <f t="shared" si="10"/>
        <v>#REF!</v>
      </c>
      <c r="S47" s="177"/>
      <c r="T47" s="177"/>
      <c r="U47" s="177"/>
      <c r="V47" s="177"/>
      <c r="W47" s="177"/>
      <c r="X47" s="177"/>
      <c r="Y47" s="177"/>
      <c r="Z47" s="177"/>
      <c r="AA47" s="177"/>
      <c r="AB47" s="177"/>
      <c r="AC47" s="177"/>
    </row>
    <row r="48" spans="2:29">
      <c r="B48" s="158" t="str">
        <f>IF(LEFT(Technologies!B$595,1)="*","*R2","R2")</f>
        <v>*R2</v>
      </c>
      <c r="C48" s="158" t="e">
        <f>Technologies!C$595</f>
        <v>#REF!</v>
      </c>
      <c r="D48" s="158" t="e">
        <f>Technologies!D$595</f>
        <v>#REF!</v>
      </c>
      <c r="E48" s="197" t="str">
        <f>Commodities!C$136</f>
        <v>KERR1</v>
      </c>
      <c r="F48" s="197" t="e">
        <f>Commodities!C$232</f>
        <v>#REF!</v>
      </c>
      <c r="G48" s="204">
        <v>1</v>
      </c>
      <c r="H48" s="203" t="e">
        <f t="shared" si="10"/>
        <v>#REF!</v>
      </c>
      <c r="I48" s="203" t="e">
        <f t="shared" si="10"/>
        <v>#REF!</v>
      </c>
      <c r="J48" s="203" t="e">
        <f t="shared" si="10"/>
        <v>#REF!</v>
      </c>
      <c r="K48" s="203" t="e">
        <f t="shared" si="10"/>
        <v>#REF!</v>
      </c>
      <c r="L48" s="203" t="e">
        <f t="shared" si="10"/>
        <v>#REF!</v>
      </c>
      <c r="M48" s="203" t="e">
        <f t="shared" si="10"/>
        <v>#REF!</v>
      </c>
      <c r="N48" s="203" t="e">
        <f t="shared" si="10"/>
        <v>#REF!</v>
      </c>
      <c r="O48" s="203" t="e">
        <f t="shared" si="10"/>
        <v>#REF!</v>
      </c>
      <c r="P48" s="203" t="e">
        <f t="shared" si="10"/>
        <v>#REF!</v>
      </c>
      <c r="Q48" s="203" t="e">
        <f t="shared" si="10"/>
        <v>#REF!</v>
      </c>
      <c r="S48" s="177"/>
      <c r="T48" s="177"/>
      <c r="U48" s="177"/>
      <c r="V48" s="177"/>
      <c r="W48" s="177"/>
      <c r="X48" s="177"/>
      <c r="Y48" s="177"/>
      <c r="Z48" s="177"/>
      <c r="AA48" s="177"/>
      <c r="AB48" s="177"/>
      <c r="AC48" s="177"/>
    </row>
    <row r="49" spans="2:29">
      <c r="B49" s="158" t="str">
        <f>IF(LEFT(Technologies!B$596,1)="*","*R2","R2")</f>
        <v>*R2</v>
      </c>
      <c r="C49" s="158" t="e">
        <f>Technologies!C$596</f>
        <v>#REF!</v>
      </c>
      <c r="D49" s="158" t="e">
        <f>Technologies!D$596</f>
        <v>#REF!</v>
      </c>
      <c r="E49" s="197" t="str">
        <f>Commodities!C$136</f>
        <v>KERR1</v>
      </c>
      <c r="F49" s="197" t="e">
        <f>Commodities!C$233</f>
        <v>#REF!</v>
      </c>
      <c r="G49" s="204">
        <v>1</v>
      </c>
      <c r="H49" s="203" t="e">
        <f t="shared" si="10"/>
        <v>#REF!</v>
      </c>
      <c r="I49" s="203" t="e">
        <f t="shared" si="10"/>
        <v>#REF!</v>
      </c>
      <c r="J49" s="203" t="e">
        <f t="shared" si="10"/>
        <v>#REF!</v>
      </c>
      <c r="K49" s="203" t="e">
        <f t="shared" si="10"/>
        <v>#REF!</v>
      </c>
      <c r="L49" s="203" t="e">
        <f t="shared" si="10"/>
        <v>#REF!</v>
      </c>
      <c r="M49" s="203" t="e">
        <f t="shared" si="10"/>
        <v>#REF!</v>
      </c>
      <c r="N49" s="203" t="e">
        <f t="shared" si="10"/>
        <v>#REF!</v>
      </c>
      <c r="O49" s="203" t="e">
        <f t="shared" si="10"/>
        <v>#REF!</v>
      </c>
      <c r="P49" s="203" t="e">
        <f t="shared" si="10"/>
        <v>#REF!</v>
      </c>
      <c r="Q49" s="203" t="e">
        <f t="shared" si="10"/>
        <v>#REF!</v>
      </c>
      <c r="S49" s="177"/>
      <c r="T49" s="177"/>
      <c r="U49" s="177"/>
      <c r="V49" s="177"/>
      <c r="W49" s="177"/>
      <c r="X49" s="177"/>
      <c r="Y49" s="177"/>
      <c r="Z49" s="177"/>
      <c r="AA49" s="177"/>
      <c r="AB49" s="177"/>
      <c r="AC49" s="177"/>
    </row>
    <row r="50" spans="2:29">
      <c r="B50" s="158" t="str">
        <f>IF(LEFT(Technologies!B$597,1)="*","*R2","R2")</f>
        <v>*R2</v>
      </c>
      <c r="C50" s="158" t="e">
        <f>Technologies!C$597</f>
        <v>#REF!</v>
      </c>
      <c r="D50" s="158" t="e">
        <f>Technologies!D$597</f>
        <v>#REF!</v>
      </c>
      <c r="E50" s="197" t="str">
        <f>Commodities!C$137</f>
        <v>LPGR1</v>
      </c>
      <c r="F50" s="197" t="e">
        <f>Commodities!C$234</f>
        <v>#REF!</v>
      </c>
      <c r="G50" s="204">
        <v>1</v>
      </c>
      <c r="H50" s="203" t="e">
        <f t="shared" si="10"/>
        <v>#REF!</v>
      </c>
      <c r="I50" s="203" t="e">
        <f t="shared" si="10"/>
        <v>#REF!</v>
      </c>
      <c r="J50" s="203" t="e">
        <f t="shared" si="10"/>
        <v>#REF!</v>
      </c>
      <c r="K50" s="203" t="e">
        <f t="shared" si="10"/>
        <v>#REF!</v>
      </c>
      <c r="L50" s="203" t="e">
        <f t="shared" si="10"/>
        <v>#REF!</v>
      </c>
      <c r="M50" s="203" t="e">
        <f t="shared" si="10"/>
        <v>#REF!</v>
      </c>
      <c r="N50" s="203" t="e">
        <f t="shared" si="10"/>
        <v>#REF!</v>
      </c>
      <c r="O50" s="203" t="e">
        <f t="shared" si="10"/>
        <v>#REF!</v>
      </c>
      <c r="P50" s="203" t="e">
        <f t="shared" si="10"/>
        <v>#REF!</v>
      </c>
      <c r="Q50" s="203" t="e">
        <f t="shared" si="10"/>
        <v>#REF!</v>
      </c>
      <c r="S50" s="177"/>
      <c r="T50" s="177"/>
      <c r="U50" s="177"/>
      <c r="V50" s="177"/>
      <c r="W50" s="177"/>
      <c r="X50" s="177"/>
      <c r="Y50" s="177"/>
      <c r="Z50" s="177"/>
      <c r="AA50" s="177"/>
      <c r="AB50" s="177"/>
      <c r="AC50" s="177"/>
    </row>
    <row r="51" spans="2:29">
      <c r="B51" s="158" t="str">
        <f>IF(LEFT(Technologies!B$598,1)="*","*R2","R2")</f>
        <v>*R2</v>
      </c>
      <c r="C51" s="158" t="e">
        <f>Technologies!C$598</f>
        <v>#REF!</v>
      </c>
      <c r="D51" s="158" t="e">
        <f>Technologies!D$598</f>
        <v>#REF!</v>
      </c>
      <c r="E51" s="197" t="str">
        <f>Commodities!C$137</f>
        <v>LPGR1</v>
      </c>
      <c r="F51" s="197" t="e">
        <f>Commodities!C$235</f>
        <v>#REF!</v>
      </c>
      <c r="G51" s="204">
        <v>1</v>
      </c>
      <c r="H51" s="203" t="e">
        <f t="shared" si="10"/>
        <v>#REF!</v>
      </c>
      <c r="I51" s="203" t="e">
        <f t="shared" si="10"/>
        <v>#REF!</v>
      </c>
      <c r="J51" s="203" t="e">
        <f t="shared" si="10"/>
        <v>#REF!</v>
      </c>
      <c r="K51" s="203" t="e">
        <f t="shared" si="10"/>
        <v>#REF!</v>
      </c>
      <c r="L51" s="203" t="e">
        <f t="shared" si="10"/>
        <v>#REF!</v>
      </c>
      <c r="M51" s="203" t="e">
        <f t="shared" si="10"/>
        <v>#REF!</v>
      </c>
      <c r="N51" s="203" t="e">
        <f t="shared" si="10"/>
        <v>#REF!</v>
      </c>
      <c r="O51" s="203" t="e">
        <f t="shared" si="10"/>
        <v>#REF!</v>
      </c>
      <c r="P51" s="203" t="e">
        <f t="shared" si="10"/>
        <v>#REF!</v>
      </c>
      <c r="Q51" s="203" t="e">
        <f t="shared" si="10"/>
        <v>#REF!</v>
      </c>
      <c r="S51" s="177"/>
      <c r="T51" s="177"/>
      <c r="U51" s="177"/>
      <c r="V51" s="177"/>
      <c r="W51" s="177"/>
      <c r="X51" s="177"/>
      <c r="Y51" s="177"/>
      <c r="Z51" s="177"/>
      <c r="AA51" s="177"/>
      <c r="AB51" s="177"/>
      <c r="AC51" s="177"/>
    </row>
    <row r="52" spans="2:29">
      <c r="B52" s="158" t="str">
        <f>IF(LEFT(Technologies!B$599,1)="*","*R2","R2")</f>
        <v>*R2</v>
      </c>
      <c r="C52" s="158" t="e">
        <f>Technologies!C$599</f>
        <v>#REF!</v>
      </c>
      <c r="D52" s="158" t="e">
        <f>Technologies!D$599</f>
        <v>#REF!</v>
      </c>
      <c r="E52" s="197" t="str">
        <f>Commodities!C$137</f>
        <v>LPGR1</v>
      </c>
      <c r="F52" s="197" t="e">
        <f>Commodities!C$236</f>
        <v>#REF!</v>
      </c>
      <c r="G52" s="204">
        <v>1</v>
      </c>
      <c r="H52" s="203" t="e">
        <f t="shared" si="10"/>
        <v>#REF!</v>
      </c>
      <c r="I52" s="203" t="e">
        <f t="shared" si="10"/>
        <v>#REF!</v>
      </c>
      <c r="J52" s="203" t="e">
        <f t="shared" si="10"/>
        <v>#REF!</v>
      </c>
      <c r="K52" s="203" t="e">
        <f t="shared" si="10"/>
        <v>#REF!</v>
      </c>
      <c r="L52" s="203" t="e">
        <f t="shared" si="10"/>
        <v>#REF!</v>
      </c>
      <c r="M52" s="203" t="e">
        <f t="shared" si="10"/>
        <v>#REF!</v>
      </c>
      <c r="N52" s="203" t="e">
        <f t="shared" si="10"/>
        <v>#REF!</v>
      </c>
      <c r="O52" s="203" t="e">
        <f t="shared" si="10"/>
        <v>#REF!</v>
      </c>
      <c r="P52" s="203" t="e">
        <f t="shared" si="10"/>
        <v>#REF!</v>
      </c>
      <c r="Q52" s="203" t="e">
        <f t="shared" si="10"/>
        <v>#REF!</v>
      </c>
      <c r="S52" s="177"/>
      <c r="T52" s="177"/>
      <c r="U52" s="177"/>
      <c r="V52" s="177"/>
      <c r="W52" s="177"/>
      <c r="X52" s="177"/>
      <c r="Y52" s="177"/>
      <c r="Z52" s="177"/>
      <c r="AA52" s="177"/>
      <c r="AB52" s="177"/>
      <c r="AC52" s="177"/>
    </row>
    <row r="53" spans="2:29">
      <c r="B53" s="158" t="str">
        <f>IF(LEFT(Technologies!B$600,1)="*","*R2","R2")</f>
        <v>*R2</v>
      </c>
      <c r="C53" s="158" t="e">
        <f>Technologies!C$600</f>
        <v>#REF!</v>
      </c>
      <c r="D53" s="158" t="e">
        <f>Technologies!D$600</f>
        <v>#REF!</v>
      </c>
      <c r="E53" s="197" t="str">
        <f>Commodities!C$137</f>
        <v>LPGR1</v>
      </c>
      <c r="F53" s="197" t="e">
        <f>Commodities!C$237</f>
        <v>#REF!</v>
      </c>
      <c r="G53" s="204">
        <v>1</v>
      </c>
      <c r="H53" s="203" t="e">
        <f t="shared" si="10"/>
        <v>#REF!</v>
      </c>
      <c r="I53" s="203" t="e">
        <f t="shared" si="10"/>
        <v>#REF!</v>
      </c>
      <c r="J53" s="203" t="e">
        <f t="shared" si="10"/>
        <v>#REF!</v>
      </c>
      <c r="K53" s="203" t="e">
        <f t="shared" si="10"/>
        <v>#REF!</v>
      </c>
      <c r="L53" s="203" t="e">
        <f t="shared" si="10"/>
        <v>#REF!</v>
      </c>
      <c r="M53" s="203" t="e">
        <f t="shared" si="10"/>
        <v>#REF!</v>
      </c>
      <c r="N53" s="203" t="e">
        <f t="shared" si="10"/>
        <v>#REF!</v>
      </c>
      <c r="O53" s="203" t="e">
        <f t="shared" si="10"/>
        <v>#REF!</v>
      </c>
      <c r="P53" s="203" t="e">
        <f t="shared" si="10"/>
        <v>#REF!</v>
      </c>
      <c r="Q53" s="203" t="e">
        <f t="shared" si="10"/>
        <v>#REF!</v>
      </c>
      <c r="S53" s="177"/>
      <c r="T53" s="177"/>
      <c r="U53" s="177"/>
      <c r="V53" s="177"/>
      <c r="W53" s="177"/>
      <c r="X53" s="177"/>
      <c r="Y53" s="177"/>
      <c r="Z53" s="177"/>
      <c r="AA53" s="177"/>
      <c r="AB53" s="177"/>
      <c r="AC53" s="177"/>
    </row>
    <row r="54" spans="2:29">
      <c r="B54" s="158" t="str">
        <f>IF(LEFT(Technologies!B$601,1)="*","*R2","R2")</f>
        <v>*R2</v>
      </c>
      <c r="C54" s="158" t="e">
        <f>Technologies!C$601</f>
        <v>#REF!</v>
      </c>
      <c r="D54" s="158" t="e">
        <f>Technologies!D$601</f>
        <v>#REF!</v>
      </c>
      <c r="E54" s="197" t="str">
        <f>Commodities!C$138</f>
        <v>MTHR1</v>
      </c>
      <c r="F54" s="197" t="e">
        <f>Commodities!C$238</f>
        <v>#REF!</v>
      </c>
      <c r="G54" s="204">
        <v>1</v>
      </c>
      <c r="H54" s="203" t="e">
        <f t="shared" si="10"/>
        <v>#REF!</v>
      </c>
      <c r="I54" s="203" t="e">
        <f t="shared" si="10"/>
        <v>#REF!</v>
      </c>
      <c r="J54" s="203" t="e">
        <f t="shared" si="10"/>
        <v>#REF!</v>
      </c>
      <c r="K54" s="203" t="e">
        <f t="shared" si="10"/>
        <v>#REF!</v>
      </c>
      <c r="L54" s="203" t="e">
        <f t="shared" si="10"/>
        <v>#REF!</v>
      </c>
      <c r="M54" s="203" t="e">
        <f t="shared" si="10"/>
        <v>#REF!</v>
      </c>
      <c r="N54" s="203" t="e">
        <f t="shared" si="10"/>
        <v>#REF!</v>
      </c>
      <c r="O54" s="203" t="e">
        <f t="shared" si="10"/>
        <v>#REF!</v>
      </c>
      <c r="P54" s="203" t="e">
        <f t="shared" si="10"/>
        <v>#REF!</v>
      </c>
      <c r="Q54" s="203" t="e">
        <f t="shared" si="10"/>
        <v>#REF!</v>
      </c>
      <c r="S54" s="177"/>
      <c r="T54" s="177"/>
      <c r="U54" s="177"/>
      <c r="V54" s="177"/>
      <c r="W54" s="177"/>
      <c r="X54" s="177"/>
      <c r="Y54" s="177"/>
      <c r="Z54" s="177"/>
      <c r="AA54" s="177"/>
      <c r="AB54" s="177"/>
      <c r="AC54" s="177"/>
    </row>
    <row r="55" spans="2:29">
      <c r="B55" s="158" t="str">
        <f>IF(LEFT(Technologies!B$602,1)="*","*R2","R2")</f>
        <v>*R2</v>
      </c>
      <c r="C55" s="158" t="e">
        <f>Technologies!C$602</f>
        <v>#REF!</v>
      </c>
      <c r="D55" s="158" t="e">
        <f>Technologies!D$602</f>
        <v>#REF!</v>
      </c>
      <c r="E55" s="197" t="str">
        <f>Commodities!C$139</f>
        <v>PFSR1</v>
      </c>
      <c r="F55" s="197" t="e">
        <f>Commodities!C$239</f>
        <v>#REF!</v>
      </c>
      <c r="G55" s="204">
        <v>1</v>
      </c>
      <c r="H55" s="203" t="e">
        <f t="shared" ref="H55:Q62" si="11">H185</f>
        <v>#REF!</v>
      </c>
      <c r="I55" s="203" t="e">
        <f t="shared" si="11"/>
        <v>#REF!</v>
      </c>
      <c r="J55" s="203" t="e">
        <f t="shared" si="11"/>
        <v>#REF!</v>
      </c>
      <c r="K55" s="203" t="e">
        <f t="shared" si="11"/>
        <v>#REF!</v>
      </c>
      <c r="L55" s="203" t="e">
        <f t="shared" si="11"/>
        <v>#REF!</v>
      </c>
      <c r="M55" s="203" t="e">
        <f t="shared" si="11"/>
        <v>#REF!</v>
      </c>
      <c r="N55" s="203" t="e">
        <f t="shared" si="11"/>
        <v>#REF!</v>
      </c>
      <c r="O55" s="203" t="e">
        <f t="shared" si="11"/>
        <v>#REF!</v>
      </c>
      <c r="P55" s="203" t="e">
        <f t="shared" si="11"/>
        <v>#REF!</v>
      </c>
      <c r="Q55" s="203" t="e">
        <f t="shared" si="11"/>
        <v>#REF!</v>
      </c>
      <c r="S55" s="177"/>
      <c r="T55" s="177"/>
      <c r="U55" s="177"/>
      <c r="V55" s="177"/>
      <c r="W55" s="177"/>
      <c r="X55" s="177"/>
      <c r="Y55" s="177"/>
      <c r="Z55" s="177"/>
      <c r="AA55" s="177"/>
      <c r="AB55" s="177"/>
      <c r="AC55" s="177"/>
    </row>
    <row r="56" spans="2:29">
      <c r="B56" s="158" t="str">
        <f>IF(LEFT(Technologies!B$603,1)="*","*R2","R2")</f>
        <v>*R2</v>
      </c>
      <c r="C56" s="158" t="e">
        <f>Technologies!C$603</f>
        <v>#REF!</v>
      </c>
      <c r="D56" s="158" t="e">
        <f>Technologies!D$603</f>
        <v>#REF!</v>
      </c>
      <c r="E56" s="197" t="str">
        <f>Commodities!C$141</f>
        <v>RFLR1</v>
      </c>
      <c r="F56" s="197" t="str">
        <f>Commodities!C$240</f>
        <v>RESRFL</v>
      </c>
      <c r="G56" s="204">
        <v>1</v>
      </c>
      <c r="H56" s="203" t="e">
        <f t="shared" si="11"/>
        <v>#REF!</v>
      </c>
      <c r="I56" s="203" t="e">
        <f t="shared" si="11"/>
        <v>#REF!</v>
      </c>
      <c r="J56" s="203" t="e">
        <f t="shared" si="11"/>
        <v>#REF!</v>
      </c>
      <c r="K56" s="203" t="e">
        <f t="shared" si="11"/>
        <v>#REF!</v>
      </c>
      <c r="L56" s="203" t="e">
        <f t="shared" si="11"/>
        <v>#REF!</v>
      </c>
      <c r="M56" s="203" t="e">
        <f t="shared" si="11"/>
        <v>#REF!</v>
      </c>
      <c r="N56" s="203" t="e">
        <f t="shared" si="11"/>
        <v>#REF!</v>
      </c>
      <c r="O56" s="203" t="e">
        <f t="shared" si="11"/>
        <v>#REF!</v>
      </c>
      <c r="P56" s="203" t="e">
        <f t="shared" si="11"/>
        <v>#REF!</v>
      </c>
      <c r="Q56" s="203" t="e">
        <f t="shared" si="11"/>
        <v>#REF!</v>
      </c>
      <c r="S56" s="177"/>
      <c r="T56" s="177"/>
      <c r="U56" s="177"/>
      <c r="V56" s="177"/>
      <c r="W56" s="177"/>
      <c r="X56" s="177"/>
      <c r="Y56" s="177"/>
      <c r="Z56" s="177"/>
      <c r="AA56" s="177"/>
      <c r="AB56" s="177"/>
      <c r="AC56" s="177"/>
    </row>
    <row r="57" spans="2:29">
      <c r="B57" s="158" t="str">
        <f>IF(LEFT(Technologies!B$604,1)="*","*R2","R2")</f>
        <v>*R2</v>
      </c>
      <c r="C57" s="158" t="e">
        <f>Technologies!C$604</f>
        <v>#REF!</v>
      </c>
      <c r="D57" s="158" t="e">
        <f>Technologies!D$604</f>
        <v>#REF!</v>
      </c>
      <c r="E57" s="197" t="str">
        <f>Commodities!C$141</f>
        <v>RFLR1</v>
      </c>
      <c r="F57" s="197" t="e">
        <f>Commodities!C$241</f>
        <v>#REF!</v>
      </c>
      <c r="G57" s="204">
        <v>1</v>
      </c>
      <c r="H57" s="203" t="e">
        <f t="shared" si="11"/>
        <v>#REF!</v>
      </c>
      <c r="I57" s="203" t="e">
        <f t="shared" si="11"/>
        <v>#REF!</v>
      </c>
      <c r="J57" s="203" t="e">
        <f t="shared" si="11"/>
        <v>#REF!</v>
      </c>
      <c r="K57" s="203" t="e">
        <f t="shared" si="11"/>
        <v>#REF!</v>
      </c>
      <c r="L57" s="203" t="e">
        <f t="shared" si="11"/>
        <v>#REF!</v>
      </c>
      <c r="M57" s="203" t="e">
        <f t="shared" si="11"/>
        <v>#REF!</v>
      </c>
      <c r="N57" s="203" t="e">
        <f t="shared" si="11"/>
        <v>#REF!</v>
      </c>
      <c r="O57" s="203" t="e">
        <f t="shared" si="11"/>
        <v>#REF!</v>
      </c>
      <c r="P57" s="203" t="e">
        <f t="shared" si="11"/>
        <v>#REF!</v>
      </c>
      <c r="Q57" s="203" t="e">
        <f t="shared" si="11"/>
        <v>#REF!</v>
      </c>
      <c r="S57" s="177"/>
      <c r="T57" s="177"/>
      <c r="U57" s="177"/>
      <c r="V57" s="177"/>
      <c r="W57" s="177"/>
      <c r="X57" s="177"/>
      <c r="Y57" s="177"/>
      <c r="Z57" s="177"/>
      <c r="AA57" s="177"/>
      <c r="AB57" s="177"/>
      <c r="AC57" s="177"/>
    </row>
    <row r="58" spans="2:29">
      <c r="B58" s="158" t="str">
        <f>IF(LEFT(Technologies!B$605,1)="*","*R2","R2")</f>
        <v>R2</v>
      </c>
      <c r="C58" s="158" t="e">
        <f>Technologies!C$605</f>
        <v>#REF!</v>
      </c>
      <c r="D58" s="158" t="e">
        <f>Technologies!D$605</f>
        <v>#REF!</v>
      </c>
      <c r="E58" s="197" t="str">
        <f>Commodities!C$141</f>
        <v>RFLR1</v>
      </c>
      <c r="F58" s="197" t="e">
        <f>Commodities!C$242</f>
        <v>#REF!</v>
      </c>
      <c r="G58" s="204">
        <v>1</v>
      </c>
      <c r="H58" s="203" t="e">
        <f t="shared" si="11"/>
        <v>#REF!</v>
      </c>
      <c r="I58" s="203" t="e">
        <f t="shared" si="11"/>
        <v>#REF!</v>
      </c>
      <c r="J58" s="203" t="e">
        <f t="shared" si="11"/>
        <v>#REF!</v>
      </c>
      <c r="K58" s="203" t="e">
        <f t="shared" si="11"/>
        <v>#REF!</v>
      </c>
      <c r="L58" s="203" t="e">
        <f t="shared" si="11"/>
        <v>#REF!</v>
      </c>
      <c r="M58" s="203" t="e">
        <f t="shared" si="11"/>
        <v>#REF!</v>
      </c>
      <c r="N58" s="203" t="e">
        <f t="shared" si="11"/>
        <v>#REF!</v>
      </c>
      <c r="O58" s="203" t="e">
        <f t="shared" si="11"/>
        <v>#REF!</v>
      </c>
      <c r="P58" s="203" t="e">
        <f t="shared" si="11"/>
        <v>#REF!</v>
      </c>
      <c r="Q58" s="203" t="e">
        <f t="shared" si="11"/>
        <v>#REF!</v>
      </c>
      <c r="S58" s="177"/>
      <c r="T58" s="177"/>
      <c r="U58" s="177"/>
      <c r="V58" s="177"/>
      <c r="W58" s="177"/>
      <c r="X58" s="177"/>
      <c r="Y58" s="177"/>
      <c r="Z58" s="177"/>
      <c r="AA58" s="177"/>
      <c r="AB58" s="177"/>
      <c r="AC58" s="177"/>
    </row>
    <row r="59" spans="2:29">
      <c r="B59" s="158" t="str">
        <f>IF(LEFT(Technologies!B$606,1)="*","*R2","R2")</f>
        <v>*R2</v>
      </c>
      <c r="C59" s="158" t="e">
        <f>Technologies!C$606</f>
        <v>#REF!</v>
      </c>
      <c r="D59" s="158" t="e">
        <f>Technologies!D$606</f>
        <v>#REF!</v>
      </c>
      <c r="E59" s="197" t="str">
        <f>Commodities!C$141</f>
        <v>RFLR1</v>
      </c>
      <c r="F59" s="197" t="e">
        <f>Commodities!C$243</f>
        <v>#REF!</v>
      </c>
      <c r="G59" s="204">
        <v>1</v>
      </c>
      <c r="H59" s="203" t="e">
        <f t="shared" si="11"/>
        <v>#REF!</v>
      </c>
      <c r="I59" s="203" t="e">
        <f t="shared" si="11"/>
        <v>#REF!</v>
      </c>
      <c r="J59" s="203" t="e">
        <f t="shared" si="11"/>
        <v>#REF!</v>
      </c>
      <c r="K59" s="203" t="e">
        <f t="shared" si="11"/>
        <v>#REF!</v>
      </c>
      <c r="L59" s="203" t="e">
        <f t="shared" si="11"/>
        <v>#REF!</v>
      </c>
      <c r="M59" s="203" t="e">
        <f t="shared" si="11"/>
        <v>#REF!</v>
      </c>
      <c r="N59" s="203" t="e">
        <f t="shared" si="11"/>
        <v>#REF!</v>
      </c>
      <c r="O59" s="203" t="e">
        <f t="shared" si="11"/>
        <v>#REF!</v>
      </c>
      <c r="P59" s="203" t="e">
        <f t="shared" si="11"/>
        <v>#REF!</v>
      </c>
      <c r="Q59" s="203" t="e">
        <f t="shared" si="11"/>
        <v>#REF!</v>
      </c>
      <c r="S59" s="177"/>
      <c r="T59" s="177"/>
      <c r="U59" s="177"/>
      <c r="V59" s="177"/>
      <c r="W59" s="177"/>
      <c r="X59" s="177"/>
      <c r="Y59" s="177"/>
      <c r="Z59" s="177"/>
      <c r="AA59" s="177"/>
      <c r="AB59" s="177"/>
      <c r="AC59" s="177"/>
    </row>
    <row r="60" spans="2:29">
      <c r="B60" s="158" t="str">
        <f>IF(LEFT(Technologies!B$607,1)="*","*R2","R2")</f>
        <v>*R2</v>
      </c>
      <c r="C60" s="158" t="e">
        <f>Technologies!C$607</f>
        <v>#REF!</v>
      </c>
      <c r="D60" s="158" t="e">
        <f>Technologies!D$607</f>
        <v>#REF!</v>
      </c>
      <c r="E60" s="197" t="str">
        <f>Commodities!C$140</f>
        <v>RFHR1</v>
      </c>
      <c r="F60" s="197" t="e">
        <f>Commodities!C$244</f>
        <v>#REF!</v>
      </c>
      <c r="G60" s="204">
        <v>1</v>
      </c>
      <c r="H60" s="203" t="e">
        <f t="shared" si="11"/>
        <v>#REF!</v>
      </c>
      <c r="I60" s="203" t="e">
        <f t="shared" si="11"/>
        <v>#REF!</v>
      </c>
      <c r="J60" s="203" t="e">
        <f t="shared" si="11"/>
        <v>#REF!</v>
      </c>
      <c r="K60" s="203" t="e">
        <f t="shared" si="11"/>
        <v>#REF!</v>
      </c>
      <c r="L60" s="203" t="e">
        <f t="shared" si="11"/>
        <v>#REF!</v>
      </c>
      <c r="M60" s="203" t="e">
        <f t="shared" si="11"/>
        <v>#REF!</v>
      </c>
      <c r="N60" s="203" t="e">
        <f t="shared" si="11"/>
        <v>#REF!</v>
      </c>
      <c r="O60" s="203" t="e">
        <f t="shared" si="11"/>
        <v>#REF!</v>
      </c>
      <c r="P60" s="203" t="e">
        <f t="shared" si="11"/>
        <v>#REF!</v>
      </c>
      <c r="Q60" s="203" t="e">
        <f t="shared" si="11"/>
        <v>#REF!</v>
      </c>
      <c r="S60" s="177"/>
      <c r="T60" s="177"/>
      <c r="U60" s="177"/>
      <c r="V60" s="177"/>
      <c r="W60" s="177"/>
      <c r="X60" s="177"/>
      <c r="Y60" s="177"/>
      <c r="Z60" s="177"/>
      <c r="AA60" s="177"/>
      <c r="AB60" s="177"/>
      <c r="AC60" s="177"/>
    </row>
    <row r="61" spans="2:29">
      <c r="B61" s="158" t="str">
        <f>IF(LEFT(Technologies!B$608,1)="*","*R2","R2")</f>
        <v>*R2</v>
      </c>
      <c r="C61" s="158" t="e">
        <f>Technologies!C$608</f>
        <v>#REF!</v>
      </c>
      <c r="D61" s="158" t="e">
        <f>Technologies!D$608</f>
        <v>#REF!</v>
      </c>
      <c r="E61" s="197" t="str">
        <f>Commodities!C$140</f>
        <v>RFHR1</v>
      </c>
      <c r="F61" s="197" t="e">
        <f>Commodities!C$245</f>
        <v>#REF!</v>
      </c>
      <c r="G61" s="204">
        <v>1</v>
      </c>
      <c r="H61" s="203" t="e">
        <f t="shared" si="11"/>
        <v>#REF!</v>
      </c>
      <c r="I61" s="203" t="e">
        <f t="shared" si="11"/>
        <v>#REF!</v>
      </c>
      <c r="J61" s="203" t="e">
        <f t="shared" si="11"/>
        <v>#REF!</v>
      </c>
      <c r="K61" s="203" t="e">
        <f t="shared" si="11"/>
        <v>#REF!</v>
      </c>
      <c r="L61" s="203" t="e">
        <f t="shared" si="11"/>
        <v>#REF!</v>
      </c>
      <c r="M61" s="203" t="e">
        <f t="shared" si="11"/>
        <v>#REF!</v>
      </c>
      <c r="N61" s="203" t="e">
        <f t="shared" si="11"/>
        <v>#REF!</v>
      </c>
      <c r="O61" s="203" t="e">
        <f t="shared" si="11"/>
        <v>#REF!</v>
      </c>
      <c r="P61" s="203" t="e">
        <f t="shared" si="11"/>
        <v>#REF!</v>
      </c>
      <c r="Q61" s="203" t="e">
        <f t="shared" si="11"/>
        <v>#REF!</v>
      </c>
      <c r="S61" s="177"/>
      <c r="T61" s="177"/>
      <c r="U61" s="177"/>
      <c r="V61" s="177"/>
      <c r="W61" s="177"/>
      <c r="X61" s="177"/>
      <c r="Y61" s="177"/>
      <c r="Z61" s="177"/>
      <c r="AA61" s="177"/>
      <c r="AB61" s="177"/>
      <c r="AC61" s="177"/>
    </row>
    <row r="62" spans="2:29">
      <c r="B62" s="158" t="str">
        <f>IF(LEFT(Technologies!B$609,1)="*","*R2","R2")</f>
        <v>*R2</v>
      </c>
      <c r="C62" s="158" t="e">
        <f>Technologies!C$609</f>
        <v>#REF!</v>
      </c>
      <c r="D62" s="158" t="e">
        <f>Technologies!D$609</f>
        <v>#REF!</v>
      </c>
      <c r="E62" s="197" t="str">
        <f>Commodities!C$142</f>
        <v>ASPR1</v>
      </c>
      <c r="F62" s="197" t="e">
        <f>Commodities!C$246</f>
        <v>#REF!</v>
      </c>
      <c r="G62" s="204">
        <v>1</v>
      </c>
      <c r="H62" s="203" t="e">
        <f t="shared" si="11"/>
        <v>#REF!</v>
      </c>
      <c r="I62" s="203" t="e">
        <f t="shared" si="11"/>
        <v>#REF!</v>
      </c>
      <c r="J62" s="203" t="e">
        <f t="shared" si="11"/>
        <v>#REF!</v>
      </c>
      <c r="K62" s="203" t="e">
        <f t="shared" si="11"/>
        <v>#REF!</v>
      </c>
      <c r="L62" s="203" t="e">
        <f t="shared" si="11"/>
        <v>#REF!</v>
      </c>
      <c r="M62" s="203" t="e">
        <f t="shared" si="11"/>
        <v>#REF!</v>
      </c>
      <c r="N62" s="203" t="e">
        <f t="shared" si="11"/>
        <v>#REF!</v>
      </c>
      <c r="O62" s="203" t="e">
        <f>O192</f>
        <v>#REF!</v>
      </c>
      <c r="P62" s="203" t="e">
        <f t="shared" si="11"/>
        <v>#REF!</v>
      </c>
      <c r="Q62" s="203" t="e">
        <f t="shared" si="11"/>
        <v>#REF!</v>
      </c>
      <c r="S62" s="177"/>
      <c r="T62" s="177"/>
      <c r="U62" s="177"/>
      <c r="V62" s="177"/>
      <c r="W62" s="177"/>
      <c r="X62" s="177"/>
      <c r="Y62" s="177"/>
      <c r="Z62" s="177"/>
      <c r="AA62" s="177"/>
      <c r="AB62" s="177"/>
      <c r="AC62" s="177"/>
    </row>
    <row r="63" spans="2:29">
      <c r="B63" s="158" t="s">
        <v>398</v>
      </c>
      <c r="C63" s="158"/>
      <c r="D63" s="158"/>
      <c r="E63" s="197"/>
      <c r="F63" s="197"/>
      <c r="G63" s="204"/>
      <c r="H63" s="203"/>
      <c r="I63" s="203"/>
      <c r="J63" s="203"/>
      <c r="K63" s="203"/>
      <c r="L63" s="203"/>
      <c r="M63" s="203"/>
      <c r="N63" s="203"/>
      <c r="O63" s="203"/>
      <c r="P63" s="203"/>
      <c r="Q63" s="203"/>
      <c r="S63" s="177"/>
      <c r="T63" s="177"/>
      <c r="U63" s="177"/>
      <c r="V63" s="177"/>
      <c r="W63" s="177"/>
      <c r="X63" s="177"/>
      <c r="Y63" s="177"/>
      <c r="Z63" s="177"/>
      <c r="AA63" s="177"/>
      <c r="AB63" s="177"/>
      <c r="AC63" s="177"/>
    </row>
    <row r="64" spans="2:29">
      <c r="B64" s="158" t="str">
        <f>IF(LEFT(Technologies!B$585,1)="*","*R3","R3")</f>
        <v>R3</v>
      </c>
      <c r="C64" s="158" t="e">
        <f>Technologies!C$585</f>
        <v>#REF!</v>
      </c>
      <c r="D64" s="158" t="e">
        <f>Technologies!D$585</f>
        <v>#REF!</v>
      </c>
      <c r="E64" s="197" t="str">
        <f>Commodities!C$130</f>
        <v>GSCR1</v>
      </c>
      <c r="F64" s="197" t="e">
        <f>Commodities!C$222</f>
        <v>#REF!</v>
      </c>
      <c r="G64" s="204">
        <v>1</v>
      </c>
      <c r="H64" s="203" t="e">
        <f t="shared" ref="H64:Q64" si="12">H38</f>
        <v>#REF!</v>
      </c>
      <c r="I64" s="203" t="e">
        <f t="shared" si="12"/>
        <v>#REF!</v>
      </c>
      <c r="J64" s="203" t="e">
        <f t="shared" si="12"/>
        <v>#REF!</v>
      </c>
      <c r="K64" s="203" t="e">
        <f t="shared" si="12"/>
        <v>#REF!</v>
      </c>
      <c r="L64" s="203" t="e">
        <f t="shared" si="12"/>
        <v>#REF!</v>
      </c>
      <c r="M64" s="203" t="e">
        <f t="shared" si="12"/>
        <v>#REF!</v>
      </c>
      <c r="N64" s="203" t="e">
        <f t="shared" si="12"/>
        <v>#REF!</v>
      </c>
      <c r="O64" s="203" t="e">
        <f t="shared" si="12"/>
        <v>#REF!</v>
      </c>
      <c r="P64" s="203" t="e">
        <f t="shared" si="12"/>
        <v>#REF!</v>
      </c>
      <c r="Q64" s="203" t="e">
        <f t="shared" si="12"/>
        <v>#REF!</v>
      </c>
      <c r="S64" s="177"/>
      <c r="T64" s="177"/>
      <c r="U64" s="177"/>
      <c r="V64" s="177"/>
      <c r="W64" s="177"/>
      <c r="X64" s="177"/>
      <c r="Y64" s="177"/>
      <c r="Z64" s="177"/>
      <c r="AA64" s="177"/>
      <c r="AB64" s="177"/>
      <c r="AC64" s="177"/>
    </row>
    <row r="65" spans="2:29">
      <c r="B65" s="158" t="str">
        <f>IF(LEFT(Technologies!B$586,1)="*","*R3","R3")</f>
        <v>R3</v>
      </c>
      <c r="C65" s="158" t="e">
        <f>Technologies!C$586</f>
        <v>#REF!</v>
      </c>
      <c r="D65" s="158" t="e">
        <f>Technologies!D$586</f>
        <v>#REF!</v>
      </c>
      <c r="E65" s="197" t="str">
        <f>Commodities!C$131</f>
        <v>GSRR1</v>
      </c>
      <c r="F65" s="197" t="e">
        <f>Commodities!C$223</f>
        <v>#REF!</v>
      </c>
      <c r="G65" s="204">
        <v>1</v>
      </c>
      <c r="H65" s="203" t="e">
        <f t="shared" ref="H65:Q80" si="13">H39</f>
        <v>#REF!</v>
      </c>
      <c r="I65" s="203" t="e">
        <f t="shared" si="13"/>
        <v>#REF!</v>
      </c>
      <c r="J65" s="203" t="e">
        <f t="shared" si="13"/>
        <v>#REF!</v>
      </c>
      <c r="K65" s="203" t="e">
        <f t="shared" si="13"/>
        <v>#REF!</v>
      </c>
      <c r="L65" s="203" t="e">
        <f t="shared" si="13"/>
        <v>#REF!</v>
      </c>
      <c r="M65" s="203" t="e">
        <f t="shared" si="13"/>
        <v>#REF!</v>
      </c>
      <c r="N65" s="203" t="e">
        <f t="shared" si="13"/>
        <v>#REF!</v>
      </c>
      <c r="O65" s="203" t="e">
        <f t="shared" si="13"/>
        <v>#REF!</v>
      </c>
      <c r="P65" s="203" t="e">
        <f t="shared" si="13"/>
        <v>#REF!</v>
      </c>
      <c r="Q65" s="203" t="e">
        <f t="shared" si="13"/>
        <v>#REF!</v>
      </c>
      <c r="S65" s="177"/>
      <c r="T65" s="177"/>
      <c r="U65" s="177"/>
      <c r="V65" s="177"/>
      <c r="W65" s="177"/>
      <c r="X65" s="177"/>
      <c r="Y65" s="177"/>
      <c r="Z65" s="177"/>
      <c r="AA65" s="177"/>
      <c r="AB65" s="177"/>
      <c r="AC65" s="177"/>
    </row>
    <row r="66" spans="2:29">
      <c r="B66" s="158" t="str">
        <f>IF(LEFT(Technologies!B$587,1)="*","*R3","R3")</f>
        <v>R3</v>
      </c>
      <c r="C66" s="158" t="e">
        <f>Technologies!C$587</f>
        <v>#REF!</v>
      </c>
      <c r="D66" s="158" t="e">
        <f>Technologies!D$587</f>
        <v>#REF!</v>
      </c>
      <c r="E66" s="197" t="str">
        <f>Commodities!C$132</f>
        <v>DSHR1</v>
      </c>
      <c r="F66" s="197" t="e">
        <f>Commodities!C$224</f>
        <v>#REF!</v>
      </c>
      <c r="G66" s="204">
        <v>1</v>
      </c>
      <c r="H66" s="203" t="e">
        <f t="shared" si="13"/>
        <v>#REF!</v>
      </c>
      <c r="I66" s="203" t="e">
        <f t="shared" si="13"/>
        <v>#REF!</v>
      </c>
      <c r="J66" s="203" t="e">
        <f t="shared" si="13"/>
        <v>#REF!</v>
      </c>
      <c r="K66" s="203" t="e">
        <f t="shared" si="13"/>
        <v>#REF!</v>
      </c>
      <c r="L66" s="203" t="e">
        <f t="shared" si="13"/>
        <v>#REF!</v>
      </c>
      <c r="M66" s="203" t="e">
        <f t="shared" si="13"/>
        <v>#REF!</v>
      </c>
      <c r="N66" s="203" t="e">
        <f t="shared" si="13"/>
        <v>#REF!</v>
      </c>
      <c r="O66" s="203" t="e">
        <f t="shared" si="13"/>
        <v>#REF!</v>
      </c>
      <c r="P66" s="203" t="e">
        <f t="shared" si="13"/>
        <v>#REF!</v>
      </c>
      <c r="Q66" s="203" t="e">
        <f t="shared" si="13"/>
        <v>#REF!</v>
      </c>
      <c r="S66" s="177"/>
      <c r="T66" s="177"/>
      <c r="U66" s="177"/>
      <c r="V66" s="177"/>
      <c r="W66" s="177"/>
      <c r="X66" s="177"/>
      <c r="Y66" s="177"/>
      <c r="Z66" s="177"/>
      <c r="AA66" s="177"/>
      <c r="AB66" s="177"/>
      <c r="AC66" s="177"/>
    </row>
    <row r="67" spans="2:29">
      <c r="B67" s="158" t="str">
        <f>IF(LEFT(Technologies!B$588,1)="*","*R3","R3")</f>
        <v>R3</v>
      </c>
      <c r="C67" s="158" t="e">
        <f>Technologies!C$588</f>
        <v>#REF!</v>
      </c>
      <c r="D67" s="158" t="e">
        <f>Technologies!D$588</f>
        <v>#REF!</v>
      </c>
      <c r="E67" s="197" t="str">
        <f>Commodities!C$132</f>
        <v>DSHR1</v>
      </c>
      <c r="F67" s="197" t="e">
        <f>Commodities!C$225</f>
        <v>#REF!</v>
      </c>
      <c r="G67" s="204">
        <v>1</v>
      </c>
      <c r="H67" s="203" t="e">
        <f t="shared" si="13"/>
        <v>#REF!</v>
      </c>
      <c r="I67" s="203" t="e">
        <f t="shared" si="13"/>
        <v>#REF!</v>
      </c>
      <c r="J67" s="203" t="e">
        <f t="shared" si="13"/>
        <v>#REF!</v>
      </c>
      <c r="K67" s="203" t="e">
        <f t="shared" si="13"/>
        <v>#REF!</v>
      </c>
      <c r="L67" s="203" t="e">
        <f t="shared" si="13"/>
        <v>#REF!</v>
      </c>
      <c r="M67" s="203" t="e">
        <f t="shared" si="13"/>
        <v>#REF!</v>
      </c>
      <c r="N67" s="203" t="e">
        <f t="shared" si="13"/>
        <v>#REF!</v>
      </c>
      <c r="O67" s="203" t="e">
        <f t="shared" si="13"/>
        <v>#REF!</v>
      </c>
      <c r="P67" s="203" t="e">
        <f t="shared" si="13"/>
        <v>#REF!</v>
      </c>
      <c r="Q67" s="203" t="e">
        <f t="shared" si="13"/>
        <v>#REF!</v>
      </c>
      <c r="S67" s="177"/>
      <c r="T67" s="177"/>
      <c r="U67" s="177"/>
      <c r="V67" s="177"/>
      <c r="W67" s="177"/>
      <c r="X67" s="177"/>
      <c r="Y67" s="177"/>
      <c r="Z67" s="177"/>
      <c r="AA67" s="177"/>
      <c r="AB67" s="177"/>
      <c r="AC67" s="177"/>
    </row>
    <row r="68" spans="2:29">
      <c r="B68" s="158" t="str">
        <f>IF(LEFT(Technologies!B$589,1)="*","*R3","R3")</f>
        <v>*R3</v>
      </c>
      <c r="C68" s="158" t="e">
        <f>Technologies!C$589</f>
        <v>#REF!</v>
      </c>
      <c r="D68" s="158" t="e">
        <f>Technologies!D$589</f>
        <v>#REF!</v>
      </c>
      <c r="E68" s="197" t="str">
        <f>Commodities!C$132</f>
        <v>DSHR1</v>
      </c>
      <c r="F68" s="197" t="e">
        <f>Commodities!C$226</f>
        <v>#REF!</v>
      </c>
      <c r="G68" s="204">
        <v>1</v>
      </c>
      <c r="H68" s="203" t="e">
        <f t="shared" si="13"/>
        <v>#REF!</v>
      </c>
      <c r="I68" s="203" t="e">
        <f t="shared" si="13"/>
        <v>#REF!</v>
      </c>
      <c r="J68" s="203" t="e">
        <f t="shared" si="13"/>
        <v>#REF!</v>
      </c>
      <c r="K68" s="203" t="e">
        <f t="shared" si="13"/>
        <v>#REF!</v>
      </c>
      <c r="L68" s="203" t="e">
        <f t="shared" si="13"/>
        <v>#REF!</v>
      </c>
      <c r="M68" s="203" t="e">
        <f t="shared" si="13"/>
        <v>#REF!</v>
      </c>
      <c r="N68" s="203" t="e">
        <f t="shared" si="13"/>
        <v>#REF!</v>
      </c>
      <c r="O68" s="203" t="e">
        <f t="shared" si="13"/>
        <v>#REF!</v>
      </c>
      <c r="P68" s="203" t="e">
        <f t="shared" si="13"/>
        <v>#REF!</v>
      </c>
      <c r="Q68" s="203" t="e">
        <f t="shared" si="13"/>
        <v>#REF!</v>
      </c>
      <c r="S68" s="177"/>
      <c r="T68" s="177"/>
      <c r="U68" s="177"/>
      <c r="V68" s="177"/>
      <c r="W68" s="177"/>
      <c r="X68" s="177"/>
      <c r="Y68" s="177"/>
      <c r="Z68" s="177"/>
      <c r="AA68" s="177"/>
      <c r="AB68" s="177"/>
      <c r="AC68" s="177"/>
    </row>
    <row r="69" spans="2:29">
      <c r="B69" s="158" t="str">
        <f>IF(LEFT(Technologies!B$590,1)="*","*R3","R3")</f>
        <v>R3</v>
      </c>
      <c r="C69" s="158" t="e">
        <f>Technologies!C$590</f>
        <v>#REF!</v>
      </c>
      <c r="D69" s="158" t="e">
        <f>Technologies!D$590</f>
        <v>#REF!</v>
      </c>
      <c r="E69" s="197" t="str">
        <f>Commodities!C$132</f>
        <v>DSHR1</v>
      </c>
      <c r="F69" s="197" t="e">
        <f>Commodities!C$227</f>
        <v>#REF!</v>
      </c>
      <c r="G69" s="204">
        <v>1</v>
      </c>
      <c r="H69" s="203" t="e">
        <f t="shared" si="13"/>
        <v>#REF!</v>
      </c>
      <c r="I69" s="203" t="e">
        <f t="shared" si="13"/>
        <v>#REF!</v>
      </c>
      <c r="J69" s="203" t="e">
        <f t="shared" si="13"/>
        <v>#REF!</v>
      </c>
      <c r="K69" s="203" t="e">
        <f t="shared" si="13"/>
        <v>#REF!</v>
      </c>
      <c r="L69" s="203" t="e">
        <f t="shared" si="13"/>
        <v>#REF!</v>
      </c>
      <c r="M69" s="203" t="e">
        <f t="shared" si="13"/>
        <v>#REF!</v>
      </c>
      <c r="N69" s="203" t="e">
        <f t="shared" si="13"/>
        <v>#REF!</v>
      </c>
      <c r="O69" s="203" t="e">
        <f t="shared" si="13"/>
        <v>#REF!</v>
      </c>
      <c r="P69" s="203" t="e">
        <f t="shared" si="13"/>
        <v>#REF!</v>
      </c>
      <c r="Q69" s="203" t="e">
        <f t="shared" si="13"/>
        <v>#REF!</v>
      </c>
      <c r="S69" s="177"/>
      <c r="T69" s="177"/>
      <c r="U69" s="177"/>
      <c r="V69" s="177"/>
      <c r="W69" s="177"/>
      <c r="X69" s="177"/>
      <c r="Y69" s="177"/>
      <c r="Z69" s="177"/>
      <c r="AA69" s="177"/>
      <c r="AB69" s="177"/>
      <c r="AC69" s="177"/>
    </row>
    <row r="70" spans="2:29">
      <c r="B70" s="158" t="str">
        <f>IF(LEFT(Technologies!B$591,1)="*","*R3","R3")</f>
        <v>R3</v>
      </c>
      <c r="C70" s="158" t="e">
        <f>Technologies!C$591</f>
        <v>#REF!</v>
      </c>
      <c r="D70" s="158" t="e">
        <f>Technologies!D$591</f>
        <v>#REF!</v>
      </c>
      <c r="E70" s="197" t="str">
        <f>Commodities!C$133</f>
        <v>DSLR1</v>
      </c>
      <c r="F70" s="197" t="e">
        <f>Commodities!C$228</f>
        <v>#REF!</v>
      </c>
      <c r="G70" s="204">
        <v>1</v>
      </c>
      <c r="H70" s="203" t="e">
        <f t="shared" si="13"/>
        <v>#REF!</v>
      </c>
      <c r="I70" s="203" t="e">
        <f t="shared" si="13"/>
        <v>#REF!</v>
      </c>
      <c r="J70" s="203" t="e">
        <f t="shared" si="13"/>
        <v>#REF!</v>
      </c>
      <c r="K70" s="203" t="e">
        <f t="shared" si="13"/>
        <v>#REF!</v>
      </c>
      <c r="L70" s="203" t="e">
        <f t="shared" si="13"/>
        <v>#REF!</v>
      </c>
      <c r="M70" s="203" t="e">
        <f t="shared" si="13"/>
        <v>#REF!</v>
      </c>
      <c r="N70" s="203" t="e">
        <f t="shared" si="13"/>
        <v>#REF!</v>
      </c>
      <c r="O70" s="203" t="e">
        <f t="shared" si="13"/>
        <v>#REF!</v>
      </c>
      <c r="P70" s="203" t="e">
        <f t="shared" si="13"/>
        <v>#REF!</v>
      </c>
      <c r="Q70" s="203" t="e">
        <f t="shared" si="13"/>
        <v>#REF!</v>
      </c>
      <c r="S70" s="177"/>
      <c r="T70" s="177"/>
      <c r="U70" s="177"/>
      <c r="V70" s="177"/>
      <c r="W70" s="177"/>
      <c r="X70" s="177"/>
      <c r="Y70" s="177"/>
      <c r="Z70" s="177"/>
      <c r="AA70" s="177"/>
      <c r="AB70" s="177"/>
      <c r="AC70" s="177"/>
    </row>
    <row r="71" spans="2:29">
      <c r="B71" s="158" t="str">
        <f>IF(LEFT(Technologies!B$592,1)="*","*R3","R3")</f>
        <v>R3</v>
      </c>
      <c r="C71" s="158" t="e">
        <f>Technologies!C$592</f>
        <v>#REF!</v>
      </c>
      <c r="D71" s="158" t="e">
        <f>Technologies!D$592</f>
        <v>#REF!</v>
      </c>
      <c r="E71" s="197" t="str">
        <f>Commodities!C$134</f>
        <v>DSUR1</v>
      </c>
      <c r="F71" s="197" t="e">
        <f>Commodities!C$229</f>
        <v>#REF!</v>
      </c>
      <c r="G71" s="204">
        <v>1</v>
      </c>
      <c r="H71" s="203" t="e">
        <f t="shared" si="13"/>
        <v>#REF!</v>
      </c>
      <c r="I71" s="203" t="e">
        <f t="shared" si="13"/>
        <v>#REF!</v>
      </c>
      <c r="J71" s="203" t="e">
        <f t="shared" si="13"/>
        <v>#REF!</v>
      </c>
      <c r="K71" s="203" t="e">
        <f t="shared" si="13"/>
        <v>#REF!</v>
      </c>
      <c r="L71" s="203" t="e">
        <f t="shared" si="13"/>
        <v>#REF!</v>
      </c>
      <c r="M71" s="203" t="e">
        <f t="shared" si="13"/>
        <v>#REF!</v>
      </c>
      <c r="N71" s="203" t="e">
        <f t="shared" si="13"/>
        <v>#REF!</v>
      </c>
      <c r="O71" s="203" t="e">
        <f t="shared" si="13"/>
        <v>#REF!</v>
      </c>
      <c r="P71" s="203" t="e">
        <f t="shared" si="13"/>
        <v>#REF!</v>
      </c>
      <c r="Q71" s="203" t="e">
        <f t="shared" si="13"/>
        <v>#REF!</v>
      </c>
      <c r="S71" s="177"/>
      <c r="T71" s="177"/>
      <c r="U71" s="177"/>
      <c r="V71" s="177"/>
      <c r="W71" s="177"/>
      <c r="X71" s="177"/>
      <c r="Y71" s="177"/>
      <c r="Z71" s="177"/>
      <c r="AA71" s="177"/>
      <c r="AB71" s="177"/>
      <c r="AC71" s="177"/>
    </row>
    <row r="72" spans="2:29">
      <c r="B72" s="158" t="str">
        <f>IF(LEFT(Technologies!B$593,1)="*","*R3","R3")</f>
        <v>*R3</v>
      </c>
      <c r="C72" s="158" t="e">
        <f>Technologies!C$593</f>
        <v>#REF!</v>
      </c>
      <c r="D72" s="158" t="e">
        <f>Technologies!D$593</f>
        <v>#REF!</v>
      </c>
      <c r="E72" s="197" t="str">
        <f>Commodities!C$135</f>
        <v>JTFR1</v>
      </c>
      <c r="F72" s="197" t="e">
        <f>Commodities!C$230</f>
        <v>#REF!</v>
      </c>
      <c r="G72" s="204">
        <v>1</v>
      </c>
      <c r="H72" s="203" t="e">
        <f t="shared" si="13"/>
        <v>#REF!</v>
      </c>
      <c r="I72" s="203" t="e">
        <f t="shared" si="13"/>
        <v>#REF!</v>
      </c>
      <c r="J72" s="203" t="e">
        <f t="shared" si="13"/>
        <v>#REF!</v>
      </c>
      <c r="K72" s="203" t="e">
        <f t="shared" si="13"/>
        <v>#REF!</v>
      </c>
      <c r="L72" s="203" t="e">
        <f t="shared" si="13"/>
        <v>#REF!</v>
      </c>
      <c r="M72" s="203" t="e">
        <f t="shared" si="13"/>
        <v>#REF!</v>
      </c>
      <c r="N72" s="203" t="e">
        <f t="shared" si="13"/>
        <v>#REF!</v>
      </c>
      <c r="O72" s="203" t="e">
        <f t="shared" si="13"/>
        <v>#REF!</v>
      </c>
      <c r="P72" s="203" t="e">
        <f t="shared" si="13"/>
        <v>#REF!</v>
      </c>
      <c r="Q72" s="203" t="e">
        <f t="shared" si="13"/>
        <v>#REF!</v>
      </c>
      <c r="S72" s="177"/>
      <c r="T72" s="177"/>
      <c r="U72" s="177"/>
      <c r="V72" s="177"/>
      <c r="W72" s="177"/>
      <c r="X72" s="177"/>
      <c r="Y72" s="177"/>
      <c r="Z72" s="177"/>
      <c r="AA72" s="177"/>
      <c r="AB72" s="177"/>
      <c r="AC72" s="177"/>
    </row>
    <row r="73" spans="2:29">
      <c r="B73" s="158" t="str">
        <f>IF(LEFT(Technologies!B$594,1)="*","*R3","R3")</f>
        <v>*R3</v>
      </c>
      <c r="C73" s="158" t="e">
        <f>Technologies!C$594</f>
        <v>#REF!</v>
      </c>
      <c r="D73" s="158" t="e">
        <f>Technologies!D$594</f>
        <v>#REF!</v>
      </c>
      <c r="E73" s="197" t="str">
        <f>Commodities!C$136</f>
        <v>KERR1</v>
      </c>
      <c r="F73" s="197" t="e">
        <f>Commodities!C$231</f>
        <v>#REF!</v>
      </c>
      <c r="G73" s="204">
        <v>1</v>
      </c>
      <c r="H73" s="203" t="e">
        <f t="shared" si="13"/>
        <v>#REF!</v>
      </c>
      <c r="I73" s="203" t="e">
        <f t="shared" si="13"/>
        <v>#REF!</v>
      </c>
      <c r="J73" s="203" t="e">
        <f t="shared" si="13"/>
        <v>#REF!</v>
      </c>
      <c r="K73" s="203" t="e">
        <f t="shared" si="13"/>
        <v>#REF!</v>
      </c>
      <c r="L73" s="203" t="e">
        <f t="shared" si="13"/>
        <v>#REF!</v>
      </c>
      <c r="M73" s="203" t="e">
        <f t="shared" si="13"/>
        <v>#REF!</v>
      </c>
      <c r="N73" s="203" t="e">
        <f t="shared" si="13"/>
        <v>#REF!</v>
      </c>
      <c r="O73" s="203" t="e">
        <f t="shared" si="13"/>
        <v>#REF!</v>
      </c>
      <c r="P73" s="203" t="e">
        <f t="shared" si="13"/>
        <v>#REF!</v>
      </c>
      <c r="Q73" s="203" t="e">
        <f t="shared" si="13"/>
        <v>#REF!</v>
      </c>
      <c r="S73" s="177"/>
      <c r="T73" s="177"/>
      <c r="U73" s="177"/>
      <c r="V73" s="177"/>
      <c r="W73" s="177"/>
      <c r="X73" s="177"/>
      <c r="Y73" s="177"/>
      <c r="Z73" s="177"/>
      <c r="AA73" s="177"/>
      <c r="AB73" s="177"/>
      <c r="AC73" s="177"/>
    </row>
    <row r="74" spans="2:29">
      <c r="B74" s="158" t="str">
        <f>IF(LEFT(Technologies!B$595,1)="*","*R3","R3")</f>
        <v>*R3</v>
      </c>
      <c r="C74" s="158" t="e">
        <f>Technologies!C$595</f>
        <v>#REF!</v>
      </c>
      <c r="D74" s="158" t="e">
        <f>Technologies!D$595</f>
        <v>#REF!</v>
      </c>
      <c r="E74" s="197" t="str">
        <f>Commodities!C$136</f>
        <v>KERR1</v>
      </c>
      <c r="F74" s="197" t="e">
        <f>Commodities!C$232</f>
        <v>#REF!</v>
      </c>
      <c r="G74" s="204">
        <v>1</v>
      </c>
      <c r="H74" s="203" t="e">
        <f t="shared" si="13"/>
        <v>#REF!</v>
      </c>
      <c r="I74" s="203" t="e">
        <f t="shared" si="13"/>
        <v>#REF!</v>
      </c>
      <c r="J74" s="203" t="e">
        <f t="shared" si="13"/>
        <v>#REF!</v>
      </c>
      <c r="K74" s="203" t="e">
        <f t="shared" si="13"/>
        <v>#REF!</v>
      </c>
      <c r="L74" s="203" t="e">
        <f t="shared" si="13"/>
        <v>#REF!</v>
      </c>
      <c r="M74" s="203" t="e">
        <f t="shared" si="13"/>
        <v>#REF!</v>
      </c>
      <c r="N74" s="203" t="e">
        <f t="shared" si="13"/>
        <v>#REF!</v>
      </c>
      <c r="O74" s="203" t="e">
        <f t="shared" si="13"/>
        <v>#REF!</v>
      </c>
      <c r="P74" s="203" t="e">
        <f t="shared" si="13"/>
        <v>#REF!</v>
      </c>
      <c r="Q74" s="203" t="e">
        <f t="shared" si="13"/>
        <v>#REF!</v>
      </c>
      <c r="S74" s="177"/>
      <c r="T74" s="177"/>
      <c r="U74" s="177"/>
      <c r="V74" s="177"/>
      <c r="W74" s="177"/>
      <c r="X74" s="177"/>
      <c r="Y74" s="177"/>
      <c r="Z74" s="177"/>
      <c r="AA74" s="177"/>
      <c r="AB74" s="177"/>
      <c r="AC74" s="177"/>
    </row>
    <row r="75" spans="2:29">
      <c r="B75" s="158" t="str">
        <f>IF(LEFT(Technologies!B$596,1)="*","*R3","R3")</f>
        <v>*R3</v>
      </c>
      <c r="C75" s="158" t="e">
        <f>Technologies!C$596</f>
        <v>#REF!</v>
      </c>
      <c r="D75" s="158" t="e">
        <f>Technologies!D$596</f>
        <v>#REF!</v>
      </c>
      <c r="E75" s="197" t="str">
        <f>Commodities!C$136</f>
        <v>KERR1</v>
      </c>
      <c r="F75" s="197" t="e">
        <f>Commodities!C$233</f>
        <v>#REF!</v>
      </c>
      <c r="G75" s="204">
        <v>1</v>
      </c>
      <c r="H75" s="203" t="e">
        <f t="shared" si="13"/>
        <v>#REF!</v>
      </c>
      <c r="I75" s="203" t="e">
        <f t="shared" si="13"/>
        <v>#REF!</v>
      </c>
      <c r="J75" s="203" t="e">
        <f t="shared" si="13"/>
        <v>#REF!</v>
      </c>
      <c r="K75" s="203" t="e">
        <f t="shared" si="13"/>
        <v>#REF!</v>
      </c>
      <c r="L75" s="203" t="e">
        <f t="shared" si="13"/>
        <v>#REF!</v>
      </c>
      <c r="M75" s="203" t="e">
        <f t="shared" si="13"/>
        <v>#REF!</v>
      </c>
      <c r="N75" s="203" t="e">
        <f t="shared" si="13"/>
        <v>#REF!</v>
      </c>
      <c r="O75" s="203" t="e">
        <f t="shared" si="13"/>
        <v>#REF!</v>
      </c>
      <c r="P75" s="203" t="e">
        <f t="shared" si="13"/>
        <v>#REF!</v>
      </c>
      <c r="Q75" s="203" t="e">
        <f t="shared" si="13"/>
        <v>#REF!</v>
      </c>
      <c r="S75" s="177"/>
      <c r="T75" s="177"/>
      <c r="U75" s="177"/>
      <c r="V75" s="177"/>
      <c r="W75" s="177"/>
      <c r="X75" s="177"/>
      <c r="Y75" s="177"/>
      <c r="Z75" s="177"/>
      <c r="AA75" s="177"/>
      <c r="AB75" s="177"/>
      <c r="AC75" s="177"/>
    </row>
    <row r="76" spans="2:29">
      <c r="B76" s="158" t="str">
        <f>IF(LEFT(Technologies!B$597,1)="*","*R3","R3")</f>
        <v>*R3</v>
      </c>
      <c r="C76" s="158" t="e">
        <f>Technologies!C$597</f>
        <v>#REF!</v>
      </c>
      <c r="D76" s="158" t="e">
        <f>Technologies!D$597</f>
        <v>#REF!</v>
      </c>
      <c r="E76" s="197" t="str">
        <f>Commodities!C$137</f>
        <v>LPGR1</v>
      </c>
      <c r="F76" s="197" t="e">
        <f>Commodities!C$234</f>
        <v>#REF!</v>
      </c>
      <c r="G76" s="204">
        <v>1</v>
      </c>
      <c r="H76" s="203" t="e">
        <f t="shared" si="13"/>
        <v>#REF!</v>
      </c>
      <c r="I76" s="203" t="e">
        <f t="shared" si="13"/>
        <v>#REF!</v>
      </c>
      <c r="J76" s="203" t="e">
        <f t="shared" si="13"/>
        <v>#REF!</v>
      </c>
      <c r="K76" s="203" t="e">
        <f t="shared" si="13"/>
        <v>#REF!</v>
      </c>
      <c r="L76" s="203" t="e">
        <f t="shared" si="13"/>
        <v>#REF!</v>
      </c>
      <c r="M76" s="203" t="e">
        <f t="shared" si="13"/>
        <v>#REF!</v>
      </c>
      <c r="N76" s="203" t="e">
        <f t="shared" si="13"/>
        <v>#REF!</v>
      </c>
      <c r="O76" s="203" t="e">
        <f t="shared" si="13"/>
        <v>#REF!</v>
      </c>
      <c r="P76" s="203" t="e">
        <f t="shared" si="13"/>
        <v>#REF!</v>
      </c>
      <c r="Q76" s="203" t="e">
        <f t="shared" si="13"/>
        <v>#REF!</v>
      </c>
      <c r="S76" s="177"/>
      <c r="T76" s="177"/>
      <c r="U76" s="177"/>
      <c r="V76" s="177"/>
      <c r="W76" s="177"/>
      <c r="X76" s="177"/>
      <c r="Y76" s="177"/>
      <c r="Z76" s="177"/>
      <c r="AA76" s="177"/>
      <c r="AB76" s="177"/>
      <c r="AC76" s="177"/>
    </row>
    <row r="77" spans="2:29">
      <c r="B77" s="158" t="str">
        <f>IF(LEFT(Technologies!B$598,1)="*","*R3","R3")</f>
        <v>*R3</v>
      </c>
      <c r="C77" s="158" t="e">
        <f>Technologies!C$598</f>
        <v>#REF!</v>
      </c>
      <c r="D77" s="158" t="e">
        <f>Technologies!D$598</f>
        <v>#REF!</v>
      </c>
      <c r="E77" s="197" t="str">
        <f>Commodities!C$137</f>
        <v>LPGR1</v>
      </c>
      <c r="F77" s="197" t="e">
        <f>Commodities!C$235</f>
        <v>#REF!</v>
      </c>
      <c r="G77" s="204">
        <v>1</v>
      </c>
      <c r="H77" s="203" t="e">
        <f t="shared" si="13"/>
        <v>#REF!</v>
      </c>
      <c r="I77" s="203" t="e">
        <f t="shared" si="13"/>
        <v>#REF!</v>
      </c>
      <c r="J77" s="203" t="e">
        <f t="shared" si="13"/>
        <v>#REF!</v>
      </c>
      <c r="K77" s="203" t="e">
        <f t="shared" si="13"/>
        <v>#REF!</v>
      </c>
      <c r="L77" s="203" t="e">
        <f t="shared" si="13"/>
        <v>#REF!</v>
      </c>
      <c r="M77" s="203" t="e">
        <f t="shared" si="13"/>
        <v>#REF!</v>
      </c>
      <c r="N77" s="203" t="e">
        <f t="shared" si="13"/>
        <v>#REF!</v>
      </c>
      <c r="O77" s="203" t="e">
        <f t="shared" si="13"/>
        <v>#REF!</v>
      </c>
      <c r="P77" s="203" t="e">
        <f t="shared" si="13"/>
        <v>#REF!</v>
      </c>
      <c r="Q77" s="203" t="e">
        <f t="shared" si="13"/>
        <v>#REF!</v>
      </c>
      <c r="S77" s="177"/>
      <c r="T77" s="177"/>
      <c r="U77" s="177"/>
      <c r="V77" s="177"/>
      <c r="W77" s="177"/>
      <c r="X77" s="177"/>
      <c r="Y77" s="177"/>
      <c r="Z77" s="177"/>
      <c r="AA77" s="177"/>
      <c r="AB77" s="177"/>
      <c r="AC77" s="177"/>
    </row>
    <row r="78" spans="2:29">
      <c r="B78" s="158" t="str">
        <f>IF(LEFT(Technologies!B$599,1)="*","*R3","R3")</f>
        <v>*R3</v>
      </c>
      <c r="C78" s="158" t="e">
        <f>Technologies!C$599</f>
        <v>#REF!</v>
      </c>
      <c r="D78" s="158" t="e">
        <f>Technologies!D$599</f>
        <v>#REF!</v>
      </c>
      <c r="E78" s="197" t="str">
        <f>Commodities!C$137</f>
        <v>LPGR1</v>
      </c>
      <c r="F78" s="197" t="e">
        <f>Commodities!C$236</f>
        <v>#REF!</v>
      </c>
      <c r="G78" s="204">
        <v>1</v>
      </c>
      <c r="H78" s="203" t="e">
        <f t="shared" si="13"/>
        <v>#REF!</v>
      </c>
      <c r="I78" s="203" t="e">
        <f t="shared" si="13"/>
        <v>#REF!</v>
      </c>
      <c r="J78" s="203" t="e">
        <f t="shared" si="13"/>
        <v>#REF!</v>
      </c>
      <c r="K78" s="203" t="e">
        <f t="shared" si="13"/>
        <v>#REF!</v>
      </c>
      <c r="L78" s="203" t="e">
        <f t="shared" si="13"/>
        <v>#REF!</v>
      </c>
      <c r="M78" s="203" t="e">
        <f t="shared" si="13"/>
        <v>#REF!</v>
      </c>
      <c r="N78" s="203" t="e">
        <f t="shared" si="13"/>
        <v>#REF!</v>
      </c>
      <c r="O78" s="203" t="e">
        <f t="shared" si="13"/>
        <v>#REF!</v>
      </c>
      <c r="P78" s="203" t="e">
        <f t="shared" si="13"/>
        <v>#REF!</v>
      </c>
      <c r="Q78" s="203" t="e">
        <f t="shared" si="13"/>
        <v>#REF!</v>
      </c>
      <c r="S78" s="177"/>
      <c r="T78" s="177"/>
      <c r="U78" s="177"/>
      <c r="V78" s="177"/>
      <c r="W78" s="177"/>
      <c r="X78" s="177"/>
      <c r="Y78" s="177"/>
      <c r="Z78" s="177"/>
      <c r="AA78" s="177"/>
      <c r="AB78" s="177"/>
      <c r="AC78" s="177"/>
    </row>
    <row r="79" spans="2:29">
      <c r="B79" s="158" t="str">
        <f>IF(LEFT(Technologies!B$600,1)="*","*R3","R3")</f>
        <v>*R3</v>
      </c>
      <c r="C79" s="158" t="e">
        <f>Technologies!C$600</f>
        <v>#REF!</v>
      </c>
      <c r="D79" s="158" t="e">
        <f>Technologies!D$600</f>
        <v>#REF!</v>
      </c>
      <c r="E79" s="197" t="str">
        <f>Commodities!C$137</f>
        <v>LPGR1</v>
      </c>
      <c r="F79" s="197" t="e">
        <f>Commodities!C$237</f>
        <v>#REF!</v>
      </c>
      <c r="G79" s="204">
        <v>1</v>
      </c>
      <c r="H79" s="203" t="e">
        <f t="shared" si="13"/>
        <v>#REF!</v>
      </c>
      <c r="I79" s="203" t="e">
        <f t="shared" si="13"/>
        <v>#REF!</v>
      </c>
      <c r="J79" s="203" t="e">
        <f t="shared" si="13"/>
        <v>#REF!</v>
      </c>
      <c r="K79" s="203" t="e">
        <f t="shared" si="13"/>
        <v>#REF!</v>
      </c>
      <c r="L79" s="203" t="e">
        <f t="shared" si="13"/>
        <v>#REF!</v>
      </c>
      <c r="M79" s="203" t="e">
        <f t="shared" si="13"/>
        <v>#REF!</v>
      </c>
      <c r="N79" s="203" t="e">
        <f t="shared" si="13"/>
        <v>#REF!</v>
      </c>
      <c r="O79" s="203" t="e">
        <f t="shared" si="13"/>
        <v>#REF!</v>
      </c>
      <c r="P79" s="203" t="e">
        <f t="shared" si="13"/>
        <v>#REF!</v>
      </c>
      <c r="Q79" s="203" t="e">
        <f t="shared" si="13"/>
        <v>#REF!</v>
      </c>
      <c r="S79" s="177"/>
      <c r="T79" s="177"/>
      <c r="U79" s="177"/>
      <c r="V79" s="177"/>
      <c r="W79" s="177"/>
      <c r="X79" s="177"/>
      <c r="Y79" s="177"/>
      <c r="Z79" s="177"/>
      <c r="AA79" s="177"/>
      <c r="AB79" s="177"/>
      <c r="AC79" s="177"/>
    </row>
    <row r="80" spans="2:29">
      <c r="B80" s="158" t="str">
        <f>IF(LEFT(Technologies!B$601,1)="*","*R3","R3")</f>
        <v>*R3</v>
      </c>
      <c r="C80" s="158" t="e">
        <f>Technologies!C$601</f>
        <v>#REF!</v>
      </c>
      <c r="D80" s="158" t="e">
        <f>Technologies!D$601</f>
        <v>#REF!</v>
      </c>
      <c r="E80" s="197" t="str">
        <f>Commodities!C$138</f>
        <v>MTHR1</v>
      </c>
      <c r="F80" s="197" t="e">
        <f>Commodities!C$238</f>
        <v>#REF!</v>
      </c>
      <c r="G80" s="204">
        <v>1</v>
      </c>
      <c r="H80" s="203" t="e">
        <f t="shared" si="13"/>
        <v>#REF!</v>
      </c>
      <c r="I80" s="203" t="e">
        <f t="shared" si="13"/>
        <v>#REF!</v>
      </c>
      <c r="J80" s="203" t="e">
        <f t="shared" si="13"/>
        <v>#REF!</v>
      </c>
      <c r="K80" s="203" t="e">
        <f t="shared" si="13"/>
        <v>#REF!</v>
      </c>
      <c r="L80" s="203" t="e">
        <f t="shared" si="13"/>
        <v>#REF!</v>
      </c>
      <c r="M80" s="203" t="e">
        <f t="shared" si="13"/>
        <v>#REF!</v>
      </c>
      <c r="N80" s="203" t="e">
        <f t="shared" si="13"/>
        <v>#REF!</v>
      </c>
      <c r="O80" s="203" t="e">
        <f t="shared" si="13"/>
        <v>#REF!</v>
      </c>
      <c r="P80" s="203" t="e">
        <f t="shared" si="13"/>
        <v>#REF!</v>
      </c>
      <c r="Q80" s="203" t="e">
        <f t="shared" si="13"/>
        <v>#REF!</v>
      </c>
      <c r="S80" s="177"/>
      <c r="T80" s="177"/>
      <c r="U80" s="177"/>
      <c r="V80" s="177"/>
      <c r="W80" s="177"/>
      <c r="X80" s="177"/>
      <c r="Y80" s="177"/>
      <c r="Z80" s="177"/>
      <c r="AA80" s="177"/>
      <c r="AB80" s="177"/>
      <c r="AC80" s="177"/>
    </row>
    <row r="81" spans="2:29">
      <c r="B81" s="158" t="str">
        <f>IF(LEFT(Technologies!B$602,1)="*","*R3","R3")</f>
        <v>*R3</v>
      </c>
      <c r="C81" s="158" t="e">
        <f>Technologies!C$602</f>
        <v>#REF!</v>
      </c>
      <c r="D81" s="158" t="e">
        <f>Technologies!D$602</f>
        <v>#REF!</v>
      </c>
      <c r="E81" s="197" t="str">
        <f>Commodities!C$139</f>
        <v>PFSR1</v>
      </c>
      <c r="F81" s="197" t="e">
        <f>Commodities!C$239</f>
        <v>#REF!</v>
      </c>
      <c r="G81" s="204">
        <v>1</v>
      </c>
      <c r="H81" s="203" t="e">
        <f t="shared" ref="H81:Q88" si="14">H55</f>
        <v>#REF!</v>
      </c>
      <c r="I81" s="203" t="e">
        <f t="shared" si="14"/>
        <v>#REF!</v>
      </c>
      <c r="J81" s="203" t="e">
        <f t="shared" si="14"/>
        <v>#REF!</v>
      </c>
      <c r="K81" s="203" t="e">
        <f t="shared" si="14"/>
        <v>#REF!</v>
      </c>
      <c r="L81" s="203" t="e">
        <f t="shared" si="14"/>
        <v>#REF!</v>
      </c>
      <c r="M81" s="203" t="e">
        <f t="shared" si="14"/>
        <v>#REF!</v>
      </c>
      <c r="N81" s="203" t="e">
        <f t="shared" si="14"/>
        <v>#REF!</v>
      </c>
      <c r="O81" s="203" t="e">
        <f t="shared" si="14"/>
        <v>#REF!</v>
      </c>
      <c r="P81" s="203" t="e">
        <f t="shared" si="14"/>
        <v>#REF!</v>
      </c>
      <c r="Q81" s="203" t="e">
        <f t="shared" si="14"/>
        <v>#REF!</v>
      </c>
      <c r="S81" s="177"/>
      <c r="T81" s="177"/>
      <c r="U81" s="177"/>
      <c r="V81" s="177"/>
      <c r="W81" s="177"/>
      <c r="X81" s="177"/>
      <c r="Y81" s="177"/>
      <c r="Z81" s="177"/>
      <c r="AA81" s="177"/>
      <c r="AB81" s="177"/>
      <c r="AC81" s="177"/>
    </row>
    <row r="82" spans="2:29">
      <c r="B82" s="158" t="str">
        <f>IF(LEFT(Technologies!B$603,1)="*","*R3","R3")</f>
        <v>*R3</v>
      </c>
      <c r="C82" s="158" t="e">
        <f>Technologies!C$603</f>
        <v>#REF!</v>
      </c>
      <c r="D82" s="158" t="e">
        <f>Technologies!D$603</f>
        <v>#REF!</v>
      </c>
      <c r="E82" s="197" t="str">
        <f>Commodities!C$141</f>
        <v>RFLR1</v>
      </c>
      <c r="F82" s="197" t="str">
        <f>Commodities!C$240</f>
        <v>RESRFL</v>
      </c>
      <c r="G82" s="204">
        <v>1</v>
      </c>
      <c r="H82" s="203" t="e">
        <f t="shared" si="14"/>
        <v>#REF!</v>
      </c>
      <c r="I82" s="203" t="e">
        <f t="shared" si="14"/>
        <v>#REF!</v>
      </c>
      <c r="J82" s="203" t="e">
        <f t="shared" si="14"/>
        <v>#REF!</v>
      </c>
      <c r="K82" s="203" t="e">
        <f t="shared" si="14"/>
        <v>#REF!</v>
      </c>
      <c r="L82" s="203" t="e">
        <f t="shared" si="14"/>
        <v>#REF!</v>
      </c>
      <c r="M82" s="203" t="e">
        <f t="shared" si="14"/>
        <v>#REF!</v>
      </c>
      <c r="N82" s="203" t="e">
        <f t="shared" si="14"/>
        <v>#REF!</v>
      </c>
      <c r="O82" s="203" t="e">
        <f t="shared" si="14"/>
        <v>#REF!</v>
      </c>
      <c r="P82" s="203" t="e">
        <f t="shared" si="14"/>
        <v>#REF!</v>
      </c>
      <c r="Q82" s="203" t="e">
        <f t="shared" si="14"/>
        <v>#REF!</v>
      </c>
      <c r="S82" s="177"/>
      <c r="T82" s="177"/>
      <c r="U82" s="177"/>
      <c r="V82" s="177"/>
      <c r="W82" s="177"/>
      <c r="X82" s="177"/>
      <c r="Y82" s="177"/>
      <c r="Z82" s="177"/>
      <c r="AA82" s="177"/>
      <c r="AB82" s="177"/>
      <c r="AC82" s="177"/>
    </row>
    <row r="83" spans="2:29">
      <c r="B83" s="158" t="str">
        <f>IF(LEFT(Technologies!B$604,1)="*","*R3","R3")</f>
        <v>*R3</v>
      </c>
      <c r="C83" s="158" t="e">
        <f>Technologies!C$604</f>
        <v>#REF!</v>
      </c>
      <c r="D83" s="158" t="e">
        <f>Technologies!D$604</f>
        <v>#REF!</v>
      </c>
      <c r="E83" s="197" t="str">
        <f>Commodities!C$141</f>
        <v>RFLR1</v>
      </c>
      <c r="F83" s="197" t="e">
        <f>Commodities!C$241</f>
        <v>#REF!</v>
      </c>
      <c r="G83" s="204">
        <v>1</v>
      </c>
      <c r="H83" s="203" t="e">
        <f t="shared" si="14"/>
        <v>#REF!</v>
      </c>
      <c r="I83" s="203" t="e">
        <f t="shared" si="14"/>
        <v>#REF!</v>
      </c>
      <c r="J83" s="203" t="e">
        <f t="shared" si="14"/>
        <v>#REF!</v>
      </c>
      <c r="K83" s="203" t="e">
        <f t="shared" si="14"/>
        <v>#REF!</v>
      </c>
      <c r="L83" s="203" t="e">
        <f t="shared" si="14"/>
        <v>#REF!</v>
      </c>
      <c r="M83" s="203" t="e">
        <f t="shared" si="14"/>
        <v>#REF!</v>
      </c>
      <c r="N83" s="203" t="e">
        <f t="shared" si="14"/>
        <v>#REF!</v>
      </c>
      <c r="O83" s="203" t="e">
        <f t="shared" si="14"/>
        <v>#REF!</v>
      </c>
      <c r="P83" s="203" t="e">
        <f t="shared" si="14"/>
        <v>#REF!</v>
      </c>
      <c r="Q83" s="203" t="e">
        <f t="shared" si="14"/>
        <v>#REF!</v>
      </c>
      <c r="S83" s="177"/>
      <c r="T83" s="177"/>
      <c r="U83" s="177"/>
      <c r="V83" s="177"/>
      <c r="W83" s="177"/>
      <c r="X83" s="177"/>
      <c r="Y83" s="177"/>
      <c r="Z83" s="177"/>
      <c r="AA83" s="177"/>
      <c r="AB83" s="177"/>
      <c r="AC83" s="177"/>
    </row>
    <row r="84" spans="2:29">
      <c r="B84" s="158" t="str">
        <f>IF(LEFT(Technologies!B$605,1)="*","*R3","R3")</f>
        <v>R3</v>
      </c>
      <c r="C84" s="158" t="e">
        <f>Technologies!C$605</f>
        <v>#REF!</v>
      </c>
      <c r="D84" s="158" t="e">
        <f>Technologies!D$605</f>
        <v>#REF!</v>
      </c>
      <c r="E84" s="197" t="str">
        <f>Commodities!C$141</f>
        <v>RFLR1</v>
      </c>
      <c r="F84" s="197" t="e">
        <f>Commodities!C$242</f>
        <v>#REF!</v>
      </c>
      <c r="G84" s="204">
        <v>1</v>
      </c>
      <c r="H84" s="203" t="e">
        <f t="shared" si="14"/>
        <v>#REF!</v>
      </c>
      <c r="I84" s="203" t="e">
        <f t="shared" si="14"/>
        <v>#REF!</v>
      </c>
      <c r="J84" s="203" t="e">
        <f t="shared" si="14"/>
        <v>#REF!</v>
      </c>
      <c r="K84" s="203" t="e">
        <f t="shared" si="14"/>
        <v>#REF!</v>
      </c>
      <c r="L84" s="203" t="e">
        <f t="shared" si="14"/>
        <v>#REF!</v>
      </c>
      <c r="M84" s="203" t="e">
        <f t="shared" si="14"/>
        <v>#REF!</v>
      </c>
      <c r="N84" s="203" t="e">
        <f t="shared" si="14"/>
        <v>#REF!</v>
      </c>
      <c r="O84" s="203" t="e">
        <f t="shared" si="14"/>
        <v>#REF!</v>
      </c>
      <c r="P84" s="203" t="e">
        <f t="shared" si="14"/>
        <v>#REF!</v>
      </c>
      <c r="Q84" s="203" t="e">
        <f t="shared" si="14"/>
        <v>#REF!</v>
      </c>
      <c r="S84" s="177"/>
      <c r="T84" s="177"/>
      <c r="U84" s="177"/>
      <c r="V84" s="177"/>
      <c r="W84" s="177"/>
      <c r="X84" s="177"/>
      <c r="Y84" s="177"/>
      <c r="Z84" s="177"/>
      <c r="AA84" s="177"/>
      <c r="AB84" s="177"/>
      <c r="AC84" s="177"/>
    </row>
    <row r="85" spans="2:29">
      <c r="B85" s="158" t="str">
        <f>IF(LEFT(Technologies!B$606,1)="*","*R3","R3")</f>
        <v>*R3</v>
      </c>
      <c r="C85" s="158" t="e">
        <f>Technologies!C$606</f>
        <v>#REF!</v>
      </c>
      <c r="D85" s="158" t="e">
        <f>Technologies!D$606</f>
        <v>#REF!</v>
      </c>
      <c r="E85" s="197" t="str">
        <f>Commodities!C$141</f>
        <v>RFLR1</v>
      </c>
      <c r="F85" s="197" t="e">
        <f>Commodities!C$243</f>
        <v>#REF!</v>
      </c>
      <c r="G85" s="204">
        <v>1</v>
      </c>
      <c r="H85" s="203" t="e">
        <f t="shared" si="14"/>
        <v>#REF!</v>
      </c>
      <c r="I85" s="203" t="e">
        <f t="shared" si="14"/>
        <v>#REF!</v>
      </c>
      <c r="J85" s="203" t="e">
        <f t="shared" si="14"/>
        <v>#REF!</v>
      </c>
      <c r="K85" s="203" t="e">
        <f t="shared" si="14"/>
        <v>#REF!</v>
      </c>
      <c r="L85" s="203" t="e">
        <f t="shared" si="14"/>
        <v>#REF!</v>
      </c>
      <c r="M85" s="203" t="e">
        <f t="shared" si="14"/>
        <v>#REF!</v>
      </c>
      <c r="N85" s="203" t="e">
        <f t="shared" si="14"/>
        <v>#REF!</v>
      </c>
      <c r="O85" s="203" t="e">
        <f t="shared" si="14"/>
        <v>#REF!</v>
      </c>
      <c r="P85" s="203" t="e">
        <f t="shared" si="14"/>
        <v>#REF!</v>
      </c>
      <c r="Q85" s="203" t="e">
        <f t="shared" si="14"/>
        <v>#REF!</v>
      </c>
      <c r="S85" s="177"/>
      <c r="T85" s="177"/>
      <c r="U85" s="177"/>
      <c r="V85" s="177"/>
      <c r="W85" s="177"/>
      <c r="X85" s="177"/>
      <c r="Y85" s="177"/>
      <c r="Z85" s="177"/>
      <c r="AA85" s="177"/>
      <c r="AB85" s="177"/>
      <c r="AC85" s="177"/>
    </row>
    <row r="86" spans="2:29">
      <c r="B86" s="158" t="str">
        <f>IF(LEFT(Technologies!B$607,1)="*","*R3","R3")</f>
        <v>*R3</v>
      </c>
      <c r="C86" s="158" t="e">
        <f>Technologies!C$607</f>
        <v>#REF!</v>
      </c>
      <c r="D86" s="158" t="e">
        <f>Technologies!D$607</f>
        <v>#REF!</v>
      </c>
      <c r="E86" s="197" t="str">
        <f>Commodities!C$140</f>
        <v>RFHR1</v>
      </c>
      <c r="F86" s="197" t="e">
        <f>Commodities!C$244</f>
        <v>#REF!</v>
      </c>
      <c r="G86" s="204">
        <v>1</v>
      </c>
      <c r="H86" s="203" t="e">
        <f t="shared" si="14"/>
        <v>#REF!</v>
      </c>
      <c r="I86" s="203" t="e">
        <f t="shared" si="14"/>
        <v>#REF!</v>
      </c>
      <c r="J86" s="203" t="e">
        <f t="shared" si="14"/>
        <v>#REF!</v>
      </c>
      <c r="K86" s="203" t="e">
        <f t="shared" si="14"/>
        <v>#REF!</v>
      </c>
      <c r="L86" s="203" t="e">
        <f t="shared" si="14"/>
        <v>#REF!</v>
      </c>
      <c r="M86" s="203" t="e">
        <f t="shared" si="14"/>
        <v>#REF!</v>
      </c>
      <c r="N86" s="203" t="e">
        <f t="shared" si="14"/>
        <v>#REF!</v>
      </c>
      <c r="O86" s="203" t="e">
        <f t="shared" si="14"/>
        <v>#REF!</v>
      </c>
      <c r="P86" s="203" t="e">
        <f t="shared" si="14"/>
        <v>#REF!</v>
      </c>
      <c r="Q86" s="203" t="e">
        <f t="shared" si="14"/>
        <v>#REF!</v>
      </c>
      <c r="S86" s="177"/>
      <c r="T86" s="177"/>
      <c r="U86" s="177"/>
      <c r="V86" s="177"/>
      <c r="W86" s="177"/>
      <c r="X86" s="177"/>
      <c r="Y86" s="177"/>
      <c r="Z86" s="177"/>
      <c r="AA86" s="177"/>
      <c r="AB86" s="177"/>
      <c r="AC86" s="177"/>
    </row>
    <row r="87" spans="2:29">
      <c r="B87" s="158" t="str">
        <f>IF(LEFT(Technologies!B$608,1)="*","*R3","R3")</f>
        <v>*R3</v>
      </c>
      <c r="C87" s="158" t="e">
        <f>Technologies!C$608</f>
        <v>#REF!</v>
      </c>
      <c r="D87" s="158" t="e">
        <f>Technologies!D$608</f>
        <v>#REF!</v>
      </c>
      <c r="E87" s="197" t="str">
        <f>Commodities!C$140</f>
        <v>RFHR1</v>
      </c>
      <c r="F87" s="197" t="e">
        <f>Commodities!C$245</f>
        <v>#REF!</v>
      </c>
      <c r="G87" s="204">
        <v>1</v>
      </c>
      <c r="H87" s="203" t="e">
        <f t="shared" si="14"/>
        <v>#REF!</v>
      </c>
      <c r="I87" s="203" t="e">
        <f t="shared" si="14"/>
        <v>#REF!</v>
      </c>
      <c r="J87" s="203" t="e">
        <f t="shared" si="14"/>
        <v>#REF!</v>
      </c>
      <c r="K87" s="203" t="e">
        <f t="shared" si="14"/>
        <v>#REF!</v>
      </c>
      <c r="L87" s="203" t="e">
        <f t="shared" si="14"/>
        <v>#REF!</v>
      </c>
      <c r="M87" s="203" t="e">
        <f t="shared" si="14"/>
        <v>#REF!</v>
      </c>
      <c r="N87" s="203" t="e">
        <f t="shared" si="14"/>
        <v>#REF!</v>
      </c>
      <c r="O87" s="203" t="e">
        <f t="shared" si="14"/>
        <v>#REF!</v>
      </c>
      <c r="P87" s="203" t="e">
        <f t="shared" si="14"/>
        <v>#REF!</v>
      </c>
      <c r="Q87" s="203" t="e">
        <f t="shared" si="14"/>
        <v>#REF!</v>
      </c>
      <c r="S87" s="177"/>
      <c r="T87" s="177"/>
      <c r="U87" s="177"/>
      <c r="V87" s="177"/>
      <c r="W87" s="177"/>
      <c r="X87" s="177"/>
      <c r="Y87" s="177"/>
      <c r="Z87" s="177"/>
      <c r="AA87" s="177"/>
      <c r="AB87" s="177"/>
      <c r="AC87" s="177"/>
    </row>
    <row r="88" spans="2:29">
      <c r="B88" s="158" t="str">
        <f>IF(LEFT(Technologies!B$609,1)="*","*R3","R3")</f>
        <v>*R3</v>
      </c>
      <c r="C88" s="158" t="e">
        <f>Technologies!C$609</f>
        <v>#REF!</v>
      </c>
      <c r="D88" s="158" t="e">
        <f>Technologies!D$609</f>
        <v>#REF!</v>
      </c>
      <c r="E88" s="197" t="str">
        <f>Commodities!C$142</f>
        <v>ASPR1</v>
      </c>
      <c r="F88" s="197" t="e">
        <f>Commodities!C$246</f>
        <v>#REF!</v>
      </c>
      <c r="G88" s="204">
        <v>1</v>
      </c>
      <c r="H88" s="203" t="e">
        <f t="shared" si="14"/>
        <v>#REF!</v>
      </c>
      <c r="I88" s="203" t="e">
        <f t="shared" si="14"/>
        <v>#REF!</v>
      </c>
      <c r="J88" s="203" t="e">
        <f t="shared" si="14"/>
        <v>#REF!</v>
      </c>
      <c r="K88" s="203" t="e">
        <f t="shared" si="14"/>
        <v>#REF!</v>
      </c>
      <c r="L88" s="203" t="e">
        <f t="shared" si="14"/>
        <v>#REF!</v>
      </c>
      <c r="M88" s="203" t="e">
        <f t="shared" si="14"/>
        <v>#REF!</v>
      </c>
      <c r="N88" s="203" t="e">
        <f t="shared" si="14"/>
        <v>#REF!</v>
      </c>
      <c r="O88" s="203" t="e">
        <f t="shared" si="14"/>
        <v>#REF!</v>
      </c>
      <c r="P88" s="203" t="e">
        <f t="shared" si="14"/>
        <v>#REF!</v>
      </c>
      <c r="Q88" s="203" t="e">
        <f t="shared" si="14"/>
        <v>#REF!</v>
      </c>
      <c r="S88" s="177"/>
      <c r="T88" s="177"/>
      <c r="U88" s="177"/>
      <c r="V88" s="177"/>
      <c r="W88" s="177"/>
      <c r="X88" s="177"/>
      <c r="Y88" s="177"/>
      <c r="Z88" s="177"/>
      <c r="AA88" s="177"/>
      <c r="AB88" s="177"/>
      <c r="AC88" s="177"/>
    </row>
    <row r="89" spans="2:29">
      <c r="B89" s="158" t="s">
        <v>398</v>
      </c>
      <c r="C89" s="158"/>
      <c r="D89" s="158"/>
      <c r="E89" s="197"/>
      <c r="F89" s="197"/>
      <c r="G89" s="204"/>
      <c r="H89" s="203"/>
      <c r="I89" s="203"/>
      <c r="J89" s="203"/>
      <c r="K89" s="203"/>
      <c r="L89" s="203"/>
      <c r="M89" s="203"/>
      <c r="N89" s="203"/>
      <c r="O89" s="203"/>
      <c r="P89" s="203"/>
      <c r="Q89" s="203"/>
      <c r="S89" s="177"/>
      <c r="T89" s="177"/>
      <c r="U89" s="177"/>
      <c r="V89" s="177"/>
      <c r="W89" s="177"/>
      <c r="X89" s="177"/>
      <c r="Y89" s="177"/>
      <c r="Z89" s="177"/>
      <c r="AA89" s="177"/>
      <c r="AB89" s="177"/>
      <c r="AC89" s="177"/>
    </row>
    <row r="90" spans="2:29">
      <c r="B90" s="158" t="str">
        <f>IF(LEFT(Technologies!B$585,1)="*","*R4","R4")</f>
        <v>R4</v>
      </c>
      <c r="C90" s="158" t="e">
        <f>Technologies!C$585</f>
        <v>#REF!</v>
      </c>
      <c r="D90" s="158" t="e">
        <f>Technologies!D$585</f>
        <v>#REF!</v>
      </c>
      <c r="E90" s="197" t="str">
        <f>Commodities!C$130</f>
        <v>GSCR1</v>
      </c>
      <c r="F90" s="197" t="e">
        <f>Commodities!C$222</f>
        <v>#REF!</v>
      </c>
      <c r="G90" s="204">
        <v>1</v>
      </c>
      <c r="H90" s="203" t="e">
        <f t="shared" ref="H90:Q90" si="15">H64</f>
        <v>#REF!</v>
      </c>
      <c r="I90" s="203" t="e">
        <f t="shared" si="15"/>
        <v>#REF!</v>
      </c>
      <c r="J90" s="203" t="e">
        <f t="shared" si="15"/>
        <v>#REF!</v>
      </c>
      <c r="K90" s="203" t="e">
        <f t="shared" si="15"/>
        <v>#REF!</v>
      </c>
      <c r="L90" s="203" t="e">
        <f t="shared" si="15"/>
        <v>#REF!</v>
      </c>
      <c r="M90" s="203" t="e">
        <f t="shared" si="15"/>
        <v>#REF!</v>
      </c>
      <c r="N90" s="203" t="e">
        <f t="shared" si="15"/>
        <v>#REF!</v>
      </c>
      <c r="O90" s="203" t="e">
        <f t="shared" si="15"/>
        <v>#REF!</v>
      </c>
      <c r="P90" s="203" t="e">
        <f t="shared" si="15"/>
        <v>#REF!</v>
      </c>
      <c r="Q90" s="203" t="e">
        <f t="shared" si="15"/>
        <v>#REF!</v>
      </c>
      <c r="S90" s="177"/>
      <c r="T90" s="177"/>
      <c r="U90" s="177"/>
      <c r="V90" s="177"/>
      <c r="W90" s="177"/>
      <c r="X90" s="177"/>
      <c r="Y90" s="177"/>
      <c r="Z90" s="177"/>
      <c r="AA90" s="177"/>
      <c r="AB90" s="177"/>
      <c r="AC90" s="177"/>
    </row>
    <row r="91" spans="2:29">
      <c r="B91" s="158" t="str">
        <f>IF(LEFT(Technologies!B$586,1)="*","*R4","R4")</f>
        <v>R4</v>
      </c>
      <c r="C91" s="158" t="e">
        <f>Technologies!C$586</f>
        <v>#REF!</v>
      </c>
      <c r="D91" s="158" t="e">
        <f>Technologies!D$586</f>
        <v>#REF!</v>
      </c>
      <c r="E91" s="197" t="str">
        <f>Commodities!C$131</f>
        <v>GSRR1</v>
      </c>
      <c r="F91" s="197" t="e">
        <f>Commodities!C$223</f>
        <v>#REF!</v>
      </c>
      <c r="G91" s="204">
        <v>1</v>
      </c>
      <c r="H91" s="203" t="e">
        <f t="shared" ref="H91:Q106" si="16">H65</f>
        <v>#REF!</v>
      </c>
      <c r="I91" s="203" t="e">
        <f t="shared" si="16"/>
        <v>#REF!</v>
      </c>
      <c r="J91" s="203" t="e">
        <f t="shared" si="16"/>
        <v>#REF!</v>
      </c>
      <c r="K91" s="203" t="e">
        <f t="shared" si="16"/>
        <v>#REF!</v>
      </c>
      <c r="L91" s="203" t="e">
        <f t="shared" si="16"/>
        <v>#REF!</v>
      </c>
      <c r="M91" s="203" t="e">
        <f t="shared" si="16"/>
        <v>#REF!</v>
      </c>
      <c r="N91" s="203" t="e">
        <f t="shared" si="16"/>
        <v>#REF!</v>
      </c>
      <c r="O91" s="203" t="e">
        <f t="shared" si="16"/>
        <v>#REF!</v>
      </c>
      <c r="P91" s="203" t="e">
        <f t="shared" si="16"/>
        <v>#REF!</v>
      </c>
      <c r="Q91" s="203" t="e">
        <f t="shared" si="16"/>
        <v>#REF!</v>
      </c>
      <c r="S91" s="177"/>
      <c r="T91" s="177"/>
      <c r="U91" s="177"/>
      <c r="V91" s="177"/>
      <c r="W91" s="177"/>
      <c r="X91" s="177"/>
      <c r="Y91" s="177"/>
      <c r="Z91" s="177"/>
      <c r="AA91" s="177"/>
      <c r="AB91" s="177"/>
      <c r="AC91" s="177"/>
    </row>
    <row r="92" spans="2:29">
      <c r="B92" s="158" t="str">
        <f>IF(LEFT(Technologies!B$587,1)="*","*R4","R4")</f>
        <v>R4</v>
      </c>
      <c r="C92" s="158" t="e">
        <f>Technologies!C$587</f>
        <v>#REF!</v>
      </c>
      <c r="D92" s="158" t="e">
        <f>Technologies!D$587</f>
        <v>#REF!</v>
      </c>
      <c r="E92" s="197" t="str">
        <f>Commodities!C$132</f>
        <v>DSHR1</v>
      </c>
      <c r="F92" s="197" t="e">
        <f>Commodities!C$224</f>
        <v>#REF!</v>
      </c>
      <c r="G92" s="204">
        <v>1</v>
      </c>
      <c r="H92" s="203" t="e">
        <f t="shared" si="16"/>
        <v>#REF!</v>
      </c>
      <c r="I92" s="203" t="e">
        <f t="shared" si="16"/>
        <v>#REF!</v>
      </c>
      <c r="J92" s="203" t="e">
        <f t="shared" si="16"/>
        <v>#REF!</v>
      </c>
      <c r="K92" s="203" t="e">
        <f t="shared" si="16"/>
        <v>#REF!</v>
      </c>
      <c r="L92" s="203" t="e">
        <f t="shared" si="16"/>
        <v>#REF!</v>
      </c>
      <c r="M92" s="203" t="e">
        <f t="shared" si="16"/>
        <v>#REF!</v>
      </c>
      <c r="N92" s="203" t="e">
        <f t="shared" si="16"/>
        <v>#REF!</v>
      </c>
      <c r="O92" s="203" t="e">
        <f t="shared" si="16"/>
        <v>#REF!</v>
      </c>
      <c r="P92" s="203" t="e">
        <f t="shared" si="16"/>
        <v>#REF!</v>
      </c>
      <c r="Q92" s="203" t="e">
        <f t="shared" si="16"/>
        <v>#REF!</v>
      </c>
      <c r="S92" s="177"/>
      <c r="T92" s="177"/>
      <c r="U92" s="177"/>
      <c r="V92" s="177"/>
      <c r="W92" s="177"/>
      <c r="X92" s="177"/>
      <c r="Y92" s="177"/>
      <c r="Z92" s="177"/>
      <c r="AA92" s="177"/>
      <c r="AB92" s="177"/>
      <c r="AC92" s="177"/>
    </row>
    <row r="93" spans="2:29">
      <c r="B93" s="158" t="str">
        <f>IF(LEFT(Technologies!B$588,1)="*","*R4","R4")</f>
        <v>R4</v>
      </c>
      <c r="C93" s="158" t="e">
        <f>Technologies!C$588</f>
        <v>#REF!</v>
      </c>
      <c r="D93" s="158" t="e">
        <f>Technologies!D$588</f>
        <v>#REF!</v>
      </c>
      <c r="E93" s="197" t="str">
        <f>Commodities!C$132</f>
        <v>DSHR1</v>
      </c>
      <c r="F93" s="197" t="e">
        <f>Commodities!C$225</f>
        <v>#REF!</v>
      </c>
      <c r="G93" s="204">
        <v>1</v>
      </c>
      <c r="H93" s="203" t="e">
        <f t="shared" si="16"/>
        <v>#REF!</v>
      </c>
      <c r="I93" s="203" t="e">
        <f t="shared" si="16"/>
        <v>#REF!</v>
      </c>
      <c r="J93" s="203" t="e">
        <f t="shared" si="16"/>
        <v>#REF!</v>
      </c>
      <c r="K93" s="203" t="e">
        <f t="shared" si="16"/>
        <v>#REF!</v>
      </c>
      <c r="L93" s="203" t="e">
        <f t="shared" si="16"/>
        <v>#REF!</v>
      </c>
      <c r="M93" s="203" t="e">
        <f t="shared" si="16"/>
        <v>#REF!</v>
      </c>
      <c r="N93" s="203" t="e">
        <f t="shared" si="16"/>
        <v>#REF!</v>
      </c>
      <c r="O93" s="203" t="e">
        <f t="shared" si="16"/>
        <v>#REF!</v>
      </c>
      <c r="P93" s="203" t="e">
        <f t="shared" si="16"/>
        <v>#REF!</v>
      </c>
      <c r="Q93" s="203" t="e">
        <f t="shared" si="16"/>
        <v>#REF!</v>
      </c>
      <c r="S93" s="177"/>
      <c r="T93" s="177"/>
      <c r="U93" s="177"/>
      <c r="V93" s="177"/>
      <c r="W93" s="177"/>
      <c r="X93" s="177"/>
      <c r="Y93" s="177"/>
      <c r="Z93" s="177"/>
      <c r="AA93" s="177"/>
      <c r="AB93" s="177"/>
      <c r="AC93" s="177"/>
    </row>
    <row r="94" spans="2:29">
      <c r="B94" s="158" t="str">
        <f>IF(LEFT(Technologies!B$589,1)="*","*R4","R4")</f>
        <v>*R4</v>
      </c>
      <c r="C94" s="158" t="e">
        <f>Technologies!C$589</f>
        <v>#REF!</v>
      </c>
      <c r="D94" s="158" t="e">
        <f>Technologies!D$589</f>
        <v>#REF!</v>
      </c>
      <c r="E94" s="197" t="str">
        <f>Commodities!C$132</f>
        <v>DSHR1</v>
      </c>
      <c r="F94" s="197" t="e">
        <f>Commodities!C$226</f>
        <v>#REF!</v>
      </c>
      <c r="G94" s="204">
        <v>1</v>
      </c>
      <c r="H94" s="203" t="e">
        <f t="shared" si="16"/>
        <v>#REF!</v>
      </c>
      <c r="I94" s="203" t="e">
        <f t="shared" si="16"/>
        <v>#REF!</v>
      </c>
      <c r="J94" s="203" t="e">
        <f t="shared" si="16"/>
        <v>#REF!</v>
      </c>
      <c r="K94" s="203" t="e">
        <f t="shared" si="16"/>
        <v>#REF!</v>
      </c>
      <c r="L94" s="203" t="e">
        <f t="shared" si="16"/>
        <v>#REF!</v>
      </c>
      <c r="M94" s="203" t="e">
        <f t="shared" si="16"/>
        <v>#REF!</v>
      </c>
      <c r="N94" s="203" t="e">
        <f t="shared" si="16"/>
        <v>#REF!</v>
      </c>
      <c r="O94" s="203" t="e">
        <f t="shared" si="16"/>
        <v>#REF!</v>
      </c>
      <c r="P94" s="203" t="e">
        <f t="shared" si="16"/>
        <v>#REF!</v>
      </c>
      <c r="Q94" s="203" t="e">
        <f t="shared" si="16"/>
        <v>#REF!</v>
      </c>
      <c r="S94" s="177"/>
      <c r="T94" s="177"/>
      <c r="U94" s="177"/>
      <c r="V94" s="177"/>
      <c r="W94" s="177"/>
      <c r="X94" s="177"/>
      <c r="Y94" s="177"/>
      <c r="Z94" s="177"/>
      <c r="AA94" s="177"/>
      <c r="AB94" s="177"/>
      <c r="AC94" s="177"/>
    </row>
    <row r="95" spans="2:29">
      <c r="B95" s="158" t="str">
        <f>IF(LEFT(Technologies!B$590,1)="*","*R4","R4")</f>
        <v>R4</v>
      </c>
      <c r="C95" s="158" t="e">
        <f>Technologies!C$590</f>
        <v>#REF!</v>
      </c>
      <c r="D95" s="158" t="e">
        <f>Technologies!D$590</f>
        <v>#REF!</v>
      </c>
      <c r="E95" s="197" t="str">
        <f>Commodities!C$132</f>
        <v>DSHR1</v>
      </c>
      <c r="F95" s="197" t="e">
        <f>Commodities!C$227</f>
        <v>#REF!</v>
      </c>
      <c r="G95" s="204">
        <v>1</v>
      </c>
      <c r="H95" s="203" t="e">
        <f t="shared" si="16"/>
        <v>#REF!</v>
      </c>
      <c r="I95" s="203" t="e">
        <f t="shared" si="16"/>
        <v>#REF!</v>
      </c>
      <c r="J95" s="203" t="e">
        <f t="shared" si="16"/>
        <v>#REF!</v>
      </c>
      <c r="K95" s="203" t="e">
        <f t="shared" si="16"/>
        <v>#REF!</v>
      </c>
      <c r="L95" s="203" t="e">
        <f t="shared" si="16"/>
        <v>#REF!</v>
      </c>
      <c r="M95" s="203" t="e">
        <f t="shared" si="16"/>
        <v>#REF!</v>
      </c>
      <c r="N95" s="203" t="e">
        <f t="shared" si="16"/>
        <v>#REF!</v>
      </c>
      <c r="O95" s="203" t="e">
        <f t="shared" si="16"/>
        <v>#REF!</v>
      </c>
      <c r="P95" s="203" t="e">
        <f t="shared" si="16"/>
        <v>#REF!</v>
      </c>
      <c r="Q95" s="203" t="e">
        <f t="shared" si="16"/>
        <v>#REF!</v>
      </c>
      <c r="S95" s="177"/>
      <c r="T95" s="177"/>
      <c r="U95" s="177"/>
      <c r="V95" s="177"/>
      <c r="W95" s="177"/>
      <c r="X95" s="177"/>
      <c r="Y95" s="177"/>
      <c r="Z95" s="177"/>
      <c r="AA95" s="177"/>
      <c r="AB95" s="177"/>
      <c r="AC95" s="177"/>
    </row>
    <row r="96" spans="2:29">
      <c r="B96" s="158" t="str">
        <f>IF(LEFT(Technologies!B$591,1)="*","*R4","R4")</f>
        <v>R4</v>
      </c>
      <c r="C96" s="158" t="e">
        <f>Technologies!C$591</f>
        <v>#REF!</v>
      </c>
      <c r="D96" s="158" t="e">
        <f>Technologies!D$591</f>
        <v>#REF!</v>
      </c>
      <c r="E96" s="197" t="str">
        <f>Commodities!C$133</f>
        <v>DSLR1</v>
      </c>
      <c r="F96" s="197" t="e">
        <f>Commodities!C$228</f>
        <v>#REF!</v>
      </c>
      <c r="G96" s="204">
        <v>1</v>
      </c>
      <c r="H96" s="203" t="e">
        <f t="shared" si="16"/>
        <v>#REF!</v>
      </c>
      <c r="I96" s="203" t="e">
        <f t="shared" si="16"/>
        <v>#REF!</v>
      </c>
      <c r="J96" s="203" t="e">
        <f t="shared" si="16"/>
        <v>#REF!</v>
      </c>
      <c r="K96" s="203" t="e">
        <f t="shared" si="16"/>
        <v>#REF!</v>
      </c>
      <c r="L96" s="203" t="e">
        <f t="shared" si="16"/>
        <v>#REF!</v>
      </c>
      <c r="M96" s="203" t="e">
        <f t="shared" si="16"/>
        <v>#REF!</v>
      </c>
      <c r="N96" s="203" t="e">
        <f t="shared" si="16"/>
        <v>#REF!</v>
      </c>
      <c r="O96" s="203" t="e">
        <f t="shared" si="16"/>
        <v>#REF!</v>
      </c>
      <c r="P96" s="203" t="e">
        <f t="shared" si="16"/>
        <v>#REF!</v>
      </c>
      <c r="Q96" s="203" t="e">
        <f t="shared" si="16"/>
        <v>#REF!</v>
      </c>
      <c r="S96" s="177"/>
      <c r="T96" s="177"/>
      <c r="U96" s="177"/>
      <c r="V96" s="177"/>
      <c r="W96" s="177"/>
      <c r="X96" s="177"/>
      <c r="Y96" s="177"/>
      <c r="Z96" s="177"/>
      <c r="AA96" s="177"/>
      <c r="AB96" s="177"/>
      <c r="AC96" s="177"/>
    </row>
    <row r="97" spans="2:29">
      <c r="B97" s="158" t="str">
        <f>IF(LEFT(Technologies!B$592,1)="*","*R4","R4")</f>
        <v>R4</v>
      </c>
      <c r="C97" s="158" t="e">
        <f>Technologies!C$592</f>
        <v>#REF!</v>
      </c>
      <c r="D97" s="158" t="e">
        <f>Technologies!D$592</f>
        <v>#REF!</v>
      </c>
      <c r="E97" s="197" t="str">
        <f>Commodities!C$134</f>
        <v>DSUR1</v>
      </c>
      <c r="F97" s="197" t="e">
        <f>Commodities!C$229</f>
        <v>#REF!</v>
      </c>
      <c r="G97" s="204">
        <v>1</v>
      </c>
      <c r="H97" s="203" t="e">
        <f t="shared" si="16"/>
        <v>#REF!</v>
      </c>
      <c r="I97" s="203" t="e">
        <f t="shared" si="16"/>
        <v>#REF!</v>
      </c>
      <c r="J97" s="203" t="e">
        <f t="shared" si="16"/>
        <v>#REF!</v>
      </c>
      <c r="K97" s="203" t="e">
        <f t="shared" si="16"/>
        <v>#REF!</v>
      </c>
      <c r="L97" s="203" t="e">
        <f t="shared" si="16"/>
        <v>#REF!</v>
      </c>
      <c r="M97" s="203" t="e">
        <f t="shared" si="16"/>
        <v>#REF!</v>
      </c>
      <c r="N97" s="203" t="e">
        <f t="shared" si="16"/>
        <v>#REF!</v>
      </c>
      <c r="O97" s="203" t="e">
        <f t="shared" si="16"/>
        <v>#REF!</v>
      </c>
      <c r="P97" s="203" t="e">
        <f t="shared" si="16"/>
        <v>#REF!</v>
      </c>
      <c r="Q97" s="203" t="e">
        <f t="shared" si="16"/>
        <v>#REF!</v>
      </c>
      <c r="S97" s="177"/>
      <c r="T97" s="177"/>
      <c r="U97" s="177"/>
      <c r="V97" s="177"/>
      <c r="W97" s="177"/>
      <c r="X97" s="177"/>
      <c r="Y97" s="177"/>
      <c r="Z97" s="177"/>
      <c r="AA97" s="177"/>
      <c r="AB97" s="177"/>
      <c r="AC97" s="177"/>
    </row>
    <row r="98" spans="2:29">
      <c r="B98" s="158" t="str">
        <f>IF(LEFT(Technologies!B$593,1)="*","*R4","R4")</f>
        <v>*R4</v>
      </c>
      <c r="C98" s="158" t="e">
        <f>Technologies!C$593</f>
        <v>#REF!</v>
      </c>
      <c r="D98" s="158" t="e">
        <f>Technologies!D$593</f>
        <v>#REF!</v>
      </c>
      <c r="E98" s="197" t="str">
        <f>Commodities!C$135</f>
        <v>JTFR1</v>
      </c>
      <c r="F98" s="197" t="e">
        <f>Commodities!C$230</f>
        <v>#REF!</v>
      </c>
      <c r="G98" s="204">
        <v>1</v>
      </c>
      <c r="H98" s="203" t="e">
        <f t="shared" si="16"/>
        <v>#REF!</v>
      </c>
      <c r="I98" s="203" t="e">
        <f t="shared" si="16"/>
        <v>#REF!</v>
      </c>
      <c r="J98" s="203" t="e">
        <f t="shared" si="16"/>
        <v>#REF!</v>
      </c>
      <c r="K98" s="203" t="e">
        <f t="shared" si="16"/>
        <v>#REF!</v>
      </c>
      <c r="L98" s="203" t="e">
        <f t="shared" si="16"/>
        <v>#REF!</v>
      </c>
      <c r="M98" s="203" t="e">
        <f t="shared" si="16"/>
        <v>#REF!</v>
      </c>
      <c r="N98" s="203" t="e">
        <f t="shared" si="16"/>
        <v>#REF!</v>
      </c>
      <c r="O98" s="203" t="e">
        <f t="shared" si="16"/>
        <v>#REF!</v>
      </c>
      <c r="P98" s="203" t="e">
        <f t="shared" si="16"/>
        <v>#REF!</v>
      </c>
      <c r="Q98" s="203" t="e">
        <f t="shared" si="16"/>
        <v>#REF!</v>
      </c>
      <c r="S98" s="177"/>
      <c r="T98" s="177"/>
      <c r="U98" s="177"/>
      <c r="V98" s="177"/>
      <c r="W98" s="177"/>
      <c r="X98" s="177"/>
      <c r="Y98" s="177"/>
      <c r="Z98" s="177"/>
      <c r="AA98" s="177"/>
      <c r="AB98" s="177"/>
      <c r="AC98" s="177"/>
    </row>
    <row r="99" spans="2:29">
      <c r="B99" s="158" t="str">
        <f>IF(LEFT(Technologies!B$594,1)="*","*R4","R4")</f>
        <v>*R4</v>
      </c>
      <c r="C99" s="158" t="e">
        <f>Technologies!C$594</f>
        <v>#REF!</v>
      </c>
      <c r="D99" s="158" t="e">
        <f>Technologies!D$594</f>
        <v>#REF!</v>
      </c>
      <c r="E99" s="197" t="str">
        <f>Commodities!C$136</f>
        <v>KERR1</v>
      </c>
      <c r="F99" s="197" t="e">
        <f>Commodities!C$231</f>
        <v>#REF!</v>
      </c>
      <c r="G99" s="204">
        <v>1</v>
      </c>
      <c r="H99" s="203" t="e">
        <f t="shared" si="16"/>
        <v>#REF!</v>
      </c>
      <c r="I99" s="203" t="e">
        <f t="shared" si="16"/>
        <v>#REF!</v>
      </c>
      <c r="J99" s="203" t="e">
        <f t="shared" si="16"/>
        <v>#REF!</v>
      </c>
      <c r="K99" s="203" t="e">
        <f t="shared" si="16"/>
        <v>#REF!</v>
      </c>
      <c r="L99" s="203" t="e">
        <f t="shared" si="16"/>
        <v>#REF!</v>
      </c>
      <c r="M99" s="203" t="e">
        <f t="shared" si="16"/>
        <v>#REF!</v>
      </c>
      <c r="N99" s="203" t="e">
        <f t="shared" si="16"/>
        <v>#REF!</v>
      </c>
      <c r="O99" s="203" t="e">
        <f t="shared" si="16"/>
        <v>#REF!</v>
      </c>
      <c r="P99" s="203" t="e">
        <f t="shared" si="16"/>
        <v>#REF!</v>
      </c>
      <c r="Q99" s="203" t="e">
        <f t="shared" si="16"/>
        <v>#REF!</v>
      </c>
      <c r="S99" s="177"/>
      <c r="T99" s="177"/>
      <c r="U99" s="177"/>
      <c r="V99" s="177"/>
      <c r="W99" s="177"/>
      <c r="X99" s="177"/>
      <c r="Y99" s="177"/>
      <c r="Z99" s="177"/>
      <c r="AA99" s="177"/>
      <c r="AB99" s="177"/>
      <c r="AC99" s="177"/>
    </row>
    <row r="100" spans="2:29">
      <c r="B100" s="158" t="str">
        <f>IF(LEFT(Technologies!B$595,1)="*","*R4","R4")</f>
        <v>*R4</v>
      </c>
      <c r="C100" s="158" t="e">
        <f>Technologies!C$595</f>
        <v>#REF!</v>
      </c>
      <c r="D100" s="158" t="e">
        <f>Technologies!D$595</f>
        <v>#REF!</v>
      </c>
      <c r="E100" s="197" t="str">
        <f>Commodities!C$136</f>
        <v>KERR1</v>
      </c>
      <c r="F100" s="197" t="e">
        <f>Commodities!C$232</f>
        <v>#REF!</v>
      </c>
      <c r="G100" s="204">
        <v>1</v>
      </c>
      <c r="H100" s="203" t="e">
        <f t="shared" si="16"/>
        <v>#REF!</v>
      </c>
      <c r="I100" s="203" t="e">
        <f t="shared" si="16"/>
        <v>#REF!</v>
      </c>
      <c r="J100" s="203" t="e">
        <f t="shared" si="16"/>
        <v>#REF!</v>
      </c>
      <c r="K100" s="203" t="e">
        <f t="shared" si="16"/>
        <v>#REF!</v>
      </c>
      <c r="L100" s="203" t="e">
        <f t="shared" si="16"/>
        <v>#REF!</v>
      </c>
      <c r="M100" s="203" t="e">
        <f t="shared" si="16"/>
        <v>#REF!</v>
      </c>
      <c r="N100" s="203" t="e">
        <f t="shared" si="16"/>
        <v>#REF!</v>
      </c>
      <c r="O100" s="203" t="e">
        <f t="shared" si="16"/>
        <v>#REF!</v>
      </c>
      <c r="P100" s="203" t="e">
        <f t="shared" si="16"/>
        <v>#REF!</v>
      </c>
      <c r="Q100" s="203" t="e">
        <f t="shared" si="16"/>
        <v>#REF!</v>
      </c>
      <c r="S100" s="177"/>
      <c r="T100" s="177"/>
      <c r="U100" s="177"/>
      <c r="V100" s="177"/>
      <c r="W100" s="177"/>
      <c r="X100" s="177"/>
      <c r="Y100" s="177"/>
      <c r="Z100" s="177"/>
      <c r="AA100" s="177"/>
      <c r="AB100" s="177"/>
      <c r="AC100" s="177"/>
    </row>
    <row r="101" spans="2:29">
      <c r="B101" s="158" t="str">
        <f>IF(LEFT(Technologies!B$596,1)="*","*R4","R4")</f>
        <v>*R4</v>
      </c>
      <c r="C101" s="158" t="e">
        <f>Technologies!C$596</f>
        <v>#REF!</v>
      </c>
      <c r="D101" s="158" t="e">
        <f>Technologies!D$596</f>
        <v>#REF!</v>
      </c>
      <c r="E101" s="197" t="str">
        <f>Commodities!C$136</f>
        <v>KERR1</v>
      </c>
      <c r="F101" s="197" t="e">
        <f>Commodities!C$233</f>
        <v>#REF!</v>
      </c>
      <c r="G101" s="204">
        <v>1</v>
      </c>
      <c r="H101" s="203" t="e">
        <f t="shared" si="16"/>
        <v>#REF!</v>
      </c>
      <c r="I101" s="203" t="e">
        <f t="shared" si="16"/>
        <v>#REF!</v>
      </c>
      <c r="J101" s="203" t="e">
        <f t="shared" si="16"/>
        <v>#REF!</v>
      </c>
      <c r="K101" s="203" t="e">
        <f t="shared" si="16"/>
        <v>#REF!</v>
      </c>
      <c r="L101" s="203" t="e">
        <f t="shared" si="16"/>
        <v>#REF!</v>
      </c>
      <c r="M101" s="203" t="e">
        <f t="shared" si="16"/>
        <v>#REF!</v>
      </c>
      <c r="N101" s="203" t="e">
        <f t="shared" si="16"/>
        <v>#REF!</v>
      </c>
      <c r="O101" s="203" t="e">
        <f t="shared" si="16"/>
        <v>#REF!</v>
      </c>
      <c r="P101" s="203" t="e">
        <f t="shared" si="16"/>
        <v>#REF!</v>
      </c>
      <c r="Q101" s="203" t="e">
        <f t="shared" si="16"/>
        <v>#REF!</v>
      </c>
      <c r="S101" s="177"/>
      <c r="T101" s="177"/>
      <c r="U101" s="177"/>
      <c r="V101" s="177"/>
      <c r="W101" s="177"/>
      <c r="X101" s="177"/>
      <c r="Y101" s="177"/>
      <c r="Z101" s="177"/>
      <c r="AA101" s="177"/>
      <c r="AB101" s="177"/>
      <c r="AC101" s="177"/>
    </row>
    <row r="102" spans="2:29">
      <c r="B102" s="158" t="str">
        <f>IF(LEFT(Technologies!B$597,1)="*","*R4","R4")</f>
        <v>*R4</v>
      </c>
      <c r="C102" s="158" t="e">
        <f>Technologies!C$597</f>
        <v>#REF!</v>
      </c>
      <c r="D102" s="158" t="e">
        <f>Technologies!D$597</f>
        <v>#REF!</v>
      </c>
      <c r="E102" s="197" t="str">
        <f>Commodities!C$137</f>
        <v>LPGR1</v>
      </c>
      <c r="F102" s="197" t="e">
        <f>Commodities!C$234</f>
        <v>#REF!</v>
      </c>
      <c r="G102" s="204">
        <v>1</v>
      </c>
      <c r="H102" s="203" t="e">
        <f t="shared" si="16"/>
        <v>#REF!</v>
      </c>
      <c r="I102" s="203" t="e">
        <f t="shared" si="16"/>
        <v>#REF!</v>
      </c>
      <c r="J102" s="203" t="e">
        <f t="shared" si="16"/>
        <v>#REF!</v>
      </c>
      <c r="K102" s="203" t="e">
        <f t="shared" si="16"/>
        <v>#REF!</v>
      </c>
      <c r="L102" s="203" t="e">
        <f t="shared" si="16"/>
        <v>#REF!</v>
      </c>
      <c r="M102" s="203" t="e">
        <f t="shared" si="16"/>
        <v>#REF!</v>
      </c>
      <c r="N102" s="203" t="e">
        <f t="shared" si="16"/>
        <v>#REF!</v>
      </c>
      <c r="O102" s="203" t="e">
        <f t="shared" si="16"/>
        <v>#REF!</v>
      </c>
      <c r="P102" s="203" t="e">
        <f t="shared" si="16"/>
        <v>#REF!</v>
      </c>
      <c r="Q102" s="203" t="e">
        <f t="shared" si="16"/>
        <v>#REF!</v>
      </c>
      <c r="S102" s="177"/>
      <c r="T102" s="177"/>
      <c r="U102" s="177"/>
      <c r="V102" s="177"/>
      <c r="W102" s="177"/>
      <c r="X102" s="177"/>
      <c r="Y102" s="177"/>
      <c r="Z102" s="177"/>
      <c r="AA102" s="177"/>
      <c r="AB102" s="177"/>
      <c r="AC102" s="177"/>
    </row>
    <row r="103" spans="2:29">
      <c r="B103" s="158" t="str">
        <f>IF(LEFT(Technologies!B$598,1)="*","*R4","R4")</f>
        <v>*R4</v>
      </c>
      <c r="C103" s="158" t="e">
        <f>Technologies!C$598</f>
        <v>#REF!</v>
      </c>
      <c r="D103" s="158" t="e">
        <f>Technologies!D$598</f>
        <v>#REF!</v>
      </c>
      <c r="E103" s="197" t="str">
        <f>Commodities!C$137</f>
        <v>LPGR1</v>
      </c>
      <c r="F103" s="197" t="e">
        <f>Commodities!C$235</f>
        <v>#REF!</v>
      </c>
      <c r="G103" s="204">
        <v>1</v>
      </c>
      <c r="H103" s="203" t="e">
        <f t="shared" si="16"/>
        <v>#REF!</v>
      </c>
      <c r="I103" s="203" t="e">
        <f t="shared" si="16"/>
        <v>#REF!</v>
      </c>
      <c r="J103" s="203" t="e">
        <f t="shared" si="16"/>
        <v>#REF!</v>
      </c>
      <c r="K103" s="203" t="e">
        <f t="shared" si="16"/>
        <v>#REF!</v>
      </c>
      <c r="L103" s="203" t="e">
        <f t="shared" si="16"/>
        <v>#REF!</v>
      </c>
      <c r="M103" s="203" t="e">
        <f t="shared" si="16"/>
        <v>#REF!</v>
      </c>
      <c r="N103" s="203" t="e">
        <f t="shared" si="16"/>
        <v>#REF!</v>
      </c>
      <c r="O103" s="203" t="e">
        <f t="shared" si="16"/>
        <v>#REF!</v>
      </c>
      <c r="P103" s="203" t="e">
        <f t="shared" si="16"/>
        <v>#REF!</v>
      </c>
      <c r="Q103" s="203" t="e">
        <f t="shared" si="16"/>
        <v>#REF!</v>
      </c>
      <c r="S103" s="177"/>
      <c r="T103" s="177"/>
      <c r="U103" s="177"/>
      <c r="V103" s="177"/>
      <c r="W103" s="177"/>
      <c r="X103" s="177"/>
      <c r="Y103" s="177"/>
      <c r="Z103" s="177"/>
      <c r="AA103" s="177"/>
      <c r="AB103" s="177"/>
      <c r="AC103" s="177"/>
    </row>
    <row r="104" spans="2:29">
      <c r="B104" s="158" t="str">
        <f>IF(LEFT(Technologies!B$599,1)="*","*R4","R4")</f>
        <v>*R4</v>
      </c>
      <c r="C104" s="158" t="e">
        <f>Technologies!C$599</f>
        <v>#REF!</v>
      </c>
      <c r="D104" s="158" t="e">
        <f>Technologies!D$599</f>
        <v>#REF!</v>
      </c>
      <c r="E104" s="197" t="str">
        <f>Commodities!C$137</f>
        <v>LPGR1</v>
      </c>
      <c r="F104" s="197" t="e">
        <f>Commodities!C$236</f>
        <v>#REF!</v>
      </c>
      <c r="G104" s="204">
        <v>1</v>
      </c>
      <c r="H104" s="203" t="e">
        <f t="shared" si="16"/>
        <v>#REF!</v>
      </c>
      <c r="I104" s="203" t="e">
        <f t="shared" si="16"/>
        <v>#REF!</v>
      </c>
      <c r="J104" s="203" t="e">
        <f t="shared" si="16"/>
        <v>#REF!</v>
      </c>
      <c r="K104" s="203" t="e">
        <f t="shared" si="16"/>
        <v>#REF!</v>
      </c>
      <c r="L104" s="203" t="e">
        <f t="shared" si="16"/>
        <v>#REF!</v>
      </c>
      <c r="M104" s="203" t="e">
        <f t="shared" si="16"/>
        <v>#REF!</v>
      </c>
      <c r="N104" s="203" t="e">
        <f t="shared" si="16"/>
        <v>#REF!</v>
      </c>
      <c r="O104" s="203" t="e">
        <f t="shared" si="16"/>
        <v>#REF!</v>
      </c>
      <c r="P104" s="203" t="e">
        <f t="shared" si="16"/>
        <v>#REF!</v>
      </c>
      <c r="Q104" s="203" t="e">
        <f t="shared" si="16"/>
        <v>#REF!</v>
      </c>
      <c r="S104" s="177"/>
      <c r="T104" s="177"/>
      <c r="U104" s="177"/>
      <c r="V104" s="177"/>
      <c r="W104" s="177"/>
      <c r="X104" s="177"/>
      <c r="Y104" s="177"/>
      <c r="Z104" s="177"/>
      <c r="AA104" s="177"/>
      <c r="AB104" s="177"/>
      <c r="AC104" s="177"/>
    </row>
    <row r="105" spans="2:29">
      <c r="B105" s="158" t="str">
        <f>IF(LEFT(Technologies!B$600,1)="*","*R4","R4")</f>
        <v>*R4</v>
      </c>
      <c r="C105" s="158" t="e">
        <f>Technologies!C$600</f>
        <v>#REF!</v>
      </c>
      <c r="D105" s="158" t="e">
        <f>Technologies!D$600</f>
        <v>#REF!</v>
      </c>
      <c r="E105" s="197" t="str">
        <f>Commodities!C$137</f>
        <v>LPGR1</v>
      </c>
      <c r="F105" s="197" t="e">
        <f>Commodities!C$237</f>
        <v>#REF!</v>
      </c>
      <c r="G105" s="204">
        <v>1</v>
      </c>
      <c r="H105" s="203" t="e">
        <f t="shared" si="16"/>
        <v>#REF!</v>
      </c>
      <c r="I105" s="203" t="e">
        <f t="shared" si="16"/>
        <v>#REF!</v>
      </c>
      <c r="J105" s="203" t="e">
        <f t="shared" si="16"/>
        <v>#REF!</v>
      </c>
      <c r="K105" s="203" t="e">
        <f t="shared" si="16"/>
        <v>#REF!</v>
      </c>
      <c r="L105" s="203" t="e">
        <f t="shared" si="16"/>
        <v>#REF!</v>
      </c>
      <c r="M105" s="203" t="e">
        <f t="shared" si="16"/>
        <v>#REF!</v>
      </c>
      <c r="N105" s="203" t="e">
        <f t="shared" si="16"/>
        <v>#REF!</v>
      </c>
      <c r="O105" s="203" t="e">
        <f t="shared" si="16"/>
        <v>#REF!</v>
      </c>
      <c r="P105" s="203" t="e">
        <f t="shared" si="16"/>
        <v>#REF!</v>
      </c>
      <c r="Q105" s="203" t="e">
        <f t="shared" si="16"/>
        <v>#REF!</v>
      </c>
      <c r="S105" s="177"/>
      <c r="T105" s="177"/>
      <c r="U105" s="177"/>
      <c r="V105" s="177"/>
      <c r="W105" s="177"/>
      <c r="X105" s="177"/>
      <c r="Y105" s="177"/>
      <c r="Z105" s="177"/>
      <c r="AA105" s="177"/>
      <c r="AB105" s="177"/>
      <c r="AC105" s="177"/>
    </row>
    <row r="106" spans="2:29">
      <c r="B106" s="158" t="str">
        <f>IF(LEFT(Technologies!B$601,1)="*","*R4","R4")</f>
        <v>*R4</v>
      </c>
      <c r="C106" s="158" t="e">
        <f>Technologies!C$601</f>
        <v>#REF!</v>
      </c>
      <c r="D106" s="158" t="e">
        <f>Technologies!D$601</f>
        <v>#REF!</v>
      </c>
      <c r="E106" s="197" t="str">
        <f>Commodities!C$138</f>
        <v>MTHR1</v>
      </c>
      <c r="F106" s="197" t="e">
        <f>Commodities!C$238</f>
        <v>#REF!</v>
      </c>
      <c r="G106" s="204">
        <v>1</v>
      </c>
      <c r="H106" s="203" t="e">
        <f t="shared" si="16"/>
        <v>#REF!</v>
      </c>
      <c r="I106" s="203" t="e">
        <f t="shared" si="16"/>
        <v>#REF!</v>
      </c>
      <c r="J106" s="203" t="e">
        <f t="shared" si="16"/>
        <v>#REF!</v>
      </c>
      <c r="K106" s="203" t="e">
        <f t="shared" si="16"/>
        <v>#REF!</v>
      </c>
      <c r="L106" s="203" t="e">
        <f t="shared" si="16"/>
        <v>#REF!</v>
      </c>
      <c r="M106" s="203" t="e">
        <f t="shared" si="16"/>
        <v>#REF!</v>
      </c>
      <c r="N106" s="203" t="e">
        <f t="shared" si="16"/>
        <v>#REF!</v>
      </c>
      <c r="O106" s="203" t="e">
        <f t="shared" si="16"/>
        <v>#REF!</v>
      </c>
      <c r="P106" s="203" t="e">
        <f t="shared" si="16"/>
        <v>#REF!</v>
      </c>
      <c r="Q106" s="203" t="e">
        <f t="shared" si="16"/>
        <v>#REF!</v>
      </c>
      <c r="S106" s="177"/>
      <c r="T106" s="177"/>
      <c r="U106" s="177"/>
      <c r="V106" s="177"/>
      <c r="W106" s="177"/>
      <c r="X106" s="177"/>
      <c r="Y106" s="177"/>
      <c r="Z106" s="177"/>
      <c r="AA106" s="177"/>
      <c r="AB106" s="177"/>
      <c r="AC106" s="177"/>
    </row>
    <row r="107" spans="2:29">
      <c r="B107" s="158" t="str">
        <f>IF(LEFT(Technologies!B$602,1)="*","*R4","R4")</f>
        <v>*R4</v>
      </c>
      <c r="C107" s="158" t="e">
        <f>Technologies!C$602</f>
        <v>#REF!</v>
      </c>
      <c r="D107" s="158" t="e">
        <f>Technologies!D$602</f>
        <v>#REF!</v>
      </c>
      <c r="E107" s="197" t="str">
        <f>Commodities!C$139</f>
        <v>PFSR1</v>
      </c>
      <c r="F107" s="197" t="e">
        <f>Commodities!C$239</f>
        <v>#REF!</v>
      </c>
      <c r="G107" s="204">
        <v>1</v>
      </c>
      <c r="H107" s="203" t="e">
        <f t="shared" ref="H107:Q114" si="17">H81</f>
        <v>#REF!</v>
      </c>
      <c r="I107" s="203" t="e">
        <f t="shared" si="17"/>
        <v>#REF!</v>
      </c>
      <c r="J107" s="203" t="e">
        <f t="shared" si="17"/>
        <v>#REF!</v>
      </c>
      <c r="K107" s="203" t="e">
        <f t="shared" si="17"/>
        <v>#REF!</v>
      </c>
      <c r="L107" s="203" t="e">
        <f t="shared" si="17"/>
        <v>#REF!</v>
      </c>
      <c r="M107" s="203" t="e">
        <f t="shared" si="17"/>
        <v>#REF!</v>
      </c>
      <c r="N107" s="203" t="e">
        <f t="shared" si="17"/>
        <v>#REF!</v>
      </c>
      <c r="O107" s="203" t="e">
        <f t="shared" si="17"/>
        <v>#REF!</v>
      </c>
      <c r="P107" s="203" t="e">
        <f t="shared" si="17"/>
        <v>#REF!</v>
      </c>
      <c r="Q107" s="203" t="e">
        <f t="shared" si="17"/>
        <v>#REF!</v>
      </c>
      <c r="S107" s="177"/>
      <c r="T107" s="177"/>
      <c r="U107" s="177"/>
      <c r="V107" s="177"/>
      <c r="W107" s="177"/>
      <c r="X107" s="177"/>
      <c r="Y107" s="177"/>
      <c r="Z107" s="177"/>
      <c r="AA107" s="177"/>
      <c r="AB107" s="177"/>
      <c r="AC107" s="177"/>
    </row>
    <row r="108" spans="2:29">
      <c r="B108" s="158" t="str">
        <f>IF(LEFT(Technologies!B$603,1)="*","*R4","R4")</f>
        <v>*R4</v>
      </c>
      <c r="C108" s="158" t="e">
        <f>Technologies!C$603</f>
        <v>#REF!</v>
      </c>
      <c r="D108" s="158" t="e">
        <f>Technologies!D$603</f>
        <v>#REF!</v>
      </c>
      <c r="E108" s="197" t="str">
        <f>Commodities!C$141</f>
        <v>RFLR1</v>
      </c>
      <c r="F108" s="197" t="str">
        <f>Commodities!C$240</f>
        <v>RESRFL</v>
      </c>
      <c r="G108" s="204">
        <v>1</v>
      </c>
      <c r="H108" s="203" t="e">
        <f t="shared" si="17"/>
        <v>#REF!</v>
      </c>
      <c r="I108" s="203" t="e">
        <f t="shared" si="17"/>
        <v>#REF!</v>
      </c>
      <c r="J108" s="203" t="e">
        <f t="shared" si="17"/>
        <v>#REF!</v>
      </c>
      <c r="K108" s="203" t="e">
        <f t="shared" si="17"/>
        <v>#REF!</v>
      </c>
      <c r="L108" s="203" t="e">
        <f t="shared" si="17"/>
        <v>#REF!</v>
      </c>
      <c r="M108" s="203" t="e">
        <f t="shared" si="17"/>
        <v>#REF!</v>
      </c>
      <c r="N108" s="203" t="e">
        <f t="shared" si="17"/>
        <v>#REF!</v>
      </c>
      <c r="O108" s="203" t="e">
        <f t="shared" si="17"/>
        <v>#REF!</v>
      </c>
      <c r="P108" s="203" t="e">
        <f t="shared" si="17"/>
        <v>#REF!</v>
      </c>
      <c r="Q108" s="203" t="e">
        <f t="shared" si="17"/>
        <v>#REF!</v>
      </c>
      <c r="S108" s="177"/>
      <c r="T108" s="177"/>
      <c r="U108" s="177"/>
      <c r="V108" s="177"/>
      <c r="W108" s="177"/>
      <c r="X108" s="177"/>
      <c r="Y108" s="177"/>
      <c r="Z108" s="177"/>
      <c r="AA108" s="177"/>
      <c r="AB108" s="177"/>
      <c r="AC108" s="177"/>
    </row>
    <row r="109" spans="2:29">
      <c r="B109" s="158" t="str">
        <f>IF(LEFT(Technologies!B$604,1)="*","*R4","R4")</f>
        <v>*R4</v>
      </c>
      <c r="C109" s="158" t="e">
        <f>Technologies!C$604</f>
        <v>#REF!</v>
      </c>
      <c r="D109" s="158" t="e">
        <f>Technologies!D$604</f>
        <v>#REF!</v>
      </c>
      <c r="E109" s="197" t="str">
        <f>Commodities!C$141</f>
        <v>RFLR1</v>
      </c>
      <c r="F109" s="197" t="e">
        <f>Commodities!C$241</f>
        <v>#REF!</v>
      </c>
      <c r="G109" s="204">
        <v>1</v>
      </c>
      <c r="H109" s="203" t="e">
        <f t="shared" si="17"/>
        <v>#REF!</v>
      </c>
      <c r="I109" s="203" t="e">
        <f t="shared" si="17"/>
        <v>#REF!</v>
      </c>
      <c r="J109" s="203" t="e">
        <f t="shared" si="17"/>
        <v>#REF!</v>
      </c>
      <c r="K109" s="203" t="e">
        <f t="shared" si="17"/>
        <v>#REF!</v>
      </c>
      <c r="L109" s="203" t="e">
        <f t="shared" si="17"/>
        <v>#REF!</v>
      </c>
      <c r="M109" s="203" t="e">
        <f t="shared" si="17"/>
        <v>#REF!</v>
      </c>
      <c r="N109" s="203" t="e">
        <f t="shared" si="17"/>
        <v>#REF!</v>
      </c>
      <c r="O109" s="203" t="e">
        <f t="shared" si="17"/>
        <v>#REF!</v>
      </c>
      <c r="P109" s="203" t="e">
        <f t="shared" si="17"/>
        <v>#REF!</v>
      </c>
      <c r="Q109" s="203" t="e">
        <f t="shared" si="17"/>
        <v>#REF!</v>
      </c>
      <c r="S109" s="177"/>
      <c r="T109" s="177"/>
      <c r="U109" s="177"/>
      <c r="V109" s="177"/>
      <c r="W109" s="177"/>
      <c r="X109" s="177"/>
      <c r="Y109" s="177"/>
      <c r="Z109" s="177"/>
      <c r="AA109" s="177"/>
      <c r="AB109" s="177"/>
      <c r="AC109" s="177"/>
    </row>
    <row r="110" spans="2:29">
      <c r="B110" s="158" t="str">
        <f>IF(LEFT(Technologies!B$605,1)="*","*R4","R4")</f>
        <v>R4</v>
      </c>
      <c r="C110" s="158" t="e">
        <f>Technologies!C$605</f>
        <v>#REF!</v>
      </c>
      <c r="D110" s="158" t="e">
        <f>Technologies!D$605</f>
        <v>#REF!</v>
      </c>
      <c r="E110" s="197" t="str">
        <f>Commodities!C$141</f>
        <v>RFLR1</v>
      </c>
      <c r="F110" s="197" t="e">
        <f>Commodities!C$242</f>
        <v>#REF!</v>
      </c>
      <c r="G110" s="204">
        <v>1</v>
      </c>
      <c r="H110" s="203" t="e">
        <f t="shared" si="17"/>
        <v>#REF!</v>
      </c>
      <c r="I110" s="203" t="e">
        <f t="shared" si="17"/>
        <v>#REF!</v>
      </c>
      <c r="J110" s="203" t="e">
        <f t="shared" si="17"/>
        <v>#REF!</v>
      </c>
      <c r="K110" s="203" t="e">
        <f t="shared" si="17"/>
        <v>#REF!</v>
      </c>
      <c r="L110" s="203" t="e">
        <f t="shared" si="17"/>
        <v>#REF!</v>
      </c>
      <c r="M110" s="203" t="e">
        <f t="shared" si="17"/>
        <v>#REF!</v>
      </c>
      <c r="N110" s="203" t="e">
        <f t="shared" si="17"/>
        <v>#REF!</v>
      </c>
      <c r="O110" s="203" t="e">
        <f t="shared" si="17"/>
        <v>#REF!</v>
      </c>
      <c r="P110" s="203" t="e">
        <f t="shared" si="17"/>
        <v>#REF!</v>
      </c>
      <c r="Q110" s="203" t="e">
        <f t="shared" si="17"/>
        <v>#REF!</v>
      </c>
      <c r="S110" s="177"/>
      <c r="T110" s="177"/>
      <c r="U110" s="177"/>
      <c r="V110" s="177"/>
      <c r="W110" s="177"/>
      <c r="X110" s="177"/>
      <c r="Y110" s="177"/>
      <c r="Z110" s="177"/>
      <c r="AA110" s="177"/>
      <c r="AB110" s="177"/>
      <c r="AC110" s="177"/>
    </row>
    <row r="111" spans="2:29">
      <c r="B111" s="158" t="str">
        <f>IF(LEFT(Technologies!B$606,1)="*","*R4","R4")</f>
        <v>*R4</v>
      </c>
      <c r="C111" s="158" t="e">
        <f>Technologies!C$606</f>
        <v>#REF!</v>
      </c>
      <c r="D111" s="158" t="e">
        <f>Technologies!D$606</f>
        <v>#REF!</v>
      </c>
      <c r="E111" s="197" t="str">
        <f>Commodities!C$141</f>
        <v>RFLR1</v>
      </c>
      <c r="F111" s="197" t="e">
        <f>Commodities!C$243</f>
        <v>#REF!</v>
      </c>
      <c r="G111" s="204">
        <v>1</v>
      </c>
      <c r="H111" s="203" t="e">
        <f t="shared" si="17"/>
        <v>#REF!</v>
      </c>
      <c r="I111" s="203" t="e">
        <f t="shared" si="17"/>
        <v>#REF!</v>
      </c>
      <c r="J111" s="203" t="e">
        <f t="shared" si="17"/>
        <v>#REF!</v>
      </c>
      <c r="K111" s="203" t="e">
        <f t="shared" si="17"/>
        <v>#REF!</v>
      </c>
      <c r="L111" s="203" t="e">
        <f t="shared" si="17"/>
        <v>#REF!</v>
      </c>
      <c r="M111" s="203" t="e">
        <f t="shared" si="17"/>
        <v>#REF!</v>
      </c>
      <c r="N111" s="203" t="e">
        <f t="shared" si="17"/>
        <v>#REF!</v>
      </c>
      <c r="O111" s="203" t="e">
        <f t="shared" si="17"/>
        <v>#REF!</v>
      </c>
      <c r="P111" s="203" t="e">
        <f t="shared" si="17"/>
        <v>#REF!</v>
      </c>
      <c r="Q111" s="203" t="e">
        <f t="shared" si="17"/>
        <v>#REF!</v>
      </c>
      <c r="S111" s="177"/>
      <c r="T111" s="177"/>
      <c r="U111" s="177"/>
      <c r="V111" s="177"/>
      <c r="W111" s="177"/>
      <c r="X111" s="177"/>
      <c r="Y111" s="177"/>
      <c r="Z111" s="177"/>
      <c r="AA111" s="177"/>
      <c r="AB111" s="177"/>
      <c r="AC111" s="177"/>
    </row>
    <row r="112" spans="2:29">
      <c r="B112" s="158" t="str">
        <f>IF(LEFT(Technologies!B$607,1)="*","*R4","R4")</f>
        <v>*R4</v>
      </c>
      <c r="C112" s="158" t="e">
        <f>Technologies!C$607</f>
        <v>#REF!</v>
      </c>
      <c r="D112" s="158" t="e">
        <f>Technologies!D$607</f>
        <v>#REF!</v>
      </c>
      <c r="E112" s="197" t="str">
        <f>Commodities!C$140</f>
        <v>RFHR1</v>
      </c>
      <c r="F112" s="197" t="e">
        <f>Commodities!C$244</f>
        <v>#REF!</v>
      </c>
      <c r="G112" s="204">
        <v>1</v>
      </c>
      <c r="H112" s="203" t="e">
        <f t="shared" si="17"/>
        <v>#REF!</v>
      </c>
      <c r="I112" s="203" t="e">
        <f t="shared" si="17"/>
        <v>#REF!</v>
      </c>
      <c r="J112" s="203" t="e">
        <f t="shared" si="17"/>
        <v>#REF!</v>
      </c>
      <c r="K112" s="203" t="e">
        <f t="shared" si="17"/>
        <v>#REF!</v>
      </c>
      <c r="L112" s="203" t="e">
        <f t="shared" si="17"/>
        <v>#REF!</v>
      </c>
      <c r="M112" s="203" t="e">
        <f t="shared" si="17"/>
        <v>#REF!</v>
      </c>
      <c r="N112" s="203" t="e">
        <f t="shared" si="17"/>
        <v>#REF!</v>
      </c>
      <c r="O112" s="203" t="e">
        <f t="shared" si="17"/>
        <v>#REF!</v>
      </c>
      <c r="P112" s="203" t="e">
        <f t="shared" si="17"/>
        <v>#REF!</v>
      </c>
      <c r="Q112" s="203" t="e">
        <f t="shared" si="17"/>
        <v>#REF!</v>
      </c>
      <c r="S112" s="177"/>
      <c r="T112" s="177"/>
      <c r="U112" s="177"/>
      <c r="V112" s="177"/>
      <c r="W112" s="177"/>
      <c r="X112" s="177"/>
      <c r="Y112" s="177"/>
      <c r="Z112" s="177"/>
      <c r="AA112" s="177"/>
      <c r="AB112" s="177"/>
      <c r="AC112" s="177"/>
    </row>
    <row r="113" spans="2:29">
      <c r="B113" s="158" t="str">
        <f>IF(LEFT(Technologies!B$608,1)="*","*R4","R4")</f>
        <v>*R4</v>
      </c>
      <c r="C113" s="158" t="e">
        <f>Technologies!C$608</f>
        <v>#REF!</v>
      </c>
      <c r="D113" s="158" t="e">
        <f>Technologies!D$608</f>
        <v>#REF!</v>
      </c>
      <c r="E113" s="197" t="str">
        <f>Commodities!C$140</f>
        <v>RFHR1</v>
      </c>
      <c r="F113" s="197" t="e">
        <f>Commodities!C$245</f>
        <v>#REF!</v>
      </c>
      <c r="G113" s="204">
        <v>1</v>
      </c>
      <c r="H113" s="203" t="e">
        <f t="shared" si="17"/>
        <v>#REF!</v>
      </c>
      <c r="I113" s="203" t="e">
        <f t="shared" si="17"/>
        <v>#REF!</v>
      </c>
      <c r="J113" s="203" t="e">
        <f t="shared" si="17"/>
        <v>#REF!</v>
      </c>
      <c r="K113" s="203" t="e">
        <f t="shared" si="17"/>
        <v>#REF!</v>
      </c>
      <c r="L113" s="203" t="e">
        <f t="shared" si="17"/>
        <v>#REF!</v>
      </c>
      <c r="M113" s="203" t="e">
        <f t="shared" si="17"/>
        <v>#REF!</v>
      </c>
      <c r="N113" s="203" t="e">
        <f t="shared" si="17"/>
        <v>#REF!</v>
      </c>
      <c r="O113" s="203" t="e">
        <f t="shared" si="17"/>
        <v>#REF!</v>
      </c>
      <c r="P113" s="203" t="e">
        <f t="shared" si="17"/>
        <v>#REF!</v>
      </c>
      <c r="Q113" s="203" t="e">
        <f t="shared" si="17"/>
        <v>#REF!</v>
      </c>
      <c r="S113" s="177"/>
      <c r="T113" s="177"/>
      <c r="U113" s="177"/>
      <c r="V113" s="177"/>
      <c r="W113" s="177"/>
      <c r="X113" s="177"/>
      <c r="Y113" s="177"/>
      <c r="Z113" s="177"/>
      <c r="AA113" s="177"/>
      <c r="AB113" s="177"/>
      <c r="AC113" s="177"/>
    </row>
    <row r="114" spans="2:29">
      <c r="B114" s="158" t="str">
        <f>IF(LEFT(Technologies!B$609,1)="*","*R4","R4")</f>
        <v>*R4</v>
      </c>
      <c r="C114" s="158" t="e">
        <f>Technologies!C$609</f>
        <v>#REF!</v>
      </c>
      <c r="D114" s="158" t="e">
        <f>Technologies!D$609</f>
        <v>#REF!</v>
      </c>
      <c r="E114" s="197" t="str">
        <f>Commodities!C$142</f>
        <v>ASPR1</v>
      </c>
      <c r="F114" s="197" t="e">
        <f>Commodities!C$246</f>
        <v>#REF!</v>
      </c>
      <c r="G114" s="204">
        <v>1</v>
      </c>
      <c r="H114" s="203" t="e">
        <f t="shared" si="17"/>
        <v>#REF!</v>
      </c>
      <c r="I114" s="203" t="e">
        <f t="shared" si="17"/>
        <v>#REF!</v>
      </c>
      <c r="J114" s="203" t="e">
        <f t="shared" si="17"/>
        <v>#REF!</v>
      </c>
      <c r="K114" s="203" t="e">
        <f t="shared" si="17"/>
        <v>#REF!</v>
      </c>
      <c r="L114" s="203" t="e">
        <f t="shared" si="17"/>
        <v>#REF!</v>
      </c>
      <c r="M114" s="203" t="e">
        <f t="shared" si="17"/>
        <v>#REF!</v>
      </c>
      <c r="N114" s="203" t="e">
        <f t="shared" si="17"/>
        <v>#REF!</v>
      </c>
      <c r="O114" s="203" t="e">
        <f t="shared" si="17"/>
        <v>#REF!</v>
      </c>
      <c r="P114" s="203" t="e">
        <f t="shared" si="17"/>
        <v>#REF!</v>
      </c>
      <c r="Q114" s="203" t="e">
        <f t="shared" si="17"/>
        <v>#REF!</v>
      </c>
      <c r="S114" s="177"/>
      <c r="T114" s="177"/>
      <c r="U114" s="177"/>
      <c r="V114" s="177"/>
      <c r="W114" s="177"/>
      <c r="X114" s="177"/>
      <c r="Y114" s="177"/>
      <c r="Z114" s="177"/>
      <c r="AA114" s="177"/>
      <c r="AB114" s="177"/>
      <c r="AC114" s="177"/>
    </row>
    <row r="115" spans="2:29">
      <c r="B115" s="158" t="s">
        <v>398</v>
      </c>
      <c r="C115" s="158"/>
      <c r="D115" s="158"/>
      <c r="E115" s="197"/>
      <c r="F115" s="197"/>
      <c r="G115" s="204"/>
      <c r="H115" s="203"/>
      <c r="I115" s="203"/>
      <c r="J115" s="203"/>
      <c r="K115" s="203"/>
      <c r="L115" s="203"/>
      <c r="M115" s="203"/>
      <c r="N115" s="203"/>
      <c r="O115" s="203"/>
      <c r="P115" s="203"/>
      <c r="Q115" s="203"/>
      <c r="S115" s="177"/>
      <c r="T115" s="177"/>
      <c r="U115" s="177"/>
      <c r="V115" s="177"/>
      <c r="W115" s="177"/>
      <c r="X115" s="177"/>
      <c r="Y115" s="177"/>
      <c r="Z115" s="177"/>
      <c r="AA115" s="177"/>
      <c r="AB115" s="177"/>
      <c r="AC115" s="177"/>
    </row>
    <row r="116" spans="2:29">
      <c r="B116" s="158" t="str">
        <f>IF(LEFT(Technologies!B$585,1)="*","*R5","R5")</f>
        <v>R5</v>
      </c>
      <c r="C116" s="158" t="e">
        <f>Technologies!C$585</f>
        <v>#REF!</v>
      </c>
      <c r="D116" s="158" t="e">
        <f>Technologies!D$585</f>
        <v>#REF!</v>
      </c>
      <c r="E116" s="197" t="str">
        <f>Commodities!C$130</f>
        <v>GSCR1</v>
      </c>
      <c r="F116" s="197" t="e">
        <f>Commodities!C$222</f>
        <v>#REF!</v>
      </c>
      <c r="G116" s="204">
        <v>1</v>
      </c>
      <c r="H116" s="203" t="e">
        <f t="shared" ref="H116:Q116" si="18">H90</f>
        <v>#REF!</v>
      </c>
      <c r="I116" s="203" t="e">
        <f t="shared" si="18"/>
        <v>#REF!</v>
      </c>
      <c r="J116" s="203" t="e">
        <f t="shared" si="18"/>
        <v>#REF!</v>
      </c>
      <c r="K116" s="203" t="e">
        <f t="shared" si="18"/>
        <v>#REF!</v>
      </c>
      <c r="L116" s="203" t="e">
        <f t="shared" si="18"/>
        <v>#REF!</v>
      </c>
      <c r="M116" s="203" t="e">
        <f t="shared" si="18"/>
        <v>#REF!</v>
      </c>
      <c r="N116" s="203" t="e">
        <f t="shared" si="18"/>
        <v>#REF!</v>
      </c>
      <c r="O116" s="203" t="e">
        <f t="shared" si="18"/>
        <v>#REF!</v>
      </c>
      <c r="P116" s="203" t="e">
        <f t="shared" si="18"/>
        <v>#REF!</v>
      </c>
      <c r="Q116" s="203" t="e">
        <f t="shared" si="18"/>
        <v>#REF!</v>
      </c>
      <c r="S116" s="177"/>
      <c r="T116" s="177"/>
      <c r="U116" s="177"/>
      <c r="V116" s="177"/>
      <c r="W116" s="177"/>
      <c r="X116" s="177"/>
      <c r="Y116" s="177"/>
      <c r="Z116" s="177"/>
      <c r="AA116" s="177"/>
      <c r="AB116" s="177"/>
      <c r="AC116" s="177"/>
    </row>
    <row r="117" spans="2:29">
      <c r="B117" s="158" t="str">
        <f>IF(LEFT(Technologies!B$586,1)="*","*R5","R5")</f>
        <v>R5</v>
      </c>
      <c r="C117" s="158" t="e">
        <f>Technologies!C$586</f>
        <v>#REF!</v>
      </c>
      <c r="D117" s="158" t="e">
        <f>Technologies!D$586</f>
        <v>#REF!</v>
      </c>
      <c r="E117" s="197" t="str">
        <f>Commodities!C$131</f>
        <v>GSRR1</v>
      </c>
      <c r="F117" s="197" t="e">
        <f>Commodities!C$223</f>
        <v>#REF!</v>
      </c>
      <c r="G117" s="204">
        <v>1</v>
      </c>
      <c r="H117" s="203" t="e">
        <f t="shared" ref="H117:Q132" si="19">H91</f>
        <v>#REF!</v>
      </c>
      <c r="I117" s="203" t="e">
        <f t="shared" si="19"/>
        <v>#REF!</v>
      </c>
      <c r="J117" s="203" t="e">
        <f t="shared" si="19"/>
        <v>#REF!</v>
      </c>
      <c r="K117" s="203" t="e">
        <f t="shared" si="19"/>
        <v>#REF!</v>
      </c>
      <c r="L117" s="203" t="e">
        <f t="shared" si="19"/>
        <v>#REF!</v>
      </c>
      <c r="M117" s="203" t="e">
        <f t="shared" si="19"/>
        <v>#REF!</v>
      </c>
      <c r="N117" s="203" t="e">
        <f t="shared" si="19"/>
        <v>#REF!</v>
      </c>
      <c r="O117" s="203" t="e">
        <f t="shared" si="19"/>
        <v>#REF!</v>
      </c>
      <c r="P117" s="203" t="e">
        <f t="shared" si="19"/>
        <v>#REF!</v>
      </c>
      <c r="Q117" s="203" t="e">
        <f t="shared" si="19"/>
        <v>#REF!</v>
      </c>
      <c r="S117" s="177"/>
      <c r="T117" s="177"/>
      <c r="U117" s="177"/>
      <c r="V117" s="177"/>
      <c r="W117" s="177"/>
      <c r="X117" s="177"/>
      <c r="Y117" s="177"/>
      <c r="Z117" s="177"/>
      <c r="AA117" s="177"/>
      <c r="AB117" s="177"/>
      <c r="AC117" s="177"/>
    </row>
    <row r="118" spans="2:29">
      <c r="B118" s="158" t="str">
        <f>IF(LEFT(Technologies!B$587,1)="*","*R5","R5")</f>
        <v>R5</v>
      </c>
      <c r="C118" s="158" t="e">
        <f>Technologies!C$587</f>
        <v>#REF!</v>
      </c>
      <c r="D118" s="158" t="e">
        <f>Technologies!D$587</f>
        <v>#REF!</v>
      </c>
      <c r="E118" s="197" t="str">
        <f>Commodities!C$132</f>
        <v>DSHR1</v>
      </c>
      <c r="F118" s="197" t="e">
        <f>Commodities!C$224</f>
        <v>#REF!</v>
      </c>
      <c r="G118" s="204">
        <v>1</v>
      </c>
      <c r="H118" s="203" t="e">
        <f t="shared" si="19"/>
        <v>#REF!</v>
      </c>
      <c r="I118" s="203" t="e">
        <f t="shared" si="19"/>
        <v>#REF!</v>
      </c>
      <c r="J118" s="203" t="e">
        <f t="shared" si="19"/>
        <v>#REF!</v>
      </c>
      <c r="K118" s="203" t="e">
        <f t="shared" si="19"/>
        <v>#REF!</v>
      </c>
      <c r="L118" s="203" t="e">
        <f t="shared" si="19"/>
        <v>#REF!</v>
      </c>
      <c r="M118" s="203" t="e">
        <f t="shared" si="19"/>
        <v>#REF!</v>
      </c>
      <c r="N118" s="203" t="e">
        <f t="shared" si="19"/>
        <v>#REF!</v>
      </c>
      <c r="O118" s="203" t="e">
        <f t="shared" si="19"/>
        <v>#REF!</v>
      </c>
      <c r="P118" s="203" t="e">
        <f t="shared" si="19"/>
        <v>#REF!</v>
      </c>
      <c r="Q118" s="203" t="e">
        <f t="shared" si="19"/>
        <v>#REF!</v>
      </c>
      <c r="S118" s="177"/>
      <c r="T118" s="177"/>
      <c r="U118" s="177"/>
      <c r="V118" s="177"/>
      <c r="W118" s="177"/>
      <c r="X118" s="177"/>
      <c r="Y118" s="177"/>
      <c r="Z118" s="177"/>
      <c r="AA118" s="177"/>
      <c r="AB118" s="177"/>
      <c r="AC118" s="177"/>
    </row>
    <row r="119" spans="2:29">
      <c r="B119" s="158" t="str">
        <f>IF(LEFT(Technologies!B$588,1)="*","*R5","R5")</f>
        <v>R5</v>
      </c>
      <c r="C119" s="158" t="e">
        <f>Technologies!C$588</f>
        <v>#REF!</v>
      </c>
      <c r="D119" s="158" t="e">
        <f>Technologies!D$588</f>
        <v>#REF!</v>
      </c>
      <c r="E119" s="197" t="str">
        <f>Commodities!C$132</f>
        <v>DSHR1</v>
      </c>
      <c r="F119" s="197" t="e">
        <f>Commodities!C$225</f>
        <v>#REF!</v>
      </c>
      <c r="G119" s="204">
        <v>1</v>
      </c>
      <c r="H119" s="203" t="e">
        <f t="shared" si="19"/>
        <v>#REF!</v>
      </c>
      <c r="I119" s="203" t="e">
        <f t="shared" si="19"/>
        <v>#REF!</v>
      </c>
      <c r="J119" s="203" t="e">
        <f t="shared" si="19"/>
        <v>#REF!</v>
      </c>
      <c r="K119" s="203" t="e">
        <f t="shared" si="19"/>
        <v>#REF!</v>
      </c>
      <c r="L119" s="203" t="e">
        <f t="shared" si="19"/>
        <v>#REF!</v>
      </c>
      <c r="M119" s="203" t="e">
        <f t="shared" si="19"/>
        <v>#REF!</v>
      </c>
      <c r="N119" s="203" t="e">
        <f t="shared" si="19"/>
        <v>#REF!</v>
      </c>
      <c r="O119" s="203" t="e">
        <f t="shared" si="19"/>
        <v>#REF!</v>
      </c>
      <c r="P119" s="203" t="e">
        <f t="shared" si="19"/>
        <v>#REF!</v>
      </c>
      <c r="Q119" s="203" t="e">
        <f t="shared" si="19"/>
        <v>#REF!</v>
      </c>
      <c r="S119" s="177"/>
      <c r="T119" s="177"/>
      <c r="U119" s="177"/>
      <c r="V119" s="177"/>
      <c r="W119" s="177"/>
      <c r="X119" s="177"/>
      <c r="Y119" s="177"/>
      <c r="Z119" s="177"/>
      <c r="AA119" s="177"/>
      <c r="AB119" s="177"/>
      <c r="AC119" s="177"/>
    </row>
    <row r="120" spans="2:29">
      <c r="B120" s="158" t="str">
        <f>IF(LEFT(Technologies!B$589,1)="*","*R5","R5")</f>
        <v>*R5</v>
      </c>
      <c r="C120" s="158" t="e">
        <f>Technologies!C$589</f>
        <v>#REF!</v>
      </c>
      <c r="D120" s="158" t="e">
        <f>Technologies!D$589</f>
        <v>#REF!</v>
      </c>
      <c r="E120" s="197" t="str">
        <f>Commodities!C$132</f>
        <v>DSHR1</v>
      </c>
      <c r="F120" s="197" t="e">
        <f>Commodities!C$226</f>
        <v>#REF!</v>
      </c>
      <c r="G120" s="204">
        <v>1</v>
      </c>
      <c r="H120" s="203" t="e">
        <f t="shared" si="19"/>
        <v>#REF!</v>
      </c>
      <c r="I120" s="203" t="e">
        <f t="shared" si="19"/>
        <v>#REF!</v>
      </c>
      <c r="J120" s="203" t="e">
        <f t="shared" si="19"/>
        <v>#REF!</v>
      </c>
      <c r="K120" s="203" t="e">
        <f t="shared" si="19"/>
        <v>#REF!</v>
      </c>
      <c r="L120" s="203" t="e">
        <f t="shared" si="19"/>
        <v>#REF!</v>
      </c>
      <c r="M120" s="203" t="e">
        <f t="shared" si="19"/>
        <v>#REF!</v>
      </c>
      <c r="N120" s="203" t="e">
        <f t="shared" si="19"/>
        <v>#REF!</v>
      </c>
      <c r="O120" s="203" t="e">
        <f t="shared" si="19"/>
        <v>#REF!</v>
      </c>
      <c r="P120" s="203" t="e">
        <f t="shared" si="19"/>
        <v>#REF!</v>
      </c>
      <c r="Q120" s="203" t="e">
        <f t="shared" si="19"/>
        <v>#REF!</v>
      </c>
      <c r="S120" s="177"/>
      <c r="T120" s="177"/>
      <c r="U120" s="177"/>
      <c r="V120" s="177"/>
      <c r="W120" s="177"/>
      <c r="X120" s="177"/>
      <c r="Y120" s="177"/>
      <c r="Z120" s="177"/>
      <c r="AA120" s="177"/>
      <c r="AB120" s="177"/>
      <c r="AC120" s="177"/>
    </row>
    <row r="121" spans="2:29">
      <c r="B121" s="158" t="str">
        <f>IF(LEFT(Technologies!B$590,1)="*","*R5","R5")</f>
        <v>R5</v>
      </c>
      <c r="C121" s="158" t="e">
        <f>Technologies!C$590</f>
        <v>#REF!</v>
      </c>
      <c r="D121" s="158" t="e">
        <f>Technologies!D$590</f>
        <v>#REF!</v>
      </c>
      <c r="E121" s="197" t="str">
        <f>Commodities!C$132</f>
        <v>DSHR1</v>
      </c>
      <c r="F121" s="197" t="e">
        <f>Commodities!C$227</f>
        <v>#REF!</v>
      </c>
      <c r="G121" s="204">
        <v>1</v>
      </c>
      <c r="H121" s="203" t="e">
        <f t="shared" si="19"/>
        <v>#REF!</v>
      </c>
      <c r="I121" s="203" t="e">
        <f t="shared" si="19"/>
        <v>#REF!</v>
      </c>
      <c r="J121" s="203" t="e">
        <f t="shared" si="19"/>
        <v>#REF!</v>
      </c>
      <c r="K121" s="203" t="e">
        <f t="shared" si="19"/>
        <v>#REF!</v>
      </c>
      <c r="L121" s="203" t="e">
        <f t="shared" si="19"/>
        <v>#REF!</v>
      </c>
      <c r="M121" s="203" t="e">
        <f t="shared" si="19"/>
        <v>#REF!</v>
      </c>
      <c r="N121" s="203" t="e">
        <f t="shared" si="19"/>
        <v>#REF!</v>
      </c>
      <c r="O121" s="203" t="e">
        <f t="shared" si="19"/>
        <v>#REF!</v>
      </c>
      <c r="P121" s="203" t="e">
        <f t="shared" si="19"/>
        <v>#REF!</v>
      </c>
      <c r="Q121" s="203" t="e">
        <f t="shared" si="19"/>
        <v>#REF!</v>
      </c>
      <c r="S121" s="177"/>
      <c r="T121" s="177"/>
      <c r="U121" s="177"/>
      <c r="V121" s="177"/>
      <c r="W121" s="177"/>
      <c r="X121" s="177"/>
      <c r="Y121" s="177"/>
      <c r="Z121" s="177"/>
      <c r="AA121" s="177"/>
      <c r="AB121" s="177"/>
      <c r="AC121" s="177"/>
    </row>
    <row r="122" spans="2:29">
      <c r="B122" s="158" t="str">
        <f>IF(LEFT(Technologies!B$591,1)="*","*R5","R5")</f>
        <v>R5</v>
      </c>
      <c r="C122" s="158" t="e">
        <f>Technologies!C$591</f>
        <v>#REF!</v>
      </c>
      <c r="D122" s="158" t="e">
        <f>Technologies!D$591</f>
        <v>#REF!</v>
      </c>
      <c r="E122" s="197" t="str">
        <f>Commodities!C$133</f>
        <v>DSLR1</v>
      </c>
      <c r="F122" s="197" t="e">
        <f>Commodities!C$228</f>
        <v>#REF!</v>
      </c>
      <c r="G122" s="204">
        <v>1</v>
      </c>
      <c r="H122" s="203" t="e">
        <f t="shared" si="19"/>
        <v>#REF!</v>
      </c>
      <c r="I122" s="203" t="e">
        <f t="shared" si="19"/>
        <v>#REF!</v>
      </c>
      <c r="J122" s="203" t="e">
        <f t="shared" si="19"/>
        <v>#REF!</v>
      </c>
      <c r="K122" s="203" t="e">
        <f t="shared" si="19"/>
        <v>#REF!</v>
      </c>
      <c r="L122" s="203" t="e">
        <f t="shared" si="19"/>
        <v>#REF!</v>
      </c>
      <c r="M122" s="203" t="e">
        <f t="shared" si="19"/>
        <v>#REF!</v>
      </c>
      <c r="N122" s="203" t="e">
        <f t="shared" si="19"/>
        <v>#REF!</v>
      </c>
      <c r="O122" s="203" t="e">
        <f t="shared" si="19"/>
        <v>#REF!</v>
      </c>
      <c r="P122" s="203" t="e">
        <f t="shared" si="19"/>
        <v>#REF!</v>
      </c>
      <c r="Q122" s="203" t="e">
        <f t="shared" si="19"/>
        <v>#REF!</v>
      </c>
      <c r="S122" s="177"/>
      <c r="T122" s="177"/>
      <c r="U122" s="177"/>
      <c r="V122" s="177"/>
      <c r="W122" s="177"/>
      <c r="X122" s="177"/>
      <c r="Y122" s="177"/>
      <c r="Z122" s="177"/>
      <c r="AA122" s="177"/>
      <c r="AB122" s="177"/>
      <c r="AC122" s="177"/>
    </row>
    <row r="123" spans="2:29">
      <c r="B123" s="158" t="str">
        <f>IF(LEFT(Technologies!B$592,1)="*","*R5","R5")</f>
        <v>R5</v>
      </c>
      <c r="C123" s="158" t="e">
        <f>Technologies!C$592</f>
        <v>#REF!</v>
      </c>
      <c r="D123" s="158" t="e">
        <f>Technologies!D$592</f>
        <v>#REF!</v>
      </c>
      <c r="E123" s="197" t="str">
        <f>Commodities!C$134</f>
        <v>DSUR1</v>
      </c>
      <c r="F123" s="197" t="e">
        <f>Commodities!C$229</f>
        <v>#REF!</v>
      </c>
      <c r="G123" s="204">
        <v>1</v>
      </c>
      <c r="H123" s="203" t="e">
        <f t="shared" si="19"/>
        <v>#REF!</v>
      </c>
      <c r="I123" s="203" t="e">
        <f t="shared" si="19"/>
        <v>#REF!</v>
      </c>
      <c r="J123" s="203" t="e">
        <f t="shared" si="19"/>
        <v>#REF!</v>
      </c>
      <c r="K123" s="203" t="e">
        <f t="shared" si="19"/>
        <v>#REF!</v>
      </c>
      <c r="L123" s="203" t="e">
        <f t="shared" si="19"/>
        <v>#REF!</v>
      </c>
      <c r="M123" s="203" t="e">
        <f t="shared" si="19"/>
        <v>#REF!</v>
      </c>
      <c r="N123" s="203" t="e">
        <f t="shared" si="19"/>
        <v>#REF!</v>
      </c>
      <c r="O123" s="203" t="e">
        <f t="shared" si="19"/>
        <v>#REF!</v>
      </c>
      <c r="P123" s="203" t="e">
        <f t="shared" si="19"/>
        <v>#REF!</v>
      </c>
      <c r="Q123" s="203" t="e">
        <f t="shared" si="19"/>
        <v>#REF!</v>
      </c>
      <c r="S123" s="177"/>
      <c r="T123" s="177"/>
      <c r="U123" s="177"/>
      <c r="V123" s="177"/>
      <c r="W123" s="177"/>
      <c r="X123" s="177"/>
      <c r="Y123" s="177"/>
      <c r="Z123" s="177"/>
      <c r="AA123" s="177"/>
      <c r="AB123" s="177"/>
      <c r="AC123" s="177"/>
    </row>
    <row r="124" spans="2:29">
      <c r="B124" s="158" t="str">
        <f>IF(LEFT(Technologies!B$593,1)="*","*R5","R5")</f>
        <v>*R5</v>
      </c>
      <c r="C124" s="158" t="e">
        <f>Technologies!C$593</f>
        <v>#REF!</v>
      </c>
      <c r="D124" s="158" t="e">
        <f>Technologies!D$593</f>
        <v>#REF!</v>
      </c>
      <c r="E124" s="197" t="str">
        <f>Commodities!C$135</f>
        <v>JTFR1</v>
      </c>
      <c r="F124" s="197" t="e">
        <f>Commodities!C$230</f>
        <v>#REF!</v>
      </c>
      <c r="G124" s="204">
        <v>1</v>
      </c>
      <c r="H124" s="203" t="e">
        <f t="shared" si="19"/>
        <v>#REF!</v>
      </c>
      <c r="I124" s="203" t="e">
        <f t="shared" si="19"/>
        <v>#REF!</v>
      </c>
      <c r="J124" s="203" t="e">
        <f t="shared" si="19"/>
        <v>#REF!</v>
      </c>
      <c r="K124" s="203" t="e">
        <f t="shared" si="19"/>
        <v>#REF!</v>
      </c>
      <c r="L124" s="203" t="e">
        <f t="shared" si="19"/>
        <v>#REF!</v>
      </c>
      <c r="M124" s="203" t="e">
        <f t="shared" si="19"/>
        <v>#REF!</v>
      </c>
      <c r="N124" s="203" t="e">
        <f t="shared" si="19"/>
        <v>#REF!</v>
      </c>
      <c r="O124" s="203" t="e">
        <f t="shared" si="19"/>
        <v>#REF!</v>
      </c>
      <c r="P124" s="203" t="e">
        <f t="shared" si="19"/>
        <v>#REF!</v>
      </c>
      <c r="Q124" s="203" t="e">
        <f t="shared" si="19"/>
        <v>#REF!</v>
      </c>
      <c r="S124" s="177"/>
      <c r="T124" s="177"/>
      <c r="U124" s="177"/>
      <c r="V124" s="177"/>
      <c r="W124" s="177"/>
      <c r="X124" s="177"/>
      <c r="Y124" s="177"/>
      <c r="Z124" s="177"/>
      <c r="AA124" s="177"/>
      <c r="AB124" s="177"/>
      <c r="AC124" s="177"/>
    </row>
    <row r="125" spans="2:29">
      <c r="B125" s="158" t="str">
        <f>IF(LEFT(Technologies!B$594,1)="*","*R5","R5")</f>
        <v>*R5</v>
      </c>
      <c r="C125" s="158" t="e">
        <f>Technologies!C$594</f>
        <v>#REF!</v>
      </c>
      <c r="D125" s="158" t="e">
        <f>Technologies!D$594</f>
        <v>#REF!</v>
      </c>
      <c r="E125" s="197" t="str">
        <f>Commodities!C$136</f>
        <v>KERR1</v>
      </c>
      <c r="F125" s="197" t="e">
        <f>Commodities!C$231</f>
        <v>#REF!</v>
      </c>
      <c r="G125" s="204">
        <v>1</v>
      </c>
      <c r="H125" s="203" t="e">
        <f t="shared" si="19"/>
        <v>#REF!</v>
      </c>
      <c r="I125" s="203" t="e">
        <f t="shared" si="19"/>
        <v>#REF!</v>
      </c>
      <c r="J125" s="203" t="e">
        <f t="shared" si="19"/>
        <v>#REF!</v>
      </c>
      <c r="K125" s="203" t="e">
        <f t="shared" si="19"/>
        <v>#REF!</v>
      </c>
      <c r="L125" s="203" t="e">
        <f t="shared" si="19"/>
        <v>#REF!</v>
      </c>
      <c r="M125" s="203" t="e">
        <f t="shared" si="19"/>
        <v>#REF!</v>
      </c>
      <c r="N125" s="203" t="e">
        <f t="shared" si="19"/>
        <v>#REF!</v>
      </c>
      <c r="O125" s="203" t="e">
        <f t="shared" si="19"/>
        <v>#REF!</v>
      </c>
      <c r="P125" s="203" t="e">
        <f t="shared" si="19"/>
        <v>#REF!</v>
      </c>
      <c r="Q125" s="203" t="e">
        <f t="shared" si="19"/>
        <v>#REF!</v>
      </c>
      <c r="S125" s="177"/>
      <c r="T125" s="177"/>
      <c r="U125" s="177"/>
      <c r="V125" s="177"/>
      <c r="W125" s="177"/>
      <c r="X125" s="177"/>
      <c r="Y125" s="177"/>
      <c r="Z125" s="177"/>
      <c r="AA125" s="177"/>
      <c r="AB125" s="177"/>
      <c r="AC125" s="177"/>
    </row>
    <row r="126" spans="2:29">
      <c r="B126" s="158" t="str">
        <f>IF(LEFT(Technologies!B$595,1)="*","*R5","R5")</f>
        <v>*R5</v>
      </c>
      <c r="C126" s="158" t="e">
        <f>Technologies!C$595</f>
        <v>#REF!</v>
      </c>
      <c r="D126" s="158" t="e">
        <f>Technologies!D$595</f>
        <v>#REF!</v>
      </c>
      <c r="E126" s="197" t="str">
        <f>Commodities!C$136</f>
        <v>KERR1</v>
      </c>
      <c r="F126" s="197" t="e">
        <f>Commodities!C$232</f>
        <v>#REF!</v>
      </c>
      <c r="G126" s="204">
        <v>1</v>
      </c>
      <c r="H126" s="203" t="e">
        <f t="shared" si="19"/>
        <v>#REF!</v>
      </c>
      <c r="I126" s="203" t="e">
        <f t="shared" si="19"/>
        <v>#REF!</v>
      </c>
      <c r="J126" s="203" t="e">
        <f t="shared" si="19"/>
        <v>#REF!</v>
      </c>
      <c r="K126" s="203" t="e">
        <f t="shared" si="19"/>
        <v>#REF!</v>
      </c>
      <c r="L126" s="203" t="e">
        <f t="shared" si="19"/>
        <v>#REF!</v>
      </c>
      <c r="M126" s="203" t="e">
        <f t="shared" si="19"/>
        <v>#REF!</v>
      </c>
      <c r="N126" s="203" t="e">
        <f t="shared" si="19"/>
        <v>#REF!</v>
      </c>
      <c r="O126" s="203" t="e">
        <f t="shared" si="19"/>
        <v>#REF!</v>
      </c>
      <c r="P126" s="203" t="e">
        <f t="shared" si="19"/>
        <v>#REF!</v>
      </c>
      <c r="Q126" s="203" t="e">
        <f t="shared" si="19"/>
        <v>#REF!</v>
      </c>
      <c r="S126" s="177"/>
      <c r="T126" s="177"/>
      <c r="U126" s="177"/>
      <c r="V126" s="177"/>
      <c r="W126" s="177"/>
      <c r="X126" s="177"/>
      <c r="Y126" s="177"/>
      <c r="Z126" s="177"/>
      <c r="AA126" s="177"/>
      <c r="AB126" s="177"/>
      <c r="AC126" s="177"/>
    </row>
    <row r="127" spans="2:29">
      <c r="B127" s="158" t="str">
        <f>IF(LEFT(Technologies!B$596,1)="*","*R5","R5")</f>
        <v>*R5</v>
      </c>
      <c r="C127" s="158" t="e">
        <f>Technologies!C$596</f>
        <v>#REF!</v>
      </c>
      <c r="D127" s="158" t="e">
        <f>Technologies!D$596</f>
        <v>#REF!</v>
      </c>
      <c r="E127" s="197" t="str">
        <f>Commodities!C$136</f>
        <v>KERR1</v>
      </c>
      <c r="F127" s="197" t="e">
        <f>Commodities!C$233</f>
        <v>#REF!</v>
      </c>
      <c r="G127" s="204">
        <v>1</v>
      </c>
      <c r="H127" s="203" t="e">
        <f t="shared" si="19"/>
        <v>#REF!</v>
      </c>
      <c r="I127" s="203" t="e">
        <f t="shared" si="19"/>
        <v>#REF!</v>
      </c>
      <c r="J127" s="203" t="e">
        <f t="shared" si="19"/>
        <v>#REF!</v>
      </c>
      <c r="K127" s="203" t="e">
        <f t="shared" si="19"/>
        <v>#REF!</v>
      </c>
      <c r="L127" s="203" t="e">
        <f t="shared" si="19"/>
        <v>#REF!</v>
      </c>
      <c r="M127" s="203" t="e">
        <f t="shared" si="19"/>
        <v>#REF!</v>
      </c>
      <c r="N127" s="203" t="e">
        <f t="shared" si="19"/>
        <v>#REF!</v>
      </c>
      <c r="O127" s="203" t="e">
        <f t="shared" si="19"/>
        <v>#REF!</v>
      </c>
      <c r="P127" s="203" t="e">
        <f t="shared" si="19"/>
        <v>#REF!</v>
      </c>
      <c r="Q127" s="203" t="e">
        <f t="shared" si="19"/>
        <v>#REF!</v>
      </c>
      <c r="S127" s="177"/>
      <c r="T127" s="177"/>
      <c r="U127" s="177"/>
      <c r="V127" s="177"/>
      <c r="W127" s="177"/>
      <c r="X127" s="177"/>
      <c r="Y127" s="177"/>
      <c r="Z127" s="177"/>
      <c r="AA127" s="177"/>
      <c r="AB127" s="177"/>
      <c r="AC127" s="177"/>
    </row>
    <row r="128" spans="2:29">
      <c r="B128" s="158" t="str">
        <f>IF(LEFT(Technologies!B$597,1)="*","*R5","R5")</f>
        <v>*R5</v>
      </c>
      <c r="C128" s="158" t="e">
        <f>Technologies!C$597</f>
        <v>#REF!</v>
      </c>
      <c r="D128" s="158" t="e">
        <f>Technologies!D$597</f>
        <v>#REF!</v>
      </c>
      <c r="E128" s="197" t="str">
        <f>Commodities!C$137</f>
        <v>LPGR1</v>
      </c>
      <c r="F128" s="197" t="e">
        <f>Commodities!C$234</f>
        <v>#REF!</v>
      </c>
      <c r="G128" s="204">
        <v>1</v>
      </c>
      <c r="H128" s="203" t="e">
        <f t="shared" si="19"/>
        <v>#REF!</v>
      </c>
      <c r="I128" s="203" t="e">
        <f t="shared" si="19"/>
        <v>#REF!</v>
      </c>
      <c r="J128" s="203" t="e">
        <f t="shared" si="19"/>
        <v>#REF!</v>
      </c>
      <c r="K128" s="203" t="e">
        <f t="shared" si="19"/>
        <v>#REF!</v>
      </c>
      <c r="L128" s="203" t="e">
        <f t="shared" si="19"/>
        <v>#REF!</v>
      </c>
      <c r="M128" s="203" t="e">
        <f t="shared" si="19"/>
        <v>#REF!</v>
      </c>
      <c r="N128" s="203" t="e">
        <f t="shared" si="19"/>
        <v>#REF!</v>
      </c>
      <c r="O128" s="203" t="e">
        <f t="shared" si="19"/>
        <v>#REF!</v>
      </c>
      <c r="P128" s="203" t="e">
        <f t="shared" si="19"/>
        <v>#REF!</v>
      </c>
      <c r="Q128" s="203" t="e">
        <f t="shared" si="19"/>
        <v>#REF!</v>
      </c>
      <c r="S128" s="177"/>
      <c r="T128" s="177"/>
      <c r="U128" s="177"/>
      <c r="V128" s="177"/>
      <c r="W128" s="177"/>
      <c r="X128" s="177"/>
      <c r="Y128" s="177"/>
      <c r="Z128" s="177"/>
      <c r="AA128" s="177"/>
      <c r="AB128" s="177"/>
      <c r="AC128" s="177"/>
    </row>
    <row r="129" spans="2:29">
      <c r="B129" s="158" t="str">
        <f>IF(LEFT(Technologies!B$598,1)="*","*R5","R5")</f>
        <v>*R5</v>
      </c>
      <c r="C129" s="158" t="e">
        <f>Technologies!C$598</f>
        <v>#REF!</v>
      </c>
      <c r="D129" s="158" t="e">
        <f>Technologies!D$598</f>
        <v>#REF!</v>
      </c>
      <c r="E129" s="197" t="str">
        <f>Commodities!C$137</f>
        <v>LPGR1</v>
      </c>
      <c r="F129" s="197" t="e">
        <f>Commodities!C$235</f>
        <v>#REF!</v>
      </c>
      <c r="G129" s="204">
        <v>1</v>
      </c>
      <c r="H129" s="203" t="e">
        <f t="shared" si="19"/>
        <v>#REF!</v>
      </c>
      <c r="I129" s="203" t="e">
        <f t="shared" si="19"/>
        <v>#REF!</v>
      </c>
      <c r="J129" s="203" t="e">
        <f t="shared" si="19"/>
        <v>#REF!</v>
      </c>
      <c r="K129" s="203" t="e">
        <f t="shared" si="19"/>
        <v>#REF!</v>
      </c>
      <c r="L129" s="203" t="e">
        <f t="shared" si="19"/>
        <v>#REF!</v>
      </c>
      <c r="M129" s="203" t="e">
        <f t="shared" si="19"/>
        <v>#REF!</v>
      </c>
      <c r="N129" s="203" t="e">
        <f t="shared" si="19"/>
        <v>#REF!</v>
      </c>
      <c r="O129" s="203" t="e">
        <f t="shared" si="19"/>
        <v>#REF!</v>
      </c>
      <c r="P129" s="203" t="e">
        <f t="shared" si="19"/>
        <v>#REF!</v>
      </c>
      <c r="Q129" s="203" t="e">
        <f t="shared" si="19"/>
        <v>#REF!</v>
      </c>
      <c r="S129" s="177"/>
      <c r="T129" s="177"/>
      <c r="U129" s="177"/>
      <c r="V129" s="177"/>
      <c r="W129" s="177"/>
      <c r="X129" s="177"/>
      <c r="Y129" s="177"/>
      <c r="Z129" s="177"/>
      <c r="AA129" s="177"/>
      <c r="AB129" s="177"/>
      <c r="AC129" s="177"/>
    </row>
    <row r="130" spans="2:29">
      <c r="B130" s="158" t="str">
        <f>IF(LEFT(Technologies!B$599,1)="*","*R5","R5")</f>
        <v>*R5</v>
      </c>
      <c r="C130" s="158" t="e">
        <f>Technologies!C$599</f>
        <v>#REF!</v>
      </c>
      <c r="D130" s="158" t="e">
        <f>Technologies!D$599</f>
        <v>#REF!</v>
      </c>
      <c r="E130" s="197" t="str">
        <f>Commodities!C$137</f>
        <v>LPGR1</v>
      </c>
      <c r="F130" s="197" t="e">
        <f>Commodities!C$236</f>
        <v>#REF!</v>
      </c>
      <c r="G130" s="204">
        <v>1</v>
      </c>
      <c r="H130" s="203" t="e">
        <f t="shared" si="19"/>
        <v>#REF!</v>
      </c>
      <c r="I130" s="203" t="e">
        <f t="shared" si="19"/>
        <v>#REF!</v>
      </c>
      <c r="J130" s="203" t="e">
        <f t="shared" si="19"/>
        <v>#REF!</v>
      </c>
      <c r="K130" s="203" t="e">
        <f t="shared" si="19"/>
        <v>#REF!</v>
      </c>
      <c r="L130" s="203" t="e">
        <f t="shared" si="19"/>
        <v>#REF!</v>
      </c>
      <c r="M130" s="203" t="e">
        <f t="shared" si="19"/>
        <v>#REF!</v>
      </c>
      <c r="N130" s="203" t="e">
        <f t="shared" si="19"/>
        <v>#REF!</v>
      </c>
      <c r="O130" s="203" t="e">
        <f t="shared" si="19"/>
        <v>#REF!</v>
      </c>
      <c r="P130" s="203" t="e">
        <f t="shared" si="19"/>
        <v>#REF!</v>
      </c>
      <c r="Q130" s="203" t="e">
        <f t="shared" si="19"/>
        <v>#REF!</v>
      </c>
      <c r="S130" s="177"/>
      <c r="T130" s="177"/>
      <c r="U130" s="177"/>
      <c r="V130" s="177"/>
      <c r="W130" s="177"/>
      <c r="X130" s="177"/>
      <c r="Y130" s="177"/>
      <c r="Z130" s="177"/>
      <c r="AA130" s="177"/>
      <c r="AB130" s="177"/>
      <c r="AC130" s="177"/>
    </row>
    <row r="131" spans="2:29">
      <c r="B131" s="158" t="str">
        <f>IF(LEFT(Technologies!B$600,1)="*","*R5","R5")</f>
        <v>*R5</v>
      </c>
      <c r="C131" s="158" t="e">
        <f>Technologies!C$600</f>
        <v>#REF!</v>
      </c>
      <c r="D131" s="158" t="e">
        <f>Technologies!D$600</f>
        <v>#REF!</v>
      </c>
      <c r="E131" s="197" t="str">
        <f>Commodities!C$137</f>
        <v>LPGR1</v>
      </c>
      <c r="F131" s="197" t="e">
        <f>Commodities!C$237</f>
        <v>#REF!</v>
      </c>
      <c r="G131" s="204">
        <v>1</v>
      </c>
      <c r="H131" s="203" t="e">
        <f t="shared" si="19"/>
        <v>#REF!</v>
      </c>
      <c r="I131" s="203" t="e">
        <f t="shared" si="19"/>
        <v>#REF!</v>
      </c>
      <c r="J131" s="203" t="e">
        <f t="shared" si="19"/>
        <v>#REF!</v>
      </c>
      <c r="K131" s="203" t="e">
        <f t="shared" si="19"/>
        <v>#REF!</v>
      </c>
      <c r="L131" s="203" t="e">
        <f t="shared" si="19"/>
        <v>#REF!</v>
      </c>
      <c r="M131" s="203" t="e">
        <f t="shared" si="19"/>
        <v>#REF!</v>
      </c>
      <c r="N131" s="203" t="e">
        <f t="shared" si="19"/>
        <v>#REF!</v>
      </c>
      <c r="O131" s="203" t="e">
        <f t="shared" si="19"/>
        <v>#REF!</v>
      </c>
      <c r="P131" s="203" t="e">
        <f t="shared" si="19"/>
        <v>#REF!</v>
      </c>
      <c r="Q131" s="203" t="e">
        <f t="shared" si="19"/>
        <v>#REF!</v>
      </c>
      <c r="S131" s="177"/>
      <c r="T131" s="177"/>
      <c r="U131" s="177"/>
      <c r="V131" s="177"/>
      <c r="W131" s="177"/>
      <c r="X131" s="177"/>
      <c r="Y131" s="177"/>
      <c r="Z131" s="177"/>
      <c r="AA131" s="177"/>
      <c r="AB131" s="177"/>
      <c r="AC131" s="177"/>
    </row>
    <row r="132" spans="2:29">
      <c r="B132" s="158" t="str">
        <f>IF(LEFT(Technologies!B$601,1)="*","*R5","R5")</f>
        <v>*R5</v>
      </c>
      <c r="C132" s="158" t="e">
        <f>Technologies!C$601</f>
        <v>#REF!</v>
      </c>
      <c r="D132" s="158" t="e">
        <f>Technologies!D$601</f>
        <v>#REF!</v>
      </c>
      <c r="E132" s="197" t="str">
        <f>Commodities!C$138</f>
        <v>MTHR1</v>
      </c>
      <c r="F132" s="197" t="e">
        <f>Commodities!C$238</f>
        <v>#REF!</v>
      </c>
      <c r="G132" s="204">
        <v>1</v>
      </c>
      <c r="H132" s="203" t="e">
        <f t="shared" si="19"/>
        <v>#REF!</v>
      </c>
      <c r="I132" s="203" t="e">
        <f t="shared" si="19"/>
        <v>#REF!</v>
      </c>
      <c r="J132" s="203" t="e">
        <f t="shared" si="19"/>
        <v>#REF!</v>
      </c>
      <c r="K132" s="203" t="e">
        <f t="shared" si="19"/>
        <v>#REF!</v>
      </c>
      <c r="L132" s="203" t="e">
        <f t="shared" si="19"/>
        <v>#REF!</v>
      </c>
      <c r="M132" s="203" t="e">
        <f t="shared" si="19"/>
        <v>#REF!</v>
      </c>
      <c r="N132" s="203" t="e">
        <f t="shared" si="19"/>
        <v>#REF!</v>
      </c>
      <c r="O132" s="203" t="e">
        <f t="shared" si="19"/>
        <v>#REF!</v>
      </c>
      <c r="P132" s="203" t="e">
        <f t="shared" si="19"/>
        <v>#REF!</v>
      </c>
      <c r="Q132" s="203" t="e">
        <f t="shared" si="19"/>
        <v>#REF!</v>
      </c>
      <c r="S132" s="177"/>
      <c r="T132" s="177"/>
      <c r="U132" s="177"/>
      <c r="V132" s="177"/>
      <c r="W132" s="177"/>
      <c r="X132" s="177"/>
      <c r="Y132" s="177"/>
      <c r="Z132" s="177"/>
      <c r="AA132" s="177"/>
      <c r="AB132" s="177"/>
      <c r="AC132" s="177"/>
    </row>
    <row r="133" spans="2:29">
      <c r="B133" s="158" t="str">
        <f>IF(LEFT(Technologies!B$602,1)="*","*R5","R5")</f>
        <v>*R5</v>
      </c>
      <c r="C133" s="158" t="e">
        <f>Technologies!C$602</f>
        <v>#REF!</v>
      </c>
      <c r="D133" s="158" t="e">
        <f>Technologies!D$602</f>
        <v>#REF!</v>
      </c>
      <c r="E133" s="197" t="str">
        <f>Commodities!C$139</f>
        <v>PFSR1</v>
      </c>
      <c r="F133" s="197" t="e">
        <f>Commodities!C$239</f>
        <v>#REF!</v>
      </c>
      <c r="G133" s="204">
        <v>1</v>
      </c>
      <c r="H133" s="203" t="e">
        <f t="shared" ref="H133:Q140" si="20">H107</f>
        <v>#REF!</v>
      </c>
      <c r="I133" s="203" t="e">
        <f t="shared" si="20"/>
        <v>#REF!</v>
      </c>
      <c r="J133" s="203" t="e">
        <f t="shared" si="20"/>
        <v>#REF!</v>
      </c>
      <c r="K133" s="203" t="e">
        <f t="shared" si="20"/>
        <v>#REF!</v>
      </c>
      <c r="L133" s="203" t="e">
        <f t="shared" si="20"/>
        <v>#REF!</v>
      </c>
      <c r="M133" s="203" t="e">
        <f t="shared" si="20"/>
        <v>#REF!</v>
      </c>
      <c r="N133" s="203" t="e">
        <f t="shared" si="20"/>
        <v>#REF!</v>
      </c>
      <c r="O133" s="203" t="e">
        <f t="shared" si="20"/>
        <v>#REF!</v>
      </c>
      <c r="P133" s="203" t="e">
        <f t="shared" si="20"/>
        <v>#REF!</v>
      </c>
      <c r="Q133" s="203" t="e">
        <f t="shared" si="20"/>
        <v>#REF!</v>
      </c>
      <c r="S133" s="177"/>
      <c r="T133" s="177"/>
      <c r="U133" s="177"/>
      <c r="V133" s="177"/>
      <c r="W133" s="177"/>
      <c r="X133" s="177"/>
      <c r="Y133" s="177"/>
      <c r="Z133" s="177"/>
      <c r="AA133" s="177"/>
      <c r="AB133" s="177"/>
      <c r="AC133" s="177"/>
    </row>
    <row r="134" spans="2:29">
      <c r="B134" s="158" t="str">
        <f>IF(LEFT(Technologies!B$603,1)="*","*R5","R5")</f>
        <v>*R5</v>
      </c>
      <c r="C134" s="158" t="e">
        <f>Technologies!C$603</f>
        <v>#REF!</v>
      </c>
      <c r="D134" s="158" t="e">
        <f>Technologies!D$603</f>
        <v>#REF!</v>
      </c>
      <c r="E134" s="197" t="str">
        <f>Commodities!C$141</f>
        <v>RFLR1</v>
      </c>
      <c r="F134" s="197" t="str">
        <f>Commodities!C$240</f>
        <v>RESRFL</v>
      </c>
      <c r="G134" s="204">
        <v>1</v>
      </c>
      <c r="H134" s="203" t="e">
        <f t="shared" si="20"/>
        <v>#REF!</v>
      </c>
      <c r="I134" s="203" t="e">
        <f t="shared" si="20"/>
        <v>#REF!</v>
      </c>
      <c r="J134" s="203" t="e">
        <f t="shared" si="20"/>
        <v>#REF!</v>
      </c>
      <c r="K134" s="203" t="e">
        <f t="shared" si="20"/>
        <v>#REF!</v>
      </c>
      <c r="L134" s="203" t="e">
        <f t="shared" si="20"/>
        <v>#REF!</v>
      </c>
      <c r="M134" s="203" t="e">
        <f t="shared" si="20"/>
        <v>#REF!</v>
      </c>
      <c r="N134" s="203" t="e">
        <f t="shared" si="20"/>
        <v>#REF!</v>
      </c>
      <c r="O134" s="203" t="e">
        <f t="shared" si="20"/>
        <v>#REF!</v>
      </c>
      <c r="P134" s="203" t="e">
        <f t="shared" si="20"/>
        <v>#REF!</v>
      </c>
      <c r="Q134" s="203" t="e">
        <f t="shared" si="20"/>
        <v>#REF!</v>
      </c>
      <c r="S134" s="177"/>
      <c r="T134" s="177"/>
      <c r="U134" s="177"/>
      <c r="V134" s="177"/>
      <c r="W134" s="177"/>
      <c r="X134" s="177"/>
      <c r="Y134" s="177"/>
      <c r="Z134" s="177"/>
      <c r="AA134" s="177"/>
      <c r="AB134" s="177"/>
      <c r="AC134" s="177"/>
    </row>
    <row r="135" spans="2:29">
      <c r="B135" s="158" t="str">
        <f>IF(LEFT(Technologies!B$604,1)="*","*R5","R5")</f>
        <v>*R5</v>
      </c>
      <c r="C135" s="158" t="e">
        <f>Technologies!C$604</f>
        <v>#REF!</v>
      </c>
      <c r="D135" s="158" t="e">
        <f>Technologies!D$604</f>
        <v>#REF!</v>
      </c>
      <c r="E135" s="197" t="str">
        <f>Commodities!C$141</f>
        <v>RFLR1</v>
      </c>
      <c r="F135" s="197" t="e">
        <f>Commodities!C$241</f>
        <v>#REF!</v>
      </c>
      <c r="G135" s="204">
        <v>1</v>
      </c>
      <c r="H135" s="203" t="e">
        <f t="shared" si="20"/>
        <v>#REF!</v>
      </c>
      <c r="I135" s="203" t="e">
        <f t="shared" si="20"/>
        <v>#REF!</v>
      </c>
      <c r="J135" s="203" t="e">
        <f t="shared" si="20"/>
        <v>#REF!</v>
      </c>
      <c r="K135" s="203" t="e">
        <f t="shared" si="20"/>
        <v>#REF!</v>
      </c>
      <c r="L135" s="203" t="e">
        <f t="shared" si="20"/>
        <v>#REF!</v>
      </c>
      <c r="M135" s="203" t="e">
        <f t="shared" si="20"/>
        <v>#REF!</v>
      </c>
      <c r="N135" s="203" t="e">
        <f t="shared" si="20"/>
        <v>#REF!</v>
      </c>
      <c r="O135" s="203" t="e">
        <f t="shared" si="20"/>
        <v>#REF!</v>
      </c>
      <c r="P135" s="203" t="e">
        <f t="shared" si="20"/>
        <v>#REF!</v>
      </c>
      <c r="Q135" s="203" t="e">
        <f t="shared" si="20"/>
        <v>#REF!</v>
      </c>
      <c r="S135" s="177"/>
      <c r="T135" s="177"/>
      <c r="U135" s="177"/>
      <c r="V135" s="177"/>
      <c r="W135" s="177"/>
      <c r="X135" s="177"/>
      <c r="Y135" s="177"/>
      <c r="Z135" s="177"/>
      <c r="AA135" s="177"/>
      <c r="AB135" s="177"/>
      <c r="AC135" s="177"/>
    </row>
    <row r="136" spans="2:29">
      <c r="B136" s="158" t="str">
        <f>IF(LEFT(Technologies!B$605,1)="*","*R5","R5")</f>
        <v>R5</v>
      </c>
      <c r="C136" s="158" t="e">
        <f>Technologies!C$605</f>
        <v>#REF!</v>
      </c>
      <c r="D136" s="158" t="e">
        <f>Technologies!D$605</f>
        <v>#REF!</v>
      </c>
      <c r="E136" s="197" t="str">
        <f>Commodities!C$141</f>
        <v>RFLR1</v>
      </c>
      <c r="F136" s="197" t="e">
        <f>Commodities!C$242</f>
        <v>#REF!</v>
      </c>
      <c r="G136" s="204">
        <v>1</v>
      </c>
      <c r="H136" s="203" t="e">
        <f t="shared" si="20"/>
        <v>#REF!</v>
      </c>
      <c r="I136" s="203" t="e">
        <f t="shared" si="20"/>
        <v>#REF!</v>
      </c>
      <c r="J136" s="203" t="e">
        <f t="shared" si="20"/>
        <v>#REF!</v>
      </c>
      <c r="K136" s="203" t="e">
        <f t="shared" si="20"/>
        <v>#REF!</v>
      </c>
      <c r="L136" s="203" t="e">
        <f t="shared" si="20"/>
        <v>#REF!</v>
      </c>
      <c r="M136" s="203" t="e">
        <f t="shared" si="20"/>
        <v>#REF!</v>
      </c>
      <c r="N136" s="203" t="e">
        <f t="shared" si="20"/>
        <v>#REF!</v>
      </c>
      <c r="O136" s="203" t="e">
        <f t="shared" si="20"/>
        <v>#REF!</v>
      </c>
      <c r="P136" s="203" t="e">
        <f t="shared" si="20"/>
        <v>#REF!</v>
      </c>
      <c r="Q136" s="203" t="e">
        <f t="shared" si="20"/>
        <v>#REF!</v>
      </c>
      <c r="S136" s="177"/>
      <c r="T136" s="177"/>
      <c r="U136" s="177"/>
      <c r="V136" s="177"/>
      <c r="W136" s="177"/>
      <c r="X136" s="177"/>
      <c r="Y136" s="177"/>
      <c r="Z136" s="177"/>
      <c r="AA136" s="177"/>
      <c r="AB136" s="177"/>
      <c r="AC136" s="177"/>
    </row>
    <row r="137" spans="2:29">
      <c r="B137" s="158" t="str">
        <f>IF(LEFT(Technologies!B$606,1)="*","*R5","R5")</f>
        <v>*R5</v>
      </c>
      <c r="C137" s="158" t="e">
        <f>Technologies!C$606</f>
        <v>#REF!</v>
      </c>
      <c r="D137" s="158" t="e">
        <f>Technologies!D$606</f>
        <v>#REF!</v>
      </c>
      <c r="E137" s="197" t="str">
        <f>Commodities!C$141</f>
        <v>RFLR1</v>
      </c>
      <c r="F137" s="197" t="e">
        <f>Commodities!C$243</f>
        <v>#REF!</v>
      </c>
      <c r="G137" s="204">
        <v>1</v>
      </c>
      <c r="H137" s="203" t="e">
        <f t="shared" si="20"/>
        <v>#REF!</v>
      </c>
      <c r="I137" s="203" t="e">
        <f t="shared" si="20"/>
        <v>#REF!</v>
      </c>
      <c r="J137" s="203" t="e">
        <f t="shared" si="20"/>
        <v>#REF!</v>
      </c>
      <c r="K137" s="203" t="e">
        <f t="shared" si="20"/>
        <v>#REF!</v>
      </c>
      <c r="L137" s="203" t="e">
        <f t="shared" si="20"/>
        <v>#REF!</v>
      </c>
      <c r="M137" s="203" t="e">
        <f t="shared" si="20"/>
        <v>#REF!</v>
      </c>
      <c r="N137" s="203" t="e">
        <f t="shared" si="20"/>
        <v>#REF!</v>
      </c>
      <c r="O137" s="203" t="e">
        <f t="shared" si="20"/>
        <v>#REF!</v>
      </c>
      <c r="P137" s="203" t="e">
        <f t="shared" si="20"/>
        <v>#REF!</v>
      </c>
      <c r="Q137" s="203" t="e">
        <f t="shared" si="20"/>
        <v>#REF!</v>
      </c>
      <c r="S137" s="177"/>
      <c r="T137" s="177"/>
      <c r="U137" s="177"/>
      <c r="V137" s="177"/>
      <c r="W137" s="177"/>
      <c r="X137" s="177"/>
      <c r="Y137" s="177"/>
      <c r="Z137" s="177"/>
      <c r="AA137" s="177"/>
      <c r="AB137" s="177"/>
      <c r="AC137" s="177"/>
    </row>
    <row r="138" spans="2:29">
      <c r="B138" s="158" t="str">
        <f>IF(LEFT(Technologies!B$607,1)="*","*R5","R5")</f>
        <v>*R5</v>
      </c>
      <c r="C138" s="158" t="e">
        <f>Technologies!C$607</f>
        <v>#REF!</v>
      </c>
      <c r="D138" s="158" t="e">
        <f>Technologies!D$607</f>
        <v>#REF!</v>
      </c>
      <c r="E138" s="197" t="str">
        <f>Commodities!C$140</f>
        <v>RFHR1</v>
      </c>
      <c r="F138" s="197" t="e">
        <f>Commodities!C$244</f>
        <v>#REF!</v>
      </c>
      <c r="G138" s="204">
        <v>1</v>
      </c>
      <c r="H138" s="203" t="e">
        <f t="shared" si="20"/>
        <v>#REF!</v>
      </c>
      <c r="I138" s="203" t="e">
        <f t="shared" si="20"/>
        <v>#REF!</v>
      </c>
      <c r="J138" s="203" t="e">
        <f t="shared" si="20"/>
        <v>#REF!</v>
      </c>
      <c r="K138" s="203" t="e">
        <f t="shared" si="20"/>
        <v>#REF!</v>
      </c>
      <c r="L138" s="203" t="e">
        <f t="shared" si="20"/>
        <v>#REF!</v>
      </c>
      <c r="M138" s="203" t="e">
        <f t="shared" si="20"/>
        <v>#REF!</v>
      </c>
      <c r="N138" s="203" t="e">
        <f t="shared" si="20"/>
        <v>#REF!</v>
      </c>
      <c r="O138" s="203" t="e">
        <f t="shared" si="20"/>
        <v>#REF!</v>
      </c>
      <c r="P138" s="203" t="e">
        <f t="shared" si="20"/>
        <v>#REF!</v>
      </c>
      <c r="Q138" s="203" t="e">
        <f t="shared" si="20"/>
        <v>#REF!</v>
      </c>
      <c r="S138" s="177"/>
      <c r="T138" s="177"/>
      <c r="U138" s="177"/>
      <c r="V138" s="177"/>
      <c r="W138" s="177"/>
      <c r="X138" s="177"/>
      <c r="Y138" s="177"/>
      <c r="Z138" s="177"/>
      <c r="AA138" s="177"/>
      <c r="AB138" s="177"/>
      <c r="AC138" s="177"/>
    </row>
    <row r="139" spans="2:29">
      <c r="B139" s="158" t="str">
        <f>IF(LEFT(Technologies!B$608,1)="*","*R5","R5")</f>
        <v>*R5</v>
      </c>
      <c r="C139" s="158" t="e">
        <f>Technologies!C$608</f>
        <v>#REF!</v>
      </c>
      <c r="D139" s="158" t="e">
        <f>Technologies!D$608</f>
        <v>#REF!</v>
      </c>
      <c r="E139" s="197" t="str">
        <f>Commodities!C$140</f>
        <v>RFHR1</v>
      </c>
      <c r="F139" s="197" t="e">
        <f>Commodities!C$245</f>
        <v>#REF!</v>
      </c>
      <c r="G139" s="204">
        <v>1</v>
      </c>
      <c r="H139" s="203" t="e">
        <f t="shared" si="20"/>
        <v>#REF!</v>
      </c>
      <c r="I139" s="203" t="e">
        <f t="shared" si="20"/>
        <v>#REF!</v>
      </c>
      <c r="J139" s="203" t="e">
        <f t="shared" si="20"/>
        <v>#REF!</v>
      </c>
      <c r="K139" s="203" t="e">
        <f t="shared" si="20"/>
        <v>#REF!</v>
      </c>
      <c r="L139" s="203" t="e">
        <f t="shared" si="20"/>
        <v>#REF!</v>
      </c>
      <c r="M139" s="203" t="e">
        <f t="shared" si="20"/>
        <v>#REF!</v>
      </c>
      <c r="N139" s="203" t="e">
        <f t="shared" si="20"/>
        <v>#REF!</v>
      </c>
      <c r="O139" s="203" t="e">
        <f t="shared" si="20"/>
        <v>#REF!</v>
      </c>
      <c r="P139" s="203" t="e">
        <f t="shared" si="20"/>
        <v>#REF!</v>
      </c>
      <c r="Q139" s="203" t="e">
        <f t="shared" si="20"/>
        <v>#REF!</v>
      </c>
      <c r="S139" s="177"/>
      <c r="T139" s="177"/>
      <c r="U139" s="177"/>
      <c r="V139" s="177"/>
      <c r="W139" s="177"/>
      <c r="X139" s="177"/>
      <c r="Y139" s="177"/>
      <c r="Z139" s="177"/>
      <c r="AA139" s="177"/>
      <c r="AB139" s="177"/>
      <c r="AC139" s="177"/>
    </row>
    <row r="140" spans="2:29">
      <c r="B140" s="158" t="str">
        <f>IF(LEFT(Technologies!B$609,1)="*","*R5","R5")</f>
        <v>*R5</v>
      </c>
      <c r="C140" s="158" t="e">
        <f>Technologies!C$609</f>
        <v>#REF!</v>
      </c>
      <c r="D140" s="158" t="e">
        <f>Technologies!D$609</f>
        <v>#REF!</v>
      </c>
      <c r="E140" s="197" t="str">
        <f>Commodities!C$142</f>
        <v>ASPR1</v>
      </c>
      <c r="F140" s="197" t="e">
        <f>Commodities!C$246</f>
        <v>#REF!</v>
      </c>
      <c r="G140" s="204">
        <v>1</v>
      </c>
      <c r="H140" s="203" t="e">
        <f t="shared" si="20"/>
        <v>#REF!</v>
      </c>
      <c r="I140" s="203" t="e">
        <f t="shared" si="20"/>
        <v>#REF!</v>
      </c>
      <c r="J140" s="203" t="e">
        <f t="shared" si="20"/>
        <v>#REF!</v>
      </c>
      <c r="K140" s="203" t="e">
        <f t="shared" si="20"/>
        <v>#REF!</v>
      </c>
      <c r="L140" s="203" t="e">
        <f t="shared" si="20"/>
        <v>#REF!</v>
      </c>
      <c r="M140" s="203" t="e">
        <f t="shared" si="20"/>
        <v>#REF!</v>
      </c>
      <c r="N140" s="203" t="e">
        <f t="shared" si="20"/>
        <v>#REF!</v>
      </c>
      <c r="O140" s="203" t="e">
        <f t="shared" si="20"/>
        <v>#REF!</v>
      </c>
      <c r="P140" s="203" t="e">
        <f t="shared" si="20"/>
        <v>#REF!</v>
      </c>
      <c r="Q140" s="203" t="e">
        <f t="shared" si="20"/>
        <v>#REF!</v>
      </c>
      <c r="S140" s="177"/>
      <c r="T140" s="177"/>
      <c r="U140" s="177"/>
      <c r="V140" s="177"/>
      <c r="W140" s="177"/>
      <c r="X140" s="177"/>
      <c r="Y140" s="177"/>
      <c r="Z140" s="177"/>
      <c r="AA140" s="177"/>
      <c r="AB140" s="177"/>
      <c r="AC140" s="177"/>
    </row>
    <row r="141" spans="2:29">
      <c r="B141" s="158" t="s">
        <v>398</v>
      </c>
      <c r="C141" s="158"/>
      <c r="D141" s="158"/>
      <c r="E141" s="197"/>
      <c r="F141" s="197"/>
      <c r="G141" s="204"/>
      <c r="H141" s="203"/>
      <c r="I141" s="203"/>
      <c r="J141" s="203"/>
      <c r="K141" s="203"/>
      <c r="L141" s="203"/>
      <c r="M141" s="203"/>
      <c r="N141" s="203"/>
      <c r="O141" s="203"/>
      <c r="P141" s="203"/>
      <c r="Q141" s="203"/>
      <c r="S141" s="177"/>
      <c r="T141" s="177"/>
      <c r="U141" s="177"/>
      <c r="V141" s="177"/>
      <c r="W141" s="177"/>
      <c r="X141" s="177"/>
      <c r="Y141" s="177"/>
      <c r="Z141" s="177"/>
      <c r="AA141" s="177"/>
      <c r="AB141" s="177"/>
      <c r="AC141" s="177"/>
    </row>
    <row r="142" spans="2:29">
      <c r="B142" s="158" t="str">
        <f>IF(LEFT(Technologies!B$585,1)="*","*R6","R6")</f>
        <v>R6</v>
      </c>
      <c r="C142" s="158" t="e">
        <f>Technologies!C$585</f>
        <v>#REF!</v>
      </c>
      <c r="D142" s="158" t="e">
        <f>Technologies!D$585</f>
        <v>#REF!</v>
      </c>
      <c r="E142" s="197" t="str">
        <f>Commodities!C$130</f>
        <v>GSCR1</v>
      </c>
      <c r="F142" s="197" t="e">
        <f>Commodities!C$222</f>
        <v>#REF!</v>
      </c>
      <c r="G142" s="204">
        <v>1</v>
      </c>
      <c r="H142" s="203" t="e">
        <f t="shared" ref="H142:Q142" si="21">H116</f>
        <v>#REF!</v>
      </c>
      <c r="I142" s="203" t="e">
        <f t="shared" si="21"/>
        <v>#REF!</v>
      </c>
      <c r="J142" s="203" t="e">
        <f t="shared" si="21"/>
        <v>#REF!</v>
      </c>
      <c r="K142" s="203" t="e">
        <f t="shared" si="21"/>
        <v>#REF!</v>
      </c>
      <c r="L142" s="203" t="e">
        <f t="shared" si="21"/>
        <v>#REF!</v>
      </c>
      <c r="M142" s="203" t="e">
        <f t="shared" si="21"/>
        <v>#REF!</v>
      </c>
      <c r="N142" s="203" t="e">
        <f t="shared" si="21"/>
        <v>#REF!</v>
      </c>
      <c r="O142" s="203" t="e">
        <f t="shared" si="21"/>
        <v>#REF!</v>
      </c>
      <c r="P142" s="203" t="e">
        <f t="shared" si="21"/>
        <v>#REF!</v>
      </c>
      <c r="Q142" s="203" t="e">
        <f t="shared" si="21"/>
        <v>#REF!</v>
      </c>
      <c r="S142" s="177"/>
      <c r="T142" s="177"/>
      <c r="U142" s="177"/>
      <c r="V142" s="177"/>
      <c r="W142" s="177"/>
      <c r="X142" s="177"/>
      <c r="Y142" s="177"/>
      <c r="Z142" s="177"/>
      <c r="AA142" s="177"/>
      <c r="AB142" s="177"/>
      <c r="AC142" s="177"/>
    </row>
    <row r="143" spans="2:29">
      <c r="B143" s="158" t="str">
        <f>IF(LEFT(Technologies!B$586,1)="*","*R6","R6")</f>
        <v>R6</v>
      </c>
      <c r="C143" s="158" t="e">
        <f>Technologies!C$586</f>
        <v>#REF!</v>
      </c>
      <c r="D143" s="158" t="e">
        <f>Technologies!D$586</f>
        <v>#REF!</v>
      </c>
      <c r="E143" s="197" t="str">
        <f>Commodities!C$131</f>
        <v>GSRR1</v>
      </c>
      <c r="F143" s="197" t="e">
        <f>Commodities!C$223</f>
        <v>#REF!</v>
      </c>
      <c r="G143" s="204">
        <v>1</v>
      </c>
      <c r="H143" s="203" t="e">
        <f t="shared" ref="H143:Q158" si="22">H117</f>
        <v>#REF!</v>
      </c>
      <c r="I143" s="203" t="e">
        <f t="shared" si="22"/>
        <v>#REF!</v>
      </c>
      <c r="J143" s="203" t="e">
        <f t="shared" si="22"/>
        <v>#REF!</v>
      </c>
      <c r="K143" s="203" t="e">
        <f t="shared" si="22"/>
        <v>#REF!</v>
      </c>
      <c r="L143" s="203" t="e">
        <f t="shared" si="22"/>
        <v>#REF!</v>
      </c>
      <c r="M143" s="203" t="e">
        <f t="shared" si="22"/>
        <v>#REF!</v>
      </c>
      <c r="N143" s="203" t="e">
        <f t="shared" si="22"/>
        <v>#REF!</v>
      </c>
      <c r="O143" s="203" t="e">
        <f t="shared" si="22"/>
        <v>#REF!</v>
      </c>
      <c r="P143" s="203" t="e">
        <f t="shared" si="22"/>
        <v>#REF!</v>
      </c>
      <c r="Q143" s="203" t="e">
        <f t="shared" si="22"/>
        <v>#REF!</v>
      </c>
      <c r="S143" s="177"/>
      <c r="T143" s="177"/>
      <c r="U143" s="177"/>
      <c r="V143" s="177"/>
      <c r="W143" s="177"/>
      <c r="X143" s="177"/>
      <c r="Y143" s="177"/>
      <c r="Z143" s="177"/>
      <c r="AA143" s="177"/>
      <c r="AB143" s="177"/>
      <c r="AC143" s="177"/>
    </row>
    <row r="144" spans="2:29">
      <c r="B144" s="158" t="str">
        <f>IF(LEFT(Technologies!B$587,1)="*","*R6","R6")</f>
        <v>R6</v>
      </c>
      <c r="C144" s="158" t="e">
        <f>Technologies!C$587</f>
        <v>#REF!</v>
      </c>
      <c r="D144" s="158" t="e">
        <f>Technologies!D$587</f>
        <v>#REF!</v>
      </c>
      <c r="E144" s="197" t="str">
        <f>Commodities!C$132</f>
        <v>DSHR1</v>
      </c>
      <c r="F144" s="197" t="e">
        <f>Commodities!C$224</f>
        <v>#REF!</v>
      </c>
      <c r="G144" s="204">
        <v>1</v>
      </c>
      <c r="H144" s="203" t="e">
        <f t="shared" si="22"/>
        <v>#REF!</v>
      </c>
      <c r="I144" s="203" t="e">
        <f t="shared" si="22"/>
        <v>#REF!</v>
      </c>
      <c r="J144" s="203" t="e">
        <f t="shared" si="22"/>
        <v>#REF!</v>
      </c>
      <c r="K144" s="203" t="e">
        <f t="shared" si="22"/>
        <v>#REF!</v>
      </c>
      <c r="L144" s="203" t="e">
        <f t="shared" si="22"/>
        <v>#REF!</v>
      </c>
      <c r="M144" s="203" t="e">
        <f t="shared" si="22"/>
        <v>#REF!</v>
      </c>
      <c r="N144" s="203" t="e">
        <f t="shared" si="22"/>
        <v>#REF!</v>
      </c>
      <c r="O144" s="203" t="e">
        <f t="shared" si="22"/>
        <v>#REF!</v>
      </c>
      <c r="P144" s="203" t="e">
        <f t="shared" si="22"/>
        <v>#REF!</v>
      </c>
      <c r="Q144" s="203" t="e">
        <f t="shared" si="22"/>
        <v>#REF!</v>
      </c>
      <c r="S144" s="177"/>
      <c r="T144" s="177"/>
      <c r="U144" s="177"/>
      <c r="V144" s="177"/>
      <c r="W144" s="177"/>
      <c r="X144" s="177"/>
      <c r="Y144" s="177"/>
      <c r="Z144" s="177"/>
      <c r="AA144" s="177"/>
      <c r="AB144" s="177"/>
      <c r="AC144" s="177"/>
    </row>
    <row r="145" spans="2:29">
      <c r="B145" s="158" t="str">
        <f>IF(LEFT(Technologies!B$588,1)="*","*R6","R6")</f>
        <v>R6</v>
      </c>
      <c r="C145" s="158" t="e">
        <f>Technologies!C$588</f>
        <v>#REF!</v>
      </c>
      <c r="D145" s="158" t="e">
        <f>Technologies!D$588</f>
        <v>#REF!</v>
      </c>
      <c r="E145" s="197" t="str">
        <f>Commodities!C$132</f>
        <v>DSHR1</v>
      </c>
      <c r="F145" s="197" t="e">
        <f>Commodities!C$225</f>
        <v>#REF!</v>
      </c>
      <c r="G145" s="204">
        <v>1</v>
      </c>
      <c r="H145" s="203" t="e">
        <f t="shared" si="22"/>
        <v>#REF!</v>
      </c>
      <c r="I145" s="203" t="e">
        <f t="shared" si="22"/>
        <v>#REF!</v>
      </c>
      <c r="J145" s="203" t="e">
        <f t="shared" si="22"/>
        <v>#REF!</v>
      </c>
      <c r="K145" s="203" t="e">
        <f t="shared" si="22"/>
        <v>#REF!</v>
      </c>
      <c r="L145" s="203" t="e">
        <f t="shared" si="22"/>
        <v>#REF!</v>
      </c>
      <c r="M145" s="203" t="e">
        <f t="shared" si="22"/>
        <v>#REF!</v>
      </c>
      <c r="N145" s="203" t="e">
        <f t="shared" si="22"/>
        <v>#REF!</v>
      </c>
      <c r="O145" s="203" t="e">
        <f t="shared" si="22"/>
        <v>#REF!</v>
      </c>
      <c r="P145" s="203" t="e">
        <f t="shared" si="22"/>
        <v>#REF!</v>
      </c>
      <c r="Q145" s="203" t="e">
        <f t="shared" si="22"/>
        <v>#REF!</v>
      </c>
      <c r="S145" s="177"/>
      <c r="T145" s="177"/>
      <c r="U145" s="177"/>
      <c r="V145" s="177"/>
      <c r="W145" s="177"/>
      <c r="X145" s="177"/>
      <c r="Y145" s="177"/>
      <c r="Z145" s="177"/>
      <c r="AA145" s="177"/>
      <c r="AB145" s="177"/>
      <c r="AC145" s="177"/>
    </row>
    <row r="146" spans="2:29">
      <c r="B146" s="158" t="str">
        <f>IF(LEFT(Technologies!B$589,1)="*","*R6","R6")</f>
        <v>*R6</v>
      </c>
      <c r="C146" s="158" t="e">
        <f>Technologies!C$589</f>
        <v>#REF!</v>
      </c>
      <c r="D146" s="158" t="e">
        <f>Technologies!D$589</f>
        <v>#REF!</v>
      </c>
      <c r="E146" s="197" t="str">
        <f>Commodities!C$132</f>
        <v>DSHR1</v>
      </c>
      <c r="F146" s="197" t="e">
        <f>Commodities!C$226</f>
        <v>#REF!</v>
      </c>
      <c r="G146" s="204">
        <v>1</v>
      </c>
      <c r="H146" s="203" t="e">
        <f t="shared" si="22"/>
        <v>#REF!</v>
      </c>
      <c r="I146" s="203" t="e">
        <f t="shared" si="22"/>
        <v>#REF!</v>
      </c>
      <c r="J146" s="203" t="e">
        <f t="shared" si="22"/>
        <v>#REF!</v>
      </c>
      <c r="K146" s="203" t="e">
        <f t="shared" si="22"/>
        <v>#REF!</v>
      </c>
      <c r="L146" s="203" t="e">
        <f t="shared" si="22"/>
        <v>#REF!</v>
      </c>
      <c r="M146" s="203" t="e">
        <f t="shared" si="22"/>
        <v>#REF!</v>
      </c>
      <c r="N146" s="203" t="e">
        <f t="shared" si="22"/>
        <v>#REF!</v>
      </c>
      <c r="O146" s="203" t="e">
        <f t="shared" si="22"/>
        <v>#REF!</v>
      </c>
      <c r="P146" s="203" t="e">
        <f t="shared" si="22"/>
        <v>#REF!</v>
      </c>
      <c r="Q146" s="203" t="e">
        <f t="shared" si="22"/>
        <v>#REF!</v>
      </c>
      <c r="S146" s="177"/>
      <c r="T146" s="177"/>
      <c r="U146" s="177"/>
      <c r="V146" s="177"/>
      <c r="W146" s="177"/>
      <c r="X146" s="177"/>
      <c r="Y146" s="177"/>
      <c r="Z146" s="177"/>
      <c r="AA146" s="177"/>
      <c r="AB146" s="177"/>
      <c r="AC146" s="177"/>
    </row>
    <row r="147" spans="2:29">
      <c r="B147" s="158" t="str">
        <f>IF(LEFT(Technologies!B$590,1)="*","*R6","R6")</f>
        <v>R6</v>
      </c>
      <c r="C147" s="158" t="e">
        <f>Technologies!C$590</f>
        <v>#REF!</v>
      </c>
      <c r="D147" s="158" t="e">
        <f>Technologies!D$590</f>
        <v>#REF!</v>
      </c>
      <c r="E147" s="197" t="str">
        <f>Commodities!C$132</f>
        <v>DSHR1</v>
      </c>
      <c r="F147" s="197" t="e">
        <f>Commodities!C$227</f>
        <v>#REF!</v>
      </c>
      <c r="G147" s="204">
        <v>1</v>
      </c>
      <c r="H147" s="203" t="e">
        <f t="shared" si="22"/>
        <v>#REF!</v>
      </c>
      <c r="I147" s="203" t="e">
        <f t="shared" si="22"/>
        <v>#REF!</v>
      </c>
      <c r="J147" s="203" t="e">
        <f t="shared" si="22"/>
        <v>#REF!</v>
      </c>
      <c r="K147" s="203" t="e">
        <f t="shared" si="22"/>
        <v>#REF!</v>
      </c>
      <c r="L147" s="203" t="e">
        <f t="shared" si="22"/>
        <v>#REF!</v>
      </c>
      <c r="M147" s="203" t="e">
        <f t="shared" si="22"/>
        <v>#REF!</v>
      </c>
      <c r="N147" s="203" t="e">
        <f t="shared" si="22"/>
        <v>#REF!</v>
      </c>
      <c r="O147" s="203" t="e">
        <f t="shared" si="22"/>
        <v>#REF!</v>
      </c>
      <c r="P147" s="203" t="e">
        <f t="shared" si="22"/>
        <v>#REF!</v>
      </c>
      <c r="Q147" s="203" t="e">
        <f t="shared" si="22"/>
        <v>#REF!</v>
      </c>
      <c r="S147" s="177"/>
      <c r="T147" s="177"/>
      <c r="U147" s="177"/>
      <c r="V147" s="177"/>
      <c r="W147" s="177"/>
      <c r="X147" s="177"/>
      <c r="Y147" s="177"/>
      <c r="Z147" s="177"/>
      <c r="AA147" s="177"/>
      <c r="AB147" s="177"/>
      <c r="AC147" s="177"/>
    </row>
    <row r="148" spans="2:29">
      <c r="B148" s="158" t="str">
        <f>IF(LEFT(Technologies!B$591,1)="*","*R6","R6")</f>
        <v>R6</v>
      </c>
      <c r="C148" s="158" t="e">
        <f>Technologies!C$591</f>
        <v>#REF!</v>
      </c>
      <c r="D148" s="158" t="e">
        <f>Technologies!D$591</f>
        <v>#REF!</v>
      </c>
      <c r="E148" s="197" t="str">
        <f>Commodities!C$133</f>
        <v>DSLR1</v>
      </c>
      <c r="F148" s="197" t="e">
        <f>Commodities!C$228</f>
        <v>#REF!</v>
      </c>
      <c r="G148" s="204">
        <v>1</v>
      </c>
      <c r="H148" s="203" t="e">
        <f t="shared" si="22"/>
        <v>#REF!</v>
      </c>
      <c r="I148" s="203" t="e">
        <f t="shared" si="22"/>
        <v>#REF!</v>
      </c>
      <c r="J148" s="203" t="e">
        <f t="shared" si="22"/>
        <v>#REF!</v>
      </c>
      <c r="K148" s="203" t="e">
        <f t="shared" si="22"/>
        <v>#REF!</v>
      </c>
      <c r="L148" s="203" t="e">
        <f t="shared" si="22"/>
        <v>#REF!</v>
      </c>
      <c r="M148" s="203" t="e">
        <f t="shared" si="22"/>
        <v>#REF!</v>
      </c>
      <c r="N148" s="203" t="e">
        <f t="shared" si="22"/>
        <v>#REF!</v>
      </c>
      <c r="O148" s="203" t="e">
        <f t="shared" si="22"/>
        <v>#REF!</v>
      </c>
      <c r="P148" s="203" t="e">
        <f t="shared" si="22"/>
        <v>#REF!</v>
      </c>
      <c r="Q148" s="203" t="e">
        <f t="shared" si="22"/>
        <v>#REF!</v>
      </c>
      <c r="S148" s="177"/>
      <c r="T148" s="177"/>
      <c r="U148" s="177"/>
      <c r="V148" s="177"/>
      <c r="W148" s="177"/>
      <c r="X148" s="177"/>
      <c r="Y148" s="177"/>
      <c r="Z148" s="177"/>
      <c r="AA148" s="177"/>
      <c r="AB148" s="177"/>
      <c r="AC148" s="177"/>
    </row>
    <row r="149" spans="2:29">
      <c r="B149" s="158" t="str">
        <f>IF(LEFT(Technologies!B$592,1)="*","*R6","R6")</f>
        <v>R6</v>
      </c>
      <c r="C149" s="158" t="e">
        <f>Technologies!C$592</f>
        <v>#REF!</v>
      </c>
      <c r="D149" s="158" t="e">
        <f>Technologies!D$592</f>
        <v>#REF!</v>
      </c>
      <c r="E149" s="197" t="str">
        <f>Commodities!C$134</f>
        <v>DSUR1</v>
      </c>
      <c r="F149" s="197" t="e">
        <f>Commodities!C$229</f>
        <v>#REF!</v>
      </c>
      <c r="G149" s="204">
        <v>1</v>
      </c>
      <c r="H149" s="203" t="e">
        <f t="shared" si="22"/>
        <v>#REF!</v>
      </c>
      <c r="I149" s="203" t="e">
        <f t="shared" si="22"/>
        <v>#REF!</v>
      </c>
      <c r="J149" s="203" t="e">
        <f t="shared" si="22"/>
        <v>#REF!</v>
      </c>
      <c r="K149" s="203" t="e">
        <f t="shared" si="22"/>
        <v>#REF!</v>
      </c>
      <c r="L149" s="203" t="e">
        <f t="shared" si="22"/>
        <v>#REF!</v>
      </c>
      <c r="M149" s="203" t="e">
        <f t="shared" si="22"/>
        <v>#REF!</v>
      </c>
      <c r="N149" s="203" t="e">
        <f t="shared" si="22"/>
        <v>#REF!</v>
      </c>
      <c r="O149" s="203" t="e">
        <f t="shared" si="22"/>
        <v>#REF!</v>
      </c>
      <c r="P149" s="203" t="e">
        <f t="shared" si="22"/>
        <v>#REF!</v>
      </c>
      <c r="Q149" s="203" t="e">
        <f t="shared" si="22"/>
        <v>#REF!</v>
      </c>
      <c r="S149" s="177"/>
      <c r="T149" s="177"/>
      <c r="U149" s="177"/>
      <c r="V149" s="177"/>
      <c r="W149" s="177"/>
      <c r="X149" s="177"/>
      <c r="Y149" s="177"/>
      <c r="Z149" s="177"/>
      <c r="AA149" s="177"/>
      <c r="AB149" s="177"/>
      <c r="AC149" s="177"/>
    </row>
    <row r="150" spans="2:29">
      <c r="B150" s="158" t="str">
        <f>IF(LEFT(Technologies!B$593,1)="*","*R6","R6")</f>
        <v>*R6</v>
      </c>
      <c r="C150" s="158" t="e">
        <f>Technologies!C$593</f>
        <v>#REF!</v>
      </c>
      <c r="D150" s="158" t="e">
        <f>Technologies!D$593</f>
        <v>#REF!</v>
      </c>
      <c r="E150" s="197" t="str">
        <f>Commodities!C$135</f>
        <v>JTFR1</v>
      </c>
      <c r="F150" s="197" t="e">
        <f>Commodities!C$230</f>
        <v>#REF!</v>
      </c>
      <c r="G150" s="204">
        <v>1</v>
      </c>
      <c r="H150" s="203" t="e">
        <f t="shared" si="22"/>
        <v>#REF!</v>
      </c>
      <c r="I150" s="203" t="e">
        <f t="shared" si="22"/>
        <v>#REF!</v>
      </c>
      <c r="J150" s="203" t="e">
        <f t="shared" si="22"/>
        <v>#REF!</v>
      </c>
      <c r="K150" s="203" t="e">
        <f t="shared" si="22"/>
        <v>#REF!</v>
      </c>
      <c r="L150" s="203" t="e">
        <f t="shared" si="22"/>
        <v>#REF!</v>
      </c>
      <c r="M150" s="203" t="e">
        <f t="shared" si="22"/>
        <v>#REF!</v>
      </c>
      <c r="N150" s="203" t="e">
        <f t="shared" si="22"/>
        <v>#REF!</v>
      </c>
      <c r="O150" s="203" t="e">
        <f t="shared" si="22"/>
        <v>#REF!</v>
      </c>
      <c r="P150" s="203" t="e">
        <f t="shared" si="22"/>
        <v>#REF!</v>
      </c>
      <c r="Q150" s="203" t="e">
        <f t="shared" si="22"/>
        <v>#REF!</v>
      </c>
      <c r="S150" s="177"/>
      <c r="T150" s="177"/>
      <c r="U150" s="177"/>
      <c r="V150" s="177"/>
      <c r="W150" s="177"/>
      <c r="X150" s="177"/>
      <c r="Y150" s="177"/>
      <c r="Z150" s="177"/>
      <c r="AA150" s="177"/>
      <c r="AB150" s="177"/>
      <c r="AC150" s="177"/>
    </row>
    <row r="151" spans="2:29">
      <c r="B151" s="158" t="str">
        <f>IF(LEFT(Technologies!B$594,1)="*","*R6","R6")</f>
        <v>*R6</v>
      </c>
      <c r="C151" s="158" t="e">
        <f>Technologies!C$594</f>
        <v>#REF!</v>
      </c>
      <c r="D151" s="158" t="e">
        <f>Technologies!D$594</f>
        <v>#REF!</v>
      </c>
      <c r="E151" s="197" t="str">
        <f>Commodities!C$136</f>
        <v>KERR1</v>
      </c>
      <c r="F151" s="197" t="e">
        <f>Commodities!C$231</f>
        <v>#REF!</v>
      </c>
      <c r="G151" s="204">
        <v>1</v>
      </c>
      <c r="H151" s="203" t="e">
        <f t="shared" si="22"/>
        <v>#REF!</v>
      </c>
      <c r="I151" s="203" t="e">
        <f t="shared" si="22"/>
        <v>#REF!</v>
      </c>
      <c r="J151" s="203" t="e">
        <f t="shared" si="22"/>
        <v>#REF!</v>
      </c>
      <c r="K151" s="203" t="e">
        <f t="shared" si="22"/>
        <v>#REF!</v>
      </c>
      <c r="L151" s="203" t="e">
        <f t="shared" si="22"/>
        <v>#REF!</v>
      </c>
      <c r="M151" s="203" t="e">
        <f t="shared" si="22"/>
        <v>#REF!</v>
      </c>
      <c r="N151" s="203" t="e">
        <f t="shared" si="22"/>
        <v>#REF!</v>
      </c>
      <c r="O151" s="203" t="e">
        <f t="shared" si="22"/>
        <v>#REF!</v>
      </c>
      <c r="P151" s="203" t="e">
        <f t="shared" si="22"/>
        <v>#REF!</v>
      </c>
      <c r="Q151" s="203" t="e">
        <f t="shared" si="22"/>
        <v>#REF!</v>
      </c>
      <c r="S151" s="177"/>
      <c r="T151" s="177"/>
      <c r="U151" s="177"/>
      <c r="V151" s="177"/>
      <c r="W151" s="177"/>
      <c r="X151" s="177"/>
      <c r="Y151" s="177"/>
      <c r="Z151" s="177"/>
      <c r="AA151" s="177"/>
      <c r="AB151" s="177"/>
      <c r="AC151" s="177"/>
    </row>
    <row r="152" spans="2:29">
      <c r="B152" s="158" t="str">
        <f>IF(LEFT(Technologies!B$595,1)="*","*R6","R6")</f>
        <v>*R6</v>
      </c>
      <c r="C152" s="158" t="e">
        <f>Technologies!C$595</f>
        <v>#REF!</v>
      </c>
      <c r="D152" s="158" t="e">
        <f>Technologies!D$595</f>
        <v>#REF!</v>
      </c>
      <c r="E152" s="197" t="str">
        <f>Commodities!C$136</f>
        <v>KERR1</v>
      </c>
      <c r="F152" s="197" t="e">
        <f>Commodities!C$232</f>
        <v>#REF!</v>
      </c>
      <c r="G152" s="204">
        <v>1</v>
      </c>
      <c r="H152" s="203" t="e">
        <f t="shared" si="22"/>
        <v>#REF!</v>
      </c>
      <c r="I152" s="203" t="e">
        <f t="shared" si="22"/>
        <v>#REF!</v>
      </c>
      <c r="J152" s="203" t="e">
        <f t="shared" si="22"/>
        <v>#REF!</v>
      </c>
      <c r="K152" s="203" t="e">
        <f t="shared" si="22"/>
        <v>#REF!</v>
      </c>
      <c r="L152" s="203" t="e">
        <f t="shared" si="22"/>
        <v>#REF!</v>
      </c>
      <c r="M152" s="203" t="e">
        <f t="shared" si="22"/>
        <v>#REF!</v>
      </c>
      <c r="N152" s="203" t="e">
        <f t="shared" si="22"/>
        <v>#REF!</v>
      </c>
      <c r="O152" s="203" t="e">
        <f t="shared" si="22"/>
        <v>#REF!</v>
      </c>
      <c r="P152" s="203" t="e">
        <f t="shared" si="22"/>
        <v>#REF!</v>
      </c>
      <c r="Q152" s="203" t="e">
        <f t="shared" si="22"/>
        <v>#REF!</v>
      </c>
      <c r="S152" s="177"/>
      <c r="T152" s="177"/>
      <c r="U152" s="177"/>
      <c r="V152" s="177"/>
      <c r="W152" s="177"/>
      <c r="X152" s="177"/>
      <c r="Y152" s="177"/>
      <c r="Z152" s="177"/>
      <c r="AA152" s="177"/>
      <c r="AB152" s="177"/>
      <c r="AC152" s="177"/>
    </row>
    <row r="153" spans="2:29">
      <c r="B153" s="158" t="str">
        <f>IF(LEFT(Technologies!B$596,1)="*","*R6","R6")</f>
        <v>*R6</v>
      </c>
      <c r="C153" s="158" t="e">
        <f>Technologies!C$596</f>
        <v>#REF!</v>
      </c>
      <c r="D153" s="158" t="e">
        <f>Technologies!D$596</f>
        <v>#REF!</v>
      </c>
      <c r="E153" s="197" t="str">
        <f>Commodities!C$136</f>
        <v>KERR1</v>
      </c>
      <c r="F153" s="197" t="e">
        <f>Commodities!C$233</f>
        <v>#REF!</v>
      </c>
      <c r="G153" s="204">
        <v>1</v>
      </c>
      <c r="H153" s="203" t="e">
        <f t="shared" si="22"/>
        <v>#REF!</v>
      </c>
      <c r="I153" s="203" t="e">
        <f t="shared" si="22"/>
        <v>#REF!</v>
      </c>
      <c r="J153" s="203" t="e">
        <f t="shared" si="22"/>
        <v>#REF!</v>
      </c>
      <c r="K153" s="203" t="e">
        <f t="shared" si="22"/>
        <v>#REF!</v>
      </c>
      <c r="L153" s="203" t="e">
        <f t="shared" si="22"/>
        <v>#REF!</v>
      </c>
      <c r="M153" s="203" t="e">
        <f t="shared" si="22"/>
        <v>#REF!</v>
      </c>
      <c r="N153" s="203" t="e">
        <f t="shared" si="22"/>
        <v>#REF!</v>
      </c>
      <c r="O153" s="203" t="e">
        <f t="shared" si="22"/>
        <v>#REF!</v>
      </c>
      <c r="P153" s="203" t="e">
        <f t="shared" si="22"/>
        <v>#REF!</v>
      </c>
      <c r="Q153" s="203" t="e">
        <f t="shared" si="22"/>
        <v>#REF!</v>
      </c>
      <c r="S153" s="177"/>
      <c r="T153" s="177"/>
      <c r="U153" s="177"/>
      <c r="V153" s="177"/>
      <c r="W153" s="177"/>
      <c r="X153" s="177"/>
      <c r="Y153" s="177"/>
      <c r="Z153" s="177"/>
      <c r="AA153" s="177"/>
      <c r="AB153" s="177"/>
      <c r="AC153" s="177"/>
    </row>
    <row r="154" spans="2:29">
      <c r="B154" s="158" t="str">
        <f>IF(LEFT(Technologies!B$597,1)="*","*R6","R6")</f>
        <v>*R6</v>
      </c>
      <c r="C154" s="158" t="e">
        <f>Technologies!C$597</f>
        <v>#REF!</v>
      </c>
      <c r="D154" s="158" t="e">
        <f>Technologies!D$597</f>
        <v>#REF!</v>
      </c>
      <c r="E154" s="197" t="str">
        <f>Commodities!C$137</f>
        <v>LPGR1</v>
      </c>
      <c r="F154" s="197" t="e">
        <f>Commodities!C$234</f>
        <v>#REF!</v>
      </c>
      <c r="G154" s="204">
        <v>1</v>
      </c>
      <c r="H154" s="203" t="e">
        <f t="shared" si="22"/>
        <v>#REF!</v>
      </c>
      <c r="I154" s="203" t="e">
        <f t="shared" si="22"/>
        <v>#REF!</v>
      </c>
      <c r="J154" s="203" t="e">
        <f t="shared" si="22"/>
        <v>#REF!</v>
      </c>
      <c r="K154" s="203" t="e">
        <f t="shared" si="22"/>
        <v>#REF!</v>
      </c>
      <c r="L154" s="203" t="e">
        <f t="shared" si="22"/>
        <v>#REF!</v>
      </c>
      <c r="M154" s="203" t="e">
        <f t="shared" si="22"/>
        <v>#REF!</v>
      </c>
      <c r="N154" s="203" t="e">
        <f t="shared" si="22"/>
        <v>#REF!</v>
      </c>
      <c r="O154" s="203" t="e">
        <f t="shared" si="22"/>
        <v>#REF!</v>
      </c>
      <c r="P154" s="203" t="e">
        <f t="shared" si="22"/>
        <v>#REF!</v>
      </c>
      <c r="Q154" s="203" t="e">
        <f t="shared" si="22"/>
        <v>#REF!</v>
      </c>
      <c r="S154" s="177"/>
      <c r="T154" s="177"/>
      <c r="U154" s="177"/>
      <c r="V154" s="177"/>
      <c r="W154" s="177"/>
      <c r="X154" s="177"/>
      <c r="Y154" s="177"/>
      <c r="Z154" s="177"/>
      <c r="AA154" s="177"/>
      <c r="AB154" s="177"/>
      <c r="AC154" s="177"/>
    </row>
    <row r="155" spans="2:29">
      <c r="B155" s="158" t="str">
        <f>IF(LEFT(Technologies!B$598,1)="*","*R6","R6")</f>
        <v>*R6</v>
      </c>
      <c r="C155" s="158" t="e">
        <f>Technologies!C$598</f>
        <v>#REF!</v>
      </c>
      <c r="D155" s="158" t="e">
        <f>Technologies!D$598</f>
        <v>#REF!</v>
      </c>
      <c r="E155" s="197" t="str">
        <f>Commodities!C$137</f>
        <v>LPGR1</v>
      </c>
      <c r="F155" s="197" t="e">
        <f>Commodities!C$235</f>
        <v>#REF!</v>
      </c>
      <c r="G155" s="204">
        <v>1</v>
      </c>
      <c r="H155" s="203" t="e">
        <f t="shared" si="22"/>
        <v>#REF!</v>
      </c>
      <c r="I155" s="203" t="e">
        <f t="shared" si="22"/>
        <v>#REF!</v>
      </c>
      <c r="J155" s="203" t="e">
        <f t="shared" si="22"/>
        <v>#REF!</v>
      </c>
      <c r="K155" s="203" t="e">
        <f t="shared" si="22"/>
        <v>#REF!</v>
      </c>
      <c r="L155" s="203" t="e">
        <f t="shared" si="22"/>
        <v>#REF!</v>
      </c>
      <c r="M155" s="203" t="e">
        <f t="shared" si="22"/>
        <v>#REF!</v>
      </c>
      <c r="N155" s="203" t="e">
        <f t="shared" si="22"/>
        <v>#REF!</v>
      </c>
      <c r="O155" s="203" t="e">
        <f t="shared" si="22"/>
        <v>#REF!</v>
      </c>
      <c r="P155" s="203" t="e">
        <f t="shared" si="22"/>
        <v>#REF!</v>
      </c>
      <c r="Q155" s="203" t="e">
        <f t="shared" si="22"/>
        <v>#REF!</v>
      </c>
      <c r="S155" s="177"/>
      <c r="T155" s="177"/>
      <c r="U155" s="177"/>
      <c r="V155" s="177"/>
      <c r="W155" s="177"/>
      <c r="X155" s="177"/>
      <c r="Y155" s="177"/>
      <c r="Z155" s="177"/>
      <c r="AA155" s="177"/>
      <c r="AB155" s="177"/>
      <c r="AC155" s="177"/>
    </row>
    <row r="156" spans="2:29">
      <c r="B156" s="158" t="str">
        <f>IF(LEFT(Technologies!B$599,1)="*","*R6","R6")</f>
        <v>*R6</v>
      </c>
      <c r="C156" s="158" t="e">
        <f>Technologies!C$599</f>
        <v>#REF!</v>
      </c>
      <c r="D156" s="158" t="e">
        <f>Technologies!D$599</f>
        <v>#REF!</v>
      </c>
      <c r="E156" s="197" t="str">
        <f>Commodities!C$137</f>
        <v>LPGR1</v>
      </c>
      <c r="F156" s="197" t="e">
        <f>Commodities!C$236</f>
        <v>#REF!</v>
      </c>
      <c r="G156" s="204">
        <v>1</v>
      </c>
      <c r="H156" s="203" t="e">
        <f t="shared" si="22"/>
        <v>#REF!</v>
      </c>
      <c r="I156" s="203" t="e">
        <f t="shared" si="22"/>
        <v>#REF!</v>
      </c>
      <c r="J156" s="203" t="e">
        <f t="shared" si="22"/>
        <v>#REF!</v>
      </c>
      <c r="K156" s="203" t="e">
        <f t="shared" si="22"/>
        <v>#REF!</v>
      </c>
      <c r="L156" s="203" t="e">
        <f t="shared" si="22"/>
        <v>#REF!</v>
      </c>
      <c r="M156" s="203" t="e">
        <f t="shared" si="22"/>
        <v>#REF!</v>
      </c>
      <c r="N156" s="203" t="e">
        <f t="shared" si="22"/>
        <v>#REF!</v>
      </c>
      <c r="O156" s="203" t="e">
        <f t="shared" si="22"/>
        <v>#REF!</v>
      </c>
      <c r="P156" s="203" t="e">
        <f t="shared" si="22"/>
        <v>#REF!</v>
      </c>
      <c r="Q156" s="203" t="e">
        <f t="shared" si="22"/>
        <v>#REF!</v>
      </c>
      <c r="S156" s="177"/>
      <c r="T156" s="177"/>
      <c r="U156" s="177"/>
      <c r="V156" s="177"/>
      <c r="W156" s="177"/>
      <c r="X156" s="177"/>
      <c r="Y156" s="177"/>
      <c r="Z156" s="177"/>
      <c r="AA156" s="177"/>
      <c r="AB156" s="177"/>
      <c r="AC156" s="177"/>
    </row>
    <row r="157" spans="2:29">
      <c r="B157" s="158" t="str">
        <f>IF(LEFT(Technologies!B$600,1)="*","*R6","R6")</f>
        <v>*R6</v>
      </c>
      <c r="C157" s="158" t="e">
        <f>Technologies!C$600</f>
        <v>#REF!</v>
      </c>
      <c r="D157" s="158" t="e">
        <f>Technologies!D$600</f>
        <v>#REF!</v>
      </c>
      <c r="E157" s="197" t="str">
        <f>Commodities!C$137</f>
        <v>LPGR1</v>
      </c>
      <c r="F157" s="197" t="e">
        <f>Commodities!C$237</f>
        <v>#REF!</v>
      </c>
      <c r="G157" s="204">
        <v>1</v>
      </c>
      <c r="H157" s="203" t="e">
        <f t="shared" si="22"/>
        <v>#REF!</v>
      </c>
      <c r="I157" s="203" t="e">
        <f t="shared" si="22"/>
        <v>#REF!</v>
      </c>
      <c r="J157" s="203" t="e">
        <f t="shared" si="22"/>
        <v>#REF!</v>
      </c>
      <c r="K157" s="203" t="e">
        <f t="shared" si="22"/>
        <v>#REF!</v>
      </c>
      <c r="L157" s="203" t="e">
        <f t="shared" si="22"/>
        <v>#REF!</v>
      </c>
      <c r="M157" s="203" t="e">
        <f t="shared" si="22"/>
        <v>#REF!</v>
      </c>
      <c r="N157" s="203" t="e">
        <f t="shared" si="22"/>
        <v>#REF!</v>
      </c>
      <c r="O157" s="203" t="e">
        <f t="shared" si="22"/>
        <v>#REF!</v>
      </c>
      <c r="P157" s="203" t="e">
        <f t="shared" si="22"/>
        <v>#REF!</v>
      </c>
      <c r="Q157" s="203" t="e">
        <f t="shared" si="22"/>
        <v>#REF!</v>
      </c>
      <c r="S157" s="177"/>
      <c r="T157" s="177"/>
      <c r="U157" s="177"/>
      <c r="V157" s="177"/>
      <c r="W157" s="177"/>
      <c r="X157" s="177"/>
      <c r="Y157" s="177"/>
      <c r="Z157" s="177"/>
      <c r="AA157" s="177"/>
      <c r="AB157" s="177"/>
      <c r="AC157" s="177"/>
    </row>
    <row r="158" spans="2:29">
      <c r="B158" s="158" t="str">
        <f>IF(LEFT(Technologies!B$601,1)="*","*R6","R6")</f>
        <v>*R6</v>
      </c>
      <c r="C158" s="158" t="e">
        <f>Technologies!C$601</f>
        <v>#REF!</v>
      </c>
      <c r="D158" s="158" t="e">
        <f>Technologies!D$601</f>
        <v>#REF!</v>
      </c>
      <c r="E158" s="197" t="str">
        <f>Commodities!C$138</f>
        <v>MTHR1</v>
      </c>
      <c r="F158" s="197" t="e">
        <f>Commodities!C$238</f>
        <v>#REF!</v>
      </c>
      <c r="G158" s="204">
        <v>1</v>
      </c>
      <c r="H158" s="203" t="e">
        <f t="shared" si="22"/>
        <v>#REF!</v>
      </c>
      <c r="I158" s="203" t="e">
        <f t="shared" si="22"/>
        <v>#REF!</v>
      </c>
      <c r="J158" s="203" t="e">
        <f t="shared" si="22"/>
        <v>#REF!</v>
      </c>
      <c r="K158" s="203" t="e">
        <f t="shared" si="22"/>
        <v>#REF!</v>
      </c>
      <c r="L158" s="203" t="e">
        <f t="shared" si="22"/>
        <v>#REF!</v>
      </c>
      <c r="M158" s="203" t="e">
        <f t="shared" si="22"/>
        <v>#REF!</v>
      </c>
      <c r="N158" s="203" t="e">
        <f t="shared" si="22"/>
        <v>#REF!</v>
      </c>
      <c r="O158" s="203" t="e">
        <f t="shared" si="22"/>
        <v>#REF!</v>
      </c>
      <c r="P158" s="203" t="e">
        <f t="shared" si="22"/>
        <v>#REF!</v>
      </c>
      <c r="Q158" s="203" t="e">
        <f t="shared" si="22"/>
        <v>#REF!</v>
      </c>
      <c r="S158" s="177"/>
      <c r="T158" s="177"/>
      <c r="U158" s="177"/>
      <c r="V158" s="177"/>
      <c r="W158" s="177"/>
      <c r="X158" s="177"/>
      <c r="Y158" s="177"/>
      <c r="Z158" s="177"/>
      <c r="AA158" s="177"/>
      <c r="AB158" s="177"/>
      <c r="AC158" s="177"/>
    </row>
    <row r="159" spans="2:29">
      <c r="B159" s="158" t="str">
        <f>IF(LEFT(Technologies!B$602,1)="*","*R6","R6")</f>
        <v>*R6</v>
      </c>
      <c r="C159" s="158" t="e">
        <f>Technologies!C$602</f>
        <v>#REF!</v>
      </c>
      <c r="D159" s="158" t="e">
        <f>Technologies!D$602</f>
        <v>#REF!</v>
      </c>
      <c r="E159" s="197" t="str">
        <f>Commodities!C$139</f>
        <v>PFSR1</v>
      </c>
      <c r="F159" s="197" t="e">
        <f>Commodities!C$239</f>
        <v>#REF!</v>
      </c>
      <c r="G159" s="204">
        <v>1</v>
      </c>
      <c r="H159" s="203" t="e">
        <f t="shared" ref="H159:Q166" si="23">H133</f>
        <v>#REF!</v>
      </c>
      <c r="I159" s="203" t="e">
        <f t="shared" si="23"/>
        <v>#REF!</v>
      </c>
      <c r="J159" s="203" t="e">
        <f t="shared" si="23"/>
        <v>#REF!</v>
      </c>
      <c r="K159" s="203" t="e">
        <f t="shared" si="23"/>
        <v>#REF!</v>
      </c>
      <c r="L159" s="203" t="e">
        <f t="shared" si="23"/>
        <v>#REF!</v>
      </c>
      <c r="M159" s="203" t="e">
        <f t="shared" si="23"/>
        <v>#REF!</v>
      </c>
      <c r="N159" s="203" t="e">
        <f t="shared" si="23"/>
        <v>#REF!</v>
      </c>
      <c r="O159" s="203" t="e">
        <f t="shared" si="23"/>
        <v>#REF!</v>
      </c>
      <c r="P159" s="203" t="e">
        <f t="shared" si="23"/>
        <v>#REF!</v>
      </c>
      <c r="Q159" s="203" t="e">
        <f t="shared" si="23"/>
        <v>#REF!</v>
      </c>
      <c r="S159" s="177"/>
      <c r="T159" s="177"/>
      <c r="U159" s="177"/>
      <c r="V159" s="177"/>
      <c r="W159" s="177"/>
      <c r="X159" s="177"/>
      <c r="Y159" s="177"/>
      <c r="Z159" s="177"/>
      <c r="AA159" s="177"/>
      <c r="AB159" s="177"/>
      <c r="AC159" s="177"/>
    </row>
    <row r="160" spans="2:29">
      <c r="B160" s="158" t="str">
        <f>IF(LEFT(Technologies!B$603,1)="*","*R6","R6")</f>
        <v>*R6</v>
      </c>
      <c r="C160" s="158" t="e">
        <f>Technologies!C$603</f>
        <v>#REF!</v>
      </c>
      <c r="D160" s="158" t="e">
        <f>Technologies!D$603</f>
        <v>#REF!</v>
      </c>
      <c r="E160" s="197" t="str">
        <f>Commodities!C$141</f>
        <v>RFLR1</v>
      </c>
      <c r="F160" s="197" t="str">
        <f>Commodities!C$240</f>
        <v>RESRFL</v>
      </c>
      <c r="G160" s="204">
        <v>1</v>
      </c>
      <c r="H160" s="203" t="e">
        <f t="shared" si="23"/>
        <v>#REF!</v>
      </c>
      <c r="I160" s="203" t="e">
        <f t="shared" si="23"/>
        <v>#REF!</v>
      </c>
      <c r="J160" s="203" t="e">
        <f t="shared" si="23"/>
        <v>#REF!</v>
      </c>
      <c r="K160" s="203" t="e">
        <f t="shared" si="23"/>
        <v>#REF!</v>
      </c>
      <c r="L160" s="203" t="e">
        <f t="shared" si="23"/>
        <v>#REF!</v>
      </c>
      <c r="M160" s="203" t="e">
        <f t="shared" si="23"/>
        <v>#REF!</v>
      </c>
      <c r="N160" s="203" t="e">
        <f t="shared" si="23"/>
        <v>#REF!</v>
      </c>
      <c r="O160" s="203" t="e">
        <f t="shared" si="23"/>
        <v>#REF!</v>
      </c>
      <c r="P160" s="203" t="e">
        <f t="shared" si="23"/>
        <v>#REF!</v>
      </c>
      <c r="Q160" s="203" t="e">
        <f t="shared" si="23"/>
        <v>#REF!</v>
      </c>
      <c r="S160" s="177"/>
      <c r="T160" s="177"/>
      <c r="U160" s="177"/>
      <c r="V160" s="177"/>
      <c r="W160" s="177"/>
      <c r="X160" s="177"/>
      <c r="Y160" s="177"/>
      <c r="Z160" s="177"/>
      <c r="AA160" s="177"/>
      <c r="AB160" s="177"/>
      <c r="AC160" s="177"/>
    </row>
    <row r="161" spans="2:29">
      <c r="B161" s="158" t="str">
        <f>IF(LEFT(Technologies!B$604,1)="*","*R6","R6")</f>
        <v>*R6</v>
      </c>
      <c r="C161" s="158" t="e">
        <f>Technologies!C$604</f>
        <v>#REF!</v>
      </c>
      <c r="D161" s="158" t="e">
        <f>Technologies!D$604</f>
        <v>#REF!</v>
      </c>
      <c r="E161" s="197" t="str">
        <f>Commodities!C$141</f>
        <v>RFLR1</v>
      </c>
      <c r="F161" s="197" t="e">
        <f>Commodities!C$241</f>
        <v>#REF!</v>
      </c>
      <c r="G161" s="204">
        <v>1</v>
      </c>
      <c r="H161" s="203" t="e">
        <f t="shared" si="23"/>
        <v>#REF!</v>
      </c>
      <c r="I161" s="203" t="e">
        <f t="shared" si="23"/>
        <v>#REF!</v>
      </c>
      <c r="J161" s="203" t="e">
        <f t="shared" si="23"/>
        <v>#REF!</v>
      </c>
      <c r="K161" s="203" t="e">
        <f t="shared" si="23"/>
        <v>#REF!</v>
      </c>
      <c r="L161" s="203" t="e">
        <f t="shared" si="23"/>
        <v>#REF!</v>
      </c>
      <c r="M161" s="203" t="e">
        <f t="shared" si="23"/>
        <v>#REF!</v>
      </c>
      <c r="N161" s="203" t="e">
        <f t="shared" si="23"/>
        <v>#REF!</v>
      </c>
      <c r="O161" s="203" t="e">
        <f t="shared" si="23"/>
        <v>#REF!</v>
      </c>
      <c r="P161" s="203" t="e">
        <f t="shared" si="23"/>
        <v>#REF!</v>
      </c>
      <c r="Q161" s="203" t="e">
        <f t="shared" si="23"/>
        <v>#REF!</v>
      </c>
      <c r="S161" s="177"/>
      <c r="T161" s="177"/>
      <c r="U161" s="177"/>
      <c r="V161" s="177"/>
      <c r="W161" s="177"/>
      <c r="X161" s="177"/>
      <c r="Y161" s="177"/>
      <c r="Z161" s="177"/>
      <c r="AA161" s="177"/>
      <c r="AB161" s="177"/>
      <c r="AC161" s="177"/>
    </row>
    <row r="162" spans="2:29">
      <c r="B162" s="158" t="str">
        <f>IF(LEFT(Technologies!B$605,1)="*","*R6","R6")</f>
        <v>R6</v>
      </c>
      <c r="C162" s="158" t="e">
        <f>Technologies!C$605</f>
        <v>#REF!</v>
      </c>
      <c r="D162" s="158" t="e">
        <f>Technologies!D$605</f>
        <v>#REF!</v>
      </c>
      <c r="E162" s="197" t="str">
        <f>Commodities!C$141</f>
        <v>RFLR1</v>
      </c>
      <c r="F162" s="197" t="e">
        <f>Commodities!C$242</f>
        <v>#REF!</v>
      </c>
      <c r="G162" s="204">
        <v>1</v>
      </c>
      <c r="H162" s="203" t="e">
        <f t="shared" si="23"/>
        <v>#REF!</v>
      </c>
      <c r="I162" s="203" t="e">
        <f t="shared" si="23"/>
        <v>#REF!</v>
      </c>
      <c r="J162" s="203" t="e">
        <f t="shared" si="23"/>
        <v>#REF!</v>
      </c>
      <c r="K162" s="203" t="e">
        <f t="shared" si="23"/>
        <v>#REF!</v>
      </c>
      <c r="L162" s="203" t="e">
        <f t="shared" si="23"/>
        <v>#REF!</v>
      </c>
      <c r="M162" s="203" t="e">
        <f t="shared" si="23"/>
        <v>#REF!</v>
      </c>
      <c r="N162" s="203" t="e">
        <f t="shared" si="23"/>
        <v>#REF!</v>
      </c>
      <c r="O162" s="203" t="e">
        <f t="shared" si="23"/>
        <v>#REF!</v>
      </c>
      <c r="P162" s="203" t="e">
        <f t="shared" si="23"/>
        <v>#REF!</v>
      </c>
      <c r="Q162" s="203" t="e">
        <f t="shared" si="23"/>
        <v>#REF!</v>
      </c>
      <c r="S162" s="177"/>
      <c r="T162" s="177"/>
      <c r="U162" s="177"/>
      <c r="V162" s="177"/>
      <c r="W162" s="177"/>
      <c r="X162" s="177"/>
      <c r="Y162" s="177"/>
      <c r="Z162" s="177"/>
      <c r="AA162" s="177"/>
      <c r="AB162" s="177"/>
      <c r="AC162" s="177"/>
    </row>
    <row r="163" spans="2:29">
      <c r="B163" s="158" t="str">
        <f>IF(LEFT(Technologies!B$606,1)="*","*R6","R6")</f>
        <v>*R6</v>
      </c>
      <c r="C163" s="158" t="e">
        <f>Technologies!C$606</f>
        <v>#REF!</v>
      </c>
      <c r="D163" s="158" t="e">
        <f>Technologies!D$606</f>
        <v>#REF!</v>
      </c>
      <c r="E163" s="197" t="str">
        <f>Commodities!C$141</f>
        <v>RFLR1</v>
      </c>
      <c r="F163" s="197" t="e">
        <f>Commodities!C$243</f>
        <v>#REF!</v>
      </c>
      <c r="G163" s="204">
        <v>1</v>
      </c>
      <c r="H163" s="203" t="e">
        <f t="shared" si="23"/>
        <v>#REF!</v>
      </c>
      <c r="I163" s="203" t="e">
        <f t="shared" si="23"/>
        <v>#REF!</v>
      </c>
      <c r="J163" s="203" t="e">
        <f t="shared" si="23"/>
        <v>#REF!</v>
      </c>
      <c r="K163" s="203" t="e">
        <f t="shared" si="23"/>
        <v>#REF!</v>
      </c>
      <c r="L163" s="203" t="e">
        <f t="shared" si="23"/>
        <v>#REF!</v>
      </c>
      <c r="M163" s="203" t="e">
        <f t="shared" si="23"/>
        <v>#REF!</v>
      </c>
      <c r="N163" s="203" t="e">
        <f t="shared" si="23"/>
        <v>#REF!</v>
      </c>
      <c r="O163" s="203" t="e">
        <f t="shared" si="23"/>
        <v>#REF!</v>
      </c>
      <c r="P163" s="203" t="e">
        <f t="shared" si="23"/>
        <v>#REF!</v>
      </c>
      <c r="Q163" s="203" t="e">
        <f t="shared" si="23"/>
        <v>#REF!</v>
      </c>
      <c r="S163" s="177"/>
      <c r="T163" s="177"/>
      <c r="U163" s="177"/>
      <c r="V163" s="177"/>
      <c r="W163" s="177"/>
      <c r="X163" s="177"/>
      <c r="Y163" s="177"/>
      <c r="Z163" s="177"/>
      <c r="AA163" s="177"/>
      <c r="AB163" s="177"/>
      <c r="AC163" s="177"/>
    </row>
    <row r="164" spans="2:29">
      <c r="B164" s="158" t="str">
        <f>IF(LEFT(Technologies!B$607,1)="*","*R6","R6")</f>
        <v>*R6</v>
      </c>
      <c r="C164" s="158" t="e">
        <f>Technologies!C$607</f>
        <v>#REF!</v>
      </c>
      <c r="D164" s="158" t="e">
        <f>Technologies!D$607</f>
        <v>#REF!</v>
      </c>
      <c r="E164" s="197" t="str">
        <f>Commodities!C$140</f>
        <v>RFHR1</v>
      </c>
      <c r="F164" s="197" t="e">
        <f>Commodities!C$244</f>
        <v>#REF!</v>
      </c>
      <c r="G164" s="204">
        <v>1</v>
      </c>
      <c r="H164" s="203" t="e">
        <f t="shared" si="23"/>
        <v>#REF!</v>
      </c>
      <c r="I164" s="203" t="e">
        <f t="shared" si="23"/>
        <v>#REF!</v>
      </c>
      <c r="J164" s="203" t="e">
        <f t="shared" si="23"/>
        <v>#REF!</v>
      </c>
      <c r="K164" s="203" t="e">
        <f t="shared" si="23"/>
        <v>#REF!</v>
      </c>
      <c r="L164" s="203" t="e">
        <f t="shared" si="23"/>
        <v>#REF!</v>
      </c>
      <c r="M164" s="203" t="e">
        <f t="shared" si="23"/>
        <v>#REF!</v>
      </c>
      <c r="N164" s="203" t="e">
        <f t="shared" si="23"/>
        <v>#REF!</v>
      </c>
      <c r="O164" s="203" t="e">
        <f t="shared" si="23"/>
        <v>#REF!</v>
      </c>
      <c r="P164" s="203" t="e">
        <f t="shared" si="23"/>
        <v>#REF!</v>
      </c>
      <c r="Q164" s="203" t="e">
        <f t="shared" si="23"/>
        <v>#REF!</v>
      </c>
      <c r="S164" s="177"/>
      <c r="T164" s="177"/>
      <c r="U164" s="177"/>
      <c r="V164" s="177"/>
      <c r="W164" s="177"/>
      <c r="X164" s="177"/>
      <c r="Y164" s="177"/>
      <c r="Z164" s="177"/>
      <c r="AA164" s="177"/>
      <c r="AB164" s="177"/>
      <c r="AC164" s="177"/>
    </row>
    <row r="165" spans="2:29">
      <c r="B165" s="158" t="str">
        <f>IF(LEFT(Technologies!B$608,1)="*","*R6","R6")</f>
        <v>*R6</v>
      </c>
      <c r="C165" s="158" t="e">
        <f>Technologies!C$608</f>
        <v>#REF!</v>
      </c>
      <c r="D165" s="158" t="e">
        <f>Technologies!D$608</f>
        <v>#REF!</v>
      </c>
      <c r="E165" s="197" t="str">
        <f>Commodities!C$140</f>
        <v>RFHR1</v>
      </c>
      <c r="F165" s="197" t="e">
        <f>Commodities!C$245</f>
        <v>#REF!</v>
      </c>
      <c r="G165" s="204">
        <v>1</v>
      </c>
      <c r="H165" s="203" t="e">
        <f t="shared" si="23"/>
        <v>#REF!</v>
      </c>
      <c r="I165" s="203" t="e">
        <f t="shared" si="23"/>
        <v>#REF!</v>
      </c>
      <c r="J165" s="203" t="e">
        <f t="shared" si="23"/>
        <v>#REF!</v>
      </c>
      <c r="K165" s="203" t="e">
        <f t="shared" si="23"/>
        <v>#REF!</v>
      </c>
      <c r="L165" s="203" t="e">
        <f t="shared" si="23"/>
        <v>#REF!</v>
      </c>
      <c r="M165" s="203" t="e">
        <f t="shared" si="23"/>
        <v>#REF!</v>
      </c>
      <c r="N165" s="203" t="e">
        <f t="shared" si="23"/>
        <v>#REF!</v>
      </c>
      <c r="O165" s="203" t="e">
        <f t="shared" si="23"/>
        <v>#REF!</v>
      </c>
      <c r="P165" s="203" t="e">
        <f t="shared" si="23"/>
        <v>#REF!</v>
      </c>
      <c r="Q165" s="203" t="e">
        <f t="shared" si="23"/>
        <v>#REF!</v>
      </c>
      <c r="S165" s="177"/>
      <c r="T165" s="177"/>
      <c r="U165" s="177"/>
      <c r="V165" s="177"/>
      <c r="W165" s="177"/>
      <c r="X165" s="177"/>
      <c r="Y165" s="177"/>
      <c r="Z165" s="177"/>
      <c r="AA165" s="177"/>
      <c r="AB165" s="177"/>
      <c r="AC165" s="177"/>
    </row>
    <row r="166" spans="2:29">
      <c r="B166" s="158" t="str">
        <f>IF(LEFT(Technologies!B$609,1)="*","*R6","R6")</f>
        <v>*R6</v>
      </c>
      <c r="C166" s="158" t="e">
        <f>Technologies!C$609</f>
        <v>#REF!</v>
      </c>
      <c r="D166" s="158" t="e">
        <f>Technologies!D$609</f>
        <v>#REF!</v>
      </c>
      <c r="E166" s="197" t="str">
        <f>Commodities!C$142</f>
        <v>ASPR1</v>
      </c>
      <c r="F166" s="197" t="e">
        <f>Commodities!C$246</f>
        <v>#REF!</v>
      </c>
      <c r="G166" s="204">
        <v>1</v>
      </c>
      <c r="H166" s="203" t="e">
        <f t="shared" si="23"/>
        <v>#REF!</v>
      </c>
      <c r="I166" s="203" t="e">
        <f t="shared" si="23"/>
        <v>#REF!</v>
      </c>
      <c r="J166" s="203" t="e">
        <f t="shared" si="23"/>
        <v>#REF!</v>
      </c>
      <c r="K166" s="203" t="e">
        <f t="shared" si="23"/>
        <v>#REF!</v>
      </c>
      <c r="L166" s="203" t="e">
        <f t="shared" si="23"/>
        <v>#REF!</v>
      </c>
      <c r="M166" s="203" t="e">
        <f t="shared" si="23"/>
        <v>#REF!</v>
      </c>
      <c r="N166" s="203" t="e">
        <f t="shared" si="23"/>
        <v>#REF!</v>
      </c>
      <c r="O166" s="203" t="e">
        <f t="shared" si="23"/>
        <v>#REF!</v>
      </c>
      <c r="P166" s="203" t="e">
        <f t="shared" si="23"/>
        <v>#REF!</v>
      </c>
      <c r="Q166" s="203" t="e">
        <f t="shared" si="23"/>
        <v>#REF!</v>
      </c>
      <c r="S166" s="177"/>
      <c r="T166" s="177"/>
      <c r="U166" s="177"/>
      <c r="V166" s="177"/>
      <c r="W166" s="177"/>
      <c r="X166" s="177"/>
      <c r="Y166" s="177"/>
      <c r="Z166" s="177"/>
      <c r="AA166" s="177"/>
      <c r="AB166" s="177"/>
      <c r="AC166" s="177"/>
    </row>
    <row r="167" spans="2:29">
      <c r="B167" s="158" t="s">
        <v>398</v>
      </c>
      <c r="C167" s="158"/>
      <c r="D167" s="158"/>
      <c r="E167" s="197"/>
      <c r="F167" s="197"/>
      <c r="G167" s="204"/>
      <c r="H167" s="203"/>
      <c r="I167" s="203"/>
      <c r="J167" s="203"/>
      <c r="K167" s="203"/>
      <c r="L167" s="203"/>
      <c r="M167" s="203"/>
      <c r="N167" s="203"/>
      <c r="O167" s="203"/>
      <c r="P167" s="203"/>
      <c r="Q167" s="203"/>
      <c r="S167" s="177"/>
      <c r="T167" s="177"/>
      <c r="U167" s="177"/>
      <c r="V167" s="177"/>
      <c r="W167" s="177"/>
      <c r="X167" s="177"/>
      <c r="Y167" s="177"/>
      <c r="Z167" s="177"/>
      <c r="AA167" s="177"/>
      <c r="AB167" s="177"/>
      <c r="AC167" s="177"/>
    </row>
    <row r="168" spans="2:29">
      <c r="B168" s="158" t="str">
        <f>Technologies!B610</f>
        <v>*</v>
      </c>
      <c r="C168" s="158" t="e">
        <f>Technologies!C610</f>
        <v>#REF!</v>
      </c>
      <c r="D168" s="158" t="e">
        <f>Technologies!D610</f>
        <v>#REF!</v>
      </c>
      <c r="E168" s="197" t="e">
        <f>Commodities!C143</f>
        <v>#REF!</v>
      </c>
      <c r="F168" s="197" t="e">
        <f>Commodities!C222</f>
        <v>#REF!</v>
      </c>
      <c r="G168" s="204">
        <v>1</v>
      </c>
      <c r="H168" s="203" t="e">
        <f>#REF!*#REF!^5/(Conv!$I$5*Conv!$D$46)/10^6 +#REF!</f>
        <v>#REF!</v>
      </c>
      <c r="I168" s="203" t="e">
        <f>#REF!*#REF!^5/(Conv!$I$5*Conv!$D$46)/10^6 +#REF!</f>
        <v>#REF!</v>
      </c>
      <c r="J168" s="203" t="e">
        <f>#REF!*#REF!^5/(Conv!$I$5*Conv!$D$46)/10^6 +#REF!</f>
        <v>#REF!</v>
      </c>
      <c r="K168" s="203" t="e">
        <f>#REF!*#REF!^5/(Conv!$I$5*Conv!$D$46)/10^6 +#REF!</f>
        <v>#REF!</v>
      </c>
      <c r="L168" s="203" t="e">
        <f>#REF!*#REF!^5/(Conv!$I$5*Conv!$D$46)/10^6 +#REF!</f>
        <v>#REF!</v>
      </c>
      <c r="M168" s="203" t="e">
        <f>#REF!*#REF!^5/(Conv!$I$5*Conv!$D$46)/10^6 +#REF!</f>
        <v>#REF!</v>
      </c>
      <c r="N168" s="203" t="e">
        <f>#REF!*#REF!^5/(Conv!$I$5*Conv!$D$46)/10^6 +#REF!</f>
        <v>#REF!</v>
      </c>
      <c r="O168" s="203" t="e">
        <f>#REF!*#REF!^5/(Conv!$I$5*Conv!$D$46)/10^6 +#REF!</f>
        <v>#REF!</v>
      </c>
      <c r="P168" s="203" t="e">
        <f>#REF!*#REF!^5/(Conv!$I$5*Conv!$D$46)/10^6 +#REF!</f>
        <v>#REF!</v>
      </c>
      <c r="Q168" s="203" t="e">
        <f>#REF!*#REF!^5/(Conv!$I$5*Conv!$D$46)/10^6 +#REF!</f>
        <v>#REF!</v>
      </c>
      <c r="S168" s="177"/>
      <c r="T168" s="177"/>
      <c r="U168" s="177"/>
      <c r="V168" s="177"/>
      <c r="W168" s="177"/>
      <c r="X168" s="177"/>
      <c r="Y168" s="177"/>
      <c r="Z168" s="177"/>
      <c r="AA168" s="177"/>
      <c r="AB168" s="177"/>
      <c r="AC168" s="177"/>
    </row>
    <row r="169" spans="2:29">
      <c r="B169" s="158" t="str">
        <f>Technologies!B611</f>
        <v>*</v>
      </c>
      <c r="C169" s="158" t="e">
        <f>Technologies!C611</f>
        <v>#REF!</v>
      </c>
      <c r="D169" s="158" t="e">
        <f>Technologies!D611</f>
        <v>#REF!</v>
      </c>
      <c r="E169" s="197" t="e">
        <f>Commodities!C144</f>
        <v>#REF!</v>
      </c>
      <c r="F169" s="197" t="e">
        <f>Commodities!C223</f>
        <v>#REF!</v>
      </c>
      <c r="G169" s="204">
        <v>1</v>
      </c>
      <c r="H169" s="203" t="e">
        <f>#REF!*#REF!^5/(Conv!$I$5*Conv!$D$46)/10^6 +#REF!</f>
        <v>#REF!</v>
      </c>
      <c r="I169" s="203" t="e">
        <f>#REF!*#REF!^5/(Conv!$I$5*Conv!$D$46)/10^6 +#REF!</f>
        <v>#REF!</v>
      </c>
      <c r="J169" s="203" t="e">
        <f>#REF!*#REF!^5/(Conv!$I$5*Conv!$D$46)/10^6 +#REF!</f>
        <v>#REF!</v>
      </c>
      <c r="K169" s="203" t="e">
        <f>#REF!*#REF!^5/(Conv!$I$5*Conv!$D$46)/10^6 +#REF!</f>
        <v>#REF!</v>
      </c>
      <c r="L169" s="203" t="e">
        <f>#REF!*#REF!^5/(Conv!$I$5*Conv!$D$46)/10^6 +#REF!</f>
        <v>#REF!</v>
      </c>
      <c r="M169" s="203" t="e">
        <f>#REF!*#REF!^5/(Conv!$I$5*Conv!$D$46)/10^6 +#REF!</f>
        <v>#REF!</v>
      </c>
      <c r="N169" s="203" t="e">
        <f>#REF!*#REF!^5/(Conv!$I$5*Conv!$D$46)/10^6 +#REF!</f>
        <v>#REF!</v>
      </c>
      <c r="O169" s="203" t="e">
        <f>#REF!*#REF!^5/(Conv!$I$5*Conv!$D$46)/10^6 +#REF!</f>
        <v>#REF!</v>
      </c>
      <c r="P169" s="203" t="e">
        <f>#REF!*#REF!^5/(Conv!$I$5*Conv!$D$46)/10^6 +#REF!</f>
        <v>#REF!</v>
      </c>
      <c r="Q169" s="203" t="e">
        <f>#REF!*#REF!^5/(Conv!$I$5*Conv!$D$46)/10^6 +#REF!</f>
        <v>#REF!</v>
      </c>
      <c r="S169" s="177"/>
      <c r="T169" s="177"/>
      <c r="U169" s="177"/>
      <c r="V169" s="177"/>
      <c r="W169" s="177"/>
      <c r="X169" s="177"/>
      <c r="Y169" s="177"/>
      <c r="Z169" s="177"/>
      <c r="AA169" s="177"/>
      <c r="AB169" s="177"/>
      <c r="AC169" s="177"/>
    </row>
    <row r="170" spans="2:29">
      <c r="B170" s="158" t="str">
        <f>Technologies!B612</f>
        <v>*</v>
      </c>
      <c r="C170" s="158" t="e">
        <f>Technologies!C612</f>
        <v>#REF!</v>
      </c>
      <c r="D170" s="158" t="e">
        <f>Technologies!D612</f>
        <v>#REF!</v>
      </c>
      <c r="E170" s="197" t="e">
        <f>Commodities!C145</f>
        <v>#REF!</v>
      </c>
      <c r="F170" s="197" t="e">
        <f>Commodities!C224</f>
        <v>#REF!</v>
      </c>
      <c r="G170" s="204">
        <v>1</v>
      </c>
      <c r="H170" s="203" t="e">
        <f>#REF!*#REF!^5/(Conv!$I$5*Conv!$D$46)/10^6 +#REF!</f>
        <v>#REF!</v>
      </c>
      <c r="I170" s="203" t="e">
        <f>#REF!*#REF!^5/(Conv!$I$5*Conv!$D$46)/10^6 +#REF!</f>
        <v>#REF!</v>
      </c>
      <c r="J170" s="203" t="e">
        <f>#REF!*#REF!^5/(Conv!$I$5*Conv!$D$46)/10^6 +#REF!</f>
        <v>#REF!</v>
      </c>
      <c r="K170" s="203" t="e">
        <f>#REF!*#REF!^5/(Conv!$I$5*Conv!$D$46)/10^6 +#REF!</f>
        <v>#REF!</v>
      </c>
      <c r="L170" s="203" t="e">
        <f>#REF!*#REF!^5/(Conv!$I$5*Conv!$D$46)/10^6 +#REF!</f>
        <v>#REF!</v>
      </c>
      <c r="M170" s="203" t="e">
        <f>#REF!*#REF!^5/(Conv!$I$5*Conv!$D$46)/10^6 +#REF!</f>
        <v>#REF!</v>
      </c>
      <c r="N170" s="203" t="e">
        <f>#REF!*#REF!^5/(Conv!$I$5*Conv!$D$46)/10^6 +#REF!</f>
        <v>#REF!</v>
      </c>
      <c r="O170" s="203" t="e">
        <f>#REF!*#REF!^5/(Conv!$I$5*Conv!$D$46)/10^6 +#REF!</f>
        <v>#REF!</v>
      </c>
      <c r="P170" s="203" t="e">
        <f>#REF!*#REF!^5/(Conv!$I$5*Conv!$D$46)/10^6 +#REF!</f>
        <v>#REF!</v>
      </c>
      <c r="Q170" s="203" t="e">
        <f>#REF!*#REF!^5/(Conv!$I$5*Conv!$D$46)/10^6 +#REF!</f>
        <v>#REF!</v>
      </c>
      <c r="S170" s="177"/>
      <c r="T170" s="177"/>
      <c r="U170" s="177"/>
      <c r="V170" s="177"/>
      <c r="W170" s="177"/>
      <c r="X170" s="177"/>
      <c r="Y170" s="177"/>
      <c r="Z170" s="177"/>
      <c r="AA170" s="177"/>
      <c r="AB170" s="177"/>
      <c r="AC170" s="177"/>
    </row>
    <row r="171" spans="2:29">
      <c r="B171" s="158" t="str">
        <f>Technologies!B613</f>
        <v>*</v>
      </c>
      <c r="C171" s="158" t="e">
        <f>Technologies!C613</f>
        <v>#REF!</v>
      </c>
      <c r="D171" s="158" t="e">
        <f>Technologies!D613</f>
        <v>#REF!</v>
      </c>
      <c r="E171" s="197" t="e">
        <f>E170</f>
        <v>#REF!</v>
      </c>
      <c r="F171" s="197" t="e">
        <f>Commodities!C225</f>
        <v>#REF!</v>
      </c>
      <c r="G171" s="204">
        <v>1</v>
      </c>
      <c r="H171" s="203" t="e">
        <f>#REF!*#REF!^5/(Conv!$I$5*Conv!$D$46)/10^6 +#REF!</f>
        <v>#REF!</v>
      </c>
      <c r="I171" s="203" t="e">
        <f>#REF!*#REF!^5/(Conv!$I$5*Conv!$D$46)/10^6 +#REF!</f>
        <v>#REF!</v>
      </c>
      <c r="J171" s="203" t="e">
        <f>#REF!*#REF!^5/(Conv!$I$5*Conv!$D$46)/10^6 +#REF!</f>
        <v>#REF!</v>
      </c>
      <c r="K171" s="203" t="e">
        <f>#REF!*#REF!^5/(Conv!$I$5*Conv!$D$46)/10^6 +#REF!</f>
        <v>#REF!</v>
      </c>
      <c r="L171" s="203" t="e">
        <f>#REF!*#REF!^5/(Conv!$I$5*Conv!$D$46)/10^6 +#REF!</f>
        <v>#REF!</v>
      </c>
      <c r="M171" s="203" t="e">
        <f>#REF!*#REF!^5/(Conv!$I$5*Conv!$D$46)/10^6 +#REF!</f>
        <v>#REF!</v>
      </c>
      <c r="N171" s="203" t="e">
        <f>#REF!*#REF!^5/(Conv!$I$5*Conv!$D$46)/10^6 +#REF!</f>
        <v>#REF!</v>
      </c>
      <c r="O171" s="203" t="e">
        <f>#REF!*#REF!^5/(Conv!$I$5*Conv!$D$46)/10^6 +#REF!</f>
        <v>#REF!</v>
      </c>
      <c r="P171" s="203" t="e">
        <f>#REF!*#REF!^5/(Conv!$I$5*Conv!$D$46)/10^6 +#REF!</f>
        <v>#REF!</v>
      </c>
      <c r="Q171" s="203" t="e">
        <f>#REF!*#REF!^5/(Conv!$I$5*Conv!$D$46)/10^6 +#REF!</f>
        <v>#REF!</v>
      </c>
      <c r="S171" s="177"/>
      <c r="T171" s="177"/>
      <c r="U171" s="177"/>
      <c r="V171" s="177"/>
      <c r="W171" s="177"/>
      <c r="X171" s="177"/>
      <c r="Y171" s="177"/>
      <c r="Z171" s="177"/>
      <c r="AA171" s="177"/>
      <c r="AB171" s="177"/>
      <c r="AC171" s="177"/>
    </row>
    <row r="172" spans="2:29">
      <c r="B172" s="158" t="str">
        <f>Technologies!B614</f>
        <v>*</v>
      </c>
      <c r="C172" s="158" t="e">
        <f>Technologies!C614</f>
        <v>#REF!</v>
      </c>
      <c r="D172" s="158" t="e">
        <f>Technologies!D614</f>
        <v>#REF!</v>
      </c>
      <c r="E172" s="197" t="e">
        <f>E171</f>
        <v>#REF!</v>
      </c>
      <c r="F172" s="197" t="e">
        <f>Commodities!C226</f>
        <v>#REF!</v>
      </c>
      <c r="G172" s="204">
        <v>1</v>
      </c>
      <c r="H172" s="203" t="e">
        <f>#REF!*#REF!^5/(Conv!$I$5*Conv!$D$46)/10^6 +#REF!</f>
        <v>#REF!</v>
      </c>
      <c r="I172" s="203" t="e">
        <f>#REF!*#REF!^5/(Conv!$I$5*Conv!$D$46)/10^6 +#REF!</f>
        <v>#REF!</v>
      </c>
      <c r="J172" s="203" t="e">
        <f>#REF!*#REF!^5/(Conv!$I$5*Conv!$D$46)/10^6 +#REF!</f>
        <v>#REF!</v>
      </c>
      <c r="K172" s="203" t="e">
        <f>#REF!*#REF!^5/(Conv!$I$5*Conv!$D$46)/10^6 +#REF!</f>
        <v>#REF!</v>
      </c>
      <c r="L172" s="203" t="e">
        <f>#REF!*#REF!^5/(Conv!$I$5*Conv!$D$46)/10^6 +#REF!</f>
        <v>#REF!</v>
      </c>
      <c r="M172" s="203" t="e">
        <f>#REF!*#REF!^5/(Conv!$I$5*Conv!$D$46)/10^6 +#REF!</f>
        <v>#REF!</v>
      </c>
      <c r="N172" s="203" t="e">
        <f>#REF!*#REF!^5/(Conv!$I$5*Conv!$D$46)/10^6 +#REF!</f>
        <v>#REF!</v>
      </c>
      <c r="O172" s="203" t="e">
        <f>#REF!*#REF!^5/(Conv!$I$5*Conv!$D$46)/10^6 +#REF!</f>
        <v>#REF!</v>
      </c>
      <c r="P172" s="203" t="e">
        <f>#REF!*#REF!^5/(Conv!$I$5*Conv!$D$46)/10^6 +#REF!</f>
        <v>#REF!</v>
      </c>
      <c r="Q172" s="203" t="e">
        <f>#REF!*#REF!^5/(Conv!$I$5*Conv!$D$46)/10^6 +#REF!</f>
        <v>#REF!</v>
      </c>
      <c r="S172" s="177"/>
      <c r="T172" s="177"/>
      <c r="U172" s="177"/>
      <c r="V172" s="177"/>
      <c r="W172" s="177"/>
      <c r="X172" s="177"/>
      <c r="Y172" s="177"/>
      <c r="Z172" s="177"/>
      <c r="AA172" s="177"/>
      <c r="AB172" s="177"/>
      <c r="AC172" s="177"/>
    </row>
    <row r="173" spans="2:29">
      <c r="B173" s="158" t="str">
        <f>Technologies!B615</f>
        <v>*</v>
      </c>
      <c r="C173" s="158" t="e">
        <f>Technologies!C615</f>
        <v>#REF!</v>
      </c>
      <c r="D173" s="158" t="e">
        <f>Technologies!D615</f>
        <v>#REF!</v>
      </c>
      <c r="E173" s="197" t="e">
        <f>E172</f>
        <v>#REF!</v>
      </c>
      <c r="F173" s="197" t="e">
        <f>Commodities!C227</f>
        <v>#REF!</v>
      </c>
      <c r="G173" s="204">
        <v>1</v>
      </c>
      <c r="H173" s="203" t="e">
        <f>#REF!*#REF!^5/(Conv!$I$5*Conv!$D$46)/10^6 +#REF!</f>
        <v>#REF!</v>
      </c>
      <c r="I173" s="203" t="e">
        <f>#REF!*#REF!^5/(Conv!$I$5*Conv!$D$46)/10^6 +#REF!</f>
        <v>#REF!</v>
      </c>
      <c r="J173" s="203" t="e">
        <f>#REF!*#REF!^5/(Conv!$I$5*Conv!$D$46)/10^6 +#REF!</f>
        <v>#REF!</v>
      </c>
      <c r="K173" s="203" t="e">
        <f>#REF!*#REF!^5/(Conv!$I$5*Conv!$D$46)/10^6 +#REF!</f>
        <v>#REF!</v>
      </c>
      <c r="L173" s="203" t="e">
        <f>#REF!*#REF!^5/(Conv!$I$5*Conv!$D$46)/10^6 +#REF!</f>
        <v>#REF!</v>
      </c>
      <c r="M173" s="203" t="e">
        <f>#REF!*#REF!^5/(Conv!$I$5*Conv!$D$46)/10^6 +#REF!</f>
        <v>#REF!</v>
      </c>
      <c r="N173" s="203" t="e">
        <f>#REF!*#REF!^5/(Conv!$I$5*Conv!$D$46)/10^6 +#REF!</f>
        <v>#REF!</v>
      </c>
      <c r="O173" s="203" t="e">
        <f>#REF!*#REF!^5/(Conv!$I$5*Conv!$D$46)/10^6 +#REF!</f>
        <v>#REF!</v>
      </c>
      <c r="P173" s="203" t="e">
        <f>#REF!*#REF!^5/(Conv!$I$5*Conv!$D$46)/10^6 +#REF!</f>
        <v>#REF!</v>
      </c>
      <c r="Q173" s="203" t="e">
        <f>#REF!*#REF!^5/(Conv!$I$5*Conv!$D$46)/10^6 +#REF!</f>
        <v>#REF!</v>
      </c>
      <c r="S173" s="177"/>
      <c r="T173" s="177"/>
      <c r="U173" s="177"/>
      <c r="V173" s="177"/>
      <c r="W173" s="177"/>
      <c r="X173" s="177"/>
      <c r="Y173" s="177"/>
      <c r="Z173" s="177"/>
      <c r="AA173" s="177"/>
      <c r="AB173" s="177"/>
      <c r="AC173" s="177"/>
    </row>
    <row r="174" spans="2:29">
      <c r="B174" s="158" t="str">
        <f>Technologies!B616</f>
        <v>*</v>
      </c>
      <c r="C174" s="158" t="e">
        <f>Technologies!C616</f>
        <v>#REF!</v>
      </c>
      <c r="D174" s="158" t="e">
        <f>Technologies!D616</f>
        <v>#REF!</v>
      </c>
      <c r="E174" s="197" t="e">
        <f>Commodities!C146</f>
        <v>#REF!</v>
      </c>
      <c r="F174" s="197" t="e">
        <f>Commodities!C228</f>
        <v>#REF!</v>
      </c>
      <c r="G174" s="204">
        <v>1</v>
      </c>
      <c r="H174" s="203" t="e">
        <f>#REF!*#REF!^5/(Conv!$I$5*Conv!$D$46)/10^6 +#REF!</f>
        <v>#REF!</v>
      </c>
      <c r="I174" s="203" t="e">
        <f>#REF!*#REF!^5/(Conv!$I$5*Conv!$D$46)/10^6 +#REF!</f>
        <v>#REF!</v>
      </c>
      <c r="J174" s="203" t="e">
        <f>#REF!*#REF!^5/(Conv!$I$5*Conv!$D$46)/10^6 +#REF!</f>
        <v>#REF!</v>
      </c>
      <c r="K174" s="203" t="e">
        <f>#REF!*#REF!^5/(Conv!$I$5*Conv!$D$46)/10^6 +#REF!</f>
        <v>#REF!</v>
      </c>
      <c r="L174" s="203" t="e">
        <f>#REF!*#REF!^5/(Conv!$I$5*Conv!$D$46)/10^6 +#REF!</f>
        <v>#REF!</v>
      </c>
      <c r="M174" s="203" t="e">
        <f>#REF!*#REF!^5/(Conv!$I$5*Conv!$D$46)/10^6 +#REF!</f>
        <v>#REF!</v>
      </c>
      <c r="N174" s="203" t="e">
        <f>#REF!*#REF!^5/(Conv!$I$5*Conv!$D$46)/10^6 +#REF!</f>
        <v>#REF!</v>
      </c>
      <c r="O174" s="203" t="e">
        <f>#REF!*#REF!^5/(Conv!$I$5*Conv!$D$46)/10^6 +#REF!</f>
        <v>#REF!</v>
      </c>
      <c r="P174" s="203" t="e">
        <f>#REF!*#REF!^5/(Conv!$I$5*Conv!$D$46)/10^6 +#REF!</f>
        <v>#REF!</v>
      </c>
      <c r="Q174" s="203" t="e">
        <f>#REF!*#REF!^5/(Conv!$I$5*Conv!$D$46)/10^6 +#REF!</f>
        <v>#REF!</v>
      </c>
      <c r="S174" s="177"/>
      <c r="T174" s="177"/>
      <c r="U174" s="177"/>
      <c r="V174" s="177"/>
      <c r="W174" s="177"/>
      <c r="X174" s="177"/>
      <c r="Y174" s="177"/>
      <c r="Z174" s="177"/>
      <c r="AA174" s="177"/>
      <c r="AB174" s="177"/>
      <c r="AC174" s="177"/>
    </row>
    <row r="175" spans="2:29">
      <c r="B175" s="158" t="str">
        <f>Technologies!B617</f>
        <v>*</v>
      </c>
      <c r="C175" s="158" t="e">
        <f>Technologies!C617</f>
        <v>#REF!</v>
      </c>
      <c r="D175" s="158" t="e">
        <f>Technologies!D617</f>
        <v>#REF!</v>
      </c>
      <c r="E175" s="197" t="e">
        <f>Commodities!C147</f>
        <v>#REF!</v>
      </c>
      <c r="F175" s="197" t="e">
        <f>Commodities!C229</f>
        <v>#REF!</v>
      </c>
      <c r="G175" s="204">
        <v>1</v>
      </c>
      <c r="H175" s="203" t="e">
        <f>#REF!*#REF!^5/(Conv!$I$5*Conv!$D$46)/10^6 +#REF!</f>
        <v>#REF!</v>
      </c>
      <c r="I175" s="203" t="e">
        <f>#REF!*#REF!^5/(Conv!$I$5*Conv!$D$46)/10^6 +#REF!</f>
        <v>#REF!</v>
      </c>
      <c r="J175" s="203" t="e">
        <f>#REF!*#REF!^5/(Conv!$I$5*Conv!$D$46)/10^6 +#REF!</f>
        <v>#REF!</v>
      </c>
      <c r="K175" s="203" t="e">
        <f>#REF!*#REF!^5/(Conv!$I$5*Conv!$D$46)/10^6 +#REF!</f>
        <v>#REF!</v>
      </c>
      <c r="L175" s="203" t="e">
        <f>#REF!*#REF!^5/(Conv!$I$5*Conv!$D$46)/10^6 +#REF!</f>
        <v>#REF!</v>
      </c>
      <c r="M175" s="203" t="e">
        <f>#REF!*#REF!^5/(Conv!$I$5*Conv!$D$46)/10^6 +#REF!</f>
        <v>#REF!</v>
      </c>
      <c r="N175" s="203" t="e">
        <f>#REF!*#REF!^5/(Conv!$I$5*Conv!$D$46)/10^6 +#REF!</f>
        <v>#REF!</v>
      </c>
      <c r="O175" s="203" t="e">
        <f>#REF!*#REF!^5/(Conv!$I$5*Conv!$D$46)/10^6 +#REF!</f>
        <v>#REF!</v>
      </c>
      <c r="P175" s="203" t="e">
        <f>#REF!*#REF!^5/(Conv!$I$5*Conv!$D$46)/10^6 +#REF!</f>
        <v>#REF!</v>
      </c>
      <c r="Q175" s="203" t="e">
        <f>#REF!*#REF!^5/(Conv!$I$5*Conv!$D$46)/10^6 +#REF!</f>
        <v>#REF!</v>
      </c>
      <c r="S175" s="177"/>
      <c r="T175" s="177"/>
      <c r="U175" s="177"/>
      <c r="V175" s="177"/>
      <c r="W175" s="177"/>
      <c r="X175" s="177"/>
      <c r="Y175" s="177"/>
      <c r="Z175" s="177"/>
      <c r="AA175" s="177"/>
      <c r="AB175" s="177"/>
      <c r="AC175" s="177"/>
    </row>
    <row r="176" spans="2:29">
      <c r="B176" s="158" t="str">
        <f>Technologies!B618</f>
        <v>*</v>
      </c>
      <c r="C176" s="158" t="e">
        <f>Technologies!C618</f>
        <v>#REF!</v>
      </c>
      <c r="D176" s="158" t="e">
        <f>Technologies!D618</f>
        <v>#REF!</v>
      </c>
      <c r="E176" s="197" t="e">
        <f>Commodities!C148</f>
        <v>#REF!</v>
      </c>
      <c r="F176" s="197" t="e">
        <f>Commodities!C230</f>
        <v>#REF!</v>
      </c>
      <c r="G176" s="204">
        <v>1</v>
      </c>
      <c r="H176" s="203" t="e">
        <f>#REF!*#REF!^5/(Conv!$I$5*Conv!$D$46)/10^6 +#REF!</f>
        <v>#REF!</v>
      </c>
      <c r="I176" s="203" t="e">
        <f>#REF!*#REF!^5/(Conv!$I$5*Conv!$D$46)/10^6 +#REF!</f>
        <v>#REF!</v>
      </c>
      <c r="J176" s="203" t="e">
        <f>#REF!*#REF!^5/(Conv!$I$5*Conv!$D$46)/10^6 +#REF!</f>
        <v>#REF!</v>
      </c>
      <c r="K176" s="203" t="e">
        <f>#REF!*#REF!^5/(Conv!$I$5*Conv!$D$46)/10^6 +#REF!</f>
        <v>#REF!</v>
      </c>
      <c r="L176" s="203" t="e">
        <f>#REF!*#REF!^5/(Conv!$I$5*Conv!$D$46)/10^6 +#REF!</f>
        <v>#REF!</v>
      </c>
      <c r="M176" s="203" t="e">
        <f>#REF!*#REF!^5/(Conv!$I$5*Conv!$D$46)/10^6 +#REF!</f>
        <v>#REF!</v>
      </c>
      <c r="N176" s="203" t="e">
        <f>#REF!*#REF!^5/(Conv!$I$5*Conv!$D$46)/10^6 +#REF!</f>
        <v>#REF!</v>
      </c>
      <c r="O176" s="203" t="e">
        <f>#REF!*#REF!^5/(Conv!$I$5*Conv!$D$46)/10^6 +#REF!</f>
        <v>#REF!</v>
      </c>
      <c r="P176" s="203" t="e">
        <f>#REF!*#REF!^5/(Conv!$I$5*Conv!$D$46)/10^6 +#REF!</f>
        <v>#REF!</v>
      </c>
      <c r="Q176" s="203" t="e">
        <f>#REF!*#REF!^5/(Conv!$I$5*Conv!$D$46)/10^6 +#REF!</f>
        <v>#REF!</v>
      </c>
      <c r="S176" s="177"/>
      <c r="T176" s="177"/>
      <c r="U176" s="177"/>
      <c r="V176" s="177"/>
      <c r="W176" s="177"/>
      <c r="X176" s="177"/>
      <c r="Y176" s="177"/>
      <c r="Z176" s="177"/>
      <c r="AA176" s="177"/>
      <c r="AB176" s="177"/>
      <c r="AC176" s="177"/>
    </row>
    <row r="177" spans="2:29">
      <c r="B177" s="158" t="str">
        <f>Technologies!B619</f>
        <v>*</v>
      </c>
      <c r="C177" s="158" t="e">
        <f>Technologies!C619</f>
        <v>#REF!</v>
      </c>
      <c r="D177" s="158" t="e">
        <f>Technologies!D619</f>
        <v>#REF!</v>
      </c>
      <c r="E177" s="197" t="e">
        <f>Commodities!C149</f>
        <v>#REF!</v>
      </c>
      <c r="F177" s="197" t="e">
        <f>Commodities!C231</f>
        <v>#REF!</v>
      </c>
      <c r="G177" s="204">
        <v>1</v>
      </c>
      <c r="H177" s="203" t="e">
        <f>#REF!*#REF!^5/(Conv!$I$5*Conv!$D$46)/10^6 +#REF!</f>
        <v>#REF!</v>
      </c>
      <c r="I177" s="203" t="e">
        <f>#REF!*#REF!^5/(Conv!$I$5*Conv!$D$46)/10^6 +#REF!</f>
        <v>#REF!</v>
      </c>
      <c r="J177" s="203" t="e">
        <f>#REF!*#REF!^5/(Conv!$I$5*Conv!$D$46)/10^6 +#REF!</f>
        <v>#REF!</v>
      </c>
      <c r="K177" s="203" t="e">
        <f>#REF!*#REF!^5/(Conv!$I$5*Conv!$D$46)/10^6 +#REF!</f>
        <v>#REF!</v>
      </c>
      <c r="L177" s="203" t="e">
        <f>#REF!*#REF!^5/(Conv!$I$5*Conv!$D$46)/10^6 +#REF!</f>
        <v>#REF!</v>
      </c>
      <c r="M177" s="203" t="e">
        <f>#REF!*#REF!^5/(Conv!$I$5*Conv!$D$46)/10^6 +#REF!</f>
        <v>#REF!</v>
      </c>
      <c r="N177" s="203" t="e">
        <f>#REF!*#REF!^5/(Conv!$I$5*Conv!$D$46)/10^6 +#REF!</f>
        <v>#REF!</v>
      </c>
      <c r="O177" s="203" t="e">
        <f>#REF!*#REF!^5/(Conv!$I$5*Conv!$D$46)/10^6 +#REF!</f>
        <v>#REF!</v>
      </c>
      <c r="P177" s="203" t="e">
        <f>#REF!*#REF!^5/(Conv!$I$5*Conv!$D$46)/10^6 +#REF!</f>
        <v>#REF!</v>
      </c>
      <c r="Q177" s="203" t="e">
        <f>#REF!*#REF!^5/(Conv!$I$5*Conv!$D$46)/10^6 +#REF!</f>
        <v>#REF!</v>
      </c>
      <c r="S177" s="177"/>
      <c r="T177" s="177"/>
      <c r="U177" s="177"/>
      <c r="V177" s="177"/>
      <c r="W177" s="177"/>
      <c r="X177" s="177"/>
      <c r="Y177" s="177"/>
      <c r="Z177" s="177"/>
      <c r="AA177" s="177"/>
      <c r="AB177" s="177"/>
      <c r="AC177" s="177"/>
    </row>
    <row r="178" spans="2:29">
      <c r="B178" s="158" t="str">
        <f>Technologies!B620</f>
        <v>*</v>
      </c>
      <c r="C178" s="158" t="e">
        <f>Technologies!C620</f>
        <v>#REF!</v>
      </c>
      <c r="D178" s="158" t="e">
        <f>Technologies!D620</f>
        <v>#REF!</v>
      </c>
      <c r="E178" s="197" t="e">
        <f>E177</f>
        <v>#REF!</v>
      </c>
      <c r="F178" s="197" t="e">
        <f>Commodities!C232</f>
        <v>#REF!</v>
      </c>
      <c r="G178" s="204">
        <v>1</v>
      </c>
      <c r="H178" s="203" t="e">
        <f>#REF!*#REF!^5/(Conv!$I$5*Conv!$D$46)/10^6 +#REF!</f>
        <v>#REF!</v>
      </c>
      <c r="I178" s="203" t="e">
        <f>#REF!*#REF!^5/(Conv!$I$5*Conv!$D$46)/10^6 +#REF!</f>
        <v>#REF!</v>
      </c>
      <c r="J178" s="203" t="e">
        <f>#REF!*#REF!^5/(Conv!$I$5*Conv!$D$46)/10^6 +#REF!</f>
        <v>#REF!</v>
      </c>
      <c r="K178" s="203" t="e">
        <f>#REF!*#REF!^5/(Conv!$I$5*Conv!$D$46)/10^6 +#REF!</f>
        <v>#REF!</v>
      </c>
      <c r="L178" s="203" t="e">
        <f>#REF!*#REF!^5/(Conv!$I$5*Conv!$D$46)/10^6 +#REF!</f>
        <v>#REF!</v>
      </c>
      <c r="M178" s="203" t="e">
        <f>#REF!*#REF!^5/(Conv!$I$5*Conv!$D$46)/10^6 +#REF!</f>
        <v>#REF!</v>
      </c>
      <c r="N178" s="203" t="e">
        <f>#REF!*#REF!^5/(Conv!$I$5*Conv!$D$46)/10^6 +#REF!</f>
        <v>#REF!</v>
      </c>
      <c r="O178" s="203" t="e">
        <f>#REF!*#REF!^5/(Conv!$I$5*Conv!$D$46)/10^6 +#REF!</f>
        <v>#REF!</v>
      </c>
      <c r="P178" s="203" t="e">
        <f>#REF!*#REF!^5/(Conv!$I$5*Conv!$D$46)/10^6 +#REF!</f>
        <v>#REF!</v>
      </c>
      <c r="Q178" s="203" t="e">
        <f>#REF!*#REF!^5/(Conv!$I$5*Conv!$D$46)/10^6 +#REF!</f>
        <v>#REF!</v>
      </c>
      <c r="S178" s="177"/>
      <c r="T178" s="177"/>
      <c r="U178" s="177"/>
      <c r="V178" s="177"/>
      <c r="W178" s="177"/>
      <c r="X178" s="177"/>
      <c r="Y178" s="177"/>
      <c r="Z178" s="177"/>
      <c r="AA178" s="177"/>
      <c r="AB178" s="177"/>
      <c r="AC178" s="177"/>
    </row>
    <row r="179" spans="2:29">
      <c r="B179" s="158" t="str">
        <f>Technologies!B621</f>
        <v>*</v>
      </c>
      <c r="C179" s="158" t="e">
        <f>Technologies!C621</f>
        <v>#REF!</v>
      </c>
      <c r="D179" s="158" t="e">
        <f>Technologies!D621</f>
        <v>#REF!</v>
      </c>
      <c r="E179" s="197" t="e">
        <f>E178</f>
        <v>#REF!</v>
      </c>
      <c r="F179" s="197" t="e">
        <f>Commodities!C233</f>
        <v>#REF!</v>
      </c>
      <c r="G179" s="204">
        <v>1</v>
      </c>
      <c r="H179" s="203" t="e">
        <f>#REF!*#REF!^5/(Conv!$I$5*Conv!$D$46)/10^6 +#REF!</f>
        <v>#REF!</v>
      </c>
      <c r="I179" s="203" t="e">
        <f>#REF!*#REF!^5/(Conv!$I$5*Conv!$D$46)/10^6 +#REF!</f>
        <v>#REF!</v>
      </c>
      <c r="J179" s="203" t="e">
        <f>#REF!*#REF!^5/(Conv!$I$5*Conv!$D$46)/10^6 +#REF!</f>
        <v>#REF!</v>
      </c>
      <c r="K179" s="203" t="e">
        <f>#REF!*#REF!^5/(Conv!$I$5*Conv!$D$46)/10^6 +#REF!</f>
        <v>#REF!</v>
      </c>
      <c r="L179" s="203" t="e">
        <f>#REF!*#REF!^5/(Conv!$I$5*Conv!$D$46)/10^6 +#REF!</f>
        <v>#REF!</v>
      </c>
      <c r="M179" s="203" t="e">
        <f>#REF!*#REF!^5/(Conv!$I$5*Conv!$D$46)/10^6 +#REF!</f>
        <v>#REF!</v>
      </c>
      <c r="N179" s="203" t="e">
        <f>#REF!*#REF!^5/(Conv!$I$5*Conv!$D$46)/10^6 +#REF!</f>
        <v>#REF!</v>
      </c>
      <c r="O179" s="203" t="e">
        <f>#REF!*#REF!^5/(Conv!$I$5*Conv!$D$46)/10^6 +#REF!</f>
        <v>#REF!</v>
      </c>
      <c r="P179" s="203" t="e">
        <f>#REF!*#REF!^5/(Conv!$I$5*Conv!$D$46)/10^6 +#REF!</f>
        <v>#REF!</v>
      </c>
      <c r="Q179" s="203" t="e">
        <f>#REF!*#REF!^5/(Conv!$I$5*Conv!$D$46)/10^6 +#REF!</f>
        <v>#REF!</v>
      </c>
      <c r="S179" s="177"/>
      <c r="T179" s="177"/>
      <c r="U179" s="177"/>
      <c r="V179" s="177"/>
      <c r="W179" s="177"/>
      <c r="X179" s="177"/>
      <c r="Y179" s="177"/>
      <c r="Z179" s="177"/>
      <c r="AA179" s="177"/>
      <c r="AB179" s="177"/>
      <c r="AC179" s="177"/>
    </row>
    <row r="180" spans="2:29">
      <c r="B180" s="158" t="str">
        <f>Technologies!B622</f>
        <v>*</v>
      </c>
      <c r="C180" s="158" t="e">
        <f>Technologies!C622</f>
        <v>#REF!</v>
      </c>
      <c r="D180" s="158" t="e">
        <f>Technologies!D622</f>
        <v>#REF!</v>
      </c>
      <c r="E180" s="197" t="e">
        <f>Commodities!C150</f>
        <v>#REF!</v>
      </c>
      <c r="F180" s="197" t="e">
        <f>Commodities!C234</f>
        <v>#REF!</v>
      </c>
      <c r="G180" s="204">
        <v>1</v>
      </c>
      <c r="H180" s="203" t="e">
        <f>#REF!*#REF!^5/(Conv!$I$5*Conv!$D$46)/10^6 +#REF!</f>
        <v>#REF!</v>
      </c>
      <c r="I180" s="203" t="e">
        <f>#REF!*#REF!^5/(Conv!$I$5*Conv!$D$46)/10^6 +#REF!</f>
        <v>#REF!</v>
      </c>
      <c r="J180" s="203" t="e">
        <f>#REF!*#REF!^5/(Conv!$I$5*Conv!$D$46)/10^6 +#REF!</f>
        <v>#REF!</v>
      </c>
      <c r="K180" s="203" t="e">
        <f>#REF!*#REF!^5/(Conv!$I$5*Conv!$D$46)/10^6 +#REF!</f>
        <v>#REF!</v>
      </c>
      <c r="L180" s="203" t="e">
        <f>#REF!*#REF!^5/(Conv!$I$5*Conv!$D$46)/10^6 +#REF!</f>
        <v>#REF!</v>
      </c>
      <c r="M180" s="203" t="e">
        <f>#REF!*#REF!^5/(Conv!$I$5*Conv!$D$46)/10^6 +#REF!</f>
        <v>#REF!</v>
      </c>
      <c r="N180" s="203" t="e">
        <f>#REF!*#REF!^5/(Conv!$I$5*Conv!$D$46)/10^6 +#REF!</f>
        <v>#REF!</v>
      </c>
      <c r="O180" s="203" t="e">
        <f>#REF!*#REF!^5/(Conv!$I$5*Conv!$D$46)/10^6 +#REF!</f>
        <v>#REF!</v>
      </c>
      <c r="P180" s="203" t="e">
        <f>#REF!*#REF!^5/(Conv!$I$5*Conv!$D$46)/10^6 +#REF!</f>
        <v>#REF!</v>
      </c>
      <c r="Q180" s="203" t="e">
        <f>#REF!*#REF!^5/(Conv!$I$5*Conv!$D$46)/10^6 +#REF!</f>
        <v>#REF!</v>
      </c>
      <c r="S180" s="177"/>
      <c r="T180" s="177"/>
      <c r="U180" s="177"/>
      <c r="V180" s="177"/>
      <c r="W180" s="177"/>
      <c r="X180" s="177"/>
      <c r="Y180" s="177"/>
      <c r="Z180" s="177"/>
      <c r="AA180" s="177"/>
      <c r="AB180" s="177"/>
      <c r="AC180" s="177"/>
    </row>
    <row r="181" spans="2:29">
      <c r="B181" s="158" t="str">
        <f>Technologies!B623</f>
        <v>*</v>
      </c>
      <c r="C181" s="158" t="e">
        <f>Technologies!C623</f>
        <v>#REF!</v>
      </c>
      <c r="D181" s="158" t="e">
        <f>Technologies!D623</f>
        <v>#REF!</v>
      </c>
      <c r="E181" s="197" t="e">
        <f>E180</f>
        <v>#REF!</v>
      </c>
      <c r="F181" s="197" t="e">
        <f>Commodities!C235</f>
        <v>#REF!</v>
      </c>
      <c r="G181" s="204">
        <v>1</v>
      </c>
      <c r="H181" s="203" t="e">
        <f>#REF!*#REF!^5/(Conv!$I$5*Conv!$D$46)/10^6 +#REF!</f>
        <v>#REF!</v>
      </c>
      <c r="I181" s="203" t="e">
        <f>#REF!*#REF!^5/(Conv!$I$5*Conv!$D$46)/10^6 +#REF!</f>
        <v>#REF!</v>
      </c>
      <c r="J181" s="203" t="e">
        <f>#REF!*#REF!^5/(Conv!$I$5*Conv!$D$46)/10^6 +#REF!</f>
        <v>#REF!</v>
      </c>
      <c r="K181" s="203" t="e">
        <f>#REF!*#REF!^5/(Conv!$I$5*Conv!$D$46)/10^6 +#REF!</f>
        <v>#REF!</v>
      </c>
      <c r="L181" s="203" t="e">
        <f>#REF!*#REF!^5/(Conv!$I$5*Conv!$D$46)/10^6 +#REF!</f>
        <v>#REF!</v>
      </c>
      <c r="M181" s="203" t="e">
        <f>#REF!*#REF!^5/(Conv!$I$5*Conv!$D$46)/10^6 +#REF!</f>
        <v>#REF!</v>
      </c>
      <c r="N181" s="203" t="e">
        <f>#REF!*#REF!^5/(Conv!$I$5*Conv!$D$46)/10^6 +#REF!</f>
        <v>#REF!</v>
      </c>
      <c r="O181" s="203" t="e">
        <f>#REF!*#REF!^5/(Conv!$I$5*Conv!$D$46)/10^6 +#REF!</f>
        <v>#REF!</v>
      </c>
      <c r="P181" s="203" t="e">
        <f>#REF!*#REF!^5/(Conv!$I$5*Conv!$D$46)/10^6 +#REF!</f>
        <v>#REF!</v>
      </c>
      <c r="Q181" s="203" t="e">
        <f>#REF!*#REF!^5/(Conv!$I$5*Conv!$D$46)/10^6 +#REF!</f>
        <v>#REF!</v>
      </c>
      <c r="S181" s="177"/>
      <c r="T181" s="177"/>
      <c r="U181" s="177"/>
      <c r="V181" s="177"/>
      <c r="W181" s="177"/>
      <c r="X181" s="177"/>
      <c r="Y181" s="177"/>
      <c r="Z181" s="177"/>
      <c r="AA181" s="177"/>
      <c r="AB181" s="177"/>
      <c r="AC181" s="177"/>
    </row>
    <row r="182" spans="2:29">
      <c r="B182" s="158" t="str">
        <f>Technologies!B624</f>
        <v>*</v>
      </c>
      <c r="C182" s="158" t="e">
        <f>Technologies!C624</f>
        <v>#REF!</v>
      </c>
      <c r="D182" s="158" t="e">
        <f>Technologies!D624</f>
        <v>#REF!</v>
      </c>
      <c r="E182" s="197" t="e">
        <f>E181</f>
        <v>#REF!</v>
      </c>
      <c r="F182" s="197" t="e">
        <f>Commodities!C236</f>
        <v>#REF!</v>
      </c>
      <c r="G182" s="204">
        <v>1</v>
      </c>
      <c r="H182" s="203" t="e">
        <f>#REF!*#REF!^5/(Conv!$I$5*Conv!$D$46)/10^6 +#REF!</f>
        <v>#REF!</v>
      </c>
      <c r="I182" s="203" t="e">
        <f>#REF!*#REF!^5/(Conv!$I$5*Conv!$D$46)/10^6 +#REF!</f>
        <v>#REF!</v>
      </c>
      <c r="J182" s="203" t="e">
        <f>#REF!*#REF!^5/(Conv!$I$5*Conv!$D$46)/10^6 +#REF!</f>
        <v>#REF!</v>
      </c>
      <c r="K182" s="203" t="e">
        <f>#REF!*#REF!^5/(Conv!$I$5*Conv!$D$46)/10^6 +#REF!</f>
        <v>#REF!</v>
      </c>
      <c r="L182" s="203" t="e">
        <f>#REF!*#REF!^5/(Conv!$I$5*Conv!$D$46)/10^6 +#REF!</f>
        <v>#REF!</v>
      </c>
      <c r="M182" s="203" t="e">
        <f>#REF!*#REF!^5/(Conv!$I$5*Conv!$D$46)/10^6 +#REF!</f>
        <v>#REF!</v>
      </c>
      <c r="N182" s="203" t="e">
        <f>#REF!*#REF!^5/(Conv!$I$5*Conv!$D$46)/10^6 +#REF!</f>
        <v>#REF!</v>
      </c>
      <c r="O182" s="203" t="e">
        <f>#REF!*#REF!^5/(Conv!$I$5*Conv!$D$46)/10^6 +#REF!</f>
        <v>#REF!</v>
      </c>
      <c r="P182" s="203" t="e">
        <f>#REF!*#REF!^5/(Conv!$I$5*Conv!$D$46)/10^6 +#REF!</f>
        <v>#REF!</v>
      </c>
      <c r="Q182" s="203" t="e">
        <f>#REF!*#REF!^5/(Conv!$I$5*Conv!$D$46)/10^6 +#REF!</f>
        <v>#REF!</v>
      </c>
      <c r="S182" s="177"/>
      <c r="T182" s="177"/>
      <c r="U182" s="177"/>
      <c r="V182" s="177"/>
      <c r="W182" s="177"/>
      <c r="X182" s="177"/>
      <c r="Y182" s="177"/>
      <c r="Z182" s="177"/>
      <c r="AA182" s="177"/>
      <c r="AB182" s="177"/>
      <c r="AC182" s="177"/>
    </row>
    <row r="183" spans="2:29">
      <c r="B183" s="158" t="str">
        <f>Technologies!B625</f>
        <v>*</v>
      </c>
      <c r="C183" s="158" t="e">
        <f>Technologies!C625</f>
        <v>#REF!</v>
      </c>
      <c r="D183" s="158" t="e">
        <f>Technologies!D625</f>
        <v>#REF!</v>
      </c>
      <c r="E183" s="197" t="e">
        <f>E182</f>
        <v>#REF!</v>
      </c>
      <c r="F183" s="197" t="e">
        <f>Commodities!C237</f>
        <v>#REF!</v>
      </c>
      <c r="G183" s="204">
        <v>1</v>
      </c>
      <c r="H183" s="203" t="e">
        <f>#REF!*#REF!^5/(Conv!$I$5*Conv!$D$46)/10^6 +#REF!</f>
        <v>#REF!</v>
      </c>
      <c r="I183" s="203" t="e">
        <f>#REF!*#REF!^5/(Conv!$I$5*Conv!$D$46)/10^6 +#REF!</f>
        <v>#REF!</v>
      </c>
      <c r="J183" s="203" t="e">
        <f>#REF!*#REF!^5/(Conv!$I$5*Conv!$D$46)/10^6 +#REF!</f>
        <v>#REF!</v>
      </c>
      <c r="K183" s="203" t="e">
        <f>#REF!*#REF!^5/(Conv!$I$5*Conv!$D$46)/10^6 +#REF!</f>
        <v>#REF!</v>
      </c>
      <c r="L183" s="203" t="e">
        <f>#REF!*#REF!^5/(Conv!$I$5*Conv!$D$46)/10^6 +#REF!</f>
        <v>#REF!</v>
      </c>
      <c r="M183" s="203" t="e">
        <f>#REF!*#REF!^5/(Conv!$I$5*Conv!$D$46)/10^6 +#REF!</f>
        <v>#REF!</v>
      </c>
      <c r="N183" s="203" t="e">
        <f>#REF!*#REF!^5/(Conv!$I$5*Conv!$D$46)/10^6 +#REF!</f>
        <v>#REF!</v>
      </c>
      <c r="O183" s="203" t="e">
        <f>#REF!*#REF!^5/(Conv!$I$5*Conv!$D$46)/10^6 +#REF!</f>
        <v>#REF!</v>
      </c>
      <c r="P183" s="203" t="e">
        <f>#REF!*#REF!^5/(Conv!$I$5*Conv!$D$46)/10^6 +#REF!</f>
        <v>#REF!</v>
      </c>
      <c r="Q183" s="203" t="e">
        <f>#REF!*#REF!^5/(Conv!$I$5*Conv!$D$46)/10^6 +#REF!</f>
        <v>#REF!</v>
      </c>
      <c r="S183" s="177"/>
      <c r="T183" s="177"/>
      <c r="U183" s="177"/>
      <c r="V183" s="177"/>
      <c r="W183" s="177"/>
      <c r="X183" s="177"/>
      <c r="Y183" s="177"/>
      <c r="Z183" s="177"/>
      <c r="AA183" s="177"/>
      <c r="AB183" s="177"/>
      <c r="AC183" s="177"/>
    </row>
    <row r="184" spans="2:29">
      <c r="B184" s="158" t="str">
        <f>Technologies!B626</f>
        <v>*</v>
      </c>
      <c r="C184" s="158" t="e">
        <f>Technologies!C626</f>
        <v>#REF!</v>
      </c>
      <c r="D184" s="158" t="e">
        <f>Technologies!D626</f>
        <v>#REF!</v>
      </c>
      <c r="E184" s="197" t="e">
        <f>Commodities!C151</f>
        <v>#REF!</v>
      </c>
      <c r="F184" s="197" t="e">
        <f>Commodities!C238</f>
        <v>#REF!</v>
      </c>
      <c r="G184" s="204">
        <v>1</v>
      </c>
      <c r="H184" s="203" t="e">
        <f>#REF!*#REF!^5/(Conv!$I$5*Conv!$D$46)/10^6 +#REF!</f>
        <v>#REF!</v>
      </c>
      <c r="I184" s="203" t="e">
        <f>#REF!*#REF!^5/(Conv!$I$5*Conv!$D$46)/10^6 +#REF!</f>
        <v>#REF!</v>
      </c>
      <c r="J184" s="203" t="e">
        <f>#REF!*#REF!^5/(Conv!$I$5*Conv!$D$46)/10^6 +#REF!</f>
        <v>#REF!</v>
      </c>
      <c r="K184" s="203" t="e">
        <f>#REF!*#REF!^5/(Conv!$I$5*Conv!$D$46)/10^6 +#REF!</f>
        <v>#REF!</v>
      </c>
      <c r="L184" s="203" t="e">
        <f>#REF!*#REF!^5/(Conv!$I$5*Conv!$D$46)/10^6 +#REF!</f>
        <v>#REF!</v>
      </c>
      <c r="M184" s="203" t="e">
        <f>#REF!*#REF!^5/(Conv!$I$5*Conv!$D$46)/10^6 +#REF!</f>
        <v>#REF!</v>
      </c>
      <c r="N184" s="203" t="e">
        <f>#REF!*#REF!^5/(Conv!$I$5*Conv!$D$46)/10^6 +#REF!</f>
        <v>#REF!</v>
      </c>
      <c r="O184" s="203" t="e">
        <f>#REF!*#REF!^5/(Conv!$I$5*Conv!$D$46)/10^6 +#REF!</f>
        <v>#REF!</v>
      </c>
      <c r="P184" s="203" t="e">
        <f>#REF!*#REF!^5/(Conv!$I$5*Conv!$D$46)/10^6 +#REF!</f>
        <v>#REF!</v>
      </c>
      <c r="Q184" s="203" t="e">
        <f>#REF!*#REF!^5/(Conv!$I$5*Conv!$D$46)/10^6 +#REF!</f>
        <v>#REF!</v>
      </c>
      <c r="S184" s="177"/>
      <c r="T184" s="177"/>
      <c r="U184" s="177"/>
      <c r="V184" s="177"/>
      <c r="W184" s="177"/>
      <c r="X184" s="177"/>
      <c r="Y184" s="177"/>
      <c r="Z184" s="177"/>
      <c r="AA184" s="177"/>
      <c r="AB184" s="177"/>
      <c r="AC184" s="177"/>
    </row>
    <row r="185" spans="2:29">
      <c r="B185" s="158" t="str">
        <f>Technologies!B627</f>
        <v>*</v>
      </c>
      <c r="C185" s="158" t="e">
        <f>Technologies!C627</f>
        <v>#REF!</v>
      </c>
      <c r="D185" s="158" t="e">
        <f>Technologies!D627</f>
        <v>#REF!</v>
      </c>
      <c r="E185" s="197" t="e">
        <f>Commodities!C152</f>
        <v>#REF!</v>
      </c>
      <c r="F185" s="197" t="e">
        <f>Commodities!C239</f>
        <v>#REF!</v>
      </c>
      <c r="G185" s="204">
        <v>1</v>
      </c>
      <c r="H185" s="203" t="e">
        <f>#REF!*#REF!^5/(Conv!$I$5*Conv!$D$46)/10^6 +#REF!</f>
        <v>#REF!</v>
      </c>
      <c r="I185" s="203" t="e">
        <f>#REF!*#REF!^5/(Conv!$I$5*Conv!$D$46)/10^6 +#REF!</f>
        <v>#REF!</v>
      </c>
      <c r="J185" s="203" t="e">
        <f>#REF!*#REF!^5/(Conv!$I$5*Conv!$D$46)/10^6 +#REF!</f>
        <v>#REF!</v>
      </c>
      <c r="K185" s="203" t="e">
        <f>#REF!*#REF!^5/(Conv!$I$5*Conv!$D$46)/10^6 +#REF!</f>
        <v>#REF!</v>
      </c>
      <c r="L185" s="203" t="e">
        <f>#REF!*#REF!^5/(Conv!$I$5*Conv!$D$46)/10^6 +#REF!</f>
        <v>#REF!</v>
      </c>
      <c r="M185" s="203" t="e">
        <f>#REF!*#REF!^5/(Conv!$I$5*Conv!$D$46)/10^6 +#REF!</f>
        <v>#REF!</v>
      </c>
      <c r="N185" s="203" t="e">
        <f>#REF!*#REF!^5/(Conv!$I$5*Conv!$D$46)/10^6 +#REF!</f>
        <v>#REF!</v>
      </c>
      <c r="O185" s="203" t="e">
        <f>#REF!*#REF!^5/(Conv!$I$5*Conv!$D$46)/10^6 +#REF!</f>
        <v>#REF!</v>
      </c>
      <c r="P185" s="203" t="e">
        <f>#REF!*#REF!^5/(Conv!$I$5*Conv!$D$46)/10^6 +#REF!</f>
        <v>#REF!</v>
      </c>
      <c r="Q185" s="203" t="e">
        <f>#REF!*#REF!^5/(Conv!$I$5*Conv!$D$46)/10^6 +#REF!</f>
        <v>#REF!</v>
      </c>
      <c r="S185" s="177"/>
      <c r="T185" s="177"/>
      <c r="U185" s="177"/>
      <c r="V185" s="177"/>
      <c r="W185" s="177"/>
      <c r="X185" s="177"/>
      <c r="Y185" s="177"/>
      <c r="Z185" s="177"/>
      <c r="AA185" s="177"/>
      <c r="AB185" s="177"/>
      <c r="AC185" s="177"/>
    </row>
    <row r="186" spans="2:29">
      <c r="B186" s="158" t="str">
        <f>Technologies!B628</f>
        <v>*</v>
      </c>
      <c r="C186" s="158" t="e">
        <f>Technologies!C628</f>
        <v>#REF!</v>
      </c>
      <c r="D186" s="158" t="e">
        <f>Technologies!D628</f>
        <v>#REF!</v>
      </c>
      <c r="E186" s="197" t="e">
        <f>Commodities!C154</f>
        <v>#REF!</v>
      </c>
      <c r="F186" s="197" t="str">
        <f>Commodities!C240</f>
        <v>RESRFL</v>
      </c>
      <c r="G186" s="204">
        <v>1</v>
      </c>
      <c r="H186" s="203" t="e">
        <f>#REF!*#REF!^5/(Conv!$I$5*Conv!$D$46)/10^6 +#REF!</f>
        <v>#REF!</v>
      </c>
      <c r="I186" s="203" t="e">
        <f>#REF!*#REF!^5/(Conv!$I$5*Conv!$D$46)/10^6 +#REF!</f>
        <v>#REF!</v>
      </c>
      <c r="J186" s="203" t="e">
        <f>#REF!*#REF!^5/(Conv!$I$5*Conv!$D$46)/10^6 +#REF!</f>
        <v>#REF!</v>
      </c>
      <c r="K186" s="203" t="e">
        <f>#REF!*#REF!^5/(Conv!$I$5*Conv!$D$46)/10^6 +#REF!</f>
        <v>#REF!</v>
      </c>
      <c r="L186" s="203" t="e">
        <f>#REF!*#REF!^5/(Conv!$I$5*Conv!$D$46)/10^6 +#REF!</f>
        <v>#REF!</v>
      </c>
      <c r="M186" s="203" t="e">
        <f>#REF!*#REF!^5/(Conv!$I$5*Conv!$D$46)/10^6 +#REF!</f>
        <v>#REF!</v>
      </c>
      <c r="N186" s="203" t="e">
        <f>#REF!*#REF!^5/(Conv!$I$5*Conv!$D$46)/10^6 +#REF!</f>
        <v>#REF!</v>
      </c>
      <c r="O186" s="203" t="e">
        <f>#REF!*#REF!^5/(Conv!$I$5*Conv!$D$46)/10^6 +#REF!</f>
        <v>#REF!</v>
      </c>
      <c r="P186" s="203" t="e">
        <f>#REF!*#REF!^5/(Conv!$I$5*Conv!$D$46)/10^6 +#REF!</f>
        <v>#REF!</v>
      </c>
      <c r="Q186" s="203" t="e">
        <f>#REF!*#REF!^5/(Conv!$I$5*Conv!$D$46)/10^6 +#REF!</f>
        <v>#REF!</v>
      </c>
      <c r="S186" s="177"/>
      <c r="T186" s="177"/>
      <c r="U186" s="177"/>
      <c r="V186" s="177"/>
      <c r="W186" s="177"/>
      <c r="X186" s="177"/>
      <c r="Y186" s="177"/>
      <c r="Z186" s="177"/>
      <c r="AA186" s="177"/>
      <c r="AB186" s="177"/>
      <c r="AC186" s="177"/>
    </row>
    <row r="187" spans="2:29">
      <c r="B187" s="158" t="str">
        <f>Technologies!B629</f>
        <v>*</v>
      </c>
      <c r="C187" s="158" t="e">
        <f>Technologies!C629</f>
        <v>#REF!</v>
      </c>
      <c r="D187" s="158" t="e">
        <f>Technologies!D629</f>
        <v>#REF!</v>
      </c>
      <c r="E187" s="197" t="e">
        <f>Commodities!C154</f>
        <v>#REF!</v>
      </c>
      <c r="F187" s="197" t="e">
        <f>Commodities!C241</f>
        <v>#REF!</v>
      </c>
      <c r="G187" s="204">
        <v>1</v>
      </c>
      <c r="H187" s="203" t="e">
        <f>#REF!*#REF!^5/(Conv!$I$5*Conv!$D$46)/10^6 +#REF!</f>
        <v>#REF!</v>
      </c>
      <c r="I187" s="203" t="e">
        <f>#REF!*#REF!^5/(Conv!$I$5*Conv!$D$46)/10^6 +#REF!</f>
        <v>#REF!</v>
      </c>
      <c r="J187" s="203" t="e">
        <f>#REF!*#REF!^5/(Conv!$I$5*Conv!$D$46)/10^6 +#REF!</f>
        <v>#REF!</v>
      </c>
      <c r="K187" s="203" t="e">
        <f>#REF!*#REF!^5/(Conv!$I$5*Conv!$D$46)/10^6 +#REF!</f>
        <v>#REF!</v>
      </c>
      <c r="L187" s="203" t="e">
        <f>#REF!*#REF!^5/(Conv!$I$5*Conv!$D$46)/10^6 +#REF!</f>
        <v>#REF!</v>
      </c>
      <c r="M187" s="203" t="e">
        <f>#REF!*#REF!^5/(Conv!$I$5*Conv!$D$46)/10^6 +#REF!</f>
        <v>#REF!</v>
      </c>
      <c r="N187" s="203" t="e">
        <f>#REF!*#REF!^5/(Conv!$I$5*Conv!$D$46)/10^6 +#REF!</f>
        <v>#REF!</v>
      </c>
      <c r="O187" s="203" t="e">
        <f>#REF!*#REF!^5/(Conv!$I$5*Conv!$D$46)/10^6 +#REF!</f>
        <v>#REF!</v>
      </c>
      <c r="P187" s="203" t="e">
        <f>#REF!*#REF!^5/(Conv!$I$5*Conv!$D$46)/10^6 +#REF!</f>
        <v>#REF!</v>
      </c>
      <c r="Q187" s="203" t="e">
        <f>#REF!*#REF!^5/(Conv!$I$5*Conv!$D$46)/10^6 +#REF!</f>
        <v>#REF!</v>
      </c>
      <c r="S187" s="177"/>
      <c r="T187" s="177"/>
      <c r="U187" s="177"/>
      <c r="V187" s="177"/>
      <c r="W187" s="177"/>
      <c r="X187" s="177"/>
      <c r="Y187" s="177"/>
      <c r="Z187" s="177"/>
      <c r="AA187" s="177"/>
      <c r="AB187" s="177"/>
      <c r="AC187" s="177"/>
    </row>
    <row r="188" spans="2:29">
      <c r="B188" s="158" t="str">
        <f>Technologies!B630</f>
        <v>*</v>
      </c>
      <c r="C188" s="158" t="e">
        <f>Technologies!C630</f>
        <v>#REF!</v>
      </c>
      <c r="D188" s="158" t="e">
        <f>Technologies!D630</f>
        <v>#REF!</v>
      </c>
      <c r="E188" s="197" t="e">
        <f>E187</f>
        <v>#REF!</v>
      </c>
      <c r="F188" s="197" t="e">
        <f>Commodities!C242</f>
        <v>#REF!</v>
      </c>
      <c r="G188" s="204">
        <v>1</v>
      </c>
      <c r="H188" s="203" t="e">
        <f>#REF!*#REF!^5/(Conv!$I$5*Conv!$D$46)/10^6 +#REF!</f>
        <v>#REF!</v>
      </c>
      <c r="I188" s="203" t="e">
        <f>#REF!*#REF!^5/(Conv!$I$5*Conv!$D$46)/10^6 +#REF!</f>
        <v>#REF!</v>
      </c>
      <c r="J188" s="203" t="e">
        <f>#REF!*#REF!^5/(Conv!$I$5*Conv!$D$46)/10^6 +#REF!</f>
        <v>#REF!</v>
      </c>
      <c r="K188" s="203" t="e">
        <f>#REF!*#REF!^5/(Conv!$I$5*Conv!$D$46)/10^6 +#REF!</f>
        <v>#REF!</v>
      </c>
      <c r="L188" s="203" t="e">
        <f>#REF!*#REF!^5/(Conv!$I$5*Conv!$D$46)/10^6 +#REF!</f>
        <v>#REF!</v>
      </c>
      <c r="M188" s="203" t="e">
        <f>#REF!*#REF!^5/(Conv!$I$5*Conv!$D$46)/10^6 +#REF!</f>
        <v>#REF!</v>
      </c>
      <c r="N188" s="203" t="e">
        <f>#REF!*#REF!^5/(Conv!$I$5*Conv!$D$46)/10^6 +#REF!</f>
        <v>#REF!</v>
      </c>
      <c r="O188" s="203" t="e">
        <f>#REF!*#REF!^5/(Conv!$I$5*Conv!$D$46)/10^6 +#REF!</f>
        <v>#REF!</v>
      </c>
      <c r="P188" s="203" t="e">
        <f>#REF!*#REF!^5/(Conv!$I$5*Conv!$D$46)/10^6 +#REF!</f>
        <v>#REF!</v>
      </c>
      <c r="Q188" s="203" t="e">
        <f>#REF!*#REF!^5/(Conv!$I$5*Conv!$D$46)/10^6 +#REF!</f>
        <v>#REF!</v>
      </c>
      <c r="S188" s="177"/>
      <c r="T188" s="177"/>
      <c r="U188" s="177"/>
      <c r="V188" s="177"/>
      <c r="W188" s="177"/>
      <c r="X188" s="177"/>
      <c r="Y188" s="177"/>
      <c r="Z188" s="177"/>
      <c r="AA188" s="177"/>
      <c r="AB188" s="177"/>
      <c r="AC188" s="177"/>
    </row>
    <row r="189" spans="2:29">
      <c r="B189" s="158" t="str">
        <f>Technologies!B631</f>
        <v>*</v>
      </c>
      <c r="C189" s="158" t="e">
        <f>Technologies!C631</f>
        <v>#REF!</v>
      </c>
      <c r="D189" s="158" t="e">
        <f>Technologies!D631</f>
        <v>#REF!</v>
      </c>
      <c r="E189" s="197" t="e">
        <f>E188</f>
        <v>#REF!</v>
      </c>
      <c r="F189" s="197" t="e">
        <f>Commodities!C243</f>
        <v>#REF!</v>
      </c>
      <c r="G189" s="204">
        <v>1</v>
      </c>
      <c r="H189" s="203" t="e">
        <f>#REF!*#REF!^5/(Conv!$I$5*Conv!$D$46)/10^6 +#REF!</f>
        <v>#REF!</v>
      </c>
      <c r="I189" s="203" t="e">
        <f>#REF!*#REF!^5/(Conv!$I$5*Conv!$D$46)/10^6 +#REF!</f>
        <v>#REF!</v>
      </c>
      <c r="J189" s="203" t="e">
        <f>#REF!*#REF!^5/(Conv!$I$5*Conv!$D$46)/10^6 +#REF!</f>
        <v>#REF!</v>
      </c>
      <c r="K189" s="203" t="e">
        <f>#REF!*#REF!^5/(Conv!$I$5*Conv!$D$46)/10^6 +#REF!</f>
        <v>#REF!</v>
      </c>
      <c r="L189" s="203" t="e">
        <f>#REF!*#REF!^5/(Conv!$I$5*Conv!$D$46)/10^6 +#REF!</f>
        <v>#REF!</v>
      </c>
      <c r="M189" s="203" t="e">
        <f>#REF!*#REF!^5/(Conv!$I$5*Conv!$D$46)/10^6 +#REF!</f>
        <v>#REF!</v>
      </c>
      <c r="N189" s="203" t="e">
        <f>#REF!*#REF!^5/(Conv!$I$5*Conv!$D$46)/10^6 +#REF!</f>
        <v>#REF!</v>
      </c>
      <c r="O189" s="203" t="e">
        <f>#REF!*#REF!^5/(Conv!$I$5*Conv!$D$46)/10^6 +#REF!</f>
        <v>#REF!</v>
      </c>
      <c r="P189" s="203" t="e">
        <f>#REF!*#REF!^5/(Conv!$I$5*Conv!$D$46)/10^6 +#REF!</f>
        <v>#REF!</v>
      </c>
      <c r="Q189" s="203" t="e">
        <f>#REF!*#REF!^5/(Conv!$I$5*Conv!$D$46)/10^6 +#REF!</f>
        <v>#REF!</v>
      </c>
      <c r="S189" s="177"/>
      <c r="T189" s="177"/>
      <c r="U189" s="177"/>
      <c r="V189" s="177"/>
      <c r="W189" s="177"/>
      <c r="X189" s="177"/>
      <c r="Y189" s="177"/>
      <c r="Z189" s="177"/>
      <c r="AA189" s="177"/>
      <c r="AB189" s="177"/>
      <c r="AC189" s="177"/>
    </row>
    <row r="190" spans="2:29">
      <c r="B190" s="158" t="str">
        <f>Technologies!B632</f>
        <v>*</v>
      </c>
      <c r="C190" s="158" t="e">
        <f>Technologies!C632</f>
        <v>#REF!</v>
      </c>
      <c r="D190" s="158" t="e">
        <f>Technologies!D632</f>
        <v>#REF!</v>
      </c>
      <c r="E190" s="197" t="e">
        <f>Commodities!C153</f>
        <v>#REF!</v>
      </c>
      <c r="F190" s="197" t="e">
        <f>Commodities!C244</f>
        <v>#REF!</v>
      </c>
      <c r="G190" s="204">
        <v>1</v>
      </c>
      <c r="H190" s="203" t="e">
        <f>#REF!*#REF!^5/(Conv!$I$5*Conv!$D$46)/10^6 +#REF!</f>
        <v>#REF!</v>
      </c>
      <c r="I190" s="203" t="e">
        <f>#REF!*#REF!^5/(Conv!$I$5*Conv!$D$46)/10^6 +#REF!</f>
        <v>#REF!</v>
      </c>
      <c r="J190" s="203" t="e">
        <f>#REF!*#REF!^5/(Conv!$I$5*Conv!$D$46)/10^6 +#REF!</f>
        <v>#REF!</v>
      </c>
      <c r="K190" s="203" t="e">
        <f>#REF!*#REF!^5/(Conv!$I$5*Conv!$D$46)/10^6 +#REF!</f>
        <v>#REF!</v>
      </c>
      <c r="L190" s="203" t="e">
        <f>#REF!*#REF!^5/(Conv!$I$5*Conv!$D$46)/10^6 +#REF!</f>
        <v>#REF!</v>
      </c>
      <c r="M190" s="203" t="e">
        <f>#REF!*#REF!^5/(Conv!$I$5*Conv!$D$46)/10^6 +#REF!</f>
        <v>#REF!</v>
      </c>
      <c r="N190" s="203" t="e">
        <f>#REF!*#REF!^5/(Conv!$I$5*Conv!$D$46)/10^6 +#REF!</f>
        <v>#REF!</v>
      </c>
      <c r="O190" s="203" t="e">
        <f>#REF!*#REF!^5/(Conv!$I$5*Conv!$D$46)/10^6 +#REF!</f>
        <v>#REF!</v>
      </c>
      <c r="P190" s="203" t="e">
        <f>#REF!*#REF!^5/(Conv!$I$5*Conv!$D$46)/10^6 +#REF!</f>
        <v>#REF!</v>
      </c>
      <c r="Q190" s="203" t="e">
        <f>#REF!*#REF!^5/(Conv!$I$5*Conv!$D$46)/10^6 +#REF!</f>
        <v>#REF!</v>
      </c>
      <c r="S190" s="177"/>
      <c r="T190" s="177"/>
      <c r="U190" s="177"/>
      <c r="V190" s="177"/>
      <c r="W190" s="177"/>
      <c r="X190" s="177"/>
      <c r="Y190" s="177"/>
      <c r="Z190" s="177"/>
      <c r="AA190" s="177"/>
      <c r="AB190" s="177"/>
      <c r="AC190" s="177"/>
    </row>
    <row r="191" spans="2:29">
      <c r="B191" s="158" t="str">
        <f>Technologies!B633</f>
        <v>*</v>
      </c>
      <c r="C191" s="158" t="e">
        <f>Technologies!C633</f>
        <v>#REF!</v>
      </c>
      <c r="D191" s="158" t="e">
        <f>Technologies!D633</f>
        <v>#REF!</v>
      </c>
      <c r="E191" s="197" t="e">
        <f>E190</f>
        <v>#REF!</v>
      </c>
      <c r="F191" s="197" t="e">
        <f>Commodities!C245</f>
        <v>#REF!</v>
      </c>
      <c r="G191" s="204">
        <v>1</v>
      </c>
      <c r="H191" s="203" t="e">
        <f>#REF!*#REF!^5/(Conv!$I$5*Conv!$D$46)/10^6 +#REF!</f>
        <v>#REF!</v>
      </c>
      <c r="I191" s="203" t="e">
        <f>#REF!*#REF!^5/(Conv!$I$5*Conv!$D$46)/10^6 +#REF!</f>
        <v>#REF!</v>
      </c>
      <c r="J191" s="203" t="e">
        <f>#REF!*#REF!^5/(Conv!$I$5*Conv!$D$46)/10^6 +#REF!</f>
        <v>#REF!</v>
      </c>
      <c r="K191" s="203" t="e">
        <f>#REF!*#REF!^5/(Conv!$I$5*Conv!$D$46)/10^6 +#REF!</f>
        <v>#REF!</v>
      </c>
      <c r="L191" s="203" t="e">
        <f>#REF!*#REF!^5/(Conv!$I$5*Conv!$D$46)/10^6 +#REF!</f>
        <v>#REF!</v>
      </c>
      <c r="M191" s="203" t="e">
        <f>#REF!*#REF!^5/(Conv!$I$5*Conv!$D$46)/10^6 +#REF!</f>
        <v>#REF!</v>
      </c>
      <c r="N191" s="203" t="e">
        <f>#REF!*#REF!^5/(Conv!$I$5*Conv!$D$46)/10^6 +#REF!</f>
        <v>#REF!</v>
      </c>
      <c r="O191" s="203" t="e">
        <f>#REF!*#REF!^5/(Conv!$I$5*Conv!$D$46)/10^6 +#REF!</f>
        <v>#REF!</v>
      </c>
      <c r="P191" s="203" t="e">
        <f>#REF!*#REF!^5/(Conv!$I$5*Conv!$D$46)/10^6 +#REF!</f>
        <v>#REF!</v>
      </c>
      <c r="Q191" s="203" t="e">
        <f>#REF!*#REF!^5/(Conv!$I$5*Conv!$D$46)/10^6 +#REF!</f>
        <v>#REF!</v>
      </c>
      <c r="S191" s="177"/>
      <c r="T191" s="177"/>
      <c r="U191" s="177"/>
      <c r="V191" s="177"/>
      <c r="W191" s="177"/>
      <c r="X191" s="177"/>
      <c r="Y191" s="177"/>
      <c r="Z191" s="177"/>
      <c r="AA191" s="177"/>
      <c r="AB191" s="177"/>
      <c r="AC191" s="177"/>
    </row>
    <row r="192" spans="2:29">
      <c r="B192" s="158" t="str">
        <f>Technologies!B634</f>
        <v>*</v>
      </c>
      <c r="C192" s="158" t="e">
        <f>Technologies!C634</f>
        <v>#REF!</v>
      </c>
      <c r="D192" s="158" t="e">
        <f>Technologies!D634</f>
        <v>#REF!</v>
      </c>
      <c r="E192" s="197" t="e">
        <f>Commodities!C155</f>
        <v>#REF!</v>
      </c>
      <c r="F192" s="197" t="e">
        <f>Commodities!C246</f>
        <v>#REF!</v>
      </c>
      <c r="G192" s="204">
        <v>1</v>
      </c>
      <c r="H192" s="203" t="e">
        <f>#REF!*#REF!^5/(Conv!$I$5*Conv!$D$46)/10^6 +#REF!</f>
        <v>#REF!</v>
      </c>
      <c r="I192" s="203" t="e">
        <f>#REF!*#REF!^5/(Conv!$I$5*Conv!$D$46)/10^6 +#REF!</f>
        <v>#REF!</v>
      </c>
      <c r="J192" s="203" t="e">
        <f>#REF!*#REF!^5/(Conv!$I$5*Conv!$D$46)/10^6 +#REF!</f>
        <v>#REF!</v>
      </c>
      <c r="K192" s="203" t="e">
        <f>#REF!*#REF!^5/(Conv!$I$5*Conv!$D$46)/10^6 +#REF!</f>
        <v>#REF!</v>
      </c>
      <c r="L192" s="203" t="e">
        <f>#REF!*#REF!^5/(Conv!$I$5*Conv!$D$46)/10^6 +#REF!</f>
        <v>#REF!</v>
      </c>
      <c r="M192" s="203" t="e">
        <f>#REF!*#REF!^5/(Conv!$I$5*Conv!$D$46)/10^6 +#REF!</f>
        <v>#REF!</v>
      </c>
      <c r="N192" s="203" t="e">
        <f>#REF!*#REF!^5/(Conv!$I$5*Conv!$D$46)/10^6 +#REF!</f>
        <v>#REF!</v>
      </c>
      <c r="O192" s="203" t="e">
        <f>#REF!*#REF!^5/(Conv!$I$5*Conv!$D$46)/10^6 +#REF!</f>
        <v>#REF!</v>
      </c>
      <c r="P192" s="203" t="e">
        <f>#REF!*#REF!^5/(Conv!$I$5*Conv!$D$46)/10^6 +#REF!</f>
        <v>#REF!</v>
      </c>
      <c r="Q192" s="203" t="e">
        <f>#REF!*#REF!^5/(Conv!$I$5*Conv!$D$46)/10^6 +#REF!</f>
        <v>#REF!</v>
      </c>
      <c r="S192" s="177"/>
      <c r="T192" s="177"/>
      <c r="U192" s="177"/>
      <c r="V192" s="177"/>
      <c r="W192" s="177"/>
      <c r="X192" s="177"/>
      <c r="Y192" s="177"/>
      <c r="Z192" s="177"/>
      <c r="AA192" s="177"/>
      <c r="AB192" s="177"/>
      <c r="AC192" s="177"/>
    </row>
    <row r="193" spans="2:29">
      <c r="B193" s="158" t="s">
        <v>398</v>
      </c>
      <c r="C193" s="158"/>
      <c r="D193" s="158"/>
      <c r="E193" s="197"/>
      <c r="F193" s="197"/>
      <c r="G193" s="204"/>
      <c r="H193" s="205"/>
      <c r="I193" s="205"/>
      <c r="J193" s="205"/>
      <c r="K193" s="205"/>
      <c r="L193" s="205"/>
      <c r="M193" s="205"/>
      <c r="N193" s="205"/>
      <c r="O193" s="205"/>
      <c r="P193" s="205"/>
      <c r="Q193" s="205"/>
    </row>
    <row r="194" spans="2:29">
      <c r="B194" s="158" t="str">
        <f>Technologies!B635</f>
        <v>*</v>
      </c>
      <c r="C194" s="158" t="e">
        <f>Technologies!C635</f>
        <v>#REF!</v>
      </c>
      <c r="D194" s="158" t="e">
        <f>Technologies!D635</f>
        <v>#REF!</v>
      </c>
      <c r="E194" s="197" t="e">
        <f>Commodities!C156</f>
        <v>#REF!</v>
      </c>
      <c r="F194" s="197" t="e">
        <f>Commodities!C222</f>
        <v>#REF!</v>
      </c>
      <c r="G194" s="204">
        <v>1</v>
      </c>
      <c r="H194" s="203" t="e">
        <f>#REF!*#REF!^5/(Conv!$I$5*Conv!$D$46)/10^6 +#REF!</f>
        <v>#REF!</v>
      </c>
      <c r="I194" s="203" t="e">
        <f>#REF!*#REF!^5/(Conv!$I$5*Conv!$D$46)/10^6 +#REF!</f>
        <v>#REF!</v>
      </c>
      <c r="J194" s="203" t="e">
        <f>#REF!*#REF!^5/(Conv!$I$5*Conv!$D$46)/10^6 +#REF!</f>
        <v>#REF!</v>
      </c>
      <c r="K194" s="203" t="e">
        <f>#REF!*#REF!^5/(Conv!$I$5*Conv!$D$46)/10^6 +#REF!</f>
        <v>#REF!</v>
      </c>
      <c r="L194" s="203" t="e">
        <f>#REF!*#REF!^5/(Conv!$I$5*Conv!$D$46)/10^6 +#REF!</f>
        <v>#REF!</v>
      </c>
      <c r="M194" s="203" t="e">
        <f>#REF!*#REF!^5/(Conv!$I$5*Conv!$D$46)/10^6 +#REF!</f>
        <v>#REF!</v>
      </c>
      <c r="N194" s="203" t="e">
        <f>#REF!*#REF!^5/(Conv!$I$5*Conv!$D$46)/10^6 +#REF!</f>
        <v>#REF!</v>
      </c>
      <c r="O194" s="203" t="e">
        <f>#REF!*#REF!^5/(Conv!$I$5*Conv!$D$46)/10^6 +#REF!</f>
        <v>#REF!</v>
      </c>
      <c r="P194" s="203" t="e">
        <f>#REF!*#REF!^5/(Conv!$I$5*Conv!$D$46)/10^6 +#REF!</f>
        <v>#REF!</v>
      </c>
      <c r="Q194" s="203" t="e">
        <f>#REF!*#REF!^5/(Conv!$I$5*Conv!$D$46)/10^6 +#REF!</f>
        <v>#REF!</v>
      </c>
      <c r="S194" s="177"/>
      <c r="T194" s="177"/>
      <c r="U194" s="177"/>
      <c r="V194" s="177"/>
      <c r="W194" s="177"/>
      <c r="X194" s="177"/>
      <c r="Y194" s="177"/>
      <c r="Z194" s="177"/>
      <c r="AA194" s="177"/>
      <c r="AB194" s="177"/>
      <c r="AC194" s="177"/>
    </row>
    <row r="195" spans="2:29">
      <c r="B195" s="158" t="str">
        <f>Technologies!B636</f>
        <v>*</v>
      </c>
      <c r="C195" s="158" t="e">
        <f>Technologies!C636</f>
        <v>#REF!</v>
      </c>
      <c r="D195" s="158" t="e">
        <f>Technologies!D636</f>
        <v>#REF!</v>
      </c>
      <c r="E195" s="197" t="e">
        <f>Commodities!C157</f>
        <v>#REF!</v>
      </c>
      <c r="F195" s="197" t="e">
        <f>Commodities!C223</f>
        <v>#REF!</v>
      </c>
      <c r="G195" s="204">
        <v>1</v>
      </c>
      <c r="H195" s="203" t="e">
        <f>#REF!*#REF!^5/(Conv!$I$5*Conv!$D$46)/10^6 +#REF!</f>
        <v>#REF!</v>
      </c>
      <c r="I195" s="203" t="e">
        <f>#REF!*#REF!^5/(Conv!$I$5*Conv!$D$46)/10^6 +#REF!</f>
        <v>#REF!</v>
      </c>
      <c r="J195" s="203" t="e">
        <f>#REF!*#REF!^5/(Conv!$I$5*Conv!$D$46)/10^6 +#REF!</f>
        <v>#REF!</v>
      </c>
      <c r="K195" s="203" t="e">
        <f>#REF!*#REF!^5/(Conv!$I$5*Conv!$D$46)/10^6 +#REF!</f>
        <v>#REF!</v>
      </c>
      <c r="L195" s="203" t="e">
        <f>#REF!*#REF!^5/(Conv!$I$5*Conv!$D$46)/10^6 +#REF!</f>
        <v>#REF!</v>
      </c>
      <c r="M195" s="203" t="e">
        <f>#REF!*#REF!^5/(Conv!$I$5*Conv!$D$46)/10^6 +#REF!</f>
        <v>#REF!</v>
      </c>
      <c r="N195" s="203" t="e">
        <f>#REF!*#REF!^5/(Conv!$I$5*Conv!$D$46)/10^6 +#REF!</f>
        <v>#REF!</v>
      </c>
      <c r="O195" s="203" t="e">
        <f>#REF!*#REF!^5/(Conv!$I$5*Conv!$D$46)/10^6 +#REF!</f>
        <v>#REF!</v>
      </c>
      <c r="P195" s="203" t="e">
        <f>#REF!*#REF!^5/(Conv!$I$5*Conv!$D$46)/10^6 +#REF!</f>
        <v>#REF!</v>
      </c>
      <c r="Q195" s="203" t="e">
        <f>#REF!*#REF!^5/(Conv!$I$5*Conv!$D$46)/10^6 +#REF!</f>
        <v>#REF!</v>
      </c>
      <c r="S195" s="177"/>
      <c r="T195" s="177"/>
      <c r="U195" s="177"/>
      <c r="V195" s="177"/>
      <c r="W195" s="177"/>
      <c r="X195" s="177"/>
      <c r="Y195" s="177"/>
      <c r="Z195" s="177"/>
      <c r="AA195" s="177"/>
      <c r="AB195" s="177"/>
      <c r="AC195" s="177"/>
    </row>
    <row r="196" spans="2:29">
      <c r="B196" s="158" t="str">
        <f>Technologies!B637</f>
        <v>*</v>
      </c>
      <c r="C196" s="158" t="e">
        <f>Technologies!C637</f>
        <v>#REF!</v>
      </c>
      <c r="D196" s="158" t="e">
        <f>Technologies!D637</f>
        <v>#REF!</v>
      </c>
      <c r="E196" s="197" t="e">
        <f>Commodities!C158</f>
        <v>#REF!</v>
      </c>
      <c r="F196" s="197" t="e">
        <f>Commodities!C224</f>
        <v>#REF!</v>
      </c>
      <c r="G196" s="204">
        <v>1</v>
      </c>
      <c r="H196" s="203" t="e">
        <f>#REF!*#REF!^5/(Conv!$I$5*Conv!$D$46)/10^6 +#REF!</f>
        <v>#REF!</v>
      </c>
      <c r="I196" s="203" t="e">
        <f>#REF!*#REF!^5/(Conv!$I$5*Conv!$D$46)/10^6 +#REF!</f>
        <v>#REF!</v>
      </c>
      <c r="J196" s="203" t="e">
        <f>#REF!*#REF!^5/(Conv!$I$5*Conv!$D$46)/10^6 +#REF!</f>
        <v>#REF!</v>
      </c>
      <c r="K196" s="203" t="e">
        <f>#REF!*#REF!^5/(Conv!$I$5*Conv!$D$46)/10^6 +#REF!</f>
        <v>#REF!</v>
      </c>
      <c r="L196" s="203" t="e">
        <f>#REF!*#REF!^5/(Conv!$I$5*Conv!$D$46)/10^6 +#REF!</f>
        <v>#REF!</v>
      </c>
      <c r="M196" s="203" t="e">
        <f>#REF!*#REF!^5/(Conv!$I$5*Conv!$D$46)/10^6 +#REF!</f>
        <v>#REF!</v>
      </c>
      <c r="N196" s="203" t="e">
        <f>#REF!*#REF!^5/(Conv!$I$5*Conv!$D$46)/10^6 +#REF!</f>
        <v>#REF!</v>
      </c>
      <c r="O196" s="203" t="e">
        <f>#REF!*#REF!^5/(Conv!$I$5*Conv!$D$46)/10^6 +#REF!</f>
        <v>#REF!</v>
      </c>
      <c r="P196" s="203" t="e">
        <f>#REF!*#REF!^5/(Conv!$I$5*Conv!$D$46)/10^6 +#REF!</f>
        <v>#REF!</v>
      </c>
      <c r="Q196" s="203" t="e">
        <f>#REF!*#REF!^5/(Conv!$I$5*Conv!$D$46)/10^6 +#REF!</f>
        <v>#REF!</v>
      </c>
      <c r="S196" s="177"/>
      <c r="T196" s="177"/>
      <c r="U196" s="177"/>
      <c r="V196" s="177"/>
      <c r="W196" s="177"/>
      <c r="X196" s="177"/>
      <c r="Y196" s="177"/>
      <c r="Z196" s="177"/>
      <c r="AA196" s="177"/>
      <c r="AB196" s="177"/>
      <c r="AC196" s="177"/>
    </row>
    <row r="197" spans="2:29">
      <c r="B197" s="158" t="str">
        <f>Technologies!B638</f>
        <v>*</v>
      </c>
      <c r="C197" s="158" t="e">
        <f>Technologies!C638</f>
        <v>#REF!</v>
      </c>
      <c r="D197" s="158" t="e">
        <f>Technologies!D638</f>
        <v>#REF!</v>
      </c>
      <c r="E197" s="197" t="e">
        <f>E196</f>
        <v>#REF!</v>
      </c>
      <c r="F197" s="197" t="e">
        <f>Commodities!C225</f>
        <v>#REF!</v>
      </c>
      <c r="G197" s="204">
        <v>1</v>
      </c>
      <c r="H197" s="203" t="e">
        <f>#REF!*#REF!^5/(Conv!$I$5*Conv!$D$46)/10^6 +#REF!</f>
        <v>#REF!</v>
      </c>
      <c r="I197" s="203" t="e">
        <f>#REF!*#REF!^5/(Conv!$I$5*Conv!$D$46)/10^6 +#REF!</f>
        <v>#REF!</v>
      </c>
      <c r="J197" s="203" t="e">
        <f>#REF!*#REF!^5/(Conv!$I$5*Conv!$D$46)/10^6 +#REF!</f>
        <v>#REF!</v>
      </c>
      <c r="K197" s="203" t="e">
        <f>#REF!*#REF!^5/(Conv!$I$5*Conv!$D$46)/10^6 +#REF!</f>
        <v>#REF!</v>
      </c>
      <c r="L197" s="203" t="e">
        <f>#REF!*#REF!^5/(Conv!$I$5*Conv!$D$46)/10^6 +#REF!</f>
        <v>#REF!</v>
      </c>
      <c r="M197" s="203" t="e">
        <f>#REF!*#REF!^5/(Conv!$I$5*Conv!$D$46)/10^6 +#REF!</f>
        <v>#REF!</v>
      </c>
      <c r="N197" s="203" t="e">
        <f>#REF!*#REF!^5/(Conv!$I$5*Conv!$D$46)/10^6 +#REF!</f>
        <v>#REF!</v>
      </c>
      <c r="O197" s="203" t="e">
        <f>#REF!*#REF!^5/(Conv!$I$5*Conv!$D$46)/10^6 +#REF!</f>
        <v>#REF!</v>
      </c>
      <c r="P197" s="203" t="e">
        <f>#REF!*#REF!^5/(Conv!$I$5*Conv!$D$46)/10^6 +#REF!</f>
        <v>#REF!</v>
      </c>
      <c r="Q197" s="203" t="e">
        <f>#REF!*#REF!^5/(Conv!$I$5*Conv!$D$46)/10^6 +#REF!</f>
        <v>#REF!</v>
      </c>
      <c r="S197" s="177"/>
      <c r="T197" s="177"/>
      <c r="U197" s="177"/>
      <c r="V197" s="177"/>
      <c r="W197" s="177"/>
      <c r="X197" s="177"/>
      <c r="Y197" s="177"/>
      <c r="Z197" s="177"/>
      <c r="AA197" s="177"/>
      <c r="AB197" s="177"/>
      <c r="AC197" s="177"/>
    </row>
    <row r="198" spans="2:29">
      <c r="B198" s="158" t="str">
        <f>Technologies!B639</f>
        <v>*</v>
      </c>
      <c r="C198" s="158" t="e">
        <f>Technologies!C639</f>
        <v>#REF!</v>
      </c>
      <c r="D198" s="158" t="e">
        <f>Technologies!D639</f>
        <v>#REF!</v>
      </c>
      <c r="E198" s="197" t="e">
        <f>E197</f>
        <v>#REF!</v>
      </c>
      <c r="F198" s="197" t="e">
        <f>Commodities!C226</f>
        <v>#REF!</v>
      </c>
      <c r="G198" s="204">
        <v>1</v>
      </c>
      <c r="H198" s="203" t="e">
        <f>#REF!*#REF!^5/(Conv!$I$5*Conv!$D$46)/10^6 +#REF!</f>
        <v>#REF!</v>
      </c>
      <c r="I198" s="203" t="e">
        <f>#REF!*#REF!^5/(Conv!$I$5*Conv!$D$46)/10^6 +#REF!</f>
        <v>#REF!</v>
      </c>
      <c r="J198" s="203" t="e">
        <f>#REF!*#REF!^5/(Conv!$I$5*Conv!$D$46)/10^6 +#REF!</f>
        <v>#REF!</v>
      </c>
      <c r="K198" s="203" t="e">
        <f>#REF!*#REF!^5/(Conv!$I$5*Conv!$D$46)/10^6 +#REF!</f>
        <v>#REF!</v>
      </c>
      <c r="L198" s="203" t="e">
        <f>#REF!*#REF!^5/(Conv!$I$5*Conv!$D$46)/10^6 +#REF!</f>
        <v>#REF!</v>
      </c>
      <c r="M198" s="203" t="e">
        <f>#REF!*#REF!^5/(Conv!$I$5*Conv!$D$46)/10^6 +#REF!</f>
        <v>#REF!</v>
      </c>
      <c r="N198" s="203" t="e">
        <f>#REF!*#REF!^5/(Conv!$I$5*Conv!$D$46)/10^6 +#REF!</f>
        <v>#REF!</v>
      </c>
      <c r="O198" s="203" t="e">
        <f>#REF!*#REF!^5/(Conv!$I$5*Conv!$D$46)/10^6 +#REF!</f>
        <v>#REF!</v>
      </c>
      <c r="P198" s="203" t="e">
        <f>#REF!*#REF!^5/(Conv!$I$5*Conv!$D$46)/10^6 +#REF!</f>
        <v>#REF!</v>
      </c>
      <c r="Q198" s="203" t="e">
        <f>#REF!*#REF!^5/(Conv!$I$5*Conv!$D$46)/10^6 +#REF!</f>
        <v>#REF!</v>
      </c>
      <c r="S198" s="177"/>
      <c r="T198" s="177"/>
      <c r="U198" s="177"/>
      <c r="V198" s="177"/>
      <c r="W198" s="177"/>
      <c r="X198" s="177"/>
      <c r="Y198" s="177"/>
      <c r="Z198" s="177"/>
      <c r="AA198" s="177"/>
      <c r="AB198" s="177"/>
      <c r="AC198" s="177"/>
    </row>
    <row r="199" spans="2:29">
      <c r="B199" s="158" t="str">
        <f>Technologies!B640</f>
        <v>*</v>
      </c>
      <c r="C199" s="158" t="e">
        <f>Technologies!C640</f>
        <v>#REF!</v>
      </c>
      <c r="D199" s="158" t="e">
        <f>Technologies!D640</f>
        <v>#REF!</v>
      </c>
      <c r="E199" s="197" t="e">
        <f>E198</f>
        <v>#REF!</v>
      </c>
      <c r="F199" s="197" t="e">
        <f>Commodities!C227</f>
        <v>#REF!</v>
      </c>
      <c r="G199" s="204">
        <v>1</v>
      </c>
      <c r="H199" s="203" t="e">
        <f>#REF!*#REF!^5/(Conv!$I$5*Conv!$D$46)/10^6 +#REF!</f>
        <v>#REF!</v>
      </c>
      <c r="I199" s="203" t="e">
        <f>#REF!*#REF!^5/(Conv!$I$5*Conv!$D$46)/10^6 +#REF!</f>
        <v>#REF!</v>
      </c>
      <c r="J199" s="203" t="e">
        <f>#REF!*#REF!^5/(Conv!$I$5*Conv!$D$46)/10^6 +#REF!</f>
        <v>#REF!</v>
      </c>
      <c r="K199" s="203" t="e">
        <f>#REF!*#REF!^5/(Conv!$I$5*Conv!$D$46)/10^6 +#REF!</f>
        <v>#REF!</v>
      </c>
      <c r="L199" s="203" t="e">
        <f>#REF!*#REF!^5/(Conv!$I$5*Conv!$D$46)/10^6 +#REF!</f>
        <v>#REF!</v>
      </c>
      <c r="M199" s="203" t="e">
        <f>#REF!*#REF!^5/(Conv!$I$5*Conv!$D$46)/10^6 +#REF!</f>
        <v>#REF!</v>
      </c>
      <c r="N199" s="203" t="e">
        <f>#REF!*#REF!^5/(Conv!$I$5*Conv!$D$46)/10^6 +#REF!</f>
        <v>#REF!</v>
      </c>
      <c r="O199" s="203" t="e">
        <f>#REF!*#REF!^5/(Conv!$I$5*Conv!$D$46)/10^6 +#REF!</f>
        <v>#REF!</v>
      </c>
      <c r="P199" s="203" t="e">
        <f>#REF!*#REF!^5/(Conv!$I$5*Conv!$D$46)/10^6 +#REF!</f>
        <v>#REF!</v>
      </c>
      <c r="Q199" s="203" t="e">
        <f>#REF!*#REF!^5/(Conv!$I$5*Conv!$D$46)/10^6 +#REF!</f>
        <v>#REF!</v>
      </c>
      <c r="S199" s="177"/>
      <c r="T199" s="177"/>
      <c r="U199" s="177"/>
      <c r="V199" s="177"/>
      <c r="W199" s="177"/>
      <c r="X199" s="177"/>
      <c r="Y199" s="177"/>
      <c r="Z199" s="177"/>
      <c r="AA199" s="177"/>
      <c r="AB199" s="177"/>
      <c r="AC199" s="177"/>
    </row>
    <row r="200" spans="2:29">
      <c r="B200" s="158" t="str">
        <f>Technologies!B641</f>
        <v>*</v>
      </c>
      <c r="C200" s="158" t="e">
        <f>Technologies!C641</f>
        <v>#REF!</v>
      </c>
      <c r="D200" s="158" t="e">
        <f>Technologies!D641</f>
        <v>#REF!</v>
      </c>
      <c r="E200" s="197" t="e">
        <f>Commodities!C159</f>
        <v>#REF!</v>
      </c>
      <c r="F200" s="197" t="e">
        <f>Commodities!C228</f>
        <v>#REF!</v>
      </c>
      <c r="G200" s="204">
        <v>1</v>
      </c>
      <c r="H200" s="203" t="e">
        <f>#REF!*#REF!^5/(Conv!$I$5*Conv!$D$46)/10^6 +#REF!</f>
        <v>#REF!</v>
      </c>
      <c r="I200" s="203" t="e">
        <f>#REF!*#REF!^5/(Conv!$I$5*Conv!$D$46)/10^6 +#REF!</f>
        <v>#REF!</v>
      </c>
      <c r="J200" s="203" t="e">
        <f>#REF!*#REF!^5/(Conv!$I$5*Conv!$D$46)/10^6 +#REF!</f>
        <v>#REF!</v>
      </c>
      <c r="K200" s="203" t="e">
        <f>#REF!*#REF!^5/(Conv!$I$5*Conv!$D$46)/10^6 +#REF!</f>
        <v>#REF!</v>
      </c>
      <c r="L200" s="203" t="e">
        <f>#REF!*#REF!^5/(Conv!$I$5*Conv!$D$46)/10^6 +#REF!</f>
        <v>#REF!</v>
      </c>
      <c r="M200" s="203" t="e">
        <f>#REF!*#REF!^5/(Conv!$I$5*Conv!$D$46)/10^6 +#REF!</f>
        <v>#REF!</v>
      </c>
      <c r="N200" s="203" t="e">
        <f>#REF!*#REF!^5/(Conv!$I$5*Conv!$D$46)/10^6 +#REF!</f>
        <v>#REF!</v>
      </c>
      <c r="O200" s="203" t="e">
        <f>#REF!*#REF!^5/(Conv!$I$5*Conv!$D$46)/10^6 +#REF!</f>
        <v>#REF!</v>
      </c>
      <c r="P200" s="203" t="e">
        <f>#REF!*#REF!^5/(Conv!$I$5*Conv!$D$46)/10^6 +#REF!</f>
        <v>#REF!</v>
      </c>
      <c r="Q200" s="203" t="e">
        <f>#REF!*#REF!^5/(Conv!$I$5*Conv!$D$46)/10^6 +#REF!</f>
        <v>#REF!</v>
      </c>
      <c r="S200" s="177"/>
      <c r="T200" s="177"/>
      <c r="U200" s="177"/>
      <c r="V200" s="177"/>
      <c r="W200" s="177"/>
      <c r="X200" s="177"/>
      <c r="Y200" s="177"/>
      <c r="Z200" s="177"/>
      <c r="AA200" s="177"/>
      <c r="AB200" s="177"/>
      <c r="AC200" s="177"/>
    </row>
    <row r="201" spans="2:29">
      <c r="B201" s="158" t="str">
        <f>Technologies!B642</f>
        <v>*</v>
      </c>
      <c r="C201" s="158" t="e">
        <f>Technologies!C642</f>
        <v>#REF!</v>
      </c>
      <c r="D201" s="158" t="e">
        <f>Technologies!D642</f>
        <v>#REF!</v>
      </c>
      <c r="E201" s="197" t="e">
        <f>Commodities!C160</f>
        <v>#REF!</v>
      </c>
      <c r="F201" s="197" t="e">
        <f>Commodities!C229</f>
        <v>#REF!</v>
      </c>
      <c r="G201" s="204">
        <v>1</v>
      </c>
      <c r="H201" s="203" t="e">
        <f>#REF!*#REF!^5/(Conv!$I$5*Conv!$D$46)/10^6 +#REF!</f>
        <v>#REF!</v>
      </c>
      <c r="I201" s="203" t="e">
        <f>#REF!*#REF!^5/(Conv!$I$5*Conv!$D$46)/10^6 +#REF!</f>
        <v>#REF!</v>
      </c>
      <c r="J201" s="203" t="e">
        <f>#REF!*#REF!^5/(Conv!$I$5*Conv!$D$46)/10^6 +#REF!</f>
        <v>#REF!</v>
      </c>
      <c r="K201" s="203" t="e">
        <f>#REF!*#REF!^5/(Conv!$I$5*Conv!$D$46)/10^6 +#REF!</f>
        <v>#REF!</v>
      </c>
      <c r="L201" s="203" t="e">
        <f>#REF!*#REF!^5/(Conv!$I$5*Conv!$D$46)/10^6 +#REF!</f>
        <v>#REF!</v>
      </c>
      <c r="M201" s="203" t="e">
        <f>#REF!*#REF!^5/(Conv!$I$5*Conv!$D$46)/10^6 +#REF!</f>
        <v>#REF!</v>
      </c>
      <c r="N201" s="203" t="e">
        <f>#REF!*#REF!^5/(Conv!$I$5*Conv!$D$46)/10^6 +#REF!</f>
        <v>#REF!</v>
      </c>
      <c r="O201" s="203" t="e">
        <f>#REF!*#REF!^5/(Conv!$I$5*Conv!$D$46)/10^6 +#REF!</f>
        <v>#REF!</v>
      </c>
      <c r="P201" s="203" t="e">
        <f>#REF!*#REF!^5/(Conv!$I$5*Conv!$D$46)/10^6 +#REF!</f>
        <v>#REF!</v>
      </c>
      <c r="Q201" s="203" t="e">
        <f>#REF!*#REF!^5/(Conv!$I$5*Conv!$D$46)/10^6 +#REF!</f>
        <v>#REF!</v>
      </c>
      <c r="S201" s="177"/>
      <c r="T201" s="177"/>
      <c r="U201" s="177"/>
      <c r="V201" s="177"/>
      <c r="W201" s="177"/>
      <c r="X201" s="177"/>
      <c r="Y201" s="177"/>
      <c r="Z201" s="177"/>
      <c r="AA201" s="177"/>
      <c r="AB201" s="177"/>
      <c r="AC201" s="177"/>
    </row>
    <row r="202" spans="2:29">
      <c r="B202" s="158" t="str">
        <f>Technologies!B643</f>
        <v>*</v>
      </c>
      <c r="C202" s="158" t="e">
        <f>Technologies!C643</f>
        <v>#REF!</v>
      </c>
      <c r="D202" s="158" t="e">
        <f>Technologies!D643</f>
        <v>#REF!</v>
      </c>
      <c r="E202" s="197" t="e">
        <f>Commodities!C161</f>
        <v>#REF!</v>
      </c>
      <c r="F202" s="197" t="e">
        <f>Commodities!C230</f>
        <v>#REF!</v>
      </c>
      <c r="G202" s="204">
        <v>1</v>
      </c>
      <c r="H202" s="203" t="e">
        <f>#REF!*#REF!^5/(Conv!$I$5*Conv!$D$46)/10^6 +#REF!</f>
        <v>#REF!</v>
      </c>
      <c r="I202" s="203" t="e">
        <f>#REF!*#REF!^5/(Conv!$I$5*Conv!$D$46)/10^6 +#REF!</f>
        <v>#REF!</v>
      </c>
      <c r="J202" s="203" t="e">
        <f>#REF!*#REF!^5/(Conv!$I$5*Conv!$D$46)/10^6 +#REF!</f>
        <v>#REF!</v>
      </c>
      <c r="K202" s="203" t="e">
        <f>#REF!*#REF!^5/(Conv!$I$5*Conv!$D$46)/10^6 +#REF!</f>
        <v>#REF!</v>
      </c>
      <c r="L202" s="203" t="e">
        <f>#REF!*#REF!^5/(Conv!$I$5*Conv!$D$46)/10^6 +#REF!</f>
        <v>#REF!</v>
      </c>
      <c r="M202" s="203" t="e">
        <f>#REF!*#REF!^5/(Conv!$I$5*Conv!$D$46)/10^6 +#REF!</f>
        <v>#REF!</v>
      </c>
      <c r="N202" s="203" t="e">
        <f>#REF!*#REF!^5/(Conv!$I$5*Conv!$D$46)/10^6 +#REF!</f>
        <v>#REF!</v>
      </c>
      <c r="O202" s="203" t="e">
        <f>#REF!*#REF!^5/(Conv!$I$5*Conv!$D$46)/10^6 +#REF!</f>
        <v>#REF!</v>
      </c>
      <c r="P202" s="203" t="e">
        <f>#REF!*#REF!^5/(Conv!$I$5*Conv!$D$46)/10^6 +#REF!</f>
        <v>#REF!</v>
      </c>
      <c r="Q202" s="203" t="e">
        <f>#REF!*#REF!^5/(Conv!$I$5*Conv!$D$46)/10^6 +#REF!</f>
        <v>#REF!</v>
      </c>
      <c r="S202" s="177"/>
      <c r="T202" s="177"/>
      <c r="U202" s="177"/>
      <c r="V202" s="177"/>
      <c r="W202" s="177"/>
      <c r="X202" s="177"/>
      <c r="Y202" s="177"/>
      <c r="Z202" s="177"/>
      <c r="AA202" s="177"/>
      <c r="AB202" s="177"/>
      <c r="AC202" s="177"/>
    </row>
    <row r="203" spans="2:29">
      <c r="B203" s="158" t="str">
        <f>Technologies!B644</f>
        <v>*</v>
      </c>
      <c r="C203" s="158" t="e">
        <f>Technologies!C644</f>
        <v>#REF!</v>
      </c>
      <c r="D203" s="158" t="e">
        <f>Technologies!D644</f>
        <v>#REF!</v>
      </c>
      <c r="E203" s="197" t="e">
        <f>Commodities!C162</f>
        <v>#REF!</v>
      </c>
      <c r="F203" s="197" t="e">
        <f>Commodities!C231</f>
        <v>#REF!</v>
      </c>
      <c r="G203" s="204">
        <v>1</v>
      </c>
      <c r="H203" s="203" t="e">
        <f>#REF!*#REF!^5/(Conv!$I$5*Conv!$D$46)/10^6 +#REF!</f>
        <v>#REF!</v>
      </c>
      <c r="I203" s="203" t="e">
        <f>#REF!*#REF!^5/(Conv!$I$5*Conv!$D$46)/10^6 +#REF!</f>
        <v>#REF!</v>
      </c>
      <c r="J203" s="203" t="e">
        <f>#REF!*#REF!^5/(Conv!$I$5*Conv!$D$46)/10^6 +#REF!</f>
        <v>#REF!</v>
      </c>
      <c r="K203" s="203" t="e">
        <f>#REF!*#REF!^5/(Conv!$I$5*Conv!$D$46)/10^6 +#REF!</f>
        <v>#REF!</v>
      </c>
      <c r="L203" s="203" t="e">
        <f>#REF!*#REF!^5/(Conv!$I$5*Conv!$D$46)/10^6 +#REF!</f>
        <v>#REF!</v>
      </c>
      <c r="M203" s="203" t="e">
        <f>#REF!*#REF!^5/(Conv!$I$5*Conv!$D$46)/10^6 +#REF!</f>
        <v>#REF!</v>
      </c>
      <c r="N203" s="203" t="e">
        <f>#REF!*#REF!^5/(Conv!$I$5*Conv!$D$46)/10^6 +#REF!</f>
        <v>#REF!</v>
      </c>
      <c r="O203" s="203" t="e">
        <f>#REF!*#REF!^5/(Conv!$I$5*Conv!$D$46)/10^6 +#REF!</f>
        <v>#REF!</v>
      </c>
      <c r="P203" s="203" t="e">
        <f>#REF!*#REF!^5/(Conv!$I$5*Conv!$D$46)/10^6 +#REF!</f>
        <v>#REF!</v>
      </c>
      <c r="Q203" s="203" t="e">
        <f>#REF!*#REF!^5/(Conv!$I$5*Conv!$D$46)/10^6 +#REF!</f>
        <v>#REF!</v>
      </c>
      <c r="S203" s="177"/>
      <c r="T203" s="177"/>
      <c r="U203" s="177"/>
      <c r="V203" s="177"/>
      <c r="W203" s="177"/>
      <c r="X203" s="177"/>
      <c r="Y203" s="177"/>
      <c r="Z203" s="177"/>
      <c r="AA203" s="177"/>
      <c r="AB203" s="177"/>
      <c r="AC203" s="177"/>
    </row>
    <row r="204" spans="2:29">
      <c r="B204" s="158" t="str">
        <f>Technologies!B645</f>
        <v>*</v>
      </c>
      <c r="C204" s="158" t="e">
        <f>Technologies!C645</f>
        <v>#REF!</v>
      </c>
      <c r="D204" s="158" t="e">
        <f>Technologies!D645</f>
        <v>#REF!</v>
      </c>
      <c r="E204" s="197" t="e">
        <f>E203</f>
        <v>#REF!</v>
      </c>
      <c r="F204" s="197" t="e">
        <f>Commodities!C232</f>
        <v>#REF!</v>
      </c>
      <c r="G204" s="204">
        <v>1</v>
      </c>
      <c r="H204" s="203" t="e">
        <f>#REF!*#REF!^5/(Conv!$I$5*Conv!$D$46)/10^6 +#REF!</f>
        <v>#REF!</v>
      </c>
      <c r="I204" s="203" t="e">
        <f>#REF!*#REF!^5/(Conv!$I$5*Conv!$D$46)/10^6 +#REF!</f>
        <v>#REF!</v>
      </c>
      <c r="J204" s="203" t="e">
        <f>#REF!*#REF!^5/(Conv!$I$5*Conv!$D$46)/10^6 +#REF!</f>
        <v>#REF!</v>
      </c>
      <c r="K204" s="203" t="e">
        <f>#REF!*#REF!^5/(Conv!$I$5*Conv!$D$46)/10^6 +#REF!</f>
        <v>#REF!</v>
      </c>
      <c r="L204" s="203" t="e">
        <f>#REF!*#REF!^5/(Conv!$I$5*Conv!$D$46)/10^6 +#REF!</f>
        <v>#REF!</v>
      </c>
      <c r="M204" s="203" t="e">
        <f>#REF!*#REF!^5/(Conv!$I$5*Conv!$D$46)/10^6 +#REF!</f>
        <v>#REF!</v>
      </c>
      <c r="N204" s="203" t="e">
        <f>#REF!*#REF!^5/(Conv!$I$5*Conv!$D$46)/10^6 +#REF!</f>
        <v>#REF!</v>
      </c>
      <c r="O204" s="203" t="e">
        <f>#REF!*#REF!^5/(Conv!$I$5*Conv!$D$46)/10^6 +#REF!</f>
        <v>#REF!</v>
      </c>
      <c r="P204" s="203" t="e">
        <f>#REF!*#REF!^5/(Conv!$I$5*Conv!$D$46)/10^6 +#REF!</f>
        <v>#REF!</v>
      </c>
      <c r="Q204" s="203" t="e">
        <f>#REF!*#REF!^5/(Conv!$I$5*Conv!$D$46)/10^6 +#REF!</f>
        <v>#REF!</v>
      </c>
      <c r="S204" s="177"/>
      <c r="T204" s="177"/>
      <c r="U204" s="177"/>
      <c r="V204" s="177"/>
      <c r="W204" s="177"/>
      <c r="X204" s="177"/>
      <c r="Y204" s="177"/>
      <c r="Z204" s="177"/>
      <c r="AA204" s="177"/>
      <c r="AB204" s="177"/>
      <c r="AC204" s="177"/>
    </row>
    <row r="205" spans="2:29">
      <c r="B205" s="158" t="str">
        <f>Technologies!B646</f>
        <v>*</v>
      </c>
      <c r="C205" s="158" t="e">
        <f>Technologies!C646</f>
        <v>#REF!</v>
      </c>
      <c r="D205" s="158" t="e">
        <f>Technologies!D646</f>
        <v>#REF!</v>
      </c>
      <c r="E205" s="197" t="e">
        <f>E204</f>
        <v>#REF!</v>
      </c>
      <c r="F205" s="197" t="e">
        <f>Commodities!C233</f>
        <v>#REF!</v>
      </c>
      <c r="G205" s="204">
        <v>1</v>
      </c>
      <c r="H205" s="203" t="e">
        <f>#REF!*#REF!^5/(Conv!$I$5*Conv!$D$46)/10^6 +#REF!</f>
        <v>#REF!</v>
      </c>
      <c r="I205" s="203" t="e">
        <f>#REF!*#REF!^5/(Conv!$I$5*Conv!$D$46)/10^6 +#REF!</f>
        <v>#REF!</v>
      </c>
      <c r="J205" s="203" t="e">
        <f>#REF!*#REF!^5/(Conv!$I$5*Conv!$D$46)/10^6 +#REF!</f>
        <v>#REF!</v>
      </c>
      <c r="K205" s="203" t="e">
        <f>#REF!*#REF!^5/(Conv!$I$5*Conv!$D$46)/10^6 +#REF!</f>
        <v>#REF!</v>
      </c>
      <c r="L205" s="203" t="e">
        <f>#REF!*#REF!^5/(Conv!$I$5*Conv!$D$46)/10^6 +#REF!</f>
        <v>#REF!</v>
      </c>
      <c r="M205" s="203" t="e">
        <f>#REF!*#REF!^5/(Conv!$I$5*Conv!$D$46)/10^6 +#REF!</f>
        <v>#REF!</v>
      </c>
      <c r="N205" s="203" t="e">
        <f>#REF!*#REF!^5/(Conv!$I$5*Conv!$D$46)/10^6 +#REF!</f>
        <v>#REF!</v>
      </c>
      <c r="O205" s="203" t="e">
        <f>#REF!*#REF!^5/(Conv!$I$5*Conv!$D$46)/10^6 +#REF!</f>
        <v>#REF!</v>
      </c>
      <c r="P205" s="203" t="e">
        <f>#REF!*#REF!^5/(Conv!$I$5*Conv!$D$46)/10^6 +#REF!</f>
        <v>#REF!</v>
      </c>
      <c r="Q205" s="203" t="e">
        <f>#REF!*#REF!^5/(Conv!$I$5*Conv!$D$46)/10^6 +#REF!</f>
        <v>#REF!</v>
      </c>
      <c r="S205" s="177"/>
      <c r="T205" s="177"/>
      <c r="U205" s="177"/>
      <c r="V205" s="177"/>
      <c r="W205" s="177"/>
      <c r="X205" s="177"/>
      <c r="Y205" s="177"/>
      <c r="Z205" s="177"/>
      <c r="AA205" s="177"/>
      <c r="AB205" s="177"/>
      <c r="AC205" s="177"/>
    </row>
    <row r="206" spans="2:29">
      <c r="B206" s="158" t="str">
        <f>Technologies!B647</f>
        <v>*</v>
      </c>
      <c r="C206" s="158" t="e">
        <f>Technologies!C647</f>
        <v>#REF!</v>
      </c>
      <c r="D206" s="158" t="e">
        <f>Technologies!D647</f>
        <v>#REF!</v>
      </c>
      <c r="E206" s="197" t="e">
        <f>Commodities!C163</f>
        <v>#REF!</v>
      </c>
      <c r="F206" s="197" t="e">
        <f>Commodities!C234</f>
        <v>#REF!</v>
      </c>
      <c r="G206" s="204">
        <v>1</v>
      </c>
      <c r="H206" s="203" t="e">
        <f>#REF!*#REF!^5/(Conv!$I$5*Conv!$D$46)/10^6 +#REF!</f>
        <v>#REF!</v>
      </c>
      <c r="I206" s="203" t="e">
        <f>#REF!*#REF!^5/(Conv!$I$5*Conv!$D$46)/10^6 +#REF!</f>
        <v>#REF!</v>
      </c>
      <c r="J206" s="203" t="e">
        <f>#REF!*#REF!^5/(Conv!$I$5*Conv!$D$46)/10^6 +#REF!</f>
        <v>#REF!</v>
      </c>
      <c r="K206" s="203" t="e">
        <f>#REF!*#REF!^5/(Conv!$I$5*Conv!$D$46)/10^6 +#REF!</f>
        <v>#REF!</v>
      </c>
      <c r="L206" s="203" t="e">
        <f>#REF!*#REF!^5/(Conv!$I$5*Conv!$D$46)/10^6 +#REF!</f>
        <v>#REF!</v>
      </c>
      <c r="M206" s="203" t="e">
        <f>#REF!*#REF!^5/(Conv!$I$5*Conv!$D$46)/10^6 +#REF!</f>
        <v>#REF!</v>
      </c>
      <c r="N206" s="203" t="e">
        <f>#REF!*#REF!^5/(Conv!$I$5*Conv!$D$46)/10^6 +#REF!</f>
        <v>#REF!</v>
      </c>
      <c r="O206" s="203" t="e">
        <f>#REF!*#REF!^5/(Conv!$I$5*Conv!$D$46)/10^6 +#REF!</f>
        <v>#REF!</v>
      </c>
      <c r="P206" s="203" t="e">
        <f>#REF!*#REF!^5/(Conv!$I$5*Conv!$D$46)/10^6 +#REF!</f>
        <v>#REF!</v>
      </c>
      <c r="Q206" s="203" t="e">
        <f>#REF!*#REF!^5/(Conv!$I$5*Conv!$D$46)/10^6 +#REF!</f>
        <v>#REF!</v>
      </c>
      <c r="S206" s="177"/>
      <c r="T206" s="177"/>
      <c r="U206" s="177"/>
      <c r="V206" s="177"/>
      <c r="W206" s="177"/>
      <c r="X206" s="177"/>
      <c r="Y206" s="177"/>
      <c r="Z206" s="177"/>
      <c r="AA206" s="177"/>
      <c r="AB206" s="177"/>
      <c r="AC206" s="177"/>
    </row>
    <row r="207" spans="2:29">
      <c r="B207" s="158" t="str">
        <f>Technologies!B648</f>
        <v>*</v>
      </c>
      <c r="C207" s="158" t="e">
        <f>Technologies!C648</f>
        <v>#REF!</v>
      </c>
      <c r="D207" s="158" t="e">
        <f>Technologies!D648</f>
        <v>#REF!</v>
      </c>
      <c r="E207" s="197" t="e">
        <f>E206</f>
        <v>#REF!</v>
      </c>
      <c r="F207" s="197" t="e">
        <f>Commodities!C235</f>
        <v>#REF!</v>
      </c>
      <c r="G207" s="204">
        <v>1</v>
      </c>
      <c r="H207" s="203" t="e">
        <f>#REF!*#REF!^5/(Conv!$I$5*Conv!$D$46)/10^6 +#REF!</f>
        <v>#REF!</v>
      </c>
      <c r="I207" s="203" t="e">
        <f>#REF!*#REF!^5/(Conv!$I$5*Conv!$D$46)/10^6 +#REF!</f>
        <v>#REF!</v>
      </c>
      <c r="J207" s="203" t="e">
        <f>#REF!*#REF!^5/(Conv!$I$5*Conv!$D$46)/10^6 +#REF!</f>
        <v>#REF!</v>
      </c>
      <c r="K207" s="203" t="e">
        <f>#REF!*#REF!^5/(Conv!$I$5*Conv!$D$46)/10^6 +#REF!</f>
        <v>#REF!</v>
      </c>
      <c r="L207" s="203" t="e">
        <f>#REF!*#REF!^5/(Conv!$I$5*Conv!$D$46)/10^6 +#REF!</f>
        <v>#REF!</v>
      </c>
      <c r="M207" s="203" t="e">
        <f>#REF!*#REF!^5/(Conv!$I$5*Conv!$D$46)/10^6 +#REF!</f>
        <v>#REF!</v>
      </c>
      <c r="N207" s="203" t="e">
        <f>#REF!*#REF!^5/(Conv!$I$5*Conv!$D$46)/10^6 +#REF!</f>
        <v>#REF!</v>
      </c>
      <c r="O207" s="203" t="e">
        <f>#REF!*#REF!^5/(Conv!$I$5*Conv!$D$46)/10^6 +#REF!</f>
        <v>#REF!</v>
      </c>
      <c r="P207" s="203" t="e">
        <f>#REF!*#REF!^5/(Conv!$I$5*Conv!$D$46)/10^6 +#REF!</f>
        <v>#REF!</v>
      </c>
      <c r="Q207" s="203" t="e">
        <f>#REF!*#REF!^5/(Conv!$I$5*Conv!$D$46)/10^6 +#REF!</f>
        <v>#REF!</v>
      </c>
      <c r="S207" s="177"/>
      <c r="T207" s="177"/>
      <c r="U207" s="177"/>
      <c r="V207" s="177"/>
      <c r="W207" s="177"/>
      <c r="X207" s="177"/>
      <c r="Y207" s="177"/>
      <c r="Z207" s="177"/>
      <c r="AA207" s="177"/>
      <c r="AB207" s="177"/>
      <c r="AC207" s="177"/>
    </row>
    <row r="208" spans="2:29">
      <c r="B208" s="158" t="str">
        <f>Technologies!B649</f>
        <v>*</v>
      </c>
      <c r="C208" s="158" t="e">
        <f>Technologies!C649</f>
        <v>#REF!</v>
      </c>
      <c r="D208" s="158" t="e">
        <f>Technologies!D649</f>
        <v>#REF!</v>
      </c>
      <c r="E208" s="197" t="e">
        <f>E207</f>
        <v>#REF!</v>
      </c>
      <c r="F208" s="197" t="e">
        <f>Commodities!C236</f>
        <v>#REF!</v>
      </c>
      <c r="G208" s="204">
        <v>1</v>
      </c>
      <c r="H208" s="203" t="e">
        <f>#REF!*#REF!^5/(Conv!$I$5*Conv!$D$46)/10^6 +#REF!</f>
        <v>#REF!</v>
      </c>
      <c r="I208" s="203" t="e">
        <f>#REF!*#REF!^5/(Conv!$I$5*Conv!$D$46)/10^6 +#REF!</f>
        <v>#REF!</v>
      </c>
      <c r="J208" s="203" t="e">
        <f>#REF!*#REF!^5/(Conv!$I$5*Conv!$D$46)/10^6 +#REF!</f>
        <v>#REF!</v>
      </c>
      <c r="K208" s="203" t="e">
        <f>#REF!*#REF!^5/(Conv!$I$5*Conv!$D$46)/10^6 +#REF!</f>
        <v>#REF!</v>
      </c>
      <c r="L208" s="203" t="e">
        <f>#REF!*#REF!^5/(Conv!$I$5*Conv!$D$46)/10^6 +#REF!</f>
        <v>#REF!</v>
      </c>
      <c r="M208" s="203" t="e">
        <f>#REF!*#REF!^5/(Conv!$I$5*Conv!$D$46)/10^6 +#REF!</f>
        <v>#REF!</v>
      </c>
      <c r="N208" s="203" t="e">
        <f>#REF!*#REF!^5/(Conv!$I$5*Conv!$D$46)/10^6 +#REF!</f>
        <v>#REF!</v>
      </c>
      <c r="O208" s="203" t="e">
        <f>#REF!*#REF!^5/(Conv!$I$5*Conv!$D$46)/10^6 +#REF!</f>
        <v>#REF!</v>
      </c>
      <c r="P208" s="203" t="e">
        <f>#REF!*#REF!^5/(Conv!$I$5*Conv!$D$46)/10^6 +#REF!</f>
        <v>#REF!</v>
      </c>
      <c r="Q208" s="203" t="e">
        <f>#REF!*#REF!^5/(Conv!$I$5*Conv!$D$46)/10^6 +#REF!</f>
        <v>#REF!</v>
      </c>
      <c r="S208" s="177"/>
      <c r="T208" s="177"/>
      <c r="U208" s="177"/>
      <c r="V208" s="177"/>
      <c r="W208" s="177"/>
      <c r="X208" s="177"/>
      <c r="Y208" s="177"/>
      <c r="Z208" s="177"/>
      <c r="AA208" s="177"/>
      <c r="AB208" s="177"/>
      <c r="AC208" s="177"/>
    </row>
    <row r="209" spans="2:29">
      <c r="B209" s="158" t="str">
        <f>Technologies!B650</f>
        <v>*</v>
      </c>
      <c r="C209" s="158" t="e">
        <f>Technologies!C650</f>
        <v>#REF!</v>
      </c>
      <c r="D209" s="158" t="e">
        <f>Technologies!D650</f>
        <v>#REF!</v>
      </c>
      <c r="E209" s="197" t="e">
        <f>E208</f>
        <v>#REF!</v>
      </c>
      <c r="F209" s="197" t="e">
        <f>Commodities!C237</f>
        <v>#REF!</v>
      </c>
      <c r="G209" s="204">
        <v>1</v>
      </c>
      <c r="H209" s="203" t="e">
        <f>#REF!*#REF!^5/(Conv!$I$5*Conv!$D$46)/10^6 +#REF!</f>
        <v>#REF!</v>
      </c>
      <c r="I209" s="203" t="e">
        <f>#REF!*#REF!^5/(Conv!$I$5*Conv!$D$46)/10^6 +#REF!</f>
        <v>#REF!</v>
      </c>
      <c r="J209" s="203" t="e">
        <f>#REF!*#REF!^5/(Conv!$I$5*Conv!$D$46)/10^6 +#REF!</f>
        <v>#REF!</v>
      </c>
      <c r="K209" s="203" t="e">
        <f>#REF!*#REF!^5/(Conv!$I$5*Conv!$D$46)/10^6 +#REF!</f>
        <v>#REF!</v>
      </c>
      <c r="L209" s="203" t="e">
        <f>#REF!*#REF!^5/(Conv!$I$5*Conv!$D$46)/10^6 +#REF!</f>
        <v>#REF!</v>
      </c>
      <c r="M209" s="203" t="e">
        <f>#REF!*#REF!^5/(Conv!$I$5*Conv!$D$46)/10^6 +#REF!</f>
        <v>#REF!</v>
      </c>
      <c r="N209" s="203" t="e">
        <f>#REF!*#REF!^5/(Conv!$I$5*Conv!$D$46)/10^6 +#REF!</f>
        <v>#REF!</v>
      </c>
      <c r="O209" s="203" t="e">
        <f>#REF!*#REF!^5/(Conv!$I$5*Conv!$D$46)/10^6 +#REF!</f>
        <v>#REF!</v>
      </c>
      <c r="P209" s="203" t="e">
        <f>#REF!*#REF!^5/(Conv!$I$5*Conv!$D$46)/10^6 +#REF!</f>
        <v>#REF!</v>
      </c>
      <c r="Q209" s="203" t="e">
        <f>#REF!*#REF!^5/(Conv!$I$5*Conv!$D$46)/10^6 +#REF!</f>
        <v>#REF!</v>
      </c>
      <c r="S209" s="177"/>
      <c r="T209" s="177"/>
      <c r="U209" s="177"/>
      <c r="V209" s="177"/>
      <c r="W209" s="177"/>
      <c r="X209" s="177"/>
      <c r="Y209" s="177"/>
      <c r="Z209" s="177"/>
      <c r="AA209" s="177"/>
      <c r="AB209" s="177"/>
      <c r="AC209" s="177"/>
    </row>
    <row r="210" spans="2:29">
      <c r="B210" s="158" t="str">
        <f>Technologies!B651</f>
        <v>*</v>
      </c>
      <c r="C210" s="158" t="e">
        <f>Technologies!C651</f>
        <v>#REF!</v>
      </c>
      <c r="D210" s="158" t="e">
        <f>Technologies!D651</f>
        <v>#REF!</v>
      </c>
      <c r="E210" s="197" t="e">
        <f>Commodities!C164</f>
        <v>#REF!</v>
      </c>
      <c r="F210" s="197" t="e">
        <f>Commodities!C238</f>
        <v>#REF!</v>
      </c>
      <c r="G210" s="204">
        <v>1</v>
      </c>
      <c r="H210" s="203" t="e">
        <f>#REF!*#REF!^5/(Conv!$I$5*Conv!$D$46)/10^6 +#REF!</f>
        <v>#REF!</v>
      </c>
      <c r="I210" s="203" t="e">
        <f>#REF!*#REF!^5/(Conv!$I$5*Conv!$D$46)/10^6 +#REF!</f>
        <v>#REF!</v>
      </c>
      <c r="J210" s="203" t="e">
        <f>#REF!*#REF!^5/(Conv!$I$5*Conv!$D$46)/10^6 +#REF!</f>
        <v>#REF!</v>
      </c>
      <c r="K210" s="203" t="e">
        <f>#REF!*#REF!^5/(Conv!$I$5*Conv!$D$46)/10^6 +#REF!</f>
        <v>#REF!</v>
      </c>
      <c r="L210" s="203" t="e">
        <f>#REF!*#REF!^5/(Conv!$I$5*Conv!$D$46)/10^6 +#REF!</f>
        <v>#REF!</v>
      </c>
      <c r="M210" s="203" t="e">
        <f>#REF!*#REF!^5/(Conv!$I$5*Conv!$D$46)/10^6 +#REF!</f>
        <v>#REF!</v>
      </c>
      <c r="N210" s="203" t="e">
        <f>#REF!*#REF!^5/(Conv!$I$5*Conv!$D$46)/10^6 +#REF!</f>
        <v>#REF!</v>
      </c>
      <c r="O210" s="203" t="e">
        <f>#REF!*#REF!^5/(Conv!$I$5*Conv!$D$46)/10^6 +#REF!</f>
        <v>#REF!</v>
      </c>
      <c r="P210" s="203" t="e">
        <f>#REF!*#REF!^5/(Conv!$I$5*Conv!$D$46)/10^6 +#REF!</f>
        <v>#REF!</v>
      </c>
      <c r="Q210" s="203" t="e">
        <f>#REF!*#REF!^5/(Conv!$I$5*Conv!$D$46)/10^6 +#REF!</f>
        <v>#REF!</v>
      </c>
      <c r="S210" s="177"/>
      <c r="T210" s="177"/>
      <c r="U210" s="177"/>
      <c r="V210" s="177"/>
      <c r="W210" s="177"/>
      <c r="X210" s="177"/>
      <c r="Y210" s="177"/>
      <c r="Z210" s="177"/>
      <c r="AA210" s="177"/>
      <c r="AB210" s="177"/>
      <c r="AC210" s="177"/>
    </row>
    <row r="211" spans="2:29">
      <c r="B211" s="158" t="str">
        <f>Technologies!B652</f>
        <v>*</v>
      </c>
      <c r="C211" s="158" t="e">
        <f>Technologies!C652</f>
        <v>#REF!</v>
      </c>
      <c r="D211" s="158" t="e">
        <f>Technologies!D652</f>
        <v>#REF!</v>
      </c>
      <c r="E211" s="197" t="e">
        <f>Commodities!C165</f>
        <v>#REF!</v>
      </c>
      <c r="F211" s="197" t="e">
        <f>Commodities!C239</f>
        <v>#REF!</v>
      </c>
      <c r="G211" s="204">
        <v>1</v>
      </c>
      <c r="H211" s="203" t="e">
        <f>#REF!*#REF!^5/(Conv!$I$5*Conv!$D$46)/10^6 +#REF!</f>
        <v>#REF!</v>
      </c>
      <c r="I211" s="203" t="e">
        <f>#REF!*#REF!^5/(Conv!$I$5*Conv!$D$46)/10^6 +#REF!</f>
        <v>#REF!</v>
      </c>
      <c r="J211" s="203" t="e">
        <f>#REF!*#REF!^5/(Conv!$I$5*Conv!$D$46)/10^6 +#REF!</f>
        <v>#REF!</v>
      </c>
      <c r="K211" s="203" t="e">
        <f>#REF!*#REF!^5/(Conv!$I$5*Conv!$D$46)/10^6 +#REF!</f>
        <v>#REF!</v>
      </c>
      <c r="L211" s="203" t="e">
        <f>#REF!*#REF!^5/(Conv!$I$5*Conv!$D$46)/10^6 +#REF!</f>
        <v>#REF!</v>
      </c>
      <c r="M211" s="203" t="e">
        <f>#REF!*#REF!^5/(Conv!$I$5*Conv!$D$46)/10^6 +#REF!</f>
        <v>#REF!</v>
      </c>
      <c r="N211" s="203" t="e">
        <f>#REF!*#REF!^5/(Conv!$I$5*Conv!$D$46)/10^6 +#REF!</f>
        <v>#REF!</v>
      </c>
      <c r="O211" s="203" t="e">
        <f>#REF!*#REF!^5/(Conv!$I$5*Conv!$D$46)/10^6 +#REF!</f>
        <v>#REF!</v>
      </c>
      <c r="P211" s="203" t="e">
        <f>#REF!*#REF!^5/(Conv!$I$5*Conv!$D$46)/10^6 +#REF!</f>
        <v>#REF!</v>
      </c>
      <c r="Q211" s="203" t="e">
        <f>#REF!*#REF!^5/(Conv!$I$5*Conv!$D$46)/10^6 +#REF!</f>
        <v>#REF!</v>
      </c>
      <c r="S211" s="177"/>
      <c r="T211" s="177"/>
      <c r="U211" s="177"/>
      <c r="V211" s="177"/>
      <c r="W211" s="177"/>
      <c r="X211" s="177"/>
      <c r="Y211" s="177"/>
      <c r="Z211" s="177"/>
      <c r="AA211" s="177"/>
      <c r="AB211" s="177"/>
      <c r="AC211" s="177"/>
    </row>
    <row r="212" spans="2:29">
      <c r="B212" s="158" t="str">
        <f>Technologies!B653</f>
        <v>*</v>
      </c>
      <c r="C212" s="158" t="e">
        <f>Technologies!C653</f>
        <v>#REF!</v>
      </c>
      <c r="D212" s="158" t="e">
        <f>Technologies!D653</f>
        <v>#REF!</v>
      </c>
      <c r="E212" s="197" t="e">
        <f>Commodities!C167</f>
        <v>#REF!</v>
      </c>
      <c r="F212" s="197" t="str">
        <f>Commodities!C240</f>
        <v>RESRFL</v>
      </c>
      <c r="G212" s="204">
        <v>1</v>
      </c>
      <c r="H212" s="203" t="e">
        <f>#REF!*#REF!^5/(Conv!$I$5*Conv!$D$46)/10^6 +#REF!</f>
        <v>#REF!</v>
      </c>
      <c r="I212" s="203" t="e">
        <f>#REF!*#REF!^5/(Conv!$I$5*Conv!$D$46)/10^6 +#REF!</f>
        <v>#REF!</v>
      </c>
      <c r="J212" s="203" t="e">
        <f>#REF!*#REF!^5/(Conv!$I$5*Conv!$D$46)/10^6 +#REF!</f>
        <v>#REF!</v>
      </c>
      <c r="K212" s="203" t="e">
        <f>#REF!*#REF!^5/(Conv!$I$5*Conv!$D$46)/10^6 +#REF!</f>
        <v>#REF!</v>
      </c>
      <c r="L212" s="203" t="e">
        <f>#REF!*#REF!^5/(Conv!$I$5*Conv!$D$46)/10^6 +#REF!</f>
        <v>#REF!</v>
      </c>
      <c r="M212" s="203" t="e">
        <f>#REF!*#REF!^5/(Conv!$I$5*Conv!$D$46)/10^6 +#REF!</f>
        <v>#REF!</v>
      </c>
      <c r="N212" s="203" t="e">
        <f>#REF!*#REF!^5/(Conv!$I$5*Conv!$D$46)/10^6 +#REF!</f>
        <v>#REF!</v>
      </c>
      <c r="O212" s="203" t="e">
        <f>#REF!*#REF!^5/(Conv!$I$5*Conv!$D$46)/10^6 +#REF!</f>
        <v>#REF!</v>
      </c>
      <c r="P212" s="203" t="e">
        <f>#REF!*#REF!^5/(Conv!$I$5*Conv!$D$46)/10^6 +#REF!</f>
        <v>#REF!</v>
      </c>
      <c r="Q212" s="203" t="e">
        <f>#REF!*#REF!^5/(Conv!$I$5*Conv!$D$46)/10^6 +#REF!</f>
        <v>#REF!</v>
      </c>
      <c r="S212" s="177"/>
      <c r="T212" s="177"/>
      <c r="U212" s="177"/>
      <c r="V212" s="177"/>
      <c r="W212" s="177"/>
      <c r="X212" s="177"/>
      <c r="Y212" s="177"/>
      <c r="Z212" s="177"/>
      <c r="AA212" s="177"/>
      <c r="AB212" s="177"/>
      <c r="AC212" s="177"/>
    </row>
    <row r="213" spans="2:29">
      <c r="B213" s="158" t="str">
        <f>Technologies!B654</f>
        <v>*</v>
      </c>
      <c r="C213" s="158" t="e">
        <f>Technologies!C654</f>
        <v>#REF!</v>
      </c>
      <c r="D213" s="158" t="e">
        <f>Technologies!D654</f>
        <v>#REF!</v>
      </c>
      <c r="E213" s="197" t="e">
        <f>Commodities!C167</f>
        <v>#REF!</v>
      </c>
      <c r="F213" s="197" t="e">
        <f>Commodities!C241</f>
        <v>#REF!</v>
      </c>
      <c r="G213" s="204">
        <v>1</v>
      </c>
      <c r="H213" s="203" t="e">
        <f>#REF!*#REF!^5/(Conv!$I$5*Conv!$D$46)/10^6 +#REF!</f>
        <v>#REF!</v>
      </c>
      <c r="I213" s="203" t="e">
        <f>#REF!*#REF!^5/(Conv!$I$5*Conv!$D$46)/10^6 +#REF!</f>
        <v>#REF!</v>
      </c>
      <c r="J213" s="203" t="e">
        <f>#REF!*#REF!^5/(Conv!$I$5*Conv!$D$46)/10^6 +#REF!</f>
        <v>#REF!</v>
      </c>
      <c r="K213" s="203" t="e">
        <f>#REF!*#REF!^5/(Conv!$I$5*Conv!$D$46)/10^6 +#REF!</f>
        <v>#REF!</v>
      </c>
      <c r="L213" s="203" t="e">
        <f>#REF!*#REF!^5/(Conv!$I$5*Conv!$D$46)/10^6 +#REF!</f>
        <v>#REF!</v>
      </c>
      <c r="M213" s="203" t="e">
        <f>#REF!*#REF!^5/(Conv!$I$5*Conv!$D$46)/10^6 +#REF!</f>
        <v>#REF!</v>
      </c>
      <c r="N213" s="203" t="e">
        <f>#REF!*#REF!^5/(Conv!$I$5*Conv!$D$46)/10^6 +#REF!</f>
        <v>#REF!</v>
      </c>
      <c r="O213" s="203" t="e">
        <f>#REF!*#REF!^5/(Conv!$I$5*Conv!$D$46)/10^6 +#REF!</f>
        <v>#REF!</v>
      </c>
      <c r="P213" s="203" t="e">
        <f>#REF!*#REF!^5/(Conv!$I$5*Conv!$D$46)/10^6 +#REF!</f>
        <v>#REF!</v>
      </c>
      <c r="Q213" s="203" t="e">
        <f>#REF!*#REF!^5/(Conv!$I$5*Conv!$D$46)/10^6 +#REF!</f>
        <v>#REF!</v>
      </c>
      <c r="S213" s="177"/>
      <c r="T213" s="177"/>
      <c r="U213" s="177"/>
      <c r="V213" s="177"/>
      <c r="W213" s="177"/>
      <c r="X213" s="177"/>
      <c r="Y213" s="177"/>
      <c r="Z213" s="177"/>
      <c r="AA213" s="177"/>
      <c r="AB213" s="177"/>
      <c r="AC213" s="177"/>
    </row>
    <row r="214" spans="2:29">
      <c r="B214" s="158" t="str">
        <f>Technologies!B655</f>
        <v>*</v>
      </c>
      <c r="C214" s="158" t="e">
        <f>Technologies!C655</f>
        <v>#REF!</v>
      </c>
      <c r="D214" s="158" t="e">
        <f>Technologies!D655</f>
        <v>#REF!</v>
      </c>
      <c r="E214" s="197" t="e">
        <f>E213</f>
        <v>#REF!</v>
      </c>
      <c r="F214" s="197" t="e">
        <f>Commodities!C242</f>
        <v>#REF!</v>
      </c>
      <c r="G214" s="204">
        <v>1</v>
      </c>
      <c r="H214" s="203" t="e">
        <f>#REF!*#REF!^5/(Conv!$I$5*Conv!$D$46)/10^6 +#REF!</f>
        <v>#REF!</v>
      </c>
      <c r="I214" s="203" t="e">
        <f>#REF!*#REF!^5/(Conv!$I$5*Conv!$D$46)/10^6 +#REF!</f>
        <v>#REF!</v>
      </c>
      <c r="J214" s="203" t="e">
        <f>#REF!*#REF!^5/(Conv!$I$5*Conv!$D$46)/10^6 +#REF!</f>
        <v>#REF!</v>
      </c>
      <c r="K214" s="203" t="e">
        <f>#REF!*#REF!^5/(Conv!$I$5*Conv!$D$46)/10^6 +#REF!</f>
        <v>#REF!</v>
      </c>
      <c r="L214" s="203" t="e">
        <f>#REF!*#REF!^5/(Conv!$I$5*Conv!$D$46)/10^6 +#REF!</f>
        <v>#REF!</v>
      </c>
      <c r="M214" s="203" t="e">
        <f>#REF!*#REF!^5/(Conv!$I$5*Conv!$D$46)/10^6 +#REF!</f>
        <v>#REF!</v>
      </c>
      <c r="N214" s="203" t="e">
        <f>#REF!*#REF!^5/(Conv!$I$5*Conv!$D$46)/10^6 +#REF!</f>
        <v>#REF!</v>
      </c>
      <c r="O214" s="203" t="e">
        <f>#REF!*#REF!^5/(Conv!$I$5*Conv!$D$46)/10^6 +#REF!</f>
        <v>#REF!</v>
      </c>
      <c r="P214" s="203" t="e">
        <f>#REF!*#REF!^5/(Conv!$I$5*Conv!$D$46)/10^6 +#REF!</f>
        <v>#REF!</v>
      </c>
      <c r="Q214" s="203" t="e">
        <f>#REF!*#REF!^5/(Conv!$I$5*Conv!$D$46)/10^6 +#REF!</f>
        <v>#REF!</v>
      </c>
      <c r="S214" s="177"/>
      <c r="T214" s="177"/>
      <c r="U214" s="177"/>
      <c r="V214" s="177"/>
      <c r="W214" s="177"/>
      <c r="X214" s="177"/>
      <c r="Y214" s="177"/>
      <c r="Z214" s="177"/>
      <c r="AA214" s="177"/>
      <c r="AB214" s="177"/>
      <c r="AC214" s="177"/>
    </row>
    <row r="215" spans="2:29">
      <c r="B215" s="158" t="str">
        <f>Technologies!B656</f>
        <v>*</v>
      </c>
      <c r="C215" s="158" t="e">
        <f>Technologies!C656</f>
        <v>#REF!</v>
      </c>
      <c r="D215" s="158" t="e">
        <f>Technologies!D656</f>
        <v>#REF!</v>
      </c>
      <c r="E215" s="197" t="e">
        <f>E214</f>
        <v>#REF!</v>
      </c>
      <c r="F215" s="197" t="e">
        <f>Commodities!C243</f>
        <v>#REF!</v>
      </c>
      <c r="G215" s="204">
        <v>1</v>
      </c>
      <c r="H215" s="203" t="e">
        <f>#REF!*#REF!^5/(Conv!$I$5*Conv!$D$46)/10^6 +#REF!</f>
        <v>#REF!</v>
      </c>
      <c r="I215" s="203" t="e">
        <f>#REF!*#REF!^5/(Conv!$I$5*Conv!$D$46)/10^6 +#REF!</f>
        <v>#REF!</v>
      </c>
      <c r="J215" s="203" t="e">
        <f>#REF!*#REF!^5/(Conv!$I$5*Conv!$D$46)/10^6 +#REF!</f>
        <v>#REF!</v>
      </c>
      <c r="K215" s="203" t="e">
        <f>#REF!*#REF!^5/(Conv!$I$5*Conv!$D$46)/10^6 +#REF!</f>
        <v>#REF!</v>
      </c>
      <c r="L215" s="203" t="e">
        <f>#REF!*#REF!^5/(Conv!$I$5*Conv!$D$46)/10^6 +#REF!</f>
        <v>#REF!</v>
      </c>
      <c r="M215" s="203" t="e">
        <f>#REF!*#REF!^5/(Conv!$I$5*Conv!$D$46)/10^6 +#REF!</f>
        <v>#REF!</v>
      </c>
      <c r="N215" s="203" t="e">
        <f>#REF!*#REF!^5/(Conv!$I$5*Conv!$D$46)/10^6 +#REF!</f>
        <v>#REF!</v>
      </c>
      <c r="O215" s="203" t="e">
        <f>#REF!*#REF!^5/(Conv!$I$5*Conv!$D$46)/10^6 +#REF!</f>
        <v>#REF!</v>
      </c>
      <c r="P215" s="203" t="e">
        <f>#REF!*#REF!^5/(Conv!$I$5*Conv!$D$46)/10^6 +#REF!</f>
        <v>#REF!</v>
      </c>
      <c r="Q215" s="203" t="e">
        <f>#REF!*#REF!^5/(Conv!$I$5*Conv!$D$46)/10^6 +#REF!</f>
        <v>#REF!</v>
      </c>
      <c r="S215" s="177"/>
      <c r="T215" s="177"/>
      <c r="U215" s="177"/>
      <c r="V215" s="177"/>
      <c r="W215" s="177"/>
      <c r="X215" s="177"/>
      <c r="Y215" s="177"/>
      <c r="Z215" s="177"/>
      <c r="AA215" s="177"/>
      <c r="AB215" s="177"/>
      <c r="AC215" s="177"/>
    </row>
    <row r="216" spans="2:29">
      <c r="B216" s="158" t="str">
        <f>Technologies!B657</f>
        <v>*</v>
      </c>
      <c r="C216" s="158" t="e">
        <f>Technologies!C657</f>
        <v>#REF!</v>
      </c>
      <c r="D216" s="158" t="e">
        <f>Technologies!D657</f>
        <v>#REF!</v>
      </c>
      <c r="E216" s="197" t="e">
        <f>Commodities!C166</f>
        <v>#REF!</v>
      </c>
      <c r="F216" s="197" t="e">
        <f>Commodities!C244</f>
        <v>#REF!</v>
      </c>
      <c r="G216" s="204">
        <v>1</v>
      </c>
      <c r="H216" s="203" t="e">
        <f>#REF!*#REF!^5/(Conv!$I$5*Conv!$D$46)/10^6 +#REF!</f>
        <v>#REF!</v>
      </c>
      <c r="I216" s="203" t="e">
        <f>#REF!*#REF!^5/(Conv!$I$5*Conv!$D$46)/10^6 +#REF!</f>
        <v>#REF!</v>
      </c>
      <c r="J216" s="203" t="e">
        <f>#REF!*#REF!^5/(Conv!$I$5*Conv!$D$46)/10^6 +#REF!</f>
        <v>#REF!</v>
      </c>
      <c r="K216" s="203" t="e">
        <f>#REF!*#REF!^5/(Conv!$I$5*Conv!$D$46)/10^6 +#REF!</f>
        <v>#REF!</v>
      </c>
      <c r="L216" s="203" t="e">
        <f>#REF!*#REF!^5/(Conv!$I$5*Conv!$D$46)/10^6 +#REF!</f>
        <v>#REF!</v>
      </c>
      <c r="M216" s="203" t="e">
        <f>#REF!*#REF!^5/(Conv!$I$5*Conv!$D$46)/10^6 +#REF!</f>
        <v>#REF!</v>
      </c>
      <c r="N216" s="203" t="e">
        <f>#REF!*#REF!^5/(Conv!$I$5*Conv!$D$46)/10^6 +#REF!</f>
        <v>#REF!</v>
      </c>
      <c r="O216" s="203" t="e">
        <f>#REF!*#REF!^5/(Conv!$I$5*Conv!$D$46)/10^6 +#REF!</f>
        <v>#REF!</v>
      </c>
      <c r="P216" s="203" t="e">
        <f>#REF!*#REF!^5/(Conv!$I$5*Conv!$D$46)/10^6 +#REF!</f>
        <v>#REF!</v>
      </c>
      <c r="Q216" s="203" t="e">
        <f>#REF!*#REF!^5/(Conv!$I$5*Conv!$D$46)/10^6 +#REF!</f>
        <v>#REF!</v>
      </c>
      <c r="S216" s="177"/>
      <c r="T216" s="177"/>
      <c r="U216" s="177"/>
      <c r="V216" s="177"/>
      <c r="W216" s="177"/>
      <c r="X216" s="177"/>
      <c r="Y216" s="177"/>
      <c r="Z216" s="177"/>
      <c r="AA216" s="177"/>
      <c r="AB216" s="177"/>
      <c r="AC216" s="177"/>
    </row>
    <row r="217" spans="2:29">
      <c r="B217" s="158" t="str">
        <f>Technologies!B658</f>
        <v>*</v>
      </c>
      <c r="C217" s="158" t="e">
        <f>Technologies!C658</f>
        <v>#REF!</v>
      </c>
      <c r="D217" s="158" t="e">
        <f>Technologies!D658</f>
        <v>#REF!</v>
      </c>
      <c r="E217" s="197" t="e">
        <f>E216</f>
        <v>#REF!</v>
      </c>
      <c r="F217" s="197" t="e">
        <f>Commodities!C245</f>
        <v>#REF!</v>
      </c>
      <c r="G217" s="204">
        <v>1</v>
      </c>
      <c r="H217" s="203" t="e">
        <f>#REF!*#REF!^5/(Conv!$I$5*Conv!$D$46)/10^6 +#REF!</f>
        <v>#REF!</v>
      </c>
      <c r="I217" s="203" t="e">
        <f>#REF!*#REF!^5/(Conv!$I$5*Conv!$D$46)/10^6 +#REF!</f>
        <v>#REF!</v>
      </c>
      <c r="J217" s="203" t="e">
        <f>#REF!*#REF!^5/(Conv!$I$5*Conv!$D$46)/10^6 +#REF!</f>
        <v>#REF!</v>
      </c>
      <c r="K217" s="203" t="e">
        <f>#REF!*#REF!^5/(Conv!$I$5*Conv!$D$46)/10^6 +#REF!</f>
        <v>#REF!</v>
      </c>
      <c r="L217" s="203" t="e">
        <f>#REF!*#REF!^5/(Conv!$I$5*Conv!$D$46)/10^6 +#REF!</f>
        <v>#REF!</v>
      </c>
      <c r="M217" s="203" t="e">
        <f>#REF!*#REF!^5/(Conv!$I$5*Conv!$D$46)/10^6 +#REF!</f>
        <v>#REF!</v>
      </c>
      <c r="N217" s="203" t="e">
        <f>#REF!*#REF!^5/(Conv!$I$5*Conv!$D$46)/10^6 +#REF!</f>
        <v>#REF!</v>
      </c>
      <c r="O217" s="203" t="e">
        <f>#REF!*#REF!^5/(Conv!$I$5*Conv!$D$46)/10^6 +#REF!</f>
        <v>#REF!</v>
      </c>
      <c r="P217" s="203" t="e">
        <f>#REF!*#REF!^5/(Conv!$I$5*Conv!$D$46)/10^6 +#REF!</f>
        <v>#REF!</v>
      </c>
      <c r="Q217" s="203" t="e">
        <f>#REF!*#REF!^5/(Conv!$I$5*Conv!$D$46)/10^6 +#REF!</f>
        <v>#REF!</v>
      </c>
      <c r="S217" s="177"/>
      <c r="T217" s="177"/>
      <c r="U217" s="177"/>
      <c r="V217" s="177"/>
      <c r="W217" s="177"/>
      <c r="X217" s="177"/>
      <c r="Y217" s="177"/>
      <c r="Z217" s="177"/>
      <c r="AA217" s="177"/>
      <c r="AB217" s="177"/>
      <c r="AC217" s="177"/>
    </row>
    <row r="218" spans="2:29">
      <c r="B218" s="158" t="str">
        <f>Technologies!B659</f>
        <v>*</v>
      </c>
      <c r="C218" s="158" t="e">
        <f>Technologies!C659</f>
        <v>#REF!</v>
      </c>
      <c r="D218" s="158" t="e">
        <f>Technologies!D659</f>
        <v>#REF!</v>
      </c>
      <c r="E218" s="197" t="e">
        <f>Commodities!C168</f>
        <v>#REF!</v>
      </c>
      <c r="F218" s="197" t="e">
        <f>Commodities!C246</f>
        <v>#REF!</v>
      </c>
      <c r="G218" s="204">
        <v>1</v>
      </c>
      <c r="H218" s="203" t="e">
        <f>#REF!*#REF!^5/(Conv!$I$5*Conv!$D$46)/10^6 +#REF!</f>
        <v>#REF!</v>
      </c>
      <c r="I218" s="203" t="e">
        <f>#REF!*#REF!^5/(Conv!$I$5*Conv!$D$46)/10^6 +#REF!</f>
        <v>#REF!</v>
      </c>
      <c r="J218" s="203" t="e">
        <f>#REF!*#REF!^5/(Conv!$I$5*Conv!$D$46)/10^6 +#REF!</f>
        <v>#REF!</v>
      </c>
      <c r="K218" s="203" t="e">
        <f>#REF!*#REF!^5/(Conv!$I$5*Conv!$D$46)/10^6 +#REF!</f>
        <v>#REF!</v>
      </c>
      <c r="L218" s="203" t="e">
        <f>#REF!*#REF!^5/(Conv!$I$5*Conv!$D$46)/10^6 +#REF!</f>
        <v>#REF!</v>
      </c>
      <c r="M218" s="203" t="e">
        <f>#REF!*#REF!^5/(Conv!$I$5*Conv!$D$46)/10^6 +#REF!</f>
        <v>#REF!</v>
      </c>
      <c r="N218" s="203" t="e">
        <f>#REF!*#REF!^5/(Conv!$I$5*Conv!$D$46)/10^6 +#REF!</f>
        <v>#REF!</v>
      </c>
      <c r="O218" s="203" t="e">
        <f>#REF!*#REF!^5/(Conv!$I$5*Conv!$D$46)/10^6 +#REF!</f>
        <v>#REF!</v>
      </c>
      <c r="P218" s="203" t="e">
        <f>#REF!*#REF!^5/(Conv!$I$5*Conv!$D$46)/10^6 +#REF!</f>
        <v>#REF!</v>
      </c>
      <c r="Q218" s="203" t="e">
        <f>#REF!*#REF!^5/(Conv!$I$5*Conv!$D$46)/10^6 +#REF!</f>
        <v>#REF!</v>
      </c>
      <c r="S218" s="177"/>
      <c r="T218" s="177"/>
      <c r="U218" s="177"/>
      <c r="V218" s="177"/>
      <c r="W218" s="177"/>
      <c r="X218" s="177"/>
      <c r="Y218" s="177"/>
      <c r="Z218" s="177"/>
      <c r="AA218" s="177"/>
      <c r="AB218" s="177"/>
      <c r="AC218" s="177"/>
    </row>
    <row r="219" spans="2:29">
      <c r="B219" s="158" t="s">
        <v>398</v>
      </c>
      <c r="C219" s="158"/>
      <c r="D219" s="158"/>
      <c r="E219" s="197"/>
      <c r="F219" s="197"/>
      <c r="G219" s="204"/>
      <c r="H219" s="205"/>
      <c r="I219" s="205"/>
      <c r="J219" s="205"/>
      <c r="K219" s="205"/>
      <c r="L219" s="205"/>
      <c r="M219" s="205"/>
      <c r="N219" s="205"/>
      <c r="O219" s="205"/>
      <c r="P219" s="205"/>
      <c r="Q219" s="205"/>
    </row>
    <row r="220" spans="2:29">
      <c r="B220" s="158" t="str">
        <f>LEFT(Technologies!B660,2)</f>
        <v>*</v>
      </c>
      <c r="C220" s="158" t="e">
        <f>Technologies!C660</f>
        <v>#REF!</v>
      </c>
      <c r="D220" s="158" t="e">
        <f>Technologies!D660</f>
        <v>#REF!</v>
      </c>
      <c r="E220" s="197" t="e">
        <f>Commodities!C169</f>
        <v>#REF!</v>
      </c>
      <c r="F220" s="197" t="e">
        <f>Commodities!C222</f>
        <v>#REF!</v>
      </c>
      <c r="G220" s="204">
        <v>1</v>
      </c>
      <c r="H220" s="203" t="e">
        <f>#REF!*#REF!^5/(Conv!$I$5*Conv!$D$46)/10^6 +#REF!</f>
        <v>#REF!</v>
      </c>
      <c r="I220" s="203" t="e">
        <f>#REF!*#REF!^5/(Conv!$I$5*Conv!$D$46)/10^6 +#REF!</f>
        <v>#REF!</v>
      </c>
      <c r="J220" s="203" t="e">
        <f>#REF!*#REF!^5/(Conv!$I$5*Conv!$D$46)/10^6 +#REF!</f>
        <v>#REF!</v>
      </c>
      <c r="K220" s="203" t="e">
        <f>#REF!*#REF!^5/(Conv!$I$5*Conv!$D$46)/10^6 +#REF!</f>
        <v>#REF!</v>
      </c>
      <c r="L220" s="203" t="e">
        <f>#REF!*#REF!^5/(Conv!$I$5*Conv!$D$46)/10^6 +#REF!</f>
        <v>#REF!</v>
      </c>
      <c r="M220" s="203" t="e">
        <f>#REF!*#REF!^5/(Conv!$I$5*Conv!$D$46)/10^6 +#REF!</f>
        <v>#REF!</v>
      </c>
      <c r="N220" s="203" t="e">
        <f>#REF!*#REF!^5/(Conv!$I$5*Conv!$D$46)/10^6 +#REF!</f>
        <v>#REF!</v>
      </c>
      <c r="O220" s="203" t="e">
        <f>#REF!*#REF!^5/(Conv!$I$5*Conv!$D$46)/10^6 +#REF!</f>
        <v>#REF!</v>
      </c>
      <c r="P220" s="203" t="e">
        <f>#REF!*#REF!^5/(Conv!$I$5*Conv!$D$46)/10^6 +#REF!</f>
        <v>#REF!</v>
      </c>
      <c r="Q220" s="203" t="e">
        <f>#REF!*#REF!^5/(Conv!$I$5*Conv!$D$46)/10^6 +#REF!</f>
        <v>#REF!</v>
      </c>
      <c r="S220" s="177"/>
      <c r="T220" s="177"/>
      <c r="U220" s="177"/>
      <c r="V220" s="177"/>
      <c r="W220" s="177"/>
      <c r="X220" s="177"/>
      <c r="Y220" s="177"/>
      <c r="Z220" s="177"/>
      <c r="AA220" s="177"/>
      <c r="AB220" s="177"/>
      <c r="AC220" s="177"/>
    </row>
    <row r="221" spans="2:29">
      <c r="B221" s="158" t="str">
        <f>Technologies!B661</f>
        <v>*</v>
      </c>
      <c r="C221" s="158" t="e">
        <f>Technologies!C661</f>
        <v>#REF!</v>
      </c>
      <c r="D221" s="158" t="e">
        <f>Technologies!D661</f>
        <v>#REF!</v>
      </c>
      <c r="E221" s="197" t="e">
        <f>Commodities!C170</f>
        <v>#REF!</v>
      </c>
      <c r="F221" s="197" t="e">
        <f>Commodities!C223</f>
        <v>#REF!</v>
      </c>
      <c r="G221" s="204">
        <v>1</v>
      </c>
      <c r="H221" s="203" t="e">
        <f>#REF!*#REF!^5/(Conv!$I$5*Conv!$D$46)/10^6 +#REF!</f>
        <v>#REF!</v>
      </c>
      <c r="I221" s="203" t="e">
        <f>#REF!*#REF!^5/(Conv!$I$5*Conv!$D$46)/10^6 +#REF!</f>
        <v>#REF!</v>
      </c>
      <c r="J221" s="203" t="e">
        <f>#REF!*#REF!^5/(Conv!$I$5*Conv!$D$46)/10^6 +#REF!</f>
        <v>#REF!</v>
      </c>
      <c r="K221" s="203" t="e">
        <f>#REF!*#REF!^5/(Conv!$I$5*Conv!$D$46)/10^6 +#REF!</f>
        <v>#REF!</v>
      </c>
      <c r="L221" s="203" t="e">
        <f>#REF!*#REF!^5/(Conv!$I$5*Conv!$D$46)/10^6 +#REF!</f>
        <v>#REF!</v>
      </c>
      <c r="M221" s="203" t="e">
        <f>#REF!*#REF!^5/(Conv!$I$5*Conv!$D$46)/10^6 +#REF!</f>
        <v>#REF!</v>
      </c>
      <c r="N221" s="203" t="e">
        <f>#REF!*#REF!^5/(Conv!$I$5*Conv!$D$46)/10^6 +#REF!</f>
        <v>#REF!</v>
      </c>
      <c r="O221" s="203" t="e">
        <f>#REF!*#REF!^5/(Conv!$I$5*Conv!$D$46)/10^6 +#REF!</f>
        <v>#REF!</v>
      </c>
      <c r="P221" s="203" t="e">
        <f>#REF!*#REF!^5/(Conv!$I$5*Conv!$D$46)/10^6 +#REF!</f>
        <v>#REF!</v>
      </c>
      <c r="Q221" s="203" t="e">
        <f>#REF!*#REF!^5/(Conv!$I$5*Conv!$D$46)/10^6 +#REF!</f>
        <v>#REF!</v>
      </c>
      <c r="S221" s="177"/>
      <c r="T221" s="177"/>
      <c r="U221" s="177"/>
      <c r="V221" s="177"/>
      <c r="W221" s="177"/>
      <c r="X221" s="177"/>
      <c r="Y221" s="177"/>
      <c r="Z221" s="177"/>
      <c r="AA221" s="177"/>
      <c r="AB221" s="177"/>
      <c r="AC221" s="177"/>
    </row>
    <row r="222" spans="2:29">
      <c r="B222" s="158" t="str">
        <f>Technologies!B662</f>
        <v>*</v>
      </c>
      <c r="C222" s="158" t="e">
        <f>Technologies!C662</f>
        <v>#REF!</v>
      </c>
      <c r="D222" s="158" t="e">
        <f>Technologies!D662</f>
        <v>#REF!</v>
      </c>
      <c r="E222" s="197" t="e">
        <f>Commodities!C171</f>
        <v>#REF!</v>
      </c>
      <c r="F222" s="197" t="e">
        <f>Commodities!C224</f>
        <v>#REF!</v>
      </c>
      <c r="G222" s="204">
        <v>1</v>
      </c>
      <c r="H222" s="203" t="e">
        <f>#REF!*#REF!^5/(Conv!$I$5*Conv!$D$46)/10^6 +#REF!</f>
        <v>#REF!</v>
      </c>
      <c r="I222" s="203" t="e">
        <f>#REF!*#REF!^5/(Conv!$I$5*Conv!$D$46)/10^6 +#REF!</f>
        <v>#REF!</v>
      </c>
      <c r="J222" s="203" t="e">
        <f>#REF!*#REF!^5/(Conv!$I$5*Conv!$D$46)/10^6 +#REF!</f>
        <v>#REF!</v>
      </c>
      <c r="K222" s="203" t="e">
        <f>#REF!*#REF!^5/(Conv!$I$5*Conv!$D$46)/10^6 +#REF!</f>
        <v>#REF!</v>
      </c>
      <c r="L222" s="203" t="e">
        <f>#REF!*#REF!^5/(Conv!$I$5*Conv!$D$46)/10^6 +#REF!</f>
        <v>#REF!</v>
      </c>
      <c r="M222" s="203" t="e">
        <f>#REF!*#REF!^5/(Conv!$I$5*Conv!$D$46)/10^6 +#REF!</f>
        <v>#REF!</v>
      </c>
      <c r="N222" s="203" t="e">
        <f>#REF!*#REF!^5/(Conv!$I$5*Conv!$D$46)/10^6 +#REF!</f>
        <v>#REF!</v>
      </c>
      <c r="O222" s="203" t="e">
        <f>#REF!*#REF!^5/(Conv!$I$5*Conv!$D$46)/10^6 +#REF!</f>
        <v>#REF!</v>
      </c>
      <c r="P222" s="203" t="e">
        <f>#REF!*#REF!^5/(Conv!$I$5*Conv!$D$46)/10^6 +#REF!</f>
        <v>#REF!</v>
      </c>
      <c r="Q222" s="203" t="e">
        <f>#REF!*#REF!^5/(Conv!$I$5*Conv!$D$46)/10^6 +#REF!</f>
        <v>#REF!</v>
      </c>
      <c r="S222" s="177"/>
      <c r="T222" s="177"/>
      <c r="U222" s="177"/>
      <c r="V222" s="177"/>
      <c r="W222" s="177"/>
      <c r="X222" s="177"/>
      <c r="Y222" s="177"/>
      <c r="Z222" s="177"/>
      <c r="AA222" s="177"/>
      <c r="AB222" s="177"/>
      <c r="AC222" s="177"/>
    </row>
    <row r="223" spans="2:29">
      <c r="B223" s="158" t="str">
        <f>Technologies!B663</f>
        <v>*</v>
      </c>
      <c r="C223" s="158" t="e">
        <f>Technologies!C663</f>
        <v>#REF!</v>
      </c>
      <c r="D223" s="158" t="e">
        <f>Technologies!D663</f>
        <v>#REF!</v>
      </c>
      <c r="E223" s="197" t="e">
        <f>E222</f>
        <v>#REF!</v>
      </c>
      <c r="F223" s="197" t="e">
        <f>Commodities!C225</f>
        <v>#REF!</v>
      </c>
      <c r="G223" s="204">
        <v>1</v>
      </c>
      <c r="H223" s="203" t="e">
        <f>#REF!*#REF!^5/(Conv!$I$5*Conv!$D$46)/10^6 +#REF!</f>
        <v>#REF!</v>
      </c>
      <c r="I223" s="203" t="e">
        <f>#REF!*#REF!^5/(Conv!$I$5*Conv!$D$46)/10^6 +#REF!</f>
        <v>#REF!</v>
      </c>
      <c r="J223" s="203" t="e">
        <f>#REF!*#REF!^5/(Conv!$I$5*Conv!$D$46)/10^6 +#REF!</f>
        <v>#REF!</v>
      </c>
      <c r="K223" s="203" t="e">
        <f>#REF!*#REF!^5/(Conv!$I$5*Conv!$D$46)/10^6 +#REF!</f>
        <v>#REF!</v>
      </c>
      <c r="L223" s="203" t="e">
        <f>#REF!*#REF!^5/(Conv!$I$5*Conv!$D$46)/10^6 +#REF!</f>
        <v>#REF!</v>
      </c>
      <c r="M223" s="203" t="e">
        <f>#REF!*#REF!^5/(Conv!$I$5*Conv!$D$46)/10^6 +#REF!</f>
        <v>#REF!</v>
      </c>
      <c r="N223" s="203" t="e">
        <f>#REF!*#REF!^5/(Conv!$I$5*Conv!$D$46)/10^6 +#REF!</f>
        <v>#REF!</v>
      </c>
      <c r="O223" s="203" t="e">
        <f>#REF!*#REF!^5/(Conv!$I$5*Conv!$D$46)/10^6 +#REF!</f>
        <v>#REF!</v>
      </c>
      <c r="P223" s="203" t="e">
        <f>#REF!*#REF!^5/(Conv!$I$5*Conv!$D$46)/10^6 +#REF!</f>
        <v>#REF!</v>
      </c>
      <c r="Q223" s="203" t="e">
        <f>#REF!*#REF!^5/(Conv!$I$5*Conv!$D$46)/10^6 +#REF!</f>
        <v>#REF!</v>
      </c>
      <c r="S223" s="177"/>
      <c r="T223" s="177"/>
      <c r="U223" s="177"/>
      <c r="V223" s="177"/>
      <c r="W223" s="177"/>
      <c r="X223" s="177"/>
      <c r="Y223" s="177"/>
      <c r="Z223" s="177"/>
      <c r="AA223" s="177"/>
      <c r="AB223" s="177"/>
      <c r="AC223" s="177"/>
    </row>
    <row r="224" spans="2:29">
      <c r="B224" s="158" t="str">
        <f>Technologies!B664</f>
        <v>*</v>
      </c>
      <c r="C224" s="158" t="e">
        <f>Technologies!C664</f>
        <v>#REF!</v>
      </c>
      <c r="D224" s="158" t="e">
        <f>Technologies!D664</f>
        <v>#REF!</v>
      </c>
      <c r="E224" s="197" t="e">
        <f>E223</f>
        <v>#REF!</v>
      </c>
      <c r="F224" s="197" t="e">
        <f>Commodities!C226</f>
        <v>#REF!</v>
      </c>
      <c r="G224" s="204">
        <v>1</v>
      </c>
      <c r="H224" s="203" t="e">
        <f>#REF!*#REF!^5/(Conv!$I$5*Conv!$D$46)/10^6 +#REF!</f>
        <v>#REF!</v>
      </c>
      <c r="I224" s="203" t="e">
        <f>#REF!*#REF!^5/(Conv!$I$5*Conv!$D$46)/10^6 +#REF!</f>
        <v>#REF!</v>
      </c>
      <c r="J224" s="203" t="e">
        <f>#REF!*#REF!^5/(Conv!$I$5*Conv!$D$46)/10^6 +#REF!</f>
        <v>#REF!</v>
      </c>
      <c r="K224" s="203" t="e">
        <f>#REF!*#REF!^5/(Conv!$I$5*Conv!$D$46)/10^6 +#REF!</f>
        <v>#REF!</v>
      </c>
      <c r="L224" s="203" t="e">
        <f>#REF!*#REF!^5/(Conv!$I$5*Conv!$D$46)/10^6 +#REF!</f>
        <v>#REF!</v>
      </c>
      <c r="M224" s="203" t="e">
        <f>#REF!*#REF!^5/(Conv!$I$5*Conv!$D$46)/10^6 +#REF!</f>
        <v>#REF!</v>
      </c>
      <c r="N224" s="203" t="e">
        <f>#REF!*#REF!^5/(Conv!$I$5*Conv!$D$46)/10^6 +#REF!</f>
        <v>#REF!</v>
      </c>
      <c r="O224" s="203" t="e">
        <f>#REF!*#REF!^5/(Conv!$I$5*Conv!$D$46)/10^6 +#REF!</f>
        <v>#REF!</v>
      </c>
      <c r="P224" s="203" t="e">
        <f>#REF!*#REF!^5/(Conv!$I$5*Conv!$D$46)/10^6 +#REF!</f>
        <v>#REF!</v>
      </c>
      <c r="Q224" s="203" t="e">
        <f>#REF!*#REF!^5/(Conv!$I$5*Conv!$D$46)/10^6 +#REF!</f>
        <v>#REF!</v>
      </c>
      <c r="S224" s="177"/>
      <c r="T224" s="177"/>
      <c r="U224" s="177"/>
      <c r="V224" s="177"/>
      <c r="W224" s="177"/>
      <c r="X224" s="177"/>
      <c r="Y224" s="177"/>
      <c r="Z224" s="177"/>
      <c r="AA224" s="177"/>
      <c r="AB224" s="177"/>
      <c r="AC224" s="177"/>
    </row>
    <row r="225" spans="2:29">
      <c r="B225" s="158" t="str">
        <f>Technologies!B665</f>
        <v>*</v>
      </c>
      <c r="C225" s="158" t="e">
        <f>Technologies!C665</f>
        <v>#REF!</v>
      </c>
      <c r="D225" s="158" t="e">
        <f>Technologies!D665</f>
        <v>#REF!</v>
      </c>
      <c r="E225" s="197" t="e">
        <f>E224</f>
        <v>#REF!</v>
      </c>
      <c r="F225" s="197" t="e">
        <f>Commodities!C227</f>
        <v>#REF!</v>
      </c>
      <c r="G225" s="204">
        <v>1</v>
      </c>
      <c r="H225" s="203" t="e">
        <f>#REF!*#REF!^5/(Conv!$I$5*Conv!$D$46)/10^6 +#REF!</f>
        <v>#REF!</v>
      </c>
      <c r="I225" s="203" t="e">
        <f>#REF!*#REF!^5/(Conv!$I$5*Conv!$D$46)/10^6 +#REF!</f>
        <v>#REF!</v>
      </c>
      <c r="J225" s="203" t="e">
        <f>#REF!*#REF!^5/(Conv!$I$5*Conv!$D$46)/10^6 +#REF!</f>
        <v>#REF!</v>
      </c>
      <c r="K225" s="203" t="e">
        <f>#REF!*#REF!^5/(Conv!$I$5*Conv!$D$46)/10^6 +#REF!</f>
        <v>#REF!</v>
      </c>
      <c r="L225" s="203" t="e">
        <f>#REF!*#REF!^5/(Conv!$I$5*Conv!$D$46)/10^6 +#REF!</f>
        <v>#REF!</v>
      </c>
      <c r="M225" s="203" t="e">
        <f>#REF!*#REF!^5/(Conv!$I$5*Conv!$D$46)/10^6 +#REF!</f>
        <v>#REF!</v>
      </c>
      <c r="N225" s="203" t="e">
        <f>#REF!*#REF!^5/(Conv!$I$5*Conv!$D$46)/10^6 +#REF!</f>
        <v>#REF!</v>
      </c>
      <c r="O225" s="203" t="e">
        <f>#REF!*#REF!^5/(Conv!$I$5*Conv!$D$46)/10^6 +#REF!</f>
        <v>#REF!</v>
      </c>
      <c r="P225" s="203" t="e">
        <f>#REF!*#REF!^5/(Conv!$I$5*Conv!$D$46)/10^6 +#REF!</f>
        <v>#REF!</v>
      </c>
      <c r="Q225" s="203" t="e">
        <f>#REF!*#REF!^5/(Conv!$I$5*Conv!$D$46)/10^6 +#REF!</f>
        <v>#REF!</v>
      </c>
      <c r="S225" s="177"/>
      <c r="T225" s="177"/>
      <c r="U225" s="177"/>
      <c r="V225" s="177"/>
      <c r="W225" s="177"/>
      <c r="X225" s="177"/>
      <c r="Y225" s="177"/>
      <c r="Z225" s="177"/>
      <c r="AA225" s="177"/>
      <c r="AB225" s="177"/>
      <c r="AC225" s="177"/>
    </row>
    <row r="226" spans="2:29">
      <c r="B226" s="158" t="str">
        <f>Technologies!B666</f>
        <v>*</v>
      </c>
      <c r="C226" s="158" t="e">
        <f>Technologies!C666</f>
        <v>#REF!</v>
      </c>
      <c r="D226" s="158" t="e">
        <f>Technologies!D666</f>
        <v>#REF!</v>
      </c>
      <c r="E226" s="197" t="e">
        <f>Commodities!C172</f>
        <v>#REF!</v>
      </c>
      <c r="F226" s="197" t="e">
        <f>Commodities!C228</f>
        <v>#REF!</v>
      </c>
      <c r="G226" s="204">
        <v>1</v>
      </c>
      <c r="H226" s="203" t="e">
        <f>#REF!*#REF!^5/(Conv!$I$5*Conv!$D$46)/10^6 +#REF!</f>
        <v>#REF!</v>
      </c>
      <c r="I226" s="203" t="e">
        <f>#REF!*#REF!^5/(Conv!$I$5*Conv!$D$46)/10^6 +#REF!</f>
        <v>#REF!</v>
      </c>
      <c r="J226" s="203" t="e">
        <f>#REF!*#REF!^5/(Conv!$I$5*Conv!$D$46)/10^6 +#REF!</f>
        <v>#REF!</v>
      </c>
      <c r="K226" s="203" t="e">
        <f>#REF!*#REF!^5/(Conv!$I$5*Conv!$D$46)/10^6 +#REF!</f>
        <v>#REF!</v>
      </c>
      <c r="L226" s="203" t="e">
        <f>#REF!*#REF!^5/(Conv!$I$5*Conv!$D$46)/10^6 +#REF!</f>
        <v>#REF!</v>
      </c>
      <c r="M226" s="203" t="e">
        <f>#REF!*#REF!^5/(Conv!$I$5*Conv!$D$46)/10^6 +#REF!</f>
        <v>#REF!</v>
      </c>
      <c r="N226" s="203" t="e">
        <f>#REF!*#REF!^5/(Conv!$I$5*Conv!$D$46)/10^6 +#REF!</f>
        <v>#REF!</v>
      </c>
      <c r="O226" s="203" t="e">
        <f>#REF!*#REF!^5/(Conv!$I$5*Conv!$D$46)/10^6 +#REF!</f>
        <v>#REF!</v>
      </c>
      <c r="P226" s="203" t="e">
        <f>#REF!*#REF!^5/(Conv!$I$5*Conv!$D$46)/10^6 +#REF!</f>
        <v>#REF!</v>
      </c>
      <c r="Q226" s="203" t="e">
        <f>#REF!*#REF!^5/(Conv!$I$5*Conv!$D$46)/10^6 +#REF!</f>
        <v>#REF!</v>
      </c>
      <c r="S226" s="177"/>
      <c r="T226" s="177"/>
      <c r="U226" s="177"/>
      <c r="V226" s="177"/>
      <c r="W226" s="177"/>
      <c r="X226" s="177"/>
      <c r="Y226" s="177"/>
      <c r="Z226" s="177"/>
      <c r="AA226" s="177"/>
      <c r="AB226" s="177"/>
      <c r="AC226" s="177"/>
    </row>
    <row r="227" spans="2:29">
      <c r="B227" s="158" t="str">
        <f>Technologies!B667</f>
        <v>*</v>
      </c>
      <c r="C227" s="158" t="e">
        <f>Technologies!C667</f>
        <v>#REF!</v>
      </c>
      <c r="D227" s="158" t="e">
        <f>Technologies!D667</f>
        <v>#REF!</v>
      </c>
      <c r="E227" s="197" t="e">
        <f>Commodities!C173</f>
        <v>#REF!</v>
      </c>
      <c r="F227" s="197" t="e">
        <f>Commodities!C229</f>
        <v>#REF!</v>
      </c>
      <c r="G227" s="204">
        <v>1</v>
      </c>
      <c r="H227" s="203" t="e">
        <f>#REF!*#REF!^5/(Conv!$I$5*Conv!$D$46)/10^6 +#REF!</f>
        <v>#REF!</v>
      </c>
      <c r="I227" s="203" t="e">
        <f>#REF!*#REF!^5/(Conv!$I$5*Conv!$D$46)/10^6 +#REF!</f>
        <v>#REF!</v>
      </c>
      <c r="J227" s="203" t="e">
        <f>#REF!*#REF!^5/(Conv!$I$5*Conv!$D$46)/10^6 +#REF!</f>
        <v>#REF!</v>
      </c>
      <c r="K227" s="203" t="e">
        <f>#REF!*#REF!^5/(Conv!$I$5*Conv!$D$46)/10^6 +#REF!</f>
        <v>#REF!</v>
      </c>
      <c r="L227" s="203" t="e">
        <f>#REF!*#REF!^5/(Conv!$I$5*Conv!$D$46)/10^6 +#REF!</f>
        <v>#REF!</v>
      </c>
      <c r="M227" s="203" t="e">
        <f>#REF!*#REF!^5/(Conv!$I$5*Conv!$D$46)/10^6 +#REF!</f>
        <v>#REF!</v>
      </c>
      <c r="N227" s="203" t="e">
        <f>#REF!*#REF!^5/(Conv!$I$5*Conv!$D$46)/10^6 +#REF!</f>
        <v>#REF!</v>
      </c>
      <c r="O227" s="203" t="e">
        <f>#REF!*#REF!^5/(Conv!$I$5*Conv!$D$46)/10^6 +#REF!</f>
        <v>#REF!</v>
      </c>
      <c r="P227" s="203" t="e">
        <f>#REF!*#REF!^5/(Conv!$I$5*Conv!$D$46)/10^6 +#REF!</f>
        <v>#REF!</v>
      </c>
      <c r="Q227" s="203" t="e">
        <f>#REF!*#REF!^5/(Conv!$I$5*Conv!$D$46)/10^6 +#REF!</f>
        <v>#REF!</v>
      </c>
      <c r="S227" s="177"/>
      <c r="T227" s="177"/>
      <c r="U227" s="177"/>
      <c r="V227" s="177"/>
      <c r="W227" s="177"/>
      <c r="X227" s="177"/>
      <c r="Y227" s="177"/>
      <c r="Z227" s="177"/>
      <c r="AA227" s="177"/>
      <c r="AB227" s="177"/>
      <c r="AC227" s="177"/>
    </row>
    <row r="228" spans="2:29">
      <c r="B228" s="158" t="str">
        <f>Technologies!B668</f>
        <v>*</v>
      </c>
      <c r="C228" s="158" t="e">
        <f>Technologies!C668</f>
        <v>#REF!</v>
      </c>
      <c r="D228" s="158" t="e">
        <f>Technologies!D668</f>
        <v>#REF!</v>
      </c>
      <c r="E228" s="197" t="e">
        <f>Commodities!C174</f>
        <v>#REF!</v>
      </c>
      <c r="F228" s="197" t="e">
        <f>Commodities!C230</f>
        <v>#REF!</v>
      </c>
      <c r="G228" s="204">
        <v>1</v>
      </c>
      <c r="H228" s="203" t="e">
        <f>#REF!*#REF!^5/(Conv!$I$5*Conv!$D$46)/10^6 +#REF!</f>
        <v>#REF!</v>
      </c>
      <c r="I228" s="203" t="e">
        <f>#REF!*#REF!^5/(Conv!$I$5*Conv!$D$46)/10^6 +#REF!</f>
        <v>#REF!</v>
      </c>
      <c r="J228" s="203" t="e">
        <f>#REF!*#REF!^5/(Conv!$I$5*Conv!$D$46)/10^6 +#REF!</f>
        <v>#REF!</v>
      </c>
      <c r="K228" s="203" t="e">
        <f>#REF!*#REF!^5/(Conv!$I$5*Conv!$D$46)/10^6 +#REF!</f>
        <v>#REF!</v>
      </c>
      <c r="L228" s="203" t="e">
        <f>#REF!*#REF!^5/(Conv!$I$5*Conv!$D$46)/10^6 +#REF!</f>
        <v>#REF!</v>
      </c>
      <c r="M228" s="203" t="e">
        <f>#REF!*#REF!^5/(Conv!$I$5*Conv!$D$46)/10^6 +#REF!</f>
        <v>#REF!</v>
      </c>
      <c r="N228" s="203" t="e">
        <f>#REF!*#REF!^5/(Conv!$I$5*Conv!$D$46)/10^6 +#REF!</f>
        <v>#REF!</v>
      </c>
      <c r="O228" s="203" t="e">
        <f>#REF!*#REF!^5/(Conv!$I$5*Conv!$D$46)/10^6 +#REF!</f>
        <v>#REF!</v>
      </c>
      <c r="P228" s="203" t="e">
        <f>#REF!*#REF!^5/(Conv!$I$5*Conv!$D$46)/10^6 +#REF!</f>
        <v>#REF!</v>
      </c>
      <c r="Q228" s="203" t="e">
        <f>#REF!*#REF!^5/(Conv!$I$5*Conv!$D$46)/10^6 +#REF!</f>
        <v>#REF!</v>
      </c>
      <c r="S228" s="177"/>
      <c r="T228" s="177"/>
      <c r="U228" s="177"/>
      <c r="V228" s="177"/>
      <c r="W228" s="177"/>
      <c r="X228" s="177"/>
      <c r="Y228" s="177"/>
      <c r="Z228" s="177"/>
      <c r="AA228" s="177"/>
      <c r="AB228" s="177"/>
      <c r="AC228" s="177"/>
    </row>
    <row r="229" spans="2:29">
      <c r="B229" s="158" t="str">
        <f>Technologies!B669</f>
        <v>*</v>
      </c>
      <c r="C229" s="158" t="e">
        <f>Technologies!C669</f>
        <v>#REF!</v>
      </c>
      <c r="D229" s="158" t="e">
        <f>Technologies!D669</f>
        <v>#REF!</v>
      </c>
      <c r="E229" s="197" t="e">
        <f>Commodities!C175</f>
        <v>#REF!</v>
      </c>
      <c r="F229" s="197" t="e">
        <f>Commodities!C231</f>
        <v>#REF!</v>
      </c>
      <c r="G229" s="204">
        <v>1</v>
      </c>
      <c r="H229" s="203" t="e">
        <f>#REF!*#REF!^5/(Conv!$I$5*Conv!$D$46)/10^6 +#REF!</f>
        <v>#REF!</v>
      </c>
      <c r="I229" s="203" t="e">
        <f>#REF!*#REF!^5/(Conv!$I$5*Conv!$D$46)/10^6 +#REF!</f>
        <v>#REF!</v>
      </c>
      <c r="J229" s="203" t="e">
        <f>#REF!*#REF!^5/(Conv!$I$5*Conv!$D$46)/10^6 +#REF!</f>
        <v>#REF!</v>
      </c>
      <c r="K229" s="203" t="e">
        <f>#REF!*#REF!^5/(Conv!$I$5*Conv!$D$46)/10^6 +#REF!</f>
        <v>#REF!</v>
      </c>
      <c r="L229" s="203" t="e">
        <f>#REF!*#REF!^5/(Conv!$I$5*Conv!$D$46)/10^6 +#REF!</f>
        <v>#REF!</v>
      </c>
      <c r="M229" s="203" t="e">
        <f>#REF!*#REF!^5/(Conv!$I$5*Conv!$D$46)/10^6 +#REF!</f>
        <v>#REF!</v>
      </c>
      <c r="N229" s="203" t="e">
        <f>#REF!*#REF!^5/(Conv!$I$5*Conv!$D$46)/10^6 +#REF!</f>
        <v>#REF!</v>
      </c>
      <c r="O229" s="203" t="e">
        <f>#REF!*#REF!^5/(Conv!$I$5*Conv!$D$46)/10^6 +#REF!</f>
        <v>#REF!</v>
      </c>
      <c r="P229" s="203" t="e">
        <f>#REF!*#REF!^5/(Conv!$I$5*Conv!$D$46)/10^6 +#REF!</f>
        <v>#REF!</v>
      </c>
      <c r="Q229" s="203" t="e">
        <f>#REF!*#REF!^5/(Conv!$I$5*Conv!$D$46)/10^6 +#REF!</f>
        <v>#REF!</v>
      </c>
      <c r="S229" s="177"/>
      <c r="T229" s="177"/>
      <c r="U229" s="177"/>
      <c r="V229" s="177"/>
      <c r="W229" s="177"/>
      <c r="X229" s="177"/>
      <c r="Y229" s="177"/>
      <c r="Z229" s="177"/>
      <c r="AA229" s="177"/>
      <c r="AB229" s="177"/>
      <c r="AC229" s="177"/>
    </row>
    <row r="230" spans="2:29">
      <c r="B230" s="158" t="str">
        <f>Technologies!B670</f>
        <v>*</v>
      </c>
      <c r="C230" s="158" t="e">
        <f>Technologies!C670</f>
        <v>#REF!</v>
      </c>
      <c r="D230" s="158" t="e">
        <f>Technologies!D670</f>
        <v>#REF!</v>
      </c>
      <c r="E230" s="197" t="e">
        <f>E229</f>
        <v>#REF!</v>
      </c>
      <c r="F230" s="197" t="e">
        <f>Commodities!C232</f>
        <v>#REF!</v>
      </c>
      <c r="G230" s="204">
        <v>1</v>
      </c>
      <c r="H230" s="203" t="e">
        <f>#REF!*#REF!^5/(Conv!$I$5*Conv!$D$46)/10^6 +#REF!</f>
        <v>#REF!</v>
      </c>
      <c r="I230" s="203" t="e">
        <f>#REF!*#REF!^5/(Conv!$I$5*Conv!$D$46)/10^6 +#REF!</f>
        <v>#REF!</v>
      </c>
      <c r="J230" s="203" t="e">
        <f>#REF!*#REF!^5/(Conv!$I$5*Conv!$D$46)/10^6 +#REF!</f>
        <v>#REF!</v>
      </c>
      <c r="K230" s="203" t="e">
        <f>#REF!*#REF!^5/(Conv!$I$5*Conv!$D$46)/10^6 +#REF!</f>
        <v>#REF!</v>
      </c>
      <c r="L230" s="203" t="e">
        <f>#REF!*#REF!^5/(Conv!$I$5*Conv!$D$46)/10^6 +#REF!</f>
        <v>#REF!</v>
      </c>
      <c r="M230" s="203" t="e">
        <f>#REF!*#REF!^5/(Conv!$I$5*Conv!$D$46)/10^6 +#REF!</f>
        <v>#REF!</v>
      </c>
      <c r="N230" s="203" t="e">
        <f>#REF!*#REF!^5/(Conv!$I$5*Conv!$D$46)/10^6 +#REF!</f>
        <v>#REF!</v>
      </c>
      <c r="O230" s="203" t="e">
        <f>#REF!*#REF!^5/(Conv!$I$5*Conv!$D$46)/10^6 +#REF!</f>
        <v>#REF!</v>
      </c>
      <c r="P230" s="203" t="e">
        <f>#REF!*#REF!^5/(Conv!$I$5*Conv!$D$46)/10^6 +#REF!</f>
        <v>#REF!</v>
      </c>
      <c r="Q230" s="203" t="e">
        <f>#REF!*#REF!^5/(Conv!$I$5*Conv!$D$46)/10^6 +#REF!</f>
        <v>#REF!</v>
      </c>
      <c r="S230" s="177"/>
      <c r="T230" s="177"/>
      <c r="U230" s="177"/>
      <c r="V230" s="177"/>
      <c r="W230" s="177"/>
      <c r="X230" s="177"/>
      <c r="Y230" s="177"/>
      <c r="Z230" s="177"/>
      <c r="AA230" s="177"/>
      <c r="AB230" s="177"/>
      <c r="AC230" s="177"/>
    </row>
    <row r="231" spans="2:29">
      <c r="B231" s="158" t="str">
        <f>Technologies!B671</f>
        <v>*</v>
      </c>
      <c r="C231" s="158" t="e">
        <f>Technologies!C671</f>
        <v>#REF!</v>
      </c>
      <c r="D231" s="158" t="e">
        <f>Technologies!D671</f>
        <v>#REF!</v>
      </c>
      <c r="E231" s="197" t="e">
        <f>E230</f>
        <v>#REF!</v>
      </c>
      <c r="F231" s="197" t="e">
        <f>Commodities!C233</f>
        <v>#REF!</v>
      </c>
      <c r="G231" s="204">
        <v>1</v>
      </c>
      <c r="H231" s="203" t="e">
        <f>#REF!*#REF!^5/(Conv!$I$5*Conv!$D$46)/10^6 +#REF!</f>
        <v>#REF!</v>
      </c>
      <c r="I231" s="203" t="e">
        <f>#REF!*#REF!^5/(Conv!$I$5*Conv!$D$46)/10^6 +#REF!</f>
        <v>#REF!</v>
      </c>
      <c r="J231" s="203" t="e">
        <f>#REF!*#REF!^5/(Conv!$I$5*Conv!$D$46)/10^6 +#REF!</f>
        <v>#REF!</v>
      </c>
      <c r="K231" s="203" t="e">
        <f>#REF!*#REF!^5/(Conv!$I$5*Conv!$D$46)/10^6 +#REF!</f>
        <v>#REF!</v>
      </c>
      <c r="L231" s="203" t="e">
        <f>#REF!*#REF!^5/(Conv!$I$5*Conv!$D$46)/10^6 +#REF!</f>
        <v>#REF!</v>
      </c>
      <c r="M231" s="203" t="e">
        <f>#REF!*#REF!^5/(Conv!$I$5*Conv!$D$46)/10^6 +#REF!</f>
        <v>#REF!</v>
      </c>
      <c r="N231" s="203" t="e">
        <f>#REF!*#REF!^5/(Conv!$I$5*Conv!$D$46)/10^6 +#REF!</f>
        <v>#REF!</v>
      </c>
      <c r="O231" s="203" t="e">
        <f>#REF!*#REF!^5/(Conv!$I$5*Conv!$D$46)/10^6 +#REF!</f>
        <v>#REF!</v>
      </c>
      <c r="P231" s="203" t="e">
        <f>#REF!*#REF!^5/(Conv!$I$5*Conv!$D$46)/10^6 +#REF!</f>
        <v>#REF!</v>
      </c>
      <c r="Q231" s="203" t="e">
        <f>#REF!*#REF!^5/(Conv!$I$5*Conv!$D$46)/10^6 +#REF!</f>
        <v>#REF!</v>
      </c>
      <c r="S231" s="177"/>
      <c r="T231" s="177"/>
      <c r="U231" s="177"/>
      <c r="V231" s="177"/>
      <c r="W231" s="177"/>
      <c r="X231" s="177"/>
      <c r="Y231" s="177"/>
      <c r="Z231" s="177"/>
      <c r="AA231" s="177"/>
      <c r="AB231" s="177"/>
      <c r="AC231" s="177"/>
    </row>
    <row r="232" spans="2:29">
      <c r="B232" s="158" t="str">
        <f>Technologies!B672</f>
        <v>*</v>
      </c>
      <c r="C232" s="158" t="e">
        <f>Technologies!C672</f>
        <v>#REF!</v>
      </c>
      <c r="D232" s="158" t="e">
        <f>Technologies!D672</f>
        <v>#REF!</v>
      </c>
      <c r="E232" s="197" t="e">
        <f>Commodities!C176</f>
        <v>#REF!</v>
      </c>
      <c r="F232" s="197" t="e">
        <f>Commodities!C234</f>
        <v>#REF!</v>
      </c>
      <c r="G232" s="204">
        <v>1</v>
      </c>
      <c r="H232" s="203" t="e">
        <f>#REF!*#REF!^5/(Conv!$I$5*Conv!$D$46)/10^6 +#REF!</f>
        <v>#REF!</v>
      </c>
      <c r="I232" s="203" t="e">
        <f>#REF!*#REF!^5/(Conv!$I$5*Conv!$D$46)/10^6 +#REF!</f>
        <v>#REF!</v>
      </c>
      <c r="J232" s="203" t="e">
        <f>#REF!*#REF!^5/(Conv!$I$5*Conv!$D$46)/10^6 +#REF!</f>
        <v>#REF!</v>
      </c>
      <c r="K232" s="203" t="e">
        <f>#REF!*#REF!^5/(Conv!$I$5*Conv!$D$46)/10^6 +#REF!</f>
        <v>#REF!</v>
      </c>
      <c r="L232" s="203" t="e">
        <f>#REF!*#REF!^5/(Conv!$I$5*Conv!$D$46)/10^6 +#REF!</f>
        <v>#REF!</v>
      </c>
      <c r="M232" s="203" t="e">
        <f>#REF!*#REF!^5/(Conv!$I$5*Conv!$D$46)/10^6 +#REF!</f>
        <v>#REF!</v>
      </c>
      <c r="N232" s="203" t="e">
        <f>#REF!*#REF!^5/(Conv!$I$5*Conv!$D$46)/10^6 +#REF!</f>
        <v>#REF!</v>
      </c>
      <c r="O232" s="203" t="e">
        <f>#REF!*#REF!^5/(Conv!$I$5*Conv!$D$46)/10^6 +#REF!</f>
        <v>#REF!</v>
      </c>
      <c r="P232" s="203" t="e">
        <f>#REF!*#REF!^5/(Conv!$I$5*Conv!$D$46)/10^6 +#REF!</f>
        <v>#REF!</v>
      </c>
      <c r="Q232" s="203" t="e">
        <f>#REF!*#REF!^5/(Conv!$I$5*Conv!$D$46)/10^6 +#REF!</f>
        <v>#REF!</v>
      </c>
      <c r="S232" s="177"/>
      <c r="T232" s="177"/>
      <c r="U232" s="177"/>
      <c r="V232" s="177"/>
      <c r="W232" s="177"/>
      <c r="X232" s="177"/>
      <c r="Y232" s="177"/>
      <c r="Z232" s="177"/>
      <c r="AA232" s="177"/>
      <c r="AB232" s="177"/>
      <c r="AC232" s="177"/>
    </row>
    <row r="233" spans="2:29">
      <c r="B233" s="158" t="str">
        <f>Technologies!B673</f>
        <v>*</v>
      </c>
      <c r="C233" s="158" t="e">
        <f>Technologies!C673</f>
        <v>#REF!</v>
      </c>
      <c r="D233" s="158" t="e">
        <f>Technologies!D673</f>
        <v>#REF!</v>
      </c>
      <c r="E233" s="197" t="e">
        <f>E232</f>
        <v>#REF!</v>
      </c>
      <c r="F233" s="197" t="e">
        <f>Commodities!C235</f>
        <v>#REF!</v>
      </c>
      <c r="G233" s="204">
        <v>1</v>
      </c>
      <c r="H233" s="203" t="e">
        <f>#REF!*#REF!^5/(Conv!$I$5*Conv!$D$46)/10^6 +#REF!</f>
        <v>#REF!</v>
      </c>
      <c r="I233" s="203" t="e">
        <f>#REF!*#REF!^5/(Conv!$I$5*Conv!$D$46)/10^6 +#REF!</f>
        <v>#REF!</v>
      </c>
      <c r="J233" s="203" t="e">
        <f>#REF!*#REF!^5/(Conv!$I$5*Conv!$D$46)/10^6 +#REF!</f>
        <v>#REF!</v>
      </c>
      <c r="K233" s="203" t="e">
        <f>#REF!*#REF!^5/(Conv!$I$5*Conv!$D$46)/10^6 +#REF!</f>
        <v>#REF!</v>
      </c>
      <c r="L233" s="203" t="e">
        <f>#REF!*#REF!^5/(Conv!$I$5*Conv!$D$46)/10^6 +#REF!</f>
        <v>#REF!</v>
      </c>
      <c r="M233" s="203" t="e">
        <f>#REF!*#REF!^5/(Conv!$I$5*Conv!$D$46)/10^6 +#REF!</f>
        <v>#REF!</v>
      </c>
      <c r="N233" s="203" t="e">
        <f>#REF!*#REF!^5/(Conv!$I$5*Conv!$D$46)/10^6 +#REF!</f>
        <v>#REF!</v>
      </c>
      <c r="O233" s="203" t="e">
        <f>#REF!*#REF!^5/(Conv!$I$5*Conv!$D$46)/10^6 +#REF!</f>
        <v>#REF!</v>
      </c>
      <c r="P233" s="203" t="e">
        <f>#REF!*#REF!^5/(Conv!$I$5*Conv!$D$46)/10^6 +#REF!</f>
        <v>#REF!</v>
      </c>
      <c r="Q233" s="203" t="e">
        <f>#REF!*#REF!^5/(Conv!$I$5*Conv!$D$46)/10^6 +#REF!</f>
        <v>#REF!</v>
      </c>
      <c r="S233" s="177"/>
      <c r="T233" s="177"/>
      <c r="U233" s="177"/>
      <c r="V233" s="177"/>
      <c r="W233" s="177"/>
      <c r="X233" s="177"/>
      <c r="Y233" s="177"/>
      <c r="Z233" s="177"/>
      <c r="AA233" s="177"/>
      <c r="AB233" s="177"/>
      <c r="AC233" s="177"/>
    </row>
    <row r="234" spans="2:29">
      <c r="B234" s="158" t="str">
        <f>Technologies!B674</f>
        <v>*</v>
      </c>
      <c r="C234" s="158" t="e">
        <f>Technologies!C674</f>
        <v>#REF!</v>
      </c>
      <c r="D234" s="158" t="e">
        <f>Technologies!D674</f>
        <v>#REF!</v>
      </c>
      <c r="E234" s="197" t="e">
        <f>E233</f>
        <v>#REF!</v>
      </c>
      <c r="F234" s="197" t="e">
        <f>Commodities!C236</f>
        <v>#REF!</v>
      </c>
      <c r="G234" s="204">
        <v>1</v>
      </c>
      <c r="H234" s="203" t="e">
        <f>#REF!*#REF!^5/(Conv!$I$5*Conv!$D$46)/10^6 +#REF!</f>
        <v>#REF!</v>
      </c>
      <c r="I234" s="203" t="e">
        <f>#REF!*#REF!^5/(Conv!$I$5*Conv!$D$46)/10^6 +#REF!</f>
        <v>#REF!</v>
      </c>
      <c r="J234" s="203" t="e">
        <f>#REF!*#REF!^5/(Conv!$I$5*Conv!$D$46)/10^6 +#REF!</f>
        <v>#REF!</v>
      </c>
      <c r="K234" s="203" t="e">
        <f>#REF!*#REF!^5/(Conv!$I$5*Conv!$D$46)/10^6 +#REF!</f>
        <v>#REF!</v>
      </c>
      <c r="L234" s="203" t="e">
        <f>#REF!*#REF!^5/(Conv!$I$5*Conv!$D$46)/10^6 +#REF!</f>
        <v>#REF!</v>
      </c>
      <c r="M234" s="203" t="e">
        <f>#REF!*#REF!^5/(Conv!$I$5*Conv!$D$46)/10^6 +#REF!</f>
        <v>#REF!</v>
      </c>
      <c r="N234" s="203" t="e">
        <f>#REF!*#REF!^5/(Conv!$I$5*Conv!$D$46)/10^6 +#REF!</f>
        <v>#REF!</v>
      </c>
      <c r="O234" s="203" t="e">
        <f>#REF!*#REF!^5/(Conv!$I$5*Conv!$D$46)/10^6 +#REF!</f>
        <v>#REF!</v>
      </c>
      <c r="P234" s="203" t="e">
        <f>#REF!*#REF!^5/(Conv!$I$5*Conv!$D$46)/10^6 +#REF!</f>
        <v>#REF!</v>
      </c>
      <c r="Q234" s="203" t="e">
        <f>#REF!*#REF!^5/(Conv!$I$5*Conv!$D$46)/10^6 +#REF!</f>
        <v>#REF!</v>
      </c>
      <c r="S234" s="177"/>
      <c r="T234" s="177"/>
      <c r="U234" s="177"/>
      <c r="V234" s="177"/>
      <c r="W234" s="177"/>
      <c r="X234" s="177"/>
      <c r="Y234" s="177"/>
      <c r="Z234" s="177"/>
      <c r="AA234" s="177"/>
      <c r="AB234" s="177"/>
      <c r="AC234" s="177"/>
    </row>
    <row r="235" spans="2:29">
      <c r="B235" s="158" t="str">
        <f>Technologies!B675</f>
        <v>*</v>
      </c>
      <c r="C235" s="158" t="e">
        <f>Technologies!C675</f>
        <v>#REF!</v>
      </c>
      <c r="D235" s="158" t="e">
        <f>Technologies!D675</f>
        <v>#REF!</v>
      </c>
      <c r="E235" s="197" t="e">
        <f>E234</f>
        <v>#REF!</v>
      </c>
      <c r="F235" s="197" t="e">
        <f>Commodities!C237</f>
        <v>#REF!</v>
      </c>
      <c r="G235" s="204">
        <v>1</v>
      </c>
      <c r="H235" s="203" t="e">
        <f>#REF!*#REF!^5/(Conv!$I$5*Conv!$D$46)/10^6 +#REF!</f>
        <v>#REF!</v>
      </c>
      <c r="I235" s="203" t="e">
        <f>#REF!*#REF!^5/(Conv!$I$5*Conv!$D$46)/10^6 +#REF!</f>
        <v>#REF!</v>
      </c>
      <c r="J235" s="203" t="e">
        <f>#REF!*#REF!^5/(Conv!$I$5*Conv!$D$46)/10^6 +#REF!</f>
        <v>#REF!</v>
      </c>
      <c r="K235" s="203" t="e">
        <f>#REF!*#REF!^5/(Conv!$I$5*Conv!$D$46)/10^6 +#REF!</f>
        <v>#REF!</v>
      </c>
      <c r="L235" s="203" t="e">
        <f>#REF!*#REF!^5/(Conv!$I$5*Conv!$D$46)/10^6 +#REF!</f>
        <v>#REF!</v>
      </c>
      <c r="M235" s="203" t="e">
        <f>#REF!*#REF!^5/(Conv!$I$5*Conv!$D$46)/10^6 +#REF!</f>
        <v>#REF!</v>
      </c>
      <c r="N235" s="203" t="e">
        <f>#REF!*#REF!^5/(Conv!$I$5*Conv!$D$46)/10^6 +#REF!</f>
        <v>#REF!</v>
      </c>
      <c r="O235" s="203" t="e">
        <f>#REF!*#REF!^5/(Conv!$I$5*Conv!$D$46)/10^6 +#REF!</f>
        <v>#REF!</v>
      </c>
      <c r="P235" s="203" t="e">
        <f>#REF!*#REF!^5/(Conv!$I$5*Conv!$D$46)/10^6 +#REF!</f>
        <v>#REF!</v>
      </c>
      <c r="Q235" s="203" t="e">
        <f>#REF!*#REF!^5/(Conv!$I$5*Conv!$D$46)/10^6 +#REF!</f>
        <v>#REF!</v>
      </c>
      <c r="S235" s="177"/>
      <c r="T235" s="177"/>
      <c r="U235" s="177"/>
      <c r="V235" s="177"/>
      <c r="W235" s="177"/>
      <c r="X235" s="177"/>
      <c r="Y235" s="177"/>
      <c r="Z235" s="177"/>
      <c r="AA235" s="177"/>
      <c r="AB235" s="177"/>
      <c r="AC235" s="177"/>
    </row>
    <row r="236" spans="2:29">
      <c r="B236" s="158" t="str">
        <f>Technologies!B676</f>
        <v>*</v>
      </c>
      <c r="C236" s="158" t="e">
        <f>Technologies!C676</f>
        <v>#REF!</v>
      </c>
      <c r="D236" s="158" t="e">
        <f>Technologies!D676</f>
        <v>#REF!</v>
      </c>
      <c r="E236" s="197" t="e">
        <f>Commodities!C177</f>
        <v>#REF!</v>
      </c>
      <c r="F236" s="197" t="e">
        <f>Commodities!C238</f>
        <v>#REF!</v>
      </c>
      <c r="G236" s="204">
        <v>1</v>
      </c>
      <c r="H236" s="203" t="e">
        <f>#REF!*#REF!^5/(Conv!$I$5*Conv!$D$46)/10^6 +#REF!</f>
        <v>#REF!</v>
      </c>
      <c r="I236" s="203" t="e">
        <f>#REF!*#REF!^5/(Conv!$I$5*Conv!$D$46)/10^6 +#REF!</f>
        <v>#REF!</v>
      </c>
      <c r="J236" s="203" t="e">
        <f>#REF!*#REF!^5/(Conv!$I$5*Conv!$D$46)/10^6 +#REF!</f>
        <v>#REF!</v>
      </c>
      <c r="K236" s="203" t="e">
        <f>#REF!*#REF!^5/(Conv!$I$5*Conv!$D$46)/10^6 +#REF!</f>
        <v>#REF!</v>
      </c>
      <c r="L236" s="203" t="e">
        <f>#REF!*#REF!^5/(Conv!$I$5*Conv!$D$46)/10^6 +#REF!</f>
        <v>#REF!</v>
      </c>
      <c r="M236" s="203" t="e">
        <f>#REF!*#REF!^5/(Conv!$I$5*Conv!$D$46)/10^6 +#REF!</f>
        <v>#REF!</v>
      </c>
      <c r="N236" s="203" t="e">
        <f>#REF!*#REF!^5/(Conv!$I$5*Conv!$D$46)/10^6 +#REF!</f>
        <v>#REF!</v>
      </c>
      <c r="O236" s="203" t="e">
        <f>#REF!*#REF!^5/(Conv!$I$5*Conv!$D$46)/10^6 +#REF!</f>
        <v>#REF!</v>
      </c>
      <c r="P236" s="203" t="e">
        <f>#REF!*#REF!^5/(Conv!$I$5*Conv!$D$46)/10^6 +#REF!</f>
        <v>#REF!</v>
      </c>
      <c r="Q236" s="203" t="e">
        <f>#REF!*#REF!^5/(Conv!$I$5*Conv!$D$46)/10^6 +#REF!</f>
        <v>#REF!</v>
      </c>
      <c r="S236" s="177"/>
      <c r="T236" s="177"/>
      <c r="U236" s="177"/>
      <c r="V236" s="177"/>
      <c r="W236" s="177"/>
      <c r="X236" s="177"/>
      <c r="Y236" s="177"/>
      <c r="Z236" s="177"/>
      <c r="AA236" s="177"/>
      <c r="AB236" s="177"/>
      <c r="AC236" s="177"/>
    </row>
    <row r="237" spans="2:29">
      <c r="B237" s="158" t="str">
        <f>Technologies!B677</f>
        <v>*</v>
      </c>
      <c r="C237" s="158" t="e">
        <f>Technologies!C677</f>
        <v>#REF!</v>
      </c>
      <c r="D237" s="158" t="e">
        <f>Technologies!D677</f>
        <v>#REF!</v>
      </c>
      <c r="E237" s="197" t="e">
        <f>Commodities!C178</f>
        <v>#REF!</v>
      </c>
      <c r="F237" s="197" t="e">
        <f>Commodities!C239</f>
        <v>#REF!</v>
      </c>
      <c r="G237" s="204">
        <v>1</v>
      </c>
      <c r="H237" s="203" t="e">
        <f>#REF!*#REF!^5/(Conv!$I$5*Conv!$D$46)/10^6 +#REF!</f>
        <v>#REF!</v>
      </c>
      <c r="I237" s="203" t="e">
        <f>#REF!*#REF!^5/(Conv!$I$5*Conv!$D$46)/10^6 +#REF!</f>
        <v>#REF!</v>
      </c>
      <c r="J237" s="203" t="e">
        <f>#REF!*#REF!^5/(Conv!$I$5*Conv!$D$46)/10^6 +#REF!</f>
        <v>#REF!</v>
      </c>
      <c r="K237" s="203" t="e">
        <f>#REF!*#REF!^5/(Conv!$I$5*Conv!$D$46)/10^6 +#REF!</f>
        <v>#REF!</v>
      </c>
      <c r="L237" s="203" t="e">
        <f>#REF!*#REF!^5/(Conv!$I$5*Conv!$D$46)/10^6 +#REF!</f>
        <v>#REF!</v>
      </c>
      <c r="M237" s="203" t="e">
        <f>#REF!*#REF!^5/(Conv!$I$5*Conv!$D$46)/10^6 +#REF!</f>
        <v>#REF!</v>
      </c>
      <c r="N237" s="203" t="e">
        <f>#REF!*#REF!^5/(Conv!$I$5*Conv!$D$46)/10^6 +#REF!</f>
        <v>#REF!</v>
      </c>
      <c r="O237" s="203" t="e">
        <f>#REF!*#REF!^5/(Conv!$I$5*Conv!$D$46)/10^6 +#REF!</f>
        <v>#REF!</v>
      </c>
      <c r="P237" s="203" t="e">
        <f>#REF!*#REF!^5/(Conv!$I$5*Conv!$D$46)/10^6 +#REF!</f>
        <v>#REF!</v>
      </c>
      <c r="Q237" s="203" t="e">
        <f>#REF!*#REF!^5/(Conv!$I$5*Conv!$D$46)/10^6 +#REF!</f>
        <v>#REF!</v>
      </c>
      <c r="S237" s="177"/>
      <c r="T237" s="177"/>
      <c r="U237" s="177"/>
      <c r="V237" s="177"/>
      <c r="W237" s="177"/>
      <c r="X237" s="177"/>
      <c r="Y237" s="177"/>
      <c r="Z237" s="177"/>
      <c r="AA237" s="177"/>
      <c r="AB237" s="177"/>
      <c r="AC237" s="177"/>
    </row>
    <row r="238" spans="2:29">
      <c r="B238" s="158" t="str">
        <f>Technologies!B678</f>
        <v>*</v>
      </c>
      <c r="C238" s="158" t="e">
        <f>Technologies!C678</f>
        <v>#REF!</v>
      </c>
      <c r="D238" s="158" t="e">
        <f>Technologies!D678</f>
        <v>#REF!</v>
      </c>
      <c r="E238" s="197" t="e">
        <f>Commodities!C180</f>
        <v>#REF!</v>
      </c>
      <c r="F238" s="197" t="str">
        <f>Commodities!C240</f>
        <v>RESRFL</v>
      </c>
      <c r="G238" s="204">
        <v>1</v>
      </c>
      <c r="H238" s="203" t="e">
        <f>#REF!*#REF!^5/(Conv!$I$5*Conv!$D$46)/10^6 +#REF!</f>
        <v>#REF!</v>
      </c>
      <c r="I238" s="203" t="e">
        <f>#REF!*#REF!^5/(Conv!$I$5*Conv!$D$46)/10^6 +#REF!</f>
        <v>#REF!</v>
      </c>
      <c r="J238" s="203" t="e">
        <f>#REF!*#REF!^5/(Conv!$I$5*Conv!$D$46)/10^6 +#REF!</f>
        <v>#REF!</v>
      </c>
      <c r="K238" s="203" t="e">
        <f>#REF!*#REF!^5/(Conv!$I$5*Conv!$D$46)/10^6 +#REF!</f>
        <v>#REF!</v>
      </c>
      <c r="L238" s="203" t="e">
        <f>#REF!*#REF!^5/(Conv!$I$5*Conv!$D$46)/10^6 +#REF!</f>
        <v>#REF!</v>
      </c>
      <c r="M238" s="203" t="e">
        <f>#REF!*#REF!^5/(Conv!$I$5*Conv!$D$46)/10^6 +#REF!</f>
        <v>#REF!</v>
      </c>
      <c r="N238" s="203" t="e">
        <f>#REF!*#REF!^5/(Conv!$I$5*Conv!$D$46)/10^6 +#REF!</f>
        <v>#REF!</v>
      </c>
      <c r="O238" s="203" t="e">
        <f>#REF!*#REF!^5/(Conv!$I$5*Conv!$D$46)/10^6 +#REF!</f>
        <v>#REF!</v>
      </c>
      <c r="P238" s="203" t="e">
        <f>#REF!*#REF!^5/(Conv!$I$5*Conv!$D$46)/10^6 +#REF!</f>
        <v>#REF!</v>
      </c>
      <c r="Q238" s="203" t="e">
        <f>#REF!*#REF!^5/(Conv!$I$5*Conv!$D$46)/10^6 +#REF!</f>
        <v>#REF!</v>
      </c>
      <c r="S238" s="177"/>
      <c r="T238" s="177"/>
      <c r="U238" s="177"/>
      <c r="V238" s="177"/>
      <c r="W238" s="177"/>
      <c r="X238" s="177"/>
      <c r="Y238" s="177"/>
      <c r="Z238" s="177"/>
      <c r="AA238" s="177"/>
      <c r="AB238" s="177"/>
      <c r="AC238" s="177"/>
    </row>
    <row r="239" spans="2:29">
      <c r="B239" s="158" t="str">
        <f>Technologies!B679</f>
        <v>*</v>
      </c>
      <c r="C239" s="158" t="e">
        <f>Technologies!C679</f>
        <v>#REF!</v>
      </c>
      <c r="D239" s="158" t="e">
        <f>Technologies!D679</f>
        <v>#REF!</v>
      </c>
      <c r="E239" s="197" t="e">
        <f>Commodities!C180</f>
        <v>#REF!</v>
      </c>
      <c r="F239" s="197" t="e">
        <f>Commodities!C241</f>
        <v>#REF!</v>
      </c>
      <c r="G239" s="204">
        <v>1</v>
      </c>
      <c r="H239" s="203" t="e">
        <f>#REF!*#REF!^5/(Conv!$I$5*Conv!$D$46)/10^6 +#REF!</f>
        <v>#REF!</v>
      </c>
      <c r="I239" s="203" t="e">
        <f>#REF!*#REF!^5/(Conv!$I$5*Conv!$D$46)/10^6 +#REF!</f>
        <v>#REF!</v>
      </c>
      <c r="J239" s="203" t="e">
        <f>#REF!*#REF!^5/(Conv!$I$5*Conv!$D$46)/10^6 +#REF!</f>
        <v>#REF!</v>
      </c>
      <c r="K239" s="203" t="e">
        <f>#REF!*#REF!^5/(Conv!$I$5*Conv!$D$46)/10^6 +#REF!</f>
        <v>#REF!</v>
      </c>
      <c r="L239" s="203" t="e">
        <f>#REF!*#REF!^5/(Conv!$I$5*Conv!$D$46)/10^6 +#REF!</f>
        <v>#REF!</v>
      </c>
      <c r="M239" s="203" t="e">
        <f>#REF!*#REF!^5/(Conv!$I$5*Conv!$D$46)/10^6 +#REF!</f>
        <v>#REF!</v>
      </c>
      <c r="N239" s="203" t="e">
        <f>#REF!*#REF!^5/(Conv!$I$5*Conv!$D$46)/10^6 +#REF!</f>
        <v>#REF!</v>
      </c>
      <c r="O239" s="203" t="e">
        <f>#REF!*#REF!^5/(Conv!$I$5*Conv!$D$46)/10^6 +#REF!</f>
        <v>#REF!</v>
      </c>
      <c r="P239" s="203" t="e">
        <f>#REF!*#REF!^5/(Conv!$I$5*Conv!$D$46)/10^6 +#REF!</f>
        <v>#REF!</v>
      </c>
      <c r="Q239" s="203" t="e">
        <f>#REF!*#REF!^5/(Conv!$I$5*Conv!$D$46)/10^6 +#REF!</f>
        <v>#REF!</v>
      </c>
      <c r="S239" s="177"/>
      <c r="T239" s="177"/>
      <c r="U239" s="177"/>
      <c r="V239" s="177"/>
      <c r="W239" s="177"/>
      <c r="X239" s="177"/>
      <c r="Y239" s="177"/>
      <c r="Z239" s="177"/>
      <c r="AA239" s="177"/>
      <c r="AB239" s="177"/>
      <c r="AC239" s="177"/>
    </row>
    <row r="240" spans="2:29">
      <c r="B240" s="158" t="str">
        <f>Technologies!B680</f>
        <v>*</v>
      </c>
      <c r="C240" s="158" t="e">
        <f>Technologies!C680</f>
        <v>#REF!</v>
      </c>
      <c r="D240" s="158" t="e">
        <f>Technologies!D680</f>
        <v>#REF!</v>
      </c>
      <c r="E240" s="197" t="e">
        <f>E239</f>
        <v>#REF!</v>
      </c>
      <c r="F240" s="197" t="e">
        <f>Commodities!C242</f>
        <v>#REF!</v>
      </c>
      <c r="G240" s="204">
        <v>1</v>
      </c>
      <c r="H240" s="203" t="e">
        <f>#REF!*#REF!^5/(Conv!$I$5*Conv!$D$46)/10^6 +#REF!</f>
        <v>#REF!</v>
      </c>
      <c r="I240" s="203" t="e">
        <f>#REF!*#REF!^5/(Conv!$I$5*Conv!$D$46)/10^6 +#REF!</f>
        <v>#REF!</v>
      </c>
      <c r="J240" s="203" t="e">
        <f>#REF!*#REF!^5/(Conv!$I$5*Conv!$D$46)/10^6 +#REF!</f>
        <v>#REF!</v>
      </c>
      <c r="K240" s="203" t="e">
        <f>#REF!*#REF!^5/(Conv!$I$5*Conv!$D$46)/10^6 +#REF!</f>
        <v>#REF!</v>
      </c>
      <c r="L240" s="203" t="e">
        <f>#REF!*#REF!^5/(Conv!$I$5*Conv!$D$46)/10^6 +#REF!</f>
        <v>#REF!</v>
      </c>
      <c r="M240" s="203" t="e">
        <f>#REF!*#REF!^5/(Conv!$I$5*Conv!$D$46)/10^6 +#REF!</f>
        <v>#REF!</v>
      </c>
      <c r="N240" s="203" t="e">
        <f>#REF!*#REF!^5/(Conv!$I$5*Conv!$D$46)/10^6 +#REF!</f>
        <v>#REF!</v>
      </c>
      <c r="O240" s="203" t="e">
        <f>#REF!*#REF!^5/(Conv!$I$5*Conv!$D$46)/10^6 +#REF!</f>
        <v>#REF!</v>
      </c>
      <c r="P240" s="203" t="e">
        <f>#REF!*#REF!^5/(Conv!$I$5*Conv!$D$46)/10^6 +#REF!</f>
        <v>#REF!</v>
      </c>
      <c r="Q240" s="203" t="e">
        <f>#REF!*#REF!^5/(Conv!$I$5*Conv!$D$46)/10^6 +#REF!</f>
        <v>#REF!</v>
      </c>
      <c r="S240" s="177"/>
      <c r="T240" s="177"/>
      <c r="U240" s="177"/>
      <c r="V240" s="177"/>
      <c r="W240" s="177"/>
      <c r="X240" s="177"/>
      <c r="Y240" s="177"/>
      <c r="Z240" s="177"/>
      <c r="AA240" s="177"/>
      <c r="AB240" s="177"/>
      <c r="AC240" s="177"/>
    </row>
    <row r="241" spans="2:29">
      <c r="B241" s="158" t="str">
        <f>Technologies!B681</f>
        <v>*</v>
      </c>
      <c r="C241" s="158" t="e">
        <f>Technologies!C681</f>
        <v>#REF!</v>
      </c>
      <c r="D241" s="158" t="e">
        <f>Technologies!D681</f>
        <v>#REF!</v>
      </c>
      <c r="E241" s="197" t="e">
        <f>E240</f>
        <v>#REF!</v>
      </c>
      <c r="F241" s="197" t="e">
        <f>Commodities!C243</f>
        <v>#REF!</v>
      </c>
      <c r="G241" s="204">
        <v>1</v>
      </c>
      <c r="H241" s="203" t="e">
        <f>#REF!*#REF!^5/(Conv!$I$5*Conv!$D$46)/10^6 +#REF!</f>
        <v>#REF!</v>
      </c>
      <c r="I241" s="203" t="e">
        <f>#REF!*#REF!^5/(Conv!$I$5*Conv!$D$46)/10^6 +#REF!</f>
        <v>#REF!</v>
      </c>
      <c r="J241" s="203" t="e">
        <f>#REF!*#REF!^5/(Conv!$I$5*Conv!$D$46)/10^6 +#REF!</f>
        <v>#REF!</v>
      </c>
      <c r="K241" s="203" t="e">
        <f>#REF!*#REF!^5/(Conv!$I$5*Conv!$D$46)/10^6 +#REF!</f>
        <v>#REF!</v>
      </c>
      <c r="L241" s="203" t="e">
        <f>#REF!*#REF!^5/(Conv!$I$5*Conv!$D$46)/10^6 +#REF!</f>
        <v>#REF!</v>
      </c>
      <c r="M241" s="203" t="e">
        <f>#REF!*#REF!^5/(Conv!$I$5*Conv!$D$46)/10^6 +#REF!</f>
        <v>#REF!</v>
      </c>
      <c r="N241" s="203" t="e">
        <f>#REF!*#REF!^5/(Conv!$I$5*Conv!$D$46)/10^6 +#REF!</f>
        <v>#REF!</v>
      </c>
      <c r="O241" s="203" t="e">
        <f>#REF!*#REF!^5/(Conv!$I$5*Conv!$D$46)/10^6 +#REF!</f>
        <v>#REF!</v>
      </c>
      <c r="P241" s="203" t="e">
        <f>#REF!*#REF!^5/(Conv!$I$5*Conv!$D$46)/10^6 +#REF!</f>
        <v>#REF!</v>
      </c>
      <c r="Q241" s="203" t="e">
        <f>#REF!*#REF!^5/(Conv!$I$5*Conv!$D$46)/10^6 +#REF!</f>
        <v>#REF!</v>
      </c>
      <c r="S241" s="177"/>
      <c r="T241" s="177"/>
      <c r="U241" s="177"/>
      <c r="V241" s="177"/>
      <c r="W241" s="177"/>
      <c r="X241" s="177"/>
      <c r="Y241" s="177"/>
      <c r="Z241" s="177"/>
      <c r="AA241" s="177"/>
      <c r="AB241" s="177"/>
      <c r="AC241" s="177"/>
    </row>
    <row r="242" spans="2:29">
      <c r="B242" s="158" t="str">
        <f>Technologies!B682</f>
        <v>*</v>
      </c>
      <c r="C242" s="158" t="e">
        <f>Technologies!C682</f>
        <v>#REF!</v>
      </c>
      <c r="D242" s="158" t="e">
        <f>Technologies!D682</f>
        <v>#REF!</v>
      </c>
      <c r="E242" s="197" t="e">
        <f>Commodities!C179</f>
        <v>#REF!</v>
      </c>
      <c r="F242" s="197" t="e">
        <f>Commodities!C244</f>
        <v>#REF!</v>
      </c>
      <c r="G242" s="204">
        <v>1</v>
      </c>
      <c r="H242" s="203" t="e">
        <f>#REF!*#REF!^5/(Conv!$I$5*Conv!$D$46)/10^6 +#REF!</f>
        <v>#REF!</v>
      </c>
      <c r="I242" s="203" t="e">
        <f>#REF!*#REF!^5/(Conv!$I$5*Conv!$D$46)/10^6 +#REF!</f>
        <v>#REF!</v>
      </c>
      <c r="J242" s="203" t="e">
        <f>#REF!*#REF!^5/(Conv!$I$5*Conv!$D$46)/10^6 +#REF!</f>
        <v>#REF!</v>
      </c>
      <c r="K242" s="203" t="e">
        <f>#REF!*#REF!^5/(Conv!$I$5*Conv!$D$46)/10^6 +#REF!</f>
        <v>#REF!</v>
      </c>
      <c r="L242" s="203" t="e">
        <f>#REF!*#REF!^5/(Conv!$I$5*Conv!$D$46)/10^6 +#REF!</f>
        <v>#REF!</v>
      </c>
      <c r="M242" s="203" t="e">
        <f>#REF!*#REF!^5/(Conv!$I$5*Conv!$D$46)/10^6 +#REF!</f>
        <v>#REF!</v>
      </c>
      <c r="N242" s="203" t="e">
        <f>#REF!*#REF!^5/(Conv!$I$5*Conv!$D$46)/10^6 +#REF!</f>
        <v>#REF!</v>
      </c>
      <c r="O242" s="203" t="e">
        <f>#REF!*#REF!^5/(Conv!$I$5*Conv!$D$46)/10^6 +#REF!</f>
        <v>#REF!</v>
      </c>
      <c r="P242" s="203" t="e">
        <f>#REF!*#REF!^5/(Conv!$I$5*Conv!$D$46)/10^6 +#REF!</f>
        <v>#REF!</v>
      </c>
      <c r="Q242" s="203" t="e">
        <f>#REF!*#REF!^5/(Conv!$I$5*Conv!$D$46)/10^6 +#REF!</f>
        <v>#REF!</v>
      </c>
      <c r="S242" s="177"/>
      <c r="T242" s="177"/>
      <c r="U242" s="177"/>
      <c r="V242" s="177"/>
      <c r="W242" s="177"/>
      <c r="X242" s="177"/>
      <c r="Y242" s="177"/>
      <c r="Z242" s="177"/>
      <c r="AA242" s="177"/>
      <c r="AB242" s="177"/>
      <c r="AC242" s="177"/>
    </row>
    <row r="243" spans="2:29">
      <c r="B243" s="158" t="str">
        <f>Technologies!B683</f>
        <v>*</v>
      </c>
      <c r="C243" s="158" t="e">
        <f>Technologies!C683</f>
        <v>#REF!</v>
      </c>
      <c r="D243" s="158" t="e">
        <f>Technologies!D683</f>
        <v>#REF!</v>
      </c>
      <c r="E243" s="197" t="e">
        <f>E242</f>
        <v>#REF!</v>
      </c>
      <c r="F243" s="197" t="e">
        <f>Commodities!C245</f>
        <v>#REF!</v>
      </c>
      <c r="G243" s="204">
        <v>1</v>
      </c>
      <c r="H243" s="203" t="e">
        <f>#REF!*#REF!^5/(Conv!$I$5*Conv!$D$46)/10^6 +#REF!</f>
        <v>#REF!</v>
      </c>
      <c r="I243" s="203" t="e">
        <f>#REF!*#REF!^5/(Conv!$I$5*Conv!$D$46)/10^6 +#REF!</f>
        <v>#REF!</v>
      </c>
      <c r="J243" s="203" t="e">
        <f>#REF!*#REF!^5/(Conv!$I$5*Conv!$D$46)/10^6 +#REF!</f>
        <v>#REF!</v>
      </c>
      <c r="K243" s="203" t="e">
        <f>#REF!*#REF!^5/(Conv!$I$5*Conv!$D$46)/10^6 +#REF!</f>
        <v>#REF!</v>
      </c>
      <c r="L243" s="203" t="e">
        <f>#REF!*#REF!^5/(Conv!$I$5*Conv!$D$46)/10^6 +#REF!</f>
        <v>#REF!</v>
      </c>
      <c r="M243" s="203" t="e">
        <f>#REF!*#REF!^5/(Conv!$I$5*Conv!$D$46)/10^6 +#REF!</f>
        <v>#REF!</v>
      </c>
      <c r="N243" s="203" t="e">
        <f>#REF!*#REF!^5/(Conv!$I$5*Conv!$D$46)/10^6 +#REF!</f>
        <v>#REF!</v>
      </c>
      <c r="O243" s="203" t="e">
        <f>#REF!*#REF!^5/(Conv!$I$5*Conv!$D$46)/10^6 +#REF!</f>
        <v>#REF!</v>
      </c>
      <c r="P243" s="203" t="e">
        <f>#REF!*#REF!^5/(Conv!$I$5*Conv!$D$46)/10^6 +#REF!</f>
        <v>#REF!</v>
      </c>
      <c r="Q243" s="203" t="e">
        <f>#REF!*#REF!^5/(Conv!$I$5*Conv!$D$46)/10^6 +#REF!</f>
        <v>#REF!</v>
      </c>
      <c r="S243" s="177"/>
      <c r="T243" s="177"/>
      <c r="U243" s="177"/>
      <c r="V243" s="177"/>
      <c r="W243" s="177"/>
      <c r="X243" s="177"/>
      <c r="Y243" s="177"/>
      <c r="Z243" s="177"/>
      <c r="AA243" s="177"/>
      <c r="AB243" s="177"/>
      <c r="AC243" s="177"/>
    </row>
    <row r="244" spans="2:29">
      <c r="B244" s="158" t="str">
        <f>Technologies!B684</f>
        <v>*</v>
      </c>
      <c r="C244" s="158" t="e">
        <f>Technologies!C684</f>
        <v>#REF!</v>
      </c>
      <c r="D244" s="158" t="e">
        <f>Technologies!D684</f>
        <v>#REF!</v>
      </c>
      <c r="E244" s="197" t="e">
        <f>Commodities!C181</f>
        <v>#REF!</v>
      </c>
      <c r="F244" s="197" t="e">
        <f>Commodities!C246</f>
        <v>#REF!</v>
      </c>
      <c r="G244" s="204">
        <v>1</v>
      </c>
      <c r="H244" s="203" t="e">
        <f>#REF!*#REF!^5/(Conv!$I$5*Conv!$D$46)/10^6 +#REF!</f>
        <v>#REF!</v>
      </c>
      <c r="I244" s="203" t="e">
        <f>#REF!*#REF!^5/(Conv!$I$5*Conv!$D$46)/10^6 +#REF!</f>
        <v>#REF!</v>
      </c>
      <c r="J244" s="203" t="e">
        <f>#REF!*#REF!^5/(Conv!$I$5*Conv!$D$46)/10^6 +#REF!</f>
        <v>#REF!</v>
      </c>
      <c r="K244" s="203" t="e">
        <f>#REF!*#REF!^5/(Conv!$I$5*Conv!$D$46)/10^6 +#REF!</f>
        <v>#REF!</v>
      </c>
      <c r="L244" s="203" t="e">
        <f>#REF!*#REF!^5/(Conv!$I$5*Conv!$D$46)/10^6 +#REF!</f>
        <v>#REF!</v>
      </c>
      <c r="M244" s="203" t="e">
        <f>#REF!*#REF!^5/(Conv!$I$5*Conv!$D$46)/10^6 +#REF!</f>
        <v>#REF!</v>
      </c>
      <c r="N244" s="203" t="e">
        <f>#REF!*#REF!^5/(Conv!$I$5*Conv!$D$46)/10^6 +#REF!</f>
        <v>#REF!</v>
      </c>
      <c r="O244" s="203" t="e">
        <f>#REF!*#REF!^5/(Conv!$I$5*Conv!$D$46)/10^6 +#REF!</f>
        <v>#REF!</v>
      </c>
      <c r="P244" s="203" t="e">
        <f>#REF!*#REF!^5/(Conv!$I$5*Conv!$D$46)/10^6 +#REF!</f>
        <v>#REF!</v>
      </c>
      <c r="Q244" s="203" t="e">
        <f>#REF!*#REF!^5/(Conv!$I$5*Conv!$D$46)/10^6 +#REF!</f>
        <v>#REF!</v>
      </c>
      <c r="S244" s="177"/>
      <c r="T244" s="177"/>
      <c r="U244" s="177"/>
      <c r="V244" s="177"/>
      <c r="W244" s="177"/>
      <c r="X244" s="177"/>
      <c r="Y244" s="177"/>
      <c r="Z244" s="177"/>
      <c r="AA244" s="177"/>
      <c r="AB244" s="177"/>
      <c r="AC244" s="177"/>
    </row>
    <row r="245" spans="2:29">
      <c r="B245" s="158" t="s">
        <v>398</v>
      </c>
      <c r="C245" s="158"/>
      <c r="D245" s="158"/>
      <c r="E245" s="197"/>
      <c r="F245" s="197"/>
      <c r="G245" s="204"/>
      <c r="H245" s="205"/>
      <c r="I245" s="205"/>
      <c r="J245" s="205"/>
      <c r="K245" s="205"/>
      <c r="L245" s="205"/>
      <c r="M245" s="205"/>
      <c r="N245" s="205"/>
      <c r="O245" s="205"/>
      <c r="P245" s="205"/>
      <c r="Q245" s="205"/>
    </row>
    <row r="246" spans="2:29">
      <c r="B246" s="158" t="str">
        <f>Technologies!B685</f>
        <v>*</v>
      </c>
      <c r="C246" s="158" t="e">
        <f>Technologies!C685</f>
        <v>#REF!</v>
      </c>
      <c r="D246" s="158" t="e">
        <f>Technologies!D685</f>
        <v>#REF!</v>
      </c>
      <c r="E246" s="197" t="e">
        <f>Commodities!C182</f>
        <v>#REF!</v>
      </c>
      <c r="F246" s="197" t="e">
        <f>Commodities!C222</f>
        <v>#REF!</v>
      </c>
      <c r="G246" s="204">
        <v>1</v>
      </c>
      <c r="H246" s="203" t="e">
        <f>#REF!*#REF!^5/(Conv!$I$5*Conv!$D$46)/10^6 +#REF!</f>
        <v>#REF!</v>
      </c>
      <c r="I246" s="203" t="e">
        <f>#REF!*#REF!^5/(Conv!$I$5*Conv!$D$46)/10^6 +#REF!</f>
        <v>#REF!</v>
      </c>
      <c r="J246" s="203" t="e">
        <f>#REF!*#REF!^5/(Conv!$I$5*Conv!$D$46)/10^6 +#REF!</f>
        <v>#REF!</v>
      </c>
      <c r="K246" s="203" t="e">
        <f>#REF!*#REF!^5/(Conv!$I$5*Conv!$D$46)/10^6 +#REF!</f>
        <v>#REF!</v>
      </c>
      <c r="L246" s="203" t="e">
        <f>#REF!*#REF!^5/(Conv!$I$5*Conv!$D$46)/10^6 +#REF!</f>
        <v>#REF!</v>
      </c>
      <c r="M246" s="203" t="e">
        <f>#REF!*#REF!^5/(Conv!$I$5*Conv!$D$46)/10^6 +#REF!</f>
        <v>#REF!</v>
      </c>
      <c r="N246" s="203" t="e">
        <f>#REF!*#REF!^5/(Conv!$I$5*Conv!$D$46)/10^6 +#REF!</f>
        <v>#REF!</v>
      </c>
      <c r="O246" s="203" t="e">
        <f>#REF!*#REF!^5/(Conv!$I$5*Conv!$D$46)/10^6 +#REF!</f>
        <v>#REF!</v>
      </c>
      <c r="P246" s="203" t="e">
        <f>#REF!*#REF!^5/(Conv!$I$5*Conv!$D$46)/10^6 +#REF!</f>
        <v>#REF!</v>
      </c>
      <c r="Q246" s="203" t="e">
        <f>#REF!*#REF!^5/(Conv!$I$5*Conv!$D$46)/10^6 +#REF!</f>
        <v>#REF!</v>
      </c>
      <c r="S246" s="177"/>
      <c r="T246" s="177"/>
      <c r="U246" s="177"/>
      <c r="V246" s="177"/>
      <c r="W246" s="177"/>
      <c r="X246" s="177"/>
      <c r="Y246" s="177"/>
      <c r="Z246" s="177"/>
      <c r="AA246" s="177"/>
      <c r="AB246" s="177"/>
      <c r="AC246" s="177"/>
    </row>
    <row r="247" spans="2:29">
      <c r="B247" s="158" t="str">
        <f>Technologies!B686</f>
        <v>*</v>
      </c>
      <c r="C247" s="158" t="e">
        <f>Technologies!C686</f>
        <v>#REF!</v>
      </c>
      <c r="D247" s="158" t="e">
        <f>Technologies!D686</f>
        <v>#REF!</v>
      </c>
      <c r="E247" s="197" t="e">
        <f>Commodities!C183</f>
        <v>#REF!</v>
      </c>
      <c r="F247" s="197" t="e">
        <f>Commodities!C223</f>
        <v>#REF!</v>
      </c>
      <c r="G247" s="204">
        <v>1</v>
      </c>
      <c r="H247" s="203" t="e">
        <f>#REF!*#REF!^5/(Conv!$I$5*Conv!$D$46)/10^6 +#REF!</f>
        <v>#REF!</v>
      </c>
      <c r="I247" s="203" t="e">
        <f>#REF!*#REF!^5/(Conv!$I$5*Conv!$D$46)/10^6 +#REF!</f>
        <v>#REF!</v>
      </c>
      <c r="J247" s="203" t="e">
        <f>#REF!*#REF!^5/(Conv!$I$5*Conv!$D$46)/10^6 +#REF!</f>
        <v>#REF!</v>
      </c>
      <c r="K247" s="203" t="e">
        <f>#REF!*#REF!^5/(Conv!$I$5*Conv!$D$46)/10^6 +#REF!</f>
        <v>#REF!</v>
      </c>
      <c r="L247" s="203" t="e">
        <f>#REF!*#REF!^5/(Conv!$I$5*Conv!$D$46)/10^6 +#REF!</f>
        <v>#REF!</v>
      </c>
      <c r="M247" s="203" t="e">
        <f>#REF!*#REF!^5/(Conv!$I$5*Conv!$D$46)/10^6 +#REF!</f>
        <v>#REF!</v>
      </c>
      <c r="N247" s="203" t="e">
        <f>#REF!*#REF!^5/(Conv!$I$5*Conv!$D$46)/10^6 +#REF!</f>
        <v>#REF!</v>
      </c>
      <c r="O247" s="203" t="e">
        <f>#REF!*#REF!^5/(Conv!$I$5*Conv!$D$46)/10^6 +#REF!</f>
        <v>#REF!</v>
      </c>
      <c r="P247" s="203" t="e">
        <f>#REF!*#REF!^5/(Conv!$I$5*Conv!$D$46)/10^6 +#REF!</f>
        <v>#REF!</v>
      </c>
      <c r="Q247" s="203" t="e">
        <f>#REF!*#REF!^5/(Conv!$I$5*Conv!$D$46)/10^6 +#REF!</f>
        <v>#REF!</v>
      </c>
      <c r="S247" s="177"/>
      <c r="T247" s="177"/>
      <c r="U247" s="177"/>
      <c r="V247" s="177"/>
      <c r="W247" s="177"/>
      <c r="X247" s="177"/>
      <c r="Y247" s="177"/>
      <c r="Z247" s="177"/>
      <c r="AA247" s="177"/>
      <c r="AB247" s="177"/>
      <c r="AC247" s="177"/>
    </row>
    <row r="248" spans="2:29">
      <c r="B248" s="158" t="str">
        <f>Technologies!B688</f>
        <v>*</v>
      </c>
      <c r="C248" s="158" t="e">
        <f>Technologies!C688</f>
        <v>#REF!</v>
      </c>
      <c r="D248" s="158" t="e">
        <f>Technologies!D688</f>
        <v>#REF!</v>
      </c>
      <c r="E248" s="197" t="e">
        <f>Commodities!C184</f>
        <v>#REF!</v>
      </c>
      <c r="F248" s="197" t="e">
        <f>Commodities!C225</f>
        <v>#REF!</v>
      </c>
      <c r="G248" s="204">
        <v>1</v>
      </c>
      <c r="H248" s="203" t="e">
        <f>#REF!*#REF!^5/(Conv!$I$5*Conv!$D$46)/10^6 +#REF!</f>
        <v>#REF!</v>
      </c>
      <c r="I248" s="203" t="e">
        <f>#REF!*#REF!^5/(Conv!$I$5*Conv!$D$46)/10^6 +#REF!</f>
        <v>#REF!</v>
      </c>
      <c r="J248" s="203" t="e">
        <f>#REF!*#REF!^5/(Conv!$I$5*Conv!$D$46)/10^6 +#REF!</f>
        <v>#REF!</v>
      </c>
      <c r="K248" s="203" t="e">
        <f>#REF!*#REF!^5/(Conv!$I$5*Conv!$D$46)/10^6 +#REF!</f>
        <v>#REF!</v>
      </c>
      <c r="L248" s="203" t="e">
        <f>#REF!*#REF!^5/(Conv!$I$5*Conv!$D$46)/10^6 +#REF!</f>
        <v>#REF!</v>
      </c>
      <c r="M248" s="203" t="e">
        <f>#REF!*#REF!^5/(Conv!$I$5*Conv!$D$46)/10^6 +#REF!</f>
        <v>#REF!</v>
      </c>
      <c r="N248" s="203" t="e">
        <f>#REF!*#REF!^5/(Conv!$I$5*Conv!$D$46)/10^6 +#REF!</f>
        <v>#REF!</v>
      </c>
      <c r="O248" s="203" t="e">
        <f>#REF!*#REF!^5/(Conv!$I$5*Conv!$D$46)/10^6 +#REF!</f>
        <v>#REF!</v>
      </c>
      <c r="P248" s="203" t="e">
        <f>#REF!*#REF!^5/(Conv!$I$5*Conv!$D$46)/10^6 +#REF!</f>
        <v>#REF!</v>
      </c>
      <c r="Q248" s="203" t="e">
        <f>#REF!*#REF!^5/(Conv!$I$5*Conv!$D$46)/10^6 +#REF!</f>
        <v>#REF!</v>
      </c>
      <c r="S248" s="177"/>
      <c r="T248" s="177"/>
      <c r="U248" s="177"/>
      <c r="V248" s="177"/>
      <c r="W248" s="177"/>
      <c r="X248" s="177"/>
      <c r="Y248" s="177"/>
      <c r="Z248" s="177"/>
      <c r="AA248" s="177"/>
      <c r="AB248" s="177"/>
      <c r="AC248" s="177"/>
    </row>
    <row r="249" spans="2:29">
      <c r="B249" s="158" t="str">
        <f>Technologies!B689</f>
        <v>*</v>
      </c>
      <c r="C249" s="158" t="e">
        <f>Technologies!C689</f>
        <v>#REF!</v>
      </c>
      <c r="D249" s="158" t="e">
        <f>Technologies!D689</f>
        <v>#REF!</v>
      </c>
      <c r="E249" s="197" t="e">
        <f>E248</f>
        <v>#REF!</v>
      </c>
      <c r="F249" s="197" t="e">
        <f>Commodities!C226</f>
        <v>#REF!</v>
      </c>
      <c r="G249" s="204">
        <v>1</v>
      </c>
      <c r="H249" s="203" t="e">
        <f>#REF!*#REF!^5/(Conv!$I$5*Conv!$D$46)/10^6 +#REF!</f>
        <v>#REF!</v>
      </c>
      <c r="I249" s="203" t="e">
        <f>#REF!*#REF!^5/(Conv!$I$5*Conv!$D$46)/10^6 +#REF!</f>
        <v>#REF!</v>
      </c>
      <c r="J249" s="203" t="e">
        <f>#REF!*#REF!^5/(Conv!$I$5*Conv!$D$46)/10^6 +#REF!</f>
        <v>#REF!</v>
      </c>
      <c r="K249" s="203" t="e">
        <f>#REF!*#REF!^5/(Conv!$I$5*Conv!$D$46)/10^6 +#REF!</f>
        <v>#REF!</v>
      </c>
      <c r="L249" s="203" t="e">
        <f>#REF!*#REF!^5/(Conv!$I$5*Conv!$D$46)/10^6 +#REF!</f>
        <v>#REF!</v>
      </c>
      <c r="M249" s="203" t="e">
        <f>#REF!*#REF!^5/(Conv!$I$5*Conv!$D$46)/10^6 +#REF!</f>
        <v>#REF!</v>
      </c>
      <c r="N249" s="203" t="e">
        <f>#REF!*#REF!^5/(Conv!$I$5*Conv!$D$46)/10^6 +#REF!</f>
        <v>#REF!</v>
      </c>
      <c r="O249" s="203" t="e">
        <f>#REF!*#REF!^5/(Conv!$I$5*Conv!$D$46)/10^6 +#REF!</f>
        <v>#REF!</v>
      </c>
      <c r="P249" s="203" t="e">
        <f>#REF!*#REF!^5/(Conv!$I$5*Conv!$D$46)/10^6 +#REF!</f>
        <v>#REF!</v>
      </c>
      <c r="Q249" s="203" t="e">
        <f>#REF!*#REF!^5/(Conv!$I$5*Conv!$D$46)/10^6 +#REF!</f>
        <v>#REF!</v>
      </c>
      <c r="S249" s="177"/>
      <c r="T249" s="177"/>
      <c r="U249" s="177"/>
      <c r="V249" s="177"/>
      <c r="W249" s="177"/>
      <c r="X249" s="177"/>
      <c r="Y249" s="177"/>
      <c r="Z249" s="177"/>
      <c r="AA249" s="177"/>
      <c r="AB249" s="177"/>
      <c r="AC249" s="177"/>
    </row>
    <row r="250" spans="2:29">
      <c r="B250" s="158" t="str">
        <f>Technologies!B690</f>
        <v>*</v>
      </c>
      <c r="C250" s="158" t="e">
        <f>Technologies!C690</f>
        <v>#REF!</v>
      </c>
      <c r="D250" s="158" t="e">
        <f>Technologies!D690</f>
        <v>#REF!</v>
      </c>
      <c r="E250" s="197" t="e">
        <f>E249</f>
        <v>#REF!</v>
      </c>
      <c r="F250" s="197" t="e">
        <f>Commodities!C227</f>
        <v>#REF!</v>
      </c>
      <c r="G250" s="204">
        <v>1</v>
      </c>
      <c r="H250" s="203" t="e">
        <f>#REF!*#REF!^5/(Conv!$I$5*Conv!$D$46)/10^6 +#REF!</f>
        <v>#REF!</v>
      </c>
      <c r="I250" s="203" t="e">
        <f>#REF!*#REF!^5/(Conv!$I$5*Conv!$D$46)/10^6 +#REF!</f>
        <v>#REF!</v>
      </c>
      <c r="J250" s="203" t="e">
        <f>#REF!*#REF!^5/(Conv!$I$5*Conv!$D$46)/10^6 +#REF!</f>
        <v>#REF!</v>
      </c>
      <c r="K250" s="203" t="e">
        <f>#REF!*#REF!^5/(Conv!$I$5*Conv!$D$46)/10^6 +#REF!</f>
        <v>#REF!</v>
      </c>
      <c r="L250" s="203" t="e">
        <f>#REF!*#REF!^5/(Conv!$I$5*Conv!$D$46)/10^6 +#REF!</f>
        <v>#REF!</v>
      </c>
      <c r="M250" s="203" t="e">
        <f>#REF!*#REF!^5/(Conv!$I$5*Conv!$D$46)/10^6 +#REF!</f>
        <v>#REF!</v>
      </c>
      <c r="N250" s="203" t="e">
        <f>#REF!*#REF!^5/(Conv!$I$5*Conv!$D$46)/10^6 +#REF!</f>
        <v>#REF!</v>
      </c>
      <c r="O250" s="203" t="e">
        <f>#REF!*#REF!^5/(Conv!$I$5*Conv!$D$46)/10^6 +#REF!</f>
        <v>#REF!</v>
      </c>
      <c r="P250" s="203" t="e">
        <f>#REF!*#REF!^5/(Conv!$I$5*Conv!$D$46)/10^6 +#REF!</f>
        <v>#REF!</v>
      </c>
      <c r="Q250" s="203" t="e">
        <f>#REF!*#REF!^5/(Conv!$I$5*Conv!$D$46)/10^6 +#REF!</f>
        <v>#REF!</v>
      </c>
      <c r="S250" s="177"/>
      <c r="T250" s="177"/>
      <c r="U250" s="177"/>
      <c r="V250" s="177"/>
      <c r="W250" s="177"/>
      <c r="X250" s="177"/>
      <c r="Y250" s="177"/>
      <c r="Z250" s="177"/>
      <c r="AA250" s="177"/>
      <c r="AB250" s="177"/>
      <c r="AC250" s="177"/>
    </row>
    <row r="251" spans="2:29">
      <c r="B251" s="158" t="str">
        <f>Technologies!B691</f>
        <v>*</v>
      </c>
      <c r="C251" s="158" t="e">
        <f>Technologies!C691</f>
        <v>#REF!</v>
      </c>
      <c r="D251" s="158" t="e">
        <f>Technologies!D691</f>
        <v>#REF!</v>
      </c>
      <c r="E251" s="197" t="e">
        <f>Commodities!C185</f>
        <v>#REF!</v>
      </c>
      <c r="F251" s="197" t="e">
        <f>Commodities!C228</f>
        <v>#REF!</v>
      </c>
      <c r="G251" s="204">
        <v>1</v>
      </c>
      <c r="H251" s="203" t="e">
        <f>#REF!*#REF!^5/(Conv!$I$5*Conv!$D$46)/10^6 +#REF!</f>
        <v>#REF!</v>
      </c>
      <c r="I251" s="203" t="e">
        <f>#REF!*#REF!^5/(Conv!$I$5*Conv!$D$46)/10^6 +#REF!</f>
        <v>#REF!</v>
      </c>
      <c r="J251" s="203" t="e">
        <f>#REF!*#REF!^5/(Conv!$I$5*Conv!$D$46)/10^6 +#REF!</f>
        <v>#REF!</v>
      </c>
      <c r="K251" s="203" t="e">
        <f>#REF!*#REF!^5/(Conv!$I$5*Conv!$D$46)/10^6 +#REF!</f>
        <v>#REF!</v>
      </c>
      <c r="L251" s="203" t="e">
        <f>#REF!*#REF!^5/(Conv!$I$5*Conv!$D$46)/10^6 +#REF!</f>
        <v>#REF!</v>
      </c>
      <c r="M251" s="203" t="e">
        <f>#REF!*#REF!^5/(Conv!$I$5*Conv!$D$46)/10^6 +#REF!</f>
        <v>#REF!</v>
      </c>
      <c r="N251" s="203" t="e">
        <f>#REF!*#REF!^5/(Conv!$I$5*Conv!$D$46)/10^6 +#REF!</f>
        <v>#REF!</v>
      </c>
      <c r="O251" s="203" t="e">
        <f>#REF!*#REF!^5/(Conv!$I$5*Conv!$D$46)/10^6 +#REF!</f>
        <v>#REF!</v>
      </c>
      <c r="P251" s="203" t="e">
        <f>#REF!*#REF!^5/(Conv!$I$5*Conv!$D$46)/10^6 +#REF!</f>
        <v>#REF!</v>
      </c>
      <c r="Q251" s="203" t="e">
        <f>#REF!*#REF!^5/(Conv!$I$5*Conv!$D$46)/10^6 +#REF!</f>
        <v>#REF!</v>
      </c>
      <c r="S251" s="177"/>
      <c r="T251" s="177"/>
      <c r="U251" s="177"/>
      <c r="V251" s="177"/>
      <c r="W251" s="177"/>
      <c r="X251" s="177"/>
      <c r="Y251" s="177"/>
      <c r="Z251" s="177"/>
      <c r="AA251" s="177"/>
      <c r="AB251" s="177"/>
      <c r="AC251" s="177"/>
    </row>
    <row r="252" spans="2:29">
      <c r="B252" s="158" t="str">
        <f>Technologies!B692</f>
        <v>*</v>
      </c>
      <c r="C252" s="158" t="e">
        <f>Technologies!C692</f>
        <v>#REF!</v>
      </c>
      <c r="D252" s="158" t="e">
        <f>Technologies!D692</f>
        <v>#REF!</v>
      </c>
      <c r="E252" s="197" t="e">
        <f>Commodities!C186</f>
        <v>#REF!</v>
      </c>
      <c r="F252" s="197" t="e">
        <f>Commodities!C229</f>
        <v>#REF!</v>
      </c>
      <c r="G252" s="204">
        <v>1</v>
      </c>
      <c r="H252" s="203" t="e">
        <f>#REF!*#REF!^5/(Conv!$I$5*Conv!$D$46)/10^6 +#REF!</f>
        <v>#REF!</v>
      </c>
      <c r="I252" s="203" t="e">
        <f>#REF!*#REF!^5/(Conv!$I$5*Conv!$D$46)/10^6 +#REF!</f>
        <v>#REF!</v>
      </c>
      <c r="J252" s="203" t="e">
        <f>#REF!*#REF!^5/(Conv!$I$5*Conv!$D$46)/10^6 +#REF!</f>
        <v>#REF!</v>
      </c>
      <c r="K252" s="203" t="e">
        <f>#REF!*#REF!^5/(Conv!$I$5*Conv!$D$46)/10^6 +#REF!</f>
        <v>#REF!</v>
      </c>
      <c r="L252" s="203" t="e">
        <f>#REF!*#REF!^5/(Conv!$I$5*Conv!$D$46)/10^6 +#REF!</f>
        <v>#REF!</v>
      </c>
      <c r="M252" s="203" t="e">
        <f>#REF!*#REF!^5/(Conv!$I$5*Conv!$D$46)/10^6 +#REF!</f>
        <v>#REF!</v>
      </c>
      <c r="N252" s="203" t="e">
        <f>#REF!*#REF!^5/(Conv!$I$5*Conv!$D$46)/10^6 +#REF!</f>
        <v>#REF!</v>
      </c>
      <c r="O252" s="203" t="e">
        <f>#REF!*#REF!^5/(Conv!$I$5*Conv!$D$46)/10^6 +#REF!</f>
        <v>#REF!</v>
      </c>
      <c r="P252" s="203" t="e">
        <f>#REF!*#REF!^5/(Conv!$I$5*Conv!$D$46)/10^6 +#REF!</f>
        <v>#REF!</v>
      </c>
      <c r="Q252" s="203" t="e">
        <f>#REF!*#REF!^5/(Conv!$I$5*Conv!$D$46)/10^6 +#REF!</f>
        <v>#REF!</v>
      </c>
      <c r="S252" s="177"/>
      <c r="T252" s="177"/>
      <c r="U252" s="177"/>
      <c r="V252" s="177"/>
      <c r="W252" s="177"/>
      <c r="X252" s="177"/>
      <c r="Y252" s="177"/>
      <c r="Z252" s="177"/>
      <c r="AA252" s="177"/>
      <c r="AB252" s="177"/>
      <c r="AC252" s="177"/>
    </row>
    <row r="253" spans="2:29">
      <c r="B253" s="158" t="str">
        <f>Technologies!B693</f>
        <v>*</v>
      </c>
      <c r="C253" s="158" t="e">
        <f>Technologies!C693</f>
        <v>#REF!</v>
      </c>
      <c r="D253" s="158" t="e">
        <f>Technologies!D693</f>
        <v>#REF!</v>
      </c>
      <c r="E253" s="197" t="e">
        <f>Commodities!C187</f>
        <v>#REF!</v>
      </c>
      <c r="F253" s="197" t="e">
        <f>Commodities!C230</f>
        <v>#REF!</v>
      </c>
      <c r="G253" s="204">
        <v>1</v>
      </c>
      <c r="H253" s="203" t="e">
        <f>#REF!*#REF!^5/(Conv!$I$5*Conv!$D$46)/10^6 +#REF!</f>
        <v>#REF!</v>
      </c>
      <c r="I253" s="203" t="e">
        <f>#REF!*#REF!^5/(Conv!$I$5*Conv!$D$46)/10^6 +#REF!</f>
        <v>#REF!</v>
      </c>
      <c r="J253" s="203" t="e">
        <f>#REF!*#REF!^5/(Conv!$I$5*Conv!$D$46)/10^6 +#REF!</f>
        <v>#REF!</v>
      </c>
      <c r="K253" s="203" t="e">
        <f>#REF!*#REF!^5/(Conv!$I$5*Conv!$D$46)/10^6 +#REF!</f>
        <v>#REF!</v>
      </c>
      <c r="L253" s="203" t="e">
        <f>#REF!*#REF!^5/(Conv!$I$5*Conv!$D$46)/10^6 +#REF!</f>
        <v>#REF!</v>
      </c>
      <c r="M253" s="203" t="e">
        <f>#REF!*#REF!^5/(Conv!$I$5*Conv!$D$46)/10^6 +#REF!</f>
        <v>#REF!</v>
      </c>
      <c r="N253" s="203" t="e">
        <f>#REF!*#REF!^5/(Conv!$I$5*Conv!$D$46)/10^6 +#REF!</f>
        <v>#REF!</v>
      </c>
      <c r="O253" s="203" t="e">
        <f>#REF!*#REF!^5/(Conv!$I$5*Conv!$D$46)/10^6 +#REF!</f>
        <v>#REF!</v>
      </c>
      <c r="P253" s="203" t="e">
        <f>#REF!*#REF!^5/(Conv!$I$5*Conv!$D$46)/10^6 +#REF!</f>
        <v>#REF!</v>
      </c>
      <c r="Q253" s="203" t="e">
        <f>#REF!*#REF!^5/(Conv!$I$5*Conv!$D$46)/10^6 +#REF!</f>
        <v>#REF!</v>
      </c>
      <c r="S253" s="177"/>
      <c r="T253" s="177"/>
      <c r="U253" s="177"/>
      <c r="V253" s="177"/>
      <c r="W253" s="177"/>
      <c r="X253" s="177"/>
      <c r="Y253" s="177"/>
      <c r="Z253" s="177"/>
      <c r="AA253" s="177"/>
      <c r="AB253" s="177"/>
      <c r="AC253" s="177"/>
    </row>
    <row r="254" spans="2:29">
      <c r="B254" s="158" t="str">
        <f>Technologies!B694</f>
        <v>*</v>
      </c>
      <c r="C254" s="158" t="e">
        <f>Technologies!C694</f>
        <v>#REF!</v>
      </c>
      <c r="D254" s="158" t="e">
        <f>Technologies!D694</f>
        <v>#REF!</v>
      </c>
      <c r="E254" s="197" t="e">
        <f>Commodities!C188</f>
        <v>#REF!</v>
      </c>
      <c r="F254" s="197" t="e">
        <f>Commodities!C231</f>
        <v>#REF!</v>
      </c>
      <c r="G254" s="204">
        <v>1</v>
      </c>
      <c r="H254" s="203" t="e">
        <f>#REF!*#REF!^5/(Conv!$I$5*Conv!$D$46)/10^6 +#REF!</f>
        <v>#REF!</v>
      </c>
      <c r="I254" s="203" t="e">
        <f>#REF!*#REF!^5/(Conv!$I$5*Conv!$D$46)/10^6 +#REF!</f>
        <v>#REF!</v>
      </c>
      <c r="J254" s="203" t="e">
        <f>#REF!*#REF!^5/(Conv!$I$5*Conv!$D$46)/10^6 +#REF!</f>
        <v>#REF!</v>
      </c>
      <c r="K254" s="203" t="e">
        <f>#REF!*#REF!^5/(Conv!$I$5*Conv!$D$46)/10^6 +#REF!</f>
        <v>#REF!</v>
      </c>
      <c r="L254" s="203" t="e">
        <f>#REF!*#REF!^5/(Conv!$I$5*Conv!$D$46)/10^6 +#REF!</f>
        <v>#REF!</v>
      </c>
      <c r="M254" s="203" t="e">
        <f>#REF!*#REF!^5/(Conv!$I$5*Conv!$D$46)/10^6 +#REF!</f>
        <v>#REF!</v>
      </c>
      <c r="N254" s="203" t="e">
        <f>#REF!*#REF!^5/(Conv!$I$5*Conv!$D$46)/10^6 +#REF!</f>
        <v>#REF!</v>
      </c>
      <c r="O254" s="203" t="e">
        <f>#REF!*#REF!^5/(Conv!$I$5*Conv!$D$46)/10^6 +#REF!</f>
        <v>#REF!</v>
      </c>
      <c r="P254" s="203" t="e">
        <f>#REF!*#REF!^5/(Conv!$I$5*Conv!$D$46)/10^6 +#REF!</f>
        <v>#REF!</v>
      </c>
      <c r="Q254" s="203" t="e">
        <f>#REF!*#REF!^5/(Conv!$I$5*Conv!$D$46)/10^6 +#REF!</f>
        <v>#REF!</v>
      </c>
      <c r="S254" s="177"/>
      <c r="T254" s="177"/>
      <c r="U254" s="177"/>
      <c r="V254" s="177"/>
      <c r="W254" s="177"/>
      <c r="X254" s="177"/>
      <c r="Y254" s="177"/>
      <c r="Z254" s="177"/>
      <c r="AA254" s="177"/>
      <c r="AB254" s="177"/>
      <c r="AC254" s="177"/>
    </row>
    <row r="255" spans="2:29">
      <c r="B255" s="158" t="str">
        <f>Technologies!B695</f>
        <v>*</v>
      </c>
      <c r="C255" s="158" t="e">
        <f>Technologies!C695</f>
        <v>#REF!</v>
      </c>
      <c r="D255" s="158" t="e">
        <f>Technologies!D695</f>
        <v>#REF!</v>
      </c>
      <c r="E255" s="197" t="e">
        <f>E254</f>
        <v>#REF!</v>
      </c>
      <c r="F255" s="197" t="e">
        <f>Commodities!C232</f>
        <v>#REF!</v>
      </c>
      <c r="G255" s="204">
        <v>1</v>
      </c>
      <c r="H255" s="203" t="e">
        <f>#REF!*#REF!^5/(Conv!$I$5*Conv!$D$46)/10^6 +#REF!</f>
        <v>#REF!</v>
      </c>
      <c r="I255" s="203" t="e">
        <f>#REF!*#REF!^5/(Conv!$I$5*Conv!$D$46)/10^6 +#REF!</f>
        <v>#REF!</v>
      </c>
      <c r="J255" s="203" t="e">
        <f>#REF!*#REF!^5/(Conv!$I$5*Conv!$D$46)/10^6 +#REF!</f>
        <v>#REF!</v>
      </c>
      <c r="K255" s="203" t="e">
        <f>#REF!*#REF!^5/(Conv!$I$5*Conv!$D$46)/10^6 +#REF!</f>
        <v>#REF!</v>
      </c>
      <c r="L255" s="203" t="e">
        <f>#REF!*#REF!^5/(Conv!$I$5*Conv!$D$46)/10^6 +#REF!</f>
        <v>#REF!</v>
      </c>
      <c r="M255" s="203" t="e">
        <f>#REF!*#REF!^5/(Conv!$I$5*Conv!$D$46)/10^6 +#REF!</f>
        <v>#REF!</v>
      </c>
      <c r="N255" s="203" t="e">
        <f>#REF!*#REF!^5/(Conv!$I$5*Conv!$D$46)/10^6 +#REF!</f>
        <v>#REF!</v>
      </c>
      <c r="O255" s="203" t="e">
        <f>#REF!*#REF!^5/(Conv!$I$5*Conv!$D$46)/10^6 +#REF!</f>
        <v>#REF!</v>
      </c>
      <c r="P255" s="203" t="e">
        <f>#REF!*#REF!^5/(Conv!$I$5*Conv!$D$46)/10^6 +#REF!</f>
        <v>#REF!</v>
      </c>
      <c r="Q255" s="203" t="e">
        <f>#REF!*#REF!^5/(Conv!$I$5*Conv!$D$46)/10^6 +#REF!</f>
        <v>#REF!</v>
      </c>
      <c r="S255" s="177"/>
      <c r="T255" s="177"/>
      <c r="U255" s="177"/>
      <c r="V255" s="177"/>
      <c r="W255" s="177"/>
      <c r="X255" s="177"/>
      <c r="Y255" s="177"/>
      <c r="Z255" s="177"/>
      <c r="AA255" s="177"/>
      <c r="AB255" s="177"/>
      <c r="AC255" s="177"/>
    </row>
    <row r="256" spans="2:29">
      <c r="B256" s="158" t="str">
        <f>Technologies!B696</f>
        <v>*</v>
      </c>
      <c r="C256" s="158" t="e">
        <f>Technologies!C696</f>
        <v>#REF!</v>
      </c>
      <c r="D256" s="158" t="e">
        <f>Technologies!D696</f>
        <v>#REF!</v>
      </c>
      <c r="E256" s="197" t="e">
        <f>E255</f>
        <v>#REF!</v>
      </c>
      <c r="F256" s="197" t="e">
        <f>Commodities!C233</f>
        <v>#REF!</v>
      </c>
      <c r="G256" s="204">
        <v>1</v>
      </c>
      <c r="H256" s="203" t="e">
        <f>#REF!*#REF!^5/(Conv!$I$5*Conv!$D$46)/10^6 +#REF!</f>
        <v>#REF!</v>
      </c>
      <c r="I256" s="203" t="e">
        <f>#REF!*#REF!^5/(Conv!$I$5*Conv!$D$46)/10^6 +#REF!</f>
        <v>#REF!</v>
      </c>
      <c r="J256" s="203" t="e">
        <f>#REF!*#REF!^5/(Conv!$I$5*Conv!$D$46)/10^6 +#REF!</f>
        <v>#REF!</v>
      </c>
      <c r="K256" s="203" t="e">
        <f>#REF!*#REF!^5/(Conv!$I$5*Conv!$D$46)/10^6 +#REF!</f>
        <v>#REF!</v>
      </c>
      <c r="L256" s="203" t="e">
        <f>#REF!*#REF!^5/(Conv!$I$5*Conv!$D$46)/10^6 +#REF!</f>
        <v>#REF!</v>
      </c>
      <c r="M256" s="203" t="e">
        <f>#REF!*#REF!^5/(Conv!$I$5*Conv!$D$46)/10^6 +#REF!</f>
        <v>#REF!</v>
      </c>
      <c r="N256" s="203" t="e">
        <f>#REF!*#REF!^5/(Conv!$I$5*Conv!$D$46)/10^6 +#REF!</f>
        <v>#REF!</v>
      </c>
      <c r="O256" s="203" t="e">
        <f>#REF!*#REF!^5/(Conv!$I$5*Conv!$D$46)/10^6 +#REF!</f>
        <v>#REF!</v>
      </c>
      <c r="P256" s="203" t="e">
        <f>#REF!*#REF!^5/(Conv!$I$5*Conv!$D$46)/10^6 +#REF!</f>
        <v>#REF!</v>
      </c>
      <c r="Q256" s="203" t="e">
        <f>#REF!*#REF!^5/(Conv!$I$5*Conv!$D$46)/10^6 +#REF!</f>
        <v>#REF!</v>
      </c>
      <c r="S256" s="177"/>
      <c r="T256" s="177"/>
      <c r="U256" s="177"/>
      <c r="V256" s="177"/>
      <c r="W256" s="177"/>
      <c r="X256" s="177"/>
      <c r="Y256" s="177"/>
      <c r="Z256" s="177"/>
      <c r="AA256" s="177"/>
      <c r="AB256" s="177"/>
      <c r="AC256" s="177"/>
    </row>
    <row r="257" spans="2:29">
      <c r="B257" s="158" t="str">
        <f>Technologies!B697</f>
        <v>*</v>
      </c>
      <c r="C257" s="158" t="e">
        <f>Technologies!C697</f>
        <v>#REF!</v>
      </c>
      <c r="D257" s="158" t="e">
        <f>Technologies!D697</f>
        <v>#REF!</v>
      </c>
      <c r="E257" s="197" t="e">
        <f>Commodities!C189</f>
        <v>#REF!</v>
      </c>
      <c r="F257" s="197" t="e">
        <f>Commodities!C234</f>
        <v>#REF!</v>
      </c>
      <c r="G257" s="204">
        <v>1</v>
      </c>
      <c r="H257" s="203" t="e">
        <f>#REF!*#REF!^5/(Conv!$I$5*Conv!$D$46)/10^6 +#REF!</f>
        <v>#REF!</v>
      </c>
      <c r="I257" s="203" t="e">
        <f>#REF!*#REF!^5/(Conv!$I$5*Conv!$D$46)/10^6 +#REF!</f>
        <v>#REF!</v>
      </c>
      <c r="J257" s="203" t="e">
        <f>#REF!*#REF!^5/(Conv!$I$5*Conv!$D$46)/10^6 +#REF!</f>
        <v>#REF!</v>
      </c>
      <c r="K257" s="203" t="e">
        <f>#REF!*#REF!^5/(Conv!$I$5*Conv!$D$46)/10^6 +#REF!</f>
        <v>#REF!</v>
      </c>
      <c r="L257" s="203" t="e">
        <f>#REF!*#REF!^5/(Conv!$I$5*Conv!$D$46)/10^6 +#REF!</f>
        <v>#REF!</v>
      </c>
      <c r="M257" s="203" t="e">
        <f>#REF!*#REF!^5/(Conv!$I$5*Conv!$D$46)/10^6 +#REF!</f>
        <v>#REF!</v>
      </c>
      <c r="N257" s="203" t="e">
        <f>#REF!*#REF!^5/(Conv!$I$5*Conv!$D$46)/10^6 +#REF!</f>
        <v>#REF!</v>
      </c>
      <c r="O257" s="203" t="e">
        <f>#REF!*#REF!^5/(Conv!$I$5*Conv!$D$46)/10^6 +#REF!</f>
        <v>#REF!</v>
      </c>
      <c r="P257" s="203" t="e">
        <f>#REF!*#REF!^5/(Conv!$I$5*Conv!$D$46)/10^6 +#REF!</f>
        <v>#REF!</v>
      </c>
      <c r="Q257" s="203" t="e">
        <f>#REF!*#REF!^5/(Conv!$I$5*Conv!$D$46)/10^6 +#REF!</f>
        <v>#REF!</v>
      </c>
      <c r="S257" s="177"/>
      <c r="T257" s="177"/>
      <c r="U257" s="177"/>
      <c r="V257" s="177"/>
      <c r="W257" s="177"/>
      <c r="X257" s="177"/>
      <c r="Y257" s="177"/>
      <c r="Z257" s="177"/>
      <c r="AA257" s="177"/>
      <c r="AB257" s="177"/>
      <c r="AC257" s="177"/>
    </row>
    <row r="258" spans="2:29">
      <c r="B258" s="158" t="str">
        <f>Technologies!B698</f>
        <v>*</v>
      </c>
      <c r="C258" s="158" t="e">
        <f>Technologies!C698</f>
        <v>#REF!</v>
      </c>
      <c r="D258" s="158" t="e">
        <f>Technologies!D698</f>
        <v>#REF!</v>
      </c>
      <c r="E258" s="197" t="e">
        <f>E257</f>
        <v>#REF!</v>
      </c>
      <c r="F258" s="197" t="e">
        <f>Commodities!C235</f>
        <v>#REF!</v>
      </c>
      <c r="G258" s="204">
        <v>1</v>
      </c>
      <c r="H258" s="203" t="e">
        <f>#REF!*#REF!^5/(Conv!$I$5*Conv!$D$46)/10^6 +#REF!</f>
        <v>#REF!</v>
      </c>
      <c r="I258" s="203" t="e">
        <f>#REF!*#REF!^5/(Conv!$I$5*Conv!$D$46)/10^6 +#REF!</f>
        <v>#REF!</v>
      </c>
      <c r="J258" s="203" t="e">
        <f>#REF!*#REF!^5/(Conv!$I$5*Conv!$D$46)/10^6 +#REF!</f>
        <v>#REF!</v>
      </c>
      <c r="K258" s="203" t="e">
        <f>#REF!*#REF!^5/(Conv!$I$5*Conv!$D$46)/10^6 +#REF!</f>
        <v>#REF!</v>
      </c>
      <c r="L258" s="203" t="e">
        <f>#REF!*#REF!^5/(Conv!$I$5*Conv!$D$46)/10^6 +#REF!</f>
        <v>#REF!</v>
      </c>
      <c r="M258" s="203" t="e">
        <f>#REF!*#REF!^5/(Conv!$I$5*Conv!$D$46)/10^6 +#REF!</f>
        <v>#REF!</v>
      </c>
      <c r="N258" s="203" t="e">
        <f>#REF!*#REF!^5/(Conv!$I$5*Conv!$D$46)/10^6 +#REF!</f>
        <v>#REF!</v>
      </c>
      <c r="O258" s="203" t="e">
        <f>#REF!*#REF!^5/(Conv!$I$5*Conv!$D$46)/10^6 +#REF!</f>
        <v>#REF!</v>
      </c>
      <c r="P258" s="203" t="e">
        <f>#REF!*#REF!^5/(Conv!$I$5*Conv!$D$46)/10^6 +#REF!</f>
        <v>#REF!</v>
      </c>
      <c r="Q258" s="203" t="e">
        <f>#REF!*#REF!^5/(Conv!$I$5*Conv!$D$46)/10^6 +#REF!</f>
        <v>#REF!</v>
      </c>
      <c r="S258" s="177"/>
      <c r="T258" s="177"/>
      <c r="U258" s="177"/>
      <c r="V258" s="177"/>
      <c r="W258" s="177"/>
      <c r="X258" s="177"/>
      <c r="Y258" s="177"/>
      <c r="Z258" s="177"/>
      <c r="AA258" s="177"/>
      <c r="AB258" s="177"/>
      <c r="AC258" s="177"/>
    </row>
    <row r="259" spans="2:29">
      <c r="B259" s="158" t="str">
        <f>Technologies!B699</f>
        <v>*</v>
      </c>
      <c r="C259" s="158" t="e">
        <f>Technologies!C699</f>
        <v>#REF!</v>
      </c>
      <c r="D259" s="158" t="e">
        <f>Technologies!D699</f>
        <v>#REF!</v>
      </c>
      <c r="E259" s="197" t="e">
        <f>E258</f>
        <v>#REF!</v>
      </c>
      <c r="F259" s="197" t="e">
        <f>Commodities!C236</f>
        <v>#REF!</v>
      </c>
      <c r="G259" s="204">
        <v>1</v>
      </c>
      <c r="H259" s="203" t="e">
        <f>#REF!*#REF!^5/(Conv!$I$5*Conv!$D$46)/10^6 +#REF!</f>
        <v>#REF!</v>
      </c>
      <c r="I259" s="203" t="e">
        <f>#REF!*#REF!^5/(Conv!$I$5*Conv!$D$46)/10^6 +#REF!</f>
        <v>#REF!</v>
      </c>
      <c r="J259" s="203" t="e">
        <f>#REF!*#REF!^5/(Conv!$I$5*Conv!$D$46)/10^6 +#REF!</f>
        <v>#REF!</v>
      </c>
      <c r="K259" s="203" t="e">
        <f>#REF!*#REF!^5/(Conv!$I$5*Conv!$D$46)/10^6 +#REF!</f>
        <v>#REF!</v>
      </c>
      <c r="L259" s="203" t="e">
        <f>#REF!*#REF!^5/(Conv!$I$5*Conv!$D$46)/10^6 +#REF!</f>
        <v>#REF!</v>
      </c>
      <c r="M259" s="203" t="e">
        <f>#REF!*#REF!^5/(Conv!$I$5*Conv!$D$46)/10^6 +#REF!</f>
        <v>#REF!</v>
      </c>
      <c r="N259" s="203" t="e">
        <f>#REF!*#REF!^5/(Conv!$I$5*Conv!$D$46)/10^6 +#REF!</f>
        <v>#REF!</v>
      </c>
      <c r="O259" s="203" t="e">
        <f>#REF!*#REF!^5/(Conv!$I$5*Conv!$D$46)/10^6 +#REF!</f>
        <v>#REF!</v>
      </c>
      <c r="P259" s="203" t="e">
        <f>#REF!*#REF!^5/(Conv!$I$5*Conv!$D$46)/10^6 +#REF!</f>
        <v>#REF!</v>
      </c>
      <c r="Q259" s="203" t="e">
        <f>#REF!*#REF!^5/(Conv!$I$5*Conv!$D$46)/10^6 +#REF!</f>
        <v>#REF!</v>
      </c>
      <c r="S259" s="177"/>
      <c r="T259" s="177"/>
      <c r="U259" s="177"/>
      <c r="V259" s="177"/>
      <c r="W259" s="177"/>
      <c r="X259" s="177"/>
      <c r="Y259" s="177"/>
      <c r="Z259" s="177"/>
      <c r="AA259" s="177"/>
      <c r="AB259" s="177"/>
      <c r="AC259" s="177"/>
    </row>
    <row r="260" spans="2:29">
      <c r="B260" s="158" t="str">
        <f>Technologies!B700</f>
        <v>*</v>
      </c>
      <c r="C260" s="158" t="e">
        <f>Technologies!C700</f>
        <v>#REF!</v>
      </c>
      <c r="D260" s="158" t="e">
        <f>Technologies!D700</f>
        <v>#REF!</v>
      </c>
      <c r="E260" s="197" t="e">
        <f>E259</f>
        <v>#REF!</v>
      </c>
      <c r="F260" s="197" t="e">
        <f>Commodities!C237</f>
        <v>#REF!</v>
      </c>
      <c r="G260" s="204">
        <v>1</v>
      </c>
      <c r="H260" s="203" t="e">
        <f>#REF!*#REF!^5/(Conv!$I$5*Conv!$D$46)/10^6 +#REF!</f>
        <v>#REF!</v>
      </c>
      <c r="I260" s="203" t="e">
        <f>#REF!*#REF!^5/(Conv!$I$5*Conv!$D$46)/10^6 +#REF!</f>
        <v>#REF!</v>
      </c>
      <c r="J260" s="203" t="e">
        <f>#REF!*#REF!^5/(Conv!$I$5*Conv!$D$46)/10^6 +#REF!</f>
        <v>#REF!</v>
      </c>
      <c r="K260" s="203" t="e">
        <f>#REF!*#REF!^5/(Conv!$I$5*Conv!$D$46)/10^6 +#REF!</f>
        <v>#REF!</v>
      </c>
      <c r="L260" s="203" t="e">
        <f>#REF!*#REF!^5/(Conv!$I$5*Conv!$D$46)/10^6 +#REF!</f>
        <v>#REF!</v>
      </c>
      <c r="M260" s="203" t="e">
        <f>#REF!*#REF!^5/(Conv!$I$5*Conv!$D$46)/10^6 +#REF!</f>
        <v>#REF!</v>
      </c>
      <c r="N260" s="203" t="e">
        <f>#REF!*#REF!^5/(Conv!$I$5*Conv!$D$46)/10^6 +#REF!</f>
        <v>#REF!</v>
      </c>
      <c r="O260" s="203" t="e">
        <f>#REF!*#REF!^5/(Conv!$I$5*Conv!$D$46)/10^6 +#REF!</f>
        <v>#REF!</v>
      </c>
      <c r="P260" s="203" t="e">
        <f>#REF!*#REF!^5/(Conv!$I$5*Conv!$D$46)/10^6 +#REF!</f>
        <v>#REF!</v>
      </c>
      <c r="Q260" s="203" t="e">
        <f>#REF!*#REF!^5/(Conv!$I$5*Conv!$D$46)/10^6 +#REF!</f>
        <v>#REF!</v>
      </c>
      <c r="S260" s="177"/>
      <c r="T260" s="177"/>
      <c r="U260" s="177"/>
      <c r="V260" s="177"/>
      <c r="W260" s="177"/>
      <c r="X260" s="177"/>
      <c r="Y260" s="177"/>
      <c r="Z260" s="177"/>
      <c r="AA260" s="177"/>
      <c r="AB260" s="177"/>
      <c r="AC260" s="177"/>
    </row>
    <row r="261" spans="2:29">
      <c r="B261" s="158" t="str">
        <f>Technologies!B701</f>
        <v>*</v>
      </c>
      <c r="C261" s="158" t="e">
        <f>Technologies!C701</f>
        <v>#REF!</v>
      </c>
      <c r="D261" s="158" t="e">
        <f>Technologies!D701</f>
        <v>#REF!</v>
      </c>
      <c r="E261" s="197" t="e">
        <f>Commodities!C190</f>
        <v>#REF!</v>
      </c>
      <c r="F261" s="197" t="e">
        <f>Commodities!C238</f>
        <v>#REF!</v>
      </c>
      <c r="G261" s="204">
        <v>1</v>
      </c>
      <c r="H261" s="203" t="e">
        <f>#REF!*#REF!^5/(Conv!$I$5*Conv!$D$46)/10^6 +#REF!</f>
        <v>#REF!</v>
      </c>
      <c r="I261" s="203" t="e">
        <f>#REF!*#REF!^5/(Conv!$I$5*Conv!$D$46)/10^6 +#REF!</f>
        <v>#REF!</v>
      </c>
      <c r="J261" s="203" t="e">
        <f>#REF!*#REF!^5/(Conv!$I$5*Conv!$D$46)/10^6 +#REF!</f>
        <v>#REF!</v>
      </c>
      <c r="K261" s="203" t="e">
        <f>#REF!*#REF!^5/(Conv!$I$5*Conv!$D$46)/10^6 +#REF!</f>
        <v>#REF!</v>
      </c>
      <c r="L261" s="203" t="e">
        <f>#REF!*#REF!^5/(Conv!$I$5*Conv!$D$46)/10^6 +#REF!</f>
        <v>#REF!</v>
      </c>
      <c r="M261" s="203" t="e">
        <f>#REF!*#REF!^5/(Conv!$I$5*Conv!$D$46)/10^6 +#REF!</f>
        <v>#REF!</v>
      </c>
      <c r="N261" s="203" t="e">
        <f>#REF!*#REF!^5/(Conv!$I$5*Conv!$D$46)/10^6 +#REF!</f>
        <v>#REF!</v>
      </c>
      <c r="O261" s="203" t="e">
        <f>#REF!*#REF!^5/(Conv!$I$5*Conv!$D$46)/10^6 +#REF!</f>
        <v>#REF!</v>
      </c>
      <c r="P261" s="203" t="e">
        <f>#REF!*#REF!^5/(Conv!$I$5*Conv!$D$46)/10^6 +#REF!</f>
        <v>#REF!</v>
      </c>
      <c r="Q261" s="203" t="e">
        <f>#REF!*#REF!^5/(Conv!$I$5*Conv!$D$46)/10^6 +#REF!</f>
        <v>#REF!</v>
      </c>
      <c r="S261" s="177"/>
      <c r="T261" s="177"/>
      <c r="U261" s="177"/>
      <c r="V261" s="177"/>
      <c r="W261" s="177"/>
      <c r="X261" s="177"/>
      <c r="Y261" s="177"/>
      <c r="Z261" s="177"/>
      <c r="AA261" s="177"/>
      <c r="AB261" s="177"/>
      <c r="AC261" s="177"/>
    </row>
    <row r="262" spans="2:29">
      <c r="B262" s="158" t="str">
        <f>Technologies!B702</f>
        <v>*</v>
      </c>
      <c r="C262" s="158" t="e">
        <f>Technologies!C702</f>
        <v>#REF!</v>
      </c>
      <c r="D262" s="158" t="e">
        <f>Technologies!D702</f>
        <v>#REF!</v>
      </c>
      <c r="E262" s="197" t="e">
        <f>Commodities!C191</f>
        <v>#REF!</v>
      </c>
      <c r="F262" s="197" t="e">
        <f>Commodities!C239</f>
        <v>#REF!</v>
      </c>
      <c r="G262" s="204">
        <v>1</v>
      </c>
      <c r="H262" s="203" t="e">
        <f>#REF!*#REF!^5/(Conv!$I$5*Conv!$D$46)/10^6 +#REF!</f>
        <v>#REF!</v>
      </c>
      <c r="I262" s="203" t="e">
        <f>#REF!*#REF!^5/(Conv!$I$5*Conv!$D$46)/10^6 +#REF!</f>
        <v>#REF!</v>
      </c>
      <c r="J262" s="203" t="e">
        <f>#REF!*#REF!^5/(Conv!$I$5*Conv!$D$46)/10^6 +#REF!</f>
        <v>#REF!</v>
      </c>
      <c r="K262" s="203" t="e">
        <f>#REF!*#REF!^5/(Conv!$I$5*Conv!$D$46)/10^6 +#REF!</f>
        <v>#REF!</v>
      </c>
      <c r="L262" s="203" t="e">
        <f>#REF!*#REF!^5/(Conv!$I$5*Conv!$D$46)/10^6 +#REF!</f>
        <v>#REF!</v>
      </c>
      <c r="M262" s="203" t="e">
        <f>#REF!*#REF!^5/(Conv!$I$5*Conv!$D$46)/10^6 +#REF!</f>
        <v>#REF!</v>
      </c>
      <c r="N262" s="203" t="e">
        <f>#REF!*#REF!^5/(Conv!$I$5*Conv!$D$46)/10^6 +#REF!</f>
        <v>#REF!</v>
      </c>
      <c r="O262" s="203" t="e">
        <f>#REF!*#REF!^5/(Conv!$I$5*Conv!$D$46)/10^6 +#REF!</f>
        <v>#REF!</v>
      </c>
      <c r="P262" s="203" t="e">
        <f>#REF!*#REF!^5/(Conv!$I$5*Conv!$D$46)/10^6 +#REF!</f>
        <v>#REF!</v>
      </c>
      <c r="Q262" s="203" t="e">
        <f>#REF!*#REF!^5/(Conv!$I$5*Conv!$D$46)/10^6 +#REF!</f>
        <v>#REF!</v>
      </c>
      <c r="S262" s="177"/>
      <c r="T262" s="177"/>
      <c r="U262" s="177"/>
      <c r="V262" s="177"/>
      <c r="W262" s="177"/>
      <c r="X262" s="177"/>
      <c r="Y262" s="177"/>
      <c r="Z262" s="177"/>
      <c r="AA262" s="177"/>
      <c r="AB262" s="177"/>
      <c r="AC262" s="177"/>
    </row>
    <row r="263" spans="2:29">
      <c r="B263" s="158" t="str">
        <f>Technologies!B703</f>
        <v>*</v>
      </c>
      <c r="C263" s="158" t="e">
        <f>Technologies!C703</f>
        <v>#REF!</v>
      </c>
      <c r="D263" s="158" t="e">
        <f>Technologies!D703</f>
        <v>#REF!</v>
      </c>
      <c r="E263" s="197" t="e">
        <f>Commodities!C193</f>
        <v>#REF!</v>
      </c>
      <c r="F263" s="197" t="str">
        <f>Commodities!C240</f>
        <v>RESRFL</v>
      </c>
      <c r="G263" s="204">
        <v>1</v>
      </c>
      <c r="H263" s="203" t="e">
        <f>#REF!*#REF!^5/(Conv!$I$5*Conv!$D$46)/10^6 +#REF!</f>
        <v>#REF!</v>
      </c>
      <c r="I263" s="203" t="e">
        <f>#REF!*#REF!^5/(Conv!$I$5*Conv!$D$46)/10^6 +#REF!</f>
        <v>#REF!</v>
      </c>
      <c r="J263" s="203" t="e">
        <f>#REF!*#REF!^5/(Conv!$I$5*Conv!$D$46)/10^6 +#REF!</f>
        <v>#REF!</v>
      </c>
      <c r="K263" s="203" t="e">
        <f>#REF!*#REF!^5/(Conv!$I$5*Conv!$D$46)/10^6 +#REF!</f>
        <v>#REF!</v>
      </c>
      <c r="L263" s="203" t="e">
        <f>#REF!*#REF!^5/(Conv!$I$5*Conv!$D$46)/10^6 +#REF!</f>
        <v>#REF!</v>
      </c>
      <c r="M263" s="203" t="e">
        <f>#REF!*#REF!^5/(Conv!$I$5*Conv!$D$46)/10^6 +#REF!</f>
        <v>#REF!</v>
      </c>
      <c r="N263" s="203" t="e">
        <f>#REF!*#REF!^5/(Conv!$I$5*Conv!$D$46)/10^6 +#REF!</f>
        <v>#REF!</v>
      </c>
      <c r="O263" s="203" t="e">
        <f>#REF!*#REF!^5/(Conv!$I$5*Conv!$D$46)/10^6 +#REF!</f>
        <v>#REF!</v>
      </c>
      <c r="P263" s="203" t="e">
        <f>#REF!*#REF!^5/(Conv!$I$5*Conv!$D$46)/10^6 +#REF!</f>
        <v>#REF!</v>
      </c>
      <c r="Q263" s="203" t="e">
        <f>#REF!*#REF!^5/(Conv!$I$5*Conv!$D$46)/10^6 +#REF!</f>
        <v>#REF!</v>
      </c>
      <c r="S263" s="177"/>
      <c r="T263" s="177"/>
      <c r="U263" s="177"/>
      <c r="V263" s="177"/>
      <c r="W263" s="177"/>
      <c r="X263" s="177"/>
      <c r="Y263" s="177"/>
      <c r="Z263" s="177"/>
      <c r="AA263" s="177"/>
      <c r="AB263" s="177"/>
      <c r="AC263" s="177"/>
    </row>
    <row r="264" spans="2:29">
      <c r="B264" s="158" t="str">
        <f>Technologies!B704</f>
        <v>*</v>
      </c>
      <c r="C264" s="158" t="e">
        <f>Technologies!C704</f>
        <v>#REF!</v>
      </c>
      <c r="D264" s="158" t="e">
        <f>Technologies!D704</f>
        <v>#REF!</v>
      </c>
      <c r="E264" s="197" t="e">
        <f>Commodities!C193</f>
        <v>#REF!</v>
      </c>
      <c r="F264" s="197" t="e">
        <f>Commodities!C241</f>
        <v>#REF!</v>
      </c>
      <c r="G264" s="204">
        <v>1</v>
      </c>
      <c r="H264" s="203" t="e">
        <f>#REF!*#REF!^5/(Conv!$I$5*Conv!$D$46)/10^6 +#REF!</f>
        <v>#REF!</v>
      </c>
      <c r="I264" s="203" t="e">
        <f>#REF!*#REF!^5/(Conv!$I$5*Conv!$D$46)/10^6 +#REF!</f>
        <v>#REF!</v>
      </c>
      <c r="J264" s="203" t="e">
        <f>#REF!*#REF!^5/(Conv!$I$5*Conv!$D$46)/10^6 +#REF!</f>
        <v>#REF!</v>
      </c>
      <c r="K264" s="203" t="e">
        <f>#REF!*#REF!^5/(Conv!$I$5*Conv!$D$46)/10^6 +#REF!</f>
        <v>#REF!</v>
      </c>
      <c r="L264" s="203" t="e">
        <f>#REF!*#REF!^5/(Conv!$I$5*Conv!$D$46)/10^6 +#REF!</f>
        <v>#REF!</v>
      </c>
      <c r="M264" s="203" t="e">
        <f>#REF!*#REF!^5/(Conv!$I$5*Conv!$D$46)/10^6 +#REF!</f>
        <v>#REF!</v>
      </c>
      <c r="N264" s="203" t="e">
        <f>#REF!*#REF!^5/(Conv!$I$5*Conv!$D$46)/10^6 +#REF!</f>
        <v>#REF!</v>
      </c>
      <c r="O264" s="203" t="e">
        <f>#REF!*#REF!^5/(Conv!$I$5*Conv!$D$46)/10^6 +#REF!</f>
        <v>#REF!</v>
      </c>
      <c r="P264" s="203" t="e">
        <f>#REF!*#REF!^5/(Conv!$I$5*Conv!$D$46)/10^6 +#REF!</f>
        <v>#REF!</v>
      </c>
      <c r="Q264" s="203" t="e">
        <f>#REF!*#REF!^5/(Conv!$I$5*Conv!$D$46)/10^6 +#REF!</f>
        <v>#REF!</v>
      </c>
      <c r="S264" s="177"/>
      <c r="T264" s="177"/>
      <c r="U264" s="177"/>
      <c r="V264" s="177"/>
      <c r="W264" s="177"/>
      <c r="X264" s="177"/>
      <c r="Y264" s="177"/>
      <c r="Z264" s="177"/>
      <c r="AA264" s="177"/>
      <c r="AB264" s="177"/>
      <c r="AC264" s="177"/>
    </row>
    <row r="265" spans="2:29">
      <c r="B265" s="158" t="str">
        <f>Technologies!B705</f>
        <v>*</v>
      </c>
      <c r="C265" s="158" t="e">
        <f>Technologies!C705</f>
        <v>#REF!</v>
      </c>
      <c r="D265" s="158" t="e">
        <f>Technologies!D705</f>
        <v>#REF!</v>
      </c>
      <c r="E265" s="197" t="e">
        <f>E264</f>
        <v>#REF!</v>
      </c>
      <c r="F265" s="197" t="e">
        <f>Commodities!C242</f>
        <v>#REF!</v>
      </c>
      <c r="G265" s="204">
        <v>1</v>
      </c>
      <c r="H265" s="203" t="e">
        <f>#REF!*#REF!^5/(Conv!$I$5*Conv!$D$46)/10^6 +#REF!</f>
        <v>#REF!</v>
      </c>
      <c r="I265" s="203" t="e">
        <f>#REF!*#REF!^5/(Conv!$I$5*Conv!$D$46)/10^6 +#REF!</f>
        <v>#REF!</v>
      </c>
      <c r="J265" s="203" t="e">
        <f>#REF!*#REF!^5/(Conv!$I$5*Conv!$D$46)/10^6 +#REF!</f>
        <v>#REF!</v>
      </c>
      <c r="K265" s="203" t="e">
        <f>#REF!*#REF!^5/(Conv!$I$5*Conv!$D$46)/10^6 +#REF!</f>
        <v>#REF!</v>
      </c>
      <c r="L265" s="203" t="e">
        <f>#REF!*#REF!^5/(Conv!$I$5*Conv!$D$46)/10^6 +#REF!</f>
        <v>#REF!</v>
      </c>
      <c r="M265" s="203" t="e">
        <f>#REF!*#REF!^5/(Conv!$I$5*Conv!$D$46)/10^6 +#REF!</f>
        <v>#REF!</v>
      </c>
      <c r="N265" s="203" t="e">
        <f>#REF!*#REF!^5/(Conv!$I$5*Conv!$D$46)/10^6 +#REF!</f>
        <v>#REF!</v>
      </c>
      <c r="O265" s="203" t="e">
        <f>#REF!*#REF!^5/(Conv!$I$5*Conv!$D$46)/10^6 +#REF!</f>
        <v>#REF!</v>
      </c>
      <c r="P265" s="203" t="e">
        <f>#REF!*#REF!^5/(Conv!$I$5*Conv!$D$46)/10^6 +#REF!</f>
        <v>#REF!</v>
      </c>
      <c r="Q265" s="203" t="e">
        <f>#REF!*#REF!^5/(Conv!$I$5*Conv!$D$46)/10^6 +#REF!</f>
        <v>#REF!</v>
      </c>
      <c r="S265" s="177"/>
      <c r="T265" s="177"/>
      <c r="U265" s="177"/>
      <c r="V265" s="177"/>
      <c r="W265" s="177"/>
      <c r="X265" s="177"/>
      <c r="Y265" s="177"/>
      <c r="Z265" s="177"/>
      <c r="AA265" s="177"/>
      <c r="AB265" s="177"/>
      <c r="AC265" s="177"/>
    </row>
    <row r="266" spans="2:29">
      <c r="B266" s="158" t="str">
        <f>Technologies!B706</f>
        <v>*</v>
      </c>
      <c r="C266" s="158" t="e">
        <f>Technologies!C706</f>
        <v>#REF!</v>
      </c>
      <c r="D266" s="158" t="e">
        <f>Technologies!D706</f>
        <v>#REF!</v>
      </c>
      <c r="E266" s="197" t="e">
        <f>E265</f>
        <v>#REF!</v>
      </c>
      <c r="F266" s="197" t="e">
        <f>Commodities!C243</f>
        <v>#REF!</v>
      </c>
      <c r="G266" s="204">
        <v>1</v>
      </c>
      <c r="H266" s="203" t="e">
        <f>#REF!*#REF!^5/(Conv!$I$5*Conv!$D$46)/10^6 +#REF!</f>
        <v>#REF!</v>
      </c>
      <c r="I266" s="203" t="e">
        <f>#REF!*#REF!^5/(Conv!$I$5*Conv!$D$46)/10^6 +#REF!</f>
        <v>#REF!</v>
      </c>
      <c r="J266" s="203" t="e">
        <f>#REF!*#REF!^5/(Conv!$I$5*Conv!$D$46)/10^6 +#REF!</f>
        <v>#REF!</v>
      </c>
      <c r="K266" s="203" t="e">
        <f>#REF!*#REF!^5/(Conv!$I$5*Conv!$D$46)/10^6 +#REF!</f>
        <v>#REF!</v>
      </c>
      <c r="L266" s="203" t="e">
        <f>#REF!*#REF!^5/(Conv!$I$5*Conv!$D$46)/10^6 +#REF!</f>
        <v>#REF!</v>
      </c>
      <c r="M266" s="203" t="e">
        <f>#REF!*#REF!^5/(Conv!$I$5*Conv!$D$46)/10^6 +#REF!</f>
        <v>#REF!</v>
      </c>
      <c r="N266" s="203" t="e">
        <f>#REF!*#REF!^5/(Conv!$I$5*Conv!$D$46)/10^6 +#REF!</f>
        <v>#REF!</v>
      </c>
      <c r="O266" s="203" t="e">
        <f>#REF!*#REF!^5/(Conv!$I$5*Conv!$D$46)/10^6 +#REF!</f>
        <v>#REF!</v>
      </c>
      <c r="P266" s="203" t="e">
        <f>#REF!*#REF!^5/(Conv!$I$5*Conv!$D$46)/10^6 +#REF!</f>
        <v>#REF!</v>
      </c>
      <c r="Q266" s="203" t="e">
        <f>#REF!*#REF!^5/(Conv!$I$5*Conv!$D$46)/10^6 +#REF!</f>
        <v>#REF!</v>
      </c>
      <c r="S266" s="177"/>
      <c r="T266" s="177"/>
      <c r="U266" s="177"/>
      <c r="V266" s="177"/>
      <c r="W266" s="177"/>
      <c r="X266" s="177"/>
      <c r="Y266" s="177"/>
      <c r="Z266" s="177"/>
      <c r="AA266" s="177"/>
      <c r="AB266" s="177"/>
      <c r="AC266" s="177"/>
    </row>
    <row r="267" spans="2:29">
      <c r="B267" s="158" t="str">
        <f>Technologies!B707</f>
        <v>*</v>
      </c>
      <c r="C267" s="158" t="e">
        <f>Technologies!C707</f>
        <v>#REF!</v>
      </c>
      <c r="D267" s="158" t="e">
        <f>Technologies!D707</f>
        <v>#REF!</v>
      </c>
      <c r="E267" s="197" t="e">
        <f>Commodities!C192</f>
        <v>#REF!</v>
      </c>
      <c r="F267" s="197" t="e">
        <f>Commodities!C244</f>
        <v>#REF!</v>
      </c>
      <c r="G267" s="204">
        <v>1</v>
      </c>
      <c r="H267" s="203" t="e">
        <f>#REF!*#REF!^5/(Conv!$I$5*Conv!$D$46)/10^6 +#REF!</f>
        <v>#REF!</v>
      </c>
      <c r="I267" s="203" t="e">
        <f>#REF!*#REF!^5/(Conv!$I$5*Conv!$D$46)/10^6 +#REF!</f>
        <v>#REF!</v>
      </c>
      <c r="J267" s="203" t="e">
        <f>#REF!*#REF!^5/(Conv!$I$5*Conv!$D$46)/10^6 +#REF!</f>
        <v>#REF!</v>
      </c>
      <c r="K267" s="203" t="e">
        <f>#REF!*#REF!^5/(Conv!$I$5*Conv!$D$46)/10^6 +#REF!</f>
        <v>#REF!</v>
      </c>
      <c r="L267" s="203" t="e">
        <f>#REF!*#REF!^5/(Conv!$I$5*Conv!$D$46)/10^6 +#REF!</f>
        <v>#REF!</v>
      </c>
      <c r="M267" s="203" t="e">
        <f>#REF!*#REF!^5/(Conv!$I$5*Conv!$D$46)/10^6 +#REF!</f>
        <v>#REF!</v>
      </c>
      <c r="N267" s="203" t="e">
        <f>#REF!*#REF!^5/(Conv!$I$5*Conv!$D$46)/10^6 +#REF!</f>
        <v>#REF!</v>
      </c>
      <c r="O267" s="203" t="e">
        <f>#REF!*#REF!^5/(Conv!$I$5*Conv!$D$46)/10^6 +#REF!</f>
        <v>#REF!</v>
      </c>
      <c r="P267" s="203" t="e">
        <f>#REF!*#REF!^5/(Conv!$I$5*Conv!$D$46)/10^6 +#REF!</f>
        <v>#REF!</v>
      </c>
      <c r="Q267" s="203" t="e">
        <f>#REF!*#REF!^5/(Conv!$I$5*Conv!$D$46)/10^6 +#REF!</f>
        <v>#REF!</v>
      </c>
      <c r="S267" s="177"/>
      <c r="T267" s="177"/>
      <c r="U267" s="177"/>
      <c r="V267" s="177"/>
      <c r="W267" s="177"/>
      <c r="X267" s="177"/>
      <c r="Y267" s="177"/>
      <c r="Z267" s="177"/>
      <c r="AA267" s="177"/>
      <c r="AB267" s="177"/>
      <c r="AC267" s="177"/>
    </row>
    <row r="268" spans="2:29">
      <c r="B268" s="158" t="str">
        <f>Technologies!B708</f>
        <v>*</v>
      </c>
      <c r="C268" s="158" t="e">
        <f>Technologies!C708</f>
        <v>#REF!</v>
      </c>
      <c r="D268" s="158" t="e">
        <f>Technologies!D708</f>
        <v>#REF!</v>
      </c>
      <c r="E268" s="197" t="e">
        <f>E267</f>
        <v>#REF!</v>
      </c>
      <c r="F268" s="197" t="e">
        <f>Commodities!C245</f>
        <v>#REF!</v>
      </c>
      <c r="G268" s="204">
        <v>1</v>
      </c>
      <c r="H268" s="203" t="e">
        <f>#REF!*#REF!^5/(Conv!$I$5*Conv!$D$46)/10^6 +#REF!</f>
        <v>#REF!</v>
      </c>
      <c r="I268" s="203" t="e">
        <f>#REF!*#REF!^5/(Conv!$I$5*Conv!$D$46)/10^6 +#REF!</f>
        <v>#REF!</v>
      </c>
      <c r="J268" s="203" t="e">
        <f>#REF!*#REF!^5/(Conv!$I$5*Conv!$D$46)/10^6 +#REF!</f>
        <v>#REF!</v>
      </c>
      <c r="K268" s="203" t="e">
        <f>#REF!*#REF!^5/(Conv!$I$5*Conv!$D$46)/10^6 +#REF!</f>
        <v>#REF!</v>
      </c>
      <c r="L268" s="203" t="e">
        <f>#REF!*#REF!^5/(Conv!$I$5*Conv!$D$46)/10^6 +#REF!</f>
        <v>#REF!</v>
      </c>
      <c r="M268" s="203" t="e">
        <f>#REF!*#REF!^5/(Conv!$I$5*Conv!$D$46)/10^6 +#REF!</f>
        <v>#REF!</v>
      </c>
      <c r="N268" s="203" t="e">
        <f>#REF!*#REF!^5/(Conv!$I$5*Conv!$D$46)/10^6 +#REF!</f>
        <v>#REF!</v>
      </c>
      <c r="O268" s="203" t="e">
        <f>#REF!*#REF!^5/(Conv!$I$5*Conv!$D$46)/10^6 +#REF!</f>
        <v>#REF!</v>
      </c>
      <c r="P268" s="203" t="e">
        <f>#REF!*#REF!^5/(Conv!$I$5*Conv!$D$46)/10^6 +#REF!</f>
        <v>#REF!</v>
      </c>
      <c r="Q268" s="203" t="e">
        <f>#REF!*#REF!^5/(Conv!$I$5*Conv!$D$46)/10^6 +#REF!</f>
        <v>#REF!</v>
      </c>
      <c r="S268" s="177"/>
      <c r="T268" s="177"/>
      <c r="U268" s="177"/>
      <c r="V268" s="177"/>
      <c r="W268" s="177"/>
      <c r="X268" s="177"/>
      <c r="Y268" s="177"/>
      <c r="Z268" s="177"/>
      <c r="AA268" s="177"/>
      <c r="AB268" s="177"/>
      <c r="AC268" s="177"/>
    </row>
    <row r="269" spans="2:29">
      <c r="B269" s="158" t="str">
        <f>Technologies!B709</f>
        <v>*</v>
      </c>
      <c r="C269" s="158" t="e">
        <f>Technologies!C709</f>
        <v>#REF!</v>
      </c>
      <c r="D269" s="158" t="e">
        <f>Technologies!D709</f>
        <v>#REF!</v>
      </c>
      <c r="E269" s="197" t="e">
        <f>Commodities!C194</f>
        <v>#REF!</v>
      </c>
      <c r="F269" s="197" t="e">
        <f>Commodities!C246</f>
        <v>#REF!</v>
      </c>
      <c r="G269" s="204">
        <v>1</v>
      </c>
      <c r="H269" s="203" t="e">
        <f>#REF!*#REF!^5/(Conv!$I$5*Conv!$D$46)/10^6 +#REF!</f>
        <v>#REF!</v>
      </c>
      <c r="I269" s="203" t="e">
        <f>#REF!*#REF!^5/(Conv!$I$5*Conv!$D$46)/10^6 +#REF!</f>
        <v>#REF!</v>
      </c>
      <c r="J269" s="203" t="e">
        <f>#REF!*#REF!^5/(Conv!$I$5*Conv!$D$46)/10^6 +#REF!</f>
        <v>#REF!</v>
      </c>
      <c r="K269" s="203" t="e">
        <f>#REF!*#REF!^5/(Conv!$I$5*Conv!$D$46)/10^6 +#REF!</f>
        <v>#REF!</v>
      </c>
      <c r="L269" s="203" t="e">
        <f>#REF!*#REF!^5/(Conv!$I$5*Conv!$D$46)/10^6 +#REF!</f>
        <v>#REF!</v>
      </c>
      <c r="M269" s="203" t="e">
        <f>#REF!*#REF!^5/(Conv!$I$5*Conv!$D$46)/10^6 +#REF!</f>
        <v>#REF!</v>
      </c>
      <c r="N269" s="203" t="e">
        <f>#REF!*#REF!^5/(Conv!$I$5*Conv!$D$46)/10^6 +#REF!</f>
        <v>#REF!</v>
      </c>
      <c r="O269" s="203" t="e">
        <f>#REF!*#REF!^5/(Conv!$I$5*Conv!$D$46)/10^6 +#REF!</f>
        <v>#REF!</v>
      </c>
      <c r="P269" s="203" t="e">
        <f>#REF!*#REF!^5/(Conv!$I$5*Conv!$D$46)/10^6 +#REF!</f>
        <v>#REF!</v>
      </c>
      <c r="Q269" s="203" t="e">
        <f>#REF!*#REF!^5/(Conv!$I$5*Conv!$D$46)/10^6 +#REF!</f>
        <v>#REF!</v>
      </c>
      <c r="S269" s="177"/>
      <c r="T269" s="177"/>
      <c r="U269" s="177"/>
      <c r="V269" s="177"/>
      <c r="W269" s="177"/>
      <c r="X269" s="177"/>
      <c r="Y269" s="177"/>
      <c r="Z269" s="177"/>
      <c r="AA269" s="177"/>
      <c r="AB269" s="177"/>
      <c r="AC269" s="177"/>
    </row>
    <row r="270" spans="2:29">
      <c r="B270" s="158" t="s">
        <v>398</v>
      </c>
      <c r="C270" s="158"/>
      <c r="D270" s="158"/>
      <c r="E270" s="197"/>
      <c r="F270" s="197"/>
      <c r="G270" s="204"/>
      <c r="H270" s="205"/>
      <c r="I270" s="205"/>
      <c r="J270" s="205"/>
      <c r="K270" s="205"/>
      <c r="L270" s="205"/>
      <c r="M270" s="205"/>
      <c r="N270" s="205"/>
      <c r="O270" s="205"/>
      <c r="P270" s="205"/>
      <c r="Q270" s="205"/>
    </row>
    <row r="271" spans="2:29">
      <c r="B271" s="158" t="s">
        <v>398</v>
      </c>
      <c r="C271" s="158" t="e">
        <f>Technologies!C685</f>
        <v>#REF!</v>
      </c>
      <c r="D271" s="158" t="e">
        <f>Technologies!D685</f>
        <v>#REF!</v>
      </c>
      <c r="E271" s="197" t="e">
        <f>Commodities!C182</f>
        <v>#REF!</v>
      </c>
      <c r="F271" s="197" t="e">
        <f>Commodities!C222</f>
        <v>#REF!</v>
      </c>
      <c r="G271" s="204">
        <v>1</v>
      </c>
      <c r="H271" s="203" t="e">
        <f>#REF!*#REF!^5/(Conv!$I$5*Conv!$D$46)/10^6 +#REF!</f>
        <v>#REF!</v>
      </c>
      <c r="I271" s="203" t="e">
        <f>#REF!*#REF!^5/(Conv!$I$5*Conv!$D$46)/10^6 +#REF!</f>
        <v>#REF!</v>
      </c>
      <c r="J271" s="203" t="e">
        <f>#REF!*#REF!^5/(Conv!$I$5*Conv!$D$46)/10^6 +#REF!</f>
        <v>#REF!</v>
      </c>
      <c r="K271" s="203" t="e">
        <f>#REF!*#REF!^5/(Conv!$I$5*Conv!$D$46)/10^6 +#REF!</f>
        <v>#REF!</v>
      </c>
      <c r="L271" s="203" t="e">
        <f>#REF!*#REF!^5/(Conv!$I$5*Conv!$D$46)/10^6 +#REF!</f>
        <v>#REF!</v>
      </c>
      <c r="M271" s="203" t="e">
        <f>#REF!*#REF!^5/(Conv!$I$5*Conv!$D$46)/10^6 +#REF!</f>
        <v>#REF!</v>
      </c>
      <c r="N271" s="203" t="e">
        <f>#REF!*#REF!^5/(Conv!$I$5*Conv!$D$46)/10^6 +#REF!</f>
        <v>#REF!</v>
      </c>
      <c r="O271" s="203" t="e">
        <f>#REF!*#REF!^5/(Conv!$I$5*Conv!$D$46)/10^6 +#REF!</f>
        <v>#REF!</v>
      </c>
      <c r="P271" s="203" t="e">
        <f>#REF!*#REF!^5/(Conv!$I$5*Conv!$D$46)/10^6 +#REF!</f>
        <v>#REF!</v>
      </c>
      <c r="Q271" s="203" t="e">
        <f>#REF!*#REF!^5/(Conv!$I$5*Conv!$D$46)/10^6 +#REF!</f>
        <v>#REF!</v>
      </c>
      <c r="S271" s="177"/>
      <c r="T271" s="177"/>
      <c r="U271" s="177"/>
      <c r="V271" s="177"/>
      <c r="W271" s="177"/>
      <c r="X271" s="177"/>
      <c r="Y271" s="177"/>
      <c r="Z271" s="177"/>
      <c r="AA271" s="177"/>
      <c r="AB271" s="177"/>
      <c r="AC271" s="177"/>
    </row>
    <row r="272" spans="2:29">
      <c r="B272" s="158" t="s">
        <v>398</v>
      </c>
      <c r="C272" s="158" t="e">
        <f>Technologies!C686</f>
        <v>#REF!</v>
      </c>
      <c r="D272" s="158" t="e">
        <f>Technologies!D686</f>
        <v>#REF!</v>
      </c>
      <c r="E272" s="197" t="e">
        <f>Commodities!C183</f>
        <v>#REF!</v>
      </c>
      <c r="F272" s="197" t="e">
        <f>Commodities!C223</f>
        <v>#REF!</v>
      </c>
      <c r="G272" s="204">
        <v>1</v>
      </c>
      <c r="H272" s="203" t="e">
        <f>#REF!*#REF!^5/(Conv!$I$5*Conv!$D$46)/10^6 +#REF!</f>
        <v>#REF!</v>
      </c>
      <c r="I272" s="203" t="e">
        <f>#REF!*#REF!^5/(Conv!$I$5*Conv!$D$46)/10^6 +#REF!</f>
        <v>#REF!</v>
      </c>
      <c r="J272" s="203" t="e">
        <f>#REF!*#REF!^5/(Conv!$I$5*Conv!$D$46)/10^6 +#REF!</f>
        <v>#REF!</v>
      </c>
      <c r="K272" s="203" t="e">
        <f>#REF!*#REF!^5/(Conv!$I$5*Conv!$D$46)/10^6 +#REF!</f>
        <v>#REF!</v>
      </c>
      <c r="L272" s="203" t="e">
        <f>#REF!*#REF!^5/(Conv!$I$5*Conv!$D$46)/10^6 +#REF!</f>
        <v>#REF!</v>
      </c>
      <c r="M272" s="203" t="e">
        <f>#REF!*#REF!^5/(Conv!$I$5*Conv!$D$46)/10^6 +#REF!</f>
        <v>#REF!</v>
      </c>
      <c r="N272" s="203" t="e">
        <f>#REF!*#REF!^5/(Conv!$I$5*Conv!$D$46)/10^6 +#REF!</f>
        <v>#REF!</v>
      </c>
      <c r="O272" s="203" t="e">
        <f>#REF!*#REF!^5/(Conv!$I$5*Conv!$D$46)/10^6 +#REF!</f>
        <v>#REF!</v>
      </c>
      <c r="P272" s="203" t="e">
        <f>#REF!*#REF!^5/(Conv!$I$5*Conv!$D$46)/10^6 +#REF!</f>
        <v>#REF!</v>
      </c>
      <c r="Q272" s="203" t="e">
        <f>#REF!*#REF!^5/(Conv!$I$5*Conv!$D$46)/10^6 +#REF!</f>
        <v>#REF!</v>
      </c>
      <c r="S272" s="177"/>
      <c r="T272" s="177"/>
      <c r="U272" s="177"/>
      <c r="V272" s="177"/>
      <c r="W272" s="177"/>
      <c r="X272" s="177"/>
      <c r="Y272" s="177"/>
      <c r="Z272" s="177"/>
      <c r="AA272" s="177"/>
      <c r="AB272" s="177"/>
      <c r="AC272" s="177"/>
    </row>
    <row r="273" spans="2:29">
      <c r="B273" s="158" t="s">
        <v>398</v>
      </c>
      <c r="C273" s="158" t="e">
        <f>Technologies!C687</f>
        <v>#REF!</v>
      </c>
      <c r="D273" s="158" t="e">
        <f>Technologies!D687</f>
        <v>#REF!</v>
      </c>
      <c r="E273" s="197" t="e">
        <f>Commodities!C184</f>
        <v>#REF!</v>
      </c>
      <c r="F273" s="197" t="e">
        <f>Commodities!C224</f>
        <v>#REF!</v>
      </c>
      <c r="G273" s="204">
        <v>1</v>
      </c>
      <c r="H273" s="203" t="e">
        <f>#REF!*#REF!^5/(Conv!$I$5*Conv!$D$46)/10^6 +#REF!</f>
        <v>#REF!</v>
      </c>
      <c r="I273" s="203" t="e">
        <f>#REF!*#REF!^5/(Conv!$I$5*Conv!$D$46)/10^6 +#REF!</f>
        <v>#REF!</v>
      </c>
      <c r="J273" s="203" t="e">
        <f>#REF!*#REF!^5/(Conv!$I$5*Conv!$D$46)/10^6 +#REF!</f>
        <v>#REF!</v>
      </c>
      <c r="K273" s="203" t="e">
        <f>#REF!*#REF!^5/(Conv!$I$5*Conv!$D$46)/10^6 +#REF!</f>
        <v>#REF!</v>
      </c>
      <c r="L273" s="203" t="e">
        <f>#REF!*#REF!^5/(Conv!$I$5*Conv!$D$46)/10^6 +#REF!</f>
        <v>#REF!</v>
      </c>
      <c r="M273" s="203" t="e">
        <f>#REF!*#REF!^5/(Conv!$I$5*Conv!$D$46)/10^6 +#REF!</f>
        <v>#REF!</v>
      </c>
      <c r="N273" s="203" t="e">
        <f>#REF!*#REF!^5/(Conv!$I$5*Conv!$D$46)/10^6 +#REF!</f>
        <v>#REF!</v>
      </c>
      <c r="O273" s="203" t="e">
        <f>#REF!*#REF!^5/(Conv!$I$5*Conv!$D$46)/10^6 +#REF!</f>
        <v>#REF!</v>
      </c>
      <c r="P273" s="203" t="e">
        <f>#REF!*#REF!^5/(Conv!$I$5*Conv!$D$46)/10^6 +#REF!</f>
        <v>#REF!</v>
      </c>
      <c r="Q273" s="203" t="e">
        <f>#REF!*#REF!^5/(Conv!$I$5*Conv!$D$46)/10^6 +#REF!</f>
        <v>#REF!</v>
      </c>
      <c r="S273" s="177"/>
      <c r="T273" s="177"/>
      <c r="U273" s="177"/>
      <c r="V273" s="177"/>
      <c r="W273" s="177"/>
      <c r="X273" s="177"/>
      <c r="Y273" s="177"/>
      <c r="Z273" s="177"/>
      <c r="AA273" s="177"/>
      <c r="AB273" s="177"/>
      <c r="AC273" s="177"/>
    </row>
    <row r="274" spans="2:29">
      <c r="B274" s="158" t="s">
        <v>398</v>
      </c>
      <c r="C274" s="158" t="e">
        <f>Technologies!C688</f>
        <v>#REF!</v>
      </c>
      <c r="D274" s="158" t="e">
        <f>Technologies!D688</f>
        <v>#REF!</v>
      </c>
      <c r="E274" s="197" t="e">
        <f>E273</f>
        <v>#REF!</v>
      </c>
      <c r="F274" s="197" t="e">
        <f>Commodities!C225</f>
        <v>#REF!</v>
      </c>
      <c r="G274" s="204">
        <v>1</v>
      </c>
      <c r="H274" s="203" t="e">
        <f>#REF!*#REF!^5/(Conv!$I$5*Conv!$D$46)/10^6 +#REF!</f>
        <v>#REF!</v>
      </c>
      <c r="I274" s="203" t="e">
        <f>#REF!*#REF!^5/(Conv!$I$5*Conv!$D$46)/10^6 +#REF!</f>
        <v>#REF!</v>
      </c>
      <c r="J274" s="203" t="e">
        <f>#REF!*#REF!^5/(Conv!$I$5*Conv!$D$46)/10^6 +#REF!</f>
        <v>#REF!</v>
      </c>
      <c r="K274" s="203" t="e">
        <f>#REF!*#REF!^5/(Conv!$I$5*Conv!$D$46)/10^6 +#REF!</f>
        <v>#REF!</v>
      </c>
      <c r="L274" s="203" t="e">
        <f>#REF!*#REF!^5/(Conv!$I$5*Conv!$D$46)/10^6 +#REF!</f>
        <v>#REF!</v>
      </c>
      <c r="M274" s="203" t="e">
        <f>#REF!*#REF!^5/(Conv!$I$5*Conv!$D$46)/10^6 +#REF!</f>
        <v>#REF!</v>
      </c>
      <c r="N274" s="203" t="e">
        <f>#REF!*#REF!^5/(Conv!$I$5*Conv!$D$46)/10^6 +#REF!</f>
        <v>#REF!</v>
      </c>
      <c r="O274" s="203" t="e">
        <f>#REF!*#REF!^5/(Conv!$I$5*Conv!$D$46)/10^6 +#REF!</f>
        <v>#REF!</v>
      </c>
      <c r="P274" s="203" t="e">
        <f>#REF!*#REF!^5/(Conv!$I$5*Conv!$D$46)/10^6 +#REF!</f>
        <v>#REF!</v>
      </c>
      <c r="Q274" s="203" t="e">
        <f>#REF!*#REF!^5/(Conv!$I$5*Conv!$D$46)/10^6 +#REF!</f>
        <v>#REF!</v>
      </c>
      <c r="S274" s="177"/>
      <c r="T274" s="177"/>
      <c r="U274" s="177"/>
      <c r="V274" s="177"/>
      <c r="W274" s="177"/>
      <c r="X274" s="177"/>
      <c r="Y274" s="177"/>
      <c r="Z274" s="177"/>
      <c r="AA274" s="177"/>
      <c r="AB274" s="177"/>
      <c r="AC274" s="177"/>
    </row>
    <row r="275" spans="2:29">
      <c r="B275" s="158" t="s">
        <v>398</v>
      </c>
      <c r="C275" s="158" t="e">
        <f>Technologies!C689</f>
        <v>#REF!</v>
      </c>
      <c r="D275" s="158" t="e">
        <f>Technologies!D689</f>
        <v>#REF!</v>
      </c>
      <c r="E275" s="197" t="e">
        <f>E274</f>
        <v>#REF!</v>
      </c>
      <c r="F275" s="197" t="e">
        <f>Commodities!C226</f>
        <v>#REF!</v>
      </c>
      <c r="G275" s="204">
        <v>1</v>
      </c>
      <c r="H275" s="203" t="e">
        <f>#REF!*#REF!^5/(Conv!$I$5*Conv!$D$46)/10^6 +#REF!</f>
        <v>#REF!</v>
      </c>
      <c r="I275" s="203" t="e">
        <f>#REF!*#REF!^5/(Conv!$I$5*Conv!$D$46)/10^6 +#REF!</f>
        <v>#REF!</v>
      </c>
      <c r="J275" s="203" t="e">
        <f>#REF!*#REF!^5/(Conv!$I$5*Conv!$D$46)/10^6 +#REF!</f>
        <v>#REF!</v>
      </c>
      <c r="K275" s="203" t="e">
        <f>#REF!*#REF!^5/(Conv!$I$5*Conv!$D$46)/10^6 +#REF!</f>
        <v>#REF!</v>
      </c>
      <c r="L275" s="203" t="e">
        <f>#REF!*#REF!^5/(Conv!$I$5*Conv!$D$46)/10^6 +#REF!</f>
        <v>#REF!</v>
      </c>
      <c r="M275" s="203" t="e">
        <f>#REF!*#REF!^5/(Conv!$I$5*Conv!$D$46)/10^6 +#REF!</f>
        <v>#REF!</v>
      </c>
      <c r="N275" s="203" t="e">
        <f>#REF!*#REF!^5/(Conv!$I$5*Conv!$D$46)/10^6 +#REF!</f>
        <v>#REF!</v>
      </c>
      <c r="O275" s="203" t="e">
        <f>#REF!*#REF!^5/(Conv!$I$5*Conv!$D$46)/10^6 +#REF!</f>
        <v>#REF!</v>
      </c>
      <c r="P275" s="203" t="e">
        <f>#REF!*#REF!^5/(Conv!$I$5*Conv!$D$46)/10^6 +#REF!</f>
        <v>#REF!</v>
      </c>
      <c r="Q275" s="203" t="e">
        <f>#REF!*#REF!^5/(Conv!$I$5*Conv!$D$46)/10^6 +#REF!</f>
        <v>#REF!</v>
      </c>
      <c r="S275" s="177"/>
      <c r="T275" s="177"/>
      <c r="U275" s="177"/>
      <c r="V275" s="177"/>
      <c r="W275" s="177"/>
      <c r="X275" s="177"/>
      <c r="Y275" s="177"/>
      <c r="Z275" s="177"/>
      <c r="AA275" s="177"/>
      <c r="AB275" s="177"/>
      <c r="AC275" s="177"/>
    </row>
    <row r="276" spans="2:29">
      <c r="B276" s="158" t="s">
        <v>398</v>
      </c>
      <c r="C276" s="158" t="e">
        <f>Technologies!C690</f>
        <v>#REF!</v>
      </c>
      <c r="D276" s="158" t="e">
        <f>Technologies!D690</f>
        <v>#REF!</v>
      </c>
      <c r="E276" s="197" t="e">
        <f>E275</f>
        <v>#REF!</v>
      </c>
      <c r="F276" s="197" t="e">
        <f>Commodities!C227</f>
        <v>#REF!</v>
      </c>
      <c r="G276" s="204">
        <v>1</v>
      </c>
      <c r="H276" s="203" t="e">
        <f>#REF!*#REF!^5/(Conv!$I$5*Conv!$D$46)/10^6 +#REF!</f>
        <v>#REF!</v>
      </c>
      <c r="I276" s="203" t="e">
        <f>#REF!*#REF!^5/(Conv!$I$5*Conv!$D$46)/10^6 +#REF!</f>
        <v>#REF!</v>
      </c>
      <c r="J276" s="203" t="e">
        <f>#REF!*#REF!^5/(Conv!$I$5*Conv!$D$46)/10^6 +#REF!</f>
        <v>#REF!</v>
      </c>
      <c r="K276" s="203" t="e">
        <f>#REF!*#REF!^5/(Conv!$I$5*Conv!$D$46)/10^6 +#REF!</f>
        <v>#REF!</v>
      </c>
      <c r="L276" s="203" t="e">
        <f>#REF!*#REF!^5/(Conv!$I$5*Conv!$D$46)/10^6 +#REF!</f>
        <v>#REF!</v>
      </c>
      <c r="M276" s="203" t="e">
        <f>#REF!*#REF!^5/(Conv!$I$5*Conv!$D$46)/10^6 +#REF!</f>
        <v>#REF!</v>
      </c>
      <c r="N276" s="203" t="e">
        <f>#REF!*#REF!^5/(Conv!$I$5*Conv!$D$46)/10^6 +#REF!</f>
        <v>#REF!</v>
      </c>
      <c r="O276" s="203" t="e">
        <f>#REF!*#REF!^5/(Conv!$I$5*Conv!$D$46)/10^6 +#REF!</f>
        <v>#REF!</v>
      </c>
      <c r="P276" s="203" t="e">
        <f>#REF!*#REF!^5/(Conv!$I$5*Conv!$D$46)/10^6 +#REF!</f>
        <v>#REF!</v>
      </c>
      <c r="Q276" s="203" t="e">
        <f>#REF!*#REF!^5/(Conv!$I$5*Conv!$D$46)/10^6 +#REF!</f>
        <v>#REF!</v>
      </c>
      <c r="S276" s="177"/>
      <c r="T276" s="177"/>
      <c r="U276" s="177"/>
      <c r="V276" s="177"/>
      <c r="W276" s="177"/>
      <c r="X276" s="177"/>
      <c r="Y276" s="177"/>
      <c r="Z276" s="177"/>
      <c r="AA276" s="177"/>
      <c r="AB276" s="177"/>
      <c r="AC276" s="177"/>
    </row>
    <row r="277" spans="2:29">
      <c r="B277" s="158" t="s">
        <v>398</v>
      </c>
      <c r="C277" s="158" t="e">
        <f>Technologies!C691</f>
        <v>#REF!</v>
      </c>
      <c r="D277" s="158" t="e">
        <f>Technologies!D691</f>
        <v>#REF!</v>
      </c>
      <c r="E277" s="197" t="e">
        <f>Commodities!C185</f>
        <v>#REF!</v>
      </c>
      <c r="F277" s="197" t="e">
        <f>Commodities!C228</f>
        <v>#REF!</v>
      </c>
      <c r="G277" s="204">
        <v>1</v>
      </c>
      <c r="H277" s="203" t="e">
        <f>#REF!*#REF!^5/(Conv!$I$5*Conv!$D$46)/10^6 +#REF!</f>
        <v>#REF!</v>
      </c>
      <c r="I277" s="203" t="e">
        <f>#REF!*#REF!^5/(Conv!$I$5*Conv!$D$46)/10^6 +#REF!</f>
        <v>#REF!</v>
      </c>
      <c r="J277" s="203" t="e">
        <f>#REF!*#REF!^5/(Conv!$I$5*Conv!$D$46)/10^6 +#REF!</f>
        <v>#REF!</v>
      </c>
      <c r="K277" s="203" t="e">
        <f>#REF!*#REF!^5/(Conv!$I$5*Conv!$D$46)/10^6 +#REF!</f>
        <v>#REF!</v>
      </c>
      <c r="L277" s="203" t="e">
        <f>#REF!*#REF!^5/(Conv!$I$5*Conv!$D$46)/10^6 +#REF!</f>
        <v>#REF!</v>
      </c>
      <c r="M277" s="203" t="e">
        <f>#REF!*#REF!^5/(Conv!$I$5*Conv!$D$46)/10^6 +#REF!</f>
        <v>#REF!</v>
      </c>
      <c r="N277" s="203" t="e">
        <f>#REF!*#REF!^5/(Conv!$I$5*Conv!$D$46)/10^6 +#REF!</f>
        <v>#REF!</v>
      </c>
      <c r="O277" s="203" t="e">
        <f>#REF!*#REF!^5/(Conv!$I$5*Conv!$D$46)/10^6 +#REF!</f>
        <v>#REF!</v>
      </c>
      <c r="P277" s="203" t="e">
        <f>#REF!*#REF!^5/(Conv!$I$5*Conv!$D$46)/10^6 +#REF!</f>
        <v>#REF!</v>
      </c>
      <c r="Q277" s="203" t="e">
        <f>#REF!*#REF!^5/(Conv!$I$5*Conv!$D$46)/10^6 +#REF!</f>
        <v>#REF!</v>
      </c>
      <c r="S277" s="177"/>
      <c r="T277" s="177"/>
      <c r="U277" s="177"/>
      <c r="V277" s="177"/>
      <c r="W277" s="177"/>
      <c r="X277" s="177"/>
      <c r="Y277" s="177"/>
      <c r="Z277" s="177"/>
      <c r="AA277" s="177"/>
      <c r="AB277" s="177"/>
      <c r="AC277" s="177"/>
    </row>
    <row r="278" spans="2:29">
      <c r="B278" s="158" t="s">
        <v>398</v>
      </c>
      <c r="C278" s="158" t="e">
        <f>Technologies!C692</f>
        <v>#REF!</v>
      </c>
      <c r="D278" s="158" t="e">
        <f>Technologies!D692</f>
        <v>#REF!</v>
      </c>
      <c r="E278" s="197" t="e">
        <f>Commodities!C186</f>
        <v>#REF!</v>
      </c>
      <c r="F278" s="197" t="e">
        <f>Commodities!C229</f>
        <v>#REF!</v>
      </c>
      <c r="G278" s="204">
        <v>1</v>
      </c>
      <c r="H278" s="203" t="e">
        <f>#REF!*#REF!^5/(Conv!$I$5*Conv!$D$46)/10^6 +#REF!</f>
        <v>#REF!</v>
      </c>
      <c r="I278" s="203" t="e">
        <f>#REF!*#REF!^5/(Conv!$I$5*Conv!$D$46)/10^6 +#REF!</f>
        <v>#REF!</v>
      </c>
      <c r="J278" s="203" t="e">
        <f>#REF!*#REF!^5/(Conv!$I$5*Conv!$D$46)/10^6 +#REF!</f>
        <v>#REF!</v>
      </c>
      <c r="K278" s="203" t="e">
        <f>#REF!*#REF!^5/(Conv!$I$5*Conv!$D$46)/10^6 +#REF!</f>
        <v>#REF!</v>
      </c>
      <c r="L278" s="203" t="e">
        <f>#REF!*#REF!^5/(Conv!$I$5*Conv!$D$46)/10^6 +#REF!</f>
        <v>#REF!</v>
      </c>
      <c r="M278" s="203" t="e">
        <f>#REF!*#REF!^5/(Conv!$I$5*Conv!$D$46)/10^6 +#REF!</f>
        <v>#REF!</v>
      </c>
      <c r="N278" s="203" t="e">
        <f>#REF!*#REF!^5/(Conv!$I$5*Conv!$D$46)/10^6 +#REF!</f>
        <v>#REF!</v>
      </c>
      <c r="O278" s="203" t="e">
        <f>#REF!*#REF!^5/(Conv!$I$5*Conv!$D$46)/10^6 +#REF!</f>
        <v>#REF!</v>
      </c>
      <c r="P278" s="203" t="e">
        <f>#REF!*#REF!^5/(Conv!$I$5*Conv!$D$46)/10^6 +#REF!</f>
        <v>#REF!</v>
      </c>
      <c r="Q278" s="203" t="e">
        <f>#REF!*#REF!^5/(Conv!$I$5*Conv!$D$46)/10^6 +#REF!</f>
        <v>#REF!</v>
      </c>
      <c r="S278" s="177"/>
      <c r="T278" s="177"/>
      <c r="U278" s="177"/>
      <c r="V278" s="177"/>
      <c r="W278" s="177"/>
      <c r="X278" s="177"/>
      <c r="Y278" s="177"/>
      <c r="Z278" s="177"/>
      <c r="AA278" s="177"/>
      <c r="AB278" s="177"/>
      <c r="AC278" s="177"/>
    </row>
    <row r="279" spans="2:29">
      <c r="B279" s="158" t="s">
        <v>398</v>
      </c>
      <c r="C279" s="158" t="e">
        <f>Technologies!C693</f>
        <v>#REF!</v>
      </c>
      <c r="D279" s="158" t="e">
        <f>Technologies!D693</f>
        <v>#REF!</v>
      </c>
      <c r="E279" s="197" t="e">
        <f>Commodities!C187</f>
        <v>#REF!</v>
      </c>
      <c r="F279" s="197" t="e">
        <f>Commodities!C230</f>
        <v>#REF!</v>
      </c>
      <c r="G279" s="204">
        <v>1</v>
      </c>
      <c r="H279" s="203" t="e">
        <f>#REF!*#REF!^5/(Conv!$I$5*Conv!$D$46)/10^6 +#REF!</f>
        <v>#REF!</v>
      </c>
      <c r="I279" s="203" t="e">
        <f>#REF!*#REF!^5/(Conv!$I$5*Conv!$D$46)/10^6 +#REF!</f>
        <v>#REF!</v>
      </c>
      <c r="J279" s="203" t="e">
        <f>#REF!*#REF!^5/(Conv!$I$5*Conv!$D$46)/10^6 +#REF!</f>
        <v>#REF!</v>
      </c>
      <c r="K279" s="203" t="e">
        <f>#REF!*#REF!^5/(Conv!$I$5*Conv!$D$46)/10^6 +#REF!</f>
        <v>#REF!</v>
      </c>
      <c r="L279" s="203" t="e">
        <f>#REF!*#REF!^5/(Conv!$I$5*Conv!$D$46)/10^6 +#REF!</f>
        <v>#REF!</v>
      </c>
      <c r="M279" s="203" t="e">
        <f>#REF!*#REF!^5/(Conv!$I$5*Conv!$D$46)/10^6 +#REF!</f>
        <v>#REF!</v>
      </c>
      <c r="N279" s="203" t="e">
        <f>#REF!*#REF!^5/(Conv!$I$5*Conv!$D$46)/10^6 +#REF!</f>
        <v>#REF!</v>
      </c>
      <c r="O279" s="203" t="e">
        <f>#REF!*#REF!^5/(Conv!$I$5*Conv!$D$46)/10^6 +#REF!</f>
        <v>#REF!</v>
      </c>
      <c r="P279" s="203" t="e">
        <f>#REF!*#REF!^5/(Conv!$I$5*Conv!$D$46)/10^6 +#REF!</f>
        <v>#REF!</v>
      </c>
      <c r="Q279" s="203" t="e">
        <f>#REF!*#REF!^5/(Conv!$I$5*Conv!$D$46)/10^6 +#REF!</f>
        <v>#REF!</v>
      </c>
      <c r="S279" s="177"/>
      <c r="T279" s="177"/>
      <c r="U279" s="177"/>
      <c r="V279" s="177"/>
      <c r="W279" s="177"/>
      <c r="X279" s="177"/>
      <c r="Y279" s="177"/>
      <c r="Z279" s="177"/>
      <c r="AA279" s="177"/>
      <c r="AB279" s="177"/>
      <c r="AC279" s="177"/>
    </row>
    <row r="280" spans="2:29">
      <c r="B280" s="158" t="s">
        <v>398</v>
      </c>
      <c r="C280" s="158" t="e">
        <f>Technologies!C694</f>
        <v>#REF!</v>
      </c>
      <c r="D280" s="158" t="e">
        <f>Technologies!D694</f>
        <v>#REF!</v>
      </c>
      <c r="E280" s="197" t="e">
        <f>Commodities!C188</f>
        <v>#REF!</v>
      </c>
      <c r="F280" s="197" t="e">
        <f>Commodities!C231</f>
        <v>#REF!</v>
      </c>
      <c r="G280" s="204">
        <v>1</v>
      </c>
      <c r="H280" s="203" t="e">
        <f>#REF!*#REF!^5/(Conv!$I$5*Conv!$D$46)/10^6 +#REF!</f>
        <v>#REF!</v>
      </c>
      <c r="I280" s="203" t="e">
        <f>#REF!*#REF!^5/(Conv!$I$5*Conv!$D$46)/10^6 +#REF!</f>
        <v>#REF!</v>
      </c>
      <c r="J280" s="203" t="e">
        <f>#REF!*#REF!^5/(Conv!$I$5*Conv!$D$46)/10^6 +#REF!</f>
        <v>#REF!</v>
      </c>
      <c r="K280" s="203" t="e">
        <f>#REF!*#REF!^5/(Conv!$I$5*Conv!$D$46)/10^6 +#REF!</f>
        <v>#REF!</v>
      </c>
      <c r="L280" s="203" t="e">
        <f>#REF!*#REF!^5/(Conv!$I$5*Conv!$D$46)/10^6 +#REF!</f>
        <v>#REF!</v>
      </c>
      <c r="M280" s="203" t="e">
        <f>#REF!*#REF!^5/(Conv!$I$5*Conv!$D$46)/10^6 +#REF!</f>
        <v>#REF!</v>
      </c>
      <c r="N280" s="203" t="e">
        <f>#REF!*#REF!^5/(Conv!$I$5*Conv!$D$46)/10^6 +#REF!</f>
        <v>#REF!</v>
      </c>
      <c r="O280" s="203" t="e">
        <f>#REF!*#REF!^5/(Conv!$I$5*Conv!$D$46)/10^6 +#REF!</f>
        <v>#REF!</v>
      </c>
      <c r="P280" s="203" t="e">
        <f>#REF!*#REF!^5/(Conv!$I$5*Conv!$D$46)/10^6 +#REF!</f>
        <v>#REF!</v>
      </c>
      <c r="Q280" s="203" t="e">
        <f>#REF!*#REF!^5/(Conv!$I$5*Conv!$D$46)/10^6 +#REF!</f>
        <v>#REF!</v>
      </c>
      <c r="S280" s="177"/>
      <c r="T280" s="177"/>
      <c r="U280" s="177"/>
      <c r="V280" s="177"/>
      <c r="W280" s="177"/>
      <c r="X280" s="177"/>
      <c r="Y280" s="177"/>
      <c r="Z280" s="177"/>
      <c r="AA280" s="177"/>
      <c r="AB280" s="177"/>
      <c r="AC280" s="177"/>
    </row>
    <row r="281" spans="2:29">
      <c r="B281" s="158" t="s">
        <v>398</v>
      </c>
      <c r="C281" s="158" t="e">
        <f>Technologies!C695</f>
        <v>#REF!</v>
      </c>
      <c r="D281" s="158" t="e">
        <f>Technologies!D695</f>
        <v>#REF!</v>
      </c>
      <c r="E281" s="197" t="e">
        <f>E280</f>
        <v>#REF!</v>
      </c>
      <c r="F281" s="197" t="e">
        <f>Commodities!C232</f>
        <v>#REF!</v>
      </c>
      <c r="G281" s="204">
        <v>1</v>
      </c>
      <c r="H281" s="203" t="e">
        <f>#REF!*#REF!^5/(Conv!$I$5*Conv!$D$46)/10^6 +#REF!</f>
        <v>#REF!</v>
      </c>
      <c r="I281" s="203" t="e">
        <f>#REF!*#REF!^5/(Conv!$I$5*Conv!$D$46)/10^6 +#REF!</f>
        <v>#REF!</v>
      </c>
      <c r="J281" s="203" t="e">
        <f>#REF!*#REF!^5/(Conv!$I$5*Conv!$D$46)/10^6 +#REF!</f>
        <v>#REF!</v>
      </c>
      <c r="K281" s="203" t="e">
        <f>#REF!*#REF!^5/(Conv!$I$5*Conv!$D$46)/10^6 +#REF!</f>
        <v>#REF!</v>
      </c>
      <c r="L281" s="203" t="e">
        <f>#REF!*#REF!^5/(Conv!$I$5*Conv!$D$46)/10^6 +#REF!</f>
        <v>#REF!</v>
      </c>
      <c r="M281" s="203" t="e">
        <f>#REF!*#REF!^5/(Conv!$I$5*Conv!$D$46)/10^6 +#REF!</f>
        <v>#REF!</v>
      </c>
      <c r="N281" s="203" t="e">
        <f>#REF!*#REF!^5/(Conv!$I$5*Conv!$D$46)/10^6 +#REF!</f>
        <v>#REF!</v>
      </c>
      <c r="O281" s="203" t="e">
        <f>#REF!*#REF!^5/(Conv!$I$5*Conv!$D$46)/10^6 +#REF!</f>
        <v>#REF!</v>
      </c>
      <c r="P281" s="203" t="e">
        <f>#REF!*#REF!^5/(Conv!$I$5*Conv!$D$46)/10^6 +#REF!</f>
        <v>#REF!</v>
      </c>
      <c r="Q281" s="203" t="e">
        <f>#REF!*#REF!^5/(Conv!$I$5*Conv!$D$46)/10^6 +#REF!</f>
        <v>#REF!</v>
      </c>
      <c r="S281" s="177"/>
      <c r="T281" s="177"/>
      <c r="U281" s="177"/>
      <c r="V281" s="177"/>
      <c r="W281" s="177"/>
      <c r="X281" s="177"/>
      <c r="Y281" s="177"/>
      <c r="Z281" s="177"/>
      <c r="AA281" s="177"/>
      <c r="AB281" s="177"/>
      <c r="AC281" s="177"/>
    </row>
    <row r="282" spans="2:29">
      <c r="B282" s="158" t="s">
        <v>398</v>
      </c>
      <c r="C282" s="158" t="e">
        <f>Technologies!C696</f>
        <v>#REF!</v>
      </c>
      <c r="D282" s="158" t="e">
        <f>Technologies!D696</f>
        <v>#REF!</v>
      </c>
      <c r="E282" s="197" t="e">
        <f>E281</f>
        <v>#REF!</v>
      </c>
      <c r="F282" s="197" t="e">
        <f>Commodities!C233</f>
        <v>#REF!</v>
      </c>
      <c r="G282" s="204">
        <v>1</v>
      </c>
      <c r="H282" s="203" t="e">
        <f>#REF!*#REF!^5/(Conv!$I$5*Conv!$D$46)/10^6 +#REF!</f>
        <v>#REF!</v>
      </c>
      <c r="I282" s="203" t="e">
        <f>#REF!*#REF!^5/(Conv!$I$5*Conv!$D$46)/10^6 +#REF!</f>
        <v>#REF!</v>
      </c>
      <c r="J282" s="203" t="e">
        <f>#REF!*#REF!^5/(Conv!$I$5*Conv!$D$46)/10^6 +#REF!</f>
        <v>#REF!</v>
      </c>
      <c r="K282" s="203" t="e">
        <f>#REF!*#REF!^5/(Conv!$I$5*Conv!$D$46)/10^6 +#REF!</f>
        <v>#REF!</v>
      </c>
      <c r="L282" s="203" t="e">
        <f>#REF!*#REF!^5/(Conv!$I$5*Conv!$D$46)/10^6 +#REF!</f>
        <v>#REF!</v>
      </c>
      <c r="M282" s="203" t="e">
        <f>#REF!*#REF!^5/(Conv!$I$5*Conv!$D$46)/10^6 +#REF!</f>
        <v>#REF!</v>
      </c>
      <c r="N282" s="203" t="e">
        <f>#REF!*#REF!^5/(Conv!$I$5*Conv!$D$46)/10^6 +#REF!</f>
        <v>#REF!</v>
      </c>
      <c r="O282" s="203" t="e">
        <f>#REF!*#REF!^5/(Conv!$I$5*Conv!$D$46)/10^6 +#REF!</f>
        <v>#REF!</v>
      </c>
      <c r="P282" s="203" t="e">
        <f>#REF!*#REF!^5/(Conv!$I$5*Conv!$D$46)/10^6 +#REF!</f>
        <v>#REF!</v>
      </c>
      <c r="Q282" s="203" t="e">
        <f>#REF!*#REF!^5/(Conv!$I$5*Conv!$D$46)/10^6 +#REF!</f>
        <v>#REF!</v>
      </c>
      <c r="S282" s="177"/>
      <c r="T282" s="177"/>
      <c r="U282" s="177"/>
      <c r="V282" s="177"/>
      <c r="W282" s="177"/>
      <c r="X282" s="177"/>
      <c r="Y282" s="177"/>
      <c r="Z282" s="177"/>
      <c r="AA282" s="177"/>
      <c r="AB282" s="177"/>
      <c r="AC282" s="177"/>
    </row>
    <row r="283" spans="2:29">
      <c r="B283" s="158" t="s">
        <v>398</v>
      </c>
      <c r="C283" s="158" t="e">
        <f>Technologies!C697</f>
        <v>#REF!</v>
      </c>
      <c r="D283" s="158" t="e">
        <f>Technologies!D697</f>
        <v>#REF!</v>
      </c>
      <c r="E283" s="197" t="e">
        <f>Commodities!C189</f>
        <v>#REF!</v>
      </c>
      <c r="F283" s="197" t="e">
        <f>Commodities!C234</f>
        <v>#REF!</v>
      </c>
      <c r="G283" s="204">
        <v>1</v>
      </c>
      <c r="H283" s="203" t="e">
        <f>#REF!*#REF!^5/(Conv!$I$5*Conv!$D$46)/10^6 +#REF!</f>
        <v>#REF!</v>
      </c>
      <c r="I283" s="203" t="e">
        <f>#REF!*#REF!^5/(Conv!$I$5*Conv!$D$46)/10^6 +#REF!</f>
        <v>#REF!</v>
      </c>
      <c r="J283" s="203" t="e">
        <f>#REF!*#REF!^5/(Conv!$I$5*Conv!$D$46)/10^6 +#REF!</f>
        <v>#REF!</v>
      </c>
      <c r="K283" s="203" t="e">
        <f>#REF!*#REF!^5/(Conv!$I$5*Conv!$D$46)/10^6 +#REF!</f>
        <v>#REF!</v>
      </c>
      <c r="L283" s="203" t="e">
        <f>#REF!*#REF!^5/(Conv!$I$5*Conv!$D$46)/10^6 +#REF!</f>
        <v>#REF!</v>
      </c>
      <c r="M283" s="203" t="e">
        <f>#REF!*#REF!^5/(Conv!$I$5*Conv!$D$46)/10^6 +#REF!</f>
        <v>#REF!</v>
      </c>
      <c r="N283" s="203" t="e">
        <f>#REF!*#REF!^5/(Conv!$I$5*Conv!$D$46)/10^6 +#REF!</f>
        <v>#REF!</v>
      </c>
      <c r="O283" s="203" t="e">
        <f>#REF!*#REF!^5/(Conv!$I$5*Conv!$D$46)/10^6 +#REF!</f>
        <v>#REF!</v>
      </c>
      <c r="P283" s="203" t="e">
        <f>#REF!*#REF!^5/(Conv!$I$5*Conv!$D$46)/10^6 +#REF!</f>
        <v>#REF!</v>
      </c>
      <c r="Q283" s="203" t="e">
        <f>#REF!*#REF!^5/(Conv!$I$5*Conv!$D$46)/10^6 +#REF!</f>
        <v>#REF!</v>
      </c>
      <c r="S283" s="177"/>
      <c r="T283" s="177"/>
      <c r="U283" s="177"/>
      <c r="V283" s="177"/>
      <c r="W283" s="177"/>
      <c r="X283" s="177"/>
      <c r="Y283" s="177"/>
      <c r="Z283" s="177"/>
      <c r="AA283" s="177"/>
      <c r="AB283" s="177"/>
      <c r="AC283" s="177"/>
    </row>
    <row r="284" spans="2:29">
      <c r="B284" s="158" t="s">
        <v>398</v>
      </c>
      <c r="C284" s="158" t="e">
        <f>Technologies!C698</f>
        <v>#REF!</v>
      </c>
      <c r="D284" s="158" t="e">
        <f>Technologies!D698</f>
        <v>#REF!</v>
      </c>
      <c r="E284" s="197" t="e">
        <f>E283</f>
        <v>#REF!</v>
      </c>
      <c r="F284" s="197" t="e">
        <f>Commodities!C235</f>
        <v>#REF!</v>
      </c>
      <c r="G284" s="204">
        <v>1</v>
      </c>
      <c r="H284" s="203" t="e">
        <f>#REF!*#REF!^5/(Conv!$I$5*Conv!$D$46)/10^6 +#REF!</f>
        <v>#REF!</v>
      </c>
      <c r="I284" s="203" t="e">
        <f>#REF!*#REF!^5/(Conv!$I$5*Conv!$D$46)/10^6 +#REF!</f>
        <v>#REF!</v>
      </c>
      <c r="J284" s="203" t="e">
        <f>#REF!*#REF!^5/(Conv!$I$5*Conv!$D$46)/10^6 +#REF!</f>
        <v>#REF!</v>
      </c>
      <c r="K284" s="203" t="e">
        <f>#REF!*#REF!^5/(Conv!$I$5*Conv!$D$46)/10^6 +#REF!</f>
        <v>#REF!</v>
      </c>
      <c r="L284" s="203" t="e">
        <f>#REF!*#REF!^5/(Conv!$I$5*Conv!$D$46)/10^6 +#REF!</f>
        <v>#REF!</v>
      </c>
      <c r="M284" s="203" t="e">
        <f>#REF!*#REF!^5/(Conv!$I$5*Conv!$D$46)/10^6 +#REF!</f>
        <v>#REF!</v>
      </c>
      <c r="N284" s="203" t="e">
        <f>#REF!*#REF!^5/(Conv!$I$5*Conv!$D$46)/10^6 +#REF!</f>
        <v>#REF!</v>
      </c>
      <c r="O284" s="203" t="e">
        <f>#REF!*#REF!^5/(Conv!$I$5*Conv!$D$46)/10^6 +#REF!</f>
        <v>#REF!</v>
      </c>
      <c r="P284" s="203" t="e">
        <f>#REF!*#REF!^5/(Conv!$I$5*Conv!$D$46)/10^6 +#REF!</f>
        <v>#REF!</v>
      </c>
      <c r="Q284" s="203" t="e">
        <f>#REF!*#REF!^5/(Conv!$I$5*Conv!$D$46)/10^6 +#REF!</f>
        <v>#REF!</v>
      </c>
      <c r="S284" s="177"/>
      <c r="T284" s="177"/>
      <c r="U284" s="177"/>
      <c r="V284" s="177"/>
      <c r="W284" s="177"/>
      <c r="X284" s="177"/>
      <c r="Y284" s="177"/>
      <c r="Z284" s="177"/>
      <c r="AA284" s="177"/>
      <c r="AB284" s="177"/>
      <c r="AC284" s="177"/>
    </row>
    <row r="285" spans="2:29">
      <c r="B285" s="158" t="s">
        <v>398</v>
      </c>
      <c r="C285" s="158" t="e">
        <f>Technologies!C699</f>
        <v>#REF!</v>
      </c>
      <c r="D285" s="158" t="e">
        <f>Technologies!D699</f>
        <v>#REF!</v>
      </c>
      <c r="E285" s="197" t="e">
        <f>E284</f>
        <v>#REF!</v>
      </c>
      <c r="F285" s="197" t="e">
        <f>Commodities!C236</f>
        <v>#REF!</v>
      </c>
      <c r="G285" s="204">
        <v>1</v>
      </c>
      <c r="H285" s="203" t="e">
        <f>#REF!*#REF!^5/(Conv!$I$5*Conv!$D$46)/10^6 +#REF!</f>
        <v>#REF!</v>
      </c>
      <c r="I285" s="203" t="e">
        <f>#REF!*#REF!^5/(Conv!$I$5*Conv!$D$46)/10^6 +#REF!</f>
        <v>#REF!</v>
      </c>
      <c r="J285" s="203" t="e">
        <f>#REF!*#REF!^5/(Conv!$I$5*Conv!$D$46)/10^6 +#REF!</f>
        <v>#REF!</v>
      </c>
      <c r="K285" s="203" t="e">
        <f>#REF!*#REF!^5/(Conv!$I$5*Conv!$D$46)/10^6 +#REF!</f>
        <v>#REF!</v>
      </c>
      <c r="L285" s="203" t="e">
        <f>#REF!*#REF!^5/(Conv!$I$5*Conv!$D$46)/10^6 +#REF!</f>
        <v>#REF!</v>
      </c>
      <c r="M285" s="203" t="e">
        <f>#REF!*#REF!^5/(Conv!$I$5*Conv!$D$46)/10^6 +#REF!</f>
        <v>#REF!</v>
      </c>
      <c r="N285" s="203" t="e">
        <f>#REF!*#REF!^5/(Conv!$I$5*Conv!$D$46)/10^6 +#REF!</f>
        <v>#REF!</v>
      </c>
      <c r="O285" s="203" t="e">
        <f>#REF!*#REF!^5/(Conv!$I$5*Conv!$D$46)/10^6 +#REF!</f>
        <v>#REF!</v>
      </c>
      <c r="P285" s="203" t="e">
        <f>#REF!*#REF!^5/(Conv!$I$5*Conv!$D$46)/10^6 +#REF!</f>
        <v>#REF!</v>
      </c>
      <c r="Q285" s="203" t="e">
        <f>#REF!*#REF!^5/(Conv!$I$5*Conv!$D$46)/10^6 +#REF!</f>
        <v>#REF!</v>
      </c>
      <c r="S285" s="177"/>
      <c r="T285" s="177"/>
      <c r="U285" s="177"/>
      <c r="V285" s="177"/>
      <c r="W285" s="177"/>
      <c r="X285" s="177"/>
      <c r="Y285" s="177"/>
      <c r="Z285" s="177"/>
      <c r="AA285" s="177"/>
      <c r="AB285" s="177"/>
      <c r="AC285" s="177"/>
    </row>
    <row r="286" spans="2:29">
      <c r="B286" s="158" t="s">
        <v>398</v>
      </c>
      <c r="C286" s="158" t="e">
        <f>Technologies!C700</f>
        <v>#REF!</v>
      </c>
      <c r="D286" s="158" t="e">
        <f>Technologies!D700</f>
        <v>#REF!</v>
      </c>
      <c r="E286" s="197" t="e">
        <f>E285</f>
        <v>#REF!</v>
      </c>
      <c r="F286" s="197" t="e">
        <f>Commodities!C237</f>
        <v>#REF!</v>
      </c>
      <c r="G286" s="204">
        <v>1</v>
      </c>
      <c r="H286" s="203" t="e">
        <f>#REF!*#REF!^5/(Conv!$I$5*Conv!$D$46)/10^6 +#REF!</f>
        <v>#REF!</v>
      </c>
      <c r="I286" s="203" t="e">
        <f>#REF!*#REF!^5/(Conv!$I$5*Conv!$D$46)/10^6 +#REF!</f>
        <v>#REF!</v>
      </c>
      <c r="J286" s="203" t="e">
        <f>#REF!*#REF!^5/(Conv!$I$5*Conv!$D$46)/10^6 +#REF!</f>
        <v>#REF!</v>
      </c>
      <c r="K286" s="203" t="e">
        <f>#REF!*#REF!^5/(Conv!$I$5*Conv!$D$46)/10^6 +#REF!</f>
        <v>#REF!</v>
      </c>
      <c r="L286" s="203" t="e">
        <f>#REF!*#REF!^5/(Conv!$I$5*Conv!$D$46)/10^6 +#REF!</f>
        <v>#REF!</v>
      </c>
      <c r="M286" s="203" t="e">
        <f>#REF!*#REF!^5/(Conv!$I$5*Conv!$D$46)/10^6 +#REF!</f>
        <v>#REF!</v>
      </c>
      <c r="N286" s="203" t="e">
        <f>#REF!*#REF!^5/(Conv!$I$5*Conv!$D$46)/10^6 +#REF!</f>
        <v>#REF!</v>
      </c>
      <c r="O286" s="203" t="e">
        <f>#REF!*#REF!^5/(Conv!$I$5*Conv!$D$46)/10^6 +#REF!</f>
        <v>#REF!</v>
      </c>
      <c r="P286" s="203" t="e">
        <f>#REF!*#REF!^5/(Conv!$I$5*Conv!$D$46)/10^6 +#REF!</f>
        <v>#REF!</v>
      </c>
      <c r="Q286" s="203" t="e">
        <f>#REF!*#REF!^5/(Conv!$I$5*Conv!$D$46)/10^6 +#REF!</f>
        <v>#REF!</v>
      </c>
      <c r="S286" s="177"/>
      <c r="T286" s="177"/>
      <c r="U286" s="177"/>
      <c r="V286" s="177"/>
      <c r="W286" s="177"/>
      <c r="X286" s="177"/>
      <c r="Y286" s="177"/>
      <c r="Z286" s="177"/>
      <c r="AA286" s="177"/>
      <c r="AB286" s="177"/>
      <c r="AC286" s="177"/>
    </row>
    <row r="287" spans="2:29">
      <c r="B287" s="158" t="s">
        <v>398</v>
      </c>
      <c r="C287" s="158" t="e">
        <f>Technologies!C701</f>
        <v>#REF!</v>
      </c>
      <c r="D287" s="158" t="e">
        <f>Technologies!D701</f>
        <v>#REF!</v>
      </c>
      <c r="E287" s="197" t="e">
        <f>Commodities!C190</f>
        <v>#REF!</v>
      </c>
      <c r="F287" s="197" t="e">
        <f>Commodities!C238</f>
        <v>#REF!</v>
      </c>
      <c r="G287" s="204">
        <v>1</v>
      </c>
      <c r="H287" s="203" t="e">
        <f>#REF!*#REF!^5/(Conv!$I$5*Conv!$D$46)/10^6 +#REF!</f>
        <v>#REF!</v>
      </c>
      <c r="I287" s="203" t="e">
        <f>#REF!*#REF!^5/(Conv!$I$5*Conv!$D$46)/10^6 +#REF!</f>
        <v>#REF!</v>
      </c>
      <c r="J287" s="203" t="e">
        <f>#REF!*#REF!^5/(Conv!$I$5*Conv!$D$46)/10^6 +#REF!</f>
        <v>#REF!</v>
      </c>
      <c r="K287" s="203" t="e">
        <f>#REF!*#REF!^5/(Conv!$I$5*Conv!$D$46)/10^6 +#REF!</f>
        <v>#REF!</v>
      </c>
      <c r="L287" s="203" t="e">
        <f>#REF!*#REF!^5/(Conv!$I$5*Conv!$D$46)/10^6 +#REF!</f>
        <v>#REF!</v>
      </c>
      <c r="M287" s="203" t="e">
        <f>#REF!*#REF!^5/(Conv!$I$5*Conv!$D$46)/10^6 +#REF!</f>
        <v>#REF!</v>
      </c>
      <c r="N287" s="203" t="e">
        <f>#REF!*#REF!^5/(Conv!$I$5*Conv!$D$46)/10^6 +#REF!</f>
        <v>#REF!</v>
      </c>
      <c r="O287" s="203" t="e">
        <f>#REF!*#REF!^5/(Conv!$I$5*Conv!$D$46)/10^6 +#REF!</f>
        <v>#REF!</v>
      </c>
      <c r="P287" s="203" t="e">
        <f>#REF!*#REF!^5/(Conv!$I$5*Conv!$D$46)/10^6 +#REF!</f>
        <v>#REF!</v>
      </c>
      <c r="Q287" s="203" t="e">
        <f>#REF!*#REF!^5/(Conv!$I$5*Conv!$D$46)/10^6 +#REF!</f>
        <v>#REF!</v>
      </c>
      <c r="S287" s="177"/>
      <c r="T287" s="177"/>
      <c r="U287" s="177"/>
      <c r="V287" s="177"/>
      <c r="W287" s="177"/>
      <c r="X287" s="177"/>
      <c r="Y287" s="177"/>
      <c r="Z287" s="177"/>
      <c r="AA287" s="177"/>
      <c r="AB287" s="177"/>
      <c r="AC287" s="177"/>
    </row>
    <row r="288" spans="2:29">
      <c r="B288" s="158" t="s">
        <v>398</v>
      </c>
      <c r="C288" s="158" t="e">
        <f>Technologies!C702</f>
        <v>#REF!</v>
      </c>
      <c r="D288" s="158" t="e">
        <f>Technologies!D702</f>
        <v>#REF!</v>
      </c>
      <c r="E288" s="197" t="e">
        <f>Commodities!C191</f>
        <v>#REF!</v>
      </c>
      <c r="F288" s="197" t="e">
        <f>Commodities!C239</f>
        <v>#REF!</v>
      </c>
      <c r="G288" s="204">
        <v>1</v>
      </c>
      <c r="H288" s="203" t="e">
        <f>#REF!*#REF!^5/(Conv!$I$5*Conv!$D$46)/10^6 +#REF!</f>
        <v>#REF!</v>
      </c>
      <c r="I288" s="203" t="e">
        <f>#REF!*#REF!^5/(Conv!$I$5*Conv!$D$46)/10^6 +#REF!</f>
        <v>#REF!</v>
      </c>
      <c r="J288" s="203" t="e">
        <f>#REF!*#REF!^5/(Conv!$I$5*Conv!$D$46)/10^6 +#REF!</f>
        <v>#REF!</v>
      </c>
      <c r="K288" s="203" t="e">
        <f>#REF!*#REF!^5/(Conv!$I$5*Conv!$D$46)/10^6 +#REF!</f>
        <v>#REF!</v>
      </c>
      <c r="L288" s="203" t="e">
        <f>#REF!*#REF!^5/(Conv!$I$5*Conv!$D$46)/10^6 +#REF!</f>
        <v>#REF!</v>
      </c>
      <c r="M288" s="203" t="e">
        <f>#REF!*#REF!^5/(Conv!$I$5*Conv!$D$46)/10^6 +#REF!</f>
        <v>#REF!</v>
      </c>
      <c r="N288" s="203" t="e">
        <f>#REF!*#REF!^5/(Conv!$I$5*Conv!$D$46)/10^6 +#REF!</f>
        <v>#REF!</v>
      </c>
      <c r="O288" s="203" t="e">
        <f>#REF!*#REF!^5/(Conv!$I$5*Conv!$D$46)/10^6 +#REF!</f>
        <v>#REF!</v>
      </c>
      <c r="P288" s="203" t="e">
        <f>#REF!*#REF!^5/(Conv!$I$5*Conv!$D$46)/10^6 +#REF!</f>
        <v>#REF!</v>
      </c>
      <c r="Q288" s="203" t="e">
        <f>#REF!*#REF!^5/(Conv!$I$5*Conv!$D$46)/10^6 +#REF!</f>
        <v>#REF!</v>
      </c>
      <c r="S288" s="177"/>
      <c r="T288" s="177"/>
      <c r="U288" s="177"/>
      <c r="V288" s="177"/>
      <c r="W288" s="177"/>
      <c r="X288" s="177"/>
      <c r="Y288" s="177"/>
      <c r="Z288" s="177"/>
      <c r="AA288" s="177"/>
      <c r="AB288" s="177"/>
      <c r="AC288" s="177"/>
    </row>
    <row r="289" spans="2:29">
      <c r="B289" s="158" t="s">
        <v>398</v>
      </c>
      <c r="C289" s="158" t="e">
        <f>Technologies!C703</f>
        <v>#REF!</v>
      </c>
      <c r="D289" s="158" t="e">
        <f>Technologies!D703</f>
        <v>#REF!</v>
      </c>
      <c r="E289" s="197" t="e">
        <f>Commodities!C193</f>
        <v>#REF!</v>
      </c>
      <c r="F289" s="197" t="str">
        <f>Commodities!C240</f>
        <v>RESRFL</v>
      </c>
      <c r="G289" s="204">
        <v>1</v>
      </c>
      <c r="H289" s="203" t="e">
        <f>#REF!*#REF!^5/(Conv!$I$5*Conv!$D$46)/10^6 +#REF!</f>
        <v>#REF!</v>
      </c>
      <c r="I289" s="203" t="e">
        <f>#REF!*#REF!^5/(Conv!$I$5*Conv!$D$46)/10^6 +#REF!</f>
        <v>#REF!</v>
      </c>
      <c r="J289" s="203" t="e">
        <f>#REF!*#REF!^5/(Conv!$I$5*Conv!$D$46)/10^6 +#REF!</f>
        <v>#REF!</v>
      </c>
      <c r="K289" s="203" t="e">
        <f>#REF!*#REF!^5/(Conv!$I$5*Conv!$D$46)/10^6 +#REF!</f>
        <v>#REF!</v>
      </c>
      <c r="L289" s="203" t="e">
        <f>#REF!*#REF!^5/(Conv!$I$5*Conv!$D$46)/10^6 +#REF!</f>
        <v>#REF!</v>
      </c>
      <c r="M289" s="203" t="e">
        <f>#REF!*#REF!^5/(Conv!$I$5*Conv!$D$46)/10^6 +#REF!</f>
        <v>#REF!</v>
      </c>
      <c r="N289" s="203" t="e">
        <f>#REF!*#REF!^5/(Conv!$I$5*Conv!$D$46)/10^6 +#REF!</f>
        <v>#REF!</v>
      </c>
      <c r="O289" s="203" t="e">
        <f>#REF!*#REF!^5/(Conv!$I$5*Conv!$D$46)/10^6 +#REF!</f>
        <v>#REF!</v>
      </c>
      <c r="P289" s="203" t="e">
        <f>#REF!*#REF!^5/(Conv!$I$5*Conv!$D$46)/10^6 +#REF!</f>
        <v>#REF!</v>
      </c>
      <c r="Q289" s="203" t="e">
        <f>#REF!*#REF!^5/(Conv!$I$5*Conv!$D$46)/10^6 +#REF!</f>
        <v>#REF!</v>
      </c>
      <c r="S289" s="177"/>
      <c r="T289" s="177"/>
      <c r="U289" s="177"/>
      <c r="V289" s="177"/>
      <c r="W289" s="177"/>
      <c r="X289" s="177"/>
      <c r="Y289" s="177"/>
      <c r="Z289" s="177"/>
      <c r="AA289" s="177"/>
      <c r="AB289" s="177"/>
      <c r="AC289" s="177"/>
    </row>
    <row r="290" spans="2:29">
      <c r="B290" s="158" t="s">
        <v>398</v>
      </c>
      <c r="C290" s="158" t="e">
        <f>Technologies!C704</f>
        <v>#REF!</v>
      </c>
      <c r="D290" s="158" t="e">
        <f>Technologies!D704</f>
        <v>#REF!</v>
      </c>
      <c r="E290" s="197" t="e">
        <f>Commodities!C193</f>
        <v>#REF!</v>
      </c>
      <c r="F290" s="197" t="e">
        <f>Commodities!C241</f>
        <v>#REF!</v>
      </c>
      <c r="G290" s="204">
        <v>1</v>
      </c>
      <c r="H290" s="203" t="e">
        <f>#REF!*#REF!^5/(Conv!$I$5*Conv!$D$46)/10^6 +#REF!</f>
        <v>#REF!</v>
      </c>
      <c r="I290" s="203" t="e">
        <f>#REF!*#REF!^5/(Conv!$I$5*Conv!$D$46)/10^6 +#REF!</f>
        <v>#REF!</v>
      </c>
      <c r="J290" s="203" t="e">
        <f>#REF!*#REF!^5/(Conv!$I$5*Conv!$D$46)/10^6 +#REF!</f>
        <v>#REF!</v>
      </c>
      <c r="K290" s="203" t="e">
        <f>#REF!*#REF!^5/(Conv!$I$5*Conv!$D$46)/10^6 +#REF!</f>
        <v>#REF!</v>
      </c>
      <c r="L290" s="203" t="e">
        <f>#REF!*#REF!^5/(Conv!$I$5*Conv!$D$46)/10^6 +#REF!</f>
        <v>#REF!</v>
      </c>
      <c r="M290" s="203" t="e">
        <f>#REF!*#REF!^5/(Conv!$I$5*Conv!$D$46)/10^6 +#REF!</f>
        <v>#REF!</v>
      </c>
      <c r="N290" s="203" t="e">
        <f>#REF!*#REF!^5/(Conv!$I$5*Conv!$D$46)/10^6 +#REF!</f>
        <v>#REF!</v>
      </c>
      <c r="O290" s="203" t="e">
        <f>#REF!*#REF!^5/(Conv!$I$5*Conv!$D$46)/10^6 +#REF!</f>
        <v>#REF!</v>
      </c>
      <c r="P290" s="203" t="e">
        <f>#REF!*#REF!^5/(Conv!$I$5*Conv!$D$46)/10^6 +#REF!</f>
        <v>#REF!</v>
      </c>
      <c r="Q290" s="203" t="e">
        <f>#REF!*#REF!^5/(Conv!$I$5*Conv!$D$46)/10^6 +#REF!</f>
        <v>#REF!</v>
      </c>
      <c r="S290" s="177"/>
      <c r="T290" s="177"/>
      <c r="U290" s="177"/>
      <c r="V290" s="177"/>
      <c r="W290" s="177"/>
      <c r="X290" s="177"/>
      <c r="Y290" s="177"/>
      <c r="Z290" s="177"/>
      <c r="AA290" s="177"/>
      <c r="AB290" s="177"/>
      <c r="AC290" s="177"/>
    </row>
    <row r="291" spans="2:29">
      <c r="B291" s="158" t="s">
        <v>398</v>
      </c>
      <c r="C291" s="158" t="e">
        <f>Technologies!C705</f>
        <v>#REF!</v>
      </c>
      <c r="D291" s="158" t="e">
        <f>Technologies!D705</f>
        <v>#REF!</v>
      </c>
      <c r="E291" s="197" t="e">
        <f>E290</f>
        <v>#REF!</v>
      </c>
      <c r="F291" s="197" t="e">
        <f>Commodities!C242</f>
        <v>#REF!</v>
      </c>
      <c r="G291" s="204">
        <v>1</v>
      </c>
      <c r="H291" s="203" t="e">
        <f>#REF!*#REF!^5/(Conv!$I$5*Conv!$D$46)/10^6 +#REF!</f>
        <v>#REF!</v>
      </c>
      <c r="I291" s="203" t="e">
        <f>#REF!*#REF!^5/(Conv!$I$5*Conv!$D$46)/10^6 +#REF!</f>
        <v>#REF!</v>
      </c>
      <c r="J291" s="203" t="e">
        <f>#REF!*#REF!^5/(Conv!$I$5*Conv!$D$46)/10^6 +#REF!</f>
        <v>#REF!</v>
      </c>
      <c r="K291" s="203" t="e">
        <f>#REF!*#REF!^5/(Conv!$I$5*Conv!$D$46)/10^6 +#REF!</f>
        <v>#REF!</v>
      </c>
      <c r="L291" s="203" t="e">
        <f>#REF!*#REF!^5/(Conv!$I$5*Conv!$D$46)/10^6 +#REF!</f>
        <v>#REF!</v>
      </c>
      <c r="M291" s="203" t="e">
        <f>#REF!*#REF!^5/(Conv!$I$5*Conv!$D$46)/10^6 +#REF!</f>
        <v>#REF!</v>
      </c>
      <c r="N291" s="203" t="e">
        <f>#REF!*#REF!^5/(Conv!$I$5*Conv!$D$46)/10^6 +#REF!</f>
        <v>#REF!</v>
      </c>
      <c r="O291" s="203" t="e">
        <f>#REF!*#REF!^5/(Conv!$I$5*Conv!$D$46)/10^6 +#REF!</f>
        <v>#REF!</v>
      </c>
      <c r="P291" s="203" t="e">
        <f>#REF!*#REF!^5/(Conv!$I$5*Conv!$D$46)/10^6 +#REF!</f>
        <v>#REF!</v>
      </c>
      <c r="Q291" s="203" t="e">
        <f>#REF!*#REF!^5/(Conv!$I$5*Conv!$D$46)/10^6 +#REF!</f>
        <v>#REF!</v>
      </c>
      <c r="S291" s="177"/>
      <c r="T291" s="177"/>
      <c r="U291" s="177"/>
      <c r="V291" s="177"/>
      <c r="W291" s="177"/>
      <c r="X291" s="177"/>
      <c r="Y291" s="177"/>
      <c r="Z291" s="177"/>
      <c r="AA291" s="177"/>
      <c r="AB291" s="177"/>
      <c r="AC291" s="177"/>
    </row>
    <row r="292" spans="2:29">
      <c r="B292" s="158" t="s">
        <v>398</v>
      </c>
      <c r="C292" s="158" t="e">
        <f>Technologies!C706</f>
        <v>#REF!</v>
      </c>
      <c r="D292" s="158" t="e">
        <f>Technologies!D706</f>
        <v>#REF!</v>
      </c>
      <c r="E292" s="197" t="e">
        <f>E291</f>
        <v>#REF!</v>
      </c>
      <c r="F292" s="197" t="e">
        <f>Commodities!C243</f>
        <v>#REF!</v>
      </c>
      <c r="G292" s="204">
        <v>1</v>
      </c>
      <c r="H292" s="203" t="e">
        <f>#REF!*#REF!^5/(Conv!$I$5*Conv!$D$46)/10^6 +#REF!</f>
        <v>#REF!</v>
      </c>
      <c r="I292" s="203" t="e">
        <f>#REF!*#REF!^5/(Conv!$I$5*Conv!$D$46)/10^6 +#REF!</f>
        <v>#REF!</v>
      </c>
      <c r="J292" s="203" t="e">
        <f>#REF!*#REF!^5/(Conv!$I$5*Conv!$D$46)/10^6 +#REF!</f>
        <v>#REF!</v>
      </c>
      <c r="K292" s="203" t="e">
        <f>#REF!*#REF!^5/(Conv!$I$5*Conv!$D$46)/10^6 +#REF!</f>
        <v>#REF!</v>
      </c>
      <c r="L292" s="203" t="e">
        <f>#REF!*#REF!^5/(Conv!$I$5*Conv!$D$46)/10^6 +#REF!</f>
        <v>#REF!</v>
      </c>
      <c r="M292" s="203" t="e">
        <f>#REF!*#REF!^5/(Conv!$I$5*Conv!$D$46)/10^6 +#REF!</f>
        <v>#REF!</v>
      </c>
      <c r="N292" s="203" t="e">
        <f>#REF!*#REF!^5/(Conv!$I$5*Conv!$D$46)/10^6 +#REF!</f>
        <v>#REF!</v>
      </c>
      <c r="O292" s="203" t="e">
        <f>#REF!*#REF!^5/(Conv!$I$5*Conv!$D$46)/10^6 +#REF!</f>
        <v>#REF!</v>
      </c>
      <c r="P292" s="203" t="e">
        <f>#REF!*#REF!^5/(Conv!$I$5*Conv!$D$46)/10^6 +#REF!</f>
        <v>#REF!</v>
      </c>
      <c r="Q292" s="203" t="e">
        <f>#REF!*#REF!^5/(Conv!$I$5*Conv!$D$46)/10^6 +#REF!</f>
        <v>#REF!</v>
      </c>
      <c r="S292" s="177"/>
      <c r="T292" s="177"/>
      <c r="U292" s="177"/>
      <c r="V292" s="177"/>
      <c r="W292" s="177"/>
      <c r="X292" s="177"/>
      <c r="Y292" s="177"/>
      <c r="Z292" s="177"/>
      <c r="AA292" s="177"/>
      <c r="AB292" s="177"/>
      <c r="AC292" s="177"/>
    </row>
    <row r="293" spans="2:29">
      <c r="B293" s="158" t="s">
        <v>398</v>
      </c>
      <c r="C293" s="158" t="e">
        <f>Technologies!C707</f>
        <v>#REF!</v>
      </c>
      <c r="D293" s="158" t="e">
        <f>Technologies!D707</f>
        <v>#REF!</v>
      </c>
      <c r="E293" s="197" t="e">
        <f>Commodities!C192</f>
        <v>#REF!</v>
      </c>
      <c r="F293" s="197" t="e">
        <f>Commodities!C244</f>
        <v>#REF!</v>
      </c>
      <c r="G293" s="204">
        <v>1</v>
      </c>
      <c r="H293" s="203" t="e">
        <f>#REF!*#REF!^5/(Conv!$I$5*Conv!$D$46)/10^6 +#REF!</f>
        <v>#REF!</v>
      </c>
      <c r="I293" s="203" t="e">
        <f>#REF!*#REF!^5/(Conv!$I$5*Conv!$D$46)/10^6 +#REF!</f>
        <v>#REF!</v>
      </c>
      <c r="J293" s="203" t="e">
        <f>#REF!*#REF!^5/(Conv!$I$5*Conv!$D$46)/10^6 +#REF!</f>
        <v>#REF!</v>
      </c>
      <c r="K293" s="203" t="e">
        <f>#REF!*#REF!^5/(Conv!$I$5*Conv!$D$46)/10^6 +#REF!</f>
        <v>#REF!</v>
      </c>
      <c r="L293" s="203" t="e">
        <f>#REF!*#REF!^5/(Conv!$I$5*Conv!$D$46)/10^6 +#REF!</f>
        <v>#REF!</v>
      </c>
      <c r="M293" s="203" t="e">
        <f>#REF!*#REF!^5/(Conv!$I$5*Conv!$D$46)/10^6 +#REF!</f>
        <v>#REF!</v>
      </c>
      <c r="N293" s="203" t="e">
        <f>#REF!*#REF!^5/(Conv!$I$5*Conv!$D$46)/10^6 +#REF!</f>
        <v>#REF!</v>
      </c>
      <c r="O293" s="203" t="e">
        <f>#REF!*#REF!^5/(Conv!$I$5*Conv!$D$46)/10^6 +#REF!</f>
        <v>#REF!</v>
      </c>
      <c r="P293" s="203" t="e">
        <f>#REF!*#REF!^5/(Conv!$I$5*Conv!$D$46)/10^6 +#REF!</f>
        <v>#REF!</v>
      </c>
      <c r="Q293" s="203" t="e">
        <f>#REF!*#REF!^5/(Conv!$I$5*Conv!$D$46)/10^6 +#REF!</f>
        <v>#REF!</v>
      </c>
      <c r="S293" s="177"/>
      <c r="T293" s="177"/>
      <c r="U293" s="177"/>
      <c r="V293" s="177"/>
      <c r="W293" s="177"/>
      <c r="X293" s="177"/>
      <c r="Y293" s="177"/>
      <c r="Z293" s="177"/>
      <c r="AA293" s="177"/>
      <c r="AB293" s="177"/>
      <c r="AC293" s="177"/>
    </row>
    <row r="294" spans="2:29">
      <c r="B294" s="158" t="s">
        <v>398</v>
      </c>
      <c r="C294" s="158" t="e">
        <f>Technologies!C708</f>
        <v>#REF!</v>
      </c>
      <c r="D294" s="158" t="e">
        <f>Technologies!D708</f>
        <v>#REF!</v>
      </c>
      <c r="E294" s="197" t="e">
        <f>E293</f>
        <v>#REF!</v>
      </c>
      <c r="F294" s="197" t="e">
        <f>Commodities!C245</f>
        <v>#REF!</v>
      </c>
      <c r="G294" s="204">
        <v>1</v>
      </c>
      <c r="H294" s="203" t="e">
        <f>#REF!*#REF!^5/(Conv!$I$5*Conv!$D$46)/10^6 +#REF!</f>
        <v>#REF!</v>
      </c>
      <c r="I294" s="203" t="e">
        <f>#REF!*#REF!^5/(Conv!$I$5*Conv!$D$46)/10^6 +#REF!</f>
        <v>#REF!</v>
      </c>
      <c r="J294" s="203" t="e">
        <f>#REF!*#REF!^5/(Conv!$I$5*Conv!$D$46)/10^6 +#REF!</f>
        <v>#REF!</v>
      </c>
      <c r="K294" s="203" t="e">
        <f>#REF!*#REF!^5/(Conv!$I$5*Conv!$D$46)/10^6 +#REF!</f>
        <v>#REF!</v>
      </c>
      <c r="L294" s="203" t="e">
        <f>#REF!*#REF!^5/(Conv!$I$5*Conv!$D$46)/10^6 +#REF!</f>
        <v>#REF!</v>
      </c>
      <c r="M294" s="203" t="e">
        <f>#REF!*#REF!^5/(Conv!$I$5*Conv!$D$46)/10^6 +#REF!</f>
        <v>#REF!</v>
      </c>
      <c r="N294" s="203" t="e">
        <f>#REF!*#REF!^5/(Conv!$I$5*Conv!$D$46)/10^6 +#REF!</f>
        <v>#REF!</v>
      </c>
      <c r="O294" s="203" t="e">
        <f>#REF!*#REF!^5/(Conv!$I$5*Conv!$D$46)/10^6 +#REF!</f>
        <v>#REF!</v>
      </c>
      <c r="P294" s="203" t="e">
        <f>#REF!*#REF!^5/(Conv!$I$5*Conv!$D$46)/10^6 +#REF!</f>
        <v>#REF!</v>
      </c>
      <c r="Q294" s="203" t="e">
        <f>#REF!*#REF!^5/(Conv!$I$5*Conv!$D$46)/10^6 +#REF!</f>
        <v>#REF!</v>
      </c>
      <c r="S294" s="177"/>
      <c r="T294" s="177"/>
      <c r="U294" s="177"/>
      <c r="V294" s="177"/>
      <c r="W294" s="177"/>
      <c r="X294" s="177"/>
      <c r="Y294" s="177"/>
      <c r="Z294" s="177"/>
      <c r="AA294" s="177"/>
      <c r="AB294" s="177"/>
      <c r="AC294" s="177"/>
    </row>
    <row r="295" spans="2:29">
      <c r="B295" s="158" t="s">
        <v>398</v>
      </c>
      <c r="C295" s="158" t="e">
        <f>Technologies!C709</f>
        <v>#REF!</v>
      </c>
      <c r="D295" s="158" t="e">
        <f>Technologies!D709</f>
        <v>#REF!</v>
      </c>
      <c r="E295" s="197" t="e">
        <f>Commodities!C194</f>
        <v>#REF!</v>
      </c>
      <c r="F295" s="197" t="e">
        <f>Commodities!C246</f>
        <v>#REF!</v>
      </c>
      <c r="G295" s="204">
        <v>1</v>
      </c>
      <c r="H295" s="203" t="e">
        <f>#REF!*#REF!^5/(Conv!$I$5*Conv!$D$46)/10^6 +#REF!</f>
        <v>#REF!</v>
      </c>
      <c r="I295" s="203" t="e">
        <f>#REF!*#REF!^5/(Conv!$I$5*Conv!$D$46)/10^6 +#REF!</f>
        <v>#REF!</v>
      </c>
      <c r="J295" s="203" t="e">
        <f>#REF!*#REF!^5/(Conv!$I$5*Conv!$D$46)/10^6 +#REF!</f>
        <v>#REF!</v>
      </c>
      <c r="K295" s="203" t="e">
        <f>#REF!*#REF!^5/(Conv!$I$5*Conv!$D$46)/10^6 +#REF!</f>
        <v>#REF!</v>
      </c>
      <c r="L295" s="203" t="e">
        <f>#REF!*#REF!^5/(Conv!$I$5*Conv!$D$46)/10^6 +#REF!</f>
        <v>#REF!</v>
      </c>
      <c r="M295" s="203" t="e">
        <f>#REF!*#REF!^5/(Conv!$I$5*Conv!$D$46)/10^6 +#REF!</f>
        <v>#REF!</v>
      </c>
      <c r="N295" s="203" t="e">
        <f>#REF!*#REF!^5/(Conv!$I$5*Conv!$D$46)/10^6 +#REF!</f>
        <v>#REF!</v>
      </c>
      <c r="O295" s="203" t="e">
        <f>#REF!*#REF!^5/(Conv!$I$5*Conv!$D$46)/10^6 +#REF!</f>
        <v>#REF!</v>
      </c>
      <c r="P295" s="203" t="e">
        <f>#REF!*#REF!^5/(Conv!$I$5*Conv!$D$46)/10^6 +#REF!</f>
        <v>#REF!</v>
      </c>
      <c r="Q295" s="203" t="e">
        <f>#REF!*#REF!^5/(Conv!$I$5*Conv!$D$46)/10^6 +#REF!</f>
        <v>#REF!</v>
      </c>
      <c r="S295" s="177"/>
      <c r="T295" s="177"/>
      <c r="U295" s="177"/>
      <c r="V295" s="177"/>
      <c r="W295" s="177"/>
      <c r="X295" s="177"/>
      <c r="Y295" s="177"/>
      <c r="Z295" s="177"/>
      <c r="AA295" s="177"/>
      <c r="AB295" s="177"/>
      <c r="AC295" s="177"/>
    </row>
    <row r="296" spans="2:29">
      <c r="B296" s="158" t="s">
        <v>398</v>
      </c>
      <c r="C296" s="158"/>
      <c r="D296" s="158"/>
      <c r="E296" s="197"/>
      <c r="F296" s="197"/>
      <c r="G296" s="204"/>
      <c r="H296" s="205"/>
      <c r="I296" s="205"/>
      <c r="J296" s="205"/>
      <c r="K296" s="205"/>
      <c r="L296" s="205"/>
      <c r="M296" s="205"/>
      <c r="N296" s="205"/>
      <c r="O296" s="205"/>
      <c r="P296" s="205"/>
      <c r="Q296" s="205"/>
    </row>
    <row r="297" spans="2:29">
      <c r="B297" s="158" t="s">
        <v>398</v>
      </c>
      <c r="C297" s="158" t="e">
        <f>Technologies!C685</f>
        <v>#REF!</v>
      </c>
      <c r="D297" s="158" t="e">
        <f>Technologies!D685</f>
        <v>#REF!</v>
      </c>
      <c r="E297" s="197" t="e">
        <f>Commodities!C182</f>
        <v>#REF!</v>
      </c>
      <c r="F297" s="197" t="e">
        <f>Commodities!C222</f>
        <v>#REF!</v>
      </c>
      <c r="G297" s="204">
        <v>1</v>
      </c>
      <c r="H297" s="203" t="e">
        <f>#REF!*#REF!^5/(Conv!$I$5*Conv!$D$46)/10^6 +#REF!</f>
        <v>#REF!</v>
      </c>
      <c r="I297" s="203" t="e">
        <f>#REF!*#REF!^5/(Conv!$I$5*Conv!$D$46)/10^6 +#REF!</f>
        <v>#REF!</v>
      </c>
      <c r="J297" s="203" t="e">
        <f>#REF!*#REF!^5/(Conv!$I$5*Conv!$D$46)/10^6 +#REF!</f>
        <v>#REF!</v>
      </c>
      <c r="K297" s="203" t="e">
        <f>#REF!*#REF!^5/(Conv!$I$5*Conv!$D$46)/10^6 +#REF!</f>
        <v>#REF!</v>
      </c>
      <c r="L297" s="203" t="e">
        <f>#REF!*#REF!^5/(Conv!$I$5*Conv!$D$46)/10^6 +#REF!</f>
        <v>#REF!</v>
      </c>
      <c r="M297" s="203" t="e">
        <f>#REF!*#REF!^5/(Conv!$I$5*Conv!$D$46)/10^6 +#REF!</f>
        <v>#REF!</v>
      </c>
      <c r="N297" s="203" t="e">
        <f>#REF!*#REF!^5/(Conv!$I$5*Conv!$D$46)/10^6 +#REF!</f>
        <v>#REF!</v>
      </c>
      <c r="O297" s="203" t="e">
        <f>#REF!*#REF!^5/(Conv!$I$5*Conv!$D$46)/10^6 +#REF!</f>
        <v>#REF!</v>
      </c>
      <c r="P297" s="203" t="e">
        <f>#REF!*#REF!^5/(Conv!$I$5*Conv!$D$46)/10^6 +#REF!</f>
        <v>#REF!</v>
      </c>
      <c r="Q297" s="203" t="e">
        <f>#REF!*#REF!^5/(Conv!$I$5*Conv!$D$46)/10^6 +#REF!</f>
        <v>#REF!</v>
      </c>
      <c r="S297" s="177"/>
      <c r="T297" s="177"/>
      <c r="U297" s="177"/>
      <c r="V297" s="177"/>
      <c r="W297" s="177"/>
      <c r="X297" s="177"/>
      <c r="Y297" s="177"/>
      <c r="Z297" s="177"/>
      <c r="AA297" s="177"/>
      <c r="AB297" s="177"/>
      <c r="AC297" s="177"/>
    </row>
    <row r="298" spans="2:29">
      <c r="B298" s="158" t="s">
        <v>398</v>
      </c>
      <c r="C298" s="158" t="e">
        <f>Technologies!C686</f>
        <v>#REF!</v>
      </c>
      <c r="D298" s="158" t="e">
        <f>Technologies!D686</f>
        <v>#REF!</v>
      </c>
      <c r="E298" s="197" t="e">
        <f>Commodities!C183</f>
        <v>#REF!</v>
      </c>
      <c r="F298" s="197" t="e">
        <f>Commodities!C223</f>
        <v>#REF!</v>
      </c>
      <c r="G298" s="204">
        <v>1</v>
      </c>
      <c r="H298" s="203" t="e">
        <f>#REF!*#REF!^5/(Conv!$I$5*Conv!$D$46)/10^6 +#REF!</f>
        <v>#REF!</v>
      </c>
      <c r="I298" s="203" t="e">
        <f>#REF!*#REF!^5/(Conv!$I$5*Conv!$D$46)/10^6 +#REF!</f>
        <v>#REF!</v>
      </c>
      <c r="J298" s="203" t="e">
        <f>#REF!*#REF!^5/(Conv!$I$5*Conv!$D$46)/10^6 +#REF!</f>
        <v>#REF!</v>
      </c>
      <c r="K298" s="203" t="e">
        <f>#REF!*#REF!^5/(Conv!$I$5*Conv!$D$46)/10^6 +#REF!</f>
        <v>#REF!</v>
      </c>
      <c r="L298" s="203" t="e">
        <f>#REF!*#REF!^5/(Conv!$I$5*Conv!$D$46)/10^6 +#REF!</f>
        <v>#REF!</v>
      </c>
      <c r="M298" s="203" t="e">
        <f>#REF!*#REF!^5/(Conv!$I$5*Conv!$D$46)/10^6 +#REF!</f>
        <v>#REF!</v>
      </c>
      <c r="N298" s="203" t="e">
        <f>#REF!*#REF!^5/(Conv!$I$5*Conv!$D$46)/10^6 +#REF!</f>
        <v>#REF!</v>
      </c>
      <c r="O298" s="203" t="e">
        <f>#REF!*#REF!^5/(Conv!$I$5*Conv!$D$46)/10^6 +#REF!</f>
        <v>#REF!</v>
      </c>
      <c r="P298" s="203" t="e">
        <f>#REF!*#REF!^5/(Conv!$I$5*Conv!$D$46)/10^6 +#REF!</f>
        <v>#REF!</v>
      </c>
      <c r="Q298" s="203" t="e">
        <f>#REF!*#REF!^5/(Conv!$I$5*Conv!$D$46)/10^6 +#REF!</f>
        <v>#REF!</v>
      </c>
      <c r="S298" s="177"/>
      <c r="T298" s="177"/>
      <c r="U298" s="177"/>
      <c r="V298" s="177"/>
      <c r="W298" s="177"/>
      <c r="X298" s="177"/>
      <c r="Y298" s="177"/>
      <c r="Z298" s="177"/>
      <c r="AA298" s="177"/>
      <c r="AB298" s="177"/>
      <c r="AC298" s="177"/>
    </row>
    <row r="299" spans="2:29">
      <c r="B299" s="158" t="s">
        <v>398</v>
      </c>
      <c r="C299" s="158" t="e">
        <f>Technologies!C687</f>
        <v>#REF!</v>
      </c>
      <c r="D299" s="158" t="e">
        <f>Technologies!D687</f>
        <v>#REF!</v>
      </c>
      <c r="E299" s="197" t="e">
        <f>Commodities!C184</f>
        <v>#REF!</v>
      </c>
      <c r="F299" s="197" t="e">
        <f>Commodities!C224</f>
        <v>#REF!</v>
      </c>
      <c r="G299" s="204">
        <v>1</v>
      </c>
      <c r="H299" s="203" t="e">
        <f>#REF!*#REF!^5/(Conv!$I$5*Conv!$D$46)/10^6 +#REF!</f>
        <v>#REF!</v>
      </c>
      <c r="I299" s="203" t="e">
        <f>#REF!*#REF!^5/(Conv!$I$5*Conv!$D$46)/10^6 +#REF!</f>
        <v>#REF!</v>
      </c>
      <c r="J299" s="203" t="e">
        <f>#REF!*#REF!^5/(Conv!$I$5*Conv!$D$46)/10^6 +#REF!</f>
        <v>#REF!</v>
      </c>
      <c r="K299" s="203" t="e">
        <f>#REF!*#REF!^5/(Conv!$I$5*Conv!$D$46)/10^6 +#REF!</f>
        <v>#REF!</v>
      </c>
      <c r="L299" s="203" t="e">
        <f>#REF!*#REF!^5/(Conv!$I$5*Conv!$D$46)/10^6 +#REF!</f>
        <v>#REF!</v>
      </c>
      <c r="M299" s="203" t="e">
        <f>#REF!*#REF!^5/(Conv!$I$5*Conv!$D$46)/10^6 +#REF!</f>
        <v>#REF!</v>
      </c>
      <c r="N299" s="203" t="e">
        <f>#REF!*#REF!^5/(Conv!$I$5*Conv!$D$46)/10^6 +#REF!</f>
        <v>#REF!</v>
      </c>
      <c r="O299" s="203" t="e">
        <f>#REF!*#REF!^5/(Conv!$I$5*Conv!$D$46)/10^6 +#REF!</f>
        <v>#REF!</v>
      </c>
      <c r="P299" s="203" t="e">
        <f>#REF!*#REF!^5/(Conv!$I$5*Conv!$D$46)/10^6 +#REF!</f>
        <v>#REF!</v>
      </c>
      <c r="Q299" s="203" t="e">
        <f>#REF!*#REF!^5/(Conv!$I$5*Conv!$D$46)/10^6 +#REF!</f>
        <v>#REF!</v>
      </c>
      <c r="S299" s="177"/>
      <c r="T299" s="177"/>
      <c r="U299" s="177"/>
      <c r="V299" s="177"/>
      <c r="W299" s="177"/>
      <c r="X299" s="177"/>
      <c r="Y299" s="177"/>
      <c r="Z299" s="177"/>
      <c r="AA299" s="177"/>
      <c r="AB299" s="177"/>
      <c r="AC299" s="177"/>
    </row>
    <row r="300" spans="2:29">
      <c r="B300" s="158" t="s">
        <v>398</v>
      </c>
      <c r="C300" s="158" t="e">
        <f>Technologies!C688</f>
        <v>#REF!</v>
      </c>
      <c r="D300" s="158" t="e">
        <f>Technologies!D688</f>
        <v>#REF!</v>
      </c>
      <c r="E300" s="197" t="e">
        <f>E299</f>
        <v>#REF!</v>
      </c>
      <c r="F300" s="197" t="e">
        <f>Commodities!C225</f>
        <v>#REF!</v>
      </c>
      <c r="G300" s="204">
        <v>1</v>
      </c>
      <c r="H300" s="203" t="e">
        <f>#REF!*#REF!^5/(Conv!$I$5*Conv!$D$46)/10^6 +#REF!</f>
        <v>#REF!</v>
      </c>
      <c r="I300" s="203" t="e">
        <f>#REF!*#REF!^5/(Conv!$I$5*Conv!$D$46)/10^6 +#REF!</f>
        <v>#REF!</v>
      </c>
      <c r="J300" s="203" t="e">
        <f>#REF!*#REF!^5/(Conv!$I$5*Conv!$D$46)/10^6 +#REF!</f>
        <v>#REF!</v>
      </c>
      <c r="K300" s="203" t="e">
        <f>#REF!*#REF!^5/(Conv!$I$5*Conv!$D$46)/10^6 +#REF!</f>
        <v>#REF!</v>
      </c>
      <c r="L300" s="203" t="e">
        <f>#REF!*#REF!^5/(Conv!$I$5*Conv!$D$46)/10^6 +#REF!</f>
        <v>#REF!</v>
      </c>
      <c r="M300" s="203" t="e">
        <f>#REF!*#REF!^5/(Conv!$I$5*Conv!$D$46)/10^6 +#REF!</f>
        <v>#REF!</v>
      </c>
      <c r="N300" s="203" t="e">
        <f>#REF!*#REF!^5/(Conv!$I$5*Conv!$D$46)/10^6 +#REF!</f>
        <v>#REF!</v>
      </c>
      <c r="O300" s="203" t="e">
        <f>#REF!*#REF!^5/(Conv!$I$5*Conv!$D$46)/10^6 +#REF!</f>
        <v>#REF!</v>
      </c>
      <c r="P300" s="203" t="e">
        <f>#REF!*#REF!^5/(Conv!$I$5*Conv!$D$46)/10^6 +#REF!</f>
        <v>#REF!</v>
      </c>
      <c r="Q300" s="203" t="e">
        <f>#REF!*#REF!^5/(Conv!$I$5*Conv!$D$46)/10^6 +#REF!</f>
        <v>#REF!</v>
      </c>
      <c r="S300" s="177"/>
      <c r="T300" s="177"/>
      <c r="U300" s="177"/>
      <c r="V300" s="177"/>
      <c r="W300" s="177"/>
      <c r="X300" s="177"/>
      <c r="Y300" s="177"/>
      <c r="Z300" s="177"/>
      <c r="AA300" s="177"/>
      <c r="AB300" s="177"/>
      <c r="AC300" s="177"/>
    </row>
    <row r="301" spans="2:29">
      <c r="B301" s="158" t="s">
        <v>398</v>
      </c>
      <c r="C301" s="158" t="e">
        <f>Technologies!C689</f>
        <v>#REF!</v>
      </c>
      <c r="D301" s="158" t="e">
        <f>Technologies!D689</f>
        <v>#REF!</v>
      </c>
      <c r="E301" s="197" t="e">
        <f>E300</f>
        <v>#REF!</v>
      </c>
      <c r="F301" s="197" t="e">
        <f>Commodities!C226</f>
        <v>#REF!</v>
      </c>
      <c r="G301" s="204">
        <v>1</v>
      </c>
      <c r="H301" s="203" t="e">
        <f>#REF!*#REF!^5/(Conv!$I$5*Conv!$D$46)/10^6 +#REF!</f>
        <v>#REF!</v>
      </c>
      <c r="I301" s="203" t="e">
        <f>#REF!*#REF!^5/(Conv!$I$5*Conv!$D$46)/10^6 +#REF!</f>
        <v>#REF!</v>
      </c>
      <c r="J301" s="203" t="e">
        <f>#REF!*#REF!^5/(Conv!$I$5*Conv!$D$46)/10^6 +#REF!</f>
        <v>#REF!</v>
      </c>
      <c r="K301" s="203" t="e">
        <f>#REF!*#REF!^5/(Conv!$I$5*Conv!$D$46)/10^6 +#REF!</f>
        <v>#REF!</v>
      </c>
      <c r="L301" s="203" t="e">
        <f>#REF!*#REF!^5/(Conv!$I$5*Conv!$D$46)/10^6 +#REF!</f>
        <v>#REF!</v>
      </c>
      <c r="M301" s="203" t="e">
        <f>#REF!*#REF!^5/(Conv!$I$5*Conv!$D$46)/10^6 +#REF!</f>
        <v>#REF!</v>
      </c>
      <c r="N301" s="203" t="e">
        <f>#REF!*#REF!^5/(Conv!$I$5*Conv!$D$46)/10^6 +#REF!</f>
        <v>#REF!</v>
      </c>
      <c r="O301" s="203" t="e">
        <f>#REF!*#REF!^5/(Conv!$I$5*Conv!$D$46)/10^6 +#REF!</f>
        <v>#REF!</v>
      </c>
      <c r="P301" s="203" t="e">
        <f>#REF!*#REF!^5/(Conv!$I$5*Conv!$D$46)/10^6 +#REF!</f>
        <v>#REF!</v>
      </c>
      <c r="Q301" s="203" t="e">
        <f>#REF!*#REF!^5/(Conv!$I$5*Conv!$D$46)/10^6 +#REF!</f>
        <v>#REF!</v>
      </c>
      <c r="S301" s="177"/>
      <c r="T301" s="177"/>
      <c r="U301" s="177"/>
      <c r="V301" s="177"/>
      <c r="W301" s="177"/>
      <c r="X301" s="177"/>
      <c r="Y301" s="177"/>
      <c r="Z301" s="177"/>
      <c r="AA301" s="177"/>
      <c r="AB301" s="177"/>
      <c r="AC301" s="177"/>
    </row>
    <row r="302" spans="2:29">
      <c r="B302" s="158" t="s">
        <v>398</v>
      </c>
      <c r="C302" s="158" t="e">
        <f>Technologies!C690</f>
        <v>#REF!</v>
      </c>
      <c r="D302" s="158" t="e">
        <f>Technologies!D690</f>
        <v>#REF!</v>
      </c>
      <c r="E302" s="197" t="e">
        <f>E301</f>
        <v>#REF!</v>
      </c>
      <c r="F302" s="197" t="e">
        <f>Commodities!C227</f>
        <v>#REF!</v>
      </c>
      <c r="G302" s="204">
        <v>1</v>
      </c>
      <c r="H302" s="203" t="e">
        <f>#REF!*#REF!^5/(Conv!$I$5*Conv!$D$46)/10^6 +#REF!</f>
        <v>#REF!</v>
      </c>
      <c r="I302" s="203" t="e">
        <f>#REF!*#REF!^5/(Conv!$I$5*Conv!$D$46)/10^6 +#REF!</f>
        <v>#REF!</v>
      </c>
      <c r="J302" s="203" t="e">
        <f>#REF!*#REF!^5/(Conv!$I$5*Conv!$D$46)/10^6 +#REF!</f>
        <v>#REF!</v>
      </c>
      <c r="K302" s="203" t="e">
        <f>#REF!*#REF!^5/(Conv!$I$5*Conv!$D$46)/10^6 +#REF!</f>
        <v>#REF!</v>
      </c>
      <c r="L302" s="203" t="e">
        <f>#REF!*#REF!^5/(Conv!$I$5*Conv!$D$46)/10^6 +#REF!</f>
        <v>#REF!</v>
      </c>
      <c r="M302" s="203" t="e">
        <f>#REF!*#REF!^5/(Conv!$I$5*Conv!$D$46)/10^6 +#REF!</f>
        <v>#REF!</v>
      </c>
      <c r="N302" s="203" t="e">
        <f>#REF!*#REF!^5/(Conv!$I$5*Conv!$D$46)/10^6 +#REF!</f>
        <v>#REF!</v>
      </c>
      <c r="O302" s="203" t="e">
        <f>#REF!*#REF!^5/(Conv!$I$5*Conv!$D$46)/10^6 +#REF!</f>
        <v>#REF!</v>
      </c>
      <c r="P302" s="203" t="e">
        <f>#REF!*#REF!^5/(Conv!$I$5*Conv!$D$46)/10^6 +#REF!</f>
        <v>#REF!</v>
      </c>
      <c r="Q302" s="203" t="e">
        <f>#REF!*#REF!^5/(Conv!$I$5*Conv!$D$46)/10^6 +#REF!</f>
        <v>#REF!</v>
      </c>
      <c r="S302" s="177"/>
      <c r="T302" s="177"/>
      <c r="U302" s="177"/>
      <c r="V302" s="177"/>
      <c r="W302" s="177"/>
      <c r="X302" s="177"/>
      <c r="Y302" s="177"/>
      <c r="Z302" s="177"/>
      <c r="AA302" s="177"/>
      <c r="AB302" s="177"/>
      <c r="AC302" s="177"/>
    </row>
    <row r="303" spans="2:29">
      <c r="B303" s="158" t="s">
        <v>398</v>
      </c>
      <c r="C303" s="158" t="e">
        <f>Technologies!C691</f>
        <v>#REF!</v>
      </c>
      <c r="D303" s="158" t="e">
        <f>Technologies!D691</f>
        <v>#REF!</v>
      </c>
      <c r="E303" s="197" t="e">
        <f>Commodities!C185</f>
        <v>#REF!</v>
      </c>
      <c r="F303" s="197" t="e">
        <f>Commodities!C228</f>
        <v>#REF!</v>
      </c>
      <c r="G303" s="204">
        <v>1</v>
      </c>
      <c r="H303" s="203" t="e">
        <f>#REF!*#REF!^5/(Conv!$I$5*Conv!$D$46)/10^6 +#REF!</f>
        <v>#REF!</v>
      </c>
      <c r="I303" s="203" t="e">
        <f>#REF!*#REF!^5/(Conv!$I$5*Conv!$D$46)/10^6 +#REF!</f>
        <v>#REF!</v>
      </c>
      <c r="J303" s="203" t="e">
        <f>#REF!*#REF!^5/(Conv!$I$5*Conv!$D$46)/10^6 +#REF!</f>
        <v>#REF!</v>
      </c>
      <c r="K303" s="203" t="e">
        <f>#REF!*#REF!^5/(Conv!$I$5*Conv!$D$46)/10^6 +#REF!</f>
        <v>#REF!</v>
      </c>
      <c r="L303" s="203" t="e">
        <f>#REF!*#REF!^5/(Conv!$I$5*Conv!$D$46)/10^6 +#REF!</f>
        <v>#REF!</v>
      </c>
      <c r="M303" s="203" t="e">
        <f>#REF!*#REF!^5/(Conv!$I$5*Conv!$D$46)/10^6 +#REF!</f>
        <v>#REF!</v>
      </c>
      <c r="N303" s="203" t="e">
        <f>#REF!*#REF!^5/(Conv!$I$5*Conv!$D$46)/10^6 +#REF!</f>
        <v>#REF!</v>
      </c>
      <c r="O303" s="203" t="e">
        <f>#REF!*#REF!^5/(Conv!$I$5*Conv!$D$46)/10^6 +#REF!</f>
        <v>#REF!</v>
      </c>
      <c r="P303" s="203" t="e">
        <f>#REF!*#REF!^5/(Conv!$I$5*Conv!$D$46)/10^6 +#REF!</f>
        <v>#REF!</v>
      </c>
      <c r="Q303" s="203" t="e">
        <f>#REF!*#REF!^5/(Conv!$I$5*Conv!$D$46)/10^6 +#REF!</f>
        <v>#REF!</v>
      </c>
      <c r="S303" s="177"/>
      <c r="T303" s="177"/>
      <c r="U303" s="177"/>
      <c r="V303" s="177"/>
      <c r="W303" s="177"/>
      <c r="X303" s="177"/>
      <c r="Y303" s="177"/>
      <c r="Z303" s="177"/>
      <c r="AA303" s="177"/>
      <c r="AB303" s="177"/>
      <c r="AC303" s="177"/>
    </row>
    <row r="304" spans="2:29">
      <c r="B304" s="158" t="s">
        <v>398</v>
      </c>
      <c r="C304" s="158" t="e">
        <f>Technologies!C692</f>
        <v>#REF!</v>
      </c>
      <c r="D304" s="158" t="e">
        <f>Technologies!D692</f>
        <v>#REF!</v>
      </c>
      <c r="E304" s="197" t="e">
        <f>Commodities!C186</f>
        <v>#REF!</v>
      </c>
      <c r="F304" s="197" t="e">
        <f>Commodities!C229</f>
        <v>#REF!</v>
      </c>
      <c r="G304" s="204">
        <v>1</v>
      </c>
      <c r="H304" s="203" t="e">
        <f>#REF!*#REF!^5/(Conv!$I$5*Conv!$D$46)/10^6 +#REF!</f>
        <v>#REF!</v>
      </c>
      <c r="I304" s="203" t="e">
        <f>#REF!*#REF!^5/(Conv!$I$5*Conv!$D$46)/10^6 +#REF!</f>
        <v>#REF!</v>
      </c>
      <c r="J304" s="203" t="e">
        <f>#REF!*#REF!^5/(Conv!$I$5*Conv!$D$46)/10^6 +#REF!</f>
        <v>#REF!</v>
      </c>
      <c r="K304" s="203" t="e">
        <f>#REF!*#REF!^5/(Conv!$I$5*Conv!$D$46)/10^6 +#REF!</f>
        <v>#REF!</v>
      </c>
      <c r="L304" s="203" t="e">
        <f>#REF!*#REF!^5/(Conv!$I$5*Conv!$D$46)/10^6 +#REF!</f>
        <v>#REF!</v>
      </c>
      <c r="M304" s="203" t="e">
        <f>#REF!*#REF!^5/(Conv!$I$5*Conv!$D$46)/10^6 +#REF!</f>
        <v>#REF!</v>
      </c>
      <c r="N304" s="203" t="e">
        <f>#REF!*#REF!^5/(Conv!$I$5*Conv!$D$46)/10^6 +#REF!</f>
        <v>#REF!</v>
      </c>
      <c r="O304" s="203" t="e">
        <f>#REF!*#REF!^5/(Conv!$I$5*Conv!$D$46)/10^6 +#REF!</f>
        <v>#REF!</v>
      </c>
      <c r="P304" s="203" t="e">
        <f>#REF!*#REF!^5/(Conv!$I$5*Conv!$D$46)/10^6 +#REF!</f>
        <v>#REF!</v>
      </c>
      <c r="Q304" s="203" t="e">
        <f>#REF!*#REF!^5/(Conv!$I$5*Conv!$D$46)/10^6 +#REF!</f>
        <v>#REF!</v>
      </c>
      <c r="S304" s="177"/>
      <c r="T304" s="177"/>
      <c r="U304" s="177"/>
      <c r="V304" s="177"/>
      <c r="W304" s="177"/>
      <c r="X304" s="177"/>
      <c r="Y304" s="177"/>
      <c r="Z304" s="177"/>
      <c r="AA304" s="177"/>
      <c r="AB304" s="177"/>
      <c r="AC304" s="177"/>
    </row>
    <row r="305" spans="2:29">
      <c r="B305" s="158" t="s">
        <v>398</v>
      </c>
      <c r="C305" s="158" t="e">
        <f>Technologies!C693</f>
        <v>#REF!</v>
      </c>
      <c r="D305" s="158" t="e">
        <f>Technologies!D693</f>
        <v>#REF!</v>
      </c>
      <c r="E305" s="197" t="e">
        <f>Commodities!C187</f>
        <v>#REF!</v>
      </c>
      <c r="F305" s="197" t="e">
        <f>Commodities!C230</f>
        <v>#REF!</v>
      </c>
      <c r="G305" s="204">
        <v>1</v>
      </c>
      <c r="H305" s="203" t="e">
        <f>#REF!*#REF!^5/(Conv!$I$5*Conv!$D$46)/10^6 +#REF!</f>
        <v>#REF!</v>
      </c>
      <c r="I305" s="203" t="e">
        <f>#REF!*#REF!^5/(Conv!$I$5*Conv!$D$46)/10^6 +#REF!</f>
        <v>#REF!</v>
      </c>
      <c r="J305" s="203" t="e">
        <f>#REF!*#REF!^5/(Conv!$I$5*Conv!$D$46)/10^6 +#REF!</f>
        <v>#REF!</v>
      </c>
      <c r="K305" s="203" t="e">
        <f>#REF!*#REF!^5/(Conv!$I$5*Conv!$D$46)/10^6 +#REF!</f>
        <v>#REF!</v>
      </c>
      <c r="L305" s="203" t="e">
        <f>#REF!*#REF!^5/(Conv!$I$5*Conv!$D$46)/10^6 +#REF!</f>
        <v>#REF!</v>
      </c>
      <c r="M305" s="203" t="e">
        <f>#REF!*#REF!^5/(Conv!$I$5*Conv!$D$46)/10^6 +#REF!</f>
        <v>#REF!</v>
      </c>
      <c r="N305" s="203" t="e">
        <f>#REF!*#REF!^5/(Conv!$I$5*Conv!$D$46)/10^6 +#REF!</f>
        <v>#REF!</v>
      </c>
      <c r="O305" s="203" t="e">
        <f>#REF!*#REF!^5/(Conv!$I$5*Conv!$D$46)/10^6 +#REF!</f>
        <v>#REF!</v>
      </c>
      <c r="P305" s="203" t="e">
        <f>#REF!*#REF!^5/(Conv!$I$5*Conv!$D$46)/10^6 +#REF!</f>
        <v>#REF!</v>
      </c>
      <c r="Q305" s="203" t="e">
        <f>#REF!*#REF!^5/(Conv!$I$5*Conv!$D$46)/10^6 +#REF!</f>
        <v>#REF!</v>
      </c>
      <c r="S305" s="177"/>
      <c r="T305" s="177"/>
      <c r="U305" s="177"/>
      <c r="V305" s="177"/>
      <c r="W305" s="177"/>
      <c r="X305" s="177"/>
      <c r="Y305" s="177"/>
      <c r="Z305" s="177"/>
      <c r="AA305" s="177"/>
      <c r="AB305" s="177"/>
      <c r="AC305" s="177"/>
    </row>
    <row r="306" spans="2:29">
      <c r="B306" s="158" t="s">
        <v>398</v>
      </c>
      <c r="C306" s="158" t="e">
        <f>Technologies!C694</f>
        <v>#REF!</v>
      </c>
      <c r="D306" s="158" t="e">
        <f>Technologies!D694</f>
        <v>#REF!</v>
      </c>
      <c r="E306" s="197" t="e">
        <f>Commodities!C188</f>
        <v>#REF!</v>
      </c>
      <c r="F306" s="197" t="e">
        <f>Commodities!C231</f>
        <v>#REF!</v>
      </c>
      <c r="G306" s="204">
        <v>1</v>
      </c>
      <c r="H306" s="203" t="e">
        <f>#REF!*#REF!^5/(Conv!$I$5*Conv!$D$46)/10^6 +#REF!</f>
        <v>#REF!</v>
      </c>
      <c r="I306" s="203" t="e">
        <f>#REF!*#REF!^5/(Conv!$I$5*Conv!$D$46)/10^6 +#REF!</f>
        <v>#REF!</v>
      </c>
      <c r="J306" s="203" t="e">
        <f>#REF!*#REF!^5/(Conv!$I$5*Conv!$D$46)/10^6 +#REF!</f>
        <v>#REF!</v>
      </c>
      <c r="K306" s="203" t="e">
        <f>#REF!*#REF!^5/(Conv!$I$5*Conv!$D$46)/10^6 +#REF!</f>
        <v>#REF!</v>
      </c>
      <c r="L306" s="203" t="e">
        <f>#REF!*#REF!^5/(Conv!$I$5*Conv!$D$46)/10^6 +#REF!</f>
        <v>#REF!</v>
      </c>
      <c r="M306" s="203" t="e">
        <f>#REF!*#REF!^5/(Conv!$I$5*Conv!$D$46)/10^6 +#REF!</f>
        <v>#REF!</v>
      </c>
      <c r="N306" s="203" t="e">
        <f>#REF!*#REF!^5/(Conv!$I$5*Conv!$D$46)/10^6 +#REF!</f>
        <v>#REF!</v>
      </c>
      <c r="O306" s="203" t="e">
        <f>#REF!*#REF!^5/(Conv!$I$5*Conv!$D$46)/10^6 +#REF!</f>
        <v>#REF!</v>
      </c>
      <c r="P306" s="203" t="e">
        <f>#REF!*#REF!^5/(Conv!$I$5*Conv!$D$46)/10^6 +#REF!</f>
        <v>#REF!</v>
      </c>
      <c r="Q306" s="203" t="e">
        <f>#REF!*#REF!^5/(Conv!$I$5*Conv!$D$46)/10^6 +#REF!</f>
        <v>#REF!</v>
      </c>
      <c r="S306" s="177"/>
      <c r="T306" s="177"/>
      <c r="U306" s="177"/>
      <c r="V306" s="177"/>
      <c r="W306" s="177"/>
      <c r="X306" s="177"/>
      <c r="Y306" s="177"/>
      <c r="Z306" s="177"/>
      <c r="AA306" s="177"/>
      <c r="AB306" s="177"/>
      <c r="AC306" s="177"/>
    </row>
    <row r="307" spans="2:29">
      <c r="B307" s="158" t="s">
        <v>398</v>
      </c>
      <c r="C307" s="158" t="e">
        <f>Technologies!C695</f>
        <v>#REF!</v>
      </c>
      <c r="D307" s="158" t="e">
        <f>Technologies!D695</f>
        <v>#REF!</v>
      </c>
      <c r="E307" s="197" t="e">
        <f>E306</f>
        <v>#REF!</v>
      </c>
      <c r="F307" s="197" t="e">
        <f>Commodities!C232</f>
        <v>#REF!</v>
      </c>
      <c r="G307" s="204">
        <v>1</v>
      </c>
      <c r="H307" s="203" t="e">
        <f>#REF!*#REF!^5/(Conv!$I$5*Conv!$D$46)/10^6 +#REF!</f>
        <v>#REF!</v>
      </c>
      <c r="I307" s="203" t="e">
        <f>#REF!*#REF!^5/(Conv!$I$5*Conv!$D$46)/10^6 +#REF!</f>
        <v>#REF!</v>
      </c>
      <c r="J307" s="203" t="e">
        <f>#REF!*#REF!^5/(Conv!$I$5*Conv!$D$46)/10^6 +#REF!</f>
        <v>#REF!</v>
      </c>
      <c r="K307" s="203" t="e">
        <f>#REF!*#REF!^5/(Conv!$I$5*Conv!$D$46)/10^6 +#REF!</f>
        <v>#REF!</v>
      </c>
      <c r="L307" s="203" t="e">
        <f>#REF!*#REF!^5/(Conv!$I$5*Conv!$D$46)/10^6 +#REF!</f>
        <v>#REF!</v>
      </c>
      <c r="M307" s="203" t="e">
        <f>#REF!*#REF!^5/(Conv!$I$5*Conv!$D$46)/10^6 +#REF!</f>
        <v>#REF!</v>
      </c>
      <c r="N307" s="203" t="e">
        <f>#REF!*#REF!^5/(Conv!$I$5*Conv!$D$46)/10^6 +#REF!</f>
        <v>#REF!</v>
      </c>
      <c r="O307" s="203" t="e">
        <f>#REF!*#REF!^5/(Conv!$I$5*Conv!$D$46)/10^6 +#REF!</f>
        <v>#REF!</v>
      </c>
      <c r="P307" s="203" t="e">
        <f>#REF!*#REF!^5/(Conv!$I$5*Conv!$D$46)/10^6 +#REF!</f>
        <v>#REF!</v>
      </c>
      <c r="Q307" s="203" t="e">
        <f>#REF!*#REF!^5/(Conv!$I$5*Conv!$D$46)/10^6 +#REF!</f>
        <v>#REF!</v>
      </c>
      <c r="S307" s="177"/>
      <c r="T307" s="177"/>
      <c r="U307" s="177"/>
      <c r="V307" s="177"/>
      <c r="W307" s="177"/>
      <c r="X307" s="177"/>
      <c r="Y307" s="177"/>
      <c r="Z307" s="177"/>
      <c r="AA307" s="177"/>
      <c r="AB307" s="177"/>
      <c r="AC307" s="177"/>
    </row>
    <row r="308" spans="2:29">
      <c r="B308" s="158" t="s">
        <v>398</v>
      </c>
      <c r="C308" s="158" t="e">
        <f>Technologies!C696</f>
        <v>#REF!</v>
      </c>
      <c r="D308" s="158" t="e">
        <f>Technologies!D696</f>
        <v>#REF!</v>
      </c>
      <c r="E308" s="197" t="e">
        <f>E307</f>
        <v>#REF!</v>
      </c>
      <c r="F308" s="197" t="e">
        <f>Commodities!C233</f>
        <v>#REF!</v>
      </c>
      <c r="G308" s="204">
        <v>1</v>
      </c>
      <c r="H308" s="203" t="e">
        <f>#REF!*#REF!^5/(Conv!$I$5*Conv!$D$46)/10^6 +#REF!</f>
        <v>#REF!</v>
      </c>
      <c r="I308" s="203" t="e">
        <f>#REF!*#REF!^5/(Conv!$I$5*Conv!$D$46)/10^6 +#REF!</f>
        <v>#REF!</v>
      </c>
      <c r="J308" s="203" t="e">
        <f>#REF!*#REF!^5/(Conv!$I$5*Conv!$D$46)/10^6 +#REF!</f>
        <v>#REF!</v>
      </c>
      <c r="K308" s="203" t="e">
        <f>#REF!*#REF!^5/(Conv!$I$5*Conv!$D$46)/10^6 +#REF!</f>
        <v>#REF!</v>
      </c>
      <c r="L308" s="203" t="e">
        <f>#REF!*#REF!^5/(Conv!$I$5*Conv!$D$46)/10^6 +#REF!</f>
        <v>#REF!</v>
      </c>
      <c r="M308" s="203" t="e">
        <f>#REF!*#REF!^5/(Conv!$I$5*Conv!$D$46)/10^6 +#REF!</f>
        <v>#REF!</v>
      </c>
      <c r="N308" s="203" t="e">
        <f>#REF!*#REF!^5/(Conv!$I$5*Conv!$D$46)/10^6 +#REF!</f>
        <v>#REF!</v>
      </c>
      <c r="O308" s="203" t="e">
        <f>#REF!*#REF!^5/(Conv!$I$5*Conv!$D$46)/10^6 +#REF!</f>
        <v>#REF!</v>
      </c>
      <c r="P308" s="203" t="e">
        <f>#REF!*#REF!^5/(Conv!$I$5*Conv!$D$46)/10^6 +#REF!</f>
        <v>#REF!</v>
      </c>
      <c r="Q308" s="203" t="e">
        <f>#REF!*#REF!^5/(Conv!$I$5*Conv!$D$46)/10^6 +#REF!</f>
        <v>#REF!</v>
      </c>
      <c r="S308" s="177"/>
      <c r="T308" s="177"/>
      <c r="U308" s="177"/>
      <c r="V308" s="177"/>
      <c r="W308" s="177"/>
      <c r="X308" s="177"/>
      <c r="Y308" s="177"/>
      <c r="Z308" s="177"/>
      <c r="AA308" s="177"/>
      <c r="AB308" s="177"/>
      <c r="AC308" s="177"/>
    </row>
    <row r="309" spans="2:29">
      <c r="B309" s="158" t="s">
        <v>398</v>
      </c>
      <c r="C309" s="158" t="e">
        <f>Technologies!C697</f>
        <v>#REF!</v>
      </c>
      <c r="D309" s="158" t="e">
        <f>Technologies!D697</f>
        <v>#REF!</v>
      </c>
      <c r="E309" s="197" t="e">
        <f>Commodities!C189</f>
        <v>#REF!</v>
      </c>
      <c r="F309" s="197" t="e">
        <f>Commodities!C234</f>
        <v>#REF!</v>
      </c>
      <c r="G309" s="204">
        <v>1</v>
      </c>
      <c r="H309" s="203" t="e">
        <f>#REF!*#REF!^5/(Conv!$I$5*Conv!$D$46)/10^6 +#REF!</f>
        <v>#REF!</v>
      </c>
      <c r="I309" s="203" t="e">
        <f>#REF!*#REF!^5/(Conv!$I$5*Conv!$D$46)/10^6 +#REF!</f>
        <v>#REF!</v>
      </c>
      <c r="J309" s="203" t="e">
        <f>#REF!*#REF!^5/(Conv!$I$5*Conv!$D$46)/10^6 +#REF!</f>
        <v>#REF!</v>
      </c>
      <c r="K309" s="203" t="e">
        <f>#REF!*#REF!^5/(Conv!$I$5*Conv!$D$46)/10^6 +#REF!</f>
        <v>#REF!</v>
      </c>
      <c r="L309" s="203" t="e">
        <f>#REF!*#REF!^5/(Conv!$I$5*Conv!$D$46)/10^6 +#REF!</f>
        <v>#REF!</v>
      </c>
      <c r="M309" s="203" t="e">
        <f>#REF!*#REF!^5/(Conv!$I$5*Conv!$D$46)/10^6 +#REF!</f>
        <v>#REF!</v>
      </c>
      <c r="N309" s="203" t="e">
        <f>#REF!*#REF!^5/(Conv!$I$5*Conv!$D$46)/10^6 +#REF!</f>
        <v>#REF!</v>
      </c>
      <c r="O309" s="203" t="e">
        <f>#REF!*#REF!^5/(Conv!$I$5*Conv!$D$46)/10^6 +#REF!</f>
        <v>#REF!</v>
      </c>
      <c r="P309" s="203" t="e">
        <f>#REF!*#REF!^5/(Conv!$I$5*Conv!$D$46)/10^6 +#REF!</f>
        <v>#REF!</v>
      </c>
      <c r="Q309" s="203" t="e">
        <f>#REF!*#REF!^5/(Conv!$I$5*Conv!$D$46)/10^6 +#REF!</f>
        <v>#REF!</v>
      </c>
      <c r="S309" s="177"/>
      <c r="T309" s="177"/>
      <c r="U309" s="177"/>
      <c r="V309" s="177"/>
      <c r="W309" s="177"/>
      <c r="X309" s="177"/>
      <c r="Y309" s="177"/>
      <c r="Z309" s="177"/>
      <c r="AA309" s="177"/>
      <c r="AB309" s="177"/>
      <c r="AC309" s="177"/>
    </row>
    <row r="310" spans="2:29">
      <c r="B310" s="158" t="s">
        <v>398</v>
      </c>
      <c r="C310" s="158" t="e">
        <f>Technologies!C698</f>
        <v>#REF!</v>
      </c>
      <c r="D310" s="158" t="e">
        <f>Technologies!D698</f>
        <v>#REF!</v>
      </c>
      <c r="E310" s="197" t="e">
        <f>E309</f>
        <v>#REF!</v>
      </c>
      <c r="F310" s="197" t="e">
        <f>Commodities!C235</f>
        <v>#REF!</v>
      </c>
      <c r="G310" s="204">
        <v>1</v>
      </c>
      <c r="H310" s="203" t="e">
        <f>#REF!*#REF!^5/(Conv!$I$5*Conv!$D$46)/10^6 +#REF!</f>
        <v>#REF!</v>
      </c>
      <c r="I310" s="203" t="e">
        <f>#REF!*#REF!^5/(Conv!$I$5*Conv!$D$46)/10^6 +#REF!</f>
        <v>#REF!</v>
      </c>
      <c r="J310" s="203" t="e">
        <f>#REF!*#REF!^5/(Conv!$I$5*Conv!$D$46)/10^6 +#REF!</f>
        <v>#REF!</v>
      </c>
      <c r="K310" s="203" t="e">
        <f>#REF!*#REF!^5/(Conv!$I$5*Conv!$D$46)/10^6 +#REF!</f>
        <v>#REF!</v>
      </c>
      <c r="L310" s="203" t="e">
        <f>#REF!*#REF!^5/(Conv!$I$5*Conv!$D$46)/10^6 +#REF!</f>
        <v>#REF!</v>
      </c>
      <c r="M310" s="203" t="e">
        <f>#REF!*#REF!^5/(Conv!$I$5*Conv!$D$46)/10^6 +#REF!</f>
        <v>#REF!</v>
      </c>
      <c r="N310" s="203" t="e">
        <f>#REF!*#REF!^5/(Conv!$I$5*Conv!$D$46)/10^6 +#REF!</f>
        <v>#REF!</v>
      </c>
      <c r="O310" s="203" t="e">
        <f>#REF!*#REF!^5/(Conv!$I$5*Conv!$D$46)/10^6 +#REF!</f>
        <v>#REF!</v>
      </c>
      <c r="P310" s="203" t="e">
        <f>#REF!*#REF!^5/(Conv!$I$5*Conv!$D$46)/10^6 +#REF!</f>
        <v>#REF!</v>
      </c>
      <c r="Q310" s="203" t="e">
        <f>#REF!*#REF!^5/(Conv!$I$5*Conv!$D$46)/10^6 +#REF!</f>
        <v>#REF!</v>
      </c>
      <c r="S310" s="177"/>
      <c r="T310" s="177"/>
      <c r="U310" s="177"/>
      <c r="V310" s="177"/>
      <c r="W310" s="177"/>
      <c r="X310" s="177"/>
      <c r="Y310" s="177"/>
      <c r="Z310" s="177"/>
      <c r="AA310" s="177"/>
      <c r="AB310" s="177"/>
      <c r="AC310" s="177"/>
    </row>
    <row r="311" spans="2:29">
      <c r="B311" s="158" t="s">
        <v>398</v>
      </c>
      <c r="C311" s="158" t="e">
        <f>Technologies!C699</f>
        <v>#REF!</v>
      </c>
      <c r="D311" s="158" t="e">
        <f>Technologies!D699</f>
        <v>#REF!</v>
      </c>
      <c r="E311" s="197" t="e">
        <f>E310</f>
        <v>#REF!</v>
      </c>
      <c r="F311" s="197" t="e">
        <f>Commodities!C236</f>
        <v>#REF!</v>
      </c>
      <c r="G311" s="204">
        <v>1</v>
      </c>
      <c r="H311" s="203" t="e">
        <f>#REF!*#REF!^5/(Conv!$I$5*Conv!$D$46)/10^6 +#REF!</f>
        <v>#REF!</v>
      </c>
      <c r="I311" s="203" t="e">
        <f>#REF!*#REF!^5/(Conv!$I$5*Conv!$D$46)/10^6 +#REF!</f>
        <v>#REF!</v>
      </c>
      <c r="J311" s="203" t="e">
        <f>#REF!*#REF!^5/(Conv!$I$5*Conv!$D$46)/10^6 +#REF!</f>
        <v>#REF!</v>
      </c>
      <c r="K311" s="203" t="e">
        <f>#REF!*#REF!^5/(Conv!$I$5*Conv!$D$46)/10^6 +#REF!</f>
        <v>#REF!</v>
      </c>
      <c r="L311" s="203" t="e">
        <f>#REF!*#REF!^5/(Conv!$I$5*Conv!$D$46)/10^6 +#REF!</f>
        <v>#REF!</v>
      </c>
      <c r="M311" s="203" t="e">
        <f>#REF!*#REF!^5/(Conv!$I$5*Conv!$D$46)/10^6 +#REF!</f>
        <v>#REF!</v>
      </c>
      <c r="N311" s="203" t="e">
        <f>#REF!*#REF!^5/(Conv!$I$5*Conv!$D$46)/10^6 +#REF!</f>
        <v>#REF!</v>
      </c>
      <c r="O311" s="203" t="e">
        <f>#REF!*#REF!^5/(Conv!$I$5*Conv!$D$46)/10^6 +#REF!</f>
        <v>#REF!</v>
      </c>
      <c r="P311" s="203" t="e">
        <f>#REF!*#REF!^5/(Conv!$I$5*Conv!$D$46)/10^6 +#REF!</f>
        <v>#REF!</v>
      </c>
      <c r="Q311" s="203" t="e">
        <f>#REF!*#REF!^5/(Conv!$I$5*Conv!$D$46)/10^6 +#REF!</f>
        <v>#REF!</v>
      </c>
      <c r="S311" s="177"/>
      <c r="T311" s="177"/>
      <c r="U311" s="177"/>
      <c r="V311" s="177"/>
      <c r="W311" s="177"/>
      <c r="X311" s="177"/>
      <c r="Y311" s="177"/>
      <c r="Z311" s="177"/>
      <c r="AA311" s="177"/>
      <c r="AB311" s="177"/>
      <c r="AC311" s="177"/>
    </row>
    <row r="312" spans="2:29">
      <c r="B312" s="158" t="s">
        <v>398</v>
      </c>
      <c r="C312" s="158" t="e">
        <f>Technologies!C700</f>
        <v>#REF!</v>
      </c>
      <c r="D312" s="158" t="e">
        <f>Technologies!D700</f>
        <v>#REF!</v>
      </c>
      <c r="E312" s="197" t="e">
        <f>E311</f>
        <v>#REF!</v>
      </c>
      <c r="F312" s="197" t="e">
        <f>Commodities!C237</f>
        <v>#REF!</v>
      </c>
      <c r="G312" s="204">
        <v>1</v>
      </c>
      <c r="H312" s="203" t="e">
        <f>#REF!*#REF!^5/(Conv!$I$5*Conv!$D$46)/10^6 +#REF!</f>
        <v>#REF!</v>
      </c>
      <c r="I312" s="203" t="e">
        <f>#REF!*#REF!^5/(Conv!$I$5*Conv!$D$46)/10^6 +#REF!</f>
        <v>#REF!</v>
      </c>
      <c r="J312" s="203" t="e">
        <f>#REF!*#REF!^5/(Conv!$I$5*Conv!$D$46)/10^6 +#REF!</f>
        <v>#REF!</v>
      </c>
      <c r="K312" s="203" t="e">
        <f>#REF!*#REF!^5/(Conv!$I$5*Conv!$D$46)/10^6 +#REF!</f>
        <v>#REF!</v>
      </c>
      <c r="L312" s="203" t="e">
        <f>#REF!*#REF!^5/(Conv!$I$5*Conv!$D$46)/10^6 +#REF!</f>
        <v>#REF!</v>
      </c>
      <c r="M312" s="203" t="e">
        <f>#REF!*#REF!^5/(Conv!$I$5*Conv!$D$46)/10^6 +#REF!</f>
        <v>#REF!</v>
      </c>
      <c r="N312" s="203" t="e">
        <f>#REF!*#REF!^5/(Conv!$I$5*Conv!$D$46)/10^6 +#REF!</f>
        <v>#REF!</v>
      </c>
      <c r="O312" s="203" t="e">
        <f>#REF!*#REF!^5/(Conv!$I$5*Conv!$D$46)/10^6 +#REF!</f>
        <v>#REF!</v>
      </c>
      <c r="P312" s="203" t="e">
        <f>#REF!*#REF!^5/(Conv!$I$5*Conv!$D$46)/10^6 +#REF!</f>
        <v>#REF!</v>
      </c>
      <c r="Q312" s="203" t="e">
        <f>#REF!*#REF!^5/(Conv!$I$5*Conv!$D$46)/10^6 +#REF!</f>
        <v>#REF!</v>
      </c>
      <c r="S312" s="177"/>
      <c r="T312" s="177"/>
      <c r="U312" s="177"/>
      <c r="V312" s="177"/>
      <c r="W312" s="177"/>
      <c r="X312" s="177"/>
      <c r="Y312" s="177"/>
      <c r="Z312" s="177"/>
      <c r="AA312" s="177"/>
      <c r="AB312" s="177"/>
      <c r="AC312" s="177"/>
    </row>
    <row r="313" spans="2:29">
      <c r="B313" s="158" t="s">
        <v>398</v>
      </c>
      <c r="C313" s="158" t="e">
        <f>Technologies!C701</f>
        <v>#REF!</v>
      </c>
      <c r="D313" s="158" t="e">
        <f>Technologies!D701</f>
        <v>#REF!</v>
      </c>
      <c r="E313" s="197" t="e">
        <f>Commodities!C190</f>
        <v>#REF!</v>
      </c>
      <c r="F313" s="197" t="e">
        <f>Commodities!C238</f>
        <v>#REF!</v>
      </c>
      <c r="G313" s="204">
        <v>1</v>
      </c>
      <c r="H313" s="203" t="e">
        <f>#REF!*#REF!^5/(Conv!$I$5*Conv!$D$46)/10^6 +#REF!</f>
        <v>#REF!</v>
      </c>
      <c r="I313" s="203" t="e">
        <f>#REF!*#REF!^5/(Conv!$I$5*Conv!$D$46)/10^6 +#REF!</f>
        <v>#REF!</v>
      </c>
      <c r="J313" s="203" t="e">
        <f>#REF!*#REF!^5/(Conv!$I$5*Conv!$D$46)/10^6 +#REF!</f>
        <v>#REF!</v>
      </c>
      <c r="K313" s="203" t="e">
        <f>#REF!*#REF!^5/(Conv!$I$5*Conv!$D$46)/10^6 +#REF!</f>
        <v>#REF!</v>
      </c>
      <c r="L313" s="203" t="e">
        <f>#REF!*#REF!^5/(Conv!$I$5*Conv!$D$46)/10^6 +#REF!</f>
        <v>#REF!</v>
      </c>
      <c r="M313" s="203" t="e">
        <f>#REF!*#REF!^5/(Conv!$I$5*Conv!$D$46)/10^6 +#REF!</f>
        <v>#REF!</v>
      </c>
      <c r="N313" s="203" t="e">
        <f>#REF!*#REF!^5/(Conv!$I$5*Conv!$D$46)/10^6 +#REF!</f>
        <v>#REF!</v>
      </c>
      <c r="O313" s="203" t="e">
        <f>#REF!*#REF!^5/(Conv!$I$5*Conv!$D$46)/10^6 +#REF!</f>
        <v>#REF!</v>
      </c>
      <c r="P313" s="203" t="e">
        <f>#REF!*#REF!^5/(Conv!$I$5*Conv!$D$46)/10^6 +#REF!</f>
        <v>#REF!</v>
      </c>
      <c r="Q313" s="203" t="e">
        <f>#REF!*#REF!^5/(Conv!$I$5*Conv!$D$46)/10^6 +#REF!</f>
        <v>#REF!</v>
      </c>
      <c r="S313" s="177"/>
      <c r="T313" s="177"/>
      <c r="U313" s="177"/>
      <c r="V313" s="177"/>
      <c r="W313" s="177"/>
      <c r="X313" s="177"/>
      <c r="Y313" s="177"/>
      <c r="Z313" s="177"/>
      <c r="AA313" s="177"/>
      <c r="AB313" s="177"/>
      <c r="AC313" s="177"/>
    </row>
    <row r="314" spans="2:29">
      <c r="B314" s="158" t="s">
        <v>398</v>
      </c>
      <c r="C314" s="158" t="e">
        <f>Technologies!C702</f>
        <v>#REF!</v>
      </c>
      <c r="D314" s="158" t="e">
        <f>Technologies!D702</f>
        <v>#REF!</v>
      </c>
      <c r="E314" s="197" t="e">
        <f>Commodities!C191</f>
        <v>#REF!</v>
      </c>
      <c r="F314" s="197" t="e">
        <f>Commodities!C239</f>
        <v>#REF!</v>
      </c>
      <c r="G314" s="204">
        <v>1</v>
      </c>
      <c r="H314" s="203" t="e">
        <f>#REF!*#REF!^5/(Conv!$I$5*Conv!$D$46)/10^6 +#REF!</f>
        <v>#REF!</v>
      </c>
      <c r="I314" s="203" t="e">
        <f>#REF!*#REF!^5/(Conv!$I$5*Conv!$D$46)/10^6 +#REF!</f>
        <v>#REF!</v>
      </c>
      <c r="J314" s="203" t="e">
        <f>#REF!*#REF!^5/(Conv!$I$5*Conv!$D$46)/10^6 +#REF!</f>
        <v>#REF!</v>
      </c>
      <c r="K314" s="203" t="e">
        <f>#REF!*#REF!^5/(Conv!$I$5*Conv!$D$46)/10^6 +#REF!</f>
        <v>#REF!</v>
      </c>
      <c r="L314" s="203" t="e">
        <f>#REF!*#REF!^5/(Conv!$I$5*Conv!$D$46)/10^6 +#REF!</f>
        <v>#REF!</v>
      </c>
      <c r="M314" s="203" t="e">
        <f>#REF!*#REF!^5/(Conv!$I$5*Conv!$D$46)/10^6 +#REF!</f>
        <v>#REF!</v>
      </c>
      <c r="N314" s="203" t="e">
        <f>#REF!*#REF!^5/(Conv!$I$5*Conv!$D$46)/10^6 +#REF!</f>
        <v>#REF!</v>
      </c>
      <c r="O314" s="203" t="e">
        <f>#REF!*#REF!^5/(Conv!$I$5*Conv!$D$46)/10^6 +#REF!</f>
        <v>#REF!</v>
      </c>
      <c r="P314" s="203" t="e">
        <f>#REF!*#REF!^5/(Conv!$I$5*Conv!$D$46)/10^6 +#REF!</f>
        <v>#REF!</v>
      </c>
      <c r="Q314" s="203" t="e">
        <f>#REF!*#REF!^5/(Conv!$I$5*Conv!$D$46)/10^6 +#REF!</f>
        <v>#REF!</v>
      </c>
      <c r="S314" s="177"/>
      <c r="T314" s="177"/>
      <c r="U314" s="177"/>
      <c r="V314" s="177"/>
      <c r="W314" s="177"/>
      <c r="X314" s="177"/>
      <c r="Y314" s="177"/>
      <c r="Z314" s="177"/>
      <c r="AA314" s="177"/>
      <c r="AB314" s="177"/>
      <c r="AC314" s="177"/>
    </row>
    <row r="315" spans="2:29">
      <c r="B315" s="158" t="s">
        <v>398</v>
      </c>
      <c r="C315" s="158" t="e">
        <f>Technologies!C703</f>
        <v>#REF!</v>
      </c>
      <c r="D315" s="158" t="e">
        <f>Technologies!D703</f>
        <v>#REF!</v>
      </c>
      <c r="E315" s="197" t="e">
        <f>Commodities!C193</f>
        <v>#REF!</v>
      </c>
      <c r="F315" s="197" t="str">
        <f>Commodities!C240</f>
        <v>RESRFL</v>
      </c>
      <c r="G315" s="204">
        <v>1</v>
      </c>
      <c r="H315" s="203" t="e">
        <f>#REF!*#REF!^5/(Conv!$I$5*Conv!$D$46)/10^6 +#REF!</f>
        <v>#REF!</v>
      </c>
      <c r="I315" s="203" t="e">
        <f>#REF!*#REF!^5/(Conv!$I$5*Conv!$D$46)/10^6 +#REF!</f>
        <v>#REF!</v>
      </c>
      <c r="J315" s="203" t="e">
        <f>#REF!*#REF!^5/(Conv!$I$5*Conv!$D$46)/10^6 +#REF!</f>
        <v>#REF!</v>
      </c>
      <c r="K315" s="203" t="e">
        <f>#REF!*#REF!^5/(Conv!$I$5*Conv!$D$46)/10^6 +#REF!</f>
        <v>#REF!</v>
      </c>
      <c r="L315" s="203" t="e">
        <f>#REF!*#REF!^5/(Conv!$I$5*Conv!$D$46)/10^6 +#REF!</f>
        <v>#REF!</v>
      </c>
      <c r="M315" s="203" t="e">
        <f>#REF!*#REF!^5/(Conv!$I$5*Conv!$D$46)/10^6 +#REF!</f>
        <v>#REF!</v>
      </c>
      <c r="N315" s="203" t="e">
        <f>#REF!*#REF!^5/(Conv!$I$5*Conv!$D$46)/10^6 +#REF!</f>
        <v>#REF!</v>
      </c>
      <c r="O315" s="203" t="e">
        <f>#REF!*#REF!^5/(Conv!$I$5*Conv!$D$46)/10^6 +#REF!</f>
        <v>#REF!</v>
      </c>
      <c r="P315" s="203" t="e">
        <f>#REF!*#REF!^5/(Conv!$I$5*Conv!$D$46)/10^6 +#REF!</f>
        <v>#REF!</v>
      </c>
      <c r="Q315" s="203" t="e">
        <f>#REF!*#REF!^5/(Conv!$I$5*Conv!$D$46)/10^6 +#REF!</f>
        <v>#REF!</v>
      </c>
      <c r="S315" s="177"/>
      <c r="T315" s="177"/>
      <c r="U315" s="177"/>
      <c r="V315" s="177"/>
      <c r="W315" s="177"/>
      <c r="X315" s="177"/>
      <c r="Y315" s="177"/>
      <c r="Z315" s="177"/>
      <c r="AA315" s="177"/>
      <c r="AB315" s="177"/>
      <c r="AC315" s="177"/>
    </row>
    <row r="316" spans="2:29">
      <c r="B316" s="158" t="s">
        <v>398</v>
      </c>
      <c r="C316" s="158" t="e">
        <f>Technologies!C704</f>
        <v>#REF!</v>
      </c>
      <c r="D316" s="158" t="e">
        <f>Technologies!D704</f>
        <v>#REF!</v>
      </c>
      <c r="E316" s="197" t="e">
        <f>Commodities!C193</f>
        <v>#REF!</v>
      </c>
      <c r="F316" s="197" t="e">
        <f>Commodities!C241</f>
        <v>#REF!</v>
      </c>
      <c r="G316" s="204">
        <v>1</v>
      </c>
      <c r="H316" s="203" t="e">
        <f>#REF!*#REF!^5/(Conv!$I$5*Conv!$D$46)/10^6 +#REF!</f>
        <v>#REF!</v>
      </c>
      <c r="I316" s="203" t="e">
        <f>#REF!*#REF!^5/(Conv!$I$5*Conv!$D$46)/10^6 +#REF!</f>
        <v>#REF!</v>
      </c>
      <c r="J316" s="203" t="e">
        <f>#REF!*#REF!^5/(Conv!$I$5*Conv!$D$46)/10^6 +#REF!</f>
        <v>#REF!</v>
      </c>
      <c r="K316" s="203" t="e">
        <f>#REF!*#REF!^5/(Conv!$I$5*Conv!$D$46)/10^6 +#REF!</f>
        <v>#REF!</v>
      </c>
      <c r="L316" s="203" t="e">
        <f>#REF!*#REF!^5/(Conv!$I$5*Conv!$D$46)/10^6 +#REF!</f>
        <v>#REF!</v>
      </c>
      <c r="M316" s="203" t="e">
        <f>#REF!*#REF!^5/(Conv!$I$5*Conv!$D$46)/10^6 +#REF!</f>
        <v>#REF!</v>
      </c>
      <c r="N316" s="203" t="e">
        <f>#REF!*#REF!^5/(Conv!$I$5*Conv!$D$46)/10^6 +#REF!</f>
        <v>#REF!</v>
      </c>
      <c r="O316" s="203" t="e">
        <f>#REF!*#REF!^5/(Conv!$I$5*Conv!$D$46)/10^6 +#REF!</f>
        <v>#REF!</v>
      </c>
      <c r="P316" s="203" t="e">
        <f>#REF!*#REF!^5/(Conv!$I$5*Conv!$D$46)/10^6 +#REF!</f>
        <v>#REF!</v>
      </c>
      <c r="Q316" s="203" t="e">
        <f>#REF!*#REF!^5/(Conv!$I$5*Conv!$D$46)/10^6 +#REF!</f>
        <v>#REF!</v>
      </c>
      <c r="S316" s="177"/>
      <c r="T316" s="177"/>
      <c r="U316" s="177"/>
      <c r="V316" s="177"/>
      <c r="W316" s="177"/>
      <c r="X316" s="177"/>
      <c r="Y316" s="177"/>
      <c r="Z316" s="177"/>
      <c r="AA316" s="177"/>
      <c r="AB316" s="177"/>
      <c r="AC316" s="177"/>
    </row>
    <row r="317" spans="2:29">
      <c r="B317" s="158" t="s">
        <v>398</v>
      </c>
      <c r="C317" s="158" t="e">
        <f>Technologies!C705</f>
        <v>#REF!</v>
      </c>
      <c r="D317" s="158" t="e">
        <f>Technologies!D705</f>
        <v>#REF!</v>
      </c>
      <c r="E317" s="197" t="e">
        <f>E316</f>
        <v>#REF!</v>
      </c>
      <c r="F317" s="197" t="e">
        <f>Commodities!C242</f>
        <v>#REF!</v>
      </c>
      <c r="G317" s="204">
        <v>1</v>
      </c>
      <c r="H317" s="203" t="e">
        <f>#REF!*#REF!^5/(Conv!$I$5*Conv!$D$46)/10^6 +#REF!</f>
        <v>#REF!</v>
      </c>
      <c r="I317" s="203" t="e">
        <f>#REF!*#REF!^5/(Conv!$I$5*Conv!$D$46)/10^6 +#REF!</f>
        <v>#REF!</v>
      </c>
      <c r="J317" s="203" t="e">
        <f>#REF!*#REF!^5/(Conv!$I$5*Conv!$D$46)/10^6 +#REF!</f>
        <v>#REF!</v>
      </c>
      <c r="K317" s="203" t="e">
        <f>#REF!*#REF!^5/(Conv!$I$5*Conv!$D$46)/10^6 +#REF!</f>
        <v>#REF!</v>
      </c>
      <c r="L317" s="203" t="e">
        <f>#REF!*#REF!^5/(Conv!$I$5*Conv!$D$46)/10^6 +#REF!</f>
        <v>#REF!</v>
      </c>
      <c r="M317" s="203" t="e">
        <f>#REF!*#REF!^5/(Conv!$I$5*Conv!$D$46)/10^6 +#REF!</f>
        <v>#REF!</v>
      </c>
      <c r="N317" s="203" t="e">
        <f>#REF!*#REF!^5/(Conv!$I$5*Conv!$D$46)/10^6 +#REF!</f>
        <v>#REF!</v>
      </c>
      <c r="O317" s="203" t="e">
        <f>#REF!*#REF!^5/(Conv!$I$5*Conv!$D$46)/10^6 +#REF!</f>
        <v>#REF!</v>
      </c>
      <c r="P317" s="203" t="e">
        <f>#REF!*#REF!^5/(Conv!$I$5*Conv!$D$46)/10^6 +#REF!</f>
        <v>#REF!</v>
      </c>
      <c r="Q317" s="203" t="e">
        <f>#REF!*#REF!^5/(Conv!$I$5*Conv!$D$46)/10^6 +#REF!</f>
        <v>#REF!</v>
      </c>
      <c r="S317" s="177"/>
      <c r="T317" s="177"/>
      <c r="U317" s="177"/>
      <c r="V317" s="177"/>
      <c r="W317" s="177"/>
      <c r="X317" s="177"/>
      <c r="Y317" s="177"/>
      <c r="Z317" s="177"/>
      <c r="AA317" s="177"/>
      <c r="AB317" s="177"/>
      <c r="AC317" s="177"/>
    </row>
    <row r="318" spans="2:29">
      <c r="B318" s="158" t="s">
        <v>398</v>
      </c>
      <c r="C318" s="158" t="e">
        <f>Technologies!C706</f>
        <v>#REF!</v>
      </c>
      <c r="D318" s="158" t="e">
        <f>Technologies!D706</f>
        <v>#REF!</v>
      </c>
      <c r="E318" s="197" t="e">
        <f>E317</f>
        <v>#REF!</v>
      </c>
      <c r="F318" s="197" t="e">
        <f>Commodities!C243</f>
        <v>#REF!</v>
      </c>
      <c r="G318" s="204">
        <v>1</v>
      </c>
      <c r="H318" s="203" t="e">
        <f>#REF!*#REF!^5/(Conv!$I$5*Conv!$D$46)/10^6 +#REF!</f>
        <v>#REF!</v>
      </c>
      <c r="I318" s="203" t="e">
        <f>#REF!*#REF!^5/(Conv!$I$5*Conv!$D$46)/10^6 +#REF!</f>
        <v>#REF!</v>
      </c>
      <c r="J318" s="203" t="e">
        <f>#REF!*#REF!^5/(Conv!$I$5*Conv!$D$46)/10^6 +#REF!</f>
        <v>#REF!</v>
      </c>
      <c r="K318" s="203" t="e">
        <f>#REF!*#REF!^5/(Conv!$I$5*Conv!$D$46)/10^6 +#REF!</f>
        <v>#REF!</v>
      </c>
      <c r="L318" s="203" t="e">
        <f>#REF!*#REF!^5/(Conv!$I$5*Conv!$D$46)/10^6 +#REF!</f>
        <v>#REF!</v>
      </c>
      <c r="M318" s="203" t="e">
        <f>#REF!*#REF!^5/(Conv!$I$5*Conv!$D$46)/10^6 +#REF!</f>
        <v>#REF!</v>
      </c>
      <c r="N318" s="203" t="e">
        <f>#REF!*#REF!^5/(Conv!$I$5*Conv!$D$46)/10^6 +#REF!</f>
        <v>#REF!</v>
      </c>
      <c r="O318" s="203" t="e">
        <f>#REF!*#REF!^5/(Conv!$I$5*Conv!$D$46)/10^6 +#REF!</f>
        <v>#REF!</v>
      </c>
      <c r="P318" s="203" t="e">
        <f>#REF!*#REF!^5/(Conv!$I$5*Conv!$D$46)/10^6 +#REF!</f>
        <v>#REF!</v>
      </c>
      <c r="Q318" s="203" t="e">
        <f>#REF!*#REF!^5/(Conv!$I$5*Conv!$D$46)/10^6 +#REF!</f>
        <v>#REF!</v>
      </c>
      <c r="S318" s="177"/>
      <c r="T318" s="177"/>
      <c r="U318" s="177"/>
      <c r="V318" s="177"/>
      <c r="W318" s="177"/>
      <c r="X318" s="177"/>
      <c r="Y318" s="177"/>
      <c r="Z318" s="177"/>
      <c r="AA318" s="177"/>
      <c r="AB318" s="177"/>
      <c r="AC318" s="177"/>
    </row>
    <row r="319" spans="2:29">
      <c r="B319" s="158" t="s">
        <v>398</v>
      </c>
      <c r="C319" s="158" t="e">
        <f>Technologies!C707</f>
        <v>#REF!</v>
      </c>
      <c r="D319" s="158" t="e">
        <f>Technologies!D707</f>
        <v>#REF!</v>
      </c>
      <c r="E319" s="197" t="e">
        <f>Commodities!C192</f>
        <v>#REF!</v>
      </c>
      <c r="F319" s="197" t="e">
        <f>Commodities!C244</f>
        <v>#REF!</v>
      </c>
      <c r="G319" s="204">
        <v>1</v>
      </c>
      <c r="H319" s="203" t="e">
        <f>#REF!*#REF!^5/(Conv!$I$5*Conv!$D$46)/10^6 +#REF!</f>
        <v>#REF!</v>
      </c>
      <c r="I319" s="203" t="e">
        <f>#REF!*#REF!^5/(Conv!$I$5*Conv!$D$46)/10^6 +#REF!</f>
        <v>#REF!</v>
      </c>
      <c r="J319" s="203" t="e">
        <f>#REF!*#REF!^5/(Conv!$I$5*Conv!$D$46)/10^6 +#REF!</f>
        <v>#REF!</v>
      </c>
      <c r="K319" s="203" t="e">
        <f>#REF!*#REF!^5/(Conv!$I$5*Conv!$D$46)/10^6 +#REF!</f>
        <v>#REF!</v>
      </c>
      <c r="L319" s="203" t="e">
        <f>#REF!*#REF!^5/(Conv!$I$5*Conv!$D$46)/10^6 +#REF!</f>
        <v>#REF!</v>
      </c>
      <c r="M319" s="203" t="e">
        <f>#REF!*#REF!^5/(Conv!$I$5*Conv!$D$46)/10^6 +#REF!</f>
        <v>#REF!</v>
      </c>
      <c r="N319" s="203" t="e">
        <f>#REF!*#REF!^5/(Conv!$I$5*Conv!$D$46)/10^6 +#REF!</f>
        <v>#REF!</v>
      </c>
      <c r="O319" s="203" t="e">
        <f>#REF!*#REF!^5/(Conv!$I$5*Conv!$D$46)/10^6 +#REF!</f>
        <v>#REF!</v>
      </c>
      <c r="P319" s="203" t="e">
        <f>#REF!*#REF!^5/(Conv!$I$5*Conv!$D$46)/10^6 +#REF!</f>
        <v>#REF!</v>
      </c>
      <c r="Q319" s="203" t="e">
        <f>#REF!*#REF!^5/(Conv!$I$5*Conv!$D$46)/10^6 +#REF!</f>
        <v>#REF!</v>
      </c>
      <c r="S319" s="177"/>
      <c r="T319" s="177"/>
      <c r="U319" s="177"/>
      <c r="V319" s="177"/>
      <c r="W319" s="177"/>
      <c r="X319" s="177"/>
      <c r="Y319" s="177"/>
      <c r="Z319" s="177"/>
      <c r="AA319" s="177"/>
      <c r="AB319" s="177"/>
      <c r="AC319" s="177"/>
    </row>
    <row r="320" spans="2:29">
      <c r="B320" s="158" t="s">
        <v>398</v>
      </c>
      <c r="C320" s="158" t="e">
        <f>Technologies!C708</f>
        <v>#REF!</v>
      </c>
      <c r="D320" s="158" t="e">
        <f>Technologies!D708</f>
        <v>#REF!</v>
      </c>
      <c r="E320" s="197" t="e">
        <f>E319</f>
        <v>#REF!</v>
      </c>
      <c r="F320" s="197" t="e">
        <f>Commodities!C245</f>
        <v>#REF!</v>
      </c>
      <c r="G320" s="204">
        <v>1</v>
      </c>
      <c r="H320" s="203" t="e">
        <f>#REF!*#REF!^5/(Conv!$I$5*Conv!$D$46)/10^6 +#REF!</f>
        <v>#REF!</v>
      </c>
      <c r="I320" s="203" t="e">
        <f>#REF!*#REF!^5/(Conv!$I$5*Conv!$D$46)/10^6 +#REF!</f>
        <v>#REF!</v>
      </c>
      <c r="J320" s="203" t="e">
        <f>#REF!*#REF!^5/(Conv!$I$5*Conv!$D$46)/10^6 +#REF!</f>
        <v>#REF!</v>
      </c>
      <c r="K320" s="203" t="e">
        <f>#REF!*#REF!^5/(Conv!$I$5*Conv!$D$46)/10^6 +#REF!</f>
        <v>#REF!</v>
      </c>
      <c r="L320" s="203" t="e">
        <f>#REF!*#REF!^5/(Conv!$I$5*Conv!$D$46)/10^6 +#REF!</f>
        <v>#REF!</v>
      </c>
      <c r="M320" s="203" t="e">
        <f>#REF!*#REF!^5/(Conv!$I$5*Conv!$D$46)/10^6 +#REF!</f>
        <v>#REF!</v>
      </c>
      <c r="N320" s="203" t="e">
        <f>#REF!*#REF!^5/(Conv!$I$5*Conv!$D$46)/10^6 +#REF!</f>
        <v>#REF!</v>
      </c>
      <c r="O320" s="203" t="e">
        <f>#REF!*#REF!^5/(Conv!$I$5*Conv!$D$46)/10^6 +#REF!</f>
        <v>#REF!</v>
      </c>
      <c r="P320" s="203" t="e">
        <f>#REF!*#REF!^5/(Conv!$I$5*Conv!$D$46)/10^6 +#REF!</f>
        <v>#REF!</v>
      </c>
      <c r="Q320" s="203" t="e">
        <f>#REF!*#REF!^5/(Conv!$I$5*Conv!$D$46)/10^6 +#REF!</f>
        <v>#REF!</v>
      </c>
      <c r="S320" s="177"/>
      <c r="T320" s="177"/>
      <c r="U320" s="177"/>
      <c r="V320" s="177"/>
      <c r="W320" s="177"/>
      <c r="X320" s="177"/>
      <c r="Y320" s="177"/>
      <c r="Z320" s="177"/>
      <c r="AA320" s="177"/>
      <c r="AB320" s="177"/>
      <c r="AC320" s="177"/>
    </row>
    <row r="321" spans="2:29">
      <c r="B321" s="158" t="s">
        <v>398</v>
      </c>
      <c r="C321" s="158" t="e">
        <f>Technologies!C709</f>
        <v>#REF!</v>
      </c>
      <c r="D321" s="158" t="e">
        <f>Technologies!D709</f>
        <v>#REF!</v>
      </c>
      <c r="E321" s="197" t="e">
        <f>Commodities!C194</f>
        <v>#REF!</v>
      </c>
      <c r="F321" s="197" t="e">
        <f>Commodities!C246</f>
        <v>#REF!</v>
      </c>
      <c r="G321" s="204">
        <v>1</v>
      </c>
      <c r="H321" s="203" t="e">
        <f>#REF!*#REF!^5/(Conv!$I$5*Conv!$D$46)/10^6 +#REF!</f>
        <v>#REF!</v>
      </c>
      <c r="I321" s="203" t="e">
        <f>#REF!*#REF!^5/(Conv!$I$5*Conv!$D$46)/10^6 +#REF!</f>
        <v>#REF!</v>
      </c>
      <c r="J321" s="203" t="e">
        <f>#REF!*#REF!^5/(Conv!$I$5*Conv!$D$46)/10^6 +#REF!</f>
        <v>#REF!</v>
      </c>
      <c r="K321" s="203" t="e">
        <f>#REF!*#REF!^5/(Conv!$I$5*Conv!$D$46)/10^6 +#REF!</f>
        <v>#REF!</v>
      </c>
      <c r="L321" s="203" t="e">
        <f>#REF!*#REF!^5/(Conv!$I$5*Conv!$D$46)/10^6 +#REF!</f>
        <v>#REF!</v>
      </c>
      <c r="M321" s="203" t="e">
        <f>#REF!*#REF!^5/(Conv!$I$5*Conv!$D$46)/10^6 +#REF!</f>
        <v>#REF!</v>
      </c>
      <c r="N321" s="203" t="e">
        <f>#REF!*#REF!^5/(Conv!$I$5*Conv!$D$46)/10^6 +#REF!</f>
        <v>#REF!</v>
      </c>
      <c r="O321" s="203" t="e">
        <f>#REF!*#REF!^5/(Conv!$I$5*Conv!$D$46)/10^6 +#REF!</f>
        <v>#REF!</v>
      </c>
      <c r="P321" s="203" t="e">
        <f>#REF!*#REF!^5/(Conv!$I$5*Conv!$D$46)/10^6 +#REF!</f>
        <v>#REF!</v>
      </c>
      <c r="Q321" s="203" t="e">
        <f>#REF!*#REF!^5/(Conv!$I$5*Conv!$D$46)/10^6 +#REF!</f>
        <v>#REF!</v>
      </c>
      <c r="S321" s="177"/>
      <c r="T321" s="177"/>
      <c r="U321" s="177"/>
      <c r="V321" s="177"/>
      <c r="W321" s="177"/>
      <c r="X321" s="177"/>
      <c r="Y321" s="177"/>
      <c r="Z321" s="177"/>
      <c r="AA321" s="177"/>
      <c r="AB321" s="177"/>
      <c r="AC321" s="177"/>
    </row>
    <row r="322" spans="2:29">
      <c r="B322" s="158" t="s">
        <v>398</v>
      </c>
      <c r="C322" s="158"/>
      <c r="D322" s="158"/>
      <c r="E322" s="197"/>
      <c r="F322" s="197"/>
      <c r="G322" s="204"/>
      <c r="H322" s="205"/>
      <c r="I322" s="205"/>
      <c r="J322" s="205"/>
      <c r="K322" s="205"/>
      <c r="L322" s="205"/>
      <c r="M322" s="205"/>
      <c r="N322" s="205"/>
      <c r="O322" s="205"/>
      <c r="P322" s="205"/>
      <c r="Q322" s="205"/>
    </row>
    <row r="323" spans="2:29">
      <c r="B323" s="158" t="s">
        <v>398</v>
      </c>
      <c r="C323" s="158" t="e">
        <f>Technologies!C610</f>
        <v>#REF!</v>
      </c>
      <c r="D323" s="158" t="e">
        <f>Technologies!D610</f>
        <v>#REF!</v>
      </c>
      <c r="E323" s="197" t="e">
        <f>Commodities!C143</f>
        <v>#REF!</v>
      </c>
      <c r="F323" s="197" t="e">
        <f>Commodities!C222</f>
        <v>#REF!</v>
      </c>
      <c r="G323" s="204">
        <v>1</v>
      </c>
      <c r="H323" s="203" t="e">
        <f>#REF!*#REF!^5/(Conv!$I$5*Conv!$D$46)/10^6 +#REF!</f>
        <v>#REF!</v>
      </c>
      <c r="I323" s="203" t="e">
        <f>#REF!*#REF!^5/(Conv!$I$5*Conv!$D$46)/10^6 +#REF!</f>
        <v>#REF!</v>
      </c>
      <c r="J323" s="203" t="e">
        <f>#REF!*#REF!^5/(Conv!$I$5*Conv!$D$46)/10^6 +#REF!</f>
        <v>#REF!</v>
      </c>
      <c r="K323" s="203" t="e">
        <f>#REF!*#REF!^5/(Conv!$I$5*Conv!$D$46)/10^6 +#REF!</f>
        <v>#REF!</v>
      </c>
      <c r="L323" s="203" t="e">
        <f>#REF!*#REF!^5/(Conv!$I$5*Conv!$D$46)/10^6 +#REF!</f>
        <v>#REF!</v>
      </c>
      <c r="M323" s="203" t="e">
        <f>#REF!*#REF!^5/(Conv!$I$5*Conv!$D$46)/10^6 +#REF!</f>
        <v>#REF!</v>
      </c>
      <c r="N323" s="203" t="e">
        <f>#REF!*#REF!^5/(Conv!$I$5*Conv!$D$46)/10^6 +#REF!</f>
        <v>#REF!</v>
      </c>
      <c r="O323" s="203" t="e">
        <f>#REF!*#REF!^5/(Conv!$I$5*Conv!$D$46)/10^6 +#REF!</f>
        <v>#REF!</v>
      </c>
      <c r="P323" s="203" t="e">
        <f>#REF!*#REF!^5/(Conv!$I$5*Conv!$D$46)/10^6 +#REF!</f>
        <v>#REF!</v>
      </c>
      <c r="Q323" s="203" t="e">
        <f>#REF!*#REF!^5/(Conv!$I$5*Conv!$D$46)/10^6 +#REF!</f>
        <v>#REF!</v>
      </c>
      <c r="S323" s="177"/>
      <c r="T323" s="177"/>
      <c r="U323" s="177"/>
      <c r="V323" s="177"/>
      <c r="W323" s="177"/>
      <c r="X323" s="177"/>
      <c r="Y323" s="177"/>
      <c r="Z323" s="177"/>
      <c r="AA323" s="177"/>
      <c r="AB323" s="177"/>
      <c r="AC323" s="177"/>
    </row>
    <row r="324" spans="2:29">
      <c r="B324" s="158" t="s">
        <v>398</v>
      </c>
      <c r="C324" s="158" t="e">
        <f>Technologies!C611</f>
        <v>#REF!</v>
      </c>
      <c r="D324" s="158" t="e">
        <f>Technologies!D611</f>
        <v>#REF!</v>
      </c>
      <c r="E324" s="197" t="e">
        <f>Commodities!C144</f>
        <v>#REF!</v>
      </c>
      <c r="F324" s="197" t="e">
        <f>Commodities!C223</f>
        <v>#REF!</v>
      </c>
      <c r="G324" s="204">
        <v>1</v>
      </c>
      <c r="H324" s="203" t="e">
        <f>#REF!*#REF!^5/(Conv!$I$5*Conv!$D$46)/10^6 +#REF!</f>
        <v>#REF!</v>
      </c>
      <c r="I324" s="203" t="e">
        <f>#REF!*#REF!^5/(Conv!$I$5*Conv!$D$46)/10^6 +#REF!</f>
        <v>#REF!</v>
      </c>
      <c r="J324" s="203" t="e">
        <f>#REF!*#REF!^5/(Conv!$I$5*Conv!$D$46)/10^6 +#REF!</f>
        <v>#REF!</v>
      </c>
      <c r="K324" s="203" t="e">
        <f>#REF!*#REF!^5/(Conv!$I$5*Conv!$D$46)/10^6 +#REF!</f>
        <v>#REF!</v>
      </c>
      <c r="L324" s="203" t="e">
        <f>#REF!*#REF!^5/(Conv!$I$5*Conv!$D$46)/10^6 +#REF!</f>
        <v>#REF!</v>
      </c>
      <c r="M324" s="203" t="e">
        <f>#REF!*#REF!^5/(Conv!$I$5*Conv!$D$46)/10^6 +#REF!</f>
        <v>#REF!</v>
      </c>
      <c r="N324" s="203" t="e">
        <f>#REF!*#REF!^5/(Conv!$I$5*Conv!$D$46)/10^6 +#REF!</f>
        <v>#REF!</v>
      </c>
      <c r="O324" s="203" t="e">
        <f>#REF!*#REF!^5/(Conv!$I$5*Conv!$D$46)/10^6 +#REF!</f>
        <v>#REF!</v>
      </c>
      <c r="P324" s="203" t="e">
        <f>#REF!*#REF!^5/(Conv!$I$5*Conv!$D$46)/10^6 +#REF!</f>
        <v>#REF!</v>
      </c>
      <c r="Q324" s="203" t="e">
        <f>#REF!*#REF!^5/(Conv!$I$5*Conv!$D$46)/10^6 +#REF!</f>
        <v>#REF!</v>
      </c>
      <c r="S324" s="177"/>
      <c r="T324" s="177"/>
      <c r="U324" s="177"/>
      <c r="V324" s="177"/>
      <c r="W324" s="177"/>
      <c r="X324" s="177"/>
      <c r="Y324" s="177"/>
      <c r="Z324" s="177"/>
      <c r="AA324" s="177"/>
      <c r="AB324" s="177"/>
      <c r="AC324" s="177"/>
    </row>
    <row r="325" spans="2:29">
      <c r="B325" s="158" t="s">
        <v>398</v>
      </c>
      <c r="C325" s="158" t="e">
        <f>Technologies!C612</f>
        <v>#REF!</v>
      </c>
      <c r="D325" s="158" t="e">
        <f>Technologies!D612</f>
        <v>#REF!</v>
      </c>
      <c r="E325" s="197" t="e">
        <f>Commodities!C145</f>
        <v>#REF!</v>
      </c>
      <c r="F325" s="197" t="e">
        <f>Commodities!C224</f>
        <v>#REF!</v>
      </c>
      <c r="G325" s="204">
        <v>1</v>
      </c>
      <c r="H325" s="203" t="e">
        <f>#REF!*#REF!^5/(Conv!$I$5*Conv!$D$46)/10^6 +#REF!</f>
        <v>#REF!</v>
      </c>
      <c r="I325" s="203" t="e">
        <f>#REF!*#REF!^5/(Conv!$I$5*Conv!$D$46)/10^6 +#REF!</f>
        <v>#REF!</v>
      </c>
      <c r="J325" s="203" t="e">
        <f>#REF!*#REF!^5/(Conv!$I$5*Conv!$D$46)/10^6 +#REF!</f>
        <v>#REF!</v>
      </c>
      <c r="K325" s="203" t="e">
        <f>#REF!*#REF!^5/(Conv!$I$5*Conv!$D$46)/10^6 +#REF!</f>
        <v>#REF!</v>
      </c>
      <c r="L325" s="203" t="e">
        <f>#REF!*#REF!^5/(Conv!$I$5*Conv!$D$46)/10^6 +#REF!</f>
        <v>#REF!</v>
      </c>
      <c r="M325" s="203" t="e">
        <f>#REF!*#REF!^5/(Conv!$I$5*Conv!$D$46)/10^6 +#REF!</f>
        <v>#REF!</v>
      </c>
      <c r="N325" s="203" t="e">
        <f>#REF!*#REF!^5/(Conv!$I$5*Conv!$D$46)/10^6 +#REF!</f>
        <v>#REF!</v>
      </c>
      <c r="O325" s="203" t="e">
        <f>#REF!*#REF!^5/(Conv!$I$5*Conv!$D$46)/10^6 +#REF!</f>
        <v>#REF!</v>
      </c>
      <c r="P325" s="203" t="e">
        <f>#REF!*#REF!^5/(Conv!$I$5*Conv!$D$46)/10^6 +#REF!</f>
        <v>#REF!</v>
      </c>
      <c r="Q325" s="203" t="e">
        <f>#REF!*#REF!^5/(Conv!$I$5*Conv!$D$46)/10^6 +#REF!</f>
        <v>#REF!</v>
      </c>
      <c r="S325" s="177"/>
      <c r="T325" s="177"/>
      <c r="U325" s="177"/>
      <c r="V325" s="177"/>
      <c r="W325" s="177"/>
      <c r="X325" s="177"/>
      <c r="Y325" s="177"/>
      <c r="Z325" s="177"/>
      <c r="AA325" s="177"/>
      <c r="AB325" s="177"/>
      <c r="AC325" s="177"/>
    </row>
    <row r="326" spans="2:29">
      <c r="B326" s="158" t="s">
        <v>398</v>
      </c>
      <c r="C326" s="158" t="e">
        <f>Technologies!C613</f>
        <v>#REF!</v>
      </c>
      <c r="D326" s="158" t="e">
        <f>Technologies!D613</f>
        <v>#REF!</v>
      </c>
      <c r="E326" s="197" t="e">
        <f>E325</f>
        <v>#REF!</v>
      </c>
      <c r="F326" s="197" t="e">
        <f>Commodities!C225</f>
        <v>#REF!</v>
      </c>
      <c r="G326" s="204">
        <v>1</v>
      </c>
      <c r="H326" s="203" t="e">
        <f>#REF!*#REF!^5/(Conv!$I$5*Conv!$D$46)/10^6 +#REF!</f>
        <v>#REF!</v>
      </c>
      <c r="I326" s="203" t="e">
        <f>#REF!*#REF!^5/(Conv!$I$5*Conv!$D$46)/10^6 +#REF!</f>
        <v>#REF!</v>
      </c>
      <c r="J326" s="203" t="e">
        <f>#REF!*#REF!^5/(Conv!$I$5*Conv!$D$46)/10^6 +#REF!</f>
        <v>#REF!</v>
      </c>
      <c r="K326" s="203" t="e">
        <f>#REF!*#REF!^5/(Conv!$I$5*Conv!$D$46)/10^6 +#REF!</f>
        <v>#REF!</v>
      </c>
      <c r="L326" s="203" t="e">
        <f>#REF!*#REF!^5/(Conv!$I$5*Conv!$D$46)/10^6 +#REF!</f>
        <v>#REF!</v>
      </c>
      <c r="M326" s="203" t="e">
        <f>#REF!*#REF!^5/(Conv!$I$5*Conv!$D$46)/10^6 +#REF!</f>
        <v>#REF!</v>
      </c>
      <c r="N326" s="203" t="e">
        <f>#REF!*#REF!^5/(Conv!$I$5*Conv!$D$46)/10^6 +#REF!</f>
        <v>#REF!</v>
      </c>
      <c r="O326" s="203" t="e">
        <f>#REF!*#REF!^5/(Conv!$I$5*Conv!$D$46)/10^6 +#REF!</f>
        <v>#REF!</v>
      </c>
      <c r="P326" s="203" t="e">
        <f>#REF!*#REF!^5/(Conv!$I$5*Conv!$D$46)/10^6 +#REF!</f>
        <v>#REF!</v>
      </c>
      <c r="Q326" s="203" t="e">
        <f>#REF!*#REF!^5/(Conv!$I$5*Conv!$D$46)/10^6 +#REF!</f>
        <v>#REF!</v>
      </c>
      <c r="S326" s="177"/>
      <c r="T326" s="177"/>
      <c r="U326" s="177"/>
      <c r="V326" s="177"/>
      <c r="W326" s="177"/>
      <c r="X326" s="177"/>
      <c r="Y326" s="177"/>
      <c r="Z326" s="177"/>
      <c r="AA326" s="177"/>
      <c r="AB326" s="177"/>
      <c r="AC326" s="177"/>
    </row>
    <row r="327" spans="2:29">
      <c r="B327" s="158" t="s">
        <v>398</v>
      </c>
      <c r="C327" s="158" t="e">
        <f>Technologies!C614</f>
        <v>#REF!</v>
      </c>
      <c r="D327" s="158" t="e">
        <f>Technologies!D614</f>
        <v>#REF!</v>
      </c>
      <c r="E327" s="197" t="e">
        <f>E326</f>
        <v>#REF!</v>
      </c>
      <c r="F327" s="197" t="e">
        <f>Commodities!C226</f>
        <v>#REF!</v>
      </c>
      <c r="G327" s="204">
        <v>1</v>
      </c>
      <c r="H327" s="203" t="e">
        <f>#REF!*#REF!^5/(Conv!$I$5*Conv!$D$46)/10^6 +#REF!</f>
        <v>#REF!</v>
      </c>
      <c r="I327" s="203" t="e">
        <f>#REF!*#REF!^5/(Conv!$I$5*Conv!$D$46)/10^6 +#REF!</f>
        <v>#REF!</v>
      </c>
      <c r="J327" s="203" t="e">
        <f>#REF!*#REF!^5/(Conv!$I$5*Conv!$D$46)/10^6 +#REF!</f>
        <v>#REF!</v>
      </c>
      <c r="K327" s="203" t="e">
        <f>#REF!*#REF!^5/(Conv!$I$5*Conv!$D$46)/10^6 +#REF!</f>
        <v>#REF!</v>
      </c>
      <c r="L327" s="203" t="e">
        <f>#REF!*#REF!^5/(Conv!$I$5*Conv!$D$46)/10^6 +#REF!</f>
        <v>#REF!</v>
      </c>
      <c r="M327" s="203" t="e">
        <f>#REF!*#REF!^5/(Conv!$I$5*Conv!$D$46)/10^6 +#REF!</f>
        <v>#REF!</v>
      </c>
      <c r="N327" s="203" t="e">
        <f>#REF!*#REF!^5/(Conv!$I$5*Conv!$D$46)/10^6 +#REF!</f>
        <v>#REF!</v>
      </c>
      <c r="O327" s="203" t="e">
        <f>#REF!*#REF!^5/(Conv!$I$5*Conv!$D$46)/10^6 +#REF!</f>
        <v>#REF!</v>
      </c>
      <c r="P327" s="203" t="e">
        <f>#REF!*#REF!^5/(Conv!$I$5*Conv!$D$46)/10^6 +#REF!</f>
        <v>#REF!</v>
      </c>
      <c r="Q327" s="203" t="e">
        <f>#REF!*#REF!^5/(Conv!$I$5*Conv!$D$46)/10^6 +#REF!</f>
        <v>#REF!</v>
      </c>
      <c r="S327" s="177"/>
      <c r="T327" s="177"/>
      <c r="U327" s="177"/>
      <c r="V327" s="177"/>
      <c r="W327" s="177"/>
      <c r="X327" s="177"/>
      <c r="Y327" s="177"/>
      <c r="Z327" s="177"/>
      <c r="AA327" s="177"/>
      <c r="AB327" s="177"/>
      <c r="AC327" s="177"/>
    </row>
    <row r="328" spans="2:29">
      <c r="B328" s="158" t="s">
        <v>398</v>
      </c>
      <c r="C328" s="158" t="e">
        <f>Technologies!C615</f>
        <v>#REF!</v>
      </c>
      <c r="D328" s="158" t="e">
        <f>Technologies!D615</f>
        <v>#REF!</v>
      </c>
      <c r="E328" s="197" t="e">
        <f>E327</f>
        <v>#REF!</v>
      </c>
      <c r="F328" s="197" t="e">
        <f>Commodities!C227</f>
        <v>#REF!</v>
      </c>
      <c r="G328" s="204">
        <v>1</v>
      </c>
      <c r="H328" s="203" t="e">
        <f>#REF!*#REF!^5/(Conv!$I$5*Conv!$D$46)/10^6 +#REF!</f>
        <v>#REF!</v>
      </c>
      <c r="I328" s="203" t="e">
        <f>#REF!*#REF!^5/(Conv!$I$5*Conv!$D$46)/10^6 +#REF!</f>
        <v>#REF!</v>
      </c>
      <c r="J328" s="203" t="e">
        <f>#REF!*#REF!^5/(Conv!$I$5*Conv!$D$46)/10^6 +#REF!</f>
        <v>#REF!</v>
      </c>
      <c r="K328" s="203" t="e">
        <f>#REF!*#REF!^5/(Conv!$I$5*Conv!$D$46)/10^6 +#REF!</f>
        <v>#REF!</v>
      </c>
      <c r="L328" s="203" t="e">
        <f>#REF!*#REF!^5/(Conv!$I$5*Conv!$D$46)/10^6 +#REF!</f>
        <v>#REF!</v>
      </c>
      <c r="M328" s="203" t="e">
        <f>#REF!*#REF!^5/(Conv!$I$5*Conv!$D$46)/10^6 +#REF!</f>
        <v>#REF!</v>
      </c>
      <c r="N328" s="203" t="e">
        <f>#REF!*#REF!^5/(Conv!$I$5*Conv!$D$46)/10^6 +#REF!</f>
        <v>#REF!</v>
      </c>
      <c r="O328" s="203" t="e">
        <f>#REF!*#REF!^5/(Conv!$I$5*Conv!$D$46)/10^6 +#REF!</f>
        <v>#REF!</v>
      </c>
      <c r="P328" s="203" t="e">
        <f>#REF!*#REF!^5/(Conv!$I$5*Conv!$D$46)/10^6 +#REF!</f>
        <v>#REF!</v>
      </c>
      <c r="Q328" s="203" t="e">
        <f>#REF!*#REF!^5/(Conv!$I$5*Conv!$D$46)/10^6 +#REF!</f>
        <v>#REF!</v>
      </c>
      <c r="S328" s="177"/>
      <c r="T328" s="177"/>
      <c r="U328" s="177"/>
      <c r="V328" s="177"/>
      <c r="W328" s="177"/>
      <c r="X328" s="177"/>
      <c r="Y328" s="177"/>
      <c r="Z328" s="177"/>
      <c r="AA328" s="177"/>
      <c r="AB328" s="177"/>
      <c r="AC328" s="177"/>
    </row>
    <row r="329" spans="2:29">
      <c r="B329" s="158" t="s">
        <v>398</v>
      </c>
      <c r="C329" s="158" t="e">
        <f>Technologies!C616</f>
        <v>#REF!</v>
      </c>
      <c r="D329" s="158" t="e">
        <f>Technologies!D616</f>
        <v>#REF!</v>
      </c>
      <c r="E329" s="197" t="e">
        <f>Commodities!C146</f>
        <v>#REF!</v>
      </c>
      <c r="F329" s="197" t="e">
        <f>Commodities!C228</f>
        <v>#REF!</v>
      </c>
      <c r="G329" s="204">
        <v>1</v>
      </c>
      <c r="H329" s="203" t="e">
        <f>#REF!*#REF!^5/(Conv!$I$5*Conv!$D$46)/10^6 +#REF!</f>
        <v>#REF!</v>
      </c>
      <c r="I329" s="203" t="e">
        <f>#REF!*#REF!^5/(Conv!$I$5*Conv!$D$46)/10^6 +#REF!</f>
        <v>#REF!</v>
      </c>
      <c r="J329" s="203" t="e">
        <f>#REF!*#REF!^5/(Conv!$I$5*Conv!$D$46)/10^6 +#REF!</f>
        <v>#REF!</v>
      </c>
      <c r="K329" s="203" t="e">
        <f>#REF!*#REF!^5/(Conv!$I$5*Conv!$D$46)/10^6 +#REF!</f>
        <v>#REF!</v>
      </c>
      <c r="L329" s="203" t="e">
        <f>#REF!*#REF!^5/(Conv!$I$5*Conv!$D$46)/10^6 +#REF!</f>
        <v>#REF!</v>
      </c>
      <c r="M329" s="203" t="e">
        <f>#REF!*#REF!^5/(Conv!$I$5*Conv!$D$46)/10^6 +#REF!</f>
        <v>#REF!</v>
      </c>
      <c r="N329" s="203" t="e">
        <f>#REF!*#REF!^5/(Conv!$I$5*Conv!$D$46)/10^6 +#REF!</f>
        <v>#REF!</v>
      </c>
      <c r="O329" s="203" t="e">
        <f>#REF!*#REF!^5/(Conv!$I$5*Conv!$D$46)/10^6 +#REF!</f>
        <v>#REF!</v>
      </c>
      <c r="P329" s="203" t="e">
        <f>#REF!*#REF!^5/(Conv!$I$5*Conv!$D$46)/10^6 +#REF!</f>
        <v>#REF!</v>
      </c>
      <c r="Q329" s="203" t="e">
        <f>#REF!*#REF!^5/(Conv!$I$5*Conv!$D$46)/10^6 +#REF!</f>
        <v>#REF!</v>
      </c>
      <c r="S329" s="177"/>
      <c r="T329" s="177"/>
      <c r="U329" s="177"/>
      <c r="V329" s="177"/>
      <c r="W329" s="177"/>
      <c r="X329" s="177"/>
      <c r="Y329" s="177"/>
      <c r="Z329" s="177"/>
      <c r="AA329" s="177"/>
      <c r="AB329" s="177"/>
      <c r="AC329" s="177"/>
    </row>
    <row r="330" spans="2:29">
      <c r="B330" s="158" t="s">
        <v>398</v>
      </c>
      <c r="C330" s="158" t="e">
        <f>Technologies!C617</f>
        <v>#REF!</v>
      </c>
      <c r="D330" s="158" t="e">
        <f>Technologies!D617</f>
        <v>#REF!</v>
      </c>
      <c r="E330" s="197" t="e">
        <f>Commodities!C147</f>
        <v>#REF!</v>
      </c>
      <c r="F330" s="197" t="e">
        <f>Commodities!C229</f>
        <v>#REF!</v>
      </c>
      <c r="G330" s="204">
        <v>1</v>
      </c>
      <c r="H330" s="203" t="e">
        <f>#REF!*#REF!^5/(Conv!$I$5*Conv!$D$46)/10^6 +#REF!</f>
        <v>#REF!</v>
      </c>
      <c r="I330" s="203" t="e">
        <f>#REF!*#REF!^5/(Conv!$I$5*Conv!$D$46)/10^6 +#REF!</f>
        <v>#REF!</v>
      </c>
      <c r="J330" s="203" t="e">
        <f>#REF!*#REF!^5/(Conv!$I$5*Conv!$D$46)/10^6 +#REF!</f>
        <v>#REF!</v>
      </c>
      <c r="K330" s="203" t="e">
        <f>#REF!*#REF!^5/(Conv!$I$5*Conv!$D$46)/10^6 +#REF!</f>
        <v>#REF!</v>
      </c>
      <c r="L330" s="203" t="e">
        <f>#REF!*#REF!^5/(Conv!$I$5*Conv!$D$46)/10^6 +#REF!</f>
        <v>#REF!</v>
      </c>
      <c r="M330" s="203" t="e">
        <f>#REF!*#REF!^5/(Conv!$I$5*Conv!$D$46)/10^6 +#REF!</f>
        <v>#REF!</v>
      </c>
      <c r="N330" s="203" t="e">
        <f>#REF!*#REF!^5/(Conv!$I$5*Conv!$D$46)/10^6 +#REF!</f>
        <v>#REF!</v>
      </c>
      <c r="O330" s="203" t="e">
        <f>#REF!*#REF!^5/(Conv!$I$5*Conv!$D$46)/10^6 +#REF!</f>
        <v>#REF!</v>
      </c>
      <c r="P330" s="203" t="e">
        <f>#REF!*#REF!^5/(Conv!$I$5*Conv!$D$46)/10^6 +#REF!</f>
        <v>#REF!</v>
      </c>
      <c r="Q330" s="203" t="e">
        <f>#REF!*#REF!^5/(Conv!$I$5*Conv!$D$46)/10^6 +#REF!</f>
        <v>#REF!</v>
      </c>
      <c r="S330" s="177"/>
      <c r="T330" s="177"/>
      <c r="U330" s="177"/>
      <c r="V330" s="177"/>
      <c r="W330" s="177"/>
      <c r="X330" s="177"/>
      <c r="Y330" s="177"/>
      <c r="Z330" s="177"/>
      <c r="AA330" s="177"/>
      <c r="AB330" s="177"/>
      <c r="AC330" s="177"/>
    </row>
    <row r="331" spans="2:29">
      <c r="B331" s="158" t="s">
        <v>398</v>
      </c>
      <c r="C331" s="158" t="e">
        <f>Technologies!C618</f>
        <v>#REF!</v>
      </c>
      <c r="D331" s="158" t="e">
        <f>Technologies!D618</f>
        <v>#REF!</v>
      </c>
      <c r="E331" s="197" t="e">
        <f>Commodities!C148</f>
        <v>#REF!</v>
      </c>
      <c r="F331" s="197" t="e">
        <f>Commodities!C230</f>
        <v>#REF!</v>
      </c>
      <c r="G331" s="204">
        <v>1</v>
      </c>
      <c r="H331" s="203" t="e">
        <f>#REF!*#REF!^5/(Conv!$I$5*Conv!$D$46)/10^6 +#REF!</f>
        <v>#REF!</v>
      </c>
      <c r="I331" s="203" t="e">
        <f>#REF!*#REF!^5/(Conv!$I$5*Conv!$D$46)/10^6 +#REF!</f>
        <v>#REF!</v>
      </c>
      <c r="J331" s="203" t="e">
        <f>#REF!*#REF!^5/(Conv!$I$5*Conv!$D$46)/10^6 +#REF!</f>
        <v>#REF!</v>
      </c>
      <c r="K331" s="203" t="e">
        <f>#REF!*#REF!^5/(Conv!$I$5*Conv!$D$46)/10^6 +#REF!</f>
        <v>#REF!</v>
      </c>
      <c r="L331" s="203" t="e">
        <f>#REF!*#REF!^5/(Conv!$I$5*Conv!$D$46)/10^6 +#REF!</f>
        <v>#REF!</v>
      </c>
      <c r="M331" s="203" t="e">
        <f>#REF!*#REF!^5/(Conv!$I$5*Conv!$D$46)/10^6 +#REF!</f>
        <v>#REF!</v>
      </c>
      <c r="N331" s="203" t="e">
        <f>#REF!*#REF!^5/(Conv!$I$5*Conv!$D$46)/10^6 +#REF!</f>
        <v>#REF!</v>
      </c>
      <c r="O331" s="203" t="e">
        <f>#REF!*#REF!^5/(Conv!$I$5*Conv!$D$46)/10^6 +#REF!</f>
        <v>#REF!</v>
      </c>
      <c r="P331" s="203" t="e">
        <f>#REF!*#REF!^5/(Conv!$I$5*Conv!$D$46)/10^6 +#REF!</f>
        <v>#REF!</v>
      </c>
      <c r="Q331" s="203" t="e">
        <f>#REF!*#REF!^5/(Conv!$I$5*Conv!$D$46)/10^6 +#REF!</f>
        <v>#REF!</v>
      </c>
      <c r="S331" s="177"/>
      <c r="T331" s="177"/>
      <c r="U331" s="177"/>
      <c r="V331" s="177"/>
      <c r="W331" s="177"/>
      <c r="X331" s="177"/>
      <c r="Y331" s="177"/>
      <c r="Z331" s="177"/>
      <c r="AA331" s="177"/>
      <c r="AB331" s="177"/>
      <c r="AC331" s="177"/>
    </row>
    <row r="332" spans="2:29">
      <c r="B332" s="158" t="s">
        <v>398</v>
      </c>
      <c r="C332" s="158" t="e">
        <f>Technologies!C619</f>
        <v>#REF!</v>
      </c>
      <c r="D332" s="158" t="e">
        <f>Technologies!D619</f>
        <v>#REF!</v>
      </c>
      <c r="E332" s="197" t="e">
        <f>Commodities!C149</f>
        <v>#REF!</v>
      </c>
      <c r="F332" s="197" t="e">
        <f>Commodities!C231</f>
        <v>#REF!</v>
      </c>
      <c r="G332" s="204">
        <v>1</v>
      </c>
      <c r="H332" s="203" t="e">
        <f>#REF!*#REF!^5/(Conv!$I$5*Conv!$D$46)/10^6 +#REF!</f>
        <v>#REF!</v>
      </c>
      <c r="I332" s="203" t="e">
        <f>#REF!*#REF!^5/(Conv!$I$5*Conv!$D$46)/10^6 +#REF!</f>
        <v>#REF!</v>
      </c>
      <c r="J332" s="203" t="e">
        <f>#REF!*#REF!^5/(Conv!$I$5*Conv!$D$46)/10^6 +#REF!</f>
        <v>#REF!</v>
      </c>
      <c r="K332" s="203" t="e">
        <f>#REF!*#REF!^5/(Conv!$I$5*Conv!$D$46)/10^6 +#REF!</f>
        <v>#REF!</v>
      </c>
      <c r="L332" s="203" t="e">
        <f>#REF!*#REF!^5/(Conv!$I$5*Conv!$D$46)/10^6 +#REF!</f>
        <v>#REF!</v>
      </c>
      <c r="M332" s="203" t="e">
        <f>#REF!*#REF!^5/(Conv!$I$5*Conv!$D$46)/10^6 +#REF!</f>
        <v>#REF!</v>
      </c>
      <c r="N332" s="203" t="e">
        <f>#REF!*#REF!^5/(Conv!$I$5*Conv!$D$46)/10^6 +#REF!</f>
        <v>#REF!</v>
      </c>
      <c r="O332" s="203" t="e">
        <f>#REF!*#REF!^5/(Conv!$I$5*Conv!$D$46)/10^6 +#REF!</f>
        <v>#REF!</v>
      </c>
      <c r="P332" s="203" t="e">
        <f>#REF!*#REF!^5/(Conv!$I$5*Conv!$D$46)/10^6 +#REF!</f>
        <v>#REF!</v>
      </c>
      <c r="Q332" s="203" t="e">
        <f>#REF!*#REF!^5/(Conv!$I$5*Conv!$D$46)/10^6 +#REF!</f>
        <v>#REF!</v>
      </c>
      <c r="S332" s="177"/>
      <c r="T332" s="177"/>
      <c r="U332" s="177"/>
      <c r="V332" s="177"/>
      <c r="W332" s="177"/>
      <c r="X332" s="177"/>
      <c r="Y332" s="177"/>
      <c r="Z332" s="177"/>
      <c r="AA332" s="177"/>
      <c r="AB332" s="177"/>
      <c r="AC332" s="177"/>
    </row>
    <row r="333" spans="2:29">
      <c r="B333" s="158" t="s">
        <v>398</v>
      </c>
      <c r="C333" s="158" t="e">
        <f>Technologies!C620</f>
        <v>#REF!</v>
      </c>
      <c r="D333" s="158" t="e">
        <f>Technologies!D620</f>
        <v>#REF!</v>
      </c>
      <c r="E333" s="197" t="e">
        <f>E332</f>
        <v>#REF!</v>
      </c>
      <c r="F333" s="197" t="e">
        <f>Commodities!C232</f>
        <v>#REF!</v>
      </c>
      <c r="G333" s="204">
        <v>1</v>
      </c>
      <c r="H333" s="203" t="e">
        <f>#REF!*#REF!^5/(Conv!$I$5*Conv!$D$46)/10^6 +#REF!</f>
        <v>#REF!</v>
      </c>
      <c r="I333" s="203" t="e">
        <f>#REF!*#REF!^5/(Conv!$I$5*Conv!$D$46)/10^6 +#REF!</f>
        <v>#REF!</v>
      </c>
      <c r="J333" s="203" t="e">
        <f>#REF!*#REF!^5/(Conv!$I$5*Conv!$D$46)/10^6 +#REF!</f>
        <v>#REF!</v>
      </c>
      <c r="K333" s="203" t="e">
        <f>#REF!*#REF!^5/(Conv!$I$5*Conv!$D$46)/10^6 +#REF!</f>
        <v>#REF!</v>
      </c>
      <c r="L333" s="203" t="e">
        <f>#REF!*#REF!^5/(Conv!$I$5*Conv!$D$46)/10^6 +#REF!</f>
        <v>#REF!</v>
      </c>
      <c r="M333" s="203" t="e">
        <f>#REF!*#REF!^5/(Conv!$I$5*Conv!$D$46)/10^6 +#REF!</f>
        <v>#REF!</v>
      </c>
      <c r="N333" s="203" t="e">
        <f>#REF!*#REF!^5/(Conv!$I$5*Conv!$D$46)/10^6 +#REF!</f>
        <v>#REF!</v>
      </c>
      <c r="O333" s="203" t="e">
        <f>#REF!*#REF!^5/(Conv!$I$5*Conv!$D$46)/10^6 +#REF!</f>
        <v>#REF!</v>
      </c>
      <c r="P333" s="203" t="e">
        <f>#REF!*#REF!^5/(Conv!$I$5*Conv!$D$46)/10^6 +#REF!</f>
        <v>#REF!</v>
      </c>
      <c r="Q333" s="203" t="e">
        <f>#REF!*#REF!^5/(Conv!$I$5*Conv!$D$46)/10^6 +#REF!</f>
        <v>#REF!</v>
      </c>
      <c r="S333" s="177"/>
      <c r="T333" s="177"/>
      <c r="U333" s="177"/>
      <c r="V333" s="177"/>
      <c r="W333" s="177"/>
      <c r="X333" s="177"/>
      <c r="Y333" s="177"/>
      <c r="Z333" s="177"/>
      <c r="AA333" s="177"/>
      <c r="AB333" s="177"/>
      <c r="AC333" s="177"/>
    </row>
    <row r="334" spans="2:29">
      <c r="B334" s="158" t="s">
        <v>398</v>
      </c>
      <c r="C334" s="158" t="e">
        <f>Technologies!C621</f>
        <v>#REF!</v>
      </c>
      <c r="D334" s="158" t="e">
        <f>Technologies!D621</f>
        <v>#REF!</v>
      </c>
      <c r="E334" s="197" t="e">
        <f>E333</f>
        <v>#REF!</v>
      </c>
      <c r="F334" s="197" t="e">
        <f>Commodities!C233</f>
        <v>#REF!</v>
      </c>
      <c r="G334" s="204">
        <v>1</v>
      </c>
      <c r="H334" s="203" t="e">
        <f>#REF!*#REF!^5/(Conv!$I$5*Conv!$D$46)/10^6 +#REF!</f>
        <v>#REF!</v>
      </c>
      <c r="I334" s="203" t="e">
        <f>#REF!*#REF!^5/(Conv!$I$5*Conv!$D$46)/10^6 +#REF!</f>
        <v>#REF!</v>
      </c>
      <c r="J334" s="203" t="e">
        <f>#REF!*#REF!^5/(Conv!$I$5*Conv!$D$46)/10^6 +#REF!</f>
        <v>#REF!</v>
      </c>
      <c r="K334" s="203" t="e">
        <f>#REF!*#REF!^5/(Conv!$I$5*Conv!$D$46)/10^6 +#REF!</f>
        <v>#REF!</v>
      </c>
      <c r="L334" s="203" t="e">
        <f>#REF!*#REF!^5/(Conv!$I$5*Conv!$D$46)/10^6 +#REF!</f>
        <v>#REF!</v>
      </c>
      <c r="M334" s="203" t="e">
        <f>#REF!*#REF!^5/(Conv!$I$5*Conv!$D$46)/10^6 +#REF!</f>
        <v>#REF!</v>
      </c>
      <c r="N334" s="203" t="e">
        <f>#REF!*#REF!^5/(Conv!$I$5*Conv!$D$46)/10^6 +#REF!</f>
        <v>#REF!</v>
      </c>
      <c r="O334" s="203" t="e">
        <f>#REF!*#REF!^5/(Conv!$I$5*Conv!$D$46)/10^6 +#REF!</f>
        <v>#REF!</v>
      </c>
      <c r="P334" s="203" t="e">
        <f>#REF!*#REF!^5/(Conv!$I$5*Conv!$D$46)/10^6 +#REF!</f>
        <v>#REF!</v>
      </c>
      <c r="Q334" s="203" t="e">
        <f>#REF!*#REF!^5/(Conv!$I$5*Conv!$D$46)/10^6 +#REF!</f>
        <v>#REF!</v>
      </c>
      <c r="S334" s="177"/>
      <c r="T334" s="177"/>
      <c r="U334" s="177"/>
      <c r="V334" s="177"/>
      <c r="W334" s="177"/>
      <c r="X334" s="177"/>
      <c r="Y334" s="177"/>
      <c r="Z334" s="177"/>
      <c r="AA334" s="177"/>
      <c r="AB334" s="177"/>
      <c r="AC334" s="177"/>
    </row>
    <row r="335" spans="2:29">
      <c r="B335" s="158" t="s">
        <v>398</v>
      </c>
      <c r="C335" s="158" t="e">
        <f>Technologies!C622</f>
        <v>#REF!</v>
      </c>
      <c r="D335" s="158" t="e">
        <f>Technologies!D622</f>
        <v>#REF!</v>
      </c>
      <c r="E335" s="197" t="e">
        <f>Commodities!C150</f>
        <v>#REF!</v>
      </c>
      <c r="F335" s="197" t="e">
        <f>Commodities!C234</f>
        <v>#REF!</v>
      </c>
      <c r="G335" s="204">
        <v>1</v>
      </c>
      <c r="H335" s="203" t="e">
        <f>#REF!*#REF!^5/(Conv!$I$5*Conv!$D$46)/10^6 +#REF!</f>
        <v>#REF!</v>
      </c>
      <c r="I335" s="203" t="e">
        <f>#REF!*#REF!^5/(Conv!$I$5*Conv!$D$46)/10^6 +#REF!</f>
        <v>#REF!</v>
      </c>
      <c r="J335" s="203" t="e">
        <f>#REF!*#REF!^5/(Conv!$I$5*Conv!$D$46)/10^6 +#REF!</f>
        <v>#REF!</v>
      </c>
      <c r="K335" s="203" t="e">
        <f>#REF!*#REF!^5/(Conv!$I$5*Conv!$D$46)/10^6 +#REF!</f>
        <v>#REF!</v>
      </c>
      <c r="L335" s="203" t="e">
        <f>#REF!*#REF!^5/(Conv!$I$5*Conv!$D$46)/10^6 +#REF!</f>
        <v>#REF!</v>
      </c>
      <c r="M335" s="203" t="e">
        <f>#REF!*#REF!^5/(Conv!$I$5*Conv!$D$46)/10^6 +#REF!</f>
        <v>#REF!</v>
      </c>
      <c r="N335" s="203" t="e">
        <f>#REF!*#REF!^5/(Conv!$I$5*Conv!$D$46)/10^6 +#REF!</f>
        <v>#REF!</v>
      </c>
      <c r="O335" s="203" t="e">
        <f>#REF!*#REF!^5/(Conv!$I$5*Conv!$D$46)/10^6 +#REF!</f>
        <v>#REF!</v>
      </c>
      <c r="P335" s="203" t="e">
        <f>#REF!*#REF!^5/(Conv!$I$5*Conv!$D$46)/10^6 +#REF!</f>
        <v>#REF!</v>
      </c>
      <c r="Q335" s="203" t="e">
        <f>#REF!*#REF!^5/(Conv!$I$5*Conv!$D$46)/10^6 +#REF!</f>
        <v>#REF!</v>
      </c>
      <c r="S335" s="177"/>
      <c r="T335" s="177"/>
      <c r="U335" s="177"/>
      <c r="V335" s="177"/>
      <c r="W335" s="177"/>
      <c r="X335" s="177"/>
      <c r="Y335" s="177"/>
      <c r="Z335" s="177"/>
      <c r="AA335" s="177"/>
      <c r="AB335" s="177"/>
      <c r="AC335" s="177"/>
    </row>
    <row r="336" spans="2:29">
      <c r="B336" s="158" t="s">
        <v>398</v>
      </c>
      <c r="C336" s="158" t="e">
        <f>Technologies!C623</f>
        <v>#REF!</v>
      </c>
      <c r="D336" s="158" t="e">
        <f>Technologies!D623</f>
        <v>#REF!</v>
      </c>
      <c r="E336" s="197" t="e">
        <f>E335</f>
        <v>#REF!</v>
      </c>
      <c r="F336" s="197" t="e">
        <f>Commodities!C235</f>
        <v>#REF!</v>
      </c>
      <c r="G336" s="204">
        <v>1</v>
      </c>
      <c r="H336" s="203" t="e">
        <f>#REF!*#REF!^5/(Conv!$I$5*Conv!$D$46)/10^6 +#REF!</f>
        <v>#REF!</v>
      </c>
      <c r="I336" s="203" t="e">
        <f>#REF!*#REF!^5/(Conv!$I$5*Conv!$D$46)/10^6 +#REF!</f>
        <v>#REF!</v>
      </c>
      <c r="J336" s="203" t="e">
        <f>#REF!*#REF!^5/(Conv!$I$5*Conv!$D$46)/10^6 +#REF!</f>
        <v>#REF!</v>
      </c>
      <c r="K336" s="203" t="e">
        <f>#REF!*#REF!^5/(Conv!$I$5*Conv!$D$46)/10^6 +#REF!</f>
        <v>#REF!</v>
      </c>
      <c r="L336" s="203" t="e">
        <f>#REF!*#REF!^5/(Conv!$I$5*Conv!$D$46)/10^6 +#REF!</f>
        <v>#REF!</v>
      </c>
      <c r="M336" s="203" t="e">
        <f>#REF!*#REF!^5/(Conv!$I$5*Conv!$D$46)/10^6 +#REF!</f>
        <v>#REF!</v>
      </c>
      <c r="N336" s="203" t="e">
        <f>#REF!*#REF!^5/(Conv!$I$5*Conv!$D$46)/10^6 +#REF!</f>
        <v>#REF!</v>
      </c>
      <c r="O336" s="203" t="e">
        <f>#REF!*#REF!^5/(Conv!$I$5*Conv!$D$46)/10^6 +#REF!</f>
        <v>#REF!</v>
      </c>
      <c r="P336" s="203" t="e">
        <f>#REF!*#REF!^5/(Conv!$I$5*Conv!$D$46)/10^6 +#REF!</f>
        <v>#REF!</v>
      </c>
      <c r="Q336" s="203" t="e">
        <f>#REF!*#REF!^5/(Conv!$I$5*Conv!$D$46)/10^6 +#REF!</f>
        <v>#REF!</v>
      </c>
      <c r="S336" s="177"/>
      <c r="T336" s="177"/>
      <c r="U336" s="177"/>
      <c r="V336" s="177"/>
      <c r="W336" s="177"/>
      <c r="X336" s="177"/>
      <c r="Y336" s="177"/>
      <c r="Z336" s="177"/>
      <c r="AA336" s="177"/>
      <c r="AB336" s="177"/>
      <c r="AC336" s="177"/>
    </row>
    <row r="337" spans="2:29">
      <c r="B337" s="158" t="s">
        <v>398</v>
      </c>
      <c r="C337" s="158" t="e">
        <f>Technologies!C624</f>
        <v>#REF!</v>
      </c>
      <c r="D337" s="158" t="e">
        <f>Technologies!D624</f>
        <v>#REF!</v>
      </c>
      <c r="E337" s="197" t="e">
        <f>E336</f>
        <v>#REF!</v>
      </c>
      <c r="F337" s="197" t="e">
        <f>Commodities!C236</f>
        <v>#REF!</v>
      </c>
      <c r="G337" s="204">
        <v>1</v>
      </c>
      <c r="H337" s="203" t="e">
        <f>#REF!*#REF!^5/(Conv!$I$5*Conv!$D$46)/10^6 +#REF!</f>
        <v>#REF!</v>
      </c>
      <c r="I337" s="203" t="e">
        <f>#REF!*#REF!^5/(Conv!$I$5*Conv!$D$46)/10^6 +#REF!</f>
        <v>#REF!</v>
      </c>
      <c r="J337" s="203" t="e">
        <f>#REF!*#REF!^5/(Conv!$I$5*Conv!$D$46)/10^6 +#REF!</f>
        <v>#REF!</v>
      </c>
      <c r="K337" s="203" t="e">
        <f>#REF!*#REF!^5/(Conv!$I$5*Conv!$D$46)/10^6 +#REF!</f>
        <v>#REF!</v>
      </c>
      <c r="L337" s="203" t="e">
        <f>#REF!*#REF!^5/(Conv!$I$5*Conv!$D$46)/10^6 +#REF!</f>
        <v>#REF!</v>
      </c>
      <c r="M337" s="203" t="e">
        <f>#REF!*#REF!^5/(Conv!$I$5*Conv!$D$46)/10^6 +#REF!</f>
        <v>#REF!</v>
      </c>
      <c r="N337" s="203" t="e">
        <f>#REF!*#REF!^5/(Conv!$I$5*Conv!$D$46)/10^6 +#REF!</f>
        <v>#REF!</v>
      </c>
      <c r="O337" s="203" t="e">
        <f>#REF!*#REF!^5/(Conv!$I$5*Conv!$D$46)/10^6 +#REF!</f>
        <v>#REF!</v>
      </c>
      <c r="P337" s="203" t="e">
        <f>#REF!*#REF!^5/(Conv!$I$5*Conv!$D$46)/10^6 +#REF!</f>
        <v>#REF!</v>
      </c>
      <c r="Q337" s="203" t="e">
        <f>#REF!*#REF!^5/(Conv!$I$5*Conv!$D$46)/10^6 +#REF!</f>
        <v>#REF!</v>
      </c>
      <c r="S337" s="177"/>
      <c r="T337" s="177"/>
      <c r="U337" s="177"/>
      <c r="V337" s="177"/>
      <c r="W337" s="177"/>
      <c r="X337" s="177"/>
      <c r="Y337" s="177"/>
      <c r="Z337" s="177"/>
      <c r="AA337" s="177"/>
      <c r="AB337" s="177"/>
      <c r="AC337" s="177"/>
    </row>
    <row r="338" spans="2:29">
      <c r="B338" s="158" t="s">
        <v>398</v>
      </c>
      <c r="C338" s="158" t="e">
        <f>Technologies!C625</f>
        <v>#REF!</v>
      </c>
      <c r="D338" s="158" t="e">
        <f>Technologies!D625</f>
        <v>#REF!</v>
      </c>
      <c r="E338" s="197" t="e">
        <f>E337</f>
        <v>#REF!</v>
      </c>
      <c r="F338" s="197" t="e">
        <f>Commodities!C237</f>
        <v>#REF!</v>
      </c>
      <c r="G338" s="204">
        <v>1</v>
      </c>
      <c r="H338" s="203" t="e">
        <f>#REF!*#REF!^5/(Conv!$I$5*Conv!$D$46)/10^6 +#REF!</f>
        <v>#REF!</v>
      </c>
      <c r="I338" s="203" t="e">
        <f>#REF!*#REF!^5/(Conv!$I$5*Conv!$D$46)/10^6 +#REF!</f>
        <v>#REF!</v>
      </c>
      <c r="J338" s="203" t="e">
        <f>#REF!*#REF!^5/(Conv!$I$5*Conv!$D$46)/10^6 +#REF!</f>
        <v>#REF!</v>
      </c>
      <c r="K338" s="203" t="e">
        <f>#REF!*#REF!^5/(Conv!$I$5*Conv!$D$46)/10^6 +#REF!</f>
        <v>#REF!</v>
      </c>
      <c r="L338" s="203" t="e">
        <f>#REF!*#REF!^5/(Conv!$I$5*Conv!$D$46)/10^6 +#REF!</f>
        <v>#REF!</v>
      </c>
      <c r="M338" s="203" t="e">
        <f>#REF!*#REF!^5/(Conv!$I$5*Conv!$D$46)/10^6 +#REF!</f>
        <v>#REF!</v>
      </c>
      <c r="N338" s="203" t="e">
        <f>#REF!*#REF!^5/(Conv!$I$5*Conv!$D$46)/10^6 +#REF!</f>
        <v>#REF!</v>
      </c>
      <c r="O338" s="203" t="e">
        <f>#REF!*#REF!^5/(Conv!$I$5*Conv!$D$46)/10^6 +#REF!</f>
        <v>#REF!</v>
      </c>
      <c r="P338" s="203" t="e">
        <f>#REF!*#REF!^5/(Conv!$I$5*Conv!$D$46)/10^6 +#REF!</f>
        <v>#REF!</v>
      </c>
      <c r="Q338" s="203" t="e">
        <f>#REF!*#REF!^5/(Conv!$I$5*Conv!$D$46)/10^6 +#REF!</f>
        <v>#REF!</v>
      </c>
      <c r="S338" s="177"/>
      <c r="T338" s="177"/>
      <c r="U338" s="177"/>
      <c r="V338" s="177"/>
      <c r="W338" s="177"/>
      <c r="X338" s="177"/>
      <c r="Y338" s="177"/>
      <c r="Z338" s="177"/>
      <c r="AA338" s="177"/>
      <c r="AB338" s="177"/>
      <c r="AC338" s="177"/>
    </row>
    <row r="339" spans="2:29">
      <c r="B339" s="158" t="s">
        <v>398</v>
      </c>
      <c r="C339" s="158" t="e">
        <f>Technologies!C626</f>
        <v>#REF!</v>
      </c>
      <c r="D339" s="158" t="e">
        <f>Technologies!D626</f>
        <v>#REF!</v>
      </c>
      <c r="E339" s="197" t="e">
        <f>Commodities!C151</f>
        <v>#REF!</v>
      </c>
      <c r="F339" s="197" t="e">
        <f>Commodities!C238</f>
        <v>#REF!</v>
      </c>
      <c r="G339" s="204">
        <v>1</v>
      </c>
      <c r="H339" s="203" t="e">
        <f>#REF!*#REF!^5/(Conv!$I$5*Conv!$D$46)/10^6 +#REF!</f>
        <v>#REF!</v>
      </c>
      <c r="I339" s="203" t="e">
        <f>#REF!*#REF!^5/(Conv!$I$5*Conv!$D$46)/10^6 +#REF!</f>
        <v>#REF!</v>
      </c>
      <c r="J339" s="203" t="e">
        <f>#REF!*#REF!^5/(Conv!$I$5*Conv!$D$46)/10^6 +#REF!</f>
        <v>#REF!</v>
      </c>
      <c r="K339" s="203" t="e">
        <f>#REF!*#REF!^5/(Conv!$I$5*Conv!$D$46)/10^6 +#REF!</f>
        <v>#REF!</v>
      </c>
      <c r="L339" s="203" t="e">
        <f>#REF!*#REF!^5/(Conv!$I$5*Conv!$D$46)/10^6 +#REF!</f>
        <v>#REF!</v>
      </c>
      <c r="M339" s="203" t="e">
        <f>#REF!*#REF!^5/(Conv!$I$5*Conv!$D$46)/10^6 +#REF!</f>
        <v>#REF!</v>
      </c>
      <c r="N339" s="203" t="e">
        <f>#REF!*#REF!^5/(Conv!$I$5*Conv!$D$46)/10^6 +#REF!</f>
        <v>#REF!</v>
      </c>
      <c r="O339" s="203" t="e">
        <f>#REF!*#REF!^5/(Conv!$I$5*Conv!$D$46)/10^6 +#REF!</f>
        <v>#REF!</v>
      </c>
      <c r="P339" s="203" t="e">
        <f>#REF!*#REF!^5/(Conv!$I$5*Conv!$D$46)/10^6 +#REF!</f>
        <v>#REF!</v>
      </c>
      <c r="Q339" s="203" t="e">
        <f>#REF!*#REF!^5/(Conv!$I$5*Conv!$D$46)/10^6 +#REF!</f>
        <v>#REF!</v>
      </c>
      <c r="S339" s="177"/>
      <c r="T339" s="177"/>
      <c r="U339" s="177"/>
      <c r="V339" s="177"/>
      <c r="W339" s="177"/>
      <c r="X339" s="177"/>
      <c r="Y339" s="177"/>
      <c r="Z339" s="177"/>
      <c r="AA339" s="177"/>
      <c r="AB339" s="177"/>
      <c r="AC339" s="177"/>
    </row>
    <row r="340" spans="2:29">
      <c r="B340" s="158" t="s">
        <v>398</v>
      </c>
      <c r="C340" s="158" t="e">
        <f>Technologies!C627</f>
        <v>#REF!</v>
      </c>
      <c r="D340" s="158" t="e">
        <f>Technologies!D627</f>
        <v>#REF!</v>
      </c>
      <c r="E340" s="197" t="e">
        <f>Commodities!C152</f>
        <v>#REF!</v>
      </c>
      <c r="F340" s="197" t="e">
        <f>Commodities!C239</f>
        <v>#REF!</v>
      </c>
      <c r="G340" s="204">
        <v>1</v>
      </c>
      <c r="H340" s="203" t="e">
        <f>#REF!*#REF!^5/(Conv!$I$5*Conv!$D$46)/10^6 +#REF!</f>
        <v>#REF!</v>
      </c>
      <c r="I340" s="203" t="e">
        <f>#REF!*#REF!^5/(Conv!$I$5*Conv!$D$46)/10^6 +#REF!</f>
        <v>#REF!</v>
      </c>
      <c r="J340" s="203" t="e">
        <f>#REF!*#REF!^5/(Conv!$I$5*Conv!$D$46)/10^6 +#REF!</f>
        <v>#REF!</v>
      </c>
      <c r="K340" s="203" t="e">
        <f>#REF!*#REF!^5/(Conv!$I$5*Conv!$D$46)/10^6 +#REF!</f>
        <v>#REF!</v>
      </c>
      <c r="L340" s="203" t="e">
        <f>#REF!*#REF!^5/(Conv!$I$5*Conv!$D$46)/10^6 +#REF!</f>
        <v>#REF!</v>
      </c>
      <c r="M340" s="203" t="e">
        <f>#REF!*#REF!^5/(Conv!$I$5*Conv!$D$46)/10^6 +#REF!</f>
        <v>#REF!</v>
      </c>
      <c r="N340" s="203" t="e">
        <f>#REF!*#REF!^5/(Conv!$I$5*Conv!$D$46)/10^6 +#REF!</f>
        <v>#REF!</v>
      </c>
      <c r="O340" s="203" t="e">
        <f>#REF!*#REF!^5/(Conv!$I$5*Conv!$D$46)/10^6 +#REF!</f>
        <v>#REF!</v>
      </c>
      <c r="P340" s="203" t="e">
        <f>#REF!*#REF!^5/(Conv!$I$5*Conv!$D$46)/10^6 +#REF!</f>
        <v>#REF!</v>
      </c>
      <c r="Q340" s="203" t="e">
        <f>#REF!*#REF!^5/(Conv!$I$5*Conv!$D$46)/10^6 +#REF!</f>
        <v>#REF!</v>
      </c>
      <c r="S340" s="177"/>
      <c r="T340" s="177"/>
      <c r="U340" s="177"/>
      <c r="V340" s="177"/>
      <c r="W340" s="177"/>
      <c r="X340" s="177"/>
      <c r="Y340" s="177"/>
      <c r="Z340" s="177"/>
      <c r="AA340" s="177"/>
      <c r="AB340" s="177"/>
      <c r="AC340" s="177"/>
    </row>
    <row r="341" spans="2:29">
      <c r="B341" s="158" t="s">
        <v>398</v>
      </c>
      <c r="C341" s="158" t="e">
        <f>Technologies!C628</f>
        <v>#REF!</v>
      </c>
      <c r="D341" s="158" t="e">
        <f>Technologies!D628</f>
        <v>#REF!</v>
      </c>
      <c r="E341" s="197" t="e">
        <f>Commodities!C154</f>
        <v>#REF!</v>
      </c>
      <c r="F341" s="197" t="str">
        <f>Commodities!C240</f>
        <v>RESRFL</v>
      </c>
      <c r="G341" s="204">
        <v>1</v>
      </c>
      <c r="H341" s="203" t="e">
        <f>#REF!*#REF!^5/(Conv!$I$5*Conv!$D$46)/10^6 +#REF!</f>
        <v>#REF!</v>
      </c>
      <c r="I341" s="203" t="e">
        <f>#REF!*#REF!^5/(Conv!$I$5*Conv!$D$46)/10^6 +#REF!</f>
        <v>#REF!</v>
      </c>
      <c r="J341" s="203" t="e">
        <f>#REF!*#REF!^5/(Conv!$I$5*Conv!$D$46)/10^6 +#REF!</f>
        <v>#REF!</v>
      </c>
      <c r="K341" s="203" t="e">
        <f>#REF!*#REF!^5/(Conv!$I$5*Conv!$D$46)/10^6 +#REF!</f>
        <v>#REF!</v>
      </c>
      <c r="L341" s="203" t="e">
        <f>#REF!*#REF!^5/(Conv!$I$5*Conv!$D$46)/10^6 +#REF!</f>
        <v>#REF!</v>
      </c>
      <c r="M341" s="203" t="e">
        <f>#REF!*#REF!^5/(Conv!$I$5*Conv!$D$46)/10^6 +#REF!</f>
        <v>#REF!</v>
      </c>
      <c r="N341" s="203" t="e">
        <f>#REF!*#REF!^5/(Conv!$I$5*Conv!$D$46)/10^6 +#REF!</f>
        <v>#REF!</v>
      </c>
      <c r="O341" s="203" t="e">
        <f>#REF!*#REF!^5/(Conv!$I$5*Conv!$D$46)/10^6 +#REF!</f>
        <v>#REF!</v>
      </c>
      <c r="P341" s="203" t="e">
        <f>#REF!*#REF!^5/(Conv!$I$5*Conv!$D$46)/10^6 +#REF!</f>
        <v>#REF!</v>
      </c>
      <c r="Q341" s="203" t="e">
        <f>#REF!*#REF!^5/(Conv!$I$5*Conv!$D$46)/10^6 +#REF!</f>
        <v>#REF!</v>
      </c>
      <c r="S341" s="177"/>
      <c r="T341" s="177"/>
      <c r="U341" s="177"/>
      <c r="V341" s="177"/>
      <c r="W341" s="177"/>
      <c r="X341" s="177"/>
      <c r="Y341" s="177"/>
      <c r="Z341" s="177"/>
      <c r="AA341" s="177"/>
      <c r="AB341" s="177"/>
      <c r="AC341" s="177"/>
    </row>
    <row r="342" spans="2:29">
      <c r="B342" s="158" t="s">
        <v>398</v>
      </c>
      <c r="C342" s="158" t="e">
        <f>Technologies!C629</f>
        <v>#REF!</v>
      </c>
      <c r="D342" s="158" t="e">
        <f>Technologies!D629</f>
        <v>#REF!</v>
      </c>
      <c r="E342" s="197" t="e">
        <f>Commodities!C154</f>
        <v>#REF!</v>
      </c>
      <c r="F342" s="197" t="e">
        <f>Commodities!C241</f>
        <v>#REF!</v>
      </c>
      <c r="G342" s="204">
        <v>1</v>
      </c>
      <c r="H342" s="203" t="e">
        <f>#REF!*#REF!^5/(Conv!$I$5*Conv!$D$46)/10^6 +#REF!</f>
        <v>#REF!</v>
      </c>
      <c r="I342" s="203" t="e">
        <f>#REF!*#REF!^5/(Conv!$I$5*Conv!$D$46)/10^6 +#REF!</f>
        <v>#REF!</v>
      </c>
      <c r="J342" s="203" t="e">
        <f>#REF!*#REF!^5/(Conv!$I$5*Conv!$D$46)/10^6 +#REF!</f>
        <v>#REF!</v>
      </c>
      <c r="K342" s="203" t="e">
        <f>#REF!*#REF!^5/(Conv!$I$5*Conv!$D$46)/10^6 +#REF!</f>
        <v>#REF!</v>
      </c>
      <c r="L342" s="203" t="e">
        <f>#REF!*#REF!^5/(Conv!$I$5*Conv!$D$46)/10^6 +#REF!</f>
        <v>#REF!</v>
      </c>
      <c r="M342" s="203" t="e">
        <f>#REF!*#REF!^5/(Conv!$I$5*Conv!$D$46)/10^6 +#REF!</f>
        <v>#REF!</v>
      </c>
      <c r="N342" s="203" t="e">
        <f>#REF!*#REF!^5/(Conv!$I$5*Conv!$D$46)/10^6 +#REF!</f>
        <v>#REF!</v>
      </c>
      <c r="O342" s="203" t="e">
        <f>#REF!*#REF!^5/(Conv!$I$5*Conv!$D$46)/10^6 +#REF!</f>
        <v>#REF!</v>
      </c>
      <c r="P342" s="203" t="e">
        <f>#REF!*#REF!^5/(Conv!$I$5*Conv!$D$46)/10^6 +#REF!</f>
        <v>#REF!</v>
      </c>
      <c r="Q342" s="203" t="e">
        <f>#REF!*#REF!^5/(Conv!$I$5*Conv!$D$46)/10^6 +#REF!</f>
        <v>#REF!</v>
      </c>
      <c r="S342" s="177"/>
      <c r="T342" s="177"/>
      <c r="U342" s="177"/>
      <c r="V342" s="177"/>
      <c r="W342" s="177"/>
      <c r="X342" s="177"/>
      <c r="Y342" s="177"/>
      <c r="Z342" s="177"/>
      <c r="AA342" s="177"/>
      <c r="AB342" s="177"/>
      <c r="AC342" s="177"/>
    </row>
    <row r="343" spans="2:29">
      <c r="B343" s="158" t="s">
        <v>398</v>
      </c>
      <c r="C343" s="158" t="e">
        <f>Technologies!C630</f>
        <v>#REF!</v>
      </c>
      <c r="D343" s="158" t="e">
        <f>Technologies!D630</f>
        <v>#REF!</v>
      </c>
      <c r="E343" s="197" t="e">
        <f>E342</f>
        <v>#REF!</v>
      </c>
      <c r="F343" s="197" t="e">
        <f>Commodities!C242</f>
        <v>#REF!</v>
      </c>
      <c r="G343" s="204">
        <v>1</v>
      </c>
      <c r="H343" s="203" t="e">
        <f>#REF!*#REF!^5/(Conv!$I$5*Conv!$D$46)/10^6 +#REF!</f>
        <v>#REF!</v>
      </c>
      <c r="I343" s="203" t="e">
        <f>#REF!*#REF!^5/(Conv!$I$5*Conv!$D$46)/10^6 +#REF!</f>
        <v>#REF!</v>
      </c>
      <c r="J343" s="203" t="e">
        <f>#REF!*#REF!^5/(Conv!$I$5*Conv!$D$46)/10^6 +#REF!</f>
        <v>#REF!</v>
      </c>
      <c r="K343" s="203" t="e">
        <f>#REF!*#REF!^5/(Conv!$I$5*Conv!$D$46)/10^6 +#REF!</f>
        <v>#REF!</v>
      </c>
      <c r="L343" s="203" t="e">
        <f>#REF!*#REF!^5/(Conv!$I$5*Conv!$D$46)/10^6 +#REF!</f>
        <v>#REF!</v>
      </c>
      <c r="M343" s="203" t="e">
        <f>#REF!*#REF!^5/(Conv!$I$5*Conv!$D$46)/10^6 +#REF!</f>
        <v>#REF!</v>
      </c>
      <c r="N343" s="203" t="e">
        <f>#REF!*#REF!^5/(Conv!$I$5*Conv!$D$46)/10^6 +#REF!</f>
        <v>#REF!</v>
      </c>
      <c r="O343" s="203" t="e">
        <f>#REF!*#REF!^5/(Conv!$I$5*Conv!$D$46)/10^6 +#REF!</f>
        <v>#REF!</v>
      </c>
      <c r="P343" s="203" t="e">
        <f>#REF!*#REF!^5/(Conv!$I$5*Conv!$D$46)/10^6 +#REF!</f>
        <v>#REF!</v>
      </c>
      <c r="Q343" s="203" t="e">
        <f>#REF!*#REF!^5/(Conv!$I$5*Conv!$D$46)/10^6 +#REF!</f>
        <v>#REF!</v>
      </c>
      <c r="S343" s="177"/>
      <c r="T343" s="177"/>
      <c r="U343" s="177"/>
      <c r="V343" s="177"/>
      <c r="W343" s="177"/>
      <c r="X343" s="177"/>
      <c r="Y343" s="177"/>
      <c r="Z343" s="177"/>
      <c r="AA343" s="177"/>
      <c r="AB343" s="177"/>
      <c r="AC343" s="177"/>
    </row>
    <row r="344" spans="2:29">
      <c r="B344" s="158" t="s">
        <v>398</v>
      </c>
      <c r="C344" s="158" t="e">
        <f>Technologies!C631</f>
        <v>#REF!</v>
      </c>
      <c r="D344" s="158" t="e">
        <f>Technologies!D631</f>
        <v>#REF!</v>
      </c>
      <c r="E344" s="197" t="e">
        <f>E343</f>
        <v>#REF!</v>
      </c>
      <c r="F344" s="197" t="e">
        <f>Commodities!C243</f>
        <v>#REF!</v>
      </c>
      <c r="G344" s="204">
        <v>1</v>
      </c>
      <c r="H344" s="203" t="e">
        <f>#REF!*#REF!^5/(Conv!$I$5*Conv!$D$46)/10^6 +#REF!</f>
        <v>#REF!</v>
      </c>
      <c r="I344" s="203" t="e">
        <f>#REF!*#REF!^5/(Conv!$I$5*Conv!$D$46)/10^6 +#REF!</f>
        <v>#REF!</v>
      </c>
      <c r="J344" s="203" t="e">
        <f>#REF!*#REF!^5/(Conv!$I$5*Conv!$D$46)/10^6 +#REF!</f>
        <v>#REF!</v>
      </c>
      <c r="K344" s="203" t="e">
        <f>#REF!*#REF!^5/(Conv!$I$5*Conv!$D$46)/10^6 +#REF!</f>
        <v>#REF!</v>
      </c>
      <c r="L344" s="203" t="e">
        <f>#REF!*#REF!^5/(Conv!$I$5*Conv!$D$46)/10^6 +#REF!</f>
        <v>#REF!</v>
      </c>
      <c r="M344" s="203" t="e">
        <f>#REF!*#REF!^5/(Conv!$I$5*Conv!$D$46)/10^6 +#REF!</f>
        <v>#REF!</v>
      </c>
      <c r="N344" s="203" t="e">
        <f>#REF!*#REF!^5/(Conv!$I$5*Conv!$D$46)/10^6 +#REF!</f>
        <v>#REF!</v>
      </c>
      <c r="O344" s="203" t="e">
        <f>#REF!*#REF!^5/(Conv!$I$5*Conv!$D$46)/10^6 +#REF!</f>
        <v>#REF!</v>
      </c>
      <c r="P344" s="203" t="e">
        <f>#REF!*#REF!^5/(Conv!$I$5*Conv!$D$46)/10^6 +#REF!</f>
        <v>#REF!</v>
      </c>
      <c r="Q344" s="203" t="e">
        <f>#REF!*#REF!^5/(Conv!$I$5*Conv!$D$46)/10^6 +#REF!</f>
        <v>#REF!</v>
      </c>
      <c r="S344" s="177"/>
      <c r="T344" s="177"/>
      <c r="U344" s="177"/>
      <c r="V344" s="177"/>
      <c r="W344" s="177"/>
      <c r="X344" s="177"/>
      <c r="Y344" s="177"/>
      <c r="Z344" s="177"/>
      <c r="AA344" s="177"/>
      <c r="AB344" s="177"/>
      <c r="AC344" s="177"/>
    </row>
    <row r="345" spans="2:29">
      <c r="B345" s="158" t="s">
        <v>398</v>
      </c>
      <c r="C345" s="158" t="e">
        <f>Technologies!C632</f>
        <v>#REF!</v>
      </c>
      <c r="D345" s="158" t="e">
        <f>Technologies!D632</f>
        <v>#REF!</v>
      </c>
      <c r="E345" s="197" t="e">
        <f>Commodities!C153</f>
        <v>#REF!</v>
      </c>
      <c r="F345" s="197" t="e">
        <f>Commodities!C244</f>
        <v>#REF!</v>
      </c>
      <c r="G345" s="204">
        <v>1</v>
      </c>
      <c r="H345" s="203" t="e">
        <f>#REF!*#REF!^5/(Conv!$I$5*Conv!$D$46)/10^6 +#REF!</f>
        <v>#REF!</v>
      </c>
      <c r="I345" s="203" t="e">
        <f>#REF!*#REF!^5/(Conv!$I$5*Conv!$D$46)/10^6 +#REF!</f>
        <v>#REF!</v>
      </c>
      <c r="J345" s="203" t="e">
        <f>#REF!*#REF!^5/(Conv!$I$5*Conv!$D$46)/10^6 +#REF!</f>
        <v>#REF!</v>
      </c>
      <c r="K345" s="203" t="e">
        <f>#REF!*#REF!^5/(Conv!$I$5*Conv!$D$46)/10^6 +#REF!</f>
        <v>#REF!</v>
      </c>
      <c r="L345" s="203" t="e">
        <f>#REF!*#REF!^5/(Conv!$I$5*Conv!$D$46)/10^6 +#REF!</f>
        <v>#REF!</v>
      </c>
      <c r="M345" s="203" t="e">
        <f>#REF!*#REF!^5/(Conv!$I$5*Conv!$D$46)/10^6 +#REF!</f>
        <v>#REF!</v>
      </c>
      <c r="N345" s="203" t="e">
        <f>#REF!*#REF!^5/(Conv!$I$5*Conv!$D$46)/10^6 +#REF!</f>
        <v>#REF!</v>
      </c>
      <c r="O345" s="203" t="e">
        <f>#REF!*#REF!^5/(Conv!$I$5*Conv!$D$46)/10^6 +#REF!</f>
        <v>#REF!</v>
      </c>
      <c r="P345" s="203" t="e">
        <f>#REF!*#REF!^5/(Conv!$I$5*Conv!$D$46)/10^6 +#REF!</f>
        <v>#REF!</v>
      </c>
      <c r="Q345" s="203" t="e">
        <f>#REF!*#REF!^5/(Conv!$I$5*Conv!$D$46)/10^6 +#REF!</f>
        <v>#REF!</v>
      </c>
      <c r="S345" s="177"/>
      <c r="T345" s="177"/>
      <c r="U345" s="177"/>
      <c r="V345" s="177"/>
      <c r="W345" s="177"/>
      <c r="X345" s="177"/>
      <c r="Y345" s="177"/>
      <c r="Z345" s="177"/>
      <c r="AA345" s="177"/>
      <c r="AB345" s="177"/>
      <c r="AC345" s="177"/>
    </row>
    <row r="346" spans="2:29">
      <c r="B346" s="158" t="s">
        <v>398</v>
      </c>
      <c r="C346" s="158" t="e">
        <f>Technologies!C633</f>
        <v>#REF!</v>
      </c>
      <c r="D346" s="158" t="e">
        <f>Technologies!D633</f>
        <v>#REF!</v>
      </c>
      <c r="E346" s="197" t="e">
        <f>E345</f>
        <v>#REF!</v>
      </c>
      <c r="F346" s="197" t="e">
        <f>Commodities!C245</f>
        <v>#REF!</v>
      </c>
      <c r="G346" s="204">
        <v>1</v>
      </c>
      <c r="H346" s="203" t="e">
        <f>#REF!*#REF!^5/(Conv!$I$5*Conv!$D$46)/10^6 +#REF!</f>
        <v>#REF!</v>
      </c>
      <c r="I346" s="203" t="e">
        <f>#REF!*#REF!^5/(Conv!$I$5*Conv!$D$46)/10^6 +#REF!</f>
        <v>#REF!</v>
      </c>
      <c r="J346" s="203" t="e">
        <f>#REF!*#REF!^5/(Conv!$I$5*Conv!$D$46)/10^6 +#REF!</f>
        <v>#REF!</v>
      </c>
      <c r="K346" s="203" t="e">
        <f>#REF!*#REF!^5/(Conv!$I$5*Conv!$D$46)/10^6 +#REF!</f>
        <v>#REF!</v>
      </c>
      <c r="L346" s="203" t="e">
        <f>#REF!*#REF!^5/(Conv!$I$5*Conv!$D$46)/10^6 +#REF!</f>
        <v>#REF!</v>
      </c>
      <c r="M346" s="203" t="e">
        <f>#REF!*#REF!^5/(Conv!$I$5*Conv!$D$46)/10^6 +#REF!</f>
        <v>#REF!</v>
      </c>
      <c r="N346" s="203" t="e">
        <f>#REF!*#REF!^5/(Conv!$I$5*Conv!$D$46)/10^6 +#REF!</f>
        <v>#REF!</v>
      </c>
      <c r="O346" s="203" t="e">
        <f>#REF!*#REF!^5/(Conv!$I$5*Conv!$D$46)/10^6 +#REF!</f>
        <v>#REF!</v>
      </c>
      <c r="P346" s="203" t="e">
        <f>#REF!*#REF!^5/(Conv!$I$5*Conv!$D$46)/10^6 +#REF!</f>
        <v>#REF!</v>
      </c>
      <c r="Q346" s="203" t="e">
        <f>#REF!*#REF!^5/(Conv!$I$5*Conv!$D$46)/10^6 +#REF!</f>
        <v>#REF!</v>
      </c>
      <c r="S346" s="177"/>
      <c r="T346" s="177"/>
      <c r="U346" s="177"/>
      <c r="V346" s="177"/>
      <c r="W346" s="177"/>
      <c r="X346" s="177"/>
      <c r="Y346" s="177"/>
      <c r="Z346" s="177"/>
      <c r="AA346" s="177"/>
      <c r="AB346" s="177"/>
      <c r="AC346" s="177"/>
    </row>
    <row r="347" spans="2:29">
      <c r="B347" s="158" t="s">
        <v>398</v>
      </c>
      <c r="C347" s="158" t="e">
        <f>Technologies!C634</f>
        <v>#REF!</v>
      </c>
      <c r="D347" s="158" t="e">
        <f>Technologies!D634</f>
        <v>#REF!</v>
      </c>
      <c r="E347" s="197" t="e">
        <f>Commodities!C155</f>
        <v>#REF!</v>
      </c>
      <c r="F347" s="197" t="e">
        <f>Commodities!C246</f>
        <v>#REF!</v>
      </c>
      <c r="G347" s="204">
        <v>1</v>
      </c>
      <c r="H347" s="203" t="e">
        <f>#REF!*#REF!^5/(Conv!$I$5*Conv!$D$46)/10^6 +#REF!</f>
        <v>#REF!</v>
      </c>
      <c r="I347" s="203" t="e">
        <f>#REF!*#REF!^5/(Conv!$I$5*Conv!$D$46)/10^6 +#REF!</f>
        <v>#REF!</v>
      </c>
      <c r="J347" s="203" t="e">
        <f>#REF!*#REF!^5/(Conv!$I$5*Conv!$D$46)/10^6 +#REF!</f>
        <v>#REF!</v>
      </c>
      <c r="K347" s="203" t="e">
        <f>#REF!*#REF!^5/(Conv!$I$5*Conv!$D$46)/10^6 +#REF!</f>
        <v>#REF!</v>
      </c>
      <c r="L347" s="203" t="e">
        <f>#REF!*#REF!^5/(Conv!$I$5*Conv!$D$46)/10^6 +#REF!</f>
        <v>#REF!</v>
      </c>
      <c r="M347" s="203" t="e">
        <f>#REF!*#REF!^5/(Conv!$I$5*Conv!$D$46)/10^6 +#REF!</f>
        <v>#REF!</v>
      </c>
      <c r="N347" s="203" t="e">
        <f>#REF!*#REF!^5/(Conv!$I$5*Conv!$D$46)/10^6 +#REF!</f>
        <v>#REF!</v>
      </c>
      <c r="O347" s="203" t="e">
        <f>#REF!*#REF!^5/(Conv!$I$5*Conv!$D$46)/10^6 +#REF!</f>
        <v>#REF!</v>
      </c>
      <c r="P347" s="203" t="e">
        <f>#REF!*#REF!^5/(Conv!$I$5*Conv!$D$46)/10^6 +#REF!</f>
        <v>#REF!</v>
      </c>
      <c r="Q347" s="203" t="e">
        <f>#REF!*#REF!^5/(Conv!$I$5*Conv!$D$46)/10^6 +#REF!</f>
        <v>#REF!</v>
      </c>
      <c r="S347" s="177"/>
      <c r="T347" s="177"/>
      <c r="U347" s="177"/>
      <c r="V347" s="177"/>
      <c r="W347" s="177"/>
      <c r="X347" s="177"/>
      <c r="Y347" s="177"/>
      <c r="Z347" s="177"/>
      <c r="AA347" s="177"/>
      <c r="AB347" s="177"/>
      <c r="AC347" s="177"/>
    </row>
    <row r="348" spans="2:29">
      <c r="B348" s="158" t="s">
        <v>398</v>
      </c>
      <c r="C348" s="158"/>
      <c r="D348" s="158"/>
      <c r="E348" s="197"/>
      <c r="F348" s="197"/>
      <c r="G348" s="204"/>
      <c r="H348" s="205"/>
      <c r="I348" s="205"/>
      <c r="J348" s="205"/>
      <c r="K348" s="205"/>
      <c r="L348" s="205"/>
      <c r="M348" s="205"/>
      <c r="N348" s="205"/>
      <c r="O348" s="205"/>
      <c r="P348" s="205"/>
      <c r="Q348" s="205"/>
    </row>
    <row r="349" spans="2:29">
      <c r="B349" s="158" t="s">
        <v>398</v>
      </c>
      <c r="C349" s="158" t="e">
        <f>Technologies!C635</f>
        <v>#REF!</v>
      </c>
      <c r="D349" s="158" t="e">
        <f>Technologies!D635</f>
        <v>#REF!</v>
      </c>
      <c r="E349" s="197" t="e">
        <f>Commodities!C156</f>
        <v>#REF!</v>
      </c>
      <c r="F349" s="197" t="e">
        <f>Commodities!C222</f>
        <v>#REF!</v>
      </c>
      <c r="G349" s="204">
        <v>1</v>
      </c>
      <c r="H349" s="203" t="e">
        <f>#REF!*#REF!^5/(Conv!$I$5*Conv!$D$46)/10^6 +#REF!</f>
        <v>#REF!</v>
      </c>
      <c r="I349" s="203" t="e">
        <f>#REF!*#REF!^5/(Conv!$I$5*Conv!$D$46)/10^6 +#REF!</f>
        <v>#REF!</v>
      </c>
      <c r="J349" s="203" t="e">
        <f>#REF!*#REF!^5/(Conv!$I$5*Conv!$D$46)/10^6 +#REF!</f>
        <v>#REF!</v>
      </c>
      <c r="K349" s="203" t="e">
        <f>#REF!*#REF!^5/(Conv!$I$5*Conv!$D$46)/10^6 +#REF!</f>
        <v>#REF!</v>
      </c>
      <c r="L349" s="203" t="e">
        <f>#REF!*#REF!^5/(Conv!$I$5*Conv!$D$46)/10^6 +#REF!</f>
        <v>#REF!</v>
      </c>
      <c r="M349" s="203" t="e">
        <f>#REF!*#REF!^5/(Conv!$I$5*Conv!$D$46)/10^6 +#REF!</f>
        <v>#REF!</v>
      </c>
      <c r="N349" s="203" t="e">
        <f>#REF!*#REF!^5/(Conv!$I$5*Conv!$D$46)/10^6 +#REF!</f>
        <v>#REF!</v>
      </c>
      <c r="O349" s="203" t="e">
        <f>#REF!*#REF!^5/(Conv!$I$5*Conv!$D$46)/10^6 +#REF!</f>
        <v>#REF!</v>
      </c>
      <c r="P349" s="203" t="e">
        <f>#REF!*#REF!^5/(Conv!$I$5*Conv!$D$46)/10^6 +#REF!</f>
        <v>#REF!</v>
      </c>
      <c r="Q349" s="203" t="e">
        <f>#REF!*#REF!^5/(Conv!$I$5*Conv!$D$46)/10^6 +#REF!</f>
        <v>#REF!</v>
      </c>
      <c r="S349" s="177"/>
      <c r="T349" s="177"/>
      <c r="U349" s="177"/>
      <c r="V349" s="177"/>
      <c r="W349" s="177"/>
      <c r="X349" s="177"/>
      <c r="Y349" s="177"/>
      <c r="Z349" s="177"/>
      <c r="AA349" s="177"/>
      <c r="AB349" s="177"/>
      <c r="AC349" s="177"/>
    </row>
    <row r="350" spans="2:29">
      <c r="B350" s="158" t="s">
        <v>398</v>
      </c>
      <c r="C350" s="158" t="e">
        <f>Technologies!C636</f>
        <v>#REF!</v>
      </c>
      <c r="D350" s="158" t="e">
        <f>Technologies!D636</f>
        <v>#REF!</v>
      </c>
      <c r="E350" s="197" t="e">
        <f>Commodities!C157</f>
        <v>#REF!</v>
      </c>
      <c r="F350" s="197" t="e">
        <f>Commodities!C223</f>
        <v>#REF!</v>
      </c>
      <c r="G350" s="204">
        <v>1</v>
      </c>
      <c r="H350" s="203" t="e">
        <f>#REF!*#REF!^5/(Conv!$I$5*Conv!$D$46)/10^6 +#REF!</f>
        <v>#REF!</v>
      </c>
      <c r="I350" s="203" t="e">
        <f>#REF!*#REF!^5/(Conv!$I$5*Conv!$D$46)/10^6 +#REF!</f>
        <v>#REF!</v>
      </c>
      <c r="J350" s="203" t="e">
        <f>#REF!*#REF!^5/(Conv!$I$5*Conv!$D$46)/10^6 +#REF!</f>
        <v>#REF!</v>
      </c>
      <c r="K350" s="203" t="e">
        <f>#REF!*#REF!^5/(Conv!$I$5*Conv!$D$46)/10^6 +#REF!</f>
        <v>#REF!</v>
      </c>
      <c r="L350" s="203" t="e">
        <f>#REF!*#REF!^5/(Conv!$I$5*Conv!$D$46)/10^6 +#REF!</f>
        <v>#REF!</v>
      </c>
      <c r="M350" s="203" t="e">
        <f>#REF!*#REF!^5/(Conv!$I$5*Conv!$D$46)/10^6 +#REF!</f>
        <v>#REF!</v>
      </c>
      <c r="N350" s="203" t="e">
        <f>#REF!*#REF!^5/(Conv!$I$5*Conv!$D$46)/10^6 +#REF!</f>
        <v>#REF!</v>
      </c>
      <c r="O350" s="203" t="e">
        <f>#REF!*#REF!^5/(Conv!$I$5*Conv!$D$46)/10^6 +#REF!</f>
        <v>#REF!</v>
      </c>
      <c r="P350" s="203" t="e">
        <f>#REF!*#REF!^5/(Conv!$I$5*Conv!$D$46)/10^6 +#REF!</f>
        <v>#REF!</v>
      </c>
      <c r="Q350" s="203" t="e">
        <f>#REF!*#REF!^5/(Conv!$I$5*Conv!$D$46)/10^6 +#REF!</f>
        <v>#REF!</v>
      </c>
      <c r="S350" s="177"/>
      <c r="T350" s="177"/>
      <c r="U350" s="177"/>
      <c r="V350" s="177"/>
      <c r="W350" s="177"/>
      <c r="X350" s="177"/>
      <c r="Y350" s="177"/>
      <c r="Z350" s="177"/>
      <c r="AA350" s="177"/>
      <c r="AB350" s="177"/>
      <c r="AC350" s="177"/>
    </row>
    <row r="351" spans="2:29">
      <c r="B351" s="158" t="s">
        <v>398</v>
      </c>
      <c r="C351" s="158" t="e">
        <f>Technologies!C637</f>
        <v>#REF!</v>
      </c>
      <c r="D351" s="158" t="e">
        <f>Technologies!D637</f>
        <v>#REF!</v>
      </c>
      <c r="E351" s="197" t="e">
        <f>Commodities!C158</f>
        <v>#REF!</v>
      </c>
      <c r="F351" s="197" t="e">
        <f>Commodities!C224</f>
        <v>#REF!</v>
      </c>
      <c r="G351" s="204">
        <v>1</v>
      </c>
      <c r="H351" s="203" t="e">
        <f>#REF!*#REF!^5/(Conv!$I$5*Conv!$D$46)/10^6 +#REF!</f>
        <v>#REF!</v>
      </c>
      <c r="I351" s="203" t="e">
        <f>#REF!*#REF!^5/(Conv!$I$5*Conv!$D$46)/10^6 +#REF!</f>
        <v>#REF!</v>
      </c>
      <c r="J351" s="203" t="e">
        <f>#REF!*#REF!^5/(Conv!$I$5*Conv!$D$46)/10^6 +#REF!</f>
        <v>#REF!</v>
      </c>
      <c r="K351" s="203" t="e">
        <f>#REF!*#REF!^5/(Conv!$I$5*Conv!$D$46)/10^6 +#REF!</f>
        <v>#REF!</v>
      </c>
      <c r="L351" s="203" t="e">
        <f>#REF!*#REF!^5/(Conv!$I$5*Conv!$D$46)/10^6 +#REF!</f>
        <v>#REF!</v>
      </c>
      <c r="M351" s="203" t="e">
        <f>#REF!*#REF!^5/(Conv!$I$5*Conv!$D$46)/10^6 +#REF!</f>
        <v>#REF!</v>
      </c>
      <c r="N351" s="203" t="e">
        <f>#REF!*#REF!^5/(Conv!$I$5*Conv!$D$46)/10^6 +#REF!</f>
        <v>#REF!</v>
      </c>
      <c r="O351" s="203" t="e">
        <f>#REF!*#REF!^5/(Conv!$I$5*Conv!$D$46)/10^6 +#REF!</f>
        <v>#REF!</v>
      </c>
      <c r="P351" s="203" t="e">
        <f>#REF!*#REF!^5/(Conv!$I$5*Conv!$D$46)/10^6 +#REF!</f>
        <v>#REF!</v>
      </c>
      <c r="Q351" s="203" t="e">
        <f>#REF!*#REF!^5/(Conv!$I$5*Conv!$D$46)/10^6 +#REF!</f>
        <v>#REF!</v>
      </c>
      <c r="S351" s="177"/>
      <c r="T351" s="177"/>
      <c r="U351" s="177"/>
      <c r="V351" s="177"/>
      <c r="W351" s="177"/>
      <c r="X351" s="177"/>
      <c r="Y351" s="177"/>
      <c r="Z351" s="177"/>
      <c r="AA351" s="177"/>
      <c r="AB351" s="177"/>
      <c r="AC351" s="177"/>
    </row>
    <row r="352" spans="2:29">
      <c r="B352" s="158" t="s">
        <v>398</v>
      </c>
      <c r="C352" s="158" t="e">
        <f>Technologies!C638</f>
        <v>#REF!</v>
      </c>
      <c r="D352" s="158" t="e">
        <f>Technologies!D638</f>
        <v>#REF!</v>
      </c>
      <c r="E352" s="197" t="e">
        <f>E351</f>
        <v>#REF!</v>
      </c>
      <c r="F352" s="197" t="e">
        <f>Commodities!C225</f>
        <v>#REF!</v>
      </c>
      <c r="G352" s="204">
        <v>1</v>
      </c>
      <c r="H352" s="203" t="e">
        <f>#REF!*#REF!^5/(Conv!$I$5*Conv!$D$46)/10^6 +#REF!</f>
        <v>#REF!</v>
      </c>
      <c r="I352" s="203" t="e">
        <f>#REF!*#REF!^5/(Conv!$I$5*Conv!$D$46)/10^6 +#REF!</f>
        <v>#REF!</v>
      </c>
      <c r="J352" s="203" t="e">
        <f>#REF!*#REF!^5/(Conv!$I$5*Conv!$D$46)/10^6 +#REF!</f>
        <v>#REF!</v>
      </c>
      <c r="K352" s="203" t="e">
        <f>#REF!*#REF!^5/(Conv!$I$5*Conv!$D$46)/10^6 +#REF!</f>
        <v>#REF!</v>
      </c>
      <c r="L352" s="203" t="e">
        <f>#REF!*#REF!^5/(Conv!$I$5*Conv!$D$46)/10^6 +#REF!</f>
        <v>#REF!</v>
      </c>
      <c r="M352" s="203" t="e">
        <f>#REF!*#REF!^5/(Conv!$I$5*Conv!$D$46)/10^6 +#REF!</f>
        <v>#REF!</v>
      </c>
      <c r="N352" s="203" t="e">
        <f>#REF!*#REF!^5/(Conv!$I$5*Conv!$D$46)/10^6 +#REF!</f>
        <v>#REF!</v>
      </c>
      <c r="O352" s="203" t="e">
        <f>#REF!*#REF!^5/(Conv!$I$5*Conv!$D$46)/10^6 +#REF!</f>
        <v>#REF!</v>
      </c>
      <c r="P352" s="203" t="e">
        <f>#REF!*#REF!^5/(Conv!$I$5*Conv!$D$46)/10^6 +#REF!</f>
        <v>#REF!</v>
      </c>
      <c r="Q352" s="203" t="e">
        <f>#REF!*#REF!^5/(Conv!$I$5*Conv!$D$46)/10^6 +#REF!</f>
        <v>#REF!</v>
      </c>
      <c r="S352" s="177"/>
      <c r="T352" s="177"/>
      <c r="U352" s="177"/>
      <c r="V352" s="177"/>
      <c r="W352" s="177"/>
      <c r="X352" s="177"/>
      <c r="Y352" s="177"/>
      <c r="Z352" s="177"/>
      <c r="AA352" s="177"/>
      <c r="AB352" s="177"/>
      <c r="AC352" s="177"/>
    </row>
    <row r="353" spans="2:29">
      <c r="B353" s="158" t="s">
        <v>398</v>
      </c>
      <c r="C353" s="158" t="e">
        <f>Technologies!C639</f>
        <v>#REF!</v>
      </c>
      <c r="D353" s="158" t="e">
        <f>Technologies!D639</f>
        <v>#REF!</v>
      </c>
      <c r="E353" s="197" t="e">
        <f>E352</f>
        <v>#REF!</v>
      </c>
      <c r="F353" s="197" t="e">
        <f>Commodities!C226</f>
        <v>#REF!</v>
      </c>
      <c r="G353" s="204">
        <v>1</v>
      </c>
      <c r="H353" s="203" t="e">
        <f>#REF!*#REF!^5/(Conv!$I$5*Conv!$D$46)/10^6 +#REF!</f>
        <v>#REF!</v>
      </c>
      <c r="I353" s="203" t="e">
        <f>#REF!*#REF!^5/(Conv!$I$5*Conv!$D$46)/10^6 +#REF!</f>
        <v>#REF!</v>
      </c>
      <c r="J353" s="203" t="e">
        <f>#REF!*#REF!^5/(Conv!$I$5*Conv!$D$46)/10^6 +#REF!</f>
        <v>#REF!</v>
      </c>
      <c r="K353" s="203" t="e">
        <f>#REF!*#REF!^5/(Conv!$I$5*Conv!$D$46)/10^6 +#REF!</f>
        <v>#REF!</v>
      </c>
      <c r="L353" s="203" t="e">
        <f>#REF!*#REF!^5/(Conv!$I$5*Conv!$D$46)/10^6 +#REF!</f>
        <v>#REF!</v>
      </c>
      <c r="M353" s="203" t="e">
        <f>#REF!*#REF!^5/(Conv!$I$5*Conv!$D$46)/10^6 +#REF!</f>
        <v>#REF!</v>
      </c>
      <c r="N353" s="203" t="e">
        <f>#REF!*#REF!^5/(Conv!$I$5*Conv!$D$46)/10^6 +#REF!</f>
        <v>#REF!</v>
      </c>
      <c r="O353" s="203" t="e">
        <f>#REF!*#REF!^5/(Conv!$I$5*Conv!$D$46)/10^6 +#REF!</f>
        <v>#REF!</v>
      </c>
      <c r="P353" s="203" t="e">
        <f>#REF!*#REF!^5/(Conv!$I$5*Conv!$D$46)/10^6 +#REF!</f>
        <v>#REF!</v>
      </c>
      <c r="Q353" s="203" t="e">
        <f>#REF!*#REF!^5/(Conv!$I$5*Conv!$D$46)/10^6 +#REF!</f>
        <v>#REF!</v>
      </c>
      <c r="S353" s="177"/>
      <c r="T353" s="177"/>
      <c r="U353" s="177"/>
      <c r="V353" s="177"/>
      <c r="W353" s="177"/>
      <c r="X353" s="177"/>
      <c r="Y353" s="177"/>
      <c r="Z353" s="177"/>
      <c r="AA353" s="177"/>
      <c r="AB353" s="177"/>
      <c r="AC353" s="177"/>
    </row>
    <row r="354" spans="2:29">
      <c r="B354" s="158" t="s">
        <v>398</v>
      </c>
      <c r="C354" s="158" t="e">
        <f>Technologies!C640</f>
        <v>#REF!</v>
      </c>
      <c r="D354" s="158" t="e">
        <f>Technologies!D640</f>
        <v>#REF!</v>
      </c>
      <c r="E354" s="197" t="e">
        <f>E353</f>
        <v>#REF!</v>
      </c>
      <c r="F354" s="197" t="e">
        <f>Commodities!C227</f>
        <v>#REF!</v>
      </c>
      <c r="G354" s="204">
        <v>1</v>
      </c>
      <c r="H354" s="203" t="e">
        <f>#REF!*#REF!^5/(Conv!$I$5*Conv!$D$46)/10^6 +#REF!</f>
        <v>#REF!</v>
      </c>
      <c r="I354" s="203" t="e">
        <f>#REF!*#REF!^5/(Conv!$I$5*Conv!$D$46)/10^6 +#REF!</f>
        <v>#REF!</v>
      </c>
      <c r="J354" s="203" t="e">
        <f>#REF!*#REF!^5/(Conv!$I$5*Conv!$D$46)/10^6 +#REF!</f>
        <v>#REF!</v>
      </c>
      <c r="K354" s="203" t="e">
        <f>#REF!*#REF!^5/(Conv!$I$5*Conv!$D$46)/10^6 +#REF!</f>
        <v>#REF!</v>
      </c>
      <c r="L354" s="203" t="e">
        <f>#REF!*#REF!^5/(Conv!$I$5*Conv!$D$46)/10^6 +#REF!</f>
        <v>#REF!</v>
      </c>
      <c r="M354" s="203" t="e">
        <f>#REF!*#REF!^5/(Conv!$I$5*Conv!$D$46)/10^6 +#REF!</f>
        <v>#REF!</v>
      </c>
      <c r="N354" s="203" t="e">
        <f>#REF!*#REF!^5/(Conv!$I$5*Conv!$D$46)/10^6 +#REF!</f>
        <v>#REF!</v>
      </c>
      <c r="O354" s="203" t="e">
        <f>#REF!*#REF!^5/(Conv!$I$5*Conv!$D$46)/10^6 +#REF!</f>
        <v>#REF!</v>
      </c>
      <c r="P354" s="203" t="e">
        <f>#REF!*#REF!^5/(Conv!$I$5*Conv!$D$46)/10^6 +#REF!</f>
        <v>#REF!</v>
      </c>
      <c r="Q354" s="203" t="e">
        <f>#REF!*#REF!^5/(Conv!$I$5*Conv!$D$46)/10^6 +#REF!</f>
        <v>#REF!</v>
      </c>
      <c r="S354" s="177"/>
      <c r="T354" s="177"/>
      <c r="U354" s="177"/>
      <c r="V354" s="177"/>
      <c r="W354" s="177"/>
      <c r="X354" s="177"/>
      <c r="Y354" s="177"/>
      <c r="Z354" s="177"/>
      <c r="AA354" s="177"/>
      <c r="AB354" s="177"/>
      <c r="AC354" s="177"/>
    </row>
    <row r="355" spans="2:29">
      <c r="B355" s="158" t="s">
        <v>398</v>
      </c>
      <c r="C355" s="158" t="e">
        <f>Technologies!C641</f>
        <v>#REF!</v>
      </c>
      <c r="D355" s="158" t="e">
        <f>Technologies!D641</f>
        <v>#REF!</v>
      </c>
      <c r="E355" s="197" t="e">
        <f>Commodities!C159</f>
        <v>#REF!</v>
      </c>
      <c r="F355" s="197" t="e">
        <f>Commodities!C228</f>
        <v>#REF!</v>
      </c>
      <c r="G355" s="204">
        <v>1</v>
      </c>
      <c r="H355" s="203" t="e">
        <f>#REF!*#REF!^5/(Conv!$I$5*Conv!$D$46)/10^6 +#REF!</f>
        <v>#REF!</v>
      </c>
      <c r="I355" s="203" t="e">
        <f>#REF!*#REF!^5/(Conv!$I$5*Conv!$D$46)/10^6 +#REF!</f>
        <v>#REF!</v>
      </c>
      <c r="J355" s="203" t="e">
        <f>#REF!*#REF!^5/(Conv!$I$5*Conv!$D$46)/10^6 +#REF!</f>
        <v>#REF!</v>
      </c>
      <c r="K355" s="203" t="e">
        <f>#REF!*#REF!^5/(Conv!$I$5*Conv!$D$46)/10^6 +#REF!</f>
        <v>#REF!</v>
      </c>
      <c r="L355" s="203" t="e">
        <f>#REF!*#REF!^5/(Conv!$I$5*Conv!$D$46)/10^6 +#REF!</f>
        <v>#REF!</v>
      </c>
      <c r="M355" s="203" t="e">
        <f>#REF!*#REF!^5/(Conv!$I$5*Conv!$D$46)/10^6 +#REF!</f>
        <v>#REF!</v>
      </c>
      <c r="N355" s="203" t="e">
        <f>#REF!*#REF!^5/(Conv!$I$5*Conv!$D$46)/10^6 +#REF!</f>
        <v>#REF!</v>
      </c>
      <c r="O355" s="203" t="e">
        <f>#REF!*#REF!^5/(Conv!$I$5*Conv!$D$46)/10^6 +#REF!</f>
        <v>#REF!</v>
      </c>
      <c r="P355" s="203" t="e">
        <f>#REF!*#REF!^5/(Conv!$I$5*Conv!$D$46)/10^6 +#REF!</f>
        <v>#REF!</v>
      </c>
      <c r="Q355" s="203" t="e">
        <f>#REF!*#REF!^5/(Conv!$I$5*Conv!$D$46)/10^6 +#REF!</f>
        <v>#REF!</v>
      </c>
      <c r="S355" s="177"/>
      <c r="T355" s="177"/>
      <c r="U355" s="177"/>
      <c r="V355" s="177"/>
      <c r="W355" s="177"/>
      <c r="X355" s="177"/>
      <c r="Y355" s="177"/>
      <c r="Z355" s="177"/>
      <c r="AA355" s="177"/>
      <c r="AB355" s="177"/>
      <c r="AC355" s="177"/>
    </row>
    <row r="356" spans="2:29">
      <c r="B356" s="158" t="s">
        <v>398</v>
      </c>
      <c r="C356" s="158" t="e">
        <f>Technologies!C642</f>
        <v>#REF!</v>
      </c>
      <c r="D356" s="158" t="e">
        <f>Technologies!D642</f>
        <v>#REF!</v>
      </c>
      <c r="E356" s="197" t="e">
        <f>Commodities!C160</f>
        <v>#REF!</v>
      </c>
      <c r="F356" s="197" t="e">
        <f>Commodities!C229</f>
        <v>#REF!</v>
      </c>
      <c r="G356" s="204">
        <v>1</v>
      </c>
      <c r="H356" s="203" t="e">
        <f>#REF!*#REF!^5/(Conv!$I$5*Conv!$D$46)/10^6 +#REF!</f>
        <v>#REF!</v>
      </c>
      <c r="I356" s="203" t="e">
        <f>#REF!*#REF!^5/(Conv!$I$5*Conv!$D$46)/10^6 +#REF!</f>
        <v>#REF!</v>
      </c>
      <c r="J356" s="203" t="e">
        <f>#REF!*#REF!^5/(Conv!$I$5*Conv!$D$46)/10^6 +#REF!</f>
        <v>#REF!</v>
      </c>
      <c r="K356" s="203" t="e">
        <f>#REF!*#REF!^5/(Conv!$I$5*Conv!$D$46)/10^6 +#REF!</f>
        <v>#REF!</v>
      </c>
      <c r="L356" s="203" t="e">
        <f>#REF!*#REF!^5/(Conv!$I$5*Conv!$D$46)/10^6 +#REF!</f>
        <v>#REF!</v>
      </c>
      <c r="M356" s="203" t="e">
        <f>#REF!*#REF!^5/(Conv!$I$5*Conv!$D$46)/10^6 +#REF!</f>
        <v>#REF!</v>
      </c>
      <c r="N356" s="203" t="e">
        <f>#REF!*#REF!^5/(Conv!$I$5*Conv!$D$46)/10^6 +#REF!</f>
        <v>#REF!</v>
      </c>
      <c r="O356" s="203" t="e">
        <f>#REF!*#REF!^5/(Conv!$I$5*Conv!$D$46)/10^6 +#REF!</f>
        <v>#REF!</v>
      </c>
      <c r="P356" s="203" t="e">
        <f>#REF!*#REF!^5/(Conv!$I$5*Conv!$D$46)/10^6 +#REF!</f>
        <v>#REF!</v>
      </c>
      <c r="Q356" s="203" t="e">
        <f>#REF!*#REF!^5/(Conv!$I$5*Conv!$D$46)/10^6 +#REF!</f>
        <v>#REF!</v>
      </c>
      <c r="S356" s="177"/>
      <c r="T356" s="177"/>
      <c r="U356" s="177"/>
      <c r="V356" s="177"/>
      <c r="W356" s="177"/>
      <c r="X356" s="177"/>
      <c r="Y356" s="177"/>
      <c r="Z356" s="177"/>
      <c r="AA356" s="177"/>
      <c r="AB356" s="177"/>
      <c r="AC356" s="177"/>
    </row>
    <row r="357" spans="2:29">
      <c r="B357" s="158" t="s">
        <v>398</v>
      </c>
      <c r="C357" s="158" t="e">
        <f>Technologies!C643</f>
        <v>#REF!</v>
      </c>
      <c r="D357" s="158" t="e">
        <f>Technologies!D643</f>
        <v>#REF!</v>
      </c>
      <c r="E357" s="197" t="e">
        <f>Commodities!C161</f>
        <v>#REF!</v>
      </c>
      <c r="F357" s="197" t="e">
        <f>Commodities!C230</f>
        <v>#REF!</v>
      </c>
      <c r="G357" s="204">
        <v>1</v>
      </c>
      <c r="H357" s="203" t="e">
        <f>#REF!*#REF!^5/(Conv!$I$5*Conv!$D$46)/10^6 +#REF!</f>
        <v>#REF!</v>
      </c>
      <c r="I357" s="203" t="e">
        <f>#REF!*#REF!^5/(Conv!$I$5*Conv!$D$46)/10^6 +#REF!</f>
        <v>#REF!</v>
      </c>
      <c r="J357" s="203" t="e">
        <f>#REF!*#REF!^5/(Conv!$I$5*Conv!$D$46)/10^6 +#REF!</f>
        <v>#REF!</v>
      </c>
      <c r="K357" s="203" t="e">
        <f>#REF!*#REF!^5/(Conv!$I$5*Conv!$D$46)/10^6 +#REF!</f>
        <v>#REF!</v>
      </c>
      <c r="L357" s="203" t="e">
        <f>#REF!*#REF!^5/(Conv!$I$5*Conv!$D$46)/10^6 +#REF!</f>
        <v>#REF!</v>
      </c>
      <c r="M357" s="203" t="e">
        <f>#REF!*#REF!^5/(Conv!$I$5*Conv!$D$46)/10^6 +#REF!</f>
        <v>#REF!</v>
      </c>
      <c r="N357" s="203" t="e">
        <f>#REF!*#REF!^5/(Conv!$I$5*Conv!$D$46)/10^6 +#REF!</f>
        <v>#REF!</v>
      </c>
      <c r="O357" s="203" t="e">
        <f>#REF!*#REF!^5/(Conv!$I$5*Conv!$D$46)/10^6 +#REF!</f>
        <v>#REF!</v>
      </c>
      <c r="P357" s="203" t="e">
        <f>#REF!*#REF!^5/(Conv!$I$5*Conv!$D$46)/10^6 +#REF!</f>
        <v>#REF!</v>
      </c>
      <c r="Q357" s="203" t="e">
        <f>#REF!*#REF!^5/(Conv!$I$5*Conv!$D$46)/10^6 +#REF!</f>
        <v>#REF!</v>
      </c>
      <c r="S357" s="177"/>
      <c r="T357" s="177"/>
      <c r="U357" s="177"/>
      <c r="V357" s="177"/>
      <c r="W357" s="177"/>
      <c r="X357" s="177"/>
      <c r="Y357" s="177"/>
      <c r="Z357" s="177"/>
      <c r="AA357" s="177"/>
      <c r="AB357" s="177"/>
      <c r="AC357" s="177"/>
    </row>
    <row r="358" spans="2:29">
      <c r="B358" s="158" t="s">
        <v>398</v>
      </c>
      <c r="C358" s="158" t="e">
        <f>Technologies!C644</f>
        <v>#REF!</v>
      </c>
      <c r="D358" s="158" t="e">
        <f>Technologies!D644</f>
        <v>#REF!</v>
      </c>
      <c r="E358" s="197" t="e">
        <f>Commodities!C162</f>
        <v>#REF!</v>
      </c>
      <c r="F358" s="197" t="e">
        <f>Commodities!C231</f>
        <v>#REF!</v>
      </c>
      <c r="G358" s="204">
        <v>1</v>
      </c>
      <c r="H358" s="203" t="e">
        <f>#REF!*#REF!^5/(Conv!$I$5*Conv!$D$46)/10^6 +#REF!</f>
        <v>#REF!</v>
      </c>
      <c r="I358" s="203" t="e">
        <f>#REF!*#REF!^5/(Conv!$I$5*Conv!$D$46)/10^6 +#REF!</f>
        <v>#REF!</v>
      </c>
      <c r="J358" s="203" t="e">
        <f>#REF!*#REF!^5/(Conv!$I$5*Conv!$D$46)/10^6 +#REF!</f>
        <v>#REF!</v>
      </c>
      <c r="K358" s="203" t="e">
        <f>#REF!*#REF!^5/(Conv!$I$5*Conv!$D$46)/10^6 +#REF!</f>
        <v>#REF!</v>
      </c>
      <c r="L358" s="203" t="e">
        <f>#REF!*#REF!^5/(Conv!$I$5*Conv!$D$46)/10^6 +#REF!</f>
        <v>#REF!</v>
      </c>
      <c r="M358" s="203" t="e">
        <f>#REF!*#REF!^5/(Conv!$I$5*Conv!$D$46)/10^6 +#REF!</f>
        <v>#REF!</v>
      </c>
      <c r="N358" s="203" t="e">
        <f>#REF!*#REF!^5/(Conv!$I$5*Conv!$D$46)/10^6 +#REF!</f>
        <v>#REF!</v>
      </c>
      <c r="O358" s="203" t="e">
        <f>#REF!*#REF!^5/(Conv!$I$5*Conv!$D$46)/10^6 +#REF!</f>
        <v>#REF!</v>
      </c>
      <c r="P358" s="203" t="e">
        <f>#REF!*#REF!^5/(Conv!$I$5*Conv!$D$46)/10^6 +#REF!</f>
        <v>#REF!</v>
      </c>
      <c r="Q358" s="203" t="e">
        <f>#REF!*#REF!^5/(Conv!$I$5*Conv!$D$46)/10^6 +#REF!</f>
        <v>#REF!</v>
      </c>
      <c r="S358" s="177"/>
      <c r="T358" s="177"/>
      <c r="U358" s="177"/>
      <c r="V358" s="177"/>
      <c r="W358" s="177"/>
      <c r="X358" s="177"/>
      <c r="Y358" s="177"/>
      <c r="Z358" s="177"/>
      <c r="AA358" s="177"/>
      <c r="AB358" s="177"/>
      <c r="AC358" s="177"/>
    </row>
    <row r="359" spans="2:29">
      <c r="B359" s="158" t="s">
        <v>398</v>
      </c>
      <c r="C359" s="158" t="e">
        <f>Technologies!C645</f>
        <v>#REF!</v>
      </c>
      <c r="D359" s="158" t="e">
        <f>Technologies!D645</f>
        <v>#REF!</v>
      </c>
      <c r="E359" s="197" t="e">
        <f>E358</f>
        <v>#REF!</v>
      </c>
      <c r="F359" s="197" t="e">
        <f>Commodities!C232</f>
        <v>#REF!</v>
      </c>
      <c r="G359" s="204">
        <v>1</v>
      </c>
      <c r="H359" s="203" t="e">
        <f>#REF!*#REF!^5/(Conv!$I$5*Conv!$D$46)/10^6 +#REF!</f>
        <v>#REF!</v>
      </c>
      <c r="I359" s="203" t="e">
        <f>#REF!*#REF!^5/(Conv!$I$5*Conv!$D$46)/10^6 +#REF!</f>
        <v>#REF!</v>
      </c>
      <c r="J359" s="203" t="e">
        <f>#REF!*#REF!^5/(Conv!$I$5*Conv!$D$46)/10^6 +#REF!</f>
        <v>#REF!</v>
      </c>
      <c r="K359" s="203" t="e">
        <f>#REF!*#REF!^5/(Conv!$I$5*Conv!$D$46)/10^6 +#REF!</f>
        <v>#REF!</v>
      </c>
      <c r="L359" s="203" t="e">
        <f>#REF!*#REF!^5/(Conv!$I$5*Conv!$D$46)/10^6 +#REF!</f>
        <v>#REF!</v>
      </c>
      <c r="M359" s="203" t="e">
        <f>#REF!*#REF!^5/(Conv!$I$5*Conv!$D$46)/10^6 +#REF!</f>
        <v>#REF!</v>
      </c>
      <c r="N359" s="203" t="e">
        <f>#REF!*#REF!^5/(Conv!$I$5*Conv!$D$46)/10^6 +#REF!</f>
        <v>#REF!</v>
      </c>
      <c r="O359" s="203" t="e">
        <f>#REF!*#REF!^5/(Conv!$I$5*Conv!$D$46)/10^6 +#REF!</f>
        <v>#REF!</v>
      </c>
      <c r="P359" s="203" t="e">
        <f>#REF!*#REF!^5/(Conv!$I$5*Conv!$D$46)/10^6 +#REF!</f>
        <v>#REF!</v>
      </c>
      <c r="Q359" s="203" t="e">
        <f>#REF!*#REF!^5/(Conv!$I$5*Conv!$D$46)/10^6 +#REF!</f>
        <v>#REF!</v>
      </c>
      <c r="S359" s="177"/>
      <c r="T359" s="177"/>
      <c r="U359" s="177"/>
      <c r="V359" s="177"/>
      <c r="W359" s="177"/>
      <c r="X359" s="177"/>
      <c r="Y359" s="177"/>
      <c r="Z359" s="177"/>
      <c r="AA359" s="177"/>
      <c r="AB359" s="177"/>
      <c r="AC359" s="177"/>
    </row>
    <row r="360" spans="2:29">
      <c r="B360" s="158" t="s">
        <v>398</v>
      </c>
      <c r="C360" s="158" t="e">
        <f>Technologies!C646</f>
        <v>#REF!</v>
      </c>
      <c r="D360" s="158" t="e">
        <f>Technologies!D646</f>
        <v>#REF!</v>
      </c>
      <c r="E360" s="197" t="e">
        <f>E359</f>
        <v>#REF!</v>
      </c>
      <c r="F360" s="197" t="e">
        <f>Commodities!C233</f>
        <v>#REF!</v>
      </c>
      <c r="G360" s="204">
        <v>1</v>
      </c>
      <c r="H360" s="203" t="e">
        <f>#REF!*#REF!^5/(Conv!$I$5*Conv!$D$46)/10^6 +#REF!</f>
        <v>#REF!</v>
      </c>
      <c r="I360" s="203" t="e">
        <f>#REF!*#REF!^5/(Conv!$I$5*Conv!$D$46)/10^6 +#REF!</f>
        <v>#REF!</v>
      </c>
      <c r="J360" s="203" t="e">
        <f>#REF!*#REF!^5/(Conv!$I$5*Conv!$D$46)/10^6 +#REF!</f>
        <v>#REF!</v>
      </c>
      <c r="K360" s="203" t="e">
        <f>#REF!*#REF!^5/(Conv!$I$5*Conv!$D$46)/10^6 +#REF!</f>
        <v>#REF!</v>
      </c>
      <c r="L360" s="203" t="e">
        <f>#REF!*#REF!^5/(Conv!$I$5*Conv!$D$46)/10^6 +#REF!</f>
        <v>#REF!</v>
      </c>
      <c r="M360" s="203" t="e">
        <f>#REF!*#REF!^5/(Conv!$I$5*Conv!$D$46)/10^6 +#REF!</f>
        <v>#REF!</v>
      </c>
      <c r="N360" s="203" t="e">
        <f>#REF!*#REF!^5/(Conv!$I$5*Conv!$D$46)/10^6 +#REF!</f>
        <v>#REF!</v>
      </c>
      <c r="O360" s="203" t="e">
        <f>#REF!*#REF!^5/(Conv!$I$5*Conv!$D$46)/10^6 +#REF!</f>
        <v>#REF!</v>
      </c>
      <c r="P360" s="203" t="e">
        <f>#REF!*#REF!^5/(Conv!$I$5*Conv!$D$46)/10^6 +#REF!</f>
        <v>#REF!</v>
      </c>
      <c r="Q360" s="203" t="e">
        <f>#REF!*#REF!^5/(Conv!$I$5*Conv!$D$46)/10^6 +#REF!</f>
        <v>#REF!</v>
      </c>
      <c r="S360" s="177"/>
      <c r="T360" s="177"/>
      <c r="U360" s="177"/>
      <c r="V360" s="177"/>
      <c r="W360" s="177"/>
      <c r="X360" s="177"/>
      <c r="Y360" s="177"/>
      <c r="Z360" s="177"/>
      <c r="AA360" s="177"/>
      <c r="AB360" s="177"/>
      <c r="AC360" s="177"/>
    </row>
    <row r="361" spans="2:29">
      <c r="B361" s="158" t="s">
        <v>398</v>
      </c>
      <c r="C361" s="158" t="e">
        <f>Technologies!C647</f>
        <v>#REF!</v>
      </c>
      <c r="D361" s="158" t="e">
        <f>Technologies!D647</f>
        <v>#REF!</v>
      </c>
      <c r="E361" s="197" t="e">
        <f>Commodities!C163</f>
        <v>#REF!</v>
      </c>
      <c r="F361" s="197" t="e">
        <f>Commodities!C234</f>
        <v>#REF!</v>
      </c>
      <c r="G361" s="204">
        <v>1</v>
      </c>
      <c r="H361" s="203" t="e">
        <f>#REF!*#REF!^5/(Conv!$I$5*Conv!$D$46)/10^6 +#REF!</f>
        <v>#REF!</v>
      </c>
      <c r="I361" s="203" t="e">
        <f>#REF!*#REF!^5/(Conv!$I$5*Conv!$D$46)/10^6 +#REF!</f>
        <v>#REF!</v>
      </c>
      <c r="J361" s="203" t="e">
        <f>#REF!*#REF!^5/(Conv!$I$5*Conv!$D$46)/10^6 +#REF!</f>
        <v>#REF!</v>
      </c>
      <c r="K361" s="203" t="e">
        <f>#REF!*#REF!^5/(Conv!$I$5*Conv!$D$46)/10^6 +#REF!</f>
        <v>#REF!</v>
      </c>
      <c r="L361" s="203" t="e">
        <f>#REF!*#REF!^5/(Conv!$I$5*Conv!$D$46)/10^6 +#REF!</f>
        <v>#REF!</v>
      </c>
      <c r="M361" s="203" t="e">
        <f>#REF!*#REF!^5/(Conv!$I$5*Conv!$D$46)/10^6 +#REF!</f>
        <v>#REF!</v>
      </c>
      <c r="N361" s="203" t="e">
        <f>#REF!*#REF!^5/(Conv!$I$5*Conv!$D$46)/10^6 +#REF!</f>
        <v>#REF!</v>
      </c>
      <c r="O361" s="203" t="e">
        <f>#REF!*#REF!^5/(Conv!$I$5*Conv!$D$46)/10^6 +#REF!</f>
        <v>#REF!</v>
      </c>
      <c r="P361" s="203" t="e">
        <f>#REF!*#REF!^5/(Conv!$I$5*Conv!$D$46)/10^6 +#REF!</f>
        <v>#REF!</v>
      </c>
      <c r="Q361" s="203" t="e">
        <f>#REF!*#REF!^5/(Conv!$I$5*Conv!$D$46)/10^6 +#REF!</f>
        <v>#REF!</v>
      </c>
      <c r="S361" s="177"/>
      <c r="T361" s="177"/>
      <c r="U361" s="177"/>
      <c r="V361" s="177"/>
      <c r="W361" s="177"/>
      <c r="X361" s="177"/>
      <c r="Y361" s="177"/>
      <c r="Z361" s="177"/>
      <c r="AA361" s="177"/>
      <c r="AB361" s="177"/>
      <c r="AC361" s="177"/>
    </row>
    <row r="362" spans="2:29">
      <c r="B362" s="158" t="s">
        <v>398</v>
      </c>
      <c r="C362" s="158" t="e">
        <f>Technologies!C648</f>
        <v>#REF!</v>
      </c>
      <c r="D362" s="158" t="e">
        <f>Technologies!D648</f>
        <v>#REF!</v>
      </c>
      <c r="E362" s="197" t="e">
        <f>E361</f>
        <v>#REF!</v>
      </c>
      <c r="F362" s="197" t="e">
        <f>Commodities!C235</f>
        <v>#REF!</v>
      </c>
      <c r="G362" s="204">
        <v>1</v>
      </c>
      <c r="H362" s="203" t="e">
        <f>#REF!*#REF!^5/(Conv!$I$5*Conv!$D$46)/10^6 +#REF!</f>
        <v>#REF!</v>
      </c>
      <c r="I362" s="203" t="e">
        <f>#REF!*#REF!^5/(Conv!$I$5*Conv!$D$46)/10^6 +#REF!</f>
        <v>#REF!</v>
      </c>
      <c r="J362" s="203" t="e">
        <f>#REF!*#REF!^5/(Conv!$I$5*Conv!$D$46)/10^6 +#REF!</f>
        <v>#REF!</v>
      </c>
      <c r="K362" s="203" t="e">
        <f>#REF!*#REF!^5/(Conv!$I$5*Conv!$D$46)/10^6 +#REF!</f>
        <v>#REF!</v>
      </c>
      <c r="L362" s="203" t="e">
        <f>#REF!*#REF!^5/(Conv!$I$5*Conv!$D$46)/10^6 +#REF!</f>
        <v>#REF!</v>
      </c>
      <c r="M362" s="203" t="e">
        <f>#REF!*#REF!^5/(Conv!$I$5*Conv!$D$46)/10^6 +#REF!</f>
        <v>#REF!</v>
      </c>
      <c r="N362" s="203" t="e">
        <f>#REF!*#REF!^5/(Conv!$I$5*Conv!$D$46)/10^6 +#REF!</f>
        <v>#REF!</v>
      </c>
      <c r="O362" s="203" t="e">
        <f>#REF!*#REF!^5/(Conv!$I$5*Conv!$D$46)/10^6 +#REF!</f>
        <v>#REF!</v>
      </c>
      <c r="P362" s="203" t="e">
        <f>#REF!*#REF!^5/(Conv!$I$5*Conv!$D$46)/10^6 +#REF!</f>
        <v>#REF!</v>
      </c>
      <c r="Q362" s="203" t="e">
        <f>#REF!*#REF!^5/(Conv!$I$5*Conv!$D$46)/10^6 +#REF!</f>
        <v>#REF!</v>
      </c>
      <c r="S362" s="177"/>
      <c r="T362" s="177"/>
      <c r="U362" s="177"/>
      <c r="V362" s="177"/>
      <c r="W362" s="177"/>
      <c r="X362" s="177"/>
      <c r="Y362" s="177"/>
      <c r="Z362" s="177"/>
      <c r="AA362" s="177"/>
      <c r="AB362" s="177"/>
      <c r="AC362" s="177"/>
    </row>
    <row r="363" spans="2:29">
      <c r="B363" s="158" t="s">
        <v>398</v>
      </c>
      <c r="C363" s="158" t="e">
        <f>Technologies!C649</f>
        <v>#REF!</v>
      </c>
      <c r="D363" s="158" t="e">
        <f>Technologies!D649</f>
        <v>#REF!</v>
      </c>
      <c r="E363" s="197" t="e">
        <f>E362</f>
        <v>#REF!</v>
      </c>
      <c r="F363" s="197" t="e">
        <f>Commodities!C236</f>
        <v>#REF!</v>
      </c>
      <c r="G363" s="204">
        <v>1</v>
      </c>
      <c r="H363" s="203" t="e">
        <f>#REF!*#REF!^5/(Conv!$I$5*Conv!$D$46)/10^6 +#REF!</f>
        <v>#REF!</v>
      </c>
      <c r="I363" s="203" t="e">
        <f>#REF!*#REF!^5/(Conv!$I$5*Conv!$D$46)/10^6 +#REF!</f>
        <v>#REF!</v>
      </c>
      <c r="J363" s="203" t="e">
        <f>#REF!*#REF!^5/(Conv!$I$5*Conv!$D$46)/10^6 +#REF!</f>
        <v>#REF!</v>
      </c>
      <c r="K363" s="203" t="e">
        <f>#REF!*#REF!^5/(Conv!$I$5*Conv!$D$46)/10^6 +#REF!</f>
        <v>#REF!</v>
      </c>
      <c r="L363" s="203" t="e">
        <f>#REF!*#REF!^5/(Conv!$I$5*Conv!$D$46)/10^6 +#REF!</f>
        <v>#REF!</v>
      </c>
      <c r="M363" s="203" t="e">
        <f>#REF!*#REF!^5/(Conv!$I$5*Conv!$D$46)/10^6 +#REF!</f>
        <v>#REF!</v>
      </c>
      <c r="N363" s="203" t="e">
        <f>#REF!*#REF!^5/(Conv!$I$5*Conv!$D$46)/10^6 +#REF!</f>
        <v>#REF!</v>
      </c>
      <c r="O363" s="203" t="e">
        <f>#REF!*#REF!^5/(Conv!$I$5*Conv!$D$46)/10^6 +#REF!</f>
        <v>#REF!</v>
      </c>
      <c r="P363" s="203" t="e">
        <f>#REF!*#REF!^5/(Conv!$I$5*Conv!$D$46)/10^6 +#REF!</f>
        <v>#REF!</v>
      </c>
      <c r="Q363" s="203" t="e">
        <f>#REF!*#REF!^5/(Conv!$I$5*Conv!$D$46)/10^6 +#REF!</f>
        <v>#REF!</v>
      </c>
      <c r="S363" s="177"/>
      <c r="T363" s="177"/>
      <c r="U363" s="177"/>
      <c r="V363" s="177"/>
      <c r="W363" s="177"/>
      <c r="X363" s="177"/>
      <c r="Y363" s="177"/>
      <c r="Z363" s="177"/>
      <c r="AA363" s="177"/>
      <c r="AB363" s="177"/>
      <c r="AC363" s="177"/>
    </row>
    <row r="364" spans="2:29">
      <c r="B364" s="158" t="s">
        <v>398</v>
      </c>
      <c r="C364" s="158" t="e">
        <f>Technologies!C650</f>
        <v>#REF!</v>
      </c>
      <c r="D364" s="158" t="e">
        <f>Technologies!D650</f>
        <v>#REF!</v>
      </c>
      <c r="E364" s="197" t="e">
        <f>E363</f>
        <v>#REF!</v>
      </c>
      <c r="F364" s="197" t="e">
        <f>Commodities!C237</f>
        <v>#REF!</v>
      </c>
      <c r="G364" s="204">
        <v>1</v>
      </c>
      <c r="H364" s="203" t="e">
        <f>#REF!*#REF!^5/(Conv!$I$5*Conv!$D$46)/10^6 +#REF!</f>
        <v>#REF!</v>
      </c>
      <c r="I364" s="203" t="e">
        <f>#REF!*#REF!^5/(Conv!$I$5*Conv!$D$46)/10^6 +#REF!</f>
        <v>#REF!</v>
      </c>
      <c r="J364" s="203" t="e">
        <f>#REF!*#REF!^5/(Conv!$I$5*Conv!$D$46)/10^6 +#REF!</f>
        <v>#REF!</v>
      </c>
      <c r="K364" s="203" t="e">
        <f>#REF!*#REF!^5/(Conv!$I$5*Conv!$D$46)/10^6 +#REF!</f>
        <v>#REF!</v>
      </c>
      <c r="L364" s="203" t="e">
        <f>#REF!*#REF!^5/(Conv!$I$5*Conv!$D$46)/10^6 +#REF!</f>
        <v>#REF!</v>
      </c>
      <c r="M364" s="203" t="e">
        <f>#REF!*#REF!^5/(Conv!$I$5*Conv!$D$46)/10^6 +#REF!</f>
        <v>#REF!</v>
      </c>
      <c r="N364" s="203" t="e">
        <f>#REF!*#REF!^5/(Conv!$I$5*Conv!$D$46)/10^6 +#REF!</f>
        <v>#REF!</v>
      </c>
      <c r="O364" s="203" t="e">
        <f>#REF!*#REF!^5/(Conv!$I$5*Conv!$D$46)/10^6 +#REF!</f>
        <v>#REF!</v>
      </c>
      <c r="P364" s="203" t="e">
        <f>#REF!*#REF!^5/(Conv!$I$5*Conv!$D$46)/10^6 +#REF!</f>
        <v>#REF!</v>
      </c>
      <c r="Q364" s="203" t="e">
        <f>#REF!*#REF!^5/(Conv!$I$5*Conv!$D$46)/10^6 +#REF!</f>
        <v>#REF!</v>
      </c>
      <c r="S364" s="177"/>
      <c r="T364" s="177"/>
      <c r="U364" s="177"/>
      <c r="V364" s="177"/>
      <c r="W364" s="177"/>
      <c r="X364" s="177"/>
      <c r="Y364" s="177"/>
      <c r="Z364" s="177"/>
      <c r="AA364" s="177"/>
      <c r="AB364" s="177"/>
      <c r="AC364" s="177"/>
    </row>
    <row r="365" spans="2:29">
      <c r="B365" s="158" t="s">
        <v>398</v>
      </c>
      <c r="C365" s="158" t="e">
        <f>Technologies!C651</f>
        <v>#REF!</v>
      </c>
      <c r="D365" s="158" t="e">
        <f>Technologies!D651</f>
        <v>#REF!</v>
      </c>
      <c r="E365" s="197" t="e">
        <f>Commodities!C164</f>
        <v>#REF!</v>
      </c>
      <c r="F365" s="197" t="e">
        <f>Commodities!C238</f>
        <v>#REF!</v>
      </c>
      <c r="G365" s="204">
        <v>1</v>
      </c>
      <c r="H365" s="203" t="e">
        <f>#REF!*#REF!^5/(Conv!$I$5*Conv!$D$46)/10^6 +#REF!</f>
        <v>#REF!</v>
      </c>
      <c r="I365" s="203" t="e">
        <f>#REF!*#REF!^5/(Conv!$I$5*Conv!$D$46)/10^6 +#REF!</f>
        <v>#REF!</v>
      </c>
      <c r="J365" s="203" t="e">
        <f>#REF!*#REF!^5/(Conv!$I$5*Conv!$D$46)/10^6 +#REF!</f>
        <v>#REF!</v>
      </c>
      <c r="K365" s="203" t="e">
        <f>#REF!*#REF!^5/(Conv!$I$5*Conv!$D$46)/10^6 +#REF!</f>
        <v>#REF!</v>
      </c>
      <c r="L365" s="203" t="e">
        <f>#REF!*#REF!^5/(Conv!$I$5*Conv!$D$46)/10^6 +#REF!</f>
        <v>#REF!</v>
      </c>
      <c r="M365" s="203" t="e">
        <f>#REF!*#REF!^5/(Conv!$I$5*Conv!$D$46)/10^6 +#REF!</f>
        <v>#REF!</v>
      </c>
      <c r="N365" s="203" t="e">
        <f>#REF!*#REF!^5/(Conv!$I$5*Conv!$D$46)/10^6 +#REF!</f>
        <v>#REF!</v>
      </c>
      <c r="O365" s="203" t="e">
        <f>#REF!*#REF!^5/(Conv!$I$5*Conv!$D$46)/10^6 +#REF!</f>
        <v>#REF!</v>
      </c>
      <c r="P365" s="203" t="e">
        <f>#REF!*#REF!^5/(Conv!$I$5*Conv!$D$46)/10^6 +#REF!</f>
        <v>#REF!</v>
      </c>
      <c r="Q365" s="203" t="e">
        <f>#REF!*#REF!^5/(Conv!$I$5*Conv!$D$46)/10^6 +#REF!</f>
        <v>#REF!</v>
      </c>
      <c r="S365" s="177"/>
      <c r="T365" s="177"/>
      <c r="U365" s="177"/>
      <c r="V365" s="177"/>
      <c r="W365" s="177"/>
      <c r="X365" s="177"/>
      <c r="Y365" s="177"/>
      <c r="Z365" s="177"/>
      <c r="AA365" s="177"/>
      <c r="AB365" s="177"/>
      <c r="AC365" s="177"/>
    </row>
    <row r="366" spans="2:29">
      <c r="B366" s="158" t="s">
        <v>398</v>
      </c>
      <c r="C366" s="158" t="e">
        <f>Technologies!C652</f>
        <v>#REF!</v>
      </c>
      <c r="D366" s="158" t="e">
        <f>Technologies!D652</f>
        <v>#REF!</v>
      </c>
      <c r="E366" s="197" t="e">
        <f>Commodities!C165</f>
        <v>#REF!</v>
      </c>
      <c r="F366" s="197" t="e">
        <f>Commodities!C239</f>
        <v>#REF!</v>
      </c>
      <c r="G366" s="204">
        <v>1</v>
      </c>
      <c r="H366" s="203" t="e">
        <f>#REF!*#REF!^5/(Conv!$I$5*Conv!$D$46)/10^6 +#REF!</f>
        <v>#REF!</v>
      </c>
      <c r="I366" s="203" t="e">
        <f>#REF!*#REF!^5/(Conv!$I$5*Conv!$D$46)/10^6 +#REF!</f>
        <v>#REF!</v>
      </c>
      <c r="J366" s="203" t="e">
        <f>#REF!*#REF!^5/(Conv!$I$5*Conv!$D$46)/10^6 +#REF!</f>
        <v>#REF!</v>
      </c>
      <c r="K366" s="203" t="e">
        <f>#REF!*#REF!^5/(Conv!$I$5*Conv!$D$46)/10^6 +#REF!</f>
        <v>#REF!</v>
      </c>
      <c r="L366" s="203" t="e">
        <f>#REF!*#REF!^5/(Conv!$I$5*Conv!$D$46)/10^6 +#REF!</f>
        <v>#REF!</v>
      </c>
      <c r="M366" s="203" t="e">
        <f>#REF!*#REF!^5/(Conv!$I$5*Conv!$D$46)/10^6 +#REF!</f>
        <v>#REF!</v>
      </c>
      <c r="N366" s="203" t="e">
        <f>#REF!*#REF!^5/(Conv!$I$5*Conv!$D$46)/10^6 +#REF!</f>
        <v>#REF!</v>
      </c>
      <c r="O366" s="203" t="e">
        <f>#REF!*#REF!^5/(Conv!$I$5*Conv!$D$46)/10^6 +#REF!</f>
        <v>#REF!</v>
      </c>
      <c r="P366" s="203" t="e">
        <f>#REF!*#REF!^5/(Conv!$I$5*Conv!$D$46)/10^6 +#REF!</f>
        <v>#REF!</v>
      </c>
      <c r="Q366" s="203" t="e">
        <f>#REF!*#REF!^5/(Conv!$I$5*Conv!$D$46)/10^6 +#REF!</f>
        <v>#REF!</v>
      </c>
      <c r="S366" s="177"/>
      <c r="T366" s="177"/>
      <c r="U366" s="177"/>
      <c r="V366" s="177"/>
      <c r="W366" s="177"/>
      <c r="X366" s="177"/>
      <c r="Y366" s="177"/>
      <c r="Z366" s="177"/>
      <c r="AA366" s="177"/>
      <c r="AB366" s="177"/>
      <c r="AC366" s="177"/>
    </row>
    <row r="367" spans="2:29">
      <c r="B367" s="158" t="s">
        <v>398</v>
      </c>
      <c r="C367" s="158" t="e">
        <f>Technologies!C653</f>
        <v>#REF!</v>
      </c>
      <c r="D367" s="158" t="e">
        <f>Technologies!D653</f>
        <v>#REF!</v>
      </c>
      <c r="E367" s="197" t="e">
        <f>Commodities!C167</f>
        <v>#REF!</v>
      </c>
      <c r="F367" s="197" t="str">
        <f>Commodities!C240</f>
        <v>RESRFL</v>
      </c>
      <c r="G367" s="204">
        <v>1</v>
      </c>
      <c r="H367" s="203" t="e">
        <f>#REF!*#REF!^5/(Conv!$I$5*Conv!$D$46)/10^6 +#REF!</f>
        <v>#REF!</v>
      </c>
      <c r="I367" s="203" t="e">
        <f>#REF!*#REF!^5/(Conv!$I$5*Conv!$D$46)/10^6 +#REF!</f>
        <v>#REF!</v>
      </c>
      <c r="J367" s="203" t="e">
        <f>#REF!*#REF!^5/(Conv!$I$5*Conv!$D$46)/10^6 +#REF!</f>
        <v>#REF!</v>
      </c>
      <c r="K367" s="203" t="e">
        <f>#REF!*#REF!^5/(Conv!$I$5*Conv!$D$46)/10^6 +#REF!</f>
        <v>#REF!</v>
      </c>
      <c r="L367" s="203" t="e">
        <f>#REF!*#REF!^5/(Conv!$I$5*Conv!$D$46)/10^6 +#REF!</f>
        <v>#REF!</v>
      </c>
      <c r="M367" s="203" t="e">
        <f>#REF!*#REF!^5/(Conv!$I$5*Conv!$D$46)/10^6 +#REF!</f>
        <v>#REF!</v>
      </c>
      <c r="N367" s="203" t="e">
        <f>#REF!*#REF!^5/(Conv!$I$5*Conv!$D$46)/10^6 +#REF!</f>
        <v>#REF!</v>
      </c>
      <c r="O367" s="203" t="e">
        <f>#REF!*#REF!^5/(Conv!$I$5*Conv!$D$46)/10^6 +#REF!</f>
        <v>#REF!</v>
      </c>
      <c r="P367" s="203" t="e">
        <f>#REF!*#REF!^5/(Conv!$I$5*Conv!$D$46)/10^6 +#REF!</f>
        <v>#REF!</v>
      </c>
      <c r="Q367" s="203" t="e">
        <f>#REF!*#REF!^5/(Conv!$I$5*Conv!$D$46)/10^6 +#REF!</f>
        <v>#REF!</v>
      </c>
      <c r="S367" s="177"/>
      <c r="T367" s="177"/>
      <c r="U367" s="177"/>
      <c r="V367" s="177"/>
      <c r="W367" s="177"/>
      <c r="X367" s="177"/>
      <c r="Y367" s="177"/>
      <c r="Z367" s="177"/>
      <c r="AA367" s="177"/>
      <c r="AB367" s="177"/>
      <c r="AC367" s="177"/>
    </row>
    <row r="368" spans="2:29">
      <c r="B368" s="158" t="s">
        <v>398</v>
      </c>
      <c r="C368" s="158" t="e">
        <f>Technologies!C654</f>
        <v>#REF!</v>
      </c>
      <c r="D368" s="158" t="e">
        <f>Technologies!D654</f>
        <v>#REF!</v>
      </c>
      <c r="E368" s="197" t="e">
        <f>Commodities!C167</f>
        <v>#REF!</v>
      </c>
      <c r="F368" s="197" t="e">
        <f>Commodities!C241</f>
        <v>#REF!</v>
      </c>
      <c r="G368" s="204">
        <v>1</v>
      </c>
      <c r="H368" s="203" t="e">
        <f>#REF!*#REF!^5/(Conv!$I$5*Conv!$D$46)/10^6 +#REF!</f>
        <v>#REF!</v>
      </c>
      <c r="I368" s="203" t="e">
        <f>#REF!*#REF!^5/(Conv!$I$5*Conv!$D$46)/10^6 +#REF!</f>
        <v>#REF!</v>
      </c>
      <c r="J368" s="203" t="e">
        <f>#REF!*#REF!^5/(Conv!$I$5*Conv!$D$46)/10^6 +#REF!</f>
        <v>#REF!</v>
      </c>
      <c r="K368" s="203" t="e">
        <f>#REF!*#REF!^5/(Conv!$I$5*Conv!$D$46)/10^6 +#REF!</f>
        <v>#REF!</v>
      </c>
      <c r="L368" s="203" t="e">
        <f>#REF!*#REF!^5/(Conv!$I$5*Conv!$D$46)/10^6 +#REF!</f>
        <v>#REF!</v>
      </c>
      <c r="M368" s="203" t="e">
        <f>#REF!*#REF!^5/(Conv!$I$5*Conv!$D$46)/10^6 +#REF!</f>
        <v>#REF!</v>
      </c>
      <c r="N368" s="203" t="e">
        <f>#REF!*#REF!^5/(Conv!$I$5*Conv!$D$46)/10^6 +#REF!</f>
        <v>#REF!</v>
      </c>
      <c r="O368" s="203" t="e">
        <f>#REF!*#REF!^5/(Conv!$I$5*Conv!$D$46)/10^6 +#REF!</f>
        <v>#REF!</v>
      </c>
      <c r="P368" s="203" t="e">
        <f>#REF!*#REF!^5/(Conv!$I$5*Conv!$D$46)/10^6 +#REF!</f>
        <v>#REF!</v>
      </c>
      <c r="Q368" s="203" t="e">
        <f>#REF!*#REF!^5/(Conv!$I$5*Conv!$D$46)/10^6 +#REF!</f>
        <v>#REF!</v>
      </c>
      <c r="S368" s="177"/>
      <c r="T368" s="177"/>
      <c r="U368" s="177"/>
      <c r="V368" s="177"/>
      <c r="W368" s="177"/>
      <c r="X368" s="177"/>
      <c r="Y368" s="177"/>
      <c r="Z368" s="177"/>
      <c r="AA368" s="177"/>
      <c r="AB368" s="177"/>
      <c r="AC368" s="177"/>
    </row>
    <row r="369" spans="2:29">
      <c r="B369" s="158" t="s">
        <v>398</v>
      </c>
      <c r="C369" s="158" t="e">
        <f>Technologies!C655</f>
        <v>#REF!</v>
      </c>
      <c r="D369" s="158" t="e">
        <f>Technologies!D655</f>
        <v>#REF!</v>
      </c>
      <c r="E369" s="197" t="e">
        <f>E368</f>
        <v>#REF!</v>
      </c>
      <c r="F369" s="197" t="e">
        <f>Commodities!C242</f>
        <v>#REF!</v>
      </c>
      <c r="G369" s="204">
        <v>1</v>
      </c>
      <c r="H369" s="203" t="e">
        <f>#REF!*#REF!^5/(Conv!$I$5*Conv!$D$46)/10^6 +#REF!</f>
        <v>#REF!</v>
      </c>
      <c r="I369" s="203" t="e">
        <f>#REF!*#REF!^5/(Conv!$I$5*Conv!$D$46)/10^6 +#REF!</f>
        <v>#REF!</v>
      </c>
      <c r="J369" s="203" t="e">
        <f>#REF!*#REF!^5/(Conv!$I$5*Conv!$D$46)/10^6 +#REF!</f>
        <v>#REF!</v>
      </c>
      <c r="K369" s="203" t="e">
        <f>#REF!*#REF!^5/(Conv!$I$5*Conv!$D$46)/10^6 +#REF!</f>
        <v>#REF!</v>
      </c>
      <c r="L369" s="203" t="e">
        <f>#REF!*#REF!^5/(Conv!$I$5*Conv!$D$46)/10^6 +#REF!</f>
        <v>#REF!</v>
      </c>
      <c r="M369" s="203" t="e">
        <f>#REF!*#REF!^5/(Conv!$I$5*Conv!$D$46)/10^6 +#REF!</f>
        <v>#REF!</v>
      </c>
      <c r="N369" s="203" t="e">
        <f>#REF!*#REF!^5/(Conv!$I$5*Conv!$D$46)/10^6 +#REF!</f>
        <v>#REF!</v>
      </c>
      <c r="O369" s="203" t="e">
        <f>#REF!*#REF!^5/(Conv!$I$5*Conv!$D$46)/10^6 +#REF!</f>
        <v>#REF!</v>
      </c>
      <c r="P369" s="203" t="e">
        <f>#REF!*#REF!^5/(Conv!$I$5*Conv!$D$46)/10^6 +#REF!</f>
        <v>#REF!</v>
      </c>
      <c r="Q369" s="203" t="e">
        <f>#REF!*#REF!^5/(Conv!$I$5*Conv!$D$46)/10^6 +#REF!</f>
        <v>#REF!</v>
      </c>
      <c r="S369" s="177"/>
      <c r="T369" s="177"/>
      <c r="U369" s="177"/>
      <c r="V369" s="177"/>
      <c r="W369" s="177"/>
      <c r="X369" s="177"/>
      <c r="Y369" s="177"/>
      <c r="Z369" s="177"/>
      <c r="AA369" s="177"/>
      <c r="AB369" s="177"/>
      <c r="AC369" s="177"/>
    </row>
    <row r="370" spans="2:29">
      <c r="B370" s="158" t="s">
        <v>398</v>
      </c>
      <c r="C370" s="158" t="e">
        <f>Technologies!C656</f>
        <v>#REF!</v>
      </c>
      <c r="D370" s="158" t="e">
        <f>Technologies!D656</f>
        <v>#REF!</v>
      </c>
      <c r="E370" s="197" t="e">
        <f>E369</f>
        <v>#REF!</v>
      </c>
      <c r="F370" s="197" t="e">
        <f>Commodities!C243</f>
        <v>#REF!</v>
      </c>
      <c r="G370" s="204">
        <v>1</v>
      </c>
      <c r="H370" s="203" t="e">
        <f>#REF!*#REF!^5/(Conv!$I$5*Conv!$D$46)/10^6 +#REF!</f>
        <v>#REF!</v>
      </c>
      <c r="I370" s="203" t="e">
        <f>#REF!*#REF!^5/(Conv!$I$5*Conv!$D$46)/10^6 +#REF!</f>
        <v>#REF!</v>
      </c>
      <c r="J370" s="203" t="e">
        <f>#REF!*#REF!^5/(Conv!$I$5*Conv!$D$46)/10^6 +#REF!</f>
        <v>#REF!</v>
      </c>
      <c r="K370" s="203" t="e">
        <f>#REF!*#REF!^5/(Conv!$I$5*Conv!$D$46)/10^6 +#REF!</f>
        <v>#REF!</v>
      </c>
      <c r="L370" s="203" t="e">
        <f>#REF!*#REF!^5/(Conv!$I$5*Conv!$D$46)/10^6 +#REF!</f>
        <v>#REF!</v>
      </c>
      <c r="M370" s="203" t="e">
        <f>#REF!*#REF!^5/(Conv!$I$5*Conv!$D$46)/10^6 +#REF!</f>
        <v>#REF!</v>
      </c>
      <c r="N370" s="203" t="e">
        <f>#REF!*#REF!^5/(Conv!$I$5*Conv!$D$46)/10^6 +#REF!</f>
        <v>#REF!</v>
      </c>
      <c r="O370" s="203" t="e">
        <f>#REF!*#REF!^5/(Conv!$I$5*Conv!$D$46)/10^6 +#REF!</f>
        <v>#REF!</v>
      </c>
      <c r="P370" s="203" t="e">
        <f>#REF!*#REF!^5/(Conv!$I$5*Conv!$D$46)/10^6 +#REF!</f>
        <v>#REF!</v>
      </c>
      <c r="Q370" s="203" t="e">
        <f>#REF!*#REF!^5/(Conv!$I$5*Conv!$D$46)/10^6 +#REF!</f>
        <v>#REF!</v>
      </c>
      <c r="S370" s="177"/>
      <c r="T370" s="177"/>
      <c r="U370" s="177"/>
      <c r="V370" s="177"/>
      <c r="W370" s="177"/>
      <c r="X370" s="177"/>
      <c r="Y370" s="177"/>
      <c r="Z370" s="177"/>
      <c r="AA370" s="177"/>
      <c r="AB370" s="177"/>
      <c r="AC370" s="177"/>
    </row>
    <row r="371" spans="2:29">
      <c r="B371" s="158" t="s">
        <v>398</v>
      </c>
      <c r="C371" s="158" t="e">
        <f>Technologies!C657</f>
        <v>#REF!</v>
      </c>
      <c r="D371" s="158" t="e">
        <f>Technologies!D657</f>
        <v>#REF!</v>
      </c>
      <c r="E371" s="197" t="e">
        <f>Commodities!C166</f>
        <v>#REF!</v>
      </c>
      <c r="F371" s="197" t="e">
        <f>Commodities!C244</f>
        <v>#REF!</v>
      </c>
      <c r="G371" s="204">
        <v>1</v>
      </c>
      <c r="H371" s="203" t="e">
        <f>#REF!*#REF!^5/(Conv!$I$5*Conv!$D$46)/10^6 +#REF!</f>
        <v>#REF!</v>
      </c>
      <c r="I371" s="203" t="e">
        <f>#REF!*#REF!^5/(Conv!$I$5*Conv!$D$46)/10^6 +#REF!</f>
        <v>#REF!</v>
      </c>
      <c r="J371" s="203" t="e">
        <f>#REF!*#REF!^5/(Conv!$I$5*Conv!$D$46)/10^6 +#REF!</f>
        <v>#REF!</v>
      </c>
      <c r="K371" s="203" t="e">
        <f>#REF!*#REF!^5/(Conv!$I$5*Conv!$D$46)/10^6 +#REF!</f>
        <v>#REF!</v>
      </c>
      <c r="L371" s="203" t="e">
        <f>#REF!*#REF!^5/(Conv!$I$5*Conv!$D$46)/10^6 +#REF!</f>
        <v>#REF!</v>
      </c>
      <c r="M371" s="203" t="e">
        <f>#REF!*#REF!^5/(Conv!$I$5*Conv!$D$46)/10^6 +#REF!</f>
        <v>#REF!</v>
      </c>
      <c r="N371" s="203" t="e">
        <f>#REF!*#REF!^5/(Conv!$I$5*Conv!$D$46)/10^6 +#REF!</f>
        <v>#REF!</v>
      </c>
      <c r="O371" s="203" t="e">
        <f>#REF!*#REF!^5/(Conv!$I$5*Conv!$D$46)/10^6 +#REF!</f>
        <v>#REF!</v>
      </c>
      <c r="P371" s="203" t="e">
        <f>#REF!*#REF!^5/(Conv!$I$5*Conv!$D$46)/10^6 +#REF!</f>
        <v>#REF!</v>
      </c>
      <c r="Q371" s="203" t="e">
        <f>#REF!*#REF!^5/(Conv!$I$5*Conv!$D$46)/10^6 +#REF!</f>
        <v>#REF!</v>
      </c>
      <c r="S371" s="177"/>
      <c r="T371" s="177"/>
      <c r="U371" s="177"/>
      <c r="V371" s="177"/>
      <c r="W371" s="177"/>
      <c r="X371" s="177"/>
      <c r="Y371" s="177"/>
      <c r="Z371" s="177"/>
      <c r="AA371" s="177"/>
      <c r="AB371" s="177"/>
      <c r="AC371" s="177"/>
    </row>
    <row r="372" spans="2:29">
      <c r="B372" s="158" t="s">
        <v>398</v>
      </c>
      <c r="C372" s="158" t="e">
        <f>Technologies!C658</f>
        <v>#REF!</v>
      </c>
      <c r="D372" s="158" t="e">
        <f>Technologies!D658</f>
        <v>#REF!</v>
      </c>
      <c r="E372" s="197" t="e">
        <f>E371</f>
        <v>#REF!</v>
      </c>
      <c r="F372" s="197" t="e">
        <f>Commodities!C245</f>
        <v>#REF!</v>
      </c>
      <c r="G372" s="204">
        <v>1</v>
      </c>
      <c r="H372" s="203" t="e">
        <f>#REF!*#REF!^5/(Conv!$I$5*Conv!$D$46)/10^6 +#REF!</f>
        <v>#REF!</v>
      </c>
      <c r="I372" s="203" t="e">
        <f>#REF!*#REF!^5/(Conv!$I$5*Conv!$D$46)/10^6 +#REF!</f>
        <v>#REF!</v>
      </c>
      <c r="J372" s="203" t="e">
        <f>#REF!*#REF!^5/(Conv!$I$5*Conv!$D$46)/10^6 +#REF!</f>
        <v>#REF!</v>
      </c>
      <c r="K372" s="203" t="e">
        <f>#REF!*#REF!^5/(Conv!$I$5*Conv!$D$46)/10^6 +#REF!</f>
        <v>#REF!</v>
      </c>
      <c r="L372" s="203" t="e">
        <f>#REF!*#REF!^5/(Conv!$I$5*Conv!$D$46)/10^6 +#REF!</f>
        <v>#REF!</v>
      </c>
      <c r="M372" s="203" t="e">
        <f>#REF!*#REF!^5/(Conv!$I$5*Conv!$D$46)/10^6 +#REF!</f>
        <v>#REF!</v>
      </c>
      <c r="N372" s="203" t="e">
        <f>#REF!*#REF!^5/(Conv!$I$5*Conv!$D$46)/10^6 +#REF!</f>
        <v>#REF!</v>
      </c>
      <c r="O372" s="203" t="e">
        <f>#REF!*#REF!^5/(Conv!$I$5*Conv!$D$46)/10^6 +#REF!</f>
        <v>#REF!</v>
      </c>
      <c r="P372" s="203" t="e">
        <f>#REF!*#REF!^5/(Conv!$I$5*Conv!$D$46)/10^6 +#REF!</f>
        <v>#REF!</v>
      </c>
      <c r="Q372" s="203" t="e">
        <f>#REF!*#REF!^5/(Conv!$I$5*Conv!$D$46)/10^6 +#REF!</f>
        <v>#REF!</v>
      </c>
      <c r="S372" s="177"/>
      <c r="T372" s="177"/>
      <c r="U372" s="177"/>
      <c r="V372" s="177"/>
      <c r="W372" s="177"/>
      <c r="X372" s="177"/>
      <c r="Y372" s="177"/>
      <c r="Z372" s="177"/>
      <c r="AA372" s="177"/>
      <c r="AB372" s="177"/>
      <c r="AC372" s="177"/>
    </row>
    <row r="373" spans="2:29">
      <c r="B373" s="158" t="s">
        <v>398</v>
      </c>
      <c r="C373" s="158" t="e">
        <f>Technologies!C659</f>
        <v>#REF!</v>
      </c>
      <c r="D373" s="158" t="e">
        <f>Technologies!D659</f>
        <v>#REF!</v>
      </c>
      <c r="E373" s="197" t="e">
        <f>Commodities!C168</f>
        <v>#REF!</v>
      </c>
      <c r="F373" s="197" t="e">
        <f>Commodities!C246</f>
        <v>#REF!</v>
      </c>
      <c r="G373" s="204">
        <v>1</v>
      </c>
      <c r="H373" s="203" t="e">
        <f>#REF!*#REF!^5/(Conv!$I$5*Conv!$D$46)/10^6 +#REF!</f>
        <v>#REF!</v>
      </c>
      <c r="I373" s="203" t="e">
        <f>#REF!*#REF!^5/(Conv!$I$5*Conv!$D$46)/10^6 +#REF!</f>
        <v>#REF!</v>
      </c>
      <c r="J373" s="203" t="e">
        <f>#REF!*#REF!^5/(Conv!$I$5*Conv!$D$46)/10^6 +#REF!</f>
        <v>#REF!</v>
      </c>
      <c r="K373" s="203" t="e">
        <f>#REF!*#REF!^5/(Conv!$I$5*Conv!$D$46)/10^6 +#REF!</f>
        <v>#REF!</v>
      </c>
      <c r="L373" s="203" t="e">
        <f>#REF!*#REF!^5/(Conv!$I$5*Conv!$D$46)/10^6 +#REF!</f>
        <v>#REF!</v>
      </c>
      <c r="M373" s="203" t="e">
        <f>#REF!*#REF!^5/(Conv!$I$5*Conv!$D$46)/10^6 +#REF!</f>
        <v>#REF!</v>
      </c>
      <c r="N373" s="203" t="e">
        <f>#REF!*#REF!^5/(Conv!$I$5*Conv!$D$46)/10^6 +#REF!</f>
        <v>#REF!</v>
      </c>
      <c r="O373" s="203" t="e">
        <f>#REF!*#REF!^5/(Conv!$I$5*Conv!$D$46)/10^6 +#REF!</f>
        <v>#REF!</v>
      </c>
      <c r="P373" s="203" t="e">
        <f>#REF!*#REF!^5/(Conv!$I$5*Conv!$D$46)/10^6 +#REF!</f>
        <v>#REF!</v>
      </c>
      <c r="Q373" s="203" t="e">
        <f>#REF!*#REF!^5/(Conv!$I$5*Conv!$D$46)/10^6 +#REF!</f>
        <v>#REF!</v>
      </c>
      <c r="S373" s="177"/>
      <c r="T373" s="177"/>
      <c r="U373" s="177"/>
      <c r="V373" s="177"/>
      <c r="W373" s="177"/>
      <c r="X373" s="177"/>
      <c r="Y373" s="177"/>
      <c r="Z373" s="177"/>
      <c r="AA373" s="177"/>
      <c r="AB373" s="177"/>
      <c r="AC373" s="177"/>
    </row>
    <row r="374" spans="2:29">
      <c r="B374" s="158" t="s">
        <v>398</v>
      </c>
      <c r="C374" s="158"/>
      <c r="D374" s="158"/>
      <c r="E374" s="197"/>
      <c r="F374" s="197"/>
      <c r="G374" s="204"/>
      <c r="H374" s="205"/>
      <c r="I374" s="205"/>
      <c r="J374" s="205"/>
      <c r="K374" s="205"/>
      <c r="L374" s="205"/>
      <c r="M374" s="205"/>
      <c r="N374" s="205"/>
      <c r="O374" s="205"/>
      <c r="P374" s="205"/>
      <c r="Q374" s="205"/>
    </row>
    <row r="375" spans="2:29">
      <c r="B375" s="158" t="s">
        <v>398</v>
      </c>
      <c r="C375" s="158" t="e">
        <f>Technologies!C660</f>
        <v>#REF!</v>
      </c>
      <c r="D375" s="158" t="e">
        <f>Technologies!D660</f>
        <v>#REF!</v>
      </c>
      <c r="E375" s="197" t="e">
        <f>Commodities!C169</f>
        <v>#REF!</v>
      </c>
      <c r="F375" s="197" t="e">
        <f>Commodities!C222</f>
        <v>#REF!</v>
      </c>
      <c r="G375" s="204">
        <v>1</v>
      </c>
      <c r="H375" s="203" t="e">
        <f>#REF!*#REF!^5/(Conv!$I$5*Conv!$D$46)/10^6 +#REF!</f>
        <v>#REF!</v>
      </c>
      <c r="I375" s="203" t="e">
        <f>#REF!*#REF!^5/(Conv!$I$5*Conv!$D$46)/10^6 +#REF!</f>
        <v>#REF!</v>
      </c>
      <c r="J375" s="203" t="e">
        <f>#REF!*#REF!^5/(Conv!$I$5*Conv!$D$46)/10^6 +#REF!</f>
        <v>#REF!</v>
      </c>
      <c r="K375" s="203" t="e">
        <f>#REF!*#REF!^5/(Conv!$I$5*Conv!$D$46)/10^6 +#REF!</f>
        <v>#REF!</v>
      </c>
      <c r="L375" s="203" t="e">
        <f>#REF!*#REF!^5/(Conv!$I$5*Conv!$D$46)/10^6 +#REF!</f>
        <v>#REF!</v>
      </c>
      <c r="M375" s="203" t="e">
        <f>#REF!*#REF!^5/(Conv!$I$5*Conv!$D$46)/10^6 +#REF!</f>
        <v>#REF!</v>
      </c>
      <c r="N375" s="203" t="e">
        <f>#REF!*#REF!^5/(Conv!$I$5*Conv!$D$46)/10^6 +#REF!</f>
        <v>#REF!</v>
      </c>
      <c r="O375" s="203" t="e">
        <f>#REF!*#REF!^5/(Conv!$I$5*Conv!$D$46)/10^6 +#REF!</f>
        <v>#REF!</v>
      </c>
      <c r="P375" s="203" t="e">
        <f>#REF!*#REF!^5/(Conv!$I$5*Conv!$D$46)/10^6 +#REF!</f>
        <v>#REF!</v>
      </c>
      <c r="Q375" s="203" t="e">
        <f>#REF!*#REF!^5/(Conv!$I$5*Conv!$D$46)/10^6 +#REF!</f>
        <v>#REF!</v>
      </c>
      <c r="S375" s="177"/>
      <c r="T375" s="177"/>
      <c r="U375" s="177"/>
      <c r="V375" s="177"/>
      <c r="W375" s="177"/>
      <c r="X375" s="177"/>
      <c r="Y375" s="177"/>
      <c r="Z375" s="177"/>
      <c r="AA375" s="177"/>
      <c r="AB375" s="177"/>
      <c r="AC375" s="177"/>
    </row>
    <row r="376" spans="2:29">
      <c r="B376" s="158" t="s">
        <v>398</v>
      </c>
      <c r="C376" s="158" t="e">
        <f>Technologies!C661</f>
        <v>#REF!</v>
      </c>
      <c r="D376" s="158" t="e">
        <f>Technologies!D661</f>
        <v>#REF!</v>
      </c>
      <c r="E376" s="197" t="e">
        <f>Commodities!C170</f>
        <v>#REF!</v>
      </c>
      <c r="F376" s="197" t="e">
        <f>Commodities!C223</f>
        <v>#REF!</v>
      </c>
      <c r="G376" s="204">
        <v>1</v>
      </c>
      <c r="H376" s="203" t="e">
        <f>#REF!*#REF!^5/(Conv!$I$5*Conv!$D$46)/10^6 +#REF!</f>
        <v>#REF!</v>
      </c>
      <c r="I376" s="203" t="e">
        <f>#REF!*#REF!^5/(Conv!$I$5*Conv!$D$46)/10^6 +#REF!</f>
        <v>#REF!</v>
      </c>
      <c r="J376" s="203" t="e">
        <f>#REF!*#REF!^5/(Conv!$I$5*Conv!$D$46)/10^6 +#REF!</f>
        <v>#REF!</v>
      </c>
      <c r="K376" s="203" t="e">
        <f>#REF!*#REF!^5/(Conv!$I$5*Conv!$D$46)/10^6 +#REF!</f>
        <v>#REF!</v>
      </c>
      <c r="L376" s="203" t="e">
        <f>#REF!*#REF!^5/(Conv!$I$5*Conv!$D$46)/10^6 +#REF!</f>
        <v>#REF!</v>
      </c>
      <c r="M376" s="203" t="e">
        <f>#REF!*#REF!^5/(Conv!$I$5*Conv!$D$46)/10^6 +#REF!</f>
        <v>#REF!</v>
      </c>
      <c r="N376" s="203" t="e">
        <f>#REF!*#REF!^5/(Conv!$I$5*Conv!$D$46)/10^6 +#REF!</f>
        <v>#REF!</v>
      </c>
      <c r="O376" s="203" t="e">
        <f>#REF!*#REF!^5/(Conv!$I$5*Conv!$D$46)/10^6 +#REF!</f>
        <v>#REF!</v>
      </c>
      <c r="P376" s="203" t="e">
        <f>#REF!*#REF!^5/(Conv!$I$5*Conv!$D$46)/10^6 +#REF!</f>
        <v>#REF!</v>
      </c>
      <c r="Q376" s="203" t="e">
        <f>#REF!*#REF!^5/(Conv!$I$5*Conv!$D$46)/10^6 +#REF!</f>
        <v>#REF!</v>
      </c>
      <c r="S376" s="177"/>
      <c r="T376" s="177"/>
      <c r="U376" s="177"/>
      <c r="V376" s="177"/>
      <c r="W376" s="177"/>
      <c r="X376" s="177"/>
      <c r="Y376" s="177"/>
      <c r="Z376" s="177"/>
      <c r="AA376" s="177"/>
      <c r="AB376" s="177"/>
      <c r="AC376" s="177"/>
    </row>
    <row r="377" spans="2:29">
      <c r="B377" s="158" t="s">
        <v>398</v>
      </c>
      <c r="C377" s="158" t="e">
        <f>Technologies!C662</f>
        <v>#REF!</v>
      </c>
      <c r="D377" s="158" t="e">
        <f>Technologies!D662</f>
        <v>#REF!</v>
      </c>
      <c r="E377" s="197" t="e">
        <f>Commodities!C171</f>
        <v>#REF!</v>
      </c>
      <c r="F377" s="197" t="e">
        <f>Commodities!C224</f>
        <v>#REF!</v>
      </c>
      <c r="G377" s="204">
        <v>1</v>
      </c>
      <c r="H377" s="203" t="e">
        <f>#REF!*#REF!^5/(Conv!$I$5*Conv!$D$46)/10^6 +#REF!</f>
        <v>#REF!</v>
      </c>
      <c r="I377" s="203" t="e">
        <f>#REF!*#REF!^5/(Conv!$I$5*Conv!$D$46)/10^6 +#REF!</f>
        <v>#REF!</v>
      </c>
      <c r="J377" s="203" t="e">
        <f>#REF!*#REF!^5/(Conv!$I$5*Conv!$D$46)/10^6 +#REF!</f>
        <v>#REF!</v>
      </c>
      <c r="K377" s="203" t="e">
        <f>#REF!*#REF!^5/(Conv!$I$5*Conv!$D$46)/10^6 +#REF!</f>
        <v>#REF!</v>
      </c>
      <c r="L377" s="203" t="e">
        <f>#REF!*#REF!^5/(Conv!$I$5*Conv!$D$46)/10^6 +#REF!</f>
        <v>#REF!</v>
      </c>
      <c r="M377" s="203" t="e">
        <f>#REF!*#REF!^5/(Conv!$I$5*Conv!$D$46)/10^6 +#REF!</f>
        <v>#REF!</v>
      </c>
      <c r="N377" s="203" t="e">
        <f>#REF!*#REF!^5/(Conv!$I$5*Conv!$D$46)/10^6 +#REF!</f>
        <v>#REF!</v>
      </c>
      <c r="O377" s="203" t="e">
        <f>#REF!*#REF!^5/(Conv!$I$5*Conv!$D$46)/10^6 +#REF!</f>
        <v>#REF!</v>
      </c>
      <c r="P377" s="203" t="e">
        <f>#REF!*#REF!^5/(Conv!$I$5*Conv!$D$46)/10^6 +#REF!</f>
        <v>#REF!</v>
      </c>
      <c r="Q377" s="203" t="e">
        <f>#REF!*#REF!^5/(Conv!$I$5*Conv!$D$46)/10^6 +#REF!</f>
        <v>#REF!</v>
      </c>
      <c r="S377" s="177"/>
      <c r="T377" s="177"/>
      <c r="U377" s="177"/>
      <c r="V377" s="177"/>
      <c r="W377" s="177"/>
      <c r="X377" s="177"/>
      <c r="Y377" s="177"/>
      <c r="Z377" s="177"/>
      <c r="AA377" s="177"/>
      <c r="AB377" s="177"/>
      <c r="AC377" s="177"/>
    </row>
    <row r="378" spans="2:29">
      <c r="B378" s="158" t="s">
        <v>398</v>
      </c>
      <c r="C378" s="158" t="e">
        <f>Technologies!C663</f>
        <v>#REF!</v>
      </c>
      <c r="D378" s="158" t="e">
        <f>Technologies!D663</f>
        <v>#REF!</v>
      </c>
      <c r="E378" s="197" t="e">
        <f>E377</f>
        <v>#REF!</v>
      </c>
      <c r="F378" s="197" t="e">
        <f>Commodities!C225</f>
        <v>#REF!</v>
      </c>
      <c r="G378" s="204">
        <v>1</v>
      </c>
      <c r="H378" s="203" t="e">
        <f>#REF!*#REF!^5/(Conv!$I$5*Conv!$D$46)/10^6 +#REF!</f>
        <v>#REF!</v>
      </c>
      <c r="I378" s="203" t="e">
        <f>#REF!*#REF!^5/(Conv!$I$5*Conv!$D$46)/10^6 +#REF!</f>
        <v>#REF!</v>
      </c>
      <c r="J378" s="203" t="e">
        <f>#REF!*#REF!^5/(Conv!$I$5*Conv!$D$46)/10^6 +#REF!</f>
        <v>#REF!</v>
      </c>
      <c r="K378" s="203" t="e">
        <f>#REF!*#REF!^5/(Conv!$I$5*Conv!$D$46)/10^6 +#REF!</f>
        <v>#REF!</v>
      </c>
      <c r="L378" s="203" t="e">
        <f>#REF!*#REF!^5/(Conv!$I$5*Conv!$D$46)/10^6 +#REF!</f>
        <v>#REF!</v>
      </c>
      <c r="M378" s="203" t="e">
        <f>#REF!*#REF!^5/(Conv!$I$5*Conv!$D$46)/10^6 +#REF!</f>
        <v>#REF!</v>
      </c>
      <c r="N378" s="203" t="e">
        <f>#REF!*#REF!^5/(Conv!$I$5*Conv!$D$46)/10^6 +#REF!</f>
        <v>#REF!</v>
      </c>
      <c r="O378" s="203" t="e">
        <f>#REF!*#REF!^5/(Conv!$I$5*Conv!$D$46)/10^6 +#REF!</f>
        <v>#REF!</v>
      </c>
      <c r="P378" s="203" t="e">
        <f>#REF!*#REF!^5/(Conv!$I$5*Conv!$D$46)/10^6 +#REF!</f>
        <v>#REF!</v>
      </c>
      <c r="Q378" s="203" t="e">
        <f>#REF!*#REF!^5/(Conv!$I$5*Conv!$D$46)/10^6 +#REF!</f>
        <v>#REF!</v>
      </c>
      <c r="S378" s="177"/>
      <c r="T378" s="177"/>
      <c r="U378" s="177"/>
      <c r="V378" s="177"/>
      <c r="W378" s="177"/>
      <c r="X378" s="177"/>
      <c r="Y378" s="177"/>
      <c r="Z378" s="177"/>
      <c r="AA378" s="177"/>
      <c r="AB378" s="177"/>
      <c r="AC378" s="177"/>
    </row>
    <row r="379" spans="2:29">
      <c r="B379" s="158" t="s">
        <v>398</v>
      </c>
      <c r="C379" s="158" t="e">
        <f>Technologies!C664</f>
        <v>#REF!</v>
      </c>
      <c r="D379" s="158" t="e">
        <f>Technologies!D664</f>
        <v>#REF!</v>
      </c>
      <c r="E379" s="197" t="e">
        <f>E378</f>
        <v>#REF!</v>
      </c>
      <c r="F379" s="197" t="e">
        <f>Commodities!C226</f>
        <v>#REF!</v>
      </c>
      <c r="G379" s="204">
        <v>1</v>
      </c>
      <c r="H379" s="203" t="e">
        <f>#REF!*#REF!^5/(Conv!$I$5*Conv!$D$46)/10^6 +#REF!</f>
        <v>#REF!</v>
      </c>
      <c r="I379" s="203" t="e">
        <f>#REF!*#REF!^5/(Conv!$I$5*Conv!$D$46)/10^6 +#REF!</f>
        <v>#REF!</v>
      </c>
      <c r="J379" s="203" t="e">
        <f>#REF!*#REF!^5/(Conv!$I$5*Conv!$D$46)/10^6 +#REF!</f>
        <v>#REF!</v>
      </c>
      <c r="K379" s="203" t="e">
        <f>#REF!*#REF!^5/(Conv!$I$5*Conv!$D$46)/10^6 +#REF!</f>
        <v>#REF!</v>
      </c>
      <c r="L379" s="203" t="e">
        <f>#REF!*#REF!^5/(Conv!$I$5*Conv!$D$46)/10^6 +#REF!</f>
        <v>#REF!</v>
      </c>
      <c r="M379" s="203" t="e">
        <f>#REF!*#REF!^5/(Conv!$I$5*Conv!$D$46)/10^6 +#REF!</f>
        <v>#REF!</v>
      </c>
      <c r="N379" s="203" t="e">
        <f>#REF!*#REF!^5/(Conv!$I$5*Conv!$D$46)/10^6 +#REF!</f>
        <v>#REF!</v>
      </c>
      <c r="O379" s="203" t="e">
        <f>#REF!*#REF!^5/(Conv!$I$5*Conv!$D$46)/10^6 +#REF!</f>
        <v>#REF!</v>
      </c>
      <c r="P379" s="203" t="e">
        <f>#REF!*#REF!^5/(Conv!$I$5*Conv!$D$46)/10^6 +#REF!</f>
        <v>#REF!</v>
      </c>
      <c r="Q379" s="203" t="e">
        <f>#REF!*#REF!^5/(Conv!$I$5*Conv!$D$46)/10^6 +#REF!</f>
        <v>#REF!</v>
      </c>
      <c r="S379" s="177"/>
      <c r="T379" s="177"/>
      <c r="U379" s="177"/>
      <c r="V379" s="177"/>
      <c r="W379" s="177"/>
      <c r="X379" s="177"/>
      <c r="Y379" s="177"/>
      <c r="Z379" s="177"/>
      <c r="AA379" s="177"/>
      <c r="AB379" s="177"/>
      <c r="AC379" s="177"/>
    </row>
    <row r="380" spans="2:29">
      <c r="B380" s="158" t="s">
        <v>398</v>
      </c>
      <c r="C380" s="158" t="e">
        <f>Technologies!C665</f>
        <v>#REF!</v>
      </c>
      <c r="D380" s="158" t="e">
        <f>Technologies!D665</f>
        <v>#REF!</v>
      </c>
      <c r="E380" s="197" t="e">
        <f>E379</f>
        <v>#REF!</v>
      </c>
      <c r="F380" s="197" t="e">
        <f>Commodities!C227</f>
        <v>#REF!</v>
      </c>
      <c r="G380" s="204">
        <v>1</v>
      </c>
      <c r="H380" s="203" t="e">
        <f>#REF!*#REF!^5/(Conv!$I$5*Conv!$D$46)/10^6 +#REF!</f>
        <v>#REF!</v>
      </c>
      <c r="I380" s="203" t="e">
        <f>#REF!*#REF!^5/(Conv!$I$5*Conv!$D$46)/10^6 +#REF!</f>
        <v>#REF!</v>
      </c>
      <c r="J380" s="203" t="e">
        <f>#REF!*#REF!^5/(Conv!$I$5*Conv!$D$46)/10^6 +#REF!</f>
        <v>#REF!</v>
      </c>
      <c r="K380" s="203" t="e">
        <f>#REF!*#REF!^5/(Conv!$I$5*Conv!$D$46)/10^6 +#REF!</f>
        <v>#REF!</v>
      </c>
      <c r="L380" s="203" t="e">
        <f>#REF!*#REF!^5/(Conv!$I$5*Conv!$D$46)/10^6 +#REF!</f>
        <v>#REF!</v>
      </c>
      <c r="M380" s="203" t="e">
        <f>#REF!*#REF!^5/(Conv!$I$5*Conv!$D$46)/10^6 +#REF!</f>
        <v>#REF!</v>
      </c>
      <c r="N380" s="203" t="e">
        <f>#REF!*#REF!^5/(Conv!$I$5*Conv!$D$46)/10^6 +#REF!</f>
        <v>#REF!</v>
      </c>
      <c r="O380" s="203" t="e">
        <f>#REF!*#REF!^5/(Conv!$I$5*Conv!$D$46)/10^6 +#REF!</f>
        <v>#REF!</v>
      </c>
      <c r="P380" s="203" t="e">
        <f>#REF!*#REF!^5/(Conv!$I$5*Conv!$D$46)/10^6 +#REF!</f>
        <v>#REF!</v>
      </c>
      <c r="Q380" s="203" t="e">
        <f>#REF!*#REF!^5/(Conv!$I$5*Conv!$D$46)/10^6 +#REF!</f>
        <v>#REF!</v>
      </c>
      <c r="S380" s="177"/>
      <c r="T380" s="177"/>
      <c r="U380" s="177"/>
      <c r="V380" s="177"/>
      <c r="W380" s="177"/>
      <c r="X380" s="177"/>
      <c r="Y380" s="177"/>
      <c r="Z380" s="177"/>
      <c r="AA380" s="177"/>
      <c r="AB380" s="177"/>
      <c r="AC380" s="177"/>
    </row>
    <row r="381" spans="2:29">
      <c r="B381" s="158" t="s">
        <v>398</v>
      </c>
      <c r="C381" s="158" t="e">
        <f>Technologies!C666</f>
        <v>#REF!</v>
      </c>
      <c r="D381" s="158" t="e">
        <f>Technologies!D666</f>
        <v>#REF!</v>
      </c>
      <c r="E381" s="197" t="e">
        <f>Commodities!C172</f>
        <v>#REF!</v>
      </c>
      <c r="F381" s="197" t="e">
        <f>Commodities!C228</f>
        <v>#REF!</v>
      </c>
      <c r="G381" s="204">
        <v>1</v>
      </c>
      <c r="H381" s="203" t="e">
        <f>#REF!*#REF!^5/(Conv!$I$5*Conv!$D$46)/10^6 +#REF!</f>
        <v>#REF!</v>
      </c>
      <c r="I381" s="203" t="e">
        <f>#REF!*#REF!^5/(Conv!$I$5*Conv!$D$46)/10^6 +#REF!</f>
        <v>#REF!</v>
      </c>
      <c r="J381" s="203" t="e">
        <f>#REF!*#REF!^5/(Conv!$I$5*Conv!$D$46)/10^6 +#REF!</f>
        <v>#REF!</v>
      </c>
      <c r="K381" s="203" t="e">
        <f>#REF!*#REF!^5/(Conv!$I$5*Conv!$D$46)/10^6 +#REF!</f>
        <v>#REF!</v>
      </c>
      <c r="L381" s="203" t="e">
        <f>#REF!*#REF!^5/(Conv!$I$5*Conv!$D$46)/10^6 +#REF!</f>
        <v>#REF!</v>
      </c>
      <c r="M381" s="203" t="e">
        <f>#REF!*#REF!^5/(Conv!$I$5*Conv!$D$46)/10^6 +#REF!</f>
        <v>#REF!</v>
      </c>
      <c r="N381" s="203" t="e">
        <f>#REF!*#REF!^5/(Conv!$I$5*Conv!$D$46)/10^6 +#REF!</f>
        <v>#REF!</v>
      </c>
      <c r="O381" s="203" t="e">
        <f>#REF!*#REF!^5/(Conv!$I$5*Conv!$D$46)/10^6 +#REF!</f>
        <v>#REF!</v>
      </c>
      <c r="P381" s="203" t="e">
        <f>#REF!*#REF!^5/(Conv!$I$5*Conv!$D$46)/10^6 +#REF!</f>
        <v>#REF!</v>
      </c>
      <c r="Q381" s="203" t="e">
        <f>#REF!*#REF!^5/(Conv!$I$5*Conv!$D$46)/10^6 +#REF!</f>
        <v>#REF!</v>
      </c>
      <c r="S381" s="177"/>
      <c r="T381" s="177"/>
      <c r="U381" s="177"/>
      <c r="V381" s="177"/>
      <c r="W381" s="177"/>
      <c r="X381" s="177"/>
      <c r="Y381" s="177"/>
      <c r="Z381" s="177"/>
      <c r="AA381" s="177"/>
      <c r="AB381" s="177"/>
      <c r="AC381" s="177"/>
    </row>
    <row r="382" spans="2:29">
      <c r="B382" s="158" t="s">
        <v>398</v>
      </c>
      <c r="C382" s="158" t="e">
        <f>Technologies!C667</f>
        <v>#REF!</v>
      </c>
      <c r="D382" s="158" t="e">
        <f>Technologies!D667</f>
        <v>#REF!</v>
      </c>
      <c r="E382" s="197" t="e">
        <f>Commodities!C173</f>
        <v>#REF!</v>
      </c>
      <c r="F382" s="197" t="e">
        <f>Commodities!C229</f>
        <v>#REF!</v>
      </c>
      <c r="G382" s="204">
        <v>1</v>
      </c>
      <c r="H382" s="203" t="e">
        <f>#REF!*#REF!^5/(Conv!$I$5*Conv!$D$46)/10^6 +#REF!</f>
        <v>#REF!</v>
      </c>
      <c r="I382" s="203" t="e">
        <f>#REF!*#REF!^5/(Conv!$I$5*Conv!$D$46)/10^6 +#REF!</f>
        <v>#REF!</v>
      </c>
      <c r="J382" s="203" t="e">
        <f>#REF!*#REF!^5/(Conv!$I$5*Conv!$D$46)/10^6 +#REF!</f>
        <v>#REF!</v>
      </c>
      <c r="K382" s="203" t="e">
        <f>#REF!*#REF!^5/(Conv!$I$5*Conv!$D$46)/10^6 +#REF!</f>
        <v>#REF!</v>
      </c>
      <c r="L382" s="203" t="e">
        <f>#REF!*#REF!^5/(Conv!$I$5*Conv!$D$46)/10^6 +#REF!</f>
        <v>#REF!</v>
      </c>
      <c r="M382" s="203" t="e">
        <f>#REF!*#REF!^5/(Conv!$I$5*Conv!$D$46)/10^6 +#REF!</f>
        <v>#REF!</v>
      </c>
      <c r="N382" s="203" t="e">
        <f>#REF!*#REF!^5/(Conv!$I$5*Conv!$D$46)/10^6 +#REF!</f>
        <v>#REF!</v>
      </c>
      <c r="O382" s="203" t="e">
        <f>#REF!*#REF!^5/(Conv!$I$5*Conv!$D$46)/10^6 +#REF!</f>
        <v>#REF!</v>
      </c>
      <c r="P382" s="203" t="e">
        <f>#REF!*#REF!^5/(Conv!$I$5*Conv!$D$46)/10^6 +#REF!</f>
        <v>#REF!</v>
      </c>
      <c r="Q382" s="203" t="e">
        <f>#REF!*#REF!^5/(Conv!$I$5*Conv!$D$46)/10^6 +#REF!</f>
        <v>#REF!</v>
      </c>
      <c r="S382" s="177"/>
      <c r="T382" s="177"/>
      <c r="U382" s="177"/>
      <c r="V382" s="177"/>
      <c r="W382" s="177"/>
      <c r="X382" s="177"/>
      <c r="Y382" s="177"/>
      <c r="Z382" s="177"/>
      <c r="AA382" s="177"/>
      <c r="AB382" s="177"/>
      <c r="AC382" s="177"/>
    </row>
    <row r="383" spans="2:29">
      <c r="B383" s="158" t="s">
        <v>398</v>
      </c>
      <c r="C383" s="158" t="e">
        <f>Technologies!C668</f>
        <v>#REF!</v>
      </c>
      <c r="D383" s="158" t="e">
        <f>Technologies!D668</f>
        <v>#REF!</v>
      </c>
      <c r="E383" s="197" t="e">
        <f>Commodities!C174</f>
        <v>#REF!</v>
      </c>
      <c r="F383" s="197" t="e">
        <f>Commodities!C230</f>
        <v>#REF!</v>
      </c>
      <c r="G383" s="204">
        <v>1</v>
      </c>
      <c r="H383" s="203" t="e">
        <f>#REF!*#REF!^5/(Conv!$I$5*Conv!$D$46)/10^6 +#REF!</f>
        <v>#REF!</v>
      </c>
      <c r="I383" s="203" t="e">
        <f>#REF!*#REF!^5/(Conv!$I$5*Conv!$D$46)/10^6 +#REF!</f>
        <v>#REF!</v>
      </c>
      <c r="J383" s="203" t="e">
        <f>#REF!*#REF!^5/(Conv!$I$5*Conv!$D$46)/10^6 +#REF!</f>
        <v>#REF!</v>
      </c>
      <c r="K383" s="203" t="e">
        <f>#REF!*#REF!^5/(Conv!$I$5*Conv!$D$46)/10^6 +#REF!</f>
        <v>#REF!</v>
      </c>
      <c r="L383" s="203" t="e">
        <f>#REF!*#REF!^5/(Conv!$I$5*Conv!$D$46)/10^6 +#REF!</f>
        <v>#REF!</v>
      </c>
      <c r="M383" s="203" t="e">
        <f>#REF!*#REF!^5/(Conv!$I$5*Conv!$D$46)/10^6 +#REF!</f>
        <v>#REF!</v>
      </c>
      <c r="N383" s="203" t="e">
        <f>#REF!*#REF!^5/(Conv!$I$5*Conv!$D$46)/10^6 +#REF!</f>
        <v>#REF!</v>
      </c>
      <c r="O383" s="203" t="e">
        <f>#REF!*#REF!^5/(Conv!$I$5*Conv!$D$46)/10^6 +#REF!</f>
        <v>#REF!</v>
      </c>
      <c r="P383" s="203" t="e">
        <f>#REF!*#REF!^5/(Conv!$I$5*Conv!$D$46)/10^6 +#REF!</f>
        <v>#REF!</v>
      </c>
      <c r="Q383" s="203" t="e">
        <f>#REF!*#REF!^5/(Conv!$I$5*Conv!$D$46)/10^6 +#REF!</f>
        <v>#REF!</v>
      </c>
      <c r="S383" s="177"/>
      <c r="T383" s="177"/>
      <c r="U383" s="177"/>
      <c r="V383" s="177"/>
      <c r="W383" s="177"/>
      <c r="X383" s="177"/>
      <c r="Y383" s="177"/>
      <c r="Z383" s="177"/>
      <c r="AA383" s="177"/>
      <c r="AB383" s="177"/>
      <c r="AC383" s="177"/>
    </row>
    <row r="384" spans="2:29">
      <c r="B384" s="158" t="s">
        <v>398</v>
      </c>
      <c r="C384" s="158" t="e">
        <f>Technologies!C669</f>
        <v>#REF!</v>
      </c>
      <c r="D384" s="158" t="e">
        <f>Technologies!D669</f>
        <v>#REF!</v>
      </c>
      <c r="E384" s="197" t="e">
        <f>Commodities!C175</f>
        <v>#REF!</v>
      </c>
      <c r="F384" s="197" t="e">
        <f>Commodities!C231</f>
        <v>#REF!</v>
      </c>
      <c r="G384" s="204">
        <v>1</v>
      </c>
      <c r="H384" s="203" t="e">
        <f>#REF!*#REF!^5/(Conv!$I$5*Conv!$D$46)/10^6 +#REF!</f>
        <v>#REF!</v>
      </c>
      <c r="I384" s="203" t="e">
        <f>#REF!*#REF!^5/(Conv!$I$5*Conv!$D$46)/10^6 +#REF!</f>
        <v>#REF!</v>
      </c>
      <c r="J384" s="203" t="e">
        <f>#REF!*#REF!^5/(Conv!$I$5*Conv!$D$46)/10^6 +#REF!</f>
        <v>#REF!</v>
      </c>
      <c r="K384" s="203" t="e">
        <f>#REF!*#REF!^5/(Conv!$I$5*Conv!$D$46)/10^6 +#REF!</f>
        <v>#REF!</v>
      </c>
      <c r="L384" s="203" t="e">
        <f>#REF!*#REF!^5/(Conv!$I$5*Conv!$D$46)/10^6 +#REF!</f>
        <v>#REF!</v>
      </c>
      <c r="M384" s="203" t="e">
        <f>#REF!*#REF!^5/(Conv!$I$5*Conv!$D$46)/10^6 +#REF!</f>
        <v>#REF!</v>
      </c>
      <c r="N384" s="203" t="e">
        <f>#REF!*#REF!^5/(Conv!$I$5*Conv!$D$46)/10^6 +#REF!</f>
        <v>#REF!</v>
      </c>
      <c r="O384" s="203" t="e">
        <f>#REF!*#REF!^5/(Conv!$I$5*Conv!$D$46)/10^6 +#REF!</f>
        <v>#REF!</v>
      </c>
      <c r="P384" s="203" t="e">
        <f>#REF!*#REF!^5/(Conv!$I$5*Conv!$D$46)/10^6 +#REF!</f>
        <v>#REF!</v>
      </c>
      <c r="Q384" s="203" t="e">
        <f>#REF!*#REF!^5/(Conv!$I$5*Conv!$D$46)/10^6 +#REF!</f>
        <v>#REF!</v>
      </c>
      <c r="S384" s="177"/>
      <c r="T384" s="177"/>
      <c r="U384" s="177"/>
      <c r="V384" s="177"/>
      <c r="W384" s="177"/>
      <c r="X384" s="177"/>
      <c r="Y384" s="177"/>
      <c r="Z384" s="177"/>
      <c r="AA384" s="177"/>
      <c r="AB384" s="177"/>
      <c r="AC384" s="177"/>
    </row>
    <row r="385" spans="2:29">
      <c r="B385" s="158" t="s">
        <v>398</v>
      </c>
      <c r="C385" s="158" t="e">
        <f>Technologies!C670</f>
        <v>#REF!</v>
      </c>
      <c r="D385" s="158" t="e">
        <f>Technologies!D670</f>
        <v>#REF!</v>
      </c>
      <c r="E385" s="197" t="e">
        <f>E384</f>
        <v>#REF!</v>
      </c>
      <c r="F385" s="197" t="e">
        <f>Commodities!C232</f>
        <v>#REF!</v>
      </c>
      <c r="G385" s="204">
        <v>1</v>
      </c>
      <c r="H385" s="203" t="e">
        <f>#REF!*#REF!^5/(Conv!$I$5*Conv!$D$46)/10^6 +#REF!</f>
        <v>#REF!</v>
      </c>
      <c r="I385" s="203" t="e">
        <f>#REF!*#REF!^5/(Conv!$I$5*Conv!$D$46)/10^6 +#REF!</f>
        <v>#REF!</v>
      </c>
      <c r="J385" s="203" t="e">
        <f>#REF!*#REF!^5/(Conv!$I$5*Conv!$D$46)/10^6 +#REF!</f>
        <v>#REF!</v>
      </c>
      <c r="K385" s="203" t="e">
        <f>#REF!*#REF!^5/(Conv!$I$5*Conv!$D$46)/10^6 +#REF!</f>
        <v>#REF!</v>
      </c>
      <c r="L385" s="203" t="e">
        <f>#REF!*#REF!^5/(Conv!$I$5*Conv!$D$46)/10^6 +#REF!</f>
        <v>#REF!</v>
      </c>
      <c r="M385" s="203" t="e">
        <f>#REF!*#REF!^5/(Conv!$I$5*Conv!$D$46)/10^6 +#REF!</f>
        <v>#REF!</v>
      </c>
      <c r="N385" s="203" t="e">
        <f>#REF!*#REF!^5/(Conv!$I$5*Conv!$D$46)/10^6 +#REF!</f>
        <v>#REF!</v>
      </c>
      <c r="O385" s="203" t="e">
        <f>#REF!*#REF!^5/(Conv!$I$5*Conv!$D$46)/10^6 +#REF!</f>
        <v>#REF!</v>
      </c>
      <c r="P385" s="203" t="e">
        <f>#REF!*#REF!^5/(Conv!$I$5*Conv!$D$46)/10^6 +#REF!</f>
        <v>#REF!</v>
      </c>
      <c r="Q385" s="203" t="e">
        <f>#REF!*#REF!^5/(Conv!$I$5*Conv!$D$46)/10^6 +#REF!</f>
        <v>#REF!</v>
      </c>
      <c r="S385" s="177"/>
      <c r="T385" s="177"/>
      <c r="U385" s="177"/>
      <c r="V385" s="177"/>
      <c r="W385" s="177"/>
      <c r="X385" s="177"/>
      <c r="Y385" s="177"/>
      <c r="Z385" s="177"/>
      <c r="AA385" s="177"/>
      <c r="AB385" s="177"/>
      <c r="AC385" s="177"/>
    </row>
    <row r="386" spans="2:29">
      <c r="B386" s="158" t="s">
        <v>398</v>
      </c>
      <c r="C386" s="158" t="e">
        <f>Technologies!C671</f>
        <v>#REF!</v>
      </c>
      <c r="D386" s="158" t="e">
        <f>Technologies!D671</f>
        <v>#REF!</v>
      </c>
      <c r="E386" s="197" t="e">
        <f>E385</f>
        <v>#REF!</v>
      </c>
      <c r="F386" s="197" t="e">
        <f>Commodities!C233</f>
        <v>#REF!</v>
      </c>
      <c r="G386" s="204">
        <v>1</v>
      </c>
      <c r="H386" s="203" t="e">
        <f>#REF!*#REF!^5/(Conv!$I$5*Conv!$D$46)/10^6 +#REF!</f>
        <v>#REF!</v>
      </c>
      <c r="I386" s="203" t="e">
        <f>#REF!*#REF!^5/(Conv!$I$5*Conv!$D$46)/10^6 +#REF!</f>
        <v>#REF!</v>
      </c>
      <c r="J386" s="203" t="e">
        <f>#REF!*#REF!^5/(Conv!$I$5*Conv!$D$46)/10^6 +#REF!</f>
        <v>#REF!</v>
      </c>
      <c r="K386" s="203" t="e">
        <f>#REF!*#REF!^5/(Conv!$I$5*Conv!$D$46)/10^6 +#REF!</f>
        <v>#REF!</v>
      </c>
      <c r="L386" s="203" t="e">
        <f>#REF!*#REF!^5/(Conv!$I$5*Conv!$D$46)/10^6 +#REF!</f>
        <v>#REF!</v>
      </c>
      <c r="M386" s="203" t="e">
        <f>#REF!*#REF!^5/(Conv!$I$5*Conv!$D$46)/10^6 +#REF!</f>
        <v>#REF!</v>
      </c>
      <c r="N386" s="203" t="e">
        <f>#REF!*#REF!^5/(Conv!$I$5*Conv!$D$46)/10^6 +#REF!</f>
        <v>#REF!</v>
      </c>
      <c r="O386" s="203" t="e">
        <f>#REF!*#REF!^5/(Conv!$I$5*Conv!$D$46)/10^6 +#REF!</f>
        <v>#REF!</v>
      </c>
      <c r="P386" s="203" t="e">
        <f>#REF!*#REF!^5/(Conv!$I$5*Conv!$D$46)/10^6 +#REF!</f>
        <v>#REF!</v>
      </c>
      <c r="Q386" s="203" t="e">
        <f>#REF!*#REF!^5/(Conv!$I$5*Conv!$D$46)/10^6 +#REF!</f>
        <v>#REF!</v>
      </c>
      <c r="S386" s="177"/>
      <c r="T386" s="177"/>
      <c r="U386" s="177"/>
      <c r="V386" s="177"/>
      <c r="W386" s="177"/>
      <c r="X386" s="177"/>
      <c r="Y386" s="177"/>
      <c r="Z386" s="177"/>
      <c r="AA386" s="177"/>
      <c r="AB386" s="177"/>
      <c r="AC386" s="177"/>
    </row>
    <row r="387" spans="2:29">
      <c r="B387" s="158" t="s">
        <v>398</v>
      </c>
      <c r="C387" s="158" t="e">
        <f>Technologies!C672</f>
        <v>#REF!</v>
      </c>
      <c r="D387" s="158" t="e">
        <f>Technologies!D672</f>
        <v>#REF!</v>
      </c>
      <c r="E387" s="197" t="e">
        <f>Commodities!C176</f>
        <v>#REF!</v>
      </c>
      <c r="F387" s="197" t="e">
        <f>Commodities!C234</f>
        <v>#REF!</v>
      </c>
      <c r="G387" s="204">
        <v>1</v>
      </c>
      <c r="H387" s="203" t="e">
        <f>#REF!*#REF!^5/(Conv!$I$5*Conv!$D$46)/10^6 +#REF!</f>
        <v>#REF!</v>
      </c>
      <c r="I387" s="203" t="e">
        <f>#REF!*#REF!^5/(Conv!$I$5*Conv!$D$46)/10^6 +#REF!</f>
        <v>#REF!</v>
      </c>
      <c r="J387" s="203" t="e">
        <f>#REF!*#REF!^5/(Conv!$I$5*Conv!$D$46)/10^6 +#REF!</f>
        <v>#REF!</v>
      </c>
      <c r="K387" s="203" t="e">
        <f>#REF!*#REF!^5/(Conv!$I$5*Conv!$D$46)/10^6 +#REF!</f>
        <v>#REF!</v>
      </c>
      <c r="L387" s="203" t="e">
        <f>#REF!*#REF!^5/(Conv!$I$5*Conv!$D$46)/10^6 +#REF!</f>
        <v>#REF!</v>
      </c>
      <c r="M387" s="203" t="e">
        <f>#REF!*#REF!^5/(Conv!$I$5*Conv!$D$46)/10^6 +#REF!</f>
        <v>#REF!</v>
      </c>
      <c r="N387" s="203" t="e">
        <f>#REF!*#REF!^5/(Conv!$I$5*Conv!$D$46)/10^6 +#REF!</f>
        <v>#REF!</v>
      </c>
      <c r="O387" s="203" t="e">
        <f>#REF!*#REF!^5/(Conv!$I$5*Conv!$D$46)/10^6 +#REF!</f>
        <v>#REF!</v>
      </c>
      <c r="P387" s="203" t="e">
        <f>#REF!*#REF!^5/(Conv!$I$5*Conv!$D$46)/10^6 +#REF!</f>
        <v>#REF!</v>
      </c>
      <c r="Q387" s="203" t="e">
        <f>#REF!*#REF!^5/(Conv!$I$5*Conv!$D$46)/10^6 +#REF!</f>
        <v>#REF!</v>
      </c>
      <c r="S387" s="177"/>
      <c r="T387" s="177"/>
      <c r="U387" s="177"/>
      <c r="V387" s="177"/>
      <c r="W387" s="177"/>
      <c r="X387" s="177"/>
      <c r="Y387" s="177"/>
      <c r="Z387" s="177"/>
      <c r="AA387" s="177"/>
      <c r="AB387" s="177"/>
      <c r="AC387" s="177"/>
    </row>
    <row r="388" spans="2:29">
      <c r="B388" s="158" t="s">
        <v>398</v>
      </c>
      <c r="C388" s="158" t="e">
        <f>Technologies!C673</f>
        <v>#REF!</v>
      </c>
      <c r="D388" s="158" t="e">
        <f>Technologies!D673</f>
        <v>#REF!</v>
      </c>
      <c r="E388" s="197" t="e">
        <f>E387</f>
        <v>#REF!</v>
      </c>
      <c r="F388" s="197" t="e">
        <f>Commodities!C235</f>
        <v>#REF!</v>
      </c>
      <c r="G388" s="204">
        <v>1</v>
      </c>
      <c r="H388" s="203" t="e">
        <f>#REF!*#REF!^5/(Conv!$I$5*Conv!$D$46)/10^6 +#REF!</f>
        <v>#REF!</v>
      </c>
      <c r="I388" s="203" t="e">
        <f>#REF!*#REF!^5/(Conv!$I$5*Conv!$D$46)/10^6 +#REF!</f>
        <v>#REF!</v>
      </c>
      <c r="J388" s="203" t="e">
        <f>#REF!*#REF!^5/(Conv!$I$5*Conv!$D$46)/10^6 +#REF!</f>
        <v>#REF!</v>
      </c>
      <c r="K388" s="203" t="e">
        <f>#REF!*#REF!^5/(Conv!$I$5*Conv!$D$46)/10^6 +#REF!</f>
        <v>#REF!</v>
      </c>
      <c r="L388" s="203" t="e">
        <f>#REF!*#REF!^5/(Conv!$I$5*Conv!$D$46)/10^6 +#REF!</f>
        <v>#REF!</v>
      </c>
      <c r="M388" s="203" t="e">
        <f>#REF!*#REF!^5/(Conv!$I$5*Conv!$D$46)/10^6 +#REF!</f>
        <v>#REF!</v>
      </c>
      <c r="N388" s="203" t="e">
        <f>#REF!*#REF!^5/(Conv!$I$5*Conv!$D$46)/10^6 +#REF!</f>
        <v>#REF!</v>
      </c>
      <c r="O388" s="203" t="e">
        <f>#REF!*#REF!^5/(Conv!$I$5*Conv!$D$46)/10^6 +#REF!</f>
        <v>#REF!</v>
      </c>
      <c r="P388" s="203" t="e">
        <f>#REF!*#REF!^5/(Conv!$I$5*Conv!$D$46)/10^6 +#REF!</f>
        <v>#REF!</v>
      </c>
      <c r="Q388" s="203" t="e">
        <f>#REF!*#REF!^5/(Conv!$I$5*Conv!$D$46)/10^6 +#REF!</f>
        <v>#REF!</v>
      </c>
      <c r="S388" s="177"/>
      <c r="T388" s="177"/>
      <c r="U388" s="177"/>
      <c r="V388" s="177"/>
      <c r="W388" s="177"/>
      <c r="X388" s="177"/>
      <c r="Y388" s="177"/>
      <c r="Z388" s="177"/>
      <c r="AA388" s="177"/>
      <c r="AB388" s="177"/>
      <c r="AC388" s="177"/>
    </row>
    <row r="389" spans="2:29">
      <c r="B389" s="158" t="s">
        <v>398</v>
      </c>
      <c r="C389" s="158" t="e">
        <f>Technologies!C674</f>
        <v>#REF!</v>
      </c>
      <c r="D389" s="158" t="e">
        <f>Technologies!D674</f>
        <v>#REF!</v>
      </c>
      <c r="E389" s="197" t="e">
        <f>E388</f>
        <v>#REF!</v>
      </c>
      <c r="F389" s="197" t="e">
        <f>Commodities!C236</f>
        <v>#REF!</v>
      </c>
      <c r="G389" s="204">
        <v>1</v>
      </c>
      <c r="H389" s="203" t="e">
        <f>#REF!*#REF!^5/(Conv!$I$5*Conv!$D$46)/10^6 +#REF!</f>
        <v>#REF!</v>
      </c>
      <c r="I389" s="203" t="e">
        <f>#REF!*#REF!^5/(Conv!$I$5*Conv!$D$46)/10^6 +#REF!</f>
        <v>#REF!</v>
      </c>
      <c r="J389" s="203" t="e">
        <f>#REF!*#REF!^5/(Conv!$I$5*Conv!$D$46)/10^6 +#REF!</f>
        <v>#REF!</v>
      </c>
      <c r="K389" s="203" t="e">
        <f>#REF!*#REF!^5/(Conv!$I$5*Conv!$D$46)/10^6 +#REF!</f>
        <v>#REF!</v>
      </c>
      <c r="L389" s="203" t="e">
        <f>#REF!*#REF!^5/(Conv!$I$5*Conv!$D$46)/10^6 +#REF!</f>
        <v>#REF!</v>
      </c>
      <c r="M389" s="203" t="e">
        <f>#REF!*#REF!^5/(Conv!$I$5*Conv!$D$46)/10^6 +#REF!</f>
        <v>#REF!</v>
      </c>
      <c r="N389" s="203" t="e">
        <f>#REF!*#REF!^5/(Conv!$I$5*Conv!$D$46)/10^6 +#REF!</f>
        <v>#REF!</v>
      </c>
      <c r="O389" s="203" t="e">
        <f>#REF!*#REF!^5/(Conv!$I$5*Conv!$D$46)/10^6 +#REF!</f>
        <v>#REF!</v>
      </c>
      <c r="P389" s="203" t="e">
        <f>#REF!*#REF!^5/(Conv!$I$5*Conv!$D$46)/10^6 +#REF!</f>
        <v>#REF!</v>
      </c>
      <c r="Q389" s="203" t="e">
        <f>#REF!*#REF!^5/(Conv!$I$5*Conv!$D$46)/10^6 +#REF!</f>
        <v>#REF!</v>
      </c>
      <c r="S389" s="177"/>
      <c r="T389" s="177"/>
      <c r="U389" s="177"/>
      <c r="V389" s="177"/>
      <c r="W389" s="177"/>
      <c r="X389" s="177"/>
      <c r="Y389" s="177"/>
      <c r="Z389" s="177"/>
      <c r="AA389" s="177"/>
      <c r="AB389" s="177"/>
      <c r="AC389" s="177"/>
    </row>
    <row r="390" spans="2:29">
      <c r="B390" s="158" t="s">
        <v>398</v>
      </c>
      <c r="C390" s="158" t="e">
        <f>Technologies!C675</f>
        <v>#REF!</v>
      </c>
      <c r="D390" s="158" t="e">
        <f>Technologies!D675</f>
        <v>#REF!</v>
      </c>
      <c r="E390" s="197" t="e">
        <f>E389</f>
        <v>#REF!</v>
      </c>
      <c r="F390" s="197" t="e">
        <f>Commodities!C237</f>
        <v>#REF!</v>
      </c>
      <c r="G390" s="204">
        <v>1</v>
      </c>
      <c r="H390" s="203" t="e">
        <f>#REF!*#REF!^5/(Conv!$I$5*Conv!$D$46)/10^6 +#REF!</f>
        <v>#REF!</v>
      </c>
      <c r="I390" s="203" t="e">
        <f>#REF!*#REF!^5/(Conv!$I$5*Conv!$D$46)/10^6 +#REF!</f>
        <v>#REF!</v>
      </c>
      <c r="J390" s="203" t="e">
        <f>#REF!*#REF!^5/(Conv!$I$5*Conv!$D$46)/10^6 +#REF!</f>
        <v>#REF!</v>
      </c>
      <c r="K390" s="203" t="e">
        <f>#REF!*#REF!^5/(Conv!$I$5*Conv!$D$46)/10^6 +#REF!</f>
        <v>#REF!</v>
      </c>
      <c r="L390" s="203" t="e">
        <f>#REF!*#REF!^5/(Conv!$I$5*Conv!$D$46)/10^6 +#REF!</f>
        <v>#REF!</v>
      </c>
      <c r="M390" s="203" t="e">
        <f>#REF!*#REF!^5/(Conv!$I$5*Conv!$D$46)/10^6 +#REF!</f>
        <v>#REF!</v>
      </c>
      <c r="N390" s="203" t="e">
        <f>#REF!*#REF!^5/(Conv!$I$5*Conv!$D$46)/10^6 +#REF!</f>
        <v>#REF!</v>
      </c>
      <c r="O390" s="203" t="e">
        <f>#REF!*#REF!^5/(Conv!$I$5*Conv!$D$46)/10^6 +#REF!</f>
        <v>#REF!</v>
      </c>
      <c r="P390" s="203" t="e">
        <f>#REF!*#REF!^5/(Conv!$I$5*Conv!$D$46)/10^6 +#REF!</f>
        <v>#REF!</v>
      </c>
      <c r="Q390" s="203" t="e">
        <f>#REF!*#REF!^5/(Conv!$I$5*Conv!$D$46)/10^6 +#REF!</f>
        <v>#REF!</v>
      </c>
      <c r="S390" s="177"/>
      <c r="T390" s="177"/>
      <c r="U390" s="177"/>
      <c r="V390" s="177"/>
      <c r="W390" s="177"/>
      <c r="X390" s="177"/>
      <c r="Y390" s="177"/>
      <c r="Z390" s="177"/>
      <c r="AA390" s="177"/>
      <c r="AB390" s="177"/>
      <c r="AC390" s="177"/>
    </row>
    <row r="391" spans="2:29">
      <c r="B391" s="158" t="s">
        <v>398</v>
      </c>
      <c r="C391" s="158" t="e">
        <f>Technologies!C676</f>
        <v>#REF!</v>
      </c>
      <c r="D391" s="158" t="e">
        <f>Technologies!D676</f>
        <v>#REF!</v>
      </c>
      <c r="E391" s="197" t="e">
        <f>Commodities!C177</f>
        <v>#REF!</v>
      </c>
      <c r="F391" s="197" t="e">
        <f>Commodities!C238</f>
        <v>#REF!</v>
      </c>
      <c r="G391" s="204">
        <v>1</v>
      </c>
      <c r="H391" s="203" t="e">
        <f>#REF!*#REF!^5/(Conv!$I$5*Conv!$D$46)/10^6 +#REF!</f>
        <v>#REF!</v>
      </c>
      <c r="I391" s="203" t="e">
        <f>#REF!*#REF!^5/(Conv!$I$5*Conv!$D$46)/10^6 +#REF!</f>
        <v>#REF!</v>
      </c>
      <c r="J391" s="203" t="e">
        <f>#REF!*#REF!^5/(Conv!$I$5*Conv!$D$46)/10^6 +#REF!</f>
        <v>#REF!</v>
      </c>
      <c r="K391" s="203" t="e">
        <f>#REF!*#REF!^5/(Conv!$I$5*Conv!$D$46)/10^6 +#REF!</f>
        <v>#REF!</v>
      </c>
      <c r="L391" s="203" t="e">
        <f>#REF!*#REF!^5/(Conv!$I$5*Conv!$D$46)/10^6 +#REF!</f>
        <v>#REF!</v>
      </c>
      <c r="M391" s="203" t="e">
        <f>#REF!*#REF!^5/(Conv!$I$5*Conv!$D$46)/10^6 +#REF!</f>
        <v>#REF!</v>
      </c>
      <c r="N391" s="203" t="e">
        <f>#REF!*#REF!^5/(Conv!$I$5*Conv!$D$46)/10^6 +#REF!</f>
        <v>#REF!</v>
      </c>
      <c r="O391" s="203" t="e">
        <f>#REF!*#REF!^5/(Conv!$I$5*Conv!$D$46)/10^6 +#REF!</f>
        <v>#REF!</v>
      </c>
      <c r="P391" s="203" t="e">
        <f>#REF!*#REF!^5/(Conv!$I$5*Conv!$D$46)/10^6 +#REF!</f>
        <v>#REF!</v>
      </c>
      <c r="Q391" s="203" t="e">
        <f>#REF!*#REF!^5/(Conv!$I$5*Conv!$D$46)/10^6 +#REF!</f>
        <v>#REF!</v>
      </c>
      <c r="S391" s="177"/>
      <c r="T391" s="177"/>
      <c r="U391" s="177"/>
      <c r="V391" s="177"/>
      <c r="W391" s="177"/>
      <c r="X391" s="177"/>
      <c r="Y391" s="177"/>
      <c r="Z391" s="177"/>
      <c r="AA391" s="177"/>
      <c r="AB391" s="177"/>
      <c r="AC391" s="177"/>
    </row>
    <row r="392" spans="2:29">
      <c r="B392" s="158" t="s">
        <v>398</v>
      </c>
      <c r="C392" s="158" t="e">
        <f>Technologies!C677</f>
        <v>#REF!</v>
      </c>
      <c r="D392" s="158" t="e">
        <f>Technologies!D677</f>
        <v>#REF!</v>
      </c>
      <c r="E392" s="197" t="e">
        <f>Commodities!C178</f>
        <v>#REF!</v>
      </c>
      <c r="F392" s="197" t="e">
        <f>Commodities!C239</f>
        <v>#REF!</v>
      </c>
      <c r="G392" s="204">
        <v>1</v>
      </c>
      <c r="H392" s="203" t="e">
        <f>#REF!*#REF!^5/(Conv!$I$5*Conv!$D$46)/10^6 +#REF!</f>
        <v>#REF!</v>
      </c>
      <c r="I392" s="203" t="e">
        <f>#REF!*#REF!^5/(Conv!$I$5*Conv!$D$46)/10^6 +#REF!</f>
        <v>#REF!</v>
      </c>
      <c r="J392" s="203" t="e">
        <f>#REF!*#REF!^5/(Conv!$I$5*Conv!$D$46)/10^6 +#REF!</f>
        <v>#REF!</v>
      </c>
      <c r="K392" s="203" t="e">
        <f>#REF!*#REF!^5/(Conv!$I$5*Conv!$D$46)/10^6 +#REF!</f>
        <v>#REF!</v>
      </c>
      <c r="L392" s="203" t="e">
        <f>#REF!*#REF!^5/(Conv!$I$5*Conv!$D$46)/10^6 +#REF!</f>
        <v>#REF!</v>
      </c>
      <c r="M392" s="203" t="e">
        <f>#REF!*#REF!^5/(Conv!$I$5*Conv!$D$46)/10^6 +#REF!</f>
        <v>#REF!</v>
      </c>
      <c r="N392" s="203" t="e">
        <f>#REF!*#REF!^5/(Conv!$I$5*Conv!$D$46)/10^6 +#REF!</f>
        <v>#REF!</v>
      </c>
      <c r="O392" s="203" t="e">
        <f>#REF!*#REF!^5/(Conv!$I$5*Conv!$D$46)/10^6 +#REF!</f>
        <v>#REF!</v>
      </c>
      <c r="P392" s="203" t="e">
        <f>#REF!*#REF!^5/(Conv!$I$5*Conv!$D$46)/10^6 +#REF!</f>
        <v>#REF!</v>
      </c>
      <c r="Q392" s="203" t="e">
        <f>#REF!*#REF!^5/(Conv!$I$5*Conv!$D$46)/10^6 +#REF!</f>
        <v>#REF!</v>
      </c>
      <c r="S392" s="177"/>
      <c r="T392" s="177"/>
      <c r="U392" s="177"/>
      <c r="V392" s="177"/>
      <c r="W392" s="177"/>
      <c r="X392" s="177"/>
      <c r="Y392" s="177"/>
      <c r="Z392" s="177"/>
      <c r="AA392" s="177"/>
      <c r="AB392" s="177"/>
      <c r="AC392" s="177"/>
    </row>
    <row r="393" spans="2:29">
      <c r="B393" s="158" t="s">
        <v>398</v>
      </c>
      <c r="C393" s="158" t="e">
        <f>Technologies!C678</f>
        <v>#REF!</v>
      </c>
      <c r="D393" s="158" t="e">
        <f>Technologies!D678</f>
        <v>#REF!</v>
      </c>
      <c r="E393" s="197" t="e">
        <f>Commodities!C180</f>
        <v>#REF!</v>
      </c>
      <c r="F393" s="197" t="str">
        <f>Commodities!C240</f>
        <v>RESRFL</v>
      </c>
      <c r="G393" s="204">
        <v>1</v>
      </c>
      <c r="H393" s="203" t="e">
        <f>#REF!*#REF!^5/(Conv!$I$5*Conv!$D$46)/10^6 +#REF!</f>
        <v>#REF!</v>
      </c>
      <c r="I393" s="203" t="e">
        <f>#REF!*#REF!^5/(Conv!$I$5*Conv!$D$46)/10^6 +#REF!</f>
        <v>#REF!</v>
      </c>
      <c r="J393" s="203" t="e">
        <f>#REF!*#REF!^5/(Conv!$I$5*Conv!$D$46)/10^6 +#REF!</f>
        <v>#REF!</v>
      </c>
      <c r="K393" s="203" t="e">
        <f>#REF!*#REF!^5/(Conv!$I$5*Conv!$D$46)/10^6 +#REF!</f>
        <v>#REF!</v>
      </c>
      <c r="L393" s="203" t="e">
        <f>#REF!*#REF!^5/(Conv!$I$5*Conv!$D$46)/10^6 +#REF!</f>
        <v>#REF!</v>
      </c>
      <c r="M393" s="203" t="e">
        <f>#REF!*#REF!^5/(Conv!$I$5*Conv!$D$46)/10^6 +#REF!</f>
        <v>#REF!</v>
      </c>
      <c r="N393" s="203" t="e">
        <f>#REF!*#REF!^5/(Conv!$I$5*Conv!$D$46)/10^6 +#REF!</f>
        <v>#REF!</v>
      </c>
      <c r="O393" s="203" t="e">
        <f>#REF!*#REF!^5/(Conv!$I$5*Conv!$D$46)/10^6 +#REF!</f>
        <v>#REF!</v>
      </c>
      <c r="P393" s="203" t="e">
        <f>#REF!*#REF!^5/(Conv!$I$5*Conv!$D$46)/10^6 +#REF!</f>
        <v>#REF!</v>
      </c>
      <c r="Q393" s="203" t="e">
        <f>#REF!*#REF!^5/(Conv!$I$5*Conv!$D$46)/10^6 +#REF!</f>
        <v>#REF!</v>
      </c>
      <c r="S393" s="177"/>
      <c r="T393" s="177"/>
      <c r="U393" s="177"/>
      <c r="V393" s="177"/>
      <c r="W393" s="177"/>
      <c r="X393" s="177"/>
      <c r="Y393" s="177"/>
      <c r="Z393" s="177"/>
      <c r="AA393" s="177"/>
      <c r="AB393" s="177"/>
      <c r="AC393" s="177"/>
    </row>
    <row r="394" spans="2:29">
      <c r="B394" s="158" t="s">
        <v>398</v>
      </c>
      <c r="C394" s="158" t="e">
        <f>Technologies!C679</f>
        <v>#REF!</v>
      </c>
      <c r="D394" s="158" t="e">
        <f>Technologies!D679</f>
        <v>#REF!</v>
      </c>
      <c r="E394" s="197" t="e">
        <f>Commodities!C180</f>
        <v>#REF!</v>
      </c>
      <c r="F394" s="197" t="e">
        <f>Commodities!C241</f>
        <v>#REF!</v>
      </c>
      <c r="G394" s="204">
        <v>1</v>
      </c>
      <c r="H394" s="203" t="e">
        <f>#REF!*#REF!^5/(Conv!$I$5*Conv!$D$46)/10^6 +#REF!</f>
        <v>#REF!</v>
      </c>
      <c r="I394" s="203" t="e">
        <f>#REF!*#REF!^5/(Conv!$I$5*Conv!$D$46)/10^6 +#REF!</f>
        <v>#REF!</v>
      </c>
      <c r="J394" s="203" t="e">
        <f>#REF!*#REF!^5/(Conv!$I$5*Conv!$D$46)/10^6 +#REF!</f>
        <v>#REF!</v>
      </c>
      <c r="K394" s="203" t="e">
        <f>#REF!*#REF!^5/(Conv!$I$5*Conv!$D$46)/10^6 +#REF!</f>
        <v>#REF!</v>
      </c>
      <c r="L394" s="203" t="e">
        <f>#REF!*#REF!^5/(Conv!$I$5*Conv!$D$46)/10^6 +#REF!</f>
        <v>#REF!</v>
      </c>
      <c r="M394" s="203" t="e">
        <f>#REF!*#REF!^5/(Conv!$I$5*Conv!$D$46)/10^6 +#REF!</f>
        <v>#REF!</v>
      </c>
      <c r="N394" s="203" t="e">
        <f>#REF!*#REF!^5/(Conv!$I$5*Conv!$D$46)/10^6 +#REF!</f>
        <v>#REF!</v>
      </c>
      <c r="O394" s="203" t="e">
        <f>#REF!*#REF!^5/(Conv!$I$5*Conv!$D$46)/10^6 +#REF!</f>
        <v>#REF!</v>
      </c>
      <c r="P394" s="203" t="e">
        <f>#REF!*#REF!^5/(Conv!$I$5*Conv!$D$46)/10^6 +#REF!</f>
        <v>#REF!</v>
      </c>
      <c r="Q394" s="203" t="e">
        <f>#REF!*#REF!^5/(Conv!$I$5*Conv!$D$46)/10^6 +#REF!</f>
        <v>#REF!</v>
      </c>
      <c r="S394" s="177"/>
      <c r="T394" s="177"/>
      <c r="U394" s="177"/>
      <c r="V394" s="177"/>
      <c r="W394" s="177"/>
      <c r="X394" s="177"/>
      <c r="Y394" s="177"/>
      <c r="Z394" s="177"/>
      <c r="AA394" s="177"/>
      <c r="AB394" s="177"/>
      <c r="AC394" s="177"/>
    </row>
    <row r="395" spans="2:29">
      <c r="B395" s="158" t="s">
        <v>398</v>
      </c>
      <c r="C395" s="158" t="e">
        <f>Technologies!C680</f>
        <v>#REF!</v>
      </c>
      <c r="D395" s="158" t="e">
        <f>Technologies!D680</f>
        <v>#REF!</v>
      </c>
      <c r="E395" s="197" t="e">
        <f>E394</f>
        <v>#REF!</v>
      </c>
      <c r="F395" s="197" t="e">
        <f>Commodities!C242</f>
        <v>#REF!</v>
      </c>
      <c r="G395" s="204">
        <v>1</v>
      </c>
      <c r="H395" s="203" t="e">
        <f>#REF!*#REF!^5/(Conv!$I$5*Conv!$D$46)/10^6 +#REF!</f>
        <v>#REF!</v>
      </c>
      <c r="I395" s="203" t="e">
        <f>#REF!*#REF!^5/(Conv!$I$5*Conv!$D$46)/10^6 +#REF!</f>
        <v>#REF!</v>
      </c>
      <c r="J395" s="203" t="e">
        <f>#REF!*#REF!^5/(Conv!$I$5*Conv!$D$46)/10^6 +#REF!</f>
        <v>#REF!</v>
      </c>
      <c r="K395" s="203" t="e">
        <f>#REF!*#REF!^5/(Conv!$I$5*Conv!$D$46)/10^6 +#REF!</f>
        <v>#REF!</v>
      </c>
      <c r="L395" s="203" t="e">
        <f>#REF!*#REF!^5/(Conv!$I$5*Conv!$D$46)/10^6 +#REF!</f>
        <v>#REF!</v>
      </c>
      <c r="M395" s="203" t="e">
        <f>#REF!*#REF!^5/(Conv!$I$5*Conv!$D$46)/10^6 +#REF!</f>
        <v>#REF!</v>
      </c>
      <c r="N395" s="203" t="e">
        <f>#REF!*#REF!^5/(Conv!$I$5*Conv!$D$46)/10^6 +#REF!</f>
        <v>#REF!</v>
      </c>
      <c r="O395" s="203" t="e">
        <f>#REF!*#REF!^5/(Conv!$I$5*Conv!$D$46)/10^6 +#REF!</f>
        <v>#REF!</v>
      </c>
      <c r="P395" s="203" t="e">
        <f>#REF!*#REF!^5/(Conv!$I$5*Conv!$D$46)/10^6 +#REF!</f>
        <v>#REF!</v>
      </c>
      <c r="Q395" s="203" t="e">
        <f>#REF!*#REF!^5/(Conv!$I$5*Conv!$D$46)/10^6 +#REF!</f>
        <v>#REF!</v>
      </c>
      <c r="S395" s="177"/>
      <c r="T395" s="177"/>
      <c r="U395" s="177"/>
      <c r="V395" s="177"/>
      <c r="W395" s="177"/>
      <c r="X395" s="177"/>
      <c r="Y395" s="177"/>
      <c r="Z395" s="177"/>
      <c r="AA395" s="177"/>
      <c r="AB395" s="177"/>
      <c r="AC395" s="177"/>
    </row>
    <row r="396" spans="2:29">
      <c r="B396" s="158" t="s">
        <v>398</v>
      </c>
      <c r="C396" s="158" t="e">
        <f>Technologies!C681</f>
        <v>#REF!</v>
      </c>
      <c r="D396" s="158" t="e">
        <f>Technologies!D681</f>
        <v>#REF!</v>
      </c>
      <c r="E396" s="197" t="e">
        <f>E395</f>
        <v>#REF!</v>
      </c>
      <c r="F396" s="197" t="e">
        <f>Commodities!C243</f>
        <v>#REF!</v>
      </c>
      <c r="G396" s="204">
        <v>1</v>
      </c>
      <c r="H396" s="203" t="e">
        <f>#REF!*#REF!^5/(Conv!$I$5*Conv!$D$46)/10^6 +#REF!</f>
        <v>#REF!</v>
      </c>
      <c r="I396" s="203" t="e">
        <f>#REF!*#REF!^5/(Conv!$I$5*Conv!$D$46)/10^6 +#REF!</f>
        <v>#REF!</v>
      </c>
      <c r="J396" s="203" t="e">
        <f>#REF!*#REF!^5/(Conv!$I$5*Conv!$D$46)/10^6 +#REF!</f>
        <v>#REF!</v>
      </c>
      <c r="K396" s="203" t="e">
        <f>#REF!*#REF!^5/(Conv!$I$5*Conv!$D$46)/10^6 +#REF!</f>
        <v>#REF!</v>
      </c>
      <c r="L396" s="203" t="e">
        <f>#REF!*#REF!^5/(Conv!$I$5*Conv!$D$46)/10^6 +#REF!</f>
        <v>#REF!</v>
      </c>
      <c r="M396" s="203" t="e">
        <f>#REF!*#REF!^5/(Conv!$I$5*Conv!$D$46)/10^6 +#REF!</f>
        <v>#REF!</v>
      </c>
      <c r="N396" s="203" t="e">
        <f>#REF!*#REF!^5/(Conv!$I$5*Conv!$D$46)/10^6 +#REF!</f>
        <v>#REF!</v>
      </c>
      <c r="O396" s="203" t="e">
        <f>#REF!*#REF!^5/(Conv!$I$5*Conv!$D$46)/10^6 +#REF!</f>
        <v>#REF!</v>
      </c>
      <c r="P396" s="203" t="e">
        <f>#REF!*#REF!^5/(Conv!$I$5*Conv!$D$46)/10^6 +#REF!</f>
        <v>#REF!</v>
      </c>
      <c r="Q396" s="203" t="e">
        <f>#REF!*#REF!^5/(Conv!$I$5*Conv!$D$46)/10^6 +#REF!</f>
        <v>#REF!</v>
      </c>
      <c r="S396" s="177"/>
      <c r="T396" s="177"/>
      <c r="U396" s="177"/>
      <c r="V396" s="177"/>
      <c r="W396" s="177"/>
      <c r="X396" s="177"/>
      <c r="Y396" s="177"/>
      <c r="Z396" s="177"/>
      <c r="AA396" s="177"/>
      <c r="AB396" s="177"/>
      <c r="AC396" s="177"/>
    </row>
    <row r="397" spans="2:29">
      <c r="B397" s="158" t="s">
        <v>398</v>
      </c>
      <c r="C397" s="158" t="e">
        <f>Technologies!C682</f>
        <v>#REF!</v>
      </c>
      <c r="D397" s="158" t="e">
        <f>Technologies!D682</f>
        <v>#REF!</v>
      </c>
      <c r="E397" s="197" t="e">
        <f>Commodities!C179</f>
        <v>#REF!</v>
      </c>
      <c r="F397" s="197" t="e">
        <f>Commodities!C244</f>
        <v>#REF!</v>
      </c>
      <c r="G397" s="204">
        <v>1</v>
      </c>
      <c r="H397" s="203" t="e">
        <f>#REF!*#REF!^5/(Conv!$I$5*Conv!$D$46)/10^6 +#REF!</f>
        <v>#REF!</v>
      </c>
      <c r="I397" s="203" t="e">
        <f>#REF!*#REF!^5/(Conv!$I$5*Conv!$D$46)/10^6 +#REF!</f>
        <v>#REF!</v>
      </c>
      <c r="J397" s="203" t="e">
        <f>#REF!*#REF!^5/(Conv!$I$5*Conv!$D$46)/10^6 +#REF!</f>
        <v>#REF!</v>
      </c>
      <c r="K397" s="203" t="e">
        <f>#REF!*#REF!^5/(Conv!$I$5*Conv!$D$46)/10^6 +#REF!</f>
        <v>#REF!</v>
      </c>
      <c r="L397" s="203" t="e">
        <f>#REF!*#REF!^5/(Conv!$I$5*Conv!$D$46)/10^6 +#REF!</f>
        <v>#REF!</v>
      </c>
      <c r="M397" s="203" t="e">
        <f>#REF!*#REF!^5/(Conv!$I$5*Conv!$D$46)/10^6 +#REF!</f>
        <v>#REF!</v>
      </c>
      <c r="N397" s="203" t="e">
        <f>#REF!*#REF!^5/(Conv!$I$5*Conv!$D$46)/10^6 +#REF!</f>
        <v>#REF!</v>
      </c>
      <c r="O397" s="203" t="e">
        <f>#REF!*#REF!^5/(Conv!$I$5*Conv!$D$46)/10^6 +#REF!</f>
        <v>#REF!</v>
      </c>
      <c r="P397" s="203" t="e">
        <f>#REF!*#REF!^5/(Conv!$I$5*Conv!$D$46)/10^6 +#REF!</f>
        <v>#REF!</v>
      </c>
      <c r="Q397" s="203" t="e">
        <f>#REF!*#REF!^5/(Conv!$I$5*Conv!$D$46)/10^6 +#REF!</f>
        <v>#REF!</v>
      </c>
      <c r="S397" s="177"/>
      <c r="T397" s="177"/>
      <c r="U397" s="177"/>
      <c r="V397" s="177"/>
      <c r="W397" s="177"/>
      <c r="X397" s="177"/>
      <c r="Y397" s="177"/>
      <c r="Z397" s="177"/>
      <c r="AA397" s="177"/>
      <c r="AB397" s="177"/>
      <c r="AC397" s="177"/>
    </row>
    <row r="398" spans="2:29">
      <c r="B398" s="158" t="s">
        <v>398</v>
      </c>
      <c r="C398" s="158" t="e">
        <f>Technologies!C683</f>
        <v>#REF!</v>
      </c>
      <c r="D398" s="158" t="e">
        <f>Technologies!D683</f>
        <v>#REF!</v>
      </c>
      <c r="E398" s="197" t="e">
        <f>E397</f>
        <v>#REF!</v>
      </c>
      <c r="F398" s="197" t="e">
        <f>Commodities!C245</f>
        <v>#REF!</v>
      </c>
      <c r="G398" s="204">
        <v>1</v>
      </c>
      <c r="H398" s="203" t="e">
        <f>#REF!*#REF!^5/(Conv!$I$5*Conv!$D$46)/10^6 +#REF!</f>
        <v>#REF!</v>
      </c>
      <c r="I398" s="203" t="e">
        <f>#REF!*#REF!^5/(Conv!$I$5*Conv!$D$46)/10^6 +#REF!</f>
        <v>#REF!</v>
      </c>
      <c r="J398" s="203" t="e">
        <f>#REF!*#REF!^5/(Conv!$I$5*Conv!$D$46)/10^6 +#REF!</f>
        <v>#REF!</v>
      </c>
      <c r="K398" s="203" t="e">
        <f>#REF!*#REF!^5/(Conv!$I$5*Conv!$D$46)/10^6 +#REF!</f>
        <v>#REF!</v>
      </c>
      <c r="L398" s="203" t="e">
        <f>#REF!*#REF!^5/(Conv!$I$5*Conv!$D$46)/10^6 +#REF!</f>
        <v>#REF!</v>
      </c>
      <c r="M398" s="203" t="e">
        <f>#REF!*#REF!^5/(Conv!$I$5*Conv!$D$46)/10^6 +#REF!</f>
        <v>#REF!</v>
      </c>
      <c r="N398" s="203" t="e">
        <f>#REF!*#REF!^5/(Conv!$I$5*Conv!$D$46)/10^6 +#REF!</f>
        <v>#REF!</v>
      </c>
      <c r="O398" s="203" t="e">
        <f>#REF!*#REF!^5/(Conv!$I$5*Conv!$D$46)/10^6 +#REF!</f>
        <v>#REF!</v>
      </c>
      <c r="P398" s="203" t="e">
        <f>#REF!*#REF!^5/(Conv!$I$5*Conv!$D$46)/10^6 +#REF!</f>
        <v>#REF!</v>
      </c>
      <c r="Q398" s="203" t="e">
        <f>#REF!*#REF!^5/(Conv!$I$5*Conv!$D$46)/10^6 +#REF!</f>
        <v>#REF!</v>
      </c>
      <c r="S398" s="177"/>
      <c r="T398" s="177"/>
      <c r="U398" s="177"/>
      <c r="V398" s="177"/>
      <c r="W398" s="177"/>
      <c r="X398" s="177"/>
      <c r="Y398" s="177"/>
      <c r="Z398" s="177"/>
      <c r="AA398" s="177"/>
      <c r="AB398" s="177"/>
      <c r="AC398" s="177"/>
    </row>
    <row r="399" spans="2:29">
      <c r="B399" s="158" t="s">
        <v>398</v>
      </c>
      <c r="C399" s="158" t="e">
        <f>Technologies!C684</f>
        <v>#REF!</v>
      </c>
      <c r="D399" s="158" t="e">
        <f>Technologies!D684</f>
        <v>#REF!</v>
      </c>
      <c r="E399" s="197" t="e">
        <f>Commodities!C181</f>
        <v>#REF!</v>
      </c>
      <c r="F399" s="197" t="e">
        <f>Commodities!C246</f>
        <v>#REF!</v>
      </c>
      <c r="G399" s="204">
        <v>1</v>
      </c>
      <c r="H399" s="203" t="e">
        <f>#REF!*#REF!^5/(Conv!$I$5*Conv!$D$46)/10^6 +#REF!</f>
        <v>#REF!</v>
      </c>
      <c r="I399" s="203" t="e">
        <f>#REF!*#REF!^5/(Conv!$I$5*Conv!$D$46)/10^6 +#REF!</f>
        <v>#REF!</v>
      </c>
      <c r="J399" s="203" t="e">
        <f>#REF!*#REF!^5/(Conv!$I$5*Conv!$D$46)/10^6 +#REF!</f>
        <v>#REF!</v>
      </c>
      <c r="K399" s="203" t="e">
        <f>#REF!*#REF!^5/(Conv!$I$5*Conv!$D$46)/10^6 +#REF!</f>
        <v>#REF!</v>
      </c>
      <c r="L399" s="203" t="e">
        <f>#REF!*#REF!^5/(Conv!$I$5*Conv!$D$46)/10^6 +#REF!</f>
        <v>#REF!</v>
      </c>
      <c r="M399" s="203" t="e">
        <f>#REF!*#REF!^5/(Conv!$I$5*Conv!$D$46)/10^6 +#REF!</f>
        <v>#REF!</v>
      </c>
      <c r="N399" s="203" t="e">
        <f>#REF!*#REF!^5/(Conv!$I$5*Conv!$D$46)/10^6 +#REF!</f>
        <v>#REF!</v>
      </c>
      <c r="O399" s="203" t="e">
        <f>#REF!*#REF!^5/(Conv!$I$5*Conv!$D$46)/10^6 +#REF!</f>
        <v>#REF!</v>
      </c>
      <c r="P399" s="203" t="e">
        <f>#REF!*#REF!^5/(Conv!$I$5*Conv!$D$46)/10^6 +#REF!</f>
        <v>#REF!</v>
      </c>
      <c r="Q399" s="203" t="e">
        <f>#REF!*#REF!^5/(Conv!$I$5*Conv!$D$46)/10^6 +#REF!</f>
        <v>#REF!</v>
      </c>
      <c r="S399" s="177"/>
      <c r="T399" s="177"/>
      <c r="U399" s="177"/>
      <c r="V399" s="177"/>
      <c r="W399" s="177"/>
      <c r="X399" s="177"/>
      <c r="Y399" s="177"/>
      <c r="Z399" s="177"/>
      <c r="AA399" s="177"/>
      <c r="AB399" s="177"/>
      <c r="AC399" s="177"/>
    </row>
    <row r="400" spans="2:29">
      <c r="B400" s="158" t="s">
        <v>398</v>
      </c>
      <c r="C400" s="158"/>
      <c r="D400" s="158"/>
      <c r="E400" s="197"/>
      <c r="F400" s="197"/>
      <c r="G400" s="204"/>
      <c r="H400" s="205"/>
      <c r="I400" s="205"/>
      <c r="J400" s="205"/>
      <c r="K400" s="205"/>
      <c r="L400" s="205"/>
      <c r="M400" s="205"/>
      <c r="N400" s="205"/>
      <c r="O400" s="205"/>
      <c r="P400" s="205"/>
      <c r="Q400" s="205"/>
    </row>
    <row r="401" spans="2:29">
      <c r="B401" s="158" t="s">
        <v>398</v>
      </c>
      <c r="C401" s="158" t="e">
        <f>Technologies!C610</f>
        <v>#REF!</v>
      </c>
      <c r="D401" s="158" t="e">
        <f>Technologies!D610</f>
        <v>#REF!</v>
      </c>
      <c r="E401" s="197" t="e">
        <f>Commodities!C143</f>
        <v>#REF!</v>
      </c>
      <c r="F401" s="197" t="e">
        <f>Commodities!C222</f>
        <v>#REF!</v>
      </c>
      <c r="G401" s="204">
        <v>1</v>
      </c>
      <c r="H401" s="203" t="e">
        <f>#REF!*#REF!^5/(Conv!$I$5*Conv!$D$46)/10^6 +#REF!</f>
        <v>#REF!</v>
      </c>
      <c r="I401" s="203" t="e">
        <f>#REF!*#REF!^5/(Conv!$I$5*Conv!$D$46)/10^6 +#REF!</f>
        <v>#REF!</v>
      </c>
      <c r="J401" s="203" t="e">
        <f>#REF!*#REF!^5/(Conv!$I$5*Conv!$D$46)/10^6 +#REF!</f>
        <v>#REF!</v>
      </c>
      <c r="K401" s="203" t="e">
        <f>#REF!*#REF!^5/(Conv!$I$5*Conv!$D$46)/10^6 +#REF!</f>
        <v>#REF!</v>
      </c>
      <c r="L401" s="203" t="e">
        <f>#REF!*#REF!^5/(Conv!$I$5*Conv!$D$46)/10^6 +#REF!</f>
        <v>#REF!</v>
      </c>
      <c r="M401" s="203" t="e">
        <f>#REF!*#REF!^5/(Conv!$I$5*Conv!$D$46)/10^6 +#REF!</f>
        <v>#REF!</v>
      </c>
      <c r="N401" s="203" t="e">
        <f>#REF!*#REF!^5/(Conv!$I$5*Conv!$D$46)/10^6 +#REF!</f>
        <v>#REF!</v>
      </c>
      <c r="O401" s="203" t="e">
        <f>#REF!*#REF!^5/(Conv!$I$5*Conv!$D$46)/10^6 +#REF!</f>
        <v>#REF!</v>
      </c>
      <c r="P401" s="203" t="e">
        <f>#REF!*#REF!^5/(Conv!$I$5*Conv!$D$46)/10^6 +#REF!</f>
        <v>#REF!</v>
      </c>
      <c r="Q401" s="203" t="e">
        <f>#REF!*#REF!^5/(Conv!$I$5*Conv!$D$46)/10^6 +#REF!</f>
        <v>#REF!</v>
      </c>
      <c r="S401" s="177"/>
      <c r="T401" s="177"/>
      <c r="U401" s="177"/>
      <c r="V401" s="177"/>
      <c r="W401" s="177"/>
      <c r="X401" s="177"/>
      <c r="Y401" s="177"/>
      <c r="Z401" s="177"/>
      <c r="AA401" s="177"/>
      <c r="AB401" s="177"/>
      <c r="AC401" s="177"/>
    </row>
    <row r="402" spans="2:29">
      <c r="B402" s="158" t="s">
        <v>398</v>
      </c>
      <c r="C402" s="158" t="e">
        <f>Technologies!C611</f>
        <v>#REF!</v>
      </c>
      <c r="D402" s="158" t="e">
        <f>Technologies!D611</f>
        <v>#REF!</v>
      </c>
      <c r="E402" s="197" t="e">
        <f>Commodities!C144</f>
        <v>#REF!</v>
      </c>
      <c r="F402" s="197" t="e">
        <f>Commodities!C223</f>
        <v>#REF!</v>
      </c>
      <c r="G402" s="204">
        <v>1</v>
      </c>
      <c r="H402" s="203" t="e">
        <f>#REF!*#REF!^5/(Conv!$I$5*Conv!$D$46)/10^6 +#REF!</f>
        <v>#REF!</v>
      </c>
      <c r="I402" s="203" t="e">
        <f>#REF!*#REF!^5/(Conv!$I$5*Conv!$D$46)/10^6 +#REF!</f>
        <v>#REF!</v>
      </c>
      <c r="J402" s="203" t="e">
        <f>#REF!*#REF!^5/(Conv!$I$5*Conv!$D$46)/10^6 +#REF!</f>
        <v>#REF!</v>
      </c>
      <c r="K402" s="203" t="e">
        <f>#REF!*#REF!^5/(Conv!$I$5*Conv!$D$46)/10^6 +#REF!</f>
        <v>#REF!</v>
      </c>
      <c r="L402" s="203" t="e">
        <f>#REF!*#REF!^5/(Conv!$I$5*Conv!$D$46)/10^6 +#REF!</f>
        <v>#REF!</v>
      </c>
      <c r="M402" s="203" t="e">
        <f>#REF!*#REF!^5/(Conv!$I$5*Conv!$D$46)/10^6 +#REF!</f>
        <v>#REF!</v>
      </c>
      <c r="N402" s="203" t="e">
        <f>#REF!*#REF!^5/(Conv!$I$5*Conv!$D$46)/10^6 +#REF!</f>
        <v>#REF!</v>
      </c>
      <c r="O402" s="203" t="e">
        <f>#REF!*#REF!^5/(Conv!$I$5*Conv!$D$46)/10^6 +#REF!</f>
        <v>#REF!</v>
      </c>
      <c r="P402" s="203" t="e">
        <f>#REF!*#REF!^5/(Conv!$I$5*Conv!$D$46)/10^6 +#REF!</f>
        <v>#REF!</v>
      </c>
      <c r="Q402" s="203" t="e">
        <f>#REF!*#REF!^5/(Conv!$I$5*Conv!$D$46)/10^6 +#REF!</f>
        <v>#REF!</v>
      </c>
      <c r="S402" s="177"/>
      <c r="T402" s="177"/>
      <c r="U402" s="177"/>
      <c r="V402" s="177"/>
      <c r="W402" s="177"/>
      <c r="X402" s="177"/>
      <c r="Y402" s="177"/>
      <c r="Z402" s="177"/>
      <c r="AA402" s="177"/>
      <c r="AB402" s="177"/>
      <c r="AC402" s="177"/>
    </row>
    <row r="403" spans="2:29">
      <c r="B403" s="158" t="s">
        <v>398</v>
      </c>
      <c r="C403" s="158" t="e">
        <f>Technologies!C612</f>
        <v>#REF!</v>
      </c>
      <c r="D403" s="158" t="e">
        <f>Technologies!D612</f>
        <v>#REF!</v>
      </c>
      <c r="E403" s="197" t="e">
        <f>Commodities!C145</f>
        <v>#REF!</v>
      </c>
      <c r="F403" s="197" t="e">
        <f>Commodities!C224</f>
        <v>#REF!</v>
      </c>
      <c r="G403" s="204">
        <v>1</v>
      </c>
      <c r="H403" s="203" t="e">
        <f>#REF!*#REF!^5/(Conv!$I$5*Conv!$D$46)/10^6 +#REF!</f>
        <v>#REF!</v>
      </c>
      <c r="I403" s="203" t="e">
        <f>#REF!*#REF!^5/(Conv!$I$5*Conv!$D$46)/10^6 +#REF!</f>
        <v>#REF!</v>
      </c>
      <c r="J403" s="203" t="e">
        <f>#REF!*#REF!^5/(Conv!$I$5*Conv!$D$46)/10^6 +#REF!</f>
        <v>#REF!</v>
      </c>
      <c r="K403" s="203" t="e">
        <f>#REF!*#REF!^5/(Conv!$I$5*Conv!$D$46)/10^6 +#REF!</f>
        <v>#REF!</v>
      </c>
      <c r="L403" s="203" t="e">
        <f>#REF!*#REF!^5/(Conv!$I$5*Conv!$D$46)/10^6 +#REF!</f>
        <v>#REF!</v>
      </c>
      <c r="M403" s="203" t="e">
        <f>#REF!*#REF!^5/(Conv!$I$5*Conv!$D$46)/10^6 +#REF!</f>
        <v>#REF!</v>
      </c>
      <c r="N403" s="203" t="e">
        <f>#REF!*#REF!^5/(Conv!$I$5*Conv!$D$46)/10^6 +#REF!</f>
        <v>#REF!</v>
      </c>
      <c r="O403" s="203" t="e">
        <f>#REF!*#REF!^5/(Conv!$I$5*Conv!$D$46)/10^6 +#REF!</f>
        <v>#REF!</v>
      </c>
      <c r="P403" s="203" t="e">
        <f>#REF!*#REF!^5/(Conv!$I$5*Conv!$D$46)/10^6 +#REF!</f>
        <v>#REF!</v>
      </c>
      <c r="Q403" s="203" t="e">
        <f>#REF!*#REF!^5/(Conv!$I$5*Conv!$D$46)/10^6 +#REF!</f>
        <v>#REF!</v>
      </c>
      <c r="S403" s="177"/>
      <c r="T403" s="177"/>
      <c r="U403" s="177"/>
      <c r="V403" s="177"/>
      <c r="W403" s="177"/>
      <c r="X403" s="177"/>
      <c r="Y403" s="177"/>
      <c r="Z403" s="177"/>
      <c r="AA403" s="177"/>
      <c r="AB403" s="177"/>
      <c r="AC403" s="177"/>
    </row>
    <row r="404" spans="2:29">
      <c r="B404" s="158" t="s">
        <v>398</v>
      </c>
      <c r="C404" s="158" t="e">
        <f>Technologies!C613</f>
        <v>#REF!</v>
      </c>
      <c r="D404" s="158" t="e">
        <f>Technologies!D613</f>
        <v>#REF!</v>
      </c>
      <c r="E404" s="197" t="e">
        <f>E403</f>
        <v>#REF!</v>
      </c>
      <c r="F404" s="197" t="e">
        <f>Commodities!C225</f>
        <v>#REF!</v>
      </c>
      <c r="G404" s="204">
        <v>1</v>
      </c>
      <c r="H404" s="203" t="e">
        <f>#REF!*#REF!^5/(Conv!$I$5*Conv!$D$46)/10^6 +#REF!</f>
        <v>#REF!</v>
      </c>
      <c r="I404" s="203" t="e">
        <f>#REF!*#REF!^5/(Conv!$I$5*Conv!$D$46)/10^6 +#REF!</f>
        <v>#REF!</v>
      </c>
      <c r="J404" s="203" t="e">
        <f>#REF!*#REF!^5/(Conv!$I$5*Conv!$D$46)/10^6 +#REF!</f>
        <v>#REF!</v>
      </c>
      <c r="K404" s="203" t="e">
        <f>#REF!*#REF!^5/(Conv!$I$5*Conv!$D$46)/10^6 +#REF!</f>
        <v>#REF!</v>
      </c>
      <c r="L404" s="203" t="e">
        <f>#REF!*#REF!^5/(Conv!$I$5*Conv!$D$46)/10^6 +#REF!</f>
        <v>#REF!</v>
      </c>
      <c r="M404" s="203" t="e">
        <f>#REF!*#REF!^5/(Conv!$I$5*Conv!$D$46)/10^6 +#REF!</f>
        <v>#REF!</v>
      </c>
      <c r="N404" s="203" t="e">
        <f>#REF!*#REF!^5/(Conv!$I$5*Conv!$D$46)/10^6 +#REF!</f>
        <v>#REF!</v>
      </c>
      <c r="O404" s="203" t="e">
        <f>#REF!*#REF!^5/(Conv!$I$5*Conv!$D$46)/10^6 +#REF!</f>
        <v>#REF!</v>
      </c>
      <c r="P404" s="203" t="e">
        <f>#REF!*#REF!^5/(Conv!$I$5*Conv!$D$46)/10^6 +#REF!</f>
        <v>#REF!</v>
      </c>
      <c r="Q404" s="203" t="e">
        <f>#REF!*#REF!^5/(Conv!$I$5*Conv!$D$46)/10^6 +#REF!</f>
        <v>#REF!</v>
      </c>
      <c r="S404" s="177"/>
      <c r="T404" s="177"/>
      <c r="U404" s="177"/>
      <c r="V404" s="177"/>
      <c r="W404" s="177"/>
      <c r="X404" s="177"/>
      <c r="Y404" s="177"/>
      <c r="Z404" s="177"/>
      <c r="AA404" s="177"/>
      <c r="AB404" s="177"/>
      <c r="AC404" s="177"/>
    </row>
    <row r="405" spans="2:29">
      <c r="B405" s="158" t="s">
        <v>398</v>
      </c>
      <c r="C405" s="158" t="e">
        <f>Technologies!C614</f>
        <v>#REF!</v>
      </c>
      <c r="D405" s="158" t="e">
        <f>Technologies!D614</f>
        <v>#REF!</v>
      </c>
      <c r="E405" s="197" t="e">
        <f>E404</f>
        <v>#REF!</v>
      </c>
      <c r="F405" s="197" t="e">
        <f>Commodities!C226</f>
        <v>#REF!</v>
      </c>
      <c r="G405" s="204">
        <v>1</v>
      </c>
      <c r="H405" s="203" t="e">
        <f>#REF!*#REF!^5/(Conv!$I$5*Conv!$D$46)/10^6 +#REF!</f>
        <v>#REF!</v>
      </c>
      <c r="I405" s="203" t="e">
        <f>#REF!*#REF!^5/(Conv!$I$5*Conv!$D$46)/10^6 +#REF!</f>
        <v>#REF!</v>
      </c>
      <c r="J405" s="203" t="e">
        <f>#REF!*#REF!^5/(Conv!$I$5*Conv!$D$46)/10^6 +#REF!</f>
        <v>#REF!</v>
      </c>
      <c r="K405" s="203" t="e">
        <f>#REF!*#REF!^5/(Conv!$I$5*Conv!$D$46)/10^6 +#REF!</f>
        <v>#REF!</v>
      </c>
      <c r="L405" s="203" t="e">
        <f>#REF!*#REF!^5/(Conv!$I$5*Conv!$D$46)/10^6 +#REF!</f>
        <v>#REF!</v>
      </c>
      <c r="M405" s="203" t="e">
        <f>#REF!*#REF!^5/(Conv!$I$5*Conv!$D$46)/10^6 +#REF!</f>
        <v>#REF!</v>
      </c>
      <c r="N405" s="203" t="e">
        <f>#REF!*#REF!^5/(Conv!$I$5*Conv!$D$46)/10^6 +#REF!</f>
        <v>#REF!</v>
      </c>
      <c r="O405" s="203" t="e">
        <f>#REF!*#REF!^5/(Conv!$I$5*Conv!$D$46)/10^6 +#REF!</f>
        <v>#REF!</v>
      </c>
      <c r="P405" s="203" t="e">
        <f>#REF!*#REF!^5/(Conv!$I$5*Conv!$D$46)/10^6 +#REF!</f>
        <v>#REF!</v>
      </c>
      <c r="Q405" s="203" t="e">
        <f>#REF!*#REF!^5/(Conv!$I$5*Conv!$D$46)/10^6 +#REF!</f>
        <v>#REF!</v>
      </c>
      <c r="S405" s="177"/>
      <c r="T405" s="177"/>
      <c r="U405" s="177"/>
      <c r="V405" s="177"/>
      <c r="W405" s="177"/>
      <c r="X405" s="177"/>
      <c r="Y405" s="177"/>
      <c r="Z405" s="177"/>
      <c r="AA405" s="177"/>
      <c r="AB405" s="177"/>
      <c r="AC405" s="177"/>
    </row>
    <row r="406" spans="2:29">
      <c r="B406" s="158" t="s">
        <v>398</v>
      </c>
      <c r="C406" s="158" t="e">
        <f>Technologies!C615</f>
        <v>#REF!</v>
      </c>
      <c r="D406" s="158" t="e">
        <f>Technologies!D615</f>
        <v>#REF!</v>
      </c>
      <c r="E406" s="197" t="e">
        <f>E405</f>
        <v>#REF!</v>
      </c>
      <c r="F406" s="197" t="e">
        <f>Commodities!C227</f>
        <v>#REF!</v>
      </c>
      <c r="G406" s="204">
        <v>1</v>
      </c>
      <c r="H406" s="203" t="e">
        <f>#REF!*#REF!^5/(Conv!$I$5*Conv!$D$46)/10^6 +#REF!</f>
        <v>#REF!</v>
      </c>
      <c r="I406" s="203" t="e">
        <f>#REF!*#REF!^5/(Conv!$I$5*Conv!$D$46)/10^6 +#REF!</f>
        <v>#REF!</v>
      </c>
      <c r="J406" s="203" t="e">
        <f>#REF!*#REF!^5/(Conv!$I$5*Conv!$D$46)/10^6 +#REF!</f>
        <v>#REF!</v>
      </c>
      <c r="K406" s="203" t="e">
        <f>#REF!*#REF!^5/(Conv!$I$5*Conv!$D$46)/10^6 +#REF!</f>
        <v>#REF!</v>
      </c>
      <c r="L406" s="203" t="e">
        <f>#REF!*#REF!^5/(Conv!$I$5*Conv!$D$46)/10^6 +#REF!</f>
        <v>#REF!</v>
      </c>
      <c r="M406" s="203" t="e">
        <f>#REF!*#REF!^5/(Conv!$I$5*Conv!$D$46)/10^6 +#REF!</f>
        <v>#REF!</v>
      </c>
      <c r="N406" s="203" t="e">
        <f>#REF!*#REF!^5/(Conv!$I$5*Conv!$D$46)/10^6 +#REF!</f>
        <v>#REF!</v>
      </c>
      <c r="O406" s="203" t="e">
        <f>#REF!*#REF!^5/(Conv!$I$5*Conv!$D$46)/10^6 +#REF!</f>
        <v>#REF!</v>
      </c>
      <c r="P406" s="203" t="e">
        <f>#REF!*#REF!^5/(Conv!$I$5*Conv!$D$46)/10^6 +#REF!</f>
        <v>#REF!</v>
      </c>
      <c r="Q406" s="203" t="e">
        <f>#REF!*#REF!^5/(Conv!$I$5*Conv!$D$46)/10^6 +#REF!</f>
        <v>#REF!</v>
      </c>
      <c r="S406" s="177"/>
      <c r="T406" s="177"/>
      <c r="U406" s="177"/>
      <c r="V406" s="177"/>
      <c r="W406" s="177"/>
      <c r="X406" s="177"/>
      <c r="Y406" s="177"/>
      <c r="Z406" s="177"/>
      <c r="AA406" s="177"/>
      <c r="AB406" s="177"/>
      <c r="AC406" s="177"/>
    </row>
    <row r="407" spans="2:29">
      <c r="B407" s="158" t="s">
        <v>398</v>
      </c>
      <c r="C407" s="158" t="e">
        <f>Technologies!C616</f>
        <v>#REF!</v>
      </c>
      <c r="D407" s="158" t="e">
        <f>Technologies!D616</f>
        <v>#REF!</v>
      </c>
      <c r="E407" s="197" t="e">
        <f>Commodities!C146</f>
        <v>#REF!</v>
      </c>
      <c r="F407" s="197" t="e">
        <f>Commodities!C228</f>
        <v>#REF!</v>
      </c>
      <c r="G407" s="204">
        <v>1</v>
      </c>
      <c r="H407" s="203" t="e">
        <f>#REF!*#REF!^5/(Conv!$I$5*Conv!$D$46)/10^6 +#REF!</f>
        <v>#REF!</v>
      </c>
      <c r="I407" s="203" t="e">
        <f>#REF!*#REF!^5/(Conv!$I$5*Conv!$D$46)/10^6 +#REF!</f>
        <v>#REF!</v>
      </c>
      <c r="J407" s="203" t="e">
        <f>#REF!*#REF!^5/(Conv!$I$5*Conv!$D$46)/10^6 +#REF!</f>
        <v>#REF!</v>
      </c>
      <c r="K407" s="203" t="e">
        <f>#REF!*#REF!^5/(Conv!$I$5*Conv!$D$46)/10^6 +#REF!</f>
        <v>#REF!</v>
      </c>
      <c r="L407" s="203" t="e">
        <f>#REF!*#REF!^5/(Conv!$I$5*Conv!$D$46)/10^6 +#REF!</f>
        <v>#REF!</v>
      </c>
      <c r="M407" s="203" t="e">
        <f>#REF!*#REF!^5/(Conv!$I$5*Conv!$D$46)/10^6 +#REF!</f>
        <v>#REF!</v>
      </c>
      <c r="N407" s="203" t="e">
        <f>#REF!*#REF!^5/(Conv!$I$5*Conv!$D$46)/10^6 +#REF!</f>
        <v>#REF!</v>
      </c>
      <c r="O407" s="203" t="e">
        <f>#REF!*#REF!^5/(Conv!$I$5*Conv!$D$46)/10^6 +#REF!</f>
        <v>#REF!</v>
      </c>
      <c r="P407" s="203" t="e">
        <f>#REF!*#REF!^5/(Conv!$I$5*Conv!$D$46)/10^6 +#REF!</f>
        <v>#REF!</v>
      </c>
      <c r="Q407" s="203" t="e">
        <f>#REF!*#REF!^5/(Conv!$I$5*Conv!$D$46)/10^6 +#REF!</f>
        <v>#REF!</v>
      </c>
      <c r="S407" s="177"/>
      <c r="T407" s="177"/>
      <c r="U407" s="177"/>
      <c r="V407" s="177"/>
      <c r="W407" s="177"/>
      <c r="X407" s="177"/>
      <c r="Y407" s="177"/>
      <c r="Z407" s="177"/>
      <c r="AA407" s="177"/>
      <c r="AB407" s="177"/>
      <c r="AC407" s="177"/>
    </row>
    <row r="408" spans="2:29">
      <c r="B408" s="158" t="s">
        <v>398</v>
      </c>
      <c r="C408" s="158" t="e">
        <f>Technologies!C617</f>
        <v>#REF!</v>
      </c>
      <c r="D408" s="158" t="e">
        <f>Technologies!D617</f>
        <v>#REF!</v>
      </c>
      <c r="E408" s="197" t="e">
        <f>Commodities!C147</f>
        <v>#REF!</v>
      </c>
      <c r="F408" s="197" t="e">
        <f>Commodities!C229</f>
        <v>#REF!</v>
      </c>
      <c r="G408" s="204">
        <v>1</v>
      </c>
      <c r="H408" s="203" t="e">
        <f>#REF!*#REF!^5/(Conv!$I$5*Conv!$D$46)/10^6 +#REF!</f>
        <v>#REF!</v>
      </c>
      <c r="I408" s="203" t="e">
        <f>#REF!*#REF!^5/(Conv!$I$5*Conv!$D$46)/10^6 +#REF!</f>
        <v>#REF!</v>
      </c>
      <c r="J408" s="203" t="e">
        <f>#REF!*#REF!^5/(Conv!$I$5*Conv!$D$46)/10^6 +#REF!</f>
        <v>#REF!</v>
      </c>
      <c r="K408" s="203" t="e">
        <f>#REF!*#REF!^5/(Conv!$I$5*Conv!$D$46)/10^6 +#REF!</f>
        <v>#REF!</v>
      </c>
      <c r="L408" s="203" t="e">
        <f>#REF!*#REF!^5/(Conv!$I$5*Conv!$D$46)/10^6 +#REF!</f>
        <v>#REF!</v>
      </c>
      <c r="M408" s="203" t="e">
        <f>#REF!*#REF!^5/(Conv!$I$5*Conv!$D$46)/10^6 +#REF!</f>
        <v>#REF!</v>
      </c>
      <c r="N408" s="203" t="e">
        <f>#REF!*#REF!^5/(Conv!$I$5*Conv!$D$46)/10^6 +#REF!</f>
        <v>#REF!</v>
      </c>
      <c r="O408" s="203" t="e">
        <f>#REF!*#REF!^5/(Conv!$I$5*Conv!$D$46)/10^6 +#REF!</f>
        <v>#REF!</v>
      </c>
      <c r="P408" s="203" t="e">
        <f>#REF!*#REF!^5/(Conv!$I$5*Conv!$D$46)/10^6 +#REF!</f>
        <v>#REF!</v>
      </c>
      <c r="Q408" s="203" t="e">
        <f>#REF!*#REF!^5/(Conv!$I$5*Conv!$D$46)/10^6 +#REF!</f>
        <v>#REF!</v>
      </c>
      <c r="S408" s="177"/>
      <c r="T408" s="177"/>
      <c r="U408" s="177"/>
      <c r="V408" s="177"/>
      <c r="W408" s="177"/>
      <c r="X408" s="177"/>
      <c r="Y408" s="177"/>
      <c r="Z408" s="177"/>
      <c r="AA408" s="177"/>
      <c r="AB408" s="177"/>
      <c r="AC408" s="177"/>
    </row>
    <row r="409" spans="2:29">
      <c r="B409" s="158" t="s">
        <v>398</v>
      </c>
      <c r="C409" s="158" t="e">
        <f>Technologies!C618</f>
        <v>#REF!</v>
      </c>
      <c r="D409" s="158" t="e">
        <f>Technologies!D618</f>
        <v>#REF!</v>
      </c>
      <c r="E409" s="197" t="e">
        <f>Commodities!C148</f>
        <v>#REF!</v>
      </c>
      <c r="F409" s="197" t="e">
        <f>Commodities!C230</f>
        <v>#REF!</v>
      </c>
      <c r="G409" s="204">
        <v>1</v>
      </c>
      <c r="H409" s="203" t="e">
        <f>#REF!*#REF!^5/(Conv!$I$5*Conv!$D$46)/10^6 +#REF!</f>
        <v>#REF!</v>
      </c>
      <c r="I409" s="203" t="e">
        <f>#REF!*#REF!^5/(Conv!$I$5*Conv!$D$46)/10^6 +#REF!</f>
        <v>#REF!</v>
      </c>
      <c r="J409" s="203" t="e">
        <f>#REF!*#REF!^5/(Conv!$I$5*Conv!$D$46)/10^6 +#REF!</f>
        <v>#REF!</v>
      </c>
      <c r="K409" s="203" t="e">
        <f>#REF!*#REF!^5/(Conv!$I$5*Conv!$D$46)/10^6 +#REF!</f>
        <v>#REF!</v>
      </c>
      <c r="L409" s="203" t="e">
        <f>#REF!*#REF!^5/(Conv!$I$5*Conv!$D$46)/10^6 +#REF!</f>
        <v>#REF!</v>
      </c>
      <c r="M409" s="203" t="e">
        <f>#REF!*#REF!^5/(Conv!$I$5*Conv!$D$46)/10^6 +#REF!</f>
        <v>#REF!</v>
      </c>
      <c r="N409" s="203" t="e">
        <f>#REF!*#REF!^5/(Conv!$I$5*Conv!$D$46)/10^6 +#REF!</f>
        <v>#REF!</v>
      </c>
      <c r="O409" s="203" t="e">
        <f>#REF!*#REF!^5/(Conv!$I$5*Conv!$D$46)/10^6 +#REF!</f>
        <v>#REF!</v>
      </c>
      <c r="P409" s="203" t="e">
        <f>#REF!*#REF!^5/(Conv!$I$5*Conv!$D$46)/10^6 +#REF!</f>
        <v>#REF!</v>
      </c>
      <c r="Q409" s="203" t="e">
        <f>#REF!*#REF!^5/(Conv!$I$5*Conv!$D$46)/10^6 +#REF!</f>
        <v>#REF!</v>
      </c>
      <c r="S409" s="177"/>
      <c r="T409" s="177"/>
      <c r="U409" s="177"/>
      <c r="V409" s="177"/>
      <c r="W409" s="177"/>
      <c r="X409" s="177"/>
      <c r="Y409" s="177"/>
      <c r="Z409" s="177"/>
      <c r="AA409" s="177"/>
      <c r="AB409" s="177"/>
      <c r="AC409" s="177"/>
    </row>
    <row r="410" spans="2:29">
      <c r="B410" s="158" t="s">
        <v>398</v>
      </c>
      <c r="C410" s="158" t="e">
        <f>Technologies!C619</f>
        <v>#REF!</v>
      </c>
      <c r="D410" s="158" t="e">
        <f>Technologies!D619</f>
        <v>#REF!</v>
      </c>
      <c r="E410" s="197" t="e">
        <f>Commodities!C149</f>
        <v>#REF!</v>
      </c>
      <c r="F410" s="197" t="e">
        <f>Commodities!C231</f>
        <v>#REF!</v>
      </c>
      <c r="G410" s="204">
        <v>1</v>
      </c>
      <c r="H410" s="203" t="e">
        <f>#REF!*#REF!^5/(Conv!$I$5*Conv!$D$46)/10^6 +#REF!</f>
        <v>#REF!</v>
      </c>
      <c r="I410" s="203" t="e">
        <f>#REF!*#REF!^5/(Conv!$I$5*Conv!$D$46)/10^6 +#REF!</f>
        <v>#REF!</v>
      </c>
      <c r="J410" s="203" t="e">
        <f>#REF!*#REF!^5/(Conv!$I$5*Conv!$D$46)/10^6 +#REF!</f>
        <v>#REF!</v>
      </c>
      <c r="K410" s="203" t="e">
        <f>#REF!*#REF!^5/(Conv!$I$5*Conv!$D$46)/10^6 +#REF!</f>
        <v>#REF!</v>
      </c>
      <c r="L410" s="203" t="e">
        <f>#REF!*#REF!^5/(Conv!$I$5*Conv!$D$46)/10^6 +#REF!</f>
        <v>#REF!</v>
      </c>
      <c r="M410" s="203" t="e">
        <f>#REF!*#REF!^5/(Conv!$I$5*Conv!$D$46)/10^6 +#REF!</f>
        <v>#REF!</v>
      </c>
      <c r="N410" s="203" t="e">
        <f>#REF!*#REF!^5/(Conv!$I$5*Conv!$D$46)/10^6 +#REF!</f>
        <v>#REF!</v>
      </c>
      <c r="O410" s="203" t="e">
        <f>#REF!*#REF!^5/(Conv!$I$5*Conv!$D$46)/10^6 +#REF!</f>
        <v>#REF!</v>
      </c>
      <c r="P410" s="203" t="e">
        <f>#REF!*#REF!^5/(Conv!$I$5*Conv!$D$46)/10^6 +#REF!</f>
        <v>#REF!</v>
      </c>
      <c r="Q410" s="203" t="e">
        <f>#REF!*#REF!^5/(Conv!$I$5*Conv!$D$46)/10^6 +#REF!</f>
        <v>#REF!</v>
      </c>
      <c r="S410" s="177"/>
      <c r="T410" s="177"/>
      <c r="U410" s="177"/>
      <c r="V410" s="177"/>
      <c r="W410" s="177"/>
      <c r="X410" s="177"/>
      <c r="Y410" s="177"/>
      <c r="Z410" s="177"/>
      <c r="AA410" s="177"/>
      <c r="AB410" s="177"/>
      <c r="AC410" s="177"/>
    </row>
    <row r="411" spans="2:29">
      <c r="B411" s="158" t="s">
        <v>398</v>
      </c>
      <c r="C411" s="158" t="e">
        <f>Technologies!C620</f>
        <v>#REF!</v>
      </c>
      <c r="D411" s="158" t="e">
        <f>Technologies!D620</f>
        <v>#REF!</v>
      </c>
      <c r="E411" s="197" t="e">
        <f>E410</f>
        <v>#REF!</v>
      </c>
      <c r="F411" s="197" t="e">
        <f>Commodities!C232</f>
        <v>#REF!</v>
      </c>
      <c r="G411" s="204">
        <v>1</v>
      </c>
      <c r="H411" s="203" t="e">
        <f>#REF!*#REF!^5/(Conv!$I$5*Conv!$D$46)/10^6 +#REF!</f>
        <v>#REF!</v>
      </c>
      <c r="I411" s="203" t="e">
        <f>#REF!*#REF!^5/(Conv!$I$5*Conv!$D$46)/10^6 +#REF!</f>
        <v>#REF!</v>
      </c>
      <c r="J411" s="203" t="e">
        <f>#REF!*#REF!^5/(Conv!$I$5*Conv!$D$46)/10^6 +#REF!</f>
        <v>#REF!</v>
      </c>
      <c r="K411" s="203" t="e">
        <f>#REF!*#REF!^5/(Conv!$I$5*Conv!$D$46)/10^6 +#REF!</f>
        <v>#REF!</v>
      </c>
      <c r="L411" s="203" t="e">
        <f>#REF!*#REF!^5/(Conv!$I$5*Conv!$D$46)/10^6 +#REF!</f>
        <v>#REF!</v>
      </c>
      <c r="M411" s="203" t="e">
        <f>#REF!*#REF!^5/(Conv!$I$5*Conv!$D$46)/10^6 +#REF!</f>
        <v>#REF!</v>
      </c>
      <c r="N411" s="203" t="e">
        <f>#REF!*#REF!^5/(Conv!$I$5*Conv!$D$46)/10^6 +#REF!</f>
        <v>#REF!</v>
      </c>
      <c r="O411" s="203" t="e">
        <f>#REF!*#REF!^5/(Conv!$I$5*Conv!$D$46)/10^6 +#REF!</f>
        <v>#REF!</v>
      </c>
      <c r="P411" s="203" t="e">
        <f>#REF!*#REF!^5/(Conv!$I$5*Conv!$D$46)/10^6 +#REF!</f>
        <v>#REF!</v>
      </c>
      <c r="Q411" s="203" t="e">
        <f>#REF!*#REF!^5/(Conv!$I$5*Conv!$D$46)/10^6 +#REF!</f>
        <v>#REF!</v>
      </c>
      <c r="S411" s="177"/>
      <c r="T411" s="177"/>
      <c r="U411" s="177"/>
      <c r="V411" s="177"/>
      <c r="W411" s="177"/>
      <c r="X411" s="177"/>
      <c r="Y411" s="177"/>
      <c r="Z411" s="177"/>
      <c r="AA411" s="177"/>
      <c r="AB411" s="177"/>
      <c r="AC411" s="177"/>
    </row>
    <row r="412" spans="2:29">
      <c r="B412" s="158" t="s">
        <v>398</v>
      </c>
      <c r="C412" s="158" t="e">
        <f>Technologies!C621</f>
        <v>#REF!</v>
      </c>
      <c r="D412" s="158" t="e">
        <f>Technologies!D621</f>
        <v>#REF!</v>
      </c>
      <c r="E412" s="197" t="e">
        <f>E411</f>
        <v>#REF!</v>
      </c>
      <c r="F412" s="197" t="e">
        <f>Commodities!C233</f>
        <v>#REF!</v>
      </c>
      <c r="G412" s="204">
        <v>1</v>
      </c>
      <c r="H412" s="203" t="e">
        <f>#REF!*#REF!^5/(Conv!$I$5*Conv!$D$46)/10^6 +#REF!</f>
        <v>#REF!</v>
      </c>
      <c r="I412" s="203" t="e">
        <f>#REF!*#REF!^5/(Conv!$I$5*Conv!$D$46)/10^6 +#REF!</f>
        <v>#REF!</v>
      </c>
      <c r="J412" s="203" t="e">
        <f>#REF!*#REF!^5/(Conv!$I$5*Conv!$D$46)/10^6 +#REF!</f>
        <v>#REF!</v>
      </c>
      <c r="K412" s="203" t="e">
        <f>#REF!*#REF!^5/(Conv!$I$5*Conv!$D$46)/10^6 +#REF!</f>
        <v>#REF!</v>
      </c>
      <c r="L412" s="203" t="e">
        <f>#REF!*#REF!^5/(Conv!$I$5*Conv!$D$46)/10^6 +#REF!</f>
        <v>#REF!</v>
      </c>
      <c r="M412" s="203" t="e">
        <f>#REF!*#REF!^5/(Conv!$I$5*Conv!$D$46)/10^6 +#REF!</f>
        <v>#REF!</v>
      </c>
      <c r="N412" s="203" t="e">
        <f>#REF!*#REF!^5/(Conv!$I$5*Conv!$D$46)/10^6 +#REF!</f>
        <v>#REF!</v>
      </c>
      <c r="O412" s="203" t="e">
        <f>#REF!*#REF!^5/(Conv!$I$5*Conv!$D$46)/10^6 +#REF!</f>
        <v>#REF!</v>
      </c>
      <c r="P412" s="203" t="e">
        <f>#REF!*#REF!^5/(Conv!$I$5*Conv!$D$46)/10^6 +#REF!</f>
        <v>#REF!</v>
      </c>
      <c r="Q412" s="203" t="e">
        <f>#REF!*#REF!^5/(Conv!$I$5*Conv!$D$46)/10^6 +#REF!</f>
        <v>#REF!</v>
      </c>
      <c r="S412" s="177"/>
      <c r="T412" s="177"/>
      <c r="U412" s="177"/>
      <c r="V412" s="177"/>
      <c r="W412" s="177"/>
      <c r="X412" s="177"/>
      <c r="Y412" s="177"/>
      <c r="Z412" s="177"/>
      <c r="AA412" s="177"/>
      <c r="AB412" s="177"/>
      <c r="AC412" s="177"/>
    </row>
    <row r="413" spans="2:29">
      <c r="B413" s="158" t="s">
        <v>398</v>
      </c>
      <c r="C413" s="158" t="e">
        <f>Technologies!C622</f>
        <v>#REF!</v>
      </c>
      <c r="D413" s="158" t="e">
        <f>Technologies!D622</f>
        <v>#REF!</v>
      </c>
      <c r="E413" s="197" t="e">
        <f>Commodities!C150</f>
        <v>#REF!</v>
      </c>
      <c r="F413" s="197" t="e">
        <f>Commodities!C234</f>
        <v>#REF!</v>
      </c>
      <c r="G413" s="204">
        <v>1</v>
      </c>
      <c r="H413" s="203" t="e">
        <f>#REF!*#REF!^5/(Conv!$I$5*Conv!$D$46)/10^6 +#REF!</f>
        <v>#REF!</v>
      </c>
      <c r="I413" s="203" t="e">
        <f>#REF!*#REF!^5/(Conv!$I$5*Conv!$D$46)/10^6 +#REF!</f>
        <v>#REF!</v>
      </c>
      <c r="J413" s="203" t="e">
        <f>#REF!*#REF!^5/(Conv!$I$5*Conv!$D$46)/10^6 +#REF!</f>
        <v>#REF!</v>
      </c>
      <c r="K413" s="203" t="e">
        <f>#REF!*#REF!^5/(Conv!$I$5*Conv!$D$46)/10^6 +#REF!</f>
        <v>#REF!</v>
      </c>
      <c r="L413" s="203" t="e">
        <f>#REF!*#REF!^5/(Conv!$I$5*Conv!$D$46)/10^6 +#REF!</f>
        <v>#REF!</v>
      </c>
      <c r="M413" s="203" t="e">
        <f>#REF!*#REF!^5/(Conv!$I$5*Conv!$D$46)/10^6 +#REF!</f>
        <v>#REF!</v>
      </c>
      <c r="N413" s="203" t="e">
        <f>#REF!*#REF!^5/(Conv!$I$5*Conv!$D$46)/10^6 +#REF!</f>
        <v>#REF!</v>
      </c>
      <c r="O413" s="203" t="e">
        <f>#REF!*#REF!^5/(Conv!$I$5*Conv!$D$46)/10^6 +#REF!</f>
        <v>#REF!</v>
      </c>
      <c r="P413" s="203" t="e">
        <f>#REF!*#REF!^5/(Conv!$I$5*Conv!$D$46)/10^6 +#REF!</f>
        <v>#REF!</v>
      </c>
      <c r="Q413" s="203" t="e">
        <f>#REF!*#REF!^5/(Conv!$I$5*Conv!$D$46)/10^6 +#REF!</f>
        <v>#REF!</v>
      </c>
      <c r="S413" s="177"/>
      <c r="T413" s="177"/>
      <c r="U413" s="177"/>
      <c r="V413" s="177"/>
      <c r="W413" s="177"/>
      <c r="X413" s="177"/>
      <c r="Y413" s="177"/>
      <c r="Z413" s="177"/>
      <c r="AA413" s="177"/>
      <c r="AB413" s="177"/>
      <c r="AC413" s="177"/>
    </row>
    <row r="414" spans="2:29">
      <c r="B414" s="158" t="s">
        <v>398</v>
      </c>
      <c r="C414" s="158" t="e">
        <f>Technologies!C623</f>
        <v>#REF!</v>
      </c>
      <c r="D414" s="158" t="e">
        <f>Technologies!D623</f>
        <v>#REF!</v>
      </c>
      <c r="E414" s="197" t="e">
        <f>E413</f>
        <v>#REF!</v>
      </c>
      <c r="F414" s="197" t="e">
        <f>Commodities!C235</f>
        <v>#REF!</v>
      </c>
      <c r="G414" s="204">
        <v>1</v>
      </c>
      <c r="H414" s="203" t="e">
        <f>#REF!*#REF!^5/(Conv!$I$5*Conv!$D$46)/10^6 +#REF!</f>
        <v>#REF!</v>
      </c>
      <c r="I414" s="203" t="e">
        <f>#REF!*#REF!^5/(Conv!$I$5*Conv!$D$46)/10^6 +#REF!</f>
        <v>#REF!</v>
      </c>
      <c r="J414" s="203" t="e">
        <f>#REF!*#REF!^5/(Conv!$I$5*Conv!$D$46)/10^6 +#REF!</f>
        <v>#REF!</v>
      </c>
      <c r="K414" s="203" t="e">
        <f>#REF!*#REF!^5/(Conv!$I$5*Conv!$D$46)/10^6 +#REF!</f>
        <v>#REF!</v>
      </c>
      <c r="L414" s="203" t="e">
        <f>#REF!*#REF!^5/(Conv!$I$5*Conv!$D$46)/10^6 +#REF!</f>
        <v>#REF!</v>
      </c>
      <c r="M414" s="203" t="e">
        <f>#REF!*#REF!^5/(Conv!$I$5*Conv!$D$46)/10^6 +#REF!</f>
        <v>#REF!</v>
      </c>
      <c r="N414" s="203" t="e">
        <f>#REF!*#REF!^5/(Conv!$I$5*Conv!$D$46)/10^6 +#REF!</f>
        <v>#REF!</v>
      </c>
      <c r="O414" s="203" t="e">
        <f>#REF!*#REF!^5/(Conv!$I$5*Conv!$D$46)/10^6 +#REF!</f>
        <v>#REF!</v>
      </c>
      <c r="P414" s="203" t="e">
        <f>#REF!*#REF!^5/(Conv!$I$5*Conv!$D$46)/10^6 +#REF!</f>
        <v>#REF!</v>
      </c>
      <c r="Q414" s="203" t="e">
        <f>#REF!*#REF!^5/(Conv!$I$5*Conv!$D$46)/10^6 +#REF!</f>
        <v>#REF!</v>
      </c>
      <c r="S414" s="177"/>
      <c r="T414" s="177"/>
      <c r="U414" s="177"/>
      <c r="V414" s="177"/>
      <c r="W414" s="177"/>
      <c r="X414" s="177"/>
      <c r="Y414" s="177"/>
      <c r="Z414" s="177"/>
      <c r="AA414" s="177"/>
      <c r="AB414" s="177"/>
      <c r="AC414" s="177"/>
    </row>
    <row r="415" spans="2:29">
      <c r="B415" s="158" t="s">
        <v>398</v>
      </c>
      <c r="C415" s="158" t="e">
        <f>Technologies!C624</f>
        <v>#REF!</v>
      </c>
      <c r="D415" s="158" t="e">
        <f>Technologies!D624</f>
        <v>#REF!</v>
      </c>
      <c r="E415" s="197" t="e">
        <f>E414</f>
        <v>#REF!</v>
      </c>
      <c r="F415" s="197" t="e">
        <f>Commodities!C236</f>
        <v>#REF!</v>
      </c>
      <c r="G415" s="204">
        <v>1</v>
      </c>
      <c r="H415" s="203" t="e">
        <f>#REF!*#REF!^5/(Conv!$I$5*Conv!$D$46)/10^6 +#REF!</f>
        <v>#REF!</v>
      </c>
      <c r="I415" s="203" t="e">
        <f>#REF!*#REF!^5/(Conv!$I$5*Conv!$D$46)/10^6 +#REF!</f>
        <v>#REF!</v>
      </c>
      <c r="J415" s="203" t="e">
        <f>#REF!*#REF!^5/(Conv!$I$5*Conv!$D$46)/10^6 +#REF!</f>
        <v>#REF!</v>
      </c>
      <c r="K415" s="203" t="e">
        <f>#REF!*#REF!^5/(Conv!$I$5*Conv!$D$46)/10^6 +#REF!</f>
        <v>#REF!</v>
      </c>
      <c r="L415" s="203" t="e">
        <f>#REF!*#REF!^5/(Conv!$I$5*Conv!$D$46)/10^6 +#REF!</f>
        <v>#REF!</v>
      </c>
      <c r="M415" s="203" t="e">
        <f>#REF!*#REF!^5/(Conv!$I$5*Conv!$D$46)/10^6 +#REF!</f>
        <v>#REF!</v>
      </c>
      <c r="N415" s="203" t="e">
        <f>#REF!*#REF!^5/(Conv!$I$5*Conv!$D$46)/10^6 +#REF!</f>
        <v>#REF!</v>
      </c>
      <c r="O415" s="203" t="e">
        <f>#REF!*#REF!^5/(Conv!$I$5*Conv!$D$46)/10^6 +#REF!</f>
        <v>#REF!</v>
      </c>
      <c r="P415" s="203" t="e">
        <f>#REF!*#REF!^5/(Conv!$I$5*Conv!$D$46)/10^6 +#REF!</f>
        <v>#REF!</v>
      </c>
      <c r="Q415" s="203" t="e">
        <f>#REF!*#REF!^5/(Conv!$I$5*Conv!$D$46)/10^6 +#REF!</f>
        <v>#REF!</v>
      </c>
      <c r="S415" s="177"/>
      <c r="T415" s="177"/>
      <c r="U415" s="177"/>
      <c r="V415" s="177"/>
      <c r="W415" s="177"/>
      <c r="X415" s="177"/>
      <c r="Y415" s="177"/>
      <c r="Z415" s="177"/>
      <c r="AA415" s="177"/>
      <c r="AB415" s="177"/>
      <c r="AC415" s="177"/>
    </row>
    <row r="416" spans="2:29">
      <c r="B416" s="158" t="s">
        <v>398</v>
      </c>
      <c r="C416" s="158" t="e">
        <f>Technologies!C625</f>
        <v>#REF!</v>
      </c>
      <c r="D416" s="158" t="e">
        <f>Technologies!D625</f>
        <v>#REF!</v>
      </c>
      <c r="E416" s="197" t="e">
        <f>E415</f>
        <v>#REF!</v>
      </c>
      <c r="F416" s="197" t="e">
        <f>Commodities!C237</f>
        <v>#REF!</v>
      </c>
      <c r="G416" s="204">
        <v>1</v>
      </c>
      <c r="H416" s="203" t="e">
        <f>#REF!*#REF!^5/(Conv!$I$5*Conv!$D$46)/10^6 +#REF!</f>
        <v>#REF!</v>
      </c>
      <c r="I416" s="203" t="e">
        <f>#REF!*#REF!^5/(Conv!$I$5*Conv!$D$46)/10^6 +#REF!</f>
        <v>#REF!</v>
      </c>
      <c r="J416" s="203" t="e">
        <f>#REF!*#REF!^5/(Conv!$I$5*Conv!$D$46)/10^6 +#REF!</f>
        <v>#REF!</v>
      </c>
      <c r="K416" s="203" t="e">
        <f>#REF!*#REF!^5/(Conv!$I$5*Conv!$D$46)/10^6 +#REF!</f>
        <v>#REF!</v>
      </c>
      <c r="L416" s="203" t="e">
        <f>#REF!*#REF!^5/(Conv!$I$5*Conv!$D$46)/10^6 +#REF!</f>
        <v>#REF!</v>
      </c>
      <c r="M416" s="203" t="e">
        <f>#REF!*#REF!^5/(Conv!$I$5*Conv!$D$46)/10^6 +#REF!</f>
        <v>#REF!</v>
      </c>
      <c r="N416" s="203" t="e">
        <f>#REF!*#REF!^5/(Conv!$I$5*Conv!$D$46)/10^6 +#REF!</f>
        <v>#REF!</v>
      </c>
      <c r="O416" s="203" t="e">
        <f>#REF!*#REF!^5/(Conv!$I$5*Conv!$D$46)/10^6 +#REF!</f>
        <v>#REF!</v>
      </c>
      <c r="P416" s="203" t="e">
        <f>#REF!*#REF!^5/(Conv!$I$5*Conv!$D$46)/10^6 +#REF!</f>
        <v>#REF!</v>
      </c>
      <c r="Q416" s="203" t="e">
        <f>#REF!*#REF!^5/(Conv!$I$5*Conv!$D$46)/10^6 +#REF!</f>
        <v>#REF!</v>
      </c>
      <c r="S416" s="177"/>
      <c r="T416" s="177"/>
      <c r="U416" s="177"/>
      <c r="V416" s="177"/>
      <c r="W416" s="177"/>
      <c r="X416" s="177"/>
      <c r="Y416" s="177"/>
      <c r="Z416" s="177"/>
      <c r="AA416" s="177"/>
      <c r="AB416" s="177"/>
      <c r="AC416" s="177"/>
    </row>
    <row r="417" spans="2:29">
      <c r="B417" s="158" t="s">
        <v>398</v>
      </c>
      <c r="C417" s="158" t="e">
        <f>Technologies!C626</f>
        <v>#REF!</v>
      </c>
      <c r="D417" s="158" t="e">
        <f>Technologies!D626</f>
        <v>#REF!</v>
      </c>
      <c r="E417" s="197" t="e">
        <f>Commodities!C151</f>
        <v>#REF!</v>
      </c>
      <c r="F417" s="197" t="e">
        <f>Commodities!C238</f>
        <v>#REF!</v>
      </c>
      <c r="G417" s="204">
        <v>1</v>
      </c>
      <c r="H417" s="203" t="e">
        <f>#REF!*#REF!^5/(Conv!$I$5*Conv!$D$46)/10^6 +#REF!</f>
        <v>#REF!</v>
      </c>
      <c r="I417" s="203" t="e">
        <f>#REF!*#REF!^5/(Conv!$I$5*Conv!$D$46)/10^6 +#REF!</f>
        <v>#REF!</v>
      </c>
      <c r="J417" s="203" t="e">
        <f>#REF!*#REF!^5/(Conv!$I$5*Conv!$D$46)/10^6 +#REF!</f>
        <v>#REF!</v>
      </c>
      <c r="K417" s="203" t="e">
        <f>#REF!*#REF!^5/(Conv!$I$5*Conv!$D$46)/10^6 +#REF!</f>
        <v>#REF!</v>
      </c>
      <c r="L417" s="203" t="e">
        <f>#REF!*#REF!^5/(Conv!$I$5*Conv!$D$46)/10^6 +#REF!</f>
        <v>#REF!</v>
      </c>
      <c r="M417" s="203" t="e">
        <f>#REF!*#REF!^5/(Conv!$I$5*Conv!$D$46)/10^6 +#REF!</f>
        <v>#REF!</v>
      </c>
      <c r="N417" s="203" t="e">
        <f>#REF!*#REF!^5/(Conv!$I$5*Conv!$D$46)/10^6 +#REF!</f>
        <v>#REF!</v>
      </c>
      <c r="O417" s="203" t="e">
        <f>#REF!*#REF!^5/(Conv!$I$5*Conv!$D$46)/10^6 +#REF!</f>
        <v>#REF!</v>
      </c>
      <c r="P417" s="203" t="e">
        <f>#REF!*#REF!^5/(Conv!$I$5*Conv!$D$46)/10^6 +#REF!</f>
        <v>#REF!</v>
      </c>
      <c r="Q417" s="203" t="e">
        <f>#REF!*#REF!^5/(Conv!$I$5*Conv!$D$46)/10^6 +#REF!</f>
        <v>#REF!</v>
      </c>
      <c r="S417" s="177"/>
      <c r="T417" s="177"/>
      <c r="U417" s="177"/>
      <c r="V417" s="177"/>
      <c r="W417" s="177"/>
      <c r="X417" s="177"/>
      <c r="Y417" s="177"/>
      <c r="Z417" s="177"/>
      <c r="AA417" s="177"/>
      <c r="AB417" s="177"/>
      <c r="AC417" s="177"/>
    </row>
    <row r="418" spans="2:29">
      <c r="B418" s="158" t="s">
        <v>398</v>
      </c>
      <c r="C418" s="158" t="e">
        <f>Technologies!C627</f>
        <v>#REF!</v>
      </c>
      <c r="D418" s="158" t="e">
        <f>Technologies!D627</f>
        <v>#REF!</v>
      </c>
      <c r="E418" s="197" t="e">
        <f>Commodities!C152</f>
        <v>#REF!</v>
      </c>
      <c r="F418" s="197" t="e">
        <f>Commodities!C239</f>
        <v>#REF!</v>
      </c>
      <c r="G418" s="204">
        <v>1</v>
      </c>
      <c r="H418" s="203" t="e">
        <f>#REF!*#REF!^5/(Conv!$I$5*Conv!$D$46)/10^6 +#REF!</f>
        <v>#REF!</v>
      </c>
      <c r="I418" s="203" t="e">
        <f>#REF!*#REF!^5/(Conv!$I$5*Conv!$D$46)/10^6 +#REF!</f>
        <v>#REF!</v>
      </c>
      <c r="J418" s="203" t="e">
        <f>#REF!*#REF!^5/(Conv!$I$5*Conv!$D$46)/10^6 +#REF!</f>
        <v>#REF!</v>
      </c>
      <c r="K418" s="203" t="e">
        <f>#REF!*#REF!^5/(Conv!$I$5*Conv!$D$46)/10^6 +#REF!</f>
        <v>#REF!</v>
      </c>
      <c r="L418" s="203" t="e">
        <f>#REF!*#REF!^5/(Conv!$I$5*Conv!$D$46)/10^6 +#REF!</f>
        <v>#REF!</v>
      </c>
      <c r="M418" s="203" t="e">
        <f>#REF!*#REF!^5/(Conv!$I$5*Conv!$D$46)/10^6 +#REF!</f>
        <v>#REF!</v>
      </c>
      <c r="N418" s="203" t="e">
        <f>#REF!*#REF!^5/(Conv!$I$5*Conv!$D$46)/10^6 +#REF!</f>
        <v>#REF!</v>
      </c>
      <c r="O418" s="203" t="e">
        <f>#REF!*#REF!^5/(Conv!$I$5*Conv!$D$46)/10^6 +#REF!</f>
        <v>#REF!</v>
      </c>
      <c r="P418" s="203" t="e">
        <f>#REF!*#REF!^5/(Conv!$I$5*Conv!$D$46)/10^6 +#REF!</f>
        <v>#REF!</v>
      </c>
      <c r="Q418" s="203" t="e">
        <f>#REF!*#REF!^5/(Conv!$I$5*Conv!$D$46)/10^6 +#REF!</f>
        <v>#REF!</v>
      </c>
      <c r="S418" s="177"/>
      <c r="T418" s="177"/>
      <c r="U418" s="177"/>
      <c r="V418" s="177"/>
      <c r="W418" s="177"/>
      <c r="X418" s="177"/>
      <c r="Y418" s="177"/>
      <c r="Z418" s="177"/>
      <c r="AA418" s="177"/>
      <c r="AB418" s="177"/>
      <c r="AC418" s="177"/>
    </row>
    <row r="419" spans="2:29">
      <c r="B419" s="158" t="s">
        <v>398</v>
      </c>
      <c r="C419" s="158" t="e">
        <f>Technologies!C629</f>
        <v>#REF!</v>
      </c>
      <c r="D419" s="158" t="e">
        <f>Technologies!D629</f>
        <v>#REF!</v>
      </c>
      <c r="E419" s="197" t="e">
        <f>Commodities!C154</f>
        <v>#REF!</v>
      </c>
      <c r="F419" s="197" t="e">
        <f>Commodities!C241</f>
        <v>#REF!</v>
      </c>
      <c r="G419" s="204">
        <v>1</v>
      </c>
      <c r="H419" s="203" t="e">
        <f>#REF!*#REF!^5/(Conv!$I$5*Conv!$D$46)/10^6 +#REF!</f>
        <v>#REF!</v>
      </c>
      <c r="I419" s="203" t="e">
        <f>#REF!*#REF!^5/(Conv!$I$5*Conv!$D$46)/10^6 +#REF!</f>
        <v>#REF!</v>
      </c>
      <c r="J419" s="203" t="e">
        <f>#REF!*#REF!^5/(Conv!$I$5*Conv!$D$46)/10^6 +#REF!</f>
        <v>#REF!</v>
      </c>
      <c r="K419" s="203" t="e">
        <f>#REF!*#REF!^5/(Conv!$I$5*Conv!$D$46)/10^6 +#REF!</f>
        <v>#REF!</v>
      </c>
      <c r="L419" s="203" t="e">
        <f>#REF!*#REF!^5/(Conv!$I$5*Conv!$D$46)/10^6 +#REF!</f>
        <v>#REF!</v>
      </c>
      <c r="M419" s="203" t="e">
        <f>#REF!*#REF!^5/(Conv!$I$5*Conv!$D$46)/10^6 +#REF!</f>
        <v>#REF!</v>
      </c>
      <c r="N419" s="203" t="e">
        <f>#REF!*#REF!^5/(Conv!$I$5*Conv!$D$46)/10^6 +#REF!</f>
        <v>#REF!</v>
      </c>
      <c r="O419" s="203" t="e">
        <f>#REF!*#REF!^5/(Conv!$I$5*Conv!$D$46)/10^6 +#REF!</f>
        <v>#REF!</v>
      </c>
      <c r="P419" s="203" t="e">
        <f>#REF!*#REF!^5/(Conv!$I$5*Conv!$D$46)/10^6 +#REF!</f>
        <v>#REF!</v>
      </c>
      <c r="Q419" s="203" t="e">
        <f>#REF!*#REF!^5/(Conv!$I$5*Conv!$D$46)/10^6 +#REF!</f>
        <v>#REF!</v>
      </c>
      <c r="S419" s="177"/>
      <c r="T419" s="177"/>
      <c r="U419" s="177"/>
      <c r="V419" s="177"/>
      <c r="W419" s="177"/>
      <c r="X419" s="177"/>
      <c r="Y419" s="177"/>
      <c r="Z419" s="177"/>
      <c r="AA419" s="177"/>
      <c r="AB419" s="177"/>
      <c r="AC419" s="177"/>
    </row>
    <row r="420" spans="2:29">
      <c r="B420" s="158" t="s">
        <v>398</v>
      </c>
      <c r="C420" s="158" t="e">
        <f>Technologies!C630</f>
        <v>#REF!</v>
      </c>
      <c r="D420" s="158" t="e">
        <f>Technologies!D630</f>
        <v>#REF!</v>
      </c>
      <c r="E420" s="197" t="e">
        <f>E419</f>
        <v>#REF!</v>
      </c>
      <c r="F420" s="197" t="e">
        <f>Commodities!C242</f>
        <v>#REF!</v>
      </c>
      <c r="G420" s="204">
        <v>1</v>
      </c>
      <c r="H420" s="203" t="e">
        <f>#REF!*#REF!^5/(Conv!$I$5*Conv!$D$46)/10^6 +#REF!</f>
        <v>#REF!</v>
      </c>
      <c r="I420" s="203" t="e">
        <f>#REF!*#REF!^5/(Conv!$I$5*Conv!$D$46)/10^6 +#REF!</f>
        <v>#REF!</v>
      </c>
      <c r="J420" s="203" t="e">
        <f>#REF!*#REF!^5/(Conv!$I$5*Conv!$D$46)/10^6 +#REF!</f>
        <v>#REF!</v>
      </c>
      <c r="K420" s="203" t="e">
        <f>#REF!*#REF!^5/(Conv!$I$5*Conv!$D$46)/10^6 +#REF!</f>
        <v>#REF!</v>
      </c>
      <c r="L420" s="203" t="e">
        <f>#REF!*#REF!^5/(Conv!$I$5*Conv!$D$46)/10^6 +#REF!</f>
        <v>#REF!</v>
      </c>
      <c r="M420" s="203" t="e">
        <f>#REF!*#REF!^5/(Conv!$I$5*Conv!$D$46)/10^6 +#REF!</f>
        <v>#REF!</v>
      </c>
      <c r="N420" s="203" t="e">
        <f>#REF!*#REF!^5/(Conv!$I$5*Conv!$D$46)/10^6 +#REF!</f>
        <v>#REF!</v>
      </c>
      <c r="O420" s="203" t="e">
        <f>#REF!*#REF!^5/(Conv!$I$5*Conv!$D$46)/10^6 +#REF!</f>
        <v>#REF!</v>
      </c>
      <c r="P420" s="203" t="e">
        <f>#REF!*#REF!^5/(Conv!$I$5*Conv!$D$46)/10^6 +#REF!</f>
        <v>#REF!</v>
      </c>
      <c r="Q420" s="203" t="e">
        <f>#REF!*#REF!^5/(Conv!$I$5*Conv!$D$46)/10^6 +#REF!</f>
        <v>#REF!</v>
      </c>
      <c r="S420" s="177"/>
      <c r="T420" s="177"/>
      <c r="U420" s="177"/>
      <c r="V420" s="177"/>
      <c r="W420" s="177"/>
      <c r="X420" s="177"/>
      <c r="Y420" s="177"/>
      <c r="Z420" s="177"/>
      <c r="AA420" s="177"/>
      <c r="AB420" s="177"/>
      <c r="AC420" s="177"/>
    </row>
    <row r="421" spans="2:29">
      <c r="B421" s="158" t="s">
        <v>398</v>
      </c>
      <c r="C421" s="158" t="e">
        <f>Technologies!C631</f>
        <v>#REF!</v>
      </c>
      <c r="D421" s="158" t="e">
        <f>Technologies!D631</f>
        <v>#REF!</v>
      </c>
      <c r="E421" s="197" t="e">
        <f>E420</f>
        <v>#REF!</v>
      </c>
      <c r="F421" s="197" t="e">
        <f>Commodities!C243</f>
        <v>#REF!</v>
      </c>
      <c r="G421" s="204">
        <v>1</v>
      </c>
      <c r="H421" s="203" t="e">
        <f>#REF!*#REF!^5/(Conv!$I$5*Conv!$D$46)/10^6 +#REF!</f>
        <v>#REF!</v>
      </c>
      <c r="I421" s="203" t="e">
        <f>#REF!*#REF!^5/(Conv!$I$5*Conv!$D$46)/10^6 +#REF!</f>
        <v>#REF!</v>
      </c>
      <c r="J421" s="203" t="e">
        <f>#REF!*#REF!^5/(Conv!$I$5*Conv!$D$46)/10^6 +#REF!</f>
        <v>#REF!</v>
      </c>
      <c r="K421" s="203" t="e">
        <f>#REF!*#REF!^5/(Conv!$I$5*Conv!$D$46)/10^6 +#REF!</f>
        <v>#REF!</v>
      </c>
      <c r="L421" s="203" t="e">
        <f>#REF!*#REF!^5/(Conv!$I$5*Conv!$D$46)/10^6 +#REF!</f>
        <v>#REF!</v>
      </c>
      <c r="M421" s="203" t="e">
        <f>#REF!*#REF!^5/(Conv!$I$5*Conv!$D$46)/10^6 +#REF!</f>
        <v>#REF!</v>
      </c>
      <c r="N421" s="203" t="e">
        <f>#REF!*#REF!^5/(Conv!$I$5*Conv!$D$46)/10^6 +#REF!</f>
        <v>#REF!</v>
      </c>
      <c r="O421" s="203" t="e">
        <f>#REF!*#REF!^5/(Conv!$I$5*Conv!$D$46)/10^6 +#REF!</f>
        <v>#REF!</v>
      </c>
      <c r="P421" s="203" t="e">
        <f>#REF!*#REF!^5/(Conv!$I$5*Conv!$D$46)/10^6 +#REF!</f>
        <v>#REF!</v>
      </c>
      <c r="Q421" s="203" t="e">
        <f>#REF!*#REF!^5/(Conv!$I$5*Conv!$D$46)/10^6 +#REF!</f>
        <v>#REF!</v>
      </c>
      <c r="S421" s="177"/>
      <c r="T421" s="177"/>
      <c r="U421" s="177"/>
      <c r="V421" s="177"/>
      <c r="W421" s="177"/>
      <c r="X421" s="177"/>
      <c r="Y421" s="177"/>
      <c r="Z421" s="177"/>
      <c r="AA421" s="177"/>
      <c r="AB421" s="177"/>
      <c r="AC421" s="177"/>
    </row>
    <row r="422" spans="2:29">
      <c r="B422" s="158" t="s">
        <v>398</v>
      </c>
      <c r="C422" s="158" t="e">
        <f>Technologies!C632</f>
        <v>#REF!</v>
      </c>
      <c r="D422" s="158" t="e">
        <f>Technologies!D632</f>
        <v>#REF!</v>
      </c>
      <c r="E422" s="197" t="e">
        <f>Commodities!C153</f>
        <v>#REF!</v>
      </c>
      <c r="F422" s="197" t="e">
        <f>Commodities!C244</f>
        <v>#REF!</v>
      </c>
      <c r="G422" s="204">
        <v>1</v>
      </c>
      <c r="H422" s="203" t="e">
        <f>#REF!*#REF!^5/(Conv!$I$5*Conv!$D$46)/10^6 +#REF!</f>
        <v>#REF!</v>
      </c>
      <c r="I422" s="203" t="e">
        <f>#REF!*#REF!^5/(Conv!$I$5*Conv!$D$46)/10^6 +#REF!</f>
        <v>#REF!</v>
      </c>
      <c r="J422" s="203" t="e">
        <f>#REF!*#REF!^5/(Conv!$I$5*Conv!$D$46)/10^6 +#REF!</f>
        <v>#REF!</v>
      </c>
      <c r="K422" s="203" t="e">
        <f>#REF!*#REF!^5/(Conv!$I$5*Conv!$D$46)/10^6 +#REF!</f>
        <v>#REF!</v>
      </c>
      <c r="L422" s="203" t="e">
        <f>#REF!*#REF!^5/(Conv!$I$5*Conv!$D$46)/10^6 +#REF!</f>
        <v>#REF!</v>
      </c>
      <c r="M422" s="203" t="e">
        <f>#REF!*#REF!^5/(Conv!$I$5*Conv!$D$46)/10^6 +#REF!</f>
        <v>#REF!</v>
      </c>
      <c r="N422" s="203" t="e">
        <f>#REF!*#REF!^5/(Conv!$I$5*Conv!$D$46)/10^6 +#REF!</f>
        <v>#REF!</v>
      </c>
      <c r="O422" s="203" t="e">
        <f>#REF!*#REF!^5/(Conv!$I$5*Conv!$D$46)/10^6 +#REF!</f>
        <v>#REF!</v>
      </c>
      <c r="P422" s="203" t="e">
        <f>#REF!*#REF!^5/(Conv!$I$5*Conv!$D$46)/10^6 +#REF!</f>
        <v>#REF!</v>
      </c>
      <c r="Q422" s="203" t="e">
        <f>#REF!*#REF!^5/(Conv!$I$5*Conv!$D$46)/10^6 +#REF!</f>
        <v>#REF!</v>
      </c>
      <c r="S422" s="177"/>
      <c r="T422" s="177"/>
      <c r="U422" s="177"/>
      <c r="V422" s="177"/>
      <c r="W422" s="177"/>
      <c r="X422" s="177"/>
      <c r="Y422" s="177"/>
      <c r="Z422" s="177"/>
      <c r="AA422" s="177"/>
      <c r="AB422" s="177"/>
      <c r="AC422" s="177"/>
    </row>
    <row r="423" spans="2:29">
      <c r="B423" s="158" t="s">
        <v>398</v>
      </c>
      <c r="C423" s="158" t="e">
        <f>Technologies!C633</f>
        <v>#REF!</v>
      </c>
      <c r="D423" s="158" t="e">
        <f>Technologies!D633</f>
        <v>#REF!</v>
      </c>
      <c r="E423" s="197" t="e">
        <f>E422</f>
        <v>#REF!</v>
      </c>
      <c r="F423" s="197" t="e">
        <f>Commodities!C245</f>
        <v>#REF!</v>
      </c>
      <c r="G423" s="204">
        <v>1</v>
      </c>
      <c r="H423" s="203" t="e">
        <f>#REF!*#REF!^5/(Conv!$I$5*Conv!$D$46)/10^6 +#REF!</f>
        <v>#REF!</v>
      </c>
      <c r="I423" s="203" t="e">
        <f>#REF!*#REF!^5/(Conv!$I$5*Conv!$D$46)/10^6 +#REF!</f>
        <v>#REF!</v>
      </c>
      <c r="J423" s="203" t="e">
        <f>#REF!*#REF!^5/(Conv!$I$5*Conv!$D$46)/10^6 +#REF!</f>
        <v>#REF!</v>
      </c>
      <c r="K423" s="203" t="e">
        <f>#REF!*#REF!^5/(Conv!$I$5*Conv!$D$46)/10^6 +#REF!</f>
        <v>#REF!</v>
      </c>
      <c r="L423" s="203" t="e">
        <f>#REF!*#REF!^5/(Conv!$I$5*Conv!$D$46)/10^6 +#REF!</f>
        <v>#REF!</v>
      </c>
      <c r="M423" s="203" t="e">
        <f>#REF!*#REF!^5/(Conv!$I$5*Conv!$D$46)/10^6 +#REF!</f>
        <v>#REF!</v>
      </c>
      <c r="N423" s="203" t="e">
        <f>#REF!*#REF!^5/(Conv!$I$5*Conv!$D$46)/10^6 +#REF!</f>
        <v>#REF!</v>
      </c>
      <c r="O423" s="203" t="e">
        <f>#REF!*#REF!^5/(Conv!$I$5*Conv!$D$46)/10^6 +#REF!</f>
        <v>#REF!</v>
      </c>
      <c r="P423" s="203" t="e">
        <f>#REF!*#REF!^5/(Conv!$I$5*Conv!$D$46)/10^6 +#REF!</f>
        <v>#REF!</v>
      </c>
      <c r="Q423" s="203" t="e">
        <f>#REF!*#REF!^5/(Conv!$I$5*Conv!$D$46)/10^6 +#REF!</f>
        <v>#REF!</v>
      </c>
      <c r="S423" s="177"/>
      <c r="T423" s="177"/>
      <c r="U423" s="177"/>
      <c r="V423" s="177"/>
      <c r="W423" s="177"/>
      <c r="X423" s="177"/>
      <c r="Y423" s="177"/>
      <c r="Z423" s="177"/>
      <c r="AA423" s="177"/>
      <c r="AB423" s="177"/>
      <c r="AC423" s="177"/>
    </row>
    <row r="424" spans="2:29">
      <c r="B424" s="158" t="s">
        <v>398</v>
      </c>
      <c r="C424" s="158" t="e">
        <f>Technologies!C634</f>
        <v>#REF!</v>
      </c>
      <c r="D424" s="158" t="e">
        <f>Technologies!D634</f>
        <v>#REF!</v>
      </c>
      <c r="E424" s="197" t="e">
        <f>Commodities!C155</f>
        <v>#REF!</v>
      </c>
      <c r="F424" s="197" t="e">
        <f>Commodities!C246</f>
        <v>#REF!</v>
      </c>
      <c r="G424" s="204">
        <v>1</v>
      </c>
      <c r="H424" s="203" t="e">
        <f>#REF!*#REF!^5/(Conv!$I$5*Conv!$D$46)/10^6 +#REF!</f>
        <v>#REF!</v>
      </c>
      <c r="I424" s="203" t="e">
        <f>#REF!*#REF!^5/(Conv!$I$5*Conv!$D$46)/10^6 +#REF!</f>
        <v>#REF!</v>
      </c>
      <c r="J424" s="203" t="e">
        <f>#REF!*#REF!^5/(Conv!$I$5*Conv!$D$46)/10^6 +#REF!</f>
        <v>#REF!</v>
      </c>
      <c r="K424" s="203" t="e">
        <f>#REF!*#REF!^5/(Conv!$I$5*Conv!$D$46)/10^6 +#REF!</f>
        <v>#REF!</v>
      </c>
      <c r="L424" s="203" t="e">
        <f>#REF!*#REF!^5/(Conv!$I$5*Conv!$D$46)/10^6 +#REF!</f>
        <v>#REF!</v>
      </c>
      <c r="M424" s="203" t="e">
        <f>#REF!*#REF!^5/(Conv!$I$5*Conv!$D$46)/10^6 +#REF!</f>
        <v>#REF!</v>
      </c>
      <c r="N424" s="203" t="e">
        <f>#REF!*#REF!^5/(Conv!$I$5*Conv!$D$46)/10^6 +#REF!</f>
        <v>#REF!</v>
      </c>
      <c r="O424" s="203" t="e">
        <f>#REF!*#REF!^5/(Conv!$I$5*Conv!$D$46)/10^6 +#REF!</f>
        <v>#REF!</v>
      </c>
      <c r="P424" s="203" t="e">
        <f>#REF!*#REF!^5/(Conv!$I$5*Conv!$D$46)/10^6 +#REF!</f>
        <v>#REF!</v>
      </c>
      <c r="Q424" s="203" t="e">
        <f>#REF!*#REF!^5/(Conv!$I$5*Conv!$D$46)/10^6 +#REF!</f>
        <v>#REF!</v>
      </c>
      <c r="S424" s="177"/>
      <c r="T424" s="177"/>
      <c r="U424" s="177"/>
      <c r="V424" s="177"/>
      <c r="W424" s="177"/>
      <c r="X424" s="177"/>
      <c r="Y424" s="177"/>
      <c r="Z424" s="177"/>
      <c r="AA424" s="177"/>
      <c r="AB424" s="177"/>
      <c r="AC424" s="177"/>
    </row>
    <row r="425" spans="2:29">
      <c r="B425" s="158" t="s">
        <v>398</v>
      </c>
      <c r="C425" s="158"/>
      <c r="D425" s="158"/>
      <c r="E425" s="197"/>
      <c r="F425" s="197"/>
      <c r="G425" s="204"/>
      <c r="H425" s="205"/>
      <c r="I425" s="205"/>
      <c r="J425" s="205"/>
      <c r="K425" s="205"/>
      <c r="L425" s="205"/>
      <c r="M425" s="205"/>
      <c r="N425" s="205"/>
      <c r="O425" s="205"/>
      <c r="P425" s="205"/>
      <c r="Q425" s="205"/>
    </row>
    <row r="426" spans="2:29">
      <c r="B426" s="158" t="s">
        <v>398</v>
      </c>
      <c r="C426" s="158" t="e">
        <f>Technologies!C635</f>
        <v>#REF!</v>
      </c>
      <c r="D426" s="158" t="e">
        <f>Technologies!D635</f>
        <v>#REF!</v>
      </c>
      <c r="E426" s="197" t="e">
        <f>Commodities!C156</f>
        <v>#REF!</v>
      </c>
      <c r="F426" s="197" t="e">
        <f>Commodities!C222</f>
        <v>#REF!</v>
      </c>
      <c r="G426" s="204">
        <v>1</v>
      </c>
      <c r="H426" s="203" t="e">
        <f>#REF!*#REF!^5/(Conv!$I$5*Conv!$D$46)/10^6 +#REF!</f>
        <v>#REF!</v>
      </c>
      <c r="I426" s="203" t="e">
        <f>#REF!*#REF!^5/(Conv!$I$5*Conv!$D$46)/10^6 +#REF!</f>
        <v>#REF!</v>
      </c>
      <c r="J426" s="203" t="e">
        <f>#REF!*#REF!^5/(Conv!$I$5*Conv!$D$46)/10^6 +#REF!</f>
        <v>#REF!</v>
      </c>
      <c r="K426" s="203" t="e">
        <f>#REF!*#REF!^5/(Conv!$I$5*Conv!$D$46)/10^6 +#REF!</f>
        <v>#REF!</v>
      </c>
      <c r="L426" s="203" t="e">
        <f>#REF!*#REF!^5/(Conv!$I$5*Conv!$D$46)/10^6 +#REF!</f>
        <v>#REF!</v>
      </c>
      <c r="M426" s="203" t="e">
        <f>#REF!*#REF!^5/(Conv!$I$5*Conv!$D$46)/10^6 +#REF!</f>
        <v>#REF!</v>
      </c>
      <c r="N426" s="203" t="e">
        <f>#REF!*#REF!^5/(Conv!$I$5*Conv!$D$46)/10^6 +#REF!</f>
        <v>#REF!</v>
      </c>
      <c r="O426" s="203" t="e">
        <f>#REF!*#REF!^5/(Conv!$I$5*Conv!$D$46)/10^6 +#REF!</f>
        <v>#REF!</v>
      </c>
      <c r="P426" s="203" t="e">
        <f>#REF!*#REF!^5/(Conv!$I$5*Conv!$D$46)/10^6 +#REF!</f>
        <v>#REF!</v>
      </c>
      <c r="Q426" s="203" t="e">
        <f>#REF!*#REF!^5/(Conv!$I$5*Conv!$D$46)/10^6 +#REF!</f>
        <v>#REF!</v>
      </c>
      <c r="S426" s="177"/>
      <c r="T426" s="177"/>
      <c r="U426" s="177"/>
      <c r="V426" s="177"/>
      <c r="W426" s="177"/>
      <c r="X426" s="177"/>
      <c r="Y426" s="177"/>
      <c r="Z426" s="177"/>
      <c r="AA426" s="177"/>
      <c r="AB426" s="177"/>
      <c r="AC426" s="177"/>
    </row>
    <row r="427" spans="2:29">
      <c r="B427" s="158" t="s">
        <v>398</v>
      </c>
      <c r="C427" s="158" t="e">
        <f>Technologies!C636</f>
        <v>#REF!</v>
      </c>
      <c r="D427" s="158" t="e">
        <f>Technologies!D636</f>
        <v>#REF!</v>
      </c>
      <c r="E427" s="197" t="e">
        <f>Commodities!C157</f>
        <v>#REF!</v>
      </c>
      <c r="F427" s="197" t="e">
        <f>Commodities!C223</f>
        <v>#REF!</v>
      </c>
      <c r="G427" s="204">
        <v>1</v>
      </c>
      <c r="H427" s="203" t="e">
        <f>#REF!*#REF!^5/(Conv!$I$5*Conv!$D$46)/10^6 +#REF!</f>
        <v>#REF!</v>
      </c>
      <c r="I427" s="203" t="e">
        <f>#REF!*#REF!^5/(Conv!$I$5*Conv!$D$46)/10^6 +#REF!</f>
        <v>#REF!</v>
      </c>
      <c r="J427" s="203" t="e">
        <f>#REF!*#REF!^5/(Conv!$I$5*Conv!$D$46)/10^6 +#REF!</f>
        <v>#REF!</v>
      </c>
      <c r="K427" s="203" t="e">
        <f>#REF!*#REF!^5/(Conv!$I$5*Conv!$D$46)/10^6 +#REF!</f>
        <v>#REF!</v>
      </c>
      <c r="L427" s="203" t="e">
        <f>#REF!*#REF!^5/(Conv!$I$5*Conv!$D$46)/10^6 +#REF!</f>
        <v>#REF!</v>
      </c>
      <c r="M427" s="203" t="e">
        <f>#REF!*#REF!^5/(Conv!$I$5*Conv!$D$46)/10^6 +#REF!</f>
        <v>#REF!</v>
      </c>
      <c r="N427" s="203" t="e">
        <f>#REF!*#REF!^5/(Conv!$I$5*Conv!$D$46)/10^6 +#REF!</f>
        <v>#REF!</v>
      </c>
      <c r="O427" s="203" t="e">
        <f>#REF!*#REF!^5/(Conv!$I$5*Conv!$D$46)/10^6 +#REF!</f>
        <v>#REF!</v>
      </c>
      <c r="P427" s="203" t="e">
        <f>#REF!*#REF!^5/(Conv!$I$5*Conv!$D$46)/10^6 +#REF!</f>
        <v>#REF!</v>
      </c>
      <c r="Q427" s="203" t="e">
        <f>#REF!*#REF!^5/(Conv!$I$5*Conv!$D$46)/10^6 +#REF!</f>
        <v>#REF!</v>
      </c>
      <c r="S427" s="177"/>
      <c r="T427" s="177"/>
      <c r="U427" s="177"/>
      <c r="V427" s="177"/>
      <c r="W427" s="177"/>
      <c r="X427" s="177"/>
      <c r="Y427" s="177"/>
      <c r="Z427" s="177"/>
      <c r="AA427" s="177"/>
      <c r="AB427" s="177"/>
      <c r="AC427" s="177"/>
    </row>
    <row r="428" spans="2:29">
      <c r="B428" s="158" t="s">
        <v>398</v>
      </c>
      <c r="C428" s="158" t="e">
        <f>Technologies!C637</f>
        <v>#REF!</v>
      </c>
      <c r="D428" s="158" t="e">
        <f>Technologies!D637</f>
        <v>#REF!</v>
      </c>
      <c r="E428" s="197" t="e">
        <f>Commodities!C158</f>
        <v>#REF!</v>
      </c>
      <c r="F428" s="197" t="e">
        <f>Commodities!C224</f>
        <v>#REF!</v>
      </c>
      <c r="G428" s="204">
        <v>1</v>
      </c>
      <c r="H428" s="203" t="e">
        <f>#REF!*#REF!^5/(Conv!$I$5*Conv!$D$46)/10^6 +#REF!</f>
        <v>#REF!</v>
      </c>
      <c r="I428" s="203" t="e">
        <f>#REF!*#REF!^5/(Conv!$I$5*Conv!$D$46)/10^6 +#REF!</f>
        <v>#REF!</v>
      </c>
      <c r="J428" s="203" t="e">
        <f>#REF!*#REF!^5/(Conv!$I$5*Conv!$D$46)/10^6 +#REF!</f>
        <v>#REF!</v>
      </c>
      <c r="K428" s="203" t="e">
        <f>#REF!*#REF!^5/(Conv!$I$5*Conv!$D$46)/10^6 +#REF!</f>
        <v>#REF!</v>
      </c>
      <c r="L428" s="203" t="e">
        <f>#REF!*#REF!^5/(Conv!$I$5*Conv!$D$46)/10^6 +#REF!</f>
        <v>#REF!</v>
      </c>
      <c r="M428" s="203" t="e">
        <f>#REF!*#REF!^5/(Conv!$I$5*Conv!$D$46)/10^6 +#REF!</f>
        <v>#REF!</v>
      </c>
      <c r="N428" s="203" t="e">
        <f>#REF!*#REF!^5/(Conv!$I$5*Conv!$D$46)/10^6 +#REF!</f>
        <v>#REF!</v>
      </c>
      <c r="O428" s="203" t="e">
        <f>#REF!*#REF!^5/(Conv!$I$5*Conv!$D$46)/10^6 +#REF!</f>
        <v>#REF!</v>
      </c>
      <c r="P428" s="203" t="e">
        <f>#REF!*#REF!^5/(Conv!$I$5*Conv!$D$46)/10^6 +#REF!</f>
        <v>#REF!</v>
      </c>
      <c r="Q428" s="203" t="e">
        <f>#REF!*#REF!^5/(Conv!$I$5*Conv!$D$46)/10^6 +#REF!</f>
        <v>#REF!</v>
      </c>
      <c r="S428" s="177"/>
      <c r="T428" s="177"/>
      <c r="U428" s="177"/>
      <c r="V428" s="177"/>
      <c r="W428" s="177"/>
      <c r="X428" s="177"/>
      <c r="Y428" s="177"/>
      <c r="Z428" s="177"/>
      <c r="AA428" s="177"/>
      <c r="AB428" s="177"/>
      <c r="AC428" s="177"/>
    </row>
    <row r="429" spans="2:29">
      <c r="B429" s="158" t="s">
        <v>398</v>
      </c>
      <c r="C429" s="158" t="e">
        <f>Technologies!C638</f>
        <v>#REF!</v>
      </c>
      <c r="D429" s="158" t="e">
        <f>Technologies!D638</f>
        <v>#REF!</v>
      </c>
      <c r="E429" s="197" t="e">
        <f>E428</f>
        <v>#REF!</v>
      </c>
      <c r="F429" s="197" t="e">
        <f>Commodities!C225</f>
        <v>#REF!</v>
      </c>
      <c r="G429" s="204">
        <v>1</v>
      </c>
      <c r="H429" s="203" t="e">
        <f>#REF!*#REF!^5/(Conv!$I$5*Conv!$D$46)/10^6 +#REF!</f>
        <v>#REF!</v>
      </c>
      <c r="I429" s="203" t="e">
        <f>#REF!*#REF!^5/(Conv!$I$5*Conv!$D$46)/10^6 +#REF!</f>
        <v>#REF!</v>
      </c>
      <c r="J429" s="203" t="e">
        <f>#REF!*#REF!^5/(Conv!$I$5*Conv!$D$46)/10^6 +#REF!</f>
        <v>#REF!</v>
      </c>
      <c r="K429" s="203" t="e">
        <f>#REF!*#REF!^5/(Conv!$I$5*Conv!$D$46)/10^6 +#REF!</f>
        <v>#REF!</v>
      </c>
      <c r="L429" s="203" t="e">
        <f>#REF!*#REF!^5/(Conv!$I$5*Conv!$D$46)/10^6 +#REF!</f>
        <v>#REF!</v>
      </c>
      <c r="M429" s="203" t="e">
        <f>#REF!*#REF!^5/(Conv!$I$5*Conv!$D$46)/10^6 +#REF!</f>
        <v>#REF!</v>
      </c>
      <c r="N429" s="203" t="e">
        <f>#REF!*#REF!^5/(Conv!$I$5*Conv!$D$46)/10^6 +#REF!</f>
        <v>#REF!</v>
      </c>
      <c r="O429" s="203" t="e">
        <f>#REF!*#REF!^5/(Conv!$I$5*Conv!$D$46)/10^6 +#REF!</f>
        <v>#REF!</v>
      </c>
      <c r="P429" s="203" t="e">
        <f>#REF!*#REF!^5/(Conv!$I$5*Conv!$D$46)/10^6 +#REF!</f>
        <v>#REF!</v>
      </c>
      <c r="Q429" s="203" t="e">
        <f>#REF!*#REF!^5/(Conv!$I$5*Conv!$D$46)/10^6 +#REF!</f>
        <v>#REF!</v>
      </c>
      <c r="S429" s="177"/>
      <c r="T429" s="177"/>
      <c r="U429" s="177"/>
      <c r="V429" s="177"/>
      <c r="W429" s="177"/>
      <c r="X429" s="177"/>
      <c r="Y429" s="177"/>
      <c r="Z429" s="177"/>
      <c r="AA429" s="177"/>
      <c r="AB429" s="177"/>
      <c r="AC429" s="177"/>
    </row>
    <row r="430" spans="2:29">
      <c r="B430" s="158" t="s">
        <v>398</v>
      </c>
      <c r="C430" s="158" t="e">
        <f>Technologies!C639</f>
        <v>#REF!</v>
      </c>
      <c r="D430" s="158" t="e">
        <f>Technologies!D639</f>
        <v>#REF!</v>
      </c>
      <c r="E430" s="197" t="e">
        <f>E429</f>
        <v>#REF!</v>
      </c>
      <c r="F430" s="197" t="e">
        <f>Commodities!C226</f>
        <v>#REF!</v>
      </c>
      <c r="G430" s="204">
        <v>1</v>
      </c>
      <c r="H430" s="203" t="e">
        <f>#REF!*#REF!^5/(Conv!$I$5*Conv!$D$46)/10^6 +#REF!</f>
        <v>#REF!</v>
      </c>
      <c r="I430" s="203" t="e">
        <f>#REF!*#REF!^5/(Conv!$I$5*Conv!$D$46)/10^6 +#REF!</f>
        <v>#REF!</v>
      </c>
      <c r="J430" s="203" t="e">
        <f>#REF!*#REF!^5/(Conv!$I$5*Conv!$D$46)/10^6 +#REF!</f>
        <v>#REF!</v>
      </c>
      <c r="K430" s="203" t="e">
        <f>#REF!*#REF!^5/(Conv!$I$5*Conv!$D$46)/10^6 +#REF!</f>
        <v>#REF!</v>
      </c>
      <c r="L430" s="203" t="e">
        <f>#REF!*#REF!^5/(Conv!$I$5*Conv!$D$46)/10^6 +#REF!</f>
        <v>#REF!</v>
      </c>
      <c r="M430" s="203" t="e">
        <f>#REF!*#REF!^5/(Conv!$I$5*Conv!$D$46)/10^6 +#REF!</f>
        <v>#REF!</v>
      </c>
      <c r="N430" s="203" t="e">
        <f>#REF!*#REF!^5/(Conv!$I$5*Conv!$D$46)/10^6 +#REF!</f>
        <v>#REF!</v>
      </c>
      <c r="O430" s="203" t="e">
        <f>#REF!*#REF!^5/(Conv!$I$5*Conv!$D$46)/10^6 +#REF!</f>
        <v>#REF!</v>
      </c>
      <c r="P430" s="203" t="e">
        <f>#REF!*#REF!^5/(Conv!$I$5*Conv!$D$46)/10^6 +#REF!</f>
        <v>#REF!</v>
      </c>
      <c r="Q430" s="203" t="e">
        <f>#REF!*#REF!^5/(Conv!$I$5*Conv!$D$46)/10^6 +#REF!</f>
        <v>#REF!</v>
      </c>
      <c r="S430" s="177"/>
      <c r="T430" s="177"/>
      <c r="U430" s="177"/>
      <c r="V430" s="177"/>
      <c r="W430" s="177"/>
      <c r="X430" s="177"/>
      <c r="Y430" s="177"/>
      <c r="Z430" s="177"/>
      <c r="AA430" s="177"/>
      <c r="AB430" s="177"/>
      <c r="AC430" s="177"/>
    </row>
    <row r="431" spans="2:29">
      <c r="B431" s="158" t="s">
        <v>398</v>
      </c>
      <c r="C431" s="158" t="e">
        <f>Technologies!C640</f>
        <v>#REF!</v>
      </c>
      <c r="D431" s="158" t="e">
        <f>Technologies!D640</f>
        <v>#REF!</v>
      </c>
      <c r="E431" s="197" t="e">
        <f>E430</f>
        <v>#REF!</v>
      </c>
      <c r="F431" s="197" t="e">
        <f>Commodities!C227</f>
        <v>#REF!</v>
      </c>
      <c r="G431" s="204">
        <v>1</v>
      </c>
      <c r="H431" s="203" t="e">
        <f>#REF!*#REF!^5/(Conv!$I$5*Conv!$D$46)/10^6 +#REF!</f>
        <v>#REF!</v>
      </c>
      <c r="I431" s="203" t="e">
        <f>#REF!*#REF!^5/(Conv!$I$5*Conv!$D$46)/10^6 +#REF!</f>
        <v>#REF!</v>
      </c>
      <c r="J431" s="203" t="e">
        <f>#REF!*#REF!^5/(Conv!$I$5*Conv!$D$46)/10^6 +#REF!</f>
        <v>#REF!</v>
      </c>
      <c r="K431" s="203" t="e">
        <f>#REF!*#REF!^5/(Conv!$I$5*Conv!$D$46)/10^6 +#REF!</f>
        <v>#REF!</v>
      </c>
      <c r="L431" s="203" t="e">
        <f>#REF!*#REF!^5/(Conv!$I$5*Conv!$D$46)/10^6 +#REF!</f>
        <v>#REF!</v>
      </c>
      <c r="M431" s="203" t="e">
        <f>#REF!*#REF!^5/(Conv!$I$5*Conv!$D$46)/10^6 +#REF!</f>
        <v>#REF!</v>
      </c>
      <c r="N431" s="203" t="e">
        <f>#REF!*#REF!^5/(Conv!$I$5*Conv!$D$46)/10^6 +#REF!</f>
        <v>#REF!</v>
      </c>
      <c r="O431" s="203" t="e">
        <f>#REF!*#REF!^5/(Conv!$I$5*Conv!$D$46)/10^6 +#REF!</f>
        <v>#REF!</v>
      </c>
      <c r="P431" s="203" t="e">
        <f>#REF!*#REF!^5/(Conv!$I$5*Conv!$D$46)/10^6 +#REF!</f>
        <v>#REF!</v>
      </c>
      <c r="Q431" s="203" t="e">
        <f>#REF!*#REF!^5/(Conv!$I$5*Conv!$D$46)/10^6 +#REF!</f>
        <v>#REF!</v>
      </c>
      <c r="S431" s="177"/>
      <c r="T431" s="177"/>
      <c r="U431" s="177"/>
      <c r="V431" s="177"/>
      <c r="W431" s="177"/>
      <c r="X431" s="177"/>
      <c r="Y431" s="177"/>
      <c r="Z431" s="177"/>
      <c r="AA431" s="177"/>
      <c r="AB431" s="177"/>
      <c r="AC431" s="177"/>
    </row>
    <row r="432" spans="2:29">
      <c r="B432" s="158" t="s">
        <v>398</v>
      </c>
      <c r="C432" s="158" t="e">
        <f>Technologies!C641</f>
        <v>#REF!</v>
      </c>
      <c r="D432" s="158" t="e">
        <f>Technologies!D641</f>
        <v>#REF!</v>
      </c>
      <c r="E432" s="197" t="e">
        <f>Commodities!C159</f>
        <v>#REF!</v>
      </c>
      <c r="F432" s="197" t="e">
        <f>Commodities!C228</f>
        <v>#REF!</v>
      </c>
      <c r="G432" s="204">
        <v>1</v>
      </c>
      <c r="H432" s="203" t="e">
        <f>#REF!*#REF!^5/(Conv!$I$5*Conv!$D$46)/10^6 +#REF!</f>
        <v>#REF!</v>
      </c>
      <c r="I432" s="203" t="e">
        <f>#REF!*#REF!^5/(Conv!$I$5*Conv!$D$46)/10^6 +#REF!</f>
        <v>#REF!</v>
      </c>
      <c r="J432" s="203" t="e">
        <f>#REF!*#REF!^5/(Conv!$I$5*Conv!$D$46)/10^6 +#REF!</f>
        <v>#REF!</v>
      </c>
      <c r="K432" s="203" t="e">
        <f>#REF!*#REF!^5/(Conv!$I$5*Conv!$D$46)/10^6 +#REF!</f>
        <v>#REF!</v>
      </c>
      <c r="L432" s="203" t="e">
        <f>#REF!*#REF!^5/(Conv!$I$5*Conv!$D$46)/10^6 +#REF!</f>
        <v>#REF!</v>
      </c>
      <c r="M432" s="203" t="e">
        <f>#REF!*#REF!^5/(Conv!$I$5*Conv!$D$46)/10^6 +#REF!</f>
        <v>#REF!</v>
      </c>
      <c r="N432" s="203" t="e">
        <f>#REF!*#REF!^5/(Conv!$I$5*Conv!$D$46)/10^6 +#REF!</f>
        <v>#REF!</v>
      </c>
      <c r="O432" s="203" t="e">
        <f>#REF!*#REF!^5/(Conv!$I$5*Conv!$D$46)/10^6 +#REF!</f>
        <v>#REF!</v>
      </c>
      <c r="P432" s="203" t="e">
        <f>#REF!*#REF!^5/(Conv!$I$5*Conv!$D$46)/10^6 +#REF!</f>
        <v>#REF!</v>
      </c>
      <c r="Q432" s="203" t="e">
        <f>#REF!*#REF!^5/(Conv!$I$5*Conv!$D$46)/10^6 +#REF!</f>
        <v>#REF!</v>
      </c>
      <c r="S432" s="177"/>
      <c r="T432" s="177"/>
      <c r="U432" s="177"/>
      <c r="V432" s="177"/>
      <c r="W432" s="177"/>
      <c r="X432" s="177"/>
      <c r="Y432" s="177"/>
      <c r="Z432" s="177"/>
      <c r="AA432" s="177"/>
      <c r="AB432" s="177"/>
      <c r="AC432" s="177"/>
    </row>
    <row r="433" spans="2:29">
      <c r="B433" s="158" t="s">
        <v>398</v>
      </c>
      <c r="C433" s="158" t="e">
        <f>Technologies!C642</f>
        <v>#REF!</v>
      </c>
      <c r="D433" s="158" t="e">
        <f>Technologies!D642</f>
        <v>#REF!</v>
      </c>
      <c r="E433" s="197" t="e">
        <f>Commodities!C160</f>
        <v>#REF!</v>
      </c>
      <c r="F433" s="197" t="e">
        <f>Commodities!C229</f>
        <v>#REF!</v>
      </c>
      <c r="G433" s="204">
        <v>1</v>
      </c>
      <c r="H433" s="203" t="e">
        <f>#REF!*#REF!^5/(Conv!$I$5*Conv!$D$46)/10^6 +#REF!</f>
        <v>#REF!</v>
      </c>
      <c r="I433" s="203" t="e">
        <f>#REF!*#REF!^5/(Conv!$I$5*Conv!$D$46)/10^6 +#REF!</f>
        <v>#REF!</v>
      </c>
      <c r="J433" s="203" t="e">
        <f>#REF!*#REF!^5/(Conv!$I$5*Conv!$D$46)/10^6 +#REF!</f>
        <v>#REF!</v>
      </c>
      <c r="K433" s="203" t="e">
        <f>#REF!*#REF!^5/(Conv!$I$5*Conv!$D$46)/10^6 +#REF!</f>
        <v>#REF!</v>
      </c>
      <c r="L433" s="203" t="e">
        <f>#REF!*#REF!^5/(Conv!$I$5*Conv!$D$46)/10^6 +#REF!</f>
        <v>#REF!</v>
      </c>
      <c r="M433" s="203" t="e">
        <f>#REF!*#REF!^5/(Conv!$I$5*Conv!$D$46)/10^6 +#REF!</f>
        <v>#REF!</v>
      </c>
      <c r="N433" s="203" t="e">
        <f>#REF!*#REF!^5/(Conv!$I$5*Conv!$D$46)/10^6 +#REF!</f>
        <v>#REF!</v>
      </c>
      <c r="O433" s="203" t="e">
        <f>#REF!*#REF!^5/(Conv!$I$5*Conv!$D$46)/10^6 +#REF!</f>
        <v>#REF!</v>
      </c>
      <c r="P433" s="203" t="e">
        <f>#REF!*#REF!^5/(Conv!$I$5*Conv!$D$46)/10^6 +#REF!</f>
        <v>#REF!</v>
      </c>
      <c r="Q433" s="203" t="e">
        <f>#REF!*#REF!^5/(Conv!$I$5*Conv!$D$46)/10^6 +#REF!</f>
        <v>#REF!</v>
      </c>
      <c r="S433" s="177"/>
      <c r="T433" s="177"/>
      <c r="U433" s="177"/>
      <c r="V433" s="177"/>
      <c r="W433" s="177"/>
      <c r="X433" s="177"/>
      <c r="Y433" s="177"/>
      <c r="Z433" s="177"/>
      <c r="AA433" s="177"/>
      <c r="AB433" s="177"/>
      <c r="AC433" s="177"/>
    </row>
    <row r="434" spans="2:29">
      <c r="B434" s="158" t="s">
        <v>398</v>
      </c>
      <c r="C434" s="158" t="e">
        <f>Technologies!C643</f>
        <v>#REF!</v>
      </c>
      <c r="D434" s="158" t="e">
        <f>Technologies!D643</f>
        <v>#REF!</v>
      </c>
      <c r="E434" s="197" t="e">
        <f>Commodities!C161</f>
        <v>#REF!</v>
      </c>
      <c r="F434" s="197" t="e">
        <f>Commodities!C230</f>
        <v>#REF!</v>
      </c>
      <c r="G434" s="204">
        <v>1</v>
      </c>
      <c r="H434" s="203" t="e">
        <f>#REF!*#REF!^5/(Conv!$I$5*Conv!$D$46)/10^6 +#REF!</f>
        <v>#REF!</v>
      </c>
      <c r="I434" s="203" t="e">
        <f>#REF!*#REF!^5/(Conv!$I$5*Conv!$D$46)/10^6 +#REF!</f>
        <v>#REF!</v>
      </c>
      <c r="J434" s="203" t="e">
        <f>#REF!*#REF!^5/(Conv!$I$5*Conv!$D$46)/10^6 +#REF!</f>
        <v>#REF!</v>
      </c>
      <c r="K434" s="203" t="e">
        <f>#REF!*#REF!^5/(Conv!$I$5*Conv!$D$46)/10^6 +#REF!</f>
        <v>#REF!</v>
      </c>
      <c r="L434" s="203" t="e">
        <f>#REF!*#REF!^5/(Conv!$I$5*Conv!$D$46)/10^6 +#REF!</f>
        <v>#REF!</v>
      </c>
      <c r="M434" s="203" t="e">
        <f>#REF!*#REF!^5/(Conv!$I$5*Conv!$D$46)/10^6 +#REF!</f>
        <v>#REF!</v>
      </c>
      <c r="N434" s="203" t="e">
        <f>#REF!*#REF!^5/(Conv!$I$5*Conv!$D$46)/10^6 +#REF!</f>
        <v>#REF!</v>
      </c>
      <c r="O434" s="203" t="e">
        <f>#REF!*#REF!^5/(Conv!$I$5*Conv!$D$46)/10^6 +#REF!</f>
        <v>#REF!</v>
      </c>
      <c r="P434" s="203" t="e">
        <f>#REF!*#REF!^5/(Conv!$I$5*Conv!$D$46)/10^6 +#REF!</f>
        <v>#REF!</v>
      </c>
      <c r="Q434" s="203" t="e">
        <f>#REF!*#REF!^5/(Conv!$I$5*Conv!$D$46)/10^6 +#REF!</f>
        <v>#REF!</v>
      </c>
      <c r="S434" s="177"/>
      <c r="T434" s="177"/>
      <c r="U434" s="177"/>
      <c r="V434" s="177"/>
      <c r="W434" s="177"/>
      <c r="X434" s="177"/>
      <c r="Y434" s="177"/>
      <c r="Z434" s="177"/>
      <c r="AA434" s="177"/>
      <c r="AB434" s="177"/>
      <c r="AC434" s="177"/>
    </row>
    <row r="435" spans="2:29">
      <c r="B435" s="158" t="s">
        <v>398</v>
      </c>
      <c r="C435" s="158" t="e">
        <f>Technologies!C644</f>
        <v>#REF!</v>
      </c>
      <c r="D435" s="158" t="e">
        <f>Technologies!D644</f>
        <v>#REF!</v>
      </c>
      <c r="E435" s="197" t="e">
        <f>Commodities!C162</f>
        <v>#REF!</v>
      </c>
      <c r="F435" s="197" t="e">
        <f>Commodities!C231</f>
        <v>#REF!</v>
      </c>
      <c r="G435" s="204">
        <v>1</v>
      </c>
      <c r="H435" s="203" t="e">
        <f>#REF!*#REF!^5/(Conv!$I$5*Conv!$D$46)/10^6 +#REF!</f>
        <v>#REF!</v>
      </c>
      <c r="I435" s="203" t="e">
        <f>#REF!*#REF!^5/(Conv!$I$5*Conv!$D$46)/10^6 +#REF!</f>
        <v>#REF!</v>
      </c>
      <c r="J435" s="203" t="e">
        <f>#REF!*#REF!^5/(Conv!$I$5*Conv!$D$46)/10^6 +#REF!</f>
        <v>#REF!</v>
      </c>
      <c r="K435" s="203" t="e">
        <f>#REF!*#REF!^5/(Conv!$I$5*Conv!$D$46)/10^6 +#REF!</f>
        <v>#REF!</v>
      </c>
      <c r="L435" s="203" t="e">
        <f>#REF!*#REF!^5/(Conv!$I$5*Conv!$D$46)/10^6 +#REF!</f>
        <v>#REF!</v>
      </c>
      <c r="M435" s="203" t="e">
        <f>#REF!*#REF!^5/(Conv!$I$5*Conv!$D$46)/10^6 +#REF!</f>
        <v>#REF!</v>
      </c>
      <c r="N435" s="203" t="e">
        <f>#REF!*#REF!^5/(Conv!$I$5*Conv!$D$46)/10^6 +#REF!</f>
        <v>#REF!</v>
      </c>
      <c r="O435" s="203" t="e">
        <f>#REF!*#REF!^5/(Conv!$I$5*Conv!$D$46)/10^6 +#REF!</f>
        <v>#REF!</v>
      </c>
      <c r="P435" s="203" t="e">
        <f>#REF!*#REF!^5/(Conv!$I$5*Conv!$D$46)/10^6 +#REF!</f>
        <v>#REF!</v>
      </c>
      <c r="Q435" s="203" t="e">
        <f>#REF!*#REF!^5/(Conv!$I$5*Conv!$D$46)/10^6 +#REF!</f>
        <v>#REF!</v>
      </c>
      <c r="S435" s="177"/>
      <c r="T435" s="177"/>
      <c r="U435" s="177"/>
      <c r="V435" s="177"/>
      <c r="W435" s="177"/>
      <c r="X435" s="177"/>
      <c r="Y435" s="177"/>
      <c r="Z435" s="177"/>
      <c r="AA435" s="177"/>
      <c r="AB435" s="177"/>
      <c r="AC435" s="177"/>
    </row>
    <row r="436" spans="2:29">
      <c r="B436" s="158" t="s">
        <v>398</v>
      </c>
      <c r="C436" s="158" t="e">
        <f>Technologies!C645</f>
        <v>#REF!</v>
      </c>
      <c r="D436" s="158" t="e">
        <f>Technologies!D645</f>
        <v>#REF!</v>
      </c>
      <c r="E436" s="197" t="e">
        <f>E435</f>
        <v>#REF!</v>
      </c>
      <c r="F436" s="197" t="e">
        <f>Commodities!C232</f>
        <v>#REF!</v>
      </c>
      <c r="G436" s="204">
        <v>1</v>
      </c>
      <c r="H436" s="203" t="e">
        <f>#REF!*#REF!^5/(Conv!$I$5*Conv!$D$46)/10^6 +#REF!</f>
        <v>#REF!</v>
      </c>
      <c r="I436" s="203" t="e">
        <f>#REF!*#REF!^5/(Conv!$I$5*Conv!$D$46)/10^6 +#REF!</f>
        <v>#REF!</v>
      </c>
      <c r="J436" s="203" t="e">
        <f>#REF!*#REF!^5/(Conv!$I$5*Conv!$D$46)/10^6 +#REF!</f>
        <v>#REF!</v>
      </c>
      <c r="K436" s="203" t="e">
        <f>#REF!*#REF!^5/(Conv!$I$5*Conv!$D$46)/10^6 +#REF!</f>
        <v>#REF!</v>
      </c>
      <c r="L436" s="203" t="e">
        <f>#REF!*#REF!^5/(Conv!$I$5*Conv!$D$46)/10^6 +#REF!</f>
        <v>#REF!</v>
      </c>
      <c r="M436" s="203" t="e">
        <f>#REF!*#REF!^5/(Conv!$I$5*Conv!$D$46)/10^6 +#REF!</f>
        <v>#REF!</v>
      </c>
      <c r="N436" s="203" t="e">
        <f>#REF!*#REF!^5/(Conv!$I$5*Conv!$D$46)/10^6 +#REF!</f>
        <v>#REF!</v>
      </c>
      <c r="O436" s="203" t="e">
        <f>#REF!*#REF!^5/(Conv!$I$5*Conv!$D$46)/10^6 +#REF!</f>
        <v>#REF!</v>
      </c>
      <c r="P436" s="203" t="e">
        <f>#REF!*#REF!^5/(Conv!$I$5*Conv!$D$46)/10^6 +#REF!</f>
        <v>#REF!</v>
      </c>
      <c r="Q436" s="203" t="e">
        <f>#REF!*#REF!^5/(Conv!$I$5*Conv!$D$46)/10^6 +#REF!</f>
        <v>#REF!</v>
      </c>
      <c r="S436" s="177"/>
      <c r="T436" s="177"/>
      <c r="U436" s="177"/>
      <c r="V436" s="177"/>
      <c r="W436" s="177"/>
      <c r="X436" s="177"/>
      <c r="Y436" s="177"/>
      <c r="Z436" s="177"/>
      <c r="AA436" s="177"/>
      <c r="AB436" s="177"/>
      <c r="AC436" s="177"/>
    </row>
    <row r="437" spans="2:29">
      <c r="B437" s="158" t="s">
        <v>398</v>
      </c>
      <c r="C437" s="158" t="e">
        <f>Technologies!C646</f>
        <v>#REF!</v>
      </c>
      <c r="D437" s="158" t="e">
        <f>Technologies!D646</f>
        <v>#REF!</v>
      </c>
      <c r="E437" s="197" t="e">
        <f>E436</f>
        <v>#REF!</v>
      </c>
      <c r="F437" s="197" t="e">
        <f>Commodities!C233</f>
        <v>#REF!</v>
      </c>
      <c r="G437" s="204">
        <v>1</v>
      </c>
      <c r="H437" s="203" t="e">
        <f>#REF!*#REF!^5/(Conv!$I$5*Conv!$D$46)/10^6 +#REF!</f>
        <v>#REF!</v>
      </c>
      <c r="I437" s="203" t="e">
        <f>#REF!*#REF!^5/(Conv!$I$5*Conv!$D$46)/10^6 +#REF!</f>
        <v>#REF!</v>
      </c>
      <c r="J437" s="203" t="e">
        <f>#REF!*#REF!^5/(Conv!$I$5*Conv!$D$46)/10^6 +#REF!</f>
        <v>#REF!</v>
      </c>
      <c r="K437" s="203" t="e">
        <f>#REF!*#REF!^5/(Conv!$I$5*Conv!$D$46)/10^6 +#REF!</f>
        <v>#REF!</v>
      </c>
      <c r="L437" s="203" t="e">
        <f>#REF!*#REF!^5/(Conv!$I$5*Conv!$D$46)/10^6 +#REF!</f>
        <v>#REF!</v>
      </c>
      <c r="M437" s="203" t="e">
        <f>#REF!*#REF!^5/(Conv!$I$5*Conv!$D$46)/10^6 +#REF!</f>
        <v>#REF!</v>
      </c>
      <c r="N437" s="203" t="e">
        <f>#REF!*#REF!^5/(Conv!$I$5*Conv!$D$46)/10^6 +#REF!</f>
        <v>#REF!</v>
      </c>
      <c r="O437" s="203" t="e">
        <f>#REF!*#REF!^5/(Conv!$I$5*Conv!$D$46)/10^6 +#REF!</f>
        <v>#REF!</v>
      </c>
      <c r="P437" s="203" t="e">
        <f>#REF!*#REF!^5/(Conv!$I$5*Conv!$D$46)/10^6 +#REF!</f>
        <v>#REF!</v>
      </c>
      <c r="Q437" s="203" t="e">
        <f>#REF!*#REF!^5/(Conv!$I$5*Conv!$D$46)/10^6 +#REF!</f>
        <v>#REF!</v>
      </c>
      <c r="S437" s="177"/>
      <c r="T437" s="177"/>
      <c r="U437" s="177"/>
      <c r="V437" s="177"/>
      <c r="W437" s="177"/>
      <c r="X437" s="177"/>
      <c r="Y437" s="177"/>
      <c r="Z437" s="177"/>
      <c r="AA437" s="177"/>
      <c r="AB437" s="177"/>
      <c r="AC437" s="177"/>
    </row>
    <row r="438" spans="2:29">
      <c r="B438" s="158" t="s">
        <v>398</v>
      </c>
      <c r="C438" s="158" t="e">
        <f>Technologies!C647</f>
        <v>#REF!</v>
      </c>
      <c r="D438" s="158" t="e">
        <f>Technologies!D647</f>
        <v>#REF!</v>
      </c>
      <c r="E438" s="197" t="e">
        <f>Commodities!C163</f>
        <v>#REF!</v>
      </c>
      <c r="F438" s="197" t="e">
        <f>Commodities!C234</f>
        <v>#REF!</v>
      </c>
      <c r="G438" s="204">
        <v>1</v>
      </c>
      <c r="H438" s="203" t="e">
        <f>#REF!*#REF!^5/(Conv!$I$5*Conv!$D$46)/10^6 +#REF!</f>
        <v>#REF!</v>
      </c>
      <c r="I438" s="203" t="e">
        <f>#REF!*#REF!^5/(Conv!$I$5*Conv!$D$46)/10^6 +#REF!</f>
        <v>#REF!</v>
      </c>
      <c r="J438" s="203" t="e">
        <f>#REF!*#REF!^5/(Conv!$I$5*Conv!$D$46)/10^6 +#REF!</f>
        <v>#REF!</v>
      </c>
      <c r="K438" s="203" t="e">
        <f>#REF!*#REF!^5/(Conv!$I$5*Conv!$D$46)/10^6 +#REF!</f>
        <v>#REF!</v>
      </c>
      <c r="L438" s="203" t="e">
        <f>#REF!*#REF!^5/(Conv!$I$5*Conv!$D$46)/10^6 +#REF!</f>
        <v>#REF!</v>
      </c>
      <c r="M438" s="203" t="e">
        <f>#REF!*#REF!^5/(Conv!$I$5*Conv!$D$46)/10^6 +#REF!</f>
        <v>#REF!</v>
      </c>
      <c r="N438" s="203" t="e">
        <f>#REF!*#REF!^5/(Conv!$I$5*Conv!$D$46)/10^6 +#REF!</f>
        <v>#REF!</v>
      </c>
      <c r="O438" s="203" t="e">
        <f>#REF!*#REF!^5/(Conv!$I$5*Conv!$D$46)/10^6 +#REF!</f>
        <v>#REF!</v>
      </c>
      <c r="P438" s="203" t="e">
        <f>#REF!*#REF!^5/(Conv!$I$5*Conv!$D$46)/10^6 +#REF!</f>
        <v>#REF!</v>
      </c>
      <c r="Q438" s="203" t="e">
        <f>#REF!*#REF!^5/(Conv!$I$5*Conv!$D$46)/10^6 +#REF!</f>
        <v>#REF!</v>
      </c>
      <c r="S438" s="177"/>
      <c r="T438" s="177"/>
      <c r="U438" s="177"/>
      <c r="V438" s="177"/>
      <c r="W438" s="177"/>
      <c r="X438" s="177"/>
      <c r="Y438" s="177"/>
      <c r="Z438" s="177"/>
      <c r="AA438" s="177"/>
      <c r="AB438" s="177"/>
      <c r="AC438" s="177"/>
    </row>
    <row r="439" spans="2:29">
      <c r="B439" s="158" t="s">
        <v>398</v>
      </c>
      <c r="C439" s="158" t="e">
        <f>Technologies!C648</f>
        <v>#REF!</v>
      </c>
      <c r="D439" s="158" t="e">
        <f>Technologies!D648</f>
        <v>#REF!</v>
      </c>
      <c r="E439" s="197" t="e">
        <f>E438</f>
        <v>#REF!</v>
      </c>
      <c r="F439" s="197" t="e">
        <f>Commodities!C235</f>
        <v>#REF!</v>
      </c>
      <c r="G439" s="204">
        <v>1</v>
      </c>
      <c r="H439" s="203" t="e">
        <f>#REF!*#REF!^5/(Conv!$I$5*Conv!$D$46)/10^6 +#REF!</f>
        <v>#REF!</v>
      </c>
      <c r="I439" s="203" t="e">
        <f>#REF!*#REF!^5/(Conv!$I$5*Conv!$D$46)/10^6 +#REF!</f>
        <v>#REF!</v>
      </c>
      <c r="J439" s="203" t="e">
        <f>#REF!*#REF!^5/(Conv!$I$5*Conv!$D$46)/10^6 +#REF!</f>
        <v>#REF!</v>
      </c>
      <c r="K439" s="203" t="e">
        <f>#REF!*#REF!^5/(Conv!$I$5*Conv!$D$46)/10^6 +#REF!</f>
        <v>#REF!</v>
      </c>
      <c r="L439" s="203" t="e">
        <f>#REF!*#REF!^5/(Conv!$I$5*Conv!$D$46)/10^6 +#REF!</f>
        <v>#REF!</v>
      </c>
      <c r="M439" s="203" t="e">
        <f>#REF!*#REF!^5/(Conv!$I$5*Conv!$D$46)/10^6 +#REF!</f>
        <v>#REF!</v>
      </c>
      <c r="N439" s="203" t="e">
        <f>#REF!*#REF!^5/(Conv!$I$5*Conv!$D$46)/10^6 +#REF!</f>
        <v>#REF!</v>
      </c>
      <c r="O439" s="203" t="e">
        <f>#REF!*#REF!^5/(Conv!$I$5*Conv!$D$46)/10^6 +#REF!</f>
        <v>#REF!</v>
      </c>
      <c r="P439" s="203" t="e">
        <f>#REF!*#REF!^5/(Conv!$I$5*Conv!$D$46)/10^6 +#REF!</f>
        <v>#REF!</v>
      </c>
      <c r="Q439" s="203" t="e">
        <f>#REF!*#REF!^5/(Conv!$I$5*Conv!$D$46)/10^6 +#REF!</f>
        <v>#REF!</v>
      </c>
      <c r="S439" s="177"/>
      <c r="T439" s="177"/>
      <c r="U439" s="177"/>
      <c r="V439" s="177"/>
      <c r="W439" s="177"/>
      <c r="X439" s="177"/>
      <c r="Y439" s="177"/>
      <c r="Z439" s="177"/>
      <c r="AA439" s="177"/>
      <c r="AB439" s="177"/>
      <c r="AC439" s="177"/>
    </row>
    <row r="440" spans="2:29">
      <c r="B440" s="158" t="s">
        <v>398</v>
      </c>
      <c r="C440" s="158" t="e">
        <f>Technologies!C649</f>
        <v>#REF!</v>
      </c>
      <c r="D440" s="158" t="e">
        <f>Technologies!D649</f>
        <v>#REF!</v>
      </c>
      <c r="E440" s="197" t="e">
        <f>E439</f>
        <v>#REF!</v>
      </c>
      <c r="F440" s="197" t="e">
        <f>Commodities!C236</f>
        <v>#REF!</v>
      </c>
      <c r="G440" s="204">
        <v>1</v>
      </c>
      <c r="H440" s="203" t="e">
        <f>#REF!*#REF!^5/(Conv!$I$5*Conv!$D$46)/10^6 +#REF!</f>
        <v>#REF!</v>
      </c>
      <c r="I440" s="203" t="e">
        <f>#REF!*#REF!^5/(Conv!$I$5*Conv!$D$46)/10^6 +#REF!</f>
        <v>#REF!</v>
      </c>
      <c r="J440" s="203" t="e">
        <f>#REF!*#REF!^5/(Conv!$I$5*Conv!$D$46)/10^6 +#REF!</f>
        <v>#REF!</v>
      </c>
      <c r="K440" s="203" t="e">
        <f>#REF!*#REF!^5/(Conv!$I$5*Conv!$D$46)/10^6 +#REF!</f>
        <v>#REF!</v>
      </c>
      <c r="L440" s="203" t="e">
        <f>#REF!*#REF!^5/(Conv!$I$5*Conv!$D$46)/10^6 +#REF!</f>
        <v>#REF!</v>
      </c>
      <c r="M440" s="203" t="e">
        <f>#REF!*#REF!^5/(Conv!$I$5*Conv!$D$46)/10^6 +#REF!</f>
        <v>#REF!</v>
      </c>
      <c r="N440" s="203" t="e">
        <f>#REF!*#REF!^5/(Conv!$I$5*Conv!$D$46)/10^6 +#REF!</f>
        <v>#REF!</v>
      </c>
      <c r="O440" s="203" t="e">
        <f>#REF!*#REF!^5/(Conv!$I$5*Conv!$D$46)/10^6 +#REF!</f>
        <v>#REF!</v>
      </c>
      <c r="P440" s="203" t="e">
        <f>#REF!*#REF!^5/(Conv!$I$5*Conv!$D$46)/10^6 +#REF!</f>
        <v>#REF!</v>
      </c>
      <c r="Q440" s="203" t="e">
        <f>#REF!*#REF!^5/(Conv!$I$5*Conv!$D$46)/10^6 +#REF!</f>
        <v>#REF!</v>
      </c>
      <c r="S440" s="177"/>
      <c r="T440" s="177"/>
      <c r="U440" s="177"/>
      <c r="V440" s="177"/>
      <c r="W440" s="177"/>
      <c r="X440" s="177"/>
      <c r="Y440" s="177"/>
      <c r="Z440" s="177"/>
      <c r="AA440" s="177"/>
      <c r="AB440" s="177"/>
      <c r="AC440" s="177"/>
    </row>
    <row r="441" spans="2:29">
      <c r="B441" s="158" t="s">
        <v>398</v>
      </c>
      <c r="C441" s="158" t="e">
        <f>Technologies!C650</f>
        <v>#REF!</v>
      </c>
      <c r="D441" s="158" t="e">
        <f>Technologies!D650</f>
        <v>#REF!</v>
      </c>
      <c r="E441" s="197" t="e">
        <f>E440</f>
        <v>#REF!</v>
      </c>
      <c r="F441" s="197" t="e">
        <f>Commodities!C237</f>
        <v>#REF!</v>
      </c>
      <c r="G441" s="204">
        <v>1</v>
      </c>
      <c r="H441" s="203" t="e">
        <f>#REF!*#REF!^5/(Conv!$I$5*Conv!$D$46)/10^6 +#REF!</f>
        <v>#REF!</v>
      </c>
      <c r="I441" s="203" t="e">
        <f>#REF!*#REF!^5/(Conv!$I$5*Conv!$D$46)/10^6 +#REF!</f>
        <v>#REF!</v>
      </c>
      <c r="J441" s="203" t="e">
        <f>#REF!*#REF!^5/(Conv!$I$5*Conv!$D$46)/10^6 +#REF!</f>
        <v>#REF!</v>
      </c>
      <c r="K441" s="203" t="e">
        <f>#REF!*#REF!^5/(Conv!$I$5*Conv!$D$46)/10^6 +#REF!</f>
        <v>#REF!</v>
      </c>
      <c r="L441" s="203" t="e">
        <f>#REF!*#REF!^5/(Conv!$I$5*Conv!$D$46)/10^6 +#REF!</f>
        <v>#REF!</v>
      </c>
      <c r="M441" s="203" t="e">
        <f>#REF!*#REF!^5/(Conv!$I$5*Conv!$D$46)/10^6 +#REF!</f>
        <v>#REF!</v>
      </c>
      <c r="N441" s="203" t="e">
        <f>#REF!*#REF!^5/(Conv!$I$5*Conv!$D$46)/10^6 +#REF!</f>
        <v>#REF!</v>
      </c>
      <c r="O441" s="203" t="e">
        <f>#REF!*#REF!^5/(Conv!$I$5*Conv!$D$46)/10^6 +#REF!</f>
        <v>#REF!</v>
      </c>
      <c r="P441" s="203" t="e">
        <f>#REF!*#REF!^5/(Conv!$I$5*Conv!$D$46)/10^6 +#REF!</f>
        <v>#REF!</v>
      </c>
      <c r="Q441" s="203" t="e">
        <f>#REF!*#REF!^5/(Conv!$I$5*Conv!$D$46)/10^6 +#REF!</f>
        <v>#REF!</v>
      </c>
      <c r="S441" s="177"/>
      <c r="T441" s="177"/>
      <c r="U441" s="177"/>
      <c r="V441" s="177"/>
      <c r="W441" s="177"/>
      <c r="X441" s="177"/>
      <c r="Y441" s="177"/>
      <c r="Z441" s="177"/>
      <c r="AA441" s="177"/>
      <c r="AB441" s="177"/>
      <c r="AC441" s="177"/>
    </row>
    <row r="442" spans="2:29">
      <c r="B442" s="158" t="s">
        <v>398</v>
      </c>
      <c r="C442" s="158" t="e">
        <f>Technologies!C651</f>
        <v>#REF!</v>
      </c>
      <c r="D442" s="158" t="e">
        <f>Technologies!D651</f>
        <v>#REF!</v>
      </c>
      <c r="E442" s="197" t="e">
        <f>Commodities!C164</f>
        <v>#REF!</v>
      </c>
      <c r="F442" s="197" t="e">
        <f>Commodities!C238</f>
        <v>#REF!</v>
      </c>
      <c r="G442" s="204">
        <v>1</v>
      </c>
      <c r="H442" s="203" t="e">
        <f>#REF!*#REF!^5/(Conv!$I$5*Conv!$D$46)/10^6 +#REF!</f>
        <v>#REF!</v>
      </c>
      <c r="I442" s="203" t="e">
        <f>#REF!*#REF!^5/(Conv!$I$5*Conv!$D$46)/10^6 +#REF!</f>
        <v>#REF!</v>
      </c>
      <c r="J442" s="203" t="e">
        <f>#REF!*#REF!^5/(Conv!$I$5*Conv!$D$46)/10^6 +#REF!</f>
        <v>#REF!</v>
      </c>
      <c r="K442" s="203" t="e">
        <f>#REF!*#REF!^5/(Conv!$I$5*Conv!$D$46)/10^6 +#REF!</f>
        <v>#REF!</v>
      </c>
      <c r="L442" s="203" t="e">
        <f>#REF!*#REF!^5/(Conv!$I$5*Conv!$D$46)/10^6 +#REF!</f>
        <v>#REF!</v>
      </c>
      <c r="M442" s="203" t="e">
        <f>#REF!*#REF!^5/(Conv!$I$5*Conv!$D$46)/10^6 +#REF!</f>
        <v>#REF!</v>
      </c>
      <c r="N442" s="203" t="e">
        <f>#REF!*#REF!^5/(Conv!$I$5*Conv!$D$46)/10^6 +#REF!</f>
        <v>#REF!</v>
      </c>
      <c r="O442" s="203" t="e">
        <f>#REF!*#REF!^5/(Conv!$I$5*Conv!$D$46)/10^6 +#REF!</f>
        <v>#REF!</v>
      </c>
      <c r="P442" s="203" t="e">
        <f>#REF!*#REF!^5/(Conv!$I$5*Conv!$D$46)/10^6 +#REF!</f>
        <v>#REF!</v>
      </c>
      <c r="Q442" s="203" t="e">
        <f>#REF!*#REF!^5/(Conv!$I$5*Conv!$D$46)/10^6 +#REF!</f>
        <v>#REF!</v>
      </c>
      <c r="S442" s="177"/>
      <c r="T442" s="177"/>
      <c r="U442" s="177"/>
      <c r="V442" s="177"/>
      <c r="W442" s="177"/>
      <c r="X442" s="177"/>
      <c r="Y442" s="177"/>
      <c r="Z442" s="177"/>
      <c r="AA442" s="177"/>
      <c r="AB442" s="177"/>
      <c r="AC442" s="177"/>
    </row>
    <row r="443" spans="2:29">
      <c r="B443" s="158" t="s">
        <v>398</v>
      </c>
      <c r="C443" s="158" t="e">
        <f>Technologies!C652</f>
        <v>#REF!</v>
      </c>
      <c r="D443" s="158" t="e">
        <f>Technologies!D652</f>
        <v>#REF!</v>
      </c>
      <c r="E443" s="197" t="e">
        <f>Commodities!C165</f>
        <v>#REF!</v>
      </c>
      <c r="F443" s="197" t="e">
        <f>Commodities!C239</f>
        <v>#REF!</v>
      </c>
      <c r="G443" s="204">
        <v>1</v>
      </c>
      <c r="H443" s="203" t="e">
        <f>#REF!*#REF!^5/(Conv!$I$5*Conv!$D$46)/10^6 +#REF!</f>
        <v>#REF!</v>
      </c>
      <c r="I443" s="203" t="e">
        <f>#REF!*#REF!^5/(Conv!$I$5*Conv!$D$46)/10^6 +#REF!</f>
        <v>#REF!</v>
      </c>
      <c r="J443" s="203" t="e">
        <f>#REF!*#REF!^5/(Conv!$I$5*Conv!$D$46)/10^6 +#REF!</f>
        <v>#REF!</v>
      </c>
      <c r="K443" s="203" t="e">
        <f>#REF!*#REF!^5/(Conv!$I$5*Conv!$D$46)/10^6 +#REF!</f>
        <v>#REF!</v>
      </c>
      <c r="L443" s="203" t="e">
        <f>#REF!*#REF!^5/(Conv!$I$5*Conv!$D$46)/10^6 +#REF!</f>
        <v>#REF!</v>
      </c>
      <c r="M443" s="203" t="e">
        <f>#REF!*#REF!^5/(Conv!$I$5*Conv!$D$46)/10^6 +#REF!</f>
        <v>#REF!</v>
      </c>
      <c r="N443" s="203" t="e">
        <f>#REF!*#REF!^5/(Conv!$I$5*Conv!$D$46)/10^6 +#REF!</f>
        <v>#REF!</v>
      </c>
      <c r="O443" s="203" t="e">
        <f>#REF!*#REF!^5/(Conv!$I$5*Conv!$D$46)/10^6 +#REF!</f>
        <v>#REF!</v>
      </c>
      <c r="P443" s="203" t="e">
        <f>#REF!*#REF!^5/(Conv!$I$5*Conv!$D$46)/10^6 +#REF!</f>
        <v>#REF!</v>
      </c>
      <c r="Q443" s="203" t="e">
        <f>#REF!*#REF!^5/(Conv!$I$5*Conv!$D$46)/10^6 +#REF!</f>
        <v>#REF!</v>
      </c>
      <c r="S443" s="177"/>
      <c r="T443" s="177"/>
      <c r="U443" s="177"/>
      <c r="V443" s="177"/>
      <c r="W443" s="177"/>
      <c r="X443" s="177"/>
      <c r="Y443" s="177"/>
      <c r="Z443" s="177"/>
      <c r="AA443" s="177"/>
      <c r="AB443" s="177"/>
      <c r="AC443" s="177"/>
    </row>
    <row r="444" spans="2:29">
      <c r="B444" s="158" t="s">
        <v>398</v>
      </c>
      <c r="C444" s="158" t="e">
        <f>Technologies!C654</f>
        <v>#REF!</v>
      </c>
      <c r="D444" s="158" t="e">
        <f>Technologies!D654</f>
        <v>#REF!</v>
      </c>
      <c r="E444" s="197" t="e">
        <f>Commodities!C167</f>
        <v>#REF!</v>
      </c>
      <c r="F444" s="197" t="e">
        <f>Commodities!C241</f>
        <v>#REF!</v>
      </c>
      <c r="G444" s="204">
        <v>1</v>
      </c>
      <c r="H444" s="203" t="e">
        <f>#REF!*#REF!^5/(Conv!$I$5*Conv!$D$46)/10^6 +#REF!</f>
        <v>#REF!</v>
      </c>
      <c r="I444" s="203" t="e">
        <f>#REF!*#REF!^5/(Conv!$I$5*Conv!$D$46)/10^6 +#REF!</f>
        <v>#REF!</v>
      </c>
      <c r="J444" s="203" t="e">
        <f>#REF!*#REF!^5/(Conv!$I$5*Conv!$D$46)/10^6 +#REF!</f>
        <v>#REF!</v>
      </c>
      <c r="K444" s="203" t="e">
        <f>#REF!*#REF!^5/(Conv!$I$5*Conv!$D$46)/10^6 +#REF!</f>
        <v>#REF!</v>
      </c>
      <c r="L444" s="203" t="e">
        <f>#REF!*#REF!^5/(Conv!$I$5*Conv!$D$46)/10^6 +#REF!</f>
        <v>#REF!</v>
      </c>
      <c r="M444" s="203" t="e">
        <f>#REF!*#REF!^5/(Conv!$I$5*Conv!$D$46)/10^6 +#REF!</f>
        <v>#REF!</v>
      </c>
      <c r="N444" s="203" t="e">
        <f>#REF!*#REF!^5/(Conv!$I$5*Conv!$D$46)/10^6 +#REF!</f>
        <v>#REF!</v>
      </c>
      <c r="O444" s="203" t="e">
        <f>#REF!*#REF!^5/(Conv!$I$5*Conv!$D$46)/10^6 +#REF!</f>
        <v>#REF!</v>
      </c>
      <c r="P444" s="203" t="e">
        <f>#REF!*#REF!^5/(Conv!$I$5*Conv!$D$46)/10^6 +#REF!</f>
        <v>#REF!</v>
      </c>
      <c r="Q444" s="203" t="e">
        <f>#REF!*#REF!^5/(Conv!$I$5*Conv!$D$46)/10^6 +#REF!</f>
        <v>#REF!</v>
      </c>
      <c r="S444" s="177"/>
      <c r="T444" s="177"/>
      <c r="U444" s="177"/>
      <c r="V444" s="177"/>
      <c r="W444" s="177"/>
      <c r="X444" s="177"/>
      <c r="Y444" s="177"/>
      <c r="Z444" s="177"/>
      <c r="AA444" s="177"/>
      <c r="AB444" s="177"/>
      <c r="AC444" s="177"/>
    </row>
    <row r="445" spans="2:29">
      <c r="B445" s="158" t="s">
        <v>398</v>
      </c>
      <c r="C445" s="158" t="e">
        <f>Technologies!C655</f>
        <v>#REF!</v>
      </c>
      <c r="D445" s="158" t="e">
        <f>Technologies!D655</f>
        <v>#REF!</v>
      </c>
      <c r="E445" s="197" t="e">
        <f>E444</f>
        <v>#REF!</v>
      </c>
      <c r="F445" s="197" t="e">
        <f>Commodities!C242</f>
        <v>#REF!</v>
      </c>
      <c r="G445" s="204">
        <v>1</v>
      </c>
      <c r="H445" s="203" t="e">
        <f>#REF!*#REF!^5/(Conv!$I$5*Conv!$D$46)/10^6 +#REF!</f>
        <v>#REF!</v>
      </c>
      <c r="I445" s="203" t="e">
        <f>#REF!*#REF!^5/(Conv!$I$5*Conv!$D$46)/10^6 +#REF!</f>
        <v>#REF!</v>
      </c>
      <c r="J445" s="203" t="e">
        <f>#REF!*#REF!^5/(Conv!$I$5*Conv!$D$46)/10^6 +#REF!</f>
        <v>#REF!</v>
      </c>
      <c r="K445" s="203" t="e">
        <f>#REF!*#REF!^5/(Conv!$I$5*Conv!$D$46)/10^6 +#REF!</f>
        <v>#REF!</v>
      </c>
      <c r="L445" s="203" t="e">
        <f>#REF!*#REF!^5/(Conv!$I$5*Conv!$D$46)/10^6 +#REF!</f>
        <v>#REF!</v>
      </c>
      <c r="M445" s="203" t="e">
        <f>#REF!*#REF!^5/(Conv!$I$5*Conv!$D$46)/10^6 +#REF!</f>
        <v>#REF!</v>
      </c>
      <c r="N445" s="203" t="e">
        <f>#REF!*#REF!^5/(Conv!$I$5*Conv!$D$46)/10^6 +#REF!</f>
        <v>#REF!</v>
      </c>
      <c r="O445" s="203" t="e">
        <f>#REF!*#REF!^5/(Conv!$I$5*Conv!$D$46)/10^6 +#REF!</f>
        <v>#REF!</v>
      </c>
      <c r="P445" s="203" t="e">
        <f>#REF!*#REF!^5/(Conv!$I$5*Conv!$D$46)/10^6 +#REF!</f>
        <v>#REF!</v>
      </c>
      <c r="Q445" s="203" t="e">
        <f>#REF!*#REF!^5/(Conv!$I$5*Conv!$D$46)/10^6 +#REF!</f>
        <v>#REF!</v>
      </c>
      <c r="S445" s="177"/>
      <c r="T445" s="177"/>
      <c r="U445" s="177"/>
      <c r="V445" s="177"/>
      <c r="W445" s="177"/>
      <c r="X445" s="177"/>
      <c r="Y445" s="177"/>
      <c r="Z445" s="177"/>
      <c r="AA445" s="177"/>
      <c r="AB445" s="177"/>
      <c r="AC445" s="177"/>
    </row>
    <row r="446" spans="2:29">
      <c r="B446" s="158" t="s">
        <v>398</v>
      </c>
      <c r="C446" s="158" t="e">
        <f>Technologies!C656</f>
        <v>#REF!</v>
      </c>
      <c r="D446" s="158" t="e">
        <f>Technologies!D656</f>
        <v>#REF!</v>
      </c>
      <c r="E446" s="197" t="e">
        <f>E445</f>
        <v>#REF!</v>
      </c>
      <c r="F446" s="197" t="e">
        <f>Commodities!C243</f>
        <v>#REF!</v>
      </c>
      <c r="G446" s="204">
        <v>1</v>
      </c>
      <c r="H446" s="203" t="e">
        <f>#REF!*#REF!^5/(Conv!$I$5*Conv!$D$46)/10^6 +#REF!</f>
        <v>#REF!</v>
      </c>
      <c r="I446" s="203" t="e">
        <f>#REF!*#REF!^5/(Conv!$I$5*Conv!$D$46)/10^6 +#REF!</f>
        <v>#REF!</v>
      </c>
      <c r="J446" s="203" t="e">
        <f>#REF!*#REF!^5/(Conv!$I$5*Conv!$D$46)/10^6 +#REF!</f>
        <v>#REF!</v>
      </c>
      <c r="K446" s="203" t="e">
        <f>#REF!*#REF!^5/(Conv!$I$5*Conv!$D$46)/10^6 +#REF!</f>
        <v>#REF!</v>
      </c>
      <c r="L446" s="203" t="e">
        <f>#REF!*#REF!^5/(Conv!$I$5*Conv!$D$46)/10^6 +#REF!</f>
        <v>#REF!</v>
      </c>
      <c r="M446" s="203" t="e">
        <f>#REF!*#REF!^5/(Conv!$I$5*Conv!$D$46)/10^6 +#REF!</f>
        <v>#REF!</v>
      </c>
      <c r="N446" s="203" t="e">
        <f>#REF!*#REF!^5/(Conv!$I$5*Conv!$D$46)/10^6 +#REF!</f>
        <v>#REF!</v>
      </c>
      <c r="O446" s="203" t="e">
        <f>#REF!*#REF!^5/(Conv!$I$5*Conv!$D$46)/10^6 +#REF!</f>
        <v>#REF!</v>
      </c>
      <c r="P446" s="203" t="e">
        <f>#REF!*#REF!^5/(Conv!$I$5*Conv!$D$46)/10^6 +#REF!</f>
        <v>#REF!</v>
      </c>
      <c r="Q446" s="203" t="e">
        <f>#REF!*#REF!^5/(Conv!$I$5*Conv!$D$46)/10^6 +#REF!</f>
        <v>#REF!</v>
      </c>
      <c r="S446" s="177"/>
      <c r="T446" s="177"/>
      <c r="U446" s="177"/>
      <c r="V446" s="177"/>
      <c r="W446" s="177"/>
      <c r="X446" s="177"/>
      <c r="Y446" s="177"/>
      <c r="Z446" s="177"/>
      <c r="AA446" s="177"/>
      <c r="AB446" s="177"/>
      <c r="AC446" s="177"/>
    </row>
    <row r="447" spans="2:29">
      <c r="B447" s="158" t="s">
        <v>398</v>
      </c>
      <c r="C447" s="158" t="e">
        <f>Technologies!C657</f>
        <v>#REF!</v>
      </c>
      <c r="D447" s="158" t="e">
        <f>Technologies!D657</f>
        <v>#REF!</v>
      </c>
      <c r="E447" s="197" t="e">
        <f>Commodities!C166</f>
        <v>#REF!</v>
      </c>
      <c r="F447" s="197" t="e">
        <f>Commodities!C244</f>
        <v>#REF!</v>
      </c>
      <c r="G447" s="204">
        <v>1</v>
      </c>
      <c r="H447" s="203" t="e">
        <f>#REF!*#REF!^5/(Conv!$I$5*Conv!$D$46)/10^6 +#REF!</f>
        <v>#REF!</v>
      </c>
      <c r="I447" s="203" t="e">
        <f>#REF!*#REF!^5/(Conv!$I$5*Conv!$D$46)/10^6 +#REF!</f>
        <v>#REF!</v>
      </c>
      <c r="J447" s="203" t="e">
        <f>#REF!*#REF!^5/(Conv!$I$5*Conv!$D$46)/10^6 +#REF!</f>
        <v>#REF!</v>
      </c>
      <c r="K447" s="203" t="e">
        <f>#REF!*#REF!^5/(Conv!$I$5*Conv!$D$46)/10^6 +#REF!</f>
        <v>#REF!</v>
      </c>
      <c r="L447" s="203" t="e">
        <f>#REF!*#REF!^5/(Conv!$I$5*Conv!$D$46)/10^6 +#REF!</f>
        <v>#REF!</v>
      </c>
      <c r="M447" s="203" t="e">
        <f>#REF!*#REF!^5/(Conv!$I$5*Conv!$D$46)/10^6 +#REF!</f>
        <v>#REF!</v>
      </c>
      <c r="N447" s="203" t="e">
        <f>#REF!*#REF!^5/(Conv!$I$5*Conv!$D$46)/10^6 +#REF!</f>
        <v>#REF!</v>
      </c>
      <c r="O447" s="203" t="e">
        <f>#REF!*#REF!^5/(Conv!$I$5*Conv!$D$46)/10^6 +#REF!</f>
        <v>#REF!</v>
      </c>
      <c r="P447" s="203" t="e">
        <f>#REF!*#REF!^5/(Conv!$I$5*Conv!$D$46)/10^6 +#REF!</f>
        <v>#REF!</v>
      </c>
      <c r="Q447" s="203" t="e">
        <f>#REF!*#REF!^5/(Conv!$I$5*Conv!$D$46)/10^6 +#REF!</f>
        <v>#REF!</v>
      </c>
      <c r="S447" s="177"/>
      <c r="T447" s="177"/>
      <c r="U447" s="177"/>
      <c r="V447" s="177"/>
      <c r="W447" s="177"/>
      <c r="X447" s="177"/>
      <c r="Y447" s="177"/>
      <c r="Z447" s="177"/>
      <c r="AA447" s="177"/>
      <c r="AB447" s="177"/>
      <c r="AC447" s="177"/>
    </row>
    <row r="448" spans="2:29">
      <c r="B448" s="158" t="s">
        <v>398</v>
      </c>
      <c r="C448" s="158" t="e">
        <f>Technologies!C658</f>
        <v>#REF!</v>
      </c>
      <c r="D448" s="158" t="e">
        <f>Technologies!D658</f>
        <v>#REF!</v>
      </c>
      <c r="E448" s="197" t="e">
        <f>E447</f>
        <v>#REF!</v>
      </c>
      <c r="F448" s="197" t="e">
        <f>Commodities!C245</f>
        <v>#REF!</v>
      </c>
      <c r="G448" s="204">
        <v>1</v>
      </c>
      <c r="H448" s="203" t="e">
        <f>#REF!*#REF!^5/(Conv!$I$5*Conv!$D$46)/10^6 +#REF!</f>
        <v>#REF!</v>
      </c>
      <c r="I448" s="203" t="e">
        <f>#REF!*#REF!^5/(Conv!$I$5*Conv!$D$46)/10^6 +#REF!</f>
        <v>#REF!</v>
      </c>
      <c r="J448" s="203" t="e">
        <f>#REF!*#REF!^5/(Conv!$I$5*Conv!$D$46)/10^6 +#REF!</f>
        <v>#REF!</v>
      </c>
      <c r="K448" s="203" t="e">
        <f>#REF!*#REF!^5/(Conv!$I$5*Conv!$D$46)/10^6 +#REF!</f>
        <v>#REF!</v>
      </c>
      <c r="L448" s="203" t="e">
        <f>#REF!*#REF!^5/(Conv!$I$5*Conv!$D$46)/10^6 +#REF!</f>
        <v>#REF!</v>
      </c>
      <c r="M448" s="203" t="e">
        <f>#REF!*#REF!^5/(Conv!$I$5*Conv!$D$46)/10^6 +#REF!</f>
        <v>#REF!</v>
      </c>
      <c r="N448" s="203" t="e">
        <f>#REF!*#REF!^5/(Conv!$I$5*Conv!$D$46)/10^6 +#REF!</f>
        <v>#REF!</v>
      </c>
      <c r="O448" s="203" t="e">
        <f>#REF!*#REF!^5/(Conv!$I$5*Conv!$D$46)/10^6 +#REF!</f>
        <v>#REF!</v>
      </c>
      <c r="P448" s="203" t="e">
        <f>#REF!*#REF!^5/(Conv!$I$5*Conv!$D$46)/10^6 +#REF!</f>
        <v>#REF!</v>
      </c>
      <c r="Q448" s="203" t="e">
        <f>#REF!*#REF!^5/(Conv!$I$5*Conv!$D$46)/10^6 +#REF!</f>
        <v>#REF!</v>
      </c>
      <c r="S448" s="177"/>
      <c r="T448" s="177"/>
      <c r="U448" s="177"/>
      <c r="V448" s="177"/>
      <c r="W448" s="177"/>
      <c r="X448" s="177"/>
      <c r="Y448" s="177"/>
      <c r="Z448" s="177"/>
      <c r="AA448" s="177"/>
      <c r="AB448" s="177"/>
      <c r="AC448" s="177"/>
    </row>
    <row r="449" spans="2:29">
      <c r="B449" s="158" t="s">
        <v>398</v>
      </c>
      <c r="C449" s="158" t="e">
        <f>Technologies!C659</f>
        <v>#REF!</v>
      </c>
      <c r="D449" s="158" t="e">
        <f>Technologies!D659</f>
        <v>#REF!</v>
      </c>
      <c r="E449" s="197" t="e">
        <f>Commodities!C168</f>
        <v>#REF!</v>
      </c>
      <c r="F449" s="197" t="e">
        <f>Commodities!C246</f>
        <v>#REF!</v>
      </c>
      <c r="G449" s="204">
        <v>1</v>
      </c>
      <c r="H449" s="203" t="e">
        <f>#REF!*#REF!^5/(Conv!$I$5*Conv!$D$46)/10^6 +#REF!</f>
        <v>#REF!</v>
      </c>
      <c r="I449" s="203" t="e">
        <f>#REF!*#REF!^5/(Conv!$I$5*Conv!$D$46)/10^6 +#REF!</f>
        <v>#REF!</v>
      </c>
      <c r="J449" s="203" t="e">
        <f>#REF!*#REF!^5/(Conv!$I$5*Conv!$D$46)/10^6 +#REF!</f>
        <v>#REF!</v>
      </c>
      <c r="K449" s="203" t="e">
        <f>#REF!*#REF!^5/(Conv!$I$5*Conv!$D$46)/10^6 +#REF!</f>
        <v>#REF!</v>
      </c>
      <c r="L449" s="203" t="e">
        <f>#REF!*#REF!^5/(Conv!$I$5*Conv!$D$46)/10^6 +#REF!</f>
        <v>#REF!</v>
      </c>
      <c r="M449" s="203" t="e">
        <f>#REF!*#REF!^5/(Conv!$I$5*Conv!$D$46)/10^6 +#REF!</f>
        <v>#REF!</v>
      </c>
      <c r="N449" s="203" t="e">
        <f>#REF!*#REF!^5/(Conv!$I$5*Conv!$D$46)/10^6 +#REF!</f>
        <v>#REF!</v>
      </c>
      <c r="O449" s="203" t="e">
        <f>#REF!*#REF!^5/(Conv!$I$5*Conv!$D$46)/10^6 +#REF!</f>
        <v>#REF!</v>
      </c>
      <c r="P449" s="203" t="e">
        <f>#REF!*#REF!^5/(Conv!$I$5*Conv!$D$46)/10^6 +#REF!</f>
        <v>#REF!</v>
      </c>
      <c r="Q449" s="203" t="e">
        <f>#REF!*#REF!^5/(Conv!$I$5*Conv!$D$46)/10^6 +#REF!</f>
        <v>#REF!</v>
      </c>
      <c r="S449" s="177"/>
      <c r="T449" s="177"/>
      <c r="U449" s="177"/>
      <c r="V449" s="177"/>
      <c r="W449" s="177"/>
      <c r="X449" s="177"/>
      <c r="Y449" s="177"/>
      <c r="Z449" s="177"/>
      <c r="AA449" s="177"/>
      <c r="AB449" s="177"/>
      <c r="AC449" s="177"/>
    </row>
    <row r="450" spans="2:29">
      <c r="B450" s="158" t="s">
        <v>398</v>
      </c>
      <c r="C450" s="158"/>
      <c r="D450" s="158"/>
      <c r="E450" s="197"/>
      <c r="F450" s="197"/>
      <c r="G450" s="204"/>
      <c r="H450" s="205"/>
      <c r="I450" s="205"/>
      <c r="J450" s="205"/>
      <c r="K450" s="205"/>
      <c r="L450" s="205"/>
      <c r="M450" s="205"/>
      <c r="N450" s="205"/>
      <c r="O450" s="205"/>
      <c r="P450" s="205"/>
      <c r="Q450" s="205"/>
    </row>
    <row r="451" spans="2:29">
      <c r="B451" s="158" t="s">
        <v>398</v>
      </c>
      <c r="C451" s="158" t="e">
        <f>Technologies!C610</f>
        <v>#REF!</v>
      </c>
      <c r="D451" s="158" t="e">
        <f>Technologies!D610</f>
        <v>#REF!</v>
      </c>
      <c r="E451" s="197" t="e">
        <f>Commodities!C143</f>
        <v>#REF!</v>
      </c>
      <c r="F451" s="197" t="e">
        <f>Commodities!C222</f>
        <v>#REF!</v>
      </c>
      <c r="G451" s="204">
        <v>1</v>
      </c>
      <c r="H451" s="203" t="e">
        <f>#REF!*#REF!^5/(Conv!$I$5*Conv!$D$46)/10^6 +#REF!</f>
        <v>#REF!</v>
      </c>
      <c r="I451" s="203" t="e">
        <f>#REF!*#REF!^5/(Conv!$I$5*Conv!$D$46)/10^6 +#REF!</f>
        <v>#REF!</v>
      </c>
      <c r="J451" s="203" t="e">
        <f>#REF!*#REF!^5/(Conv!$I$5*Conv!$D$46)/10^6 +#REF!</f>
        <v>#REF!</v>
      </c>
      <c r="K451" s="203" t="e">
        <f>#REF!*#REF!^5/(Conv!$I$5*Conv!$D$46)/10^6 +#REF!</f>
        <v>#REF!</v>
      </c>
      <c r="L451" s="203" t="e">
        <f>#REF!*#REF!^5/(Conv!$I$5*Conv!$D$46)/10^6 +#REF!</f>
        <v>#REF!</v>
      </c>
      <c r="M451" s="203" t="e">
        <f>#REF!*#REF!^5/(Conv!$I$5*Conv!$D$46)/10^6 +#REF!</f>
        <v>#REF!</v>
      </c>
      <c r="N451" s="203" t="e">
        <f>#REF!*#REF!^5/(Conv!$I$5*Conv!$D$46)/10^6 +#REF!</f>
        <v>#REF!</v>
      </c>
      <c r="O451" s="203" t="e">
        <f>#REF!*#REF!^5/(Conv!$I$5*Conv!$D$46)/10^6 +#REF!</f>
        <v>#REF!</v>
      </c>
      <c r="P451" s="203" t="e">
        <f>#REF!*#REF!^5/(Conv!$I$5*Conv!$D$46)/10^6 +#REF!</f>
        <v>#REF!</v>
      </c>
      <c r="Q451" s="203" t="e">
        <f>#REF!*#REF!^5/(Conv!$I$5*Conv!$D$46)/10^6 +#REF!</f>
        <v>#REF!</v>
      </c>
      <c r="S451" s="177"/>
      <c r="T451" s="177"/>
      <c r="U451" s="177"/>
      <c r="V451" s="177"/>
      <c r="W451" s="177"/>
      <c r="X451" s="177"/>
      <c r="Y451" s="177"/>
      <c r="Z451" s="177"/>
      <c r="AA451" s="177"/>
      <c r="AB451" s="177"/>
      <c r="AC451" s="177"/>
    </row>
    <row r="452" spans="2:29">
      <c r="B452" s="158" t="s">
        <v>398</v>
      </c>
      <c r="C452" s="158" t="e">
        <f>Technologies!C611</f>
        <v>#REF!</v>
      </c>
      <c r="D452" s="158" t="e">
        <f>Technologies!D611</f>
        <v>#REF!</v>
      </c>
      <c r="E452" s="197" t="e">
        <f>Commodities!C144</f>
        <v>#REF!</v>
      </c>
      <c r="F452" s="197" t="e">
        <f>Commodities!C223</f>
        <v>#REF!</v>
      </c>
      <c r="G452" s="204">
        <v>1</v>
      </c>
      <c r="H452" s="203" t="e">
        <f>#REF!*#REF!^5/(Conv!$I$5*Conv!$D$46)/10^6 +#REF!</f>
        <v>#REF!</v>
      </c>
      <c r="I452" s="203" t="e">
        <f>#REF!*#REF!^5/(Conv!$I$5*Conv!$D$46)/10^6 +#REF!</f>
        <v>#REF!</v>
      </c>
      <c r="J452" s="203" t="e">
        <f>#REF!*#REF!^5/(Conv!$I$5*Conv!$D$46)/10^6 +#REF!</f>
        <v>#REF!</v>
      </c>
      <c r="K452" s="203" t="e">
        <f>#REF!*#REF!^5/(Conv!$I$5*Conv!$D$46)/10^6 +#REF!</f>
        <v>#REF!</v>
      </c>
      <c r="L452" s="203" t="e">
        <f>#REF!*#REF!^5/(Conv!$I$5*Conv!$D$46)/10^6 +#REF!</f>
        <v>#REF!</v>
      </c>
      <c r="M452" s="203" t="e">
        <f>#REF!*#REF!^5/(Conv!$I$5*Conv!$D$46)/10^6 +#REF!</f>
        <v>#REF!</v>
      </c>
      <c r="N452" s="203" t="e">
        <f>#REF!*#REF!^5/(Conv!$I$5*Conv!$D$46)/10^6 +#REF!</f>
        <v>#REF!</v>
      </c>
      <c r="O452" s="203" t="e">
        <f>#REF!*#REF!^5/(Conv!$I$5*Conv!$D$46)/10^6 +#REF!</f>
        <v>#REF!</v>
      </c>
      <c r="P452" s="203" t="e">
        <f>#REF!*#REF!^5/(Conv!$I$5*Conv!$D$46)/10^6 +#REF!</f>
        <v>#REF!</v>
      </c>
      <c r="Q452" s="203" t="e">
        <f>#REF!*#REF!^5/(Conv!$I$5*Conv!$D$46)/10^6 +#REF!</f>
        <v>#REF!</v>
      </c>
      <c r="S452" s="177"/>
      <c r="T452" s="177"/>
      <c r="U452" s="177"/>
      <c r="V452" s="177"/>
      <c r="W452" s="177"/>
      <c r="X452" s="177"/>
      <c r="Y452" s="177"/>
      <c r="Z452" s="177"/>
      <c r="AA452" s="177"/>
      <c r="AB452" s="177"/>
      <c r="AC452" s="177"/>
    </row>
    <row r="453" spans="2:29">
      <c r="B453" s="158" t="s">
        <v>398</v>
      </c>
      <c r="C453" s="158" t="e">
        <f>Technologies!C612</f>
        <v>#REF!</v>
      </c>
      <c r="D453" s="158" t="e">
        <f>Technologies!D612</f>
        <v>#REF!</v>
      </c>
      <c r="E453" s="197" t="e">
        <f>Commodities!C145</f>
        <v>#REF!</v>
      </c>
      <c r="F453" s="197" t="e">
        <f>Commodities!C224</f>
        <v>#REF!</v>
      </c>
      <c r="G453" s="204">
        <v>1</v>
      </c>
      <c r="H453" s="203" t="e">
        <f>#REF!*#REF!^5/(Conv!$I$5*Conv!$D$46)/10^6 +#REF!</f>
        <v>#REF!</v>
      </c>
      <c r="I453" s="203" t="e">
        <f>#REF!*#REF!^5/(Conv!$I$5*Conv!$D$46)/10^6 +#REF!</f>
        <v>#REF!</v>
      </c>
      <c r="J453" s="203" t="e">
        <f>#REF!*#REF!^5/(Conv!$I$5*Conv!$D$46)/10^6 +#REF!</f>
        <v>#REF!</v>
      </c>
      <c r="K453" s="203" t="e">
        <f>#REF!*#REF!^5/(Conv!$I$5*Conv!$D$46)/10^6 +#REF!</f>
        <v>#REF!</v>
      </c>
      <c r="L453" s="203" t="e">
        <f>#REF!*#REF!^5/(Conv!$I$5*Conv!$D$46)/10^6 +#REF!</f>
        <v>#REF!</v>
      </c>
      <c r="M453" s="203" t="e">
        <f>#REF!*#REF!^5/(Conv!$I$5*Conv!$D$46)/10^6 +#REF!</f>
        <v>#REF!</v>
      </c>
      <c r="N453" s="203" t="e">
        <f>#REF!*#REF!^5/(Conv!$I$5*Conv!$D$46)/10^6 +#REF!</f>
        <v>#REF!</v>
      </c>
      <c r="O453" s="203" t="e">
        <f>#REF!*#REF!^5/(Conv!$I$5*Conv!$D$46)/10^6 +#REF!</f>
        <v>#REF!</v>
      </c>
      <c r="P453" s="203" t="e">
        <f>#REF!*#REF!^5/(Conv!$I$5*Conv!$D$46)/10^6 +#REF!</f>
        <v>#REF!</v>
      </c>
      <c r="Q453" s="203" t="e">
        <f>#REF!*#REF!^5/(Conv!$I$5*Conv!$D$46)/10^6 +#REF!</f>
        <v>#REF!</v>
      </c>
      <c r="S453" s="177"/>
      <c r="T453" s="177"/>
      <c r="U453" s="177"/>
      <c r="V453" s="177"/>
      <c r="W453" s="177"/>
      <c r="X453" s="177"/>
      <c r="Y453" s="177"/>
      <c r="Z453" s="177"/>
      <c r="AA453" s="177"/>
      <c r="AB453" s="177"/>
      <c r="AC453" s="177"/>
    </row>
    <row r="454" spans="2:29">
      <c r="B454" s="158" t="s">
        <v>398</v>
      </c>
      <c r="C454" s="158" t="e">
        <f>Technologies!C613</f>
        <v>#REF!</v>
      </c>
      <c r="D454" s="158" t="e">
        <f>Technologies!D613</f>
        <v>#REF!</v>
      </c>
      <c r="E454" s="197" t="e">
        <f>E453</f>
        <v>#REF!</v>
      </c>
      <c r="F454" s="197" t="e">
        <f>Commodities!C225</f>
        <v>#REF!</v>
      </c>
      <c r="G454" s="204">
        <v>1</v>
      </c>
      <c r="H454" s="203" t="e">
        <f>#REF!*#REF!^5/(Conv!$I$5*Conv!$D$46)/10^6 +#REF!</f>
        <v>#REF!</v>
      </c>
      <c r="I454" s="203" t="e">
        <f>#REF!*#REF!^5/(Conv!$I$5*Conv!$D$46)/10^6 +#REF!</f>
        <v>#REF!</v>
      </c>
      <c r="J454" s="203" t="e">
        <f>#REF!*#REF!^5/(Conv!$I$5*Conv!$D$46)/10^6 +#REF!</f>
        <v>#REF!</v>
      </c>
      <c r="K454" s="203" t="e">
        <f>#REF!*#REF!^5/(Conv!$I$5*Conv!$D$46)/10^6 +#REF!</f>
        <v>#REF!</v>
      </c>
      <c r="L454" s="203" t="e">
        <f>#REF!*#REF!^5/(Conv!$I$5*Conv!$D$46)/10^6 +#REF!</f>
        <v>#REF!</v>
      </c>
      <c r="M454" s="203" t="e">
        <f>#REF!*#REF!^5/(Conv!$I$5*Conv!$D$46)/10^6 +#REF!</f>
        <v>#REF!</v>
      </c>
      <c r="N454" s="203" t="e">
        <f>#REF!*#REF!^5/(Conv!$I$5*Conv!$D$46)/10^6 +#REF!</f>
        <v>#REF!</v>
      </c>
      <c r="O454" s="203" t="e">
        <f>#REF!*#REF!^5/(Conv!$I$5*Conv!$D$46)/10^6 +#REF!</f>
        <v>#REF!</v>
      </c>
      <c r="P454" s="203" t="e">
        <f>#REF!*#REF!^5/(Conv!$I$5*Conv!$D$46)/10^6 +#REF!</f>
        <v>#REF!</v>
      </c>
      <c r="Q454" s="203" t="e">
        <f>#REF!*#REF!^5/(Conv!$I$5*Conv!$D$46)/10^6 +#REF!</f>
        <v>#REF!</v>
      </c>
      <c r="S454" s="177"/>
      <c r="T454" s="177"/>
      <c r="U454" s="177"/>
      <c r="V454" s="177"/>
      <c r="W454" s="177"/>
      <c r="X454" s="177"/>
      <c r="Y454" s="177"/>
      <c r="Z454" s="177"/>
      <c r="AA454" s="177"/>
      <c r="AB454" s="177"/>
      <c r="AC454" s="177"/>
    </row>
    <row r="455" spans="2:29">
      <c r="B455" s="158" t="s">
        <v>398</v>
      </c>
      <c r="C455" s="158" t="e">
        <f>Technologies!C614</f>
        <v>#REF!</v>
      </c>
      <c r="D455" s="158" t="e">
        <f>Technologies!D614</f>
        <v>#REF!</v>
      </c>
      <c r="E455" s="197" t="e">
        <f>E454</f>
        <v>#REF!</v>
      </c>
      <c r="F455" s="197" t="e">
        <f>Commodities!C226</f>
        <v>#REF!</v>
      </c>
      <c r="G455" s="204">
        <v>1</v>
      </c>
      <c r="H455" s="203" t="e">
        <f>#REF!*#REF!^5/(Conv!$I$5*Conv!$D$46)/10^6 +#REF!</f>
        <v>#REF!</v>
      </c>
      <c r="I455" s="203" t="e">
        <f>#REF!*#REF!^5/(Conv!$I$5*Conv!$D$46)/10^6 +#REF!</f>
        <v>#REF!</v>
      </c>
      <c r="J455" s="203" t="e">
        <f>#REF!*#REF!^5/(Conv!$I$5*Conv!$D$46)/10^6 +#REF!</f>
        <v>#REF!</v>
      </c>
      <c r="K455" s="203" t="e">
        <f>#REF!*#REF!^5/(Conv!$I$5*Conv!$D$46)/10^6 +#REF!</f>
        <v>#REF!</v>
      </c>
      <c r="L455" s="203" t="e">
        <f>#REF!*#REF!^5/(Conv!$I$5*Conv!$D$46)/10^6 +#REF!</f>
        <v>#REF!</v>
      </c>
      <c r="M455" s="203" t="e">
        <f>#REF!*#REF!^5/(Conv!$I$5*Conv!$D$46)/10^6 +#REF!</f>
        <v>#REF!</v>
      </c>
      <c r="N455" s="203" t="e">
        <f>#REF!*#REF!^5/(Conv!$I$5*Conv!$D$46)/10^6 +#REF!</f>
        <v>#REF!</v>
      </c>
      <c r="O455" s="203" t="e">
        <f>#REF!*#REF!^5/(Conv!$I$5*Conv!$D$46)/10^6 +#REF!</f>
        <v>#REF!</v>
      </c>
      <c r="P455" s="203" t="e">
        <f>#REF!*#REF!^5/(Conv!$I$5*Conv!$D$46)/10^6 +#REF!</f>
        <v>#REF!</v>
      </c>
      <c r="Q455" s="203" t="e">
        <f>#REF!*#REF!^5/(Conv!$I$5*Conv!$D$46)/10^6 +#REF!</f>
        <v>#REF!</v>
      </c>
      <c r="S455" s="177"/>
      <c r="T455" s="177"/>
      <c r="U455" s="177"/>
      <c r="V455" s="177"/>
      <c r="W455" s="177"/>
      <c r="X455" s="177"/>
      <c r="Y455" s="177"/>
      <c r="Z455" s="177"/>
      <c r="AA455" s="177"/>
      <c r="AB455" s="177"/>
      <c r="AC455" s="177"/>
    </row>
    <row r="456" spans="2:29">
      <c r="B456" s="158" t="s">
        <v>398</v>
      </c>
      <c r="C456" s="158" t="e">
        <f>Technologies!C615</f>
        <v>#REF!</v>
      </c>
      <c r="D456" s="158" t="e">
        <f>Technologies!D615</f>
        <v>#REF!</v>
      </c>
      <c r="E456" s="197" t="e">
        <f>E455</f>
        <v>#REF!</v>
      </c>
      <c r="F456" s="197" t="e">
        <f>Commodities!C227</f>
        <v>#REF!</v>
      </c>
      <c r="G456" s="204">
        <v>1</v>
      </c>
      <c r="H456" s="203" t="e">
        <f>#REF!*#REF!^5/(Conv!$I$5*Conv!$D$46)/10^6 +#REF!</f>
        <v>#REF!</v>
      </c>
      <c r="I456" s="203" t="e">
        <f>#REF!*#REF!^5/(Conv!$I$5*Conv!$D$46)/10^6 +#REF!</f>
        <v>#REF!</v>
      </c>
      <c r="J456" s="203" t="e">
        <f>#REF!*#REF!^5/(Conv!$I$5*Conv!$D$46)/10^6 +#REF!</f>
        <v>#REF!</v>
      </c>
      <c r="K456" s="203" t="e">
        <f>#REF!*#REF!^5/(Conv!$I$5*Conv!$D$46)/10^6 +#REF!</f>
        <v>#REF!</v>
      </c>
      <c r="L456" s="203" t="e">
        <f>#REF!*#REF!^5/(Conv!$I$5*Conv!$D$46)/10^6 +#REF!</f>
        <v>#REF!</v>
      </c>
      <c r="M456" s="203" t="e">
        <f>#REF!*#REF!^5/(Conv!$I$5*Conv!$D$46)/10^6 +#REF!</f>
        <v>#REF!</v>
      </c>
      <c r="N456" s="203" t="e">
        <f>#REF!*#REF!^5/(Conv!$I$5*Conv!$D$46)/10^6 +#REF!</f>
        <v>#REF!</v>
      </c>
      <c r="O456" s="203" t="e">
        <f>#REF!*#REF!^5/(Conv!$I$5*Conv!$D$46)/10^6 +#REF!</f>
        <v>#REF!</v>
      </c>
      <c r="P456" s="203" t="e">
        <f>#REF!*#REF!^5/(Conv!$I$5*Conv!$D$46)/10^6 +#REF!</f>
        <v>#REF!</v>
      </c>
      <c r="Q456" s="203" t="e">
        <f>#REF!*#REF!^5/(Conv!$I$5*Conv!$D$46)/10^6 +#REF!</f>
        <v>#REF!</v>
      </c>
      <c r="S456" s="177"/>
      <c r="T456" s="177"/>
      <c r="U456" s="177"/>
      <c r="V456" s="177"/>
      <c r="W456" s="177"/>
      <c r="X456" s="177"/>
      <c r="Y456" s="177"/>
      <c r="Z456" s="177"/>
      <c r="AA456" s="177"/>
      <c r="AB456" s="177"/>
      <c r="AC456" s="177"/>
    </row>
    <row r="457" spans="2:29">
      <c r="B457" s="158" t="s">
        <v>398</v>
      </c>
      <c r="C457" s="158" t="e">
        <f>Technologies!C616</f>
        <v>#REF!</v>
      </c>
      <c r="D457" s="158" t="e">
        <f>Technologies!D616</f>
        <v>#REF!</v>
      </c>
      <c r="E457" s="197" t="e">
        <f>Commodities!C146</f>
        <v>#REF!</v>
      </c>
      <c r="F457" s="197" t="e">
        <f>Commodities!C228</f>
        <v>#REF!</v>
      </c>
      <c r="G457" s="204">
        <v>1</v>
      </c>
      <c r="H457" s="203" t="e">
        <f>#REF!*#REF!^5/(Conv!$I$5*Conv!$D$46)/10^6 +#REF!</f>
        <v>#REF!</v>
      </c>
      <c r="I457" s="203" t="e">
        <f>#REF!*#REF!^5/(Conv!$I$5*Conv!$D$46)/10^6 +#REF!</f>
        <v>#REF!</v>
      </c>
      <c r="J457" s="203" t="e">
        <f>#REF!*#REF!^5/(Conv!$I$5*Conv!$D$46)/10^6 +#REF!</f>
        <v>#REF!</v>
      </c>
      <c r="K457" s="203" t="e">
        <f>#REF!*#REF!^5/(Conv!$I$5*Conv!$D$46)/10^6 +#REF!</f>
        <v>#REF!</v>
      </c>
      <c r="L457" s="203" t="e">
        <f>#REF!*#REF!^5/(Conv!$I$5*Conv!$D$46)/10^6 +#REF!</f>
        <v>#REF!</v>
      </c>
      <c r="M457" s="203" t="e">
        <f>#REF!*#REF!^5/(Conv!$I$5*Conv!$D$46)/10^6 +#REF!</f>
        <v>#REF!</v>
      </c>
      <c r="N457" s="203" t="e">
        <f>#REF!*#REF!^5/(Conv!$I$5*Conv!$D$46)/10^6 +#REF!</f>
        <v>#REF!</v>
      </c>
      <c r="O457" s="203" t="e">
        <f>#REF!*#REF!^5/(Conv!$I$5*Conv!$D$46)/10^6 +#REF!</f>
        <v>#REF!</v>
      </c>
      <c r="P457" s="203" t="e">
        <f>#REF!*#REF!^5/(Conv!$I$5*Conv!$D$46)/10^6 +#REF!</f>
        <v>#REF!</v>
      </c>
      <c r="Q457" s="203" t="e">
        <f>#REF!*#REF!^5/(Conv!$I$5*Conv!$D$46)/10^6 +#REF!</f>
        <v>#REF!</v>
      </c>
      <c r="S457" s="177"/>
      <c r="T457" s="177"/>
      <c r="U457" s="177"/>
      <c r="V457" s="177"/>
      <c r="W457" s="177"/>
      <c r="X457" s="177"/>
      <c r="Y457" s="177"/>
      <c r="Z457" s="177"/>
      <c r="AA457" s="177"/>
      <c r="AB457" s="177"/>
      <c r="AC457" s="177"/>
    </row>
    <row r="458" spans="2:29">
      <c r="B458" s="158" t="s">
        <v>398</v>
      </c>
      <c r="C458" s="158" t="e">
        <f>Technologies!C617</f>
        <v>#REF!</v>
      </c>
      <c r="D458" s="158" t="e">
        <f>Technologies!D617</f>
        <v>#REF!</v>
      </c>
      <c r="E458" s="197" t="e">
        <f>Commodities!C147</f>
        <v>#REF!</v>
      </c>
      <c r="F458" s="197" t="e">
        <f>Commodities!C229</f>
        <v>#REF!</v>
      </c>
      <c r="G458" s="204">
        <v>1</v>
      </c>
      <c r="H458" s="203" t="e">
        <f>#REF!*#REF!^5/(Conv!$I$5*Conv!$D$46)/10^6 +#REF!</f>
        <v>#REF!</v>
      </c>
      <c r="I458" s="203" t="e">
        <f>#REF!*#REF!^5/(Conv!$I$5*Conv!$D$46)/10^6 +#REF!</f>
        <v>#REF!</v>
      </c>
      <c r="J458" s="203" t="e">
        <f>#REF!*#REF!^5/(Conv!$I$5*Conv!$D$46)/10^6 +#REF!</f>
        <v>#REF!</v>
      </c>
      <c r="K458" s="203" t="e">
        <f>#REF!*#REF!^5/(Conv!$I$5*Conv!$D$46)/10^6 +#REF!</f>
        <v>#REF!</v>
      </c>
      <c r="L458" s="203" t="e">
        <f>#REF!*#REF!^5/(Conv!$I$5*Conv!$D$46)/10^6 +#REF!</f>
        <v>#REF!</v>
      </c>
      <c r="M458" s="203" t="e">
        <f>#REF!*#REF!^5/(Conv!$I$5*Conv!$D$46)/10^6 +#REF!</f>
        <v>#REF!</v>
      </c>
      <c r="N458" s="203" t="e">
        <f>#REF!*#REF!^5/(Conv!$I$5*Conv!$D$46)/10^6 +#REF!</f>
        <v>#REF!</v>
      </c>
      <c r="O458" s="203" t="e">
        <f>#REF!*#REF!^5/(Conv!$I$5*Conv!$D$46)/10^6 +#REF!</f>
        <v>#REF!</v>
      </c>
      <c r="P458" s="203" t="e">
        <f>#REF!*#REF!^5/(Conv!$I$5*Conv!$D$46)/10^6 +#REF!</f>
        <v>#REF!</v>
      </c>
      <c r="Q458" s="203" t="e">
        <f>#REF!*#REF!^5/(Conv!$I$5*Conv!$D$46)/10^6 +#REF!</f>
        <v>#REF!</v>
      </c>
      <c r="S458" s="177"/>
      <c r="T458" s="177"/>
      <c r="U458" s="177"/>
      <c r="V458" s="177"/>
      <c r="W458" s="177"/>
      <c r="X458" s="177"/>
      <c r="Y458" s="177"/>
      <c r="Z458" s="177"/>
      <c r="AA458" s="177"/>
      <c r="AB458" s="177"/>
      <c r="AC458" s="177"/>
    </row>
    <row r="459" spans="2:29">
      <c r="B459" s="158" t="s">
        <v>398</v>
      </c>
      <c r="C459" s="158" t="e">
        <f>Technologies!C618</f>
        <v>#REF!</v>
      </c>
      <c r="D459" s="158" t="e">
        <f>Technologies!D618</f>
        <v>#REF!</v>
      </c>
      <c r="E459" s="197" t="e">
        <f>Commodities!C148</f>
        <v>#REF!</v>
      </c>
      <c r="F459" s="197" t="e">
        <f>Commodities!C230</f>
        <v>#REF!</v>
      </c>
      <c r="G459" s="204">
        <v>1</v>
      </c>
      <c r="H459" s="203" t="e">
        <f>#REF!*#REF!^5/(Conv!$I$5*Conv!$D$46)/10^6 +#REF!</f>
        <v>#REF!</v>
      </c>
      <c r="I459" s="203" t="e">
        <f>#REF!*#REF!^5/(Conv!$I$5*Conv!$D$46)/10^6 +#REF!</f>
        <v>#REF!</v>
      </c>
      <c r="J459" s="203" t="e">
        <f>#REF!*#REF!^5/(Conv!$I$5*Conv!$D$46)/10^6 +#REF!</f>
        <v>#REF!</v>
      </c>
      <c r="K459" s="203" t="e">
        <f>#REF!*#REF!^5/(Conv!$I$5*Conv!$D$46)/10^6 +#REF!</f>
        <v>#REF!</v>
      </c>
      <c r="L459" s="203" t="e">
        <f>#REF!*#REF!^5/(Conv!$I$5*Conv!$D$46)/10^6 +#REF!</f>
        <v>#REF!</v>
      </c>
      <c r="M459" s="203" t="e">
        <f>#REF!*#REF!^5/(Conv!$I$5*Conv!$D$46)/10^6 +#REF!</f>
        <v>#REF!</v>
      </c>
      <c r="N459" s="203" t="e">
        <f>#REF!*#REF!^5/(Conv!$I$5*Conv!$D$46)/10^6 +#REF!</f>
        <v>#REF!</v>
      </c>
      <c r="O459" s="203" t="e">
        <f>#REF!*#REF!^5/(Conv!$I$5*Conv!$D$46)/10^6 +#REF!</f>
        <v>#REF!</v>
      </c>
      <c r="P459" s="203" t="e">
        <f>#REF!*#REF!^5/(Conv!$I$5*Conv!$D$46)/10^6 +#REF!</f>
        <v>#REF!</v>
      </c>
      <c r="Q459" s="203" t="e">
        <f>#REF!*#REF!^5/(Conv!$I$5*Conv!$D$46)/10^6 +#REF!</f>
        <v>#REF!</v>
      </c>
      <c r="S459" s="177"/>
      <c r="T459" s="177"/>
      <c r="U459" s="177"/>
      <c r="V459" s="177"/>
      <c r="W459" s="177"/>
      <c r="X459" s="177"/>
      <c r="Y459" s="177"/>
      <c r="Z459" s="177"/>
      <c r="AA459" s="177"/>
      <c r="AB459" s="177"/>
      <c r="AC459" s="177"/>
    </row>
    <row r="460" spans="2:29">
      <c r="B460" s="158" t="s">
        <v>398</v>
      </c>
      <c r="C460" s="158" t="e">
        <f>Technologies!C619</f>
        <v>#REF!</v>
      </c>
      <c r="D460" s="158" t="e">
        <f>Technologies!D619</f>
        <v>#REF!</v>
      </c>
      <c r="E460" s="197" t="e">
        <f>Commodities!C149</f>
        <v>#REF!</v>
      </c>
      <c r="F460" s="197" t="e">
        <f>Commodities!C231</f>
        <v>#REF!</v>
      </c>
      <c r="G460" s="204">
        <v>1</v>
      </c>
      <c r="H460" s="203" t="e">
        <f>#REF!*#REF!^5/(Conv!$I$5*Conv!$D$46)/10^6 +#REF!</f>
        <v>#REF!</v>
      </c>
      <c r="I460" s="203" t="e">
        <f>#REF!*#REF!^5/(Conv!$I$5*Conv!$D$46)/10^6 +#REF!</f>
        <v>#REF!</v>
      </c>
      <c r="J460" s="203" t="e">
        <f>#REF!*#REF!^5/(Conv!$I$5*Conv!$D$46)/10^6 +#REF!</f>
        <v>#REF!</v>
      </c>
      <c r="K460" s="203" t="e">
        <f>#REF!*#REF!^5/(Conv!$I$5*Conv!$D$46)/10^6 +#REF!</f>
        <v>#REF!</v>
      </c>
      <c r="L460" s="203" t="e">
        <f>#REF!*#REF!^5/(Conv!$I$5*Conv!$D$46)/10^6 +#REF!</f>
        <v>#REF!</v>
      </c>
      <c r="M460" s="203" t="e">
        <f>#REF!*#REF!^5/(Conv!$I$5*Conv!$D$46)/10^6 +#REF!</f>
        <v>#REF!</v>
      </c>
      <c r="N460" s="203" t="e">
        <f>#REF!*#REF!^5/(Conv!$I$5*Conv!$D$46)/10^6 +#REF!</f>
        <v>#REF!</v>
      </c>
      <c r="O460" s="203" t="e">
        <f>#REF!*#REF!^5/(Conv!$I$5*Conv!$D$46)/10^6 +#REF!</f>
        <v>#REF!</v>
      </c>
      <c r="P460" s="203" t="e">
        <f>#REF!*#REF!^5/(Conv!$I$5*Conv!$D$46)/10^6 +#REF!</f>
        <v>#REF!</v>
      </c>
      <c r="Q460" s="203" t="e">
        <f>#REF!*#REF!^5/(Conv!$I$5*Conv!$D$46)/10^6 +#REF!</f>
        <v>#REF!</v>
      </c>
      <c r="S460" s="177"/>
      <c r="T460" s="177"/>
      <c r="U460" s="177"/>
      <c r="V460" s="177"/>
      <c r="W460" s="177"/>
      <c r="X460" s="177"/>
      <c r="Y460" s="177"/>
      <c r="Z460" s="177"/>
      <c r="AA460" s="177"/>
      <c r="AB460" s="177"/>
      <c r="AC460" s="177"/>
    </row>
    <row r="461" spans="2:29">
      <c r="B461" s="158" t="s">
        <v>398</v>
      </c>
      <c r="C461" s="158" t="e">
        <f>Technologies!C620</f>
        <v>#REF!</v>
      </c>
      <c r="D461" s="158" t="e">
        <f>Technologies!D620</f>
        <v>#REF!</v>
      </c>
      <c r="E461" s="197" t="e">
        <f>E460</f>
        <v>#REF!</v>
      </c>
      <c r="F461" s="197" t="e">
        <f>Commodities!C232</f>
        <v>#REF!</v>
      </c>
      <c r="G461" s="204">
        <v>1</v>
      </c>
      <c r="H461" s="203" t="e">
        <f>#REF!*#REF!^5/(Conv!$I$5*Conv!$D$46)/10^6 +#REF!</f>
        <v>#REF!</v>
      </c>
      <c r="I461" s="203" t="e">
        <f>#REF!*#REF!^5/(Conv!$I$5*Conv!$D$46)/10^6 +#REF!</f>
        <v>#REF!</v>
      </c>
      <c r="J461" s="203" t="e">
        <f>#REF!*#REF!^5/(Conv!$I$5*Conv!$D$46)/10^6 +#REF!</f>
        <v>#REF!</v>
      </c>
      <c r="K461" s="203" t="e">
        <f>#REF!*#REF!^5/(Conv!$I$5*Conv!$D$46)/10^6 +#REF!</f>
        <v>#REF!</v>
      </c>
      <c r="L461" s="203" t="e">
        <f>#REF!*#REF!^5/(Conv!$I$5*Conv!$D$46)/10^6 +#REF!</f>
        <v>#REF!</v>
      </c>
      <c r="M461" s="203" t="e">
        <f>#REF!*#REF!^5/(Conv!$I$5*Conv!$D$46)/10^6 +#REF!</f>
        <v>#REF!</v>
      </c>
      <c r="N461" s="203" t="e">
        <f>#REF!*#REF!^5/(Conv!$I$5*Conv!$D$46)/10^6 +#REF!</f>
        <v>#REF!</v>
      </c>
      <c r="O461" s="203" t="e">
        <f>#REF!*#REF!^5/(Conv!$I$5*Conv!$D$46)/10^6 +#REF!</f>
        <v>#REF!</v>
      </c>
      <c r="P461" s="203" t="e">
        <f>#REF!*#REF!^5/(Conv!$I$5*Conv!$D$46)/10^6 +#REF!</f>
        <v>#REF!</v>
      </c>
      <c r="Q461" s="203" t="e">
        <f>#REF!*#REF!^5/(Conv!$I$5*Conv!$D$46)/10^6 +#REF!</f>
        <v>#REF!</v>
      </c>
      <c r="S461" s="177"/>
      <c r="T461" s="177"/>
      <c r="U461" s="177"/>
      <c r="V461" s="177"/>
      <c r="W461" s="177"/>
      <c r="X461" s="177"/>
      <c r="Y461" s="177"/>
      <c r="Z461" s="177"/>
      <c r="AA461" s="177"/>
      <c r="AB461" s="177"/>
      <c r="AC461" s="177"/>
    </row>
    <row r="462" spans="2:29">
      <c r="B462" s="158" t="s">
        <v>398</v>
      </c>
      <c r="C462" s="158" t="e">
        <f>Technologies!C621</f>
        <v>#REF!</v>
      </c>
      <c r="D462" s="158" t="e">
        <f>Technologies!D621</f>
        <v>#REF!</v>
      </c>
      <c r="E462" s="197" t="e">
        <f>E461</f>
        <v>#REF!</v>
      </c>
      <c r="F462" s="197" t="e">
        <f>Commodities!C233</f>
        <v>#REF!</v>
      </c>
      <c r="G462" s="204">
        <v>1</v>
      </c>
      <c r="H462" s="203" t="e">
        <f>#REF!*#REF!^5/(Conv!$I$5*Conv!$D$46)/10^6 +#REF!</f>
        <v>#REF!</v>
      </c>
      <c r="I462" s="203" t="e">
        <f>#REF!*#REF!^5/(Conv!$I$5*Conv!$D$46)/10^6 +#REF!</f>
        <v>#REF!</v>
      </c>
      <c r="J462" s="203" t="e">
        <f>#REF!*#REF!^5/(Conv!$I$5*Conv!$D$46)/10^6 +#REF!</f>
        <v>#REF!</v>
      </c>
      <c r="K462" s="203" t="e">
        <f>#REF!*#REF!^5/(Conv!$I$5*Conv!$D$46)/10^6 +#REF!</f>
        <v>#REF!</v>
      </c>
      <c r="L462" s="203" t="e">
        <f>#REF!*#REF!^5/(Conv!$I$5*Conv!$D$46)/10^6 +#REF!</f>
        <v>#REF!</v>
      </c>
      <c r="M462" s="203" t="e">
        <f>#REF!*#REF!^5/(Conv!$I$5*Conv!$D$46)/10^6 +#REF!</f>
        <v>#REF!</v>
      </c>
      <c r="N462" s="203" t="e">
        <f>#REF!*#REF!^5/(Conv!$I$5*Conv!$D$46)/10^6 +#REF!</f>
        <v>#REF!</v>
      </c>
      <c r="O462" s="203" t="e">
        <f>#REF!*#REF!^5/(Conv!$I$5*Conv!$D$46)/10^6 +#REF!</f>
        <v>#REF!</v>
      </c>
      <c r="P462" s="203" t="e">
        <f>#REF!*#REF!^5/(Conv!$I$5*Conv!$D$46)/10^6 +#REF!</f>
        <v>#REF!</v>
      </c>
      <c r="Q462" s="203" t="e">
        <f>#REF!*#REF!^5/(Conv!$I$5*Conv!$D$46)/10^6 +#REF!</f>
        <v>#REF!</v>
      </c>
      <c r="S462" s="177"/>
      <c r="T462" s="177"/>
      <c r="U462" s="177"/>
      <c r="V462" s="177"/>
      <c r="W462" s="177"/>
      <c r="X462" s="177"/>
      <c r="Y462" s="177"/>
      <c r="Z462" s="177"/>
      <c r="AA462" s="177"/>
      <c r="AB462" s="177"/>
      <c r="AC462" s="177"/>
    </row>
    <row r="463" spans="2:29">
      <c r="B463" s="158" t="s">
        <v>398</v>
      </c>
      <c r="C463" s="158" t="e">
        <f>Technologies!C622</f>
        <v>#REF!</v>
      </c>
      <c r="D463" s="158" t="e">
        <f>Technologies!D622</f>
        <v>#REF!</v>
      </c>
      <c r="E463" s="197" t="e">
        <f>Commodities!C150</f>
        <v>#REF!</v>
      </c>
      <c r="F463" s="197" t="e">
        <f>Commodities!C234</f>
        <v>#REF!</v>
      </c>
      <c r="G463" s="204">
        <v>1</v>
      </c>
      <c r="H463" s="203" t="e">
        <f>#REF!*#REF!^5/(Conv!$I$5*Conv!$D$46)/10^6 +#REF!</f>
        <v>#REF!</v>
      </c>
      <c r="I463" s="203" t="e">
        <f>#REF!*#REF!^5/(Conv!$I$5*Conv!$D$46)/10^6 +#REF!</f>
        <v>#REF!</v>
      </c>
      <c r="J463" s="203" t="e">
        <f>#REF!*#REF!^5/(Conv!$I$5*Conv!$D$46)/10^6 +#REF!</f>
        <v>#REF!</v>
      </c>
      <c r="K463" s="203" t="e">
        <f>#REF!*#REF!^5/(Conv!$I$5*Conv!$D$46)/10^6 +#REF!</f>
        <v>#REF!</v>
      </c>
      <c r="L463" s="203" t="e">
        <f>#REF!*#REF!^5/(Conv!$I$5*Conv!$D$46)/10^6 +#REF!</f>
        <v>#REF!</v>
      </c>
      <c r="M463" s="203" t="e">
        <f>#REF!*#REF!^5/(Conv!$I$5*Conv!$D$46)/10^6 +#REF!</f>
        <v>#REF!</v>
      </c>
      <c r="N463" s="203" t="e">
        <f>#REF!*#REF!^5/(Conv!$I$5*Conv!$D$46)/10^6 +#REF!</f>
        <v>#REF!</v>
      </c>
      <c r="O463" s="203" t="e">
        <f>#REF!*#REF!^5/(Conv!$I$5*Conv!$D$46)/10^6 +#REF!</f>
        <v>#REF!</v>
      </c>
      <c r="P463" s="203" t="e">
        <f>#REF!*#REF!^5/(Conv!$I$5*Conv!$D$46)/10^6 +#REF!</f>
        <v>#REF!</v>
      </c>
      <c r="Q463" s="203" t="e">
        <f>#REF!*#REF!^5/(Conv!$I$5*Conv!$D$46)/10^6 +#REF!</f>
        <v>#REF!</v>
      </c>
      <c r="S463" s="177"/>
      <c r="T463" s="177"/>
      <c r="U463" s="177"/>
      <c r="V463" s="177"/>
      <c r="W463" s="177"/>
      <c r="X463" s="177"/>
      <c r="Y463" s="177"/>
      <c r="Z463" s="177"/>
      <c r="AA463" s="177"/>
      <c r="AB463" s="177"/>
      <c r="AC463" s="177"/>
    </row>
    <row r="464" spans="2:29">
      <c r="B464" s="158" t="s">
        <v>398</v>
      </c>
      <c r="C464" s="158" t="e">
        <f>Technologies!C623</f>
        <v>#REF!</v>
      </c>
      <c r="D464" s="158" t="e">
        <f>Technologies!D623</f>
        <v>#REF!</v>
      </c>
      <c r="E464" s="197" t="e">
        <f>E463</f>
        <v>#REF!</v>
      </c>
      <c r="F464" s="197" t="e">
        <f>Commodities!C235</f>
        <v>#REF!</v>
      </c>
      <c r="G464" s="204">
        <v>1</v>
      </c>
      <c r="H464" s="203" t="e">
        <f>#REF!*#REF!^5/(Conv!$I$5*Conv!$D$46)/10^6 +#REF!</f>
        <v>#REF!</v>
      </c>
      <c r="I464" s="203" t="e">
        <f>#REF!*#REF!^5/(Conv!$I$5*Conv!$D$46)/10^6 +#REF!</f>
        <v>#REF!</v>
      </c>
      <c r="J464" s="203" t="e">
        <f>#REF!*#REF!^5/(Conv!$I$5*Conv!$D$46)/10^6 +#REF!</f>
        <v>#REF!</v>
      </c>
      <c r="K464" s="203" t="e">
        <f>#REF!*#REF!^5/(Conv!$I$5*Conv!$D$46)/10^6 +#REF!</f>
        <v>#REF!</v>
      </c>
      <c r="L464" s="203" t="e">
        <f>#REF!*#REF!^5/(Conv!$I$5*Conv!$D$46)/10^6 +#REF!</f>
        <v>#REF!</v>
      </c>
      <c r="M464" s="203" t="e">
        <f>#REF!*#REF!^5/(Conv!$I$5*Conv!$D$46)/10^6 +#REF!</f>
        <v>#REF!</v>
      </c>
      <c r="N464" s="203" t="e">
        <f>#REF!*#REF!^5/(Conv!$I$5*Conv!$D$46)/10^6 +#REF!</f>
        <v>#REF!</v>
      </c>
      <c r="O464" s="203" t="e">
        <f>#REF!*#REF!^5/(Conv!$I$5*Conv!$D$46)/10^6 +#REF!</f>
        <v>#REF!</v>
      </c>
      <c r="P464" s="203" t="e">
        <f>#REF!*#REF!^5/(Conv!$I$5*Conv!$D$46)/10^6 +#REF!</f>
        <v>#REF!</v>
      </c>
      <c r="Q464" s="203" t="e">
        <f>#REF!*#REF!^5/(Conv!$I$5*Conv!$D$46)/10^6 +#REF!</f>
        <v>#REF!</v>
      </c>
      <c r="S464" s="177"/>
      <c r="T464" s="177"/>
      <c r="U464" s="177"/>
      <c r="V464" s="177"/>
      <c r="W464" s="177"/>
      <c r="X464" s="177"/>
      <c r="Y464" s="177"/>
      <c r="Z464" s="177"/>
      <c r="AA464" s="177"/>
      <c r="AB464" s="177"/>
      <c r="AC464" s="177"/>
    </row>
    <row r="465" spans="2:29">
      <c r="B465" s="158" t="s">
        <v>398</v>
      </c>
      <c r="C465" s="158" t="e">
        <f>Technologies!C624</f>
        <v>#REF!</v>
      </c>
      <c r="D465" s="158" t="e">
        <f>Technologies!D624</f>
        <v>#REF!</v>
      </c>
      <c r="E465" s="197" t="e">
        <f>E464</f>
        <v>#REF!</v>
      </c>
      <c r="F465" s="197" t="e">
        <f>Commodities!C236</f>
        <v>#REF!</v>
      </c>
      <c r="G465" s="204">
        <v>1</v>
      </c>
      <c r="H465" s="203" t="e">
        <f>#REF!*#REF!^5/(Conv!$I$5*Conv!$D$46)/10^6 +#REF!</f>
        <v>#REF!</v>
      </c>
      <c r="I465" s="203" t="e">
        <f>#REF!*#REF!^5/(Conv!$I$5*Conv!$D$46)/10^6 +#REF!</f>
        <v>#REF!</v>
      </c>
      <c r="J465" s="203" t="e">
        <f>#REF!*#REF!^5/(Conv!$I$5*Conv!$D$46)/10^6 +#REF!</f>
        <v>#REF!</v>
      </c>
      <c r="K465" s="203" t="e">
        <f>#REF!*#REF!^5/(Conv!$I$5*Conv!$D$46)/10^6 +#REF!</f>
        <v>#REF!</v>
      </c>
      <c r="L465" s="203" t="e">
        <f>#REF!*#REF!^5/(Conv!$I$5*Conv!$D$46)/10^6 +#REF!</f>
        <v>#REF!</v>
      </c>
      <c r="M465" s="203" t="e">
        <f>#REF!*#REF!^5/(Conv!$I$5*Conv!$D$46)/10^6 +#REF!</f>
        <v>#REF!</v>
      </c>
      <c r="N465" s="203" t="e">
        <f>#REF!*#REF!^5/(Conv!$I$5*Conv!$D$46)/10^6 +#REF!</f>
        <v>#REF!</v>
      </c>
      <c r="O465" s="203" t="e">
        <f>#REF!*#REF!^5/(Conv!$I$5*Conv!$D$46)/10^6 +#REF!</f>
        <v>#REF!</v>
      </c>
      <c r="P465" s="203" t="e">
        <f>#REF!*#REF!^5/(Conv!$I$5*Conv!$D$46)/10^6 +#REF!</f>
        <v>#REF!</v>
      </c>
      <c r="Q465" s="203" t="e">
        <f>#REF!*#REF!^5/(Conv!$I$5*Conv!$D$46)/10^6 +#REF!</f>
        <v>#REF!</v>
      </c>
      <c r="S465" s="177"/>
      <c r="T465" s="177"/>
      <c r="U465" s="177"/>
      <c r="V465" s="177"/>
      <c r="W465" s="177"/>
      <c r="X465" s="177"/>
      <c r="Y465" s="177"/>
      <c r="Z465" s="177"/>
      <c r="AA465" s="177"/>
      <c r="AB465" s="177"/>
      <c r="AC465" s="177"/>
    </row>
    <row r="466" spans="2:29">
      <c r="B466" s="158" t="s">
        <v>398</v>
      </c>
      <c r="C466" s="158" t="e">
        <f>Technologies!C625</f>
        <v>#REF!</v>
      </c>
      <c r="D466" s="158" t="e">
        <f>Technologies!D625</f>
        <v>#REF!</v>
      </c>
      <c r="E466" s="197" t="e">
        <f>E465</f>
        <v>#REF!</v>
      </c>
      <c r="F466" s="197" t="e">
        <f>Commodities!C237</f>
        <v>#REF!</v>
      </c>
      <c r="G466" s="204">
        <v>1</v>
      </c>
      <c r="H466" s="203" t="e">
        <f>#REF!*#REF!^5/(Conv!$I$5*Conv!$D$46)/10^6 +#REF!</f>
        <v>#REF!</v>
      </c>
      <c r="I466" s="203" t="e">
        <f>#REF!*#REF!^5/(Conv!$I$5*Conv!$D$46)/10^6 +#REF!</f>
        <v>#REF!</v>
      </c>
      <c r="J466" s="203" t="e">
        <f>#REF!*#REF!^5/(Conv!$I$5*Conv!$D$46)/10^6 +#REF!</f>
        <v>#REF!</v>
      </c>
      <c r="K466" s="203" t="e">
        <f>#REF!*#REF!^5/(Conv!$I$5*Conv!$D$46)/10^6 +#REF!</f>
        <v>#REF!</v>
      </c>
      <c r="L466" s="203" t="e">
        <f>#REF!*#REF!^5/(Conv!$I$5*Conv!$D$46)/10^6 +#REF!</f>
        <v>#REF!</v>
      </c>
      <c r="M466" s="203" t="e">
        <f>#REF!*#REF!^5/(Conv!$I$5*Conv!$D$46)/10^6 +#REF!</f>
        <v>#REF!</v>
      </c>
      <c r="N466" s="203" t="e">
        <f>#REF!*#REF!^5/(Conv!$I$5*Conv!$D$46)/10^6 +#REF!</f>
        <v>#REF!</v>
      </c>
      <c r="O466" s="203" t="e">
        <f>#REF!*#REF!^5/(Conv!$I$5*Conv!$D$46)/10^6 +#REF!</f>
        <v>#REF!</v>
      </c>
      <c r="P466" s="203" t="e">
        <f>#REF!*#REF!^5/(Conv!$I$5*Conv!$D$46)/10^6 +#REF!</f>
        <v>#REF!</v>
      </c>
      <c r="Q466" s="203" t="e">
        <f>#REF!*#REF!^5/(Conv!$I$5*Conv!$D$46)/10^6 +#REF!</f>
        <v>#REF!</v>
      </c>
      <c r="S466" s="177"/>
      <c r="T466" s="177"/>
      <c r="U466" s="177"/>
      <c r="V466" s="177"/>
      <c r="W466" s="177"/>
      <c r="X466" s="177"/>
      <c r="Y466" s="177"/>
      <c r="Z466" s="177"/>
      <c r="AA466" s="177"/>
      <c r="AB466" s="177"/>
      <c r="AC466" s="177"/>
    </row>
    <row r="467" spans="2:29">
      <c r="B467" s="158" t="s">
        <v>398</v>
      </c>
      <c r="C467" s="158" t="e">
        <f>Technologies!C626</f>
        <v>#REF!</v>
      </c>
      <c r="D467" s="158" t="e">
        <f>Technologies!D626</f>
        <v>#REF!</v>
      </c>
      <c r="E467" s="197" t="e">
        <f>Commodities!C151</f>
        <v>#REF!</v>
      </c>
      <c r="F467" s="197" t="e">
        <f>Commodities!C238</f>
        <v>#REF!</v>
      </c>
      <c r="G467" s="204">
        <v>1</v>
      </c>
      <c r="H467" s="203" t="e">
        <f>#REF!*#REF!^5/(Conv!$I$5*Conv!$D$46)/10^6 +#REF!</f>
        <v>#REF!</v>
      </c>
      <c r="I467" s="203" t="e">
        <f>#REF!*#REF!^5/(Conv!$I$5*Conv!$D$46)/10^6 +#REF!</f>
        <v>#REF!</v>
      </c>
      <c r="J467" s="203" t="e">
        <f>#REF!*#REF!^5/(Conv!$I$5*Conv!$D$46)/10^6 +#REF!</f>
        <v>#REF!</v>
      </c>
      <c r="K467" s="203" t="e">
        <f>#REF!*#REF!^5/(Conv!$I$5*Conv!$D$46)/10^6 +#REF!</f>
        <v>#REF!</v>
      </c>
      <c r="L467" s="203" t="e">
        <f>#REF!*#REF!^5/(Conv!$I$5*Conv!$D$46)/10^6 +#REF!</f>
        <v>#REF!</v>
      </c>
      <c r="M467" s="203" t="e">
        <f>#REF!*#REF!^5/(Conv!$I$5*Conv!$D$46)/10^6 +#REF!</f>
        <v>#REF!</v>
      </c>
      <c r="N467" s="203" t="e">
        <f>#REF!*#REF!^5/(Conv!$I$5*Conv!$D$46)/10^6 +#REF!</f>
        <v>#REF!</v>
      </c>
      <c r="O467" s="203" t="e">
        <f>#REF!*#REF!^5/(Conv!$I$5*Conv!$D$46)/10^6 +#REF!</f>
        <v>#REF!</v>
      </c>
      <c r="P467" s="203" t="e">
        <f>#REF!*#REF!^5/(Conv!$I$5*Conv!$D$46)/10^6 +#REF!</f>
        <v>#REF!</v>
      </c>
      <c r="Q467" s="203" t="e">
        <f>#REF!*#REF!^5/(Conv!$I$5*Conv!$D$46)/10^6 +#REF!</f>
        <v>#REF!</v>
      </c>
      <c r="S467" s="177"/>
      <c r="T467" s="177"/>
      <c r="U467" s="177"/>
      <c r="V467" s="177"/>
      <c r="W467" s="177"/>
      <c r="X467" s="177"/>
      <c r="Y467" s="177"/>
      <c r="Z467" s="177"/>
      <c r="AA467" s="177"/>
      <c r="AB467" s="177"/>
      <c r="AC467" s="177"/>
    </row>
    <row r="468" spans="2:29">
      <c r="B468" s="158" t="s">
        <v>398</v>
      </c>
      <c r="C468" s="158" t="e">
        <f>Technologies!C627</f>
        <v>#REF!</v>
      </c>
      <c r="D468" s="158" t="e">
        <f>Technologies!D627</f>
        <v>#REF!</v>
      </c>
      <c r="E468" s="197" t="e">
        <f>Commodities!C152</f>
        <v>#REF!</v>
      </c>
      <c r="F468" s="197" t="e">
        <f>Commodities!C239</f>
        <v>#REF!</v>
      </c>
      <c r="G468" s="204">
        <v>1</v>
      </c>
      <c r="H468" s="203" t="e">
        <f>#REF!*#REF!^5/(Conv!$I$5*Conv!$D$46)/10^6 +#REF!</f>
        <v>#REF!</v>
      </c>
      <c r="I468" s="203" t="e">
        <f>#REF!*#REF!^5/(Conv!$I$5*Conv!$D$46)/10^6 +#REF!</f>
        <v>#REF!</v>
      </c>
      <c r="J468" s="203" t="e">
        <f>#REF!*#REF!^5/(Conv!$I$5*Conv!$D$46)/10^6 +#REF!</f>
        <v>#REF!</v>
      </c>
      <c r="K468" s="203" t="e">
        <f>#REF!*#REF!^5/(Conv!$I$5*Conv!$D$46)/10^6 +#REF!</f>
        <v>#REF!</v>
      </c>
      <c r="L468" s="203" t="e">
        <f>#REF!*#REF!^5/(Conv!$I$5*Conv!$D$46)/10^6 +#REF!</f>
        <v>#REF!</v>
      </c>
      <c r="M468" s="203" t="e">
        <f>#REF!*#REF!^5/(Conv!$I$5*Conv!$D$46)/10^6 +#REF!</f>
        <v>#REF!</v>
      </c>
      <c r="N468" s="203" t="e">
        <f>#REF!*#REF!^5/(Conv!$I$5*Conv!$D$46)/10^6 +#REF!</f>
        <v>#REF!</v>
      </c>
      <c r="O468" s="203" t="e">
        <f>#REF!*#REF!^5/(Conv!$I$5*Conv!$D$46)/10^6 +#REF!</f>
        <v>#REF!</v>
      </c>
      <c r="P468" s="203" t="e">
        <f>#REF!*#REF!^5/(Conv!$I$5*Conv!$D$46)/10^6 +#REF!</f>
        <v>#REF!</v>
      </c>
      <c r="Q468" s="203" t="e">
        <f>#REF!*#REF!^5/(Conv!$I$5*Conv!$D$46)/10^6 +#REF!</f>
        <v>#REF!</v>
      </c>
      <c r="S468" s="177"/>
      <c r="T468" s="177"/>
      <c r="U468" s="177"/>
      <c r="V468" s="177"/>
      <c r="W468" s="177"/>
      <c r="X468" s="177"/>
      <c r="Y468" s="177"/>
      <c r="Z468" s="177"/>
      <c r="AA468" s="177"/>
      <c r="AB468" s="177"/>
      <c r="AC468" s="177"/>
    </row>
    <row r="469" spans="2:29">
      <c r="B469" s="158" t="s">
        <v>398</v>
      </c>
      <c r="C469" s="158" t="e">
        <f>Technologies!C629</f>
        <v>#REF!</v>
      </c>
      <c r="D469" s="158" t="e">
        <f>Technologies!D629</f>
        <v>#REF!</v>
      </c>
      <c r="E469" s="197" t="e">
        <f>Commodities!C154</f>
        <v>#REF!</v>
      </c>
      <c r="F469" s="197" t="e">
        <f>Commodities!C241</f>
        <v>#REF!</v>
      </c>
      <c r="G469" s="204">
        <v>1</v>
      </c>
      <c r="H469" s="203" t="e">
        <f>#REF!*#REF!^5/(Conv!$I$5*Conv!$D$46)/10^6 +#REF!</f>
        <v>#REF!</v>
      </c>
      <c r="I469" s="203" t="e">
        <f>#REF!*#REF!^5/(Conv!$I$5*Conv!$D$46)/10^6 +#REF!</f>
        <v>#REF!</v>
      </c>
      <c r="J469" s="203" t="e">
        <f>#REF!*#REF!^5/(Conv!$I$5*Conv!$D$46)/10^6 +#REF!</f>
        <v>#REF!</v>
      </c>
      <c r="K469" s="203" t="e">
        <f>#REF!*#REF!^5/(Conv!$I$5*Conv!$D$46)/10^6 +#REF!</f>
        <v>#REF!</v>
      </c>
      <c r="L469" s="203" t="e">
        <f>#REF!*#REF!^5/(Conv!$I$5*Conv!$D$46)/10^6 +#REF!</f>
        <v>#REF!</v>
      </c>
      <c r="M469" s="203" t="e">
        <f>#REF!*#REF!^5/(Conv!$I$5*Conv!$D$46)/10^6 +#REF!</f>
        <v>#REF!</v>
      </c>
      <c r="N469" s="203" t="e">
        <f>#REF!*#REF!^5/(Conv!$I$5*Conv!$D$46)/10^6 +#REF!</f>
        <v>#REF!</v>
      </c>
      <c r="O469" s="203" t="e">
        <f>#REF!*#REF!^5/(Conv!$I$5*Conv!$D$46)/10^6 +#REF!</f>
        <v>#REF!</v>
      </c>
      <c r="P469" s="203" t="e">
        <f>#REF!*#REF!^5/(Conv!$I$5*Conv!$D$46)/10^6 +#REF!</f>
        <v>#REF!</v>
      </c>
      <c r="Q469" s="203" t="e">
        <f>#REF!*#REF!^5/(Conv!$I$5*Conv!$D$46)/10^6 +#REF!</f>
        <v>#REF!</v>
      </c>
      <c r="S469" s="177"/>
      <c r="T469" s="177"/>
      <c r="U469" s="177"/>
      <c r="V469" s="177"/>
      <c r="W469" s="177"/>
      <c r="X469" s="177"/>
      <c r="Y469" s="177"/>
      <c r="Z469" s="177"/>
      <c r="AA469" s="177"/>
      <c r="AB469" s="177"/>
      <c r="AC469" s="177"/>
    </row>
    <row r="470" spans="2:29">
      <c r="B470" s="158" t="s">
        <v>398</v>
      </c>
      <c r="C470" s="158" t="e">
        <f>Technologies!C630</f>
        <v>#REF!</v>
      </c>
      <c r="D470" s="158" t="e">
        <f>Technologies!D630</f>
        <v>#REF!</v>
      </c>
      <c r="E470" s="197" t="e">
        <f>E469</f>
        <v>#REF!</v>
      </c>
      <c r="F470" s="197" t="e">
        <f>Commodities!C242</f>
        <v>#REF!</v>
      </c>
      <c r="G470" s="204">
        <v>1</v>
      </c>
      <c r="H470" s="203" t="e">
        <f>#REF!*#REF!^5/(Conv!$I$5*Conv!$D$46)/10^6 +#REF!</f>
        <v>#REF!</v>
      </c>
      <c r="I470" s="203" t="e">
        <f>#REF!*#REF!^5/(Conv!$I$5*Conv!$D$46)/10^6 +#REF!</f>
        <v>#REF!</v>
      </c>
      <c r="J470" s="203" t="e">
        <f>#REF!*#REF!^5/(Conv!$I$5*Conv!$D$46)/10^6 +#REF!</f>
        <v>#REF!</v>
      </c>
      <c r="K470" s="203" t="e">
        <f>#REF!*#REF!^5/(Conv!$I$5*Conv!$D$46)/10^6 +#REF!</f>
        <v>#REF!</v>
      </c>
      <c r="L470" s="203" t="e">
        <f>#REF!*#REF!^5/(Conv!$I$5*Conv!$D$46)/10^6 +#REF!</f>
        <v>#REF!</v>
      </c>
      <c r="M470" s="203" t="e">
        <f>#REF!*#REF!^5/(Conv!$I$5*Conv!$D$46)/10^6 +#REF!</f>
        <v>#REF!</v>
      </c>
      <c r="N470" s="203" t="e">
        <f>#REF!*#REF!^5/(Conv!$I$5*Conv!$D$46)/10^6 +#REF!</f>
        <v>#REF!</v>
      </c>
      <c r="O470" s="203" t="e">
        <f>#REF!*#REF!^5/(Conv!$I$5*Conv!$D$46)/10^6 +#REF!</f>
        <v>#REF!</v>
      </c>
      <c r="P470" s="203" t="e">
        <f>#REF!*#REF!^5/(Conv!$I$5*Conv!$D$46)/10^6 +#REF!</f>
        <v>#REF!</v>
      </c>
      <c r="Q470" s="203" t="e">
        <f>#REF!*#REF!^5/(Conv!$I$5*Conv!$D$46)/10^6 +#REF!</f>
        <v>#REF!</v>
      </c>
      <c r="S470" s="177"/>
      <c r="T470" s="177"/>
      <c r="U470" s="177"/>
      <c r="V470" s="177"/>
      <c r="W470" s="177"/>
      <c r="X470" s="177"/>
      <c r="Y470" s="177"/>
      <c r="Z470" s="177"/>
      <c r="AA470" s="177"/>
      <c r="AB470" s="177"/>
      <c r="AC470" s="177"/>
    </row>
    <row r="471" spans="2:29">
      <c r="B471" s="158" t="s">
        <v>398</v>
      </c>
      <c r="C471" s="158" t="e">
        <f>Technologies!C631</f>
        <v>#REF!</v>
      </c>
      <c r="D471" s="158" t="e">
        <f>Technologies!D631</f>
        <v>#REF!</v>
      </c>
      <c r="E471" s="197" t="e">
        <f>E470</f>
        <v>#REF!</v>
      </c>
      <c r="F471" s="197" t="e">
        <f>Commodities!C243</f>
        <v>#REF!</v>
      </c>
      <c r="G471" s="204">
        <v>1</v>
      </c>
      <c r="H471" s="203" t="e">
        <f>#REF!*#REF!^5/(Conv!$I$5*Conv!$D$46)/10^6 +#REF!</f>
        <v>#REF!</v>
      </c>
      <c r="I471" s="203" t="e">
        <f>#REF!*#REF!^5/(Conv!$I$5*Conv!$D$46)/10^6 +#REF!</f>
        <v>#REF!</v>
      </c>
      <c r="J471" s="203" t="e">
        <f>#REF!*#REF!^5/(Conv!$I$5*Conv!$D$46)/10^6 +#REF!</f>
        <v>#REF!</v>
      </c>
      <c r="K471" s="203" t="e">
        <f>#REF!*#REF!^5/(Conv!$I$5*Conv!$D$46)/10^6 +#REF!</f>
        <v>#REF!</v>
      </c>
      <c r="L471" s="203" t="e">
        <f>#REF!*#REF!^5/(Conv!$I$5*Conv!$D$46)/10^6 +#REF!</f>
        <v>#REF!</v>
      </c>
      <c r="M471" s="203" t="e">
        <f>#REF!*#REF!^5/(Conv!$I$5*Conv!$D$46)/10^6 +#REF!</f>
        <v>#REF!</v>
      </c>
      <c r="N471" s="203" t="e">
        <f>#REF!*#REF!^5/(Conv!$I$5*Conv!$D$46)/10^6 +#REF!</f>
        <v>#REF!</v>
      </c>
      <c r="O471" s="203" t="e">
        <f>#REF!*#REF!^5/(Conv!$I$5*Conv!$D$46)/10^6 +#REF!</f>
        <v>#REF!</v>
      </c>
      <c r="P471" s="203" t="e">
        <f>#REF!*#REF!^5/(Conv!$I$5*Conv!$D$46)/10^6 +#REF!</f>
        <v>#REF!</v>
      </c>
      <c r="Q471" s="203" t="e">
        <f>#REF!*#REF!^5/(Conv!$I$5*Conv!$D$46)/10^6 +#REF!</f>
        <v>#REF!</v>
      </c>
      <c r="S471" s="177"/>
      <c r="T471" s="177"/>
      <c r="U471" s="177"/>
      <c r="V471" s="177"/>
      <c r="W471" s="177"/>
      <c r="X471" s="177"/>
      <c r="Y471" s="177"/>
      <c r="Z471" s="177"/>
      <c r="AA471" s="177"/>
      <c r="AB471" s="177"/>
      <c r="AC471" s="177"/>
    </row>
    <row r="472" spans="2:29">
      <c r="B472" s="158" t="s">
        <v>398</v>
      </c>
      <c r="C472" s="158" t="e">
        <f>Technologies!C632</f>
        <v>#REF!</v>
      </c>
      <c r="D472" s="158" t="e">
        <f>Technologies!D632</f>
        <v>#REF!</v>
      </c>
      <c r="E472" s="197" t="e">
        <f>Commodities!C153</f>
        <v>#REF!</v>
      </c>
      <c r="F472" s="197" t="e">
        <f>Commodities!C244</f>
        <v>#REF!</v>
      </c>
      <c r="G472" s="204">
        <v>1</v>
      </c>
      <c r="H472" s="203" t="e">
        <f>#REF!*#REF!^5/(Conv!$I$5*Conv!$D$46)/10^6 +#REF!</f>
        <v>#REF!</v>
      </c>
      <c r="I472" s="203" t="e">
        <f>#REF!*#REF!^5/(Conv!$I$5*Conv!$D$46)/10^6 +#REF!</f>
        <v>#REF!</v>
      </c>
      <c r="J472" s="203" t="e">
        <f>#REF!*#REF!^5/(Conv!$I$5*Conv!$D$46)/10^6 +#REF!</f>
        <v>#REF!</v>
      </c>
      <c r="K472" s="203" t="e">
        <f>#REF!*#REF!^5/(Conv!$I$5*Conv!$D$46)/10^6 +#REF!</f>
        <v>#REF!</v>
      </c>
      <c r="L472" s="203" t="e">
        <f>#REF!*#REF!^5/(Conv!$I$5*Conv!$D$46)/10^6 +#REF!</f>
        <v>#REF!</v>
      </c>
      <c r="M472" s="203" t="e">
        <f>#REF!*#REF!^5/(Conv!$I$5*Conv!$D$46)/10^6 +#REF!</f>
        <v>#REF!</v>
      </c>
      <c r="N472" s="203" t="e">
        <f>#REF!*#REF!^5/(Conv!$I$5*Conv!$D$46)/10^6 +#REF!</f>
        <v>#REF!</v>
      </c>
      <c r="O472" s="203" t="e">
        <f>#REF!*#REF!^5/(Conv!$I$5*Conv!$D$46)/10^6 +#REF!</f>
        <v>#REF!</v>
      </c>
      <c r="P472" s="203" t="e">
        <f>#REF!*#REF!^5/(Conv!$I$5*Conv!$D$46)/10^6 +#REF!</f>
        <v>#REF!</v>
      </c>
      <c r="Q472" s="203" t="e">
        <f>#REF!*#REF!^5/(Conv!$I$5*Conv!$D$46)/10^6 +#REF!</f>
        <v>#REF!</v>
      </c>
      <c r="S472" s="177"/>
      <c r="T472" s="177"/>
      <c r="U472" s="177"/>
      <c r="V472" s="177"/>
      <c r="W472" s="177"/>
      <c r="X472" s="177"/>
      <c r="Y472" s="177"/>
      <c r="Z472" s="177"/>
      <c r="AA472" s="177"/>
      <c r="AB472" s="177"/>
      <c r="AC472" s="177"/>
    </row>
    <row r="473" spans="2:29">
      <c r="B473" s="158" t="s">
        <v>398</v>
      </c>
      <c r="C473" s="158" t="e">
        <f>Technologies!C633</f>
        <v>#REF!</v>
      </c>
      <c r="D473" s="158" t="e">
        <f>Technologies!D633</f>
        <v>#REF!</v>
      </c>
      <c r="E473" s="197" t="e">
        <f>E472</f>
        <v>#REF!</v>
      </c>
      <c r="F473" s="197" t="e">
        <f>Commodities!C245</f>
        <v>#REF!</v>
      </c>
      <c r="G473" s="204">
        <v>1</v>
      </c>
      <c r="H473" s="203" t="e">
        <f>#REF!*#REF!^5/(Conv!$I$5*Conv!$D$46)/10^6 +#REF!</f>
        <v>#REF!</v>
      </c>
      <c r="I473" s="203" t="e">
        <f>#REF!*#REF!^5/(Conv!$I$5*Conv!$D$46)/10^6 +#REF!</f>
        <v>#REF!</v>
      </c>
      <c r="J473" s="203" t="e">
        <f>#REF!*#REF!^5/(Conv!$I$5*Conv!$D$46)/10^6 +#REF!</f>
        <v>#REF!</v>
      </c>
      <c r="K473" s="203" t="e">
        <f>#REF!*#REF!^5/(Conv!$I$5*Conv!$D$46)/10^6 +#REF!</f>
        <v>#REF!</v>
      </c>
      <c r="L473" s="203" t="e">
        <f>#REF!*#REF!^5/(Conv!$I$5*Conv!$D$46)/10^6 +#REF!</f>
        <v>#REF!</v>
      </c>
      <c r="M473" s="203" t="e">
        <f>#REF!*#REF!^5/(Conv!$I$5*Conv!$D$46)/10^6 +#REF!</f>
        <v>#REF!</v>
      </c>
      <c r="N473" s="203" t="e">
        <f>#REF!*#REF!^5/(Conv!$I$5*Conv!$D$46)/10^6 +#REF!</f>
        <v>#REF!</v>
      </c>
      <c r="O473" s="203" t="e">
        <f>#REF!*#REF!^5/(Conv!$I$5*Conv!$D$46)/10^6 +#REF!</f>
        <v>#REF!</v>
      </c>
      <c r="P473" s="203" t="e">
        <f>#REF!*#REF!^5/(Conv!$I$5*Conv!$D$46)/10^6 +#REF!</f>
        <v>#REF!</v>
      </c>
      <c r="Q473" s="203" t="e">
        <f>#REF!*#REF!^5/(Conv!$I$5*Conv!$D$46)/10^6 +#REF!</f>
        <v>#REF!</v>
      </c>
      <c r="S473" s="177"/>
      <c r="T473" s="177"/>
      <c r="U473" s="177"/>
      <c r="V473" s="177"/>
      <c r="W473" s="177"/>
      <c r="X473" s="177"/>
      <c r="Y473" s="177"/>
      <c r="Z473" s="177"/>
      <c r="AA473" s="177"/>
      <c r="AB473" s="177"/>
      <c r="AC473" s="177"/>
    </row>
    <row r="474" spans="2:29">
      <c r="B474" s="158" t="s">
        <v>398</v>
      </c>
      <c r="C474" s="158" t="e">
        <f>Technologies!C634</f>
        <v>#REF!</v>
      </c>
      <c r="D474" s="158" t="e">
        <f>Technologies!D634</f>
        <v>#REF!</v>
      </c>
      <c r="E474" s="197" t="e">
        <f>Commodities!C155</f>
        <v>#REF!</v>
      </c>
      <c r="F474" s="197" t="e">
        <f>Commodities!C246</f>
        <v>#REF!</v>
      </c>
      <c r="G474" s="204">
        <v>1</v>
      </c>
      <c r="H474" s="203" t="e">
        <f>#REF!*#REF!^5/(Conv!$I$5*Conv!$D$46)/10^6 +#REF!</f>
        <v>#REF!</v>
      </c>
      <c r="I474" s="203" t="e">
        <f>#REF!*#REF!^5/(Conv!$I$5*Conv!$D$46)/10^6 +#REF!</f>
        <v>#REF!</v>
      </c>
      <c r="J474" s="203" t="e">
        <f>#REF!*#REF!^5/(Conv!$I$5*Conv!$D$46)/10^6 +#REF!</f>
        <v>#REF!</v>
      </c>
      <c r="K474" s="203" t="e">
        <f>#REF!*#REF!^5/(Conv!$I$5*Conv!$D$46)/10^6 +#REF!</f>
        <v>#REF!</v>
      </c>
      <c r="L474" s="203" t="e">
        <f>#REF!*#REF!^5/(Conv!$I$5*Conv!$D$46)/10^6 +#REF!</f>
        <v>#REF!</v>
      </c>
      <c r="M474" s="203" t="e">
        <f>#REF!*#REF!^5/(Conv!$I$5*Conv!$D$46)/10^6 +#REF!</f>
        <v>#REF!</v>
      </c>
      <c r="N474" s="203" t="e">
        <f>#REF!*#REF!^5/(Conv!$I$5*Conv!$D$46)/10^6 +#REF!</f>
        <v>#REF!</v>
      </c>
      <c r="O474" s="203" t="e">
        <f>#REF!*#REF!^5/(Conv!$I$5*Conv!$D$46)/10^6 +#REF!</f>
        <v>#REF!</v>
      </c>
      <c r="P474" s="203" t="e">
        <f>#REF!*#REF!^5/(Conv!$I$5*Conv!$D$46)/10^6 +#REF!</f>
        <v>#REF!</v>
      </c>
      <c r="Q474" s="203" t="e">
        <f>#REF!*#REF!^5/(Conv!$I$5*Conv!$D$46)/10^6 +#REF!</f>
        <v>#REF!</v>
      </c>
      <c r="S474" s="177"/>
      <c r="T474" s="177"/>
      <c r="U474" s="177"/>
      <c r="V474" s="177"/>
      <c r="W474" s="177"/>
      <c r="X474" s="177"/>
      <c r="Y474" s="177"/>
      <c r="Z474" s="177"/>
      <c r="AA474" s="177"/>
      <c r="AB474" s="177"/>
      <c r="AC474" s="177"/>
    </row>
    <row r="475" spans="2:29">
      <c r="B475" s="158" t="s">
        <v>398</v>
      </c>
      <c r="C475" s="158"/>
      <c r="D475" s="158"/>
      <c r="E475" s="197"/>
      <c r="F475" s="197"/>
      <c r="G475" s="204"/>
      <c r="H475" s="205"/>
      <c r="I475" s="205"/>
      <c r="J475" s="205"/>
      <c r="K475" s="205"/>
      <c r="L475" s="205"/>
      <c r="M475" s="205"/>
      <c r="N475" s="205"/>
      <c r="O475" s="205"/>
      <c r="P475" s="205"/>
      <c r="Q475" s="205"/>
    </row>
    <row r="476" spans="2:29">
      <c r="B476" s="158" t="s">
        <v>398</v>
      </c>
      <c r="C476" s="158" t="e">
        <f>Technologies!C635</f>
        <v>#REF!</v>
      </c>
      <c r="D476" s="158" t="e">
        <f>Technologies!D635</f>
        <v>#REF!</v>
      </c>
      <c r="E476" s="197" t="e">
        <f>Commodities!C156</f>
        <v>#REF!</v>
      </c>
      <c r="F476" s="197" t="e">
        <f>Commodities!C222</f>
        <v>#REF!</v>
      </c>
      <c r="G476" s="204">
        <v>1</v>
      </c>
      <c r="H476" s="203" t="e">
        <f>#REF!*#REF!^5/(Conv!$I$5*Conv!$D$46)/10^6 +#REF!</f>
        <v>#REF!</v>
      </c>
      <c r="I476" s="203" t="e">
        <f>#REF!*#REF!^5/(Conv!$I$5*Conv!$D$46)/10^6 +#REF!</f>
        <v>#REF!</v>
      </c>
      <c r="J476" s="203" t="e">
        <f>#REF!*#REF!^5/(Conv!$I$5*Conv!$D$46)/10^6 +#REF!</f>
        <v>#REF!</v>
      </c>
      <c r="K476" s="203" t="e">
        <f>#REF!*#REF!^5/(Conv!$I$5*Conv!$D$46)/10^6 +#REF!</f>
        <v>#REF!</v>
      </c>
      <c r="L476" s="203" t="e">
        <f>#REF!*#REF!^5/(Conv!$I$5*Conv!$D$46)/10^6 +#REF!</f>
        <v>#REF!</v>
      </c>
      <c r="M476" s="203" t="e">
        <f>#REF!*#REF!^5/(Conv!$I$5*Conv!$D$46)/10^6 +#REF!</f>
        <v>#REF!</v>
      </c>
      <c r="N476" s="203" t="e">
        <f>#REF!*#REF!^5/(Conv!$I$5*Conv!$D$46)/10^6 +#REF!</f>
        <v>#REF!</v>
      </c>
      <c r="O476" s="203" t="e">
        <f>#REF!*#REF!^5/(Conv!$I$5*Conv!$D$46)/10^6 +#REF!</f>
        <v>#REF!</v>
      </c>
      <c r="P476" s="203" t="e">
        <f>#REF!*#REF!^5/(Conv!$I$5*Conv!$D$46)/10^6 +#REF!</f>
        <v>#REF!</v>
      </c>
      <c r="Q476" s="203" t="e">
        <f>#REF!*#REF!^5/(Conv!$I$5*Conv!$D$46)/10^6 +#REF!</f>
        <v>#REF!</v>
      </c>
      <c r="S476" s="177"/>
      <c r="T476" s="177"/>
      <c r="U476" s="177"/>
      <c r="V476" s="177"/>
      <c r="W476" s="177"/>
      <c r="X476" s="177"/>
      <c r="Y476" s="177"/>
      <c r="Z476" s="177"/>
      <c r="AA476" s="177"/>
      <c r="AB476" s="177"/>
      <c r="AC476" s="177"/>
    </row>
    <row r="477" spans="2:29">
      <c r="B477" s="158" t="s">
        <v>398</v>
      </c>
      <c r="C477" s="158" t="e">
        <f>Technologies!C636</f>
        <v>#REF!</v>
      </c>
      <c r="D477" s="158" t="e">
        <f>Technologies!D636</f>
        <v>#REF!</v>
      </c>
      <c r="E477" s="197" t="e">
        <f>Commodities!C157</f>
        <v>#REF!</v>
      </c>
      <c r="F477" s="197" t="e">
        <f>Commodities!C223</f>
        <v>#REF!</v>
      </c>
      <c r="G477" s="204">
        <v>1</v>
      </c>
      <c r="H477" s="203" t="e">
        <f>#REF!*#REF!^5/(Conv!$I$5*Conv!$D$46)/10^6 +#REF!</f>
        <v>#REF!</v>
      </c>
      <c r="I477" s="203" t="e">
        <f>#REF!*#REF!^5/(Conv!$I$5*Conv!$D$46)/10^6 +#REF!</f>
        <v>#REF!</v>
      </c>
      <c r="J477" s="203" t="e">
        <f>#REF!*#REF!^5/(Conv!$I$5*Conv!$D$46)/10^6 +#REF!</f>
        <v>#REF!</v>
      </c>
      <c r="K477" s="203" t="e">
        <f>#REF!*#REF!^5/(Conv!$I$5*Conv!$D$46)/10^6 +#REF!</f>
        <v>#REF!</v>
      </c>
      <c r="L477" s="203" t="e">
        <f>#REF!*#REF!^5/(Conv!$I$5*Conv!$D$46)/10^6 +#REF!</f>
        <v>#REF!</v>
      </c>
      <c r="M477" s="203" t="e">
        <f>#REF!*#REF!^5/(Conv!$I$5*Conv!$D$46)/10^6 +#REF!</f>
        <v>#REF!</v>
      </c>
      <c r="N477" s="203" t="e">
        <f>#REF!*#REF!^5/(Conv!$I$5*Conv!$D$46)/10^6 +#REF!</f>
        <v>#REF!</v>
      </c>
      <c r="O477" s="203" t="e">
        <f>#REF!*#REF!^5/(Conv!$I$5*Conv!$D$46)/10^6 +#REF!</f>
        <v>#REF!</v>
      </c>
      <c r="P477" s="203" t="e">
        <f>#REF!*#REF!^5/(Conv!$I$5*Conv!$D$46)/10^6 +#REF!</f>
        <v>#REF!</v>
      </c>
      <c r="Q477" s="203" t="e">
        <f>#REF!*#REF!^5/(Conv!$I$5*Conv!$D$46)/10^6 +#REF!</f>
        <v>#REF!</v>
      </c>
      <c r="S477" s="177"/>
      <c r="T477" s="177"/>
      <c r="U477" s="177"/>
      <c r="V477" s="177"/>
      <c r="W477" s="177"/>
      <c r="X477" s="177"/>
      <c r="Y477" s="177"/>
      <c r="Z477" s="177"/>
      <c r="AA477" s="177"/>
      <c r="AB477" s="177"/>
      <c r="AC477" s="177"/>
    </row>
    <row r="478" spans="2:29">
      <c r="B478" s="158" t="s">
        <v>398</v>
      </c>
      <c r="C478" s="158" t="e">
        <f>Technologies!C637</f>
        <v>#REF!</v>
      </c>
      <c r="D478" s="158" t="e">
        <f>Technologies!D637</f>
        <v>#REF!</v>
      </c>
      <c r="E478" s="197" t="e">
        <f>Commodities!C158</f>
        <v>#REF!</v>
      </c>
      <c r="F478" s="197" t="e">
        <f>Commodities!C224</f>
        <v>#REF!</v>
      </c>
      <c r="G478" s="204">
        <v>1</v>
      </c>
      <c r="H478" s="203" t="e">
        <f>#REF!*#REF!^5/(Conv!$I$5*Conv!$D$46)/10^6 +#REF!</f>
        <v>#REF!</v>
      </c>
      <c r="I478" s="203" t="e">
        <f>#REF!*#REF!^5/(Conv!$I$5*Conv!$D$46)/10^6 +#REF!</f>
        <v>#REF!</v>
      </c>
      <c r="J478" s="203" t="e">
        <f>#REF!*#REF!^5/(Conv!$I$5*Conv!$D$46)/10^6 +#REF!</f>
        <v>#REF!</v>
      </c>
      <c r="K478" s="203" t="e">
        <f>#REF!*#REF!^5/(Conv!$I$5*Conv!$D$46)/10^6 +#REF!</f>
        <v>#REF!</v>
      </c>
      <c r="L478" s="203" t="e">
        <f>#REF!*#REF!^5/(Conv!$I$5*Conv!$D$46)/10^6 +#REF!</f>
        <v>#REF!</v>
      </c>
      <c r="M478" s="203" t="e">
        <f>#REF!*#REF!^5/(Conv!$I$5*Conv!$D$46)/10^6 +#REF!</f>
        <v>#REF!</v>
      </c>
      <c r="N478" s="203" t="e">
        <f>#REF!*#REF!^5/(Conv!$I$5*Conv!$D$46)/10^6 +#REF!</f>
        <v>#REF!</v>
      </c>
      <c r="O478" s="203" t="e">
        <f>#REF!*#REF!^5/(Conv!$I$5*Conv!$D$46)/10^6 +#REF!</f>
        <v>#REF!</v>
      </c>
      <c r="P478" s="203" t="e">
        <f>#REF!*#REF!^5/(Conv!$I$5*Conv!$D$46)/10^6 +#REF!</f>
        <v>#REF!</v>
      </c>
      <c r="Q478" s="203" t="e">
        <f>#REF!*#REF!^5/(Conv!$I$5*Conv!$D$46)/10^6 +#REF!</f>
        <v>#REF!</v>
      </c>
      <c r="S478" s="177"/>
      <c r="T478" s="177"/>
      <c r="U478" s="177"/>
      <c r="V478" s="177"/>
      <c r="W478" s="177"/>
      <c r="X478" s="177"/>
      <c r="Y478" s="177"/>
      <c r="Z478" s="177"/>
      <c r="AA478" s="177"/>
      <c r="AB478" s="177"/>
      <c r="AC478" s="177"/>
    </row>
    <row r="479" spans="2:29">
      <c r="B479" s="158" t="s">
        <v>398</v>
      </c>
      <c r="C479" s="158" t="e">
        <f>Technologies!C638</f>
        <v>#REF!</v>
      </c>
      <c r="D479" s="158" t="e">
        <f>Technologies!D638</f>
        <v>#REF!</v>
      </c>
      <c r="E479" s="197" t="e">
        <f>E478</f>
        <v>#REF!</v>
      </c>
      <c r="F479" s="197" t="e">
        <f>Commodities!C225</f>
        <v>#REF!</v>
      </c>
      <c r="G479" s="204">
        <v>1</v>
      </c>
      <c r="H479" s="203" t="e">
        <f>#REF!*#REF!^5/(Conv!$I$5*Conv!$D$46)/10^6 +#REF!</f>
        <v>#REF!</v>
      </c>
      <c r="I479" s="203" t="e">
        <f>#REF!*#REF!^5/(Conv!$I$5*Conv!$D$46)/10^6 +#REF!</f>
        <v>#REF!</v>
      </c>
      <c r="J479" s="203" t="e">
        <f>#REF!*#REF!^5/(Conv!$I$5*Conv!$D$46)/10^6 +#REF!</f>
        <v>#REF!</v>
      </c>
      <c r="K479" s="203" t="e">
        <f>#REF!*#REF!^5/(Conv!$I$5*Conv!$D$46)/10^6 +#REF!</f>
        <v>#REF!</v>
      </c>
      <c r="L479" s="203" t="e">
        <f>#REF!*#REF!^5/(Conv!$I$5*Conv!$D$46)/10^6 +#REF!</f>
        <v>#REF!</v>
      </c>
      <c r="M479" s="203" t="e">
        <f>#REF!*#REF!^5/(Conv!$I$5*Conv!$D$46)/10^6 +#REF!</f>
        <v>#REF!</v>
      </c>
      <c r="N479" s="203" t="e">
        <f>#REF!*#REF!^5/(Conv!$I$5*Conv!$D$46)/10^6 +#REF!</f>
        <v>#REF!</v>
      </c>
      <c r="O479" s="203" t="e">
        <f>#REF!*#REF!^5/(Conv!$I$5*Conv!$D$46)/10^6 +#REF!</f>
        <v>#REF!</v>
      </c>
      <c r="P479" s="203" t="e">
        <f>#REF!*#REF!^5/(Conv!$I$5*Conv!$D$46)/10^6 +#REF!</f>
        <v>#REF!</v>
      </c>
      <c r="Q479" s="203" t="e">
        <f>#REF!*#REF!^5/(Conv!$I$5*Conv!$D$46)/10^6 +#REF!</f>
        <v>#REF!</v>
      </c>
      <c r="S479" s="177"/>
      <c r="T479" s="177"/>
      <c r="U479" s="177"/>
      <c r="V479" s="177"/>
      <c r="W479" s="177"/>
      <c r="X479" s="177"/>
      <c r="Y479" s="177"/>
      <c r="Z479" s="177"/>
      <c r="AA479" s="177"/>
      <c r="AB479" s="177"/>
      <c r="AC479" s="177"/>
    </row>
    <row r="480" spans="2:29">
      <c r="B480" s="158" t="s">
        <v>398</v>
      </c>
      <c r="C480" s="158" t="e">
        <f>Technologies!C639</f>
        <v>#REF!</v>
      </c>
      <c r="D480" s="158" t="e">
        <f>Technologies!D639</f>
        <v>#REF!</v>
      </c>
      <c r="E480" s="197" t="e">
        <f>E479</f>
        <v>#REF!</v>
      </c>
      <c r="F480" s="197" t="e">
        <f>Commodities!C226</f>
        <v>#REF!</v>
      </c>
      <c r="G480" s="204">
        <v>1</v>
      </c>
      <c r="H480" s="203" t="e">
        <f>#REF!*#REF!^5/(Conv!$I$5*Conv!$D$46)/10^6 +#REF!</f>
        <v>#REF!</v>
      </c>
      <c r="I480" s="203" t="e">
        <f>#REF!*#REF!^5/(Conv!$I$5*Conv!$D$46)/10^6 +#REF!</f>
        <v>#REF!</v>
      </c>
      <c r="J480" s="203" t="e">
        <f>#REF!*#REF!^5/(Conv!$I$5*Conv!$D$46)/10^6 +#REF!</f>
        <v>#REF!</v>
      </c>
      <c r="K480" s="203" t="e">
        <f>#REF!*#REF!^5/(Conv!$I$5*Conv!$D$46)/10^6 +#REF!</f>
        <v>#REF!</v>
      </c>
      <c r="L480" s="203" t="e">
        <f>#REF!*#REF!^5/(Conv!$I$5*Conv!$D$46)/10^6 +#REF!</f>
        <v>#REF!</v>
      </c>
      <c r="M480" s="203" t="e">
        <f>#REF!*#REF!^5/(Conv!$I$5*Conv!$D$46)/10^6 +#REF!</f>
        <v>#REF!</v>
      </c>
      <c r="N480" s="203" t="e">
        <f>#REF!*#REF!^5/(Conv!$I$5*Conv!$D$46)/10^6 +#REF!</f>
        <v>#REF!</v>
      </c>
      <c r="O480" s="203" t="e">
        <f>#REF!*#REF!^5/(Conv!$I$5*Conv!$D$46)/10^6 +#REF!</f>
        <v>#REF!</v>
      </c>
      <c r="P480" s="203" t="e">
        <f>#REF!*#REF!^5/(Conv!$I$5*Conv!$D$46)/10^6 +#REF!</f>
        <v>#REF!</v>
      </c>
      <c r="Q480" s="203" t="e">
        <f>#REF!*#REF!^5/(Conv!$I$5*Conv!$D$46)/10^6 +#REF!</f>
        <v>#REF!</v>
      </c>
      <c r="S480" s="177"/>
      <c r="T480" s="177"/>
      <c r="U480" s="177"/>
      <c r="V480" s="177"/>
      <c r="W480" s="177"/>
      <c r="X480" s="177"/>
      <c r="Y480" s="177"/>
      <c r="Z480" s="177"/>
      <c r="AA480" s="177"/>
      <c r="AB480" s="177"/>
      <c r="AC480" s="177"/>
    </row>
    <row r="481" spans="2:29">
      <c r="B481" s="158" t="s">
        <v>398</v>
      </c>
      <c r="C481" s="158" t="e">
        <f>Technologies!C640</f>
        <v>#REF!</v>
      </c>
      <c r="D481" s="158" t="e">
        <f>Technologies!D640</f>
        <v>#REF!</v>
      </c>
      <c r="E481" s="197" t="e">
        <f>E480</f>
        <v>#REF!</v>
      </c>
      <c r="F481" s="197" t="e">
        <f>Commodities!C227</f>
        <v>#REF!</v>
      </c>
      <c r="G481" s="204">
        <v>1</v>
      </c>
      <c r="H481" s="203" t="e">
        <f>#REF!*#REF!^5/(Conv!$I$5*Conv!$D$46)/10^6 +#REF!</f>
        <v>#REF!</v>
      </c>
      <c r="I481" s="203" t="e">
        <f>#REF!*#REF!^5/(Conv!$I$5*Conv!$D$46)/10^6 +#REF!</f>
        <v>#REF!</v>
      </c>
      <c r="J481" s="203" t="e">
        <f>#REF!*#REF!^5/(Conv!$I$5*Conv!$D$46)/10^6 +#REF!</f>
        <v>#REF!</v>
      </c>
      <c r="K481" s="203" t="e">
        <f>#REF!*#REF!^5/(Conv!$I$5*Conv!$D$46)/10^6 +#REF!</f>
        <v>#REF!</v>
      </c>
      <c r="L481" s="203" t="e">
        <f>#REF!*#REF!^5/(Conv!$I$5*Conv!$D$46)/10^6 +#REF!</f>
        <v>#REF!</v>
      </c>
      <c r="M481" s="203" t="e">
        <f>#REF!*#REF!^5/(Conv!$I$5*Conv!$D$46)/10^6 +#REF!</f>
        <v>#REF!</v>
      </c>
      <c r="N481" s="203" t="e">
        <f>#REF!*#REF!^5/(Conv!$I$5*Conv!$D$46)/10^6 +#REF!</f>
        <v>#REF!</v>
      </c>
      <c r="O481" s="203" t="e">
        <f>#REF!*#REF!^5/(Conv!$I$5*Conv!$D$46)/10^6 +#REF!</f>
        <v>#REF!</v>
      </c>
      <c r="P481" s="203" t="e">
        <f>#REF!*#REF!^5/(Conv!$I$5*Conv!$D$46)/10^6 +#REF!</f>
        <v>#REF!</v>
      </c>
      <c r="Q481" s="203" t="e">
        <f>#REF!*#REF!^5/(Conv!$I$5*Conv!$D$46)/10^6 +#REF!</f>
        <v>#REF!</v>
      </c>
      <c r="S481" s="177"/>
      <c r="T481" s="177"/>
      <c r="U481" s="177"/>
      <c r="V481" s="177"/>
      <c r="W481" s="177"/>
      <c r="X481" s="177"/>
      <c r="Y481" s="177"/>
      <c r="Z481" s="177"/>
      <c r="AA481" s="177"/>
      <c r="AB481" s="177"/>
      <c r="AC481" s="177"/>
    </row>
    <row r="482" spans="2:29">
      <c r="B482" s="158" t="s">
        <v>398</v>
      </c>
      <c r="C482" s="158" t="e">
        <f>Technologies!C641</f>
        <v>#REF!</v>
      </c>
      <c r="D482" s="158" t="e">
        <f>Technologies!D641</f>
        <v>#REF!</v>
      </c>
      <c r="E482" s="197" t="e">
        <f>Commodities!C159</f>
        <v>#REF!</v>
      </c>
      <c r="F482" s="197" t="e">
        <f>Commodities!C228</f>
        <v>#REF!</v>
      </c>
      <c r="G482" s="204">
        <v>1</v>
      </c>
      <c r="H482" s="203" t="e">
        <f>#REF!*#REF!^5/(Conv!$I$5*Conv!$D$46)/10^6 +#REF!</f>
        <v>#REF!</v>
      </c>
      <c r="I482" s="203" t="e">
        <f>#REF!*#REF!^5/(Conv!$I$5*Conv!$D$46)/10^6 +#REF!</f>
        <v>#REF!</v>
      </c>
      <c r="J482" s="203" t="e">
        <f>#REF!*#REF!^5/(Conv!$I$5*Conv!$D$46)/10^6 +#REF!</f>
        <v>#REF!</v>
      </c>
      <c r="K482" s="203" t="e">
        <f>#REF!*#REF!^5/(Conv!$I$5*Conv!$D$46)/10^6 +#REF!</f>
        <v>#REF!</v>
      </c>
      <c r="L482" s="203" t="e">
        <f>#REF!*#REF!^5/(Conv!$I$5*Conv!$D$46)/10^6 +#REF!</f>
        <v>#REF!</v>
      </c>
      <c r="M482" s="203" t="e">
        <f>#REF!*#REF!^5/(Conv!$I$5*Conv!$D$46)/10^6 +#REF!</f>
        <v>#REF!</v>
      </c>
      <c r="N482" s="203" t="e">
        <f>#REF!*#REF!^5/(Conv!$I$5*Conv!$D$46)/10^6 +#REF!</f>
        <v>#REF!</v>
      </c>
      <c r="O482" s="203" t="e">
        <f>#REF!*#REF!^5/(Conv!$I$5*Conv!$D$46)/10^6 +#REF!</f>
        <v>#REF!</v>
      </c>
      <c r="P482" s="203" t="e">
        <f>#REF!*#REF!^5/(Conv!$I$5*Conv!$D$46)/10^6 +#REF!</f>
        <v>#REF!</v>
      </c>
      <c r="Q482" s="203" t="e">
        <f>#REF!*#REF!^5/(Conv!$I$5*Conv!$D$46)/10^6 +#REF!</f>
        <v>#REF!</v>
      </c>
      <c r="S482" s="177"/>
      <c r="T482" s="177"/>
      <c r="U482" s="177"/>
      <c r="V482" s="177"/>
      <c r="W482" s="177"/>
      <c r="X482" s="177"/>
      <c r="Y482" s="177"/>
      <c r="Z482" s="177"/>
      <c r="AA482" s="177"/>
      <c r="AB482" s="177"/>
      <c r="AC482" s="177"/>
    </row>
    <row r="483" spans="2:29">
      <c r="B483" s="158" t="s">
        <v>398</v>
      </c>
      <c r="C483" s="158" t="e">
        <f>Technologies!C642</f>
        <v>#REF!</v>
      </c>
      <c r="D483" s="158" t="e">
        <f>Technologies!D642</f>
        <v>#REF!</v>
      </c>
      <c r="E483" s="197" t="e">
        <f>Commodities!C160</f>
        <v>#REF!</v>
      </c>
      <c r="F483" s="197" t="e">
        <f>Commodities!C229</f>
        <v>#REF!</v>
      </c>
      <c r="G483" s="204">
        <v>1</v>
      </c>
      <c r="H483" s="203" t="e">
        <f>#REF!*#REF!^5/(Conv!$I$5*Conv!$D$46)/10^6 +#REF!</f>
        <v>#REF!</v>
      </c>
      <c r="I483" s="203" t="e">
        <f>#REF!*#REF!^5/(Conv!$I$5*Conv!$D$46)/10^6 +#REF!</f>
        <v>#REF!</v>
      </c>
      <c r="J483" s="203" t="e">
        <f>#REF!*#REF!^5/(Conv!$I$5*Conv!$D$46)/10^6 +#REF!</f>
        <v>#REF!</v>
      </c>
      <c r="K483" s="203" t="e">
        <f>#REF!*#REF!^5/(Conv!$I$5*Conv!$D$46)/10^6 +#REF!</f>
        <v>#REF!</v>
      </c>
      <c r="L483" s="203" t="e">
        <f>#REF!*#REF!^5/(Conv!$I$5*Conv!$D$46)/10^6 +#REF!</f>
        <v>#REF!</v>
      </c>
      <c r="M483" s="203" t="e">
        <f>#REF!*#REF!^5/(Conv!$I$5*Conv!$D$46)/10^6 +#REF!</f>
        <v>#REF!</v>
      </c>
      <c r="N483" s="203" t="e">
        <f>#REF!*#REF!^5/(Conv!$I$5*Conv!$D$46)/10^6 +#REF!</f>
        <v>#REF!</v>
      </c>
      <c r="O483" s="203" t="e">
        <f>#REF!*#REF!^5/(Conv!$I$5*Conv!$D$46)/10^6 +#REF!</f>
        <v>#REF!</v>
      </c>
      <c r="P483" s="203" t="e">
        <f>#REF!*#REF!^5/(Conv!$I$5*Conv!$D$46)/10^6 +#REF!</f>
        <v>#REF!</v>
      </c>
      <c r="Q483" s="203" t="e">
        <f>#REF!*#REF!^5/(Conv!$I$5*Conv!$D$46)/10^6 +#REF!</f>
        <v>#REF!</v>
      </c>
      <c r="S483" s="177"/>
      <c r="T483" s="177"/>
      <c r="U483" s="177"/>
      <c r="V483" s="177"/>
      <c r="W483" s="177"/>
      <c r="X483" s="177"/>
      <c r="Y483" s="177"/>
      <c r="Z483" s="177"/>
      <c r="AA483" s="177"/>
      <c r="AB483" s="177"/>
      <c r="AC483" s="177"/>
    </row>
    <row r="484" spans="2:29">
      <c r="B484" s="158" t="s">
        <v>398</v>
      </c>
      <c r="C484" s="158" t="e">
        <f>Technologies!C643</f>
        <v>#REF!</v>
      </c>
      <c r="D484" s="158" t="e">
        <f>Technologies!D643</f>
        <v>#REF!</v>
      </c>
      <c r="E484" s="197" t="e">
        <f>Commodities!C161</f>
        <v>#REF!</v>
      </c>
      <c r="F484" s="197" t="e">
        <f>Commodities!C230</f>
        <v>#REF!</v>
      </c>
      <c r="G484" s="204">
        <v>1</v>
      </c>
      <c r="H484" s="203" t="e">
        <f>#REF!*#REF!^5/(Conv!$I$5*Conv!$D$46)/10^6 +#REF!</f>
        <v>#REF!</v>
      </c>
      <c r="I484" s="203" t="e">
        <f>#REF!*#REF!^5/(Conv!$I$5*Conv!$D$46)/10^6 +#REF!</f>
        <v>#REF!</v>
      </c>
      <c r="J484" s="203" t="e">
        <f>#REF!*#REF!^5/(Conv!$I$5*Conv!$D$46)/10^6 +#REF!</f>
        <v>#REF!</v>
      </c>
      <c r="K484" s="203" t="e">
        <f>#REF!*#REF!^5/(Conv!$I$5*Conv!$D$46)/10^6 +#REF!</f>
        <v>#REF!</v>
      </c>
      <c r="L484" s="203" t="e">
        <f>#REF!*#REF!^5/(Conv!$I$5*Conv!$D$46)/10^6 +#REF!</f>
        <v>#REF!</v>
      </c>
      <c r="M484" s="203" t="e">
        <f>#REF!*#REF!^5/(Conv!$I$5*Conv!$D$46)/10^6 +#REF!</f>
        <v>#REF!</v>
      </c>
      <c r="N484" s="203" t="e">
        <f>#REF!*#REF!^5/(Conv!$I$5*Conv!$D$46)/10^6 +#REF!</f>
        <v>#REF!</v>
      </c>
      <c r="O484" s="203" t="e">
        <f>#REF!*#REF!^5/(Conv!$I$5*Conv!$D$46)/10^6 +#REF!</f>
        <v>#REF!</v>
      </c>
      <c r="P484" s="203" t="e">
        <f>#REF!*#REF!^5/(Conv!$I$5*Conv!$D$46)/10^6 +#REF!</f>
        <v>#REF!</v>
      </c>
      <c r="Q484" s="203" t="e">
        <f>#REF!*#REF!^5/(Conv!$I$5*Conv!$D$46)/10^6 +#REF!</f>
        <v>#REF!</v>
      </c>
      <c r="S484" s="177"/>
      <c r="T484" s="177"/>
      <c r="U484" s="177"/>
      <c r="V484" s="177"/>
      <c r="W484" s="177"/>
      <c r="X484" s="177"/>
      <c r="Y484" s="177"/>
      <c r="Z484" s="177"/>
      <c r="AA484" s="177"/>
      <c r="AB484" s="177"/>
      <c r="AC484" s="177"/>
    </row>
    <row r="485" spans="2:29">
      <c r="B485" s="158" t="s">
        <v>398</v>
      </c>
      <c r="C485" s="158" t="e">
        <f>Technologies!C644</f>
        <v>#REF!</v>
      </c>
      <c r="D485" s="158" t="e">
        <f>Technologies!D644</f>
        <v>#REF!</v>
      </c>
      <c r="E485" s="197" t="e">
        <f>Commodities!C162</f>
        <v>#REF!</v>
      </c>
      <c r="F485" s="197" t="e">
        <f>Commodities!C231</f>
        <v>#REF!</v>
      </c>
      <c r="G485" s="204">
        <v>1</v>
      </c>
      <c r="H485" s="203" t="e">
        <f>#REF!*#REF!^5/(Conv!$I$5*Conv!$D$46)/10^6 +#REF!</f>
        <v>#REF!</v>
      </c>
      <c r="I485" s="203" t="e">
        <f>#REF!*#REF!^5/(Conv!$I$5*Conv!$D$46)/10^6 +#REF!</f>
        <v>#REF!</v>
      </c>
      <c r="J485" s="203" t="e">
        <f>#REF!*#REF!^5/(Conv!$I$5*Conv!$D$46)/10^6 +#REF!</f>
        <v>#REF!</v>
      </c>
      <c r="K485" s="203" t="e">
        <f>#REF!*#REF!^5/(Conv!$I$5*Conv!$D$46)/10^6 +#REF!</f>
        <v>#REF!</v>
      </c>
      <c r="L485" s="203" t="e">
        <f>#REF!*#REF!^5/(Conv!$I$5*Conv!$D$46)/10^6 +#REF!</f>
        <v>#REF!</v>
      </c>
      <c r="M485" s="203" t="e">
        <f>#REF!*#REF!^5/(Conv!$I$5*Conv!$D$46)/10^6 +#REF!</f>
        <v>#REF!</v>
      </c>
      <c r="N485" s="203" t="e">
        <f>#REF!*#REF!^5/(Conv!$I$5*Conv!$D$46)/10^6 +#REF!</f>
        <v>#REF!</v>
      </c>
      <c r="O485" s="203" t="e">
        <f>#REF!*#REF!^5/(Conv!$I$5*Conv!$D$46)/10^6 +#REF!</f>
        <v>#REF!</v>
      </c>
      <c r="P485" s="203" t="e">
        <f>#REF!*#REF!^5/(Conv!$I$5*Conv!$D$46)/10^6 +#REF!</f>
        <v>#REF!</v>
      </c>
      <c r="Q485" s="203" t="e">
        <f>#REF!*#REF!^5/(Conv!$I$5*Conv!$D$46)/10^6 +#REF!</f>
        <v>#REF!</v>
      </c>
      <c r="S485" s="177"/>
      <c r="T485" s="177"/>
      <c r="U485" s="177"/>
      <c r="V485" s="177"/>
      <c r="W485" s="177"/>
      <c r="X485" s="177"/>
      <c r="Y485" s="177"/>
      <c r="Z485" s="177"/>
      <c r="AA485" s="177"/>
      <c r="AB485" s="177"/>
      <c r="AC485" s="177"/>
    </row>
    <row r="486" spans="2:29">
      <c r="B486" s="158" t="s">
        <v>398</v>
      </c>
      <c r="C486" s="158" t="e">
        <f>Technologies!C645</f>
        <v>#REF!</v>
      </c>
      <c r="D486" s="158" t="e">
        <f>Technologies!D645</f>
        <v>#REF!</v>
      </c>
      <c r="E486" s="197" t="e">
        <f>E485</f>
        <v>#REF!</v>
      </c>
      <c r="F486" s="197" t="e">
        <f>Commodities!C232</f>
        <v>#REF!</v>
      </c>
      <c r="G486" s="204">
        <v>1</v>
      </c>
      <c r="H486" s="203" t="e">
        <f>#REF!*#REF!^5/(Conv!$I$5*Conv!$D$46)/10^6 +#REF!</f>
        <v>#REF!</v>
      </c>
      <c r="I486" s="203" t="e">
        <f>#REF!*#REF!^5/(Conv!$I$5*Conv!$D$46)/10^6 +#REF!</f>
        <v>#REF!</v>
      </c>
      <c r="J486" s="203" t="e">
        <f>#REF!*#REF!^5/(Conv!$I$5*Conv!$D$46)/10^6 +#REF!</f>
        <v>#REF!</v>
      </c>
      <c r="K486" s="203" t="e">
        <f>#REF!*#REF!^5/(Conv!$I$5*Conv!$D$46)/10^6 +#REF!</f>
        <v>#REF!</v>
      </c>
      <c r="L486" s="203" t="e">
        <f>#REF!*#REF!^5/(Conv!$I$5*Conv!$D$46)/10^6 +#REF!</f>
        <v>#REF!</v>
      </c>
      <c r="M486" s="203" t="e">
        <f>#REF!*#REF!^5/(Conv!$I$5*Conv!$D$46)/10^6 +#REF!</f>
        <v>#REF!</v>
      </c>
      <c r="N486" s="203" t="e">
        <f>#REF!*#REF!^5/(Conv!$I$5*Conv!$D$46)/10^6 +#REF!</f>
        <v>#REF!</v>
      </c>
      <c r="O486" s="203" t="e">
        <f>#REF!*#REF!^5/(Conv!$I$5*Conv!$D$46)/10^6 +#REF!</f>
        <v>#REF!</v>
      </c>
      <c r="P486" s="203" t="e">
        <f>#REF!*#REF!^5/(Conv!$I$5*Conv!$D$46)/10^6 +#REF!</f>
        <v>#REF!</v>
      </c>
      <c r="Q486" s="203" t="e">
        <f>#REF!*#REF!^5/(Conv!$I$5*Conv!$D$46)/10^6 +#REF!</f>
        <v>#REF!</v>
      </c>
      <c r="S486" s="177"/>
      <c r="T486" s="177"/>
      <c r="U486" s="177"/>
      <c r="V486" s="177"/>
      <c r="W486" s="177"/>
      <c r="X486" s="177"/>
      <c r="Y486" s="177"/>
      <c r="Z486" s="177"/>
      <c r="AA486" s="177"/>
      <c r="AB486" s="177"/>
      <c r="AC486" s="177"/>
    </row>
    <row r="487" spans="2:29">
      <c r="B487" s="158" t="s">
        <v>398</v>
      </c>
      <c r="C487" s="158" t="e">
        <f>Technologies!C646</f>
        <v>#REF!</v>
      </c>
      <c r="D487" s="158" t="e">
        <f>Technologies!D646</f>
        <v>#REF!</v>
      </c>
      <c r="E487" s="197" t="e">
        <f>E486</f>
        <v>#REF!</v>
      </c>
      <c r="F487" s="197" t="e">
        <f>Commodities!C233</f>
        <v>#REF!</v>
      </c>
      <c r="G487" s="204">
        <v>1</v>
      </c>
      <c r="H487" s="203" t="e">
        <f>#REF!*#REF!^5/(Conv!$I$5*Conv!$D$46)/10^6 +#REF!</f>
        <v>#REF!</v>
      </c>
      <c r="I487" s="203" t="e">
        <f>#REF!*#REF!^5/(Conv!$I$5*Conv!$D$46)/10^6 +#REF!</f>
        <v>#REF!</v>
      </c>
      <c r="J487" s="203" t="e">
        <f>#REF!*#REF!^5/(Conv!$I$5*Conv!$D$46)/10^6 +#REF!</f>
        <v>#REF!</v>
      </c>
      <c r="K487" s="203" t="e">
        <f>#REF!*#REF!^5/(Conv!$I$5*Conv!$D$46)/10^6 +#REF!</f>
        <v>#REF!</v>
      </c>
      <c r="L487" s="203" t="e">
        <f>#REF!*#REF!^5/(Conv!$I$5*Conv!$D$46)/10^6 +#REF!</f>
        <v>#REF!</v>
      </c>
      <c r="M487" s="203" t="e">
        <f>#REF!*#REF!^5/(Conv!$I$5*Conv!$D$46)/10^6 +#REF!</f>
        <v>#REF!</v>
      </c>
      <c r="N487" s="203" t="e">
        <f>#REF!*#REF!^5/(Conv!$I$5*Conv!$D$46)/10^6 +#REF!</f>
        <v>#REF!</v>
      </c>
      <c r="O487" s="203" t="e">
        <f>#REF!*#REF!^5/(Conv!$I$5*Conv!$D$46)/10^6 +#REF!</f>
        <v>#REF!</v>
      </c>
      <c r="P487" s="203" t="e">
        <f>#REF!*#REF!^5/(Conv!$I$5*Conv!$D$46)/10^6 +#REF!</f>
        <v>#REF!</v>
      </c>
      <c r="Q487" s="203" t="e">
        <f>#REF!*#REF!^5/(Conv!$I$5*Conv!$D$46)/10^6 +#REF!</f>
        <v>#REF!</v>
      </c>
      <c r="S487" s="177"/>
      <c r="T487" s="177"/>
      <c r="U487" s="177"/>
      <c r="V487" s="177"/>
      <c r="W487" s="177"/>
      <c r="X487" s="177"/>
      <c r="Y487" s="177"/>
      <c r="Z487" s="177"/>
      <c r="AA487" s="177"/>
      <c r="AB487" s="177"/>
      <c r="AC487" s="177"/>
    </row>
    <row r="488" spans="2:29">
      <c r="B488" s="158" t="s">
        <v>398</v>
      </c>
      <c r="C488" s="158" t="e">
        <f>Technologies!C647</f>
        <v>#REF!</v>
      </c>
      <c r="D488" s="158" t="e">
        <f>Technologies!D647</f>
        <v>#REF!</v>
      </c>
      <c r="E488" s="197" t="e">
        <f>Commodities!C163</f>
        <v>#REF!</v>
      </c>
      <c r="F488" s="197" t="e">
        <f>Commodities!C234</f>
        <v>#REF!</v>
      </c>
      <c r="G488" s="204">
        <v>1</v>
      </c>
      <c r="H488" s="203" t="e">
        <f>#REF!*#REF!^5/(Conv!$I$5*Conv!$D$46)/10^6 +#REF!</f>
        <v>#REF!</v>
      </c>
      <c r="I488" s="203" t="e">
        <f>#REF!*#REF!^5/(Conv!$I$5*Conv!$D$46)/10^6 +#REF!</f>
        <v>#REF!</v>
      </c>
      <c r="J488" s="203" t="e">
        <f>#REF!*#REF!^5/(Conv!$I$5*Conv!$D$46)/10^6 +#REF!</f>
        <v>#REF!</v>
      </c>
      <c r="K488" s="203" t="e">
        <f>#REF!*#REF!^5/(Conv!$I$5*Conv!$D$46)/10^6 +#REF!</f>
        <v>#REF!</v>
      </c>
      <c r="L488" s="203" t="e">
        <f>#REF!*#REF!^5/(Conv!$I$5*Conv!$D$46)/10^6 +#REF!</f>
        <v>#REF!</v>
      </c>
      <c r="M488" s="203" t="e">
        <f>#REF!*#REF!^5/(Conv!$I$5*Conv!$D$46)/10^6 +#REF!</f>
        <v>#REF!</v>
      </c>
      <c r="N488" s="203" t="e">
        <f>#REF!*#REF!^5/(Conv!$I$5*Conv!$D$46)/10^6 +#REF!</f>
        <v>#REF!</v>
      </c>
      <c r="O488" s="203" t="e">
        <f>#REF!*#REF!^5/(Conv!$I$5*Conv!$D$46)/10^6 +#REF!</f>
        <v>#REF!</v>
      </c>
      <c r="P488" s="203" t="e">
        <f>#REF!*#REF!^5/(Conv!$I$5*Conv!$D$46)/10^6 +#REF!</f>
        <v>#REF!</v>
      </c>
      <c r="Q488" s="203" t="e">
        <f>#REF!*#REF!^5/(Conv!$I$5*Conv!$D$46)/10^6 +#REF!</f>
        <v>#REF!</v>
      </c>
      <c r="S488" s="177"/>
      <c r="T488" s="177"/>
      <c r="U488" s="177"/>
      <c r="V488" s="177"/>
      <c r="W488" s="177"/>
      <c r="X488" s="177"/>
      <c r="Y488" s="177"/>
      <c r="Z488" s="177"/>
      <c r="AA488" s="177"/>
      <c r="AB488" s="177"/>
      <c r="AC488" s="177"/>
    </row>
    <row r="489" spans="2:29">
      <c r="B489" s="158" t="s">
        <v>398</v>
      </c>
      <c r="C489" s="158" t="e">
        <f>Technologies!C648</f>
        <v>#REF!</v>
      </c>
      <c r="D489" s="158" t="e">
        <f>Technologies!D648</f>
        <v>#REF!</v>
      </c>
      <c r="E489" s="197" t="e">
        <f>E488</f>
        <v>#REF!</v>
      </c>
      <c r="F489" s="197" t="e">
        <f>Commodities!C235</f>
        <v>#REF!</v>
      </c>
      <c r="G489" s="204">
        <v>1</v>
      </c>
      <c r="H489" s="203" t="e">
        <f>#REF!*#REF!^5/(Conv!$I$5*Conv!$D$46)/10^6 +#REF!</f>
        <v>#REF!</v>
      </c>
      <c r="I489" s="203" t="e">
        <f>#REF!*#REF!^5/(Conv!$I$5*Conv!$D$46)/10^6 +#REF!</f>
        <v>#REF!</v>
      </c>
      <c r="J489" s="203" t="e">
        <f>#REF!*#REF!^5/(Conv!$I$5*Conv!$D$46)/10^6 +#REF!</f>
        <v>#REF!</v>
      </c>
      <c r="K489" s="203" t="e">
        <f>#REF!*#REF!^5/(Conv!$I$5*Conv!$D$46)/10^6 +#REF!</f>
        <v>#REF!</v>
      </c>
      <c r="L489" s="203" t="e">
        <f>#REF!*#REF!^5/(Conv!$I$5*Conv!$D$46)/10^6 +#REF!</f>
        <v>#REF!</v>
      </c>
      <c r="M489" s="203" t="e">
        <f>#REF!*#REF!^5/(Conv!$I$5*Conv!$D$46)/10^6 +#REF!</f>
        <v>#REF!</v>
      </c>
      <c r="N489" s="203" t="e">
        <f>#REF!*#REF!^5/(Conv!$I$5*Conv!$D$46)/10^6 +#REF!</f>
        <v>#REF!</v>
      </c>
      <c r="O489" s="203" t="e">
        <f>#REF!*#REF!^5/(Conv!$I$5*Conv!$D$46)/10^6 +#REF!</f>
        <v>#REF!</v>
      </c>
      <c r="P489" s="203" t="e">
        <f>#REF!*#REF!^5/(Conv!$I$5*Conv!$D$46)/10^6 +#REF!</f>
        <v>#REF!</v>
      </c>
      <c r="Q489" s="203" t="e">
        <f>#REF!*#REF!^5/(Conv!$I$5*Conv!$D$46)/10^6 +#REF!</f>
        <v>#REF!</v>
      </c>
      <c r="S489" s="177"/>
      <c r="T489" s="177"/>
      <c r="U489" s="177"/>
      <c r="V489" s="177"/>
      <c r="W489" s="177"/>
      <c r="X489" s="177"/>
      <c r="Y489" s="177"/>
      <c r="Z489" s="177"/>
      <c r="AA489" s="177"/>
      <c r="AB489" s="177"/>
      <c r="AC489" s="177"/>
    </row>
    <row r="490" spans="2:29">
      <c r="B490" s="158" t="s">
        <v>398</v>
      </c>
      <c r="C490" s="158" t="e">
        <f>Technologies!C649</f>
        <v>#REF!</v>
      </c>
      <c r="D490" s="158" t="e">
        <f>Technologies!D649</f>
        <v>#REF!</v>
      </c>
      <c r="E490" s="197" t="e">
        <f>E489</f>
        <v>#REF!</v>
      </c>
      <c r="F490" s="197" t="e">
        <f>Commodities!C236</f>
        <v>#REF!</v>
      </c>
      <c r="G490" s="204">
        <v>1</v>
      </c>
      <c r="H490" s="203" t="e">
        <f>#REF!*#REF!^5/(Conv!$I$5*Conv!$D$46)/10^6 +#REF!</f>
        <v>#REF!</v>
      </c>
      <c r="I490" s="203" t="e">
        <f>#REF!*#REF!^5/(Conv!$I$5*Conv!$D$46)/10^6 +#REF!</f>
        <v>#REF!</v>
      </c>
      <c r="J490" s="203" t="e">
        <f>#REF!*#REF!^5/(Conv!$I$5*Conv!$D$46)/10^6 +#REF!</f>
        <v>#REF!</v>
      </c>
      <c r="K490" s="203" t="e">
        <f>#REF!*#REF!^5/(Conv!$I$5*Conv!$D$46)/10^6 +#REF!</f>
        <v>#REF!</v>
      </c>
      <c r="L490" s="203" t="e">
        <f>#REF!*#REF!^5/(Conv!$I$5*Conv!$D$46)/10^6 +#REF!</f>
        <v>#REF!</v>
      </c>
      <c r="M490" s="203" t="e">
        <f>#REF!*#REF!^5/(Conv!$I$5*Conv!$D$46)/10^6 +#REF!</f>
        <v>#REF!</v>
      </c>
      <c r="N490" s="203" t="e">
        <f>#REF!*#REF!^5/(Conv!$I$5*Conv!$D$46)/10^6 +#REF!</f>
        <v>#REF!</v>
      </c>
      <c r="O490" s="203" t="e">
        <f>#REF!*#REF!^5/(Conv!$I$5*Conv!$D$46)/10^6 +#REF!</f>
        <v>#REF!</v>
      </c>
      <c r="P490" s="203" t="e">
        <f>#REF!*#REF!^5/(Conv!$I$5*Conv!$D$46)/10^6 +#REF!</f>
        <v>#REF!</v>
      </c>
      <c r="Q490" s="203" t="e">
        <f>#REF!*#REF!^5/(Conv!$I$5*Conv!$D$46)/10^6 +#REF!</f>
        <v>#REF!</v>
      </c>
      <c r="S490" s="177"/>
      <c r="T490" s="177"/>
      <c r="U490" s="177"/>
      <c r="V490" s="177"/>
      <c r="W490" s="177"/>
      <c r="X490" s="177"/>
      <c r="Y490" s="177"/>
      <c r="Z490" s="177"/>
      <c r="AA490" s="177"/>
      <c r="AB490" s="177"/>
      <c r="AC490" s="177"/>
    </row>
    <row r="491" spans="2:29">
      <c r="B491" s="158" t="s">
        <v>398</v>
      </c>
      <c r="C491" s="158" t="e">
        <f>Technologies!C650</f>
        <v>#REF!</v>
      </c>
      <c r="D491" s="158" t="e">
        <f>Technologies!D650</f>
        <v>#REF!</v>
      </c>
      <c r="E491" s="197" t="e">
        <f>E490</f>
        <v>#REF!</v>
      </c>
      <c r="F491" s="197" t="e">
        <f>Commodities!C237</f>
        <v>#REF!</v>
      </c>
      <c r="G491" s="204">
        <v>1</v>
      </c>
      <c r="H491" s="203" t="e">
        <f>#REF!*#REF!^5/(Conv!$I$5*Conv!$D$46)/10^6 +#REF!</f>
        <v>#REF!</v>
      </c>
      <c r="I491" s="203" t="e">
        <f>#REF!*#REF!^5/(Conv!$I$5*Conv!$D$46)/10^6 +#REF!</f>
        <v>#REF!</v>
      </c>
      <c r="J491" s="203" t="e">
        <f>#REF!*#REF!^5/(Conv!$I$5*Conv!$D$46)/10^6 +#REF!</f>
        <v>#REF!</v>
      </c>
      <c r="K491" s="203" t="e">
        <f>#REF!*#REF!^5/(Conv!$I$5*Conv!$D$46)/10^6 +#REF!</f>
        <v>#REF!</v>
      </c>
      <c r="L491" s="203" t="e">
        <f>#REF!*#REF!^5/(Conv!$I$5*Conv!$D$46)/10^6 +#REF!</f>
        <v>#REF!</v>
      </c>
      <c r="M491" s="203" t="e">
        <f>#REF!*#REF!^5/(Conv!$I$5*Conv!$D$46)/10^6 +#REF!</f>
        <v>#REF!</v>
      </c>
      <c r="N491" s="203" t="e">
        <f>#REF!*#REF!^5/(Conv!$I$5*Conv!$D$46)/10^6 +#REF!</f>
        <v>#REF!</v>
      </c>
      <c r="O491" s="203" t="e">
        <f>#REF!*#REF!^5/(Conv!$I$5*Conv!$D$46)/10^6 +#REF!</f>
        <v>#REF!</v>
      </c>
      <c r="P491" s="203" t="e">
        <f>#REF!*#REF!^5/(Conv!$I$5*Conv!$D$46)/10^6 +#REF!</f>
        <v>#REF!</v>
      </c>
      <c r="Q491" s="203" t="e">
        <f>#REF!*#REF!^5/(Conv!$I$5*Conv!$D$46)/10^6 +#REF!</f>
        <v>#REF!</v>
      </c>
      <c r="S491" s="177"/>
      <c r="T491" s="177"/>
      <c r="U491" s="177"/>
      <c r="V491" s="177"/>
      <c r="W491" s="177"/>
      <c r="X491" s="177"/>
      <c r="Y491" s="177"/>
      <c r="Z491" s="177"/>
      <c r="AA491" s="177"/>
      <c r="AB491" s="177"/>
      <c r="AC491" s="177"/>
    </row>
    <row r="492" spans="2:29">
      <c r="B492" s="158" t="s">
        <v>398</v>
      </c>
      <c r="C492" s="158" t="e">
        <f>Technologies!C651</f>
        <v>#REF!</v>
      </c>
      <c r="D492" s="158" t="e">
        <f>Technologies!D651</f>
        <v>#REF!</v>
      </c>
      <c r="E492" s="197" t="e">
        <f>Commodities!C164</f>
        <v>#REF!</v>
      </c>
      <c r="F492" s="197" t="e">
        <f>Commodities!C238</f>
        <v>#REF!</v>
      </c>
      <c r="G492" s="204">
        <v>1</v>
      </c>
      <c r="H492" s="203" t="e">
        <f>#REF!*#REF!^5/(Conv!$I$5*Conv!$D$46)/10^6 +#REF!</f>
        <v>#REF!</v>
      </c>
      <c r="I492" s="203" t="e">
        <f>#REF!*#REF!^5/(Conv!$I$5*Conv!$D$46)/10^6 +#REF!</f>
        <v>#REF!</v>
      </c>
      <c r="J492" s="203" t="e">
        <f>#REF!*#REF!^5/(Conv!$I$5*Conv!$D$46)/10^6 +#REF!</f>
        <v>#REF!</v>
      </c>
      <c r="K492" s="203" t="e">
        <f>#REF!*#REF!^5/(Conv!$I$5*Conv!$D$46)/10^6 +#REF!</f>
        <v>#REF!</v>
      </c>
      <c r="L492" s="203" t="e">
        <f>#REF!*#REF!^5/(Conv!$I$5*Conv!$D$46)/10^6 +#REF!</f>
        <v>#REF!</v>
      </c>
      <c r="M492" s="203" t="e">
        <f>#REF!*#REF!^5/(Conv!$I$5*Conv!$D$46)/10^6 +#REF!</f>
        <v>#REF!</v>
      </c>
      <c r="N492" s="203" t="e">
        <f>#REF!*#REF!^5/(Conv!$I$5*Conv!$D$46)/10^6 +#REF!</f>
        <v>#REF!</v>
      </c>
      <c r="O492" s="203" t="e">
        <f>#REF!*#REF!^5/(Conv!$I$5*Conv!$D$46)/10^6 +#REF!</f>
        <v>#REF!</v>
      </c>
      <c r="P492" s="203" t="e">
        <f>#REF!*#REF!^5/(Conv!$I$5*Conv!$D$46)/10^6 +#REF!</f>
        <v>#REF!</v>
      </c>
      <c r="Q492" s="203" t="e">
        <f>#REF!*#REF!^5/(Conv!$I$5*Conv!$D$46)/10^6 +#REF!</f>
        <v>#REF!</v>
      </c>
      <c r="S492" s="177"/>
      <c r="T492" s="177"/>
      <c r="U492" s="177"/>
      <c r="V492" s="177"/>
      <c r="W492" s="177"/>
      <c r="X492" s="177"/>
      <c r="Y492" s="177"/>
      <c r="Z492" s="177"/>
      <c r="AA492" s="177"/>
      <c r="AB492" s="177"/>
      <c r="AC492" s="177"/>
    </row>
    <row r="493" spans="2:29">
      <c r="B493" s="158" t="s">
        <v>398</v>
      </c>
      <c r="C493" s="158" t="e">
        <f>Technologies!C652</f>
        <v>#REF!</v>
      </c>
      <c r="D493" s="158" t="e">
        <f>Technologies!D652</f>
        <v>#REF!</v>
      </c>
      <c r="E493" s="197" t="e">
        <f>Commodities!C165</f>
        <v>#REF!</v>
      </c>
      <c r="F493" s="197" t="e">
        <f>Commodities!C239</f>
        <v>#REF!</v>
      </c>
      <c r="G493" s="204">
        <v>1</v>
      </c>
      <c r="H493" s="203" t="e">
        <f>#REF!*#REF!^5/(Conv!$I$5*Conv!$D$46)/10^6 +#REF!</f>
        <v>#REF!</v>
      </c>
      <c r="I493" s="203" t="e">
        <f>#REF!*#REF!^5/(Conv!$I$5*Conv!$D$46)/10^6 +#REF!</f>
        <v>#REF!</v>
      </c>
      <c r="J493" s="203" t="e">
        <f>#REF!*#REF!^5/(Conv!$I$5*Conv!$D$46)/10^6 +#REF!</f>
        <v>#REF!</v>
      </c>
      <c r="K493" s="203" t="e">
        <f>#REF!*#REF!^5/(Conv!$I$5*Conv!$D$46)/10^6 +#REF!</f>
        <v>#REF!</v>
      </c>
      <c r="L493" s="203" t="e">
        <f>#REF!*#REF!^5/(Conv!$I$5*Conv!$D$46)/10^6 +#REF!</f>
        <v>#REF!</v>
      </c>
      <c r="M493" s="203" t="e">
        <f>#REF!*#REF!^5/(Conv!$I$5*Conv!$D$46)/10^6 +#REF!</f>
        <v>#REF!</v>
      </c>
      <c r="N493" s="203" t="e">
        <f>#REF!*#REF!^5/(Conv!$I$5*Conv!$D$46)/10^6 +#REF!</f>
        <v>#REF!</v>
      </c>
      <c r="O493" s="203" t="e">
        <f>#REF!*#REF!^5/(Conv!$I$5*Conv!$D$46)/10^6 +#REF!</f>
        <v>#REF!</v>
      </c>
      <c r="P493" s="203" t="e">
        <f>#REF!*#REF!^5/(Conv!$I$5*Conv!$D$46)/10^6 +#REF!</f>
        <v>#REF!</v>
      </c>
      <c r="Q493" s="203" t="e">
        <f>#REF!*#REF!^5/(Conv!$I$5*Conv!$D$46)/10^6 +#REF!</f>
        <v>#REF!</v>
      </c>
      <c r="S493" s="177"/>
      <c r="T493" s="177"/>
      <c r="U493" s="177"/>
      <c r="V493" s="177"/>
      <c r="W493" s="177"/>
      <c r="X493" s="177"/>
      <c r="Y493" s="177"/>
      <c r="Z493" s="177"/>
      <c r="AA493" s="177"/>
      <c r="AB493" s="177"/>
      <c r="AC493" s="177"/>
    </row>
    <row r="494" spans="2:29">
      <c r="B494" s="158" t="s">
        <v>398</v>
      </c>
      <c r="C494" s="158" t="e">
        <f>Technologies!C654</f>
        <v>#REF!</v>
      </c>
      <c r="D494" s="158" t="e">
        <f>Technologies!D654</f>
        <v>#REF!</v>
      </c>
      <c r="E494" s="197" t="e">
        <f>Commodities!C167</f>
        <v>#REF!</v>
      </c>
      <c r="F494" s="197" t="e">
        <f>Commodities!C241</f>
        <v>#REF!</v>
      </c>
      <c r="G494" s="204">
        <v>1</v>
      </c>
      <c r="H494" s="203" t="e">
        <f>#REF!*#REF!^5/(Conv!$I$5*Conv!$D$46)/10^6 +#REF!</f>
        <v>#REF!</v>
      </c>
      <c r="I494" s="203" t="e">
        <f>#REF!*#REF!^5/(Conv!$I$5*Conv!$D$46)/10^6 +#REF!</f>
        <v>#REF!</v>
      </c>
      <c r="J494" s="203" t="e">
        <f>#REF!*#REF!^5/(Conv!$I$5*Conv!$D$46)/10^6 +#REF!</f>
        <v>#REF!</v>
      </c>
      <c r="K494" s="203" t="e">
        <f>#REF!*#REF!^5/(Conv!$I$5*Conv!$D$46)/10^6 +#REF!</f>
        <v>#REF!</v>
      </c>
      <c r="L494" s="203" t="e">
        <f>#REF!*#REF!^5/(Conv!$I$5*Conv!$D$46)/10^6 +#REF!</f>
        <v>#REF!</v>
      </c>
      <c r="M494" s="203" t="e">
        <f>#REF!*#REF!^5/(Conv!$I$5*Conv!$D$46)/10^6 +#REF!</f>
        <v>#REF!</v>
      </c>
      <c r="N494" s="203" t="e">
        <f>#REF!*#REF!^5/(Conv!$I$5*Conv!$D$46)/10^6 +#REF!</f>
        <v>#REF!</v>
      </c>
      <c r="O494" s="203" t="e">
        <f>#REF!*#REF!^5/(Conv!$I$5*Conv!$D$46)/10^6 +#REF!</f>
        <v>#REF!</v>
      </c>
      <c r="P494" s="203" t="e">
        <f>#REF!*#REF!^5/(Conv!$I$5*Conv!$D$46)/10^6 +#REF!</f>
        <v>#REF!</v>
      </c>
      <c r="Q494" s="203" t="e">
        <f>#REF!*#REF!^5/(Conv!$I$5*Conv!$D$46)/10^6 +#REF!</f>
        <v>#REF!</v>
      </c>
      <c r="S494" s="177"/>
      <c r="T494" s="177"/>
      <c r="U494" s="177"/>
      <c r="V494" s="177"/>
      <c r="W494" s="177"/>
      <c r="X494" s="177"/>
      <c r="Y494" s="177"/>
      <c r="Z494" s="177"/>
      <c r="AA494" s="177"/>
      <c r="AB494" s="177"/>
      <c r="AC494" s="177"/>
    </row>
    <row r="495" spans="2:29">
      <c r="B495" s="158" t="s">
        <v>398</v>
      </c>
      <c r="C495" s="158" t="e">
        <f>Technologies!C655</f>
        <v>#REF!</v>
      </c>
      <c r="D495" s="158" t="e">
        <f>Technologies!D655</f>
        <v>#REF!</v>
      </c>
      <c r="E495" s="197" t="e">
        <f>E494</f>
        <v>#REF!</v>
      </c>
      <c r="F495" s="197" t="e">
        <f>Commodities!C242</f>
        <v>#REF!</v>
      </c>
      <c r="G495" s="204">
        <v>1</v>
      </c>
      <c r="H495" s="203" t="e">
        <f>#REF!*#REF!^5/(Conv!$I$5*Conv!$D$46)/10^6 +#REF!</f>
        <v>#REF!</v>
      </c>
      <c r="I495" s="203" t="e">
        <f>#REF!*#REF!^5/(Conv!$I$5*Conv!$D$46)/10^6 +#REF!</f>
        <v>#REF!</v>
      </c>
      <c r="J495" s="203" t="e">
        <f>#REF!*#REF!^5/(Conv!$I$5*Conv!$D$46)/10^6 +#REF!</f>
        <v>#REF!</v>
      </c>
      <c r="K495" s="203" t="e">
        <f>#REF!*#REF!^5/(Conv!$I$5*Conv!$D$46)/10^6 +#REF!</f>
        <v>#REF!</v>
      </c>
      <c r="L495" s="203" t="e">
        <f>#REF!*#REF!^5/(Conv!$I$5*Conv!$D$46)/10^6 +#REF!</f>
        <v>#REF!</v>
      </c>
      <c r="M495" s="203" t="e">
        <f>#REF!*#REF!^5/(Conv!$I$5*Conv!$D$46)/10^6 +#REF!</f>
        <v>#REF!</v>
      </c>
      <c r="N495" s="203" t="e">
        <f>#REF!*#REF!^5/(Conv!$I$5*Conv!$D$46)/10^6 +#REF!</f>
        <v>#REF!</v>
      </c>
      <c r="O495" s="203" t="e">
        <f>#REF!*#REF!^5/(Conv!$I$5*Conv!$D$46)/10^6 +#REF!</f>
        <v>#REF!</v>
      </c>
      <c r="P495" s="203" t="e">
        <f>#REF!*#REF!^5/(Conv!$I$5*Conv!$D$46)/10^6 +#REF!</f>
        <v>#REF!</v>
      </c>
      <c r="Q495" s="203" t="e">
        <f>#REF!*#REF!^5/(Conv!$I$5*Conv!$D$46)/10^6 +#REF!</f>
        <v>#REF!</v>
      </c>
      <c r="S495" s="177"/>
      <c r="T495" s="177"/>
      <c r="U495" s="177"/>
      <c r="V495" s="177"/>
      <c r="W495" s="177"/>
      <c r="X495" s="177"/>
      <c r="Y495" s="177"/>
      <c r="Z495" s="177"/>
      <c r="AA495" s="177"/>
      <c r="AB495" s="177"/>
      <c r="AC495" s="177"/>
    </row>
    <row r="496" spans="2:29">
      <c r="B496" s="158" t="s">
        <v>398</v>
      </c>
      <c r="C496" s="158" t="e">
        <f>Technologies!C656</f>
        <v>#REF!</v>
      </c>
      <c r="D496" s="158" t="e">
        <f>Technologies!D656</f>
        <v>#REF!</v>
      </c>
      <c r="E496" s="197" t="e">
        <f>E495</f>
        <v>#REF!</v>
      </c>
      <c r="F496" s="197" t="e">
        <f>Commodities!C243</f>
        <v>#REF!</v>
      </c>
      <c r="G496" s="204">
        <v>1</v>
      </c>
      <c r="H496" s="203" t="e">
        <f>#REF!*#REF!^5/(Conv!$I$5*Conv!$D$46)/10^6 +#REF!</f>
        <v>#REF!</v>
      </c>
      <c r="I496" s="203" t="e">
        <f>#REF!*#REF!^5/(Conv!$I$5*Conv!$D$46)/10^6 +#REF!</f>
        <v>#REF!</v>
      </c>
      <c r="J496" s="203" t="e">
        <f>#REF!*#REF!^5/(Conv!$I$5*Conv!$D$46)/10^6 +#REF!</f>
        <v>#REF!</v>
      </c>
      <c r="K496" s="203" t="e">
        <f>#REF!*#REF!^5/(Conv!$I$5*Conv!$D$46)/10^6 +#REF!</f>
        <v>#REF!</v>
      </c>
      <c r="L496" s="203" t="e">
        <f>#REF!*#REF!^5/(Conv!$I$5*Conv!$D$46)/10^6 +#REF!</f>
        <v>#REF!</v>
      </c>
      <c r="M496" s="203" t="e">
        <f>#REF!*#REF!^5/(Conv!$I$5*Conv!$D$46)/10^6 +#REF!</f>
        <v>#REF!</v>
      </c>
      <c r="N496" s="203" t="e">
        <f>#REF!*#REF!^5/(Conv!$I$5*Conv!$D$46)/10^6 +#REF!</f>
        <v>#REF!</v>
      </c>
      <c r="O496" s="203" t="e">
        <f>#REF!*#REF!^5/(Conv!$I$5*Conv!$D$46)/10^6 +#REF!</f>
        <v>#REF!</v>
      </c>
      <c r="P496" s="203" t="e">
        <f>#REF!*#REF!^5/(Conv!$I$5*Conv!$D$46)/10^6 +#REF!</f>
        <v>#REF!</v>
      </c>
      <c r="Q496" s="203" t="e">
        <f>#REF!*#REF!^5/(Conv!$I$5*Conv!$D$46)/10^6 +#REF!</f>
        <v>#REF!</v>
      </c>
      <c r="S496" s="177"/>
      <c r="T496" s="177"/>
      <c r="U496" s="177"/>
      <c r="V496" s="177"/>
      <c r="W496" s="177"/>
      <c r="X496" s="177"/>
      <c r="Y496" s="177"/>
      <c r="Z496" s="177"/>
      <c r="AA496" s="177"/>
      <c r="AB496" s="177"/>
      <c r="AC496" s="177"/>
    </row>
    <row r="497" spans="2:29">
      <c r="B497" s="158" t="s">
        <v>398</v>
      </c>
      <c r="C497" s="158" t="e">
        <f>Technologies!C657</f>
        <v>#REF!</v>
      </c>
      <c r="D497" s="158" t="e">
        <f>Technologies!D657</f>
        <v>#REF!</v>
      </c>
      <c r="E497" s="197" t="e">
        <f>Commodities!C166</f>
        <v>#REF!</v>
      </c>
      <c r="F497" s="197" t="e">
        <f>Commodities!C244</f>
        <v>#REF!</v>
      </c>
      <c r="G497" s="204">
        <v>1</v>
      </c>
      <c r="H497" s="203" t="e">
        <f>#REF!*#REF!^5/(Conv!$I$5*Conv!$D$46)/10^6 +#REF!</f>
        <v>#REF!</v>
      </c>
      <c r="I497" s="203" t="e">
        <f>#REF!*#REF!^5/(Conv!$I$5*Conv!$D$46)/10^6 +#REF!</f>
        <v>#REF!</v>
      </c>
      <c r="J497" s="203" t="e">
        <f>#REF!*#REF!^5/(Conv!$I$5*Conv!$D$46)/10^6 +#REF!</f>
        <v>#REF!</v>
      </c>
      <c r="K497" s="203" t="e">
        <f>#REF!*#REF!^5/(Conv!$I$5*Conv!$D$46)/10^6 +#REF!</f>
        <v>#REF!</v>
      </c>
      <c r="L497" s="203" t="e">
        <f>#REF!*#REF!^5/(Conv!$I$5*Conv!$D$46)/10^6 +#REF!</f>
        <v>#REF!</v>
      </c>
      <c r="M497" s="203" t="e">
        <f>#REF!*#REF!^5/(Conv!$I$5*Conv!$D$46)/10^6 +#REF!</f>
        <v>#REF!</v>
      </c>
      <c r="N497" s="203" t="e">
        <f>#REF!*#REF!^5/(Conv!$I$5*Conv!$D$46)/10^6 +#REF!</f>
        <v>#REF!</v>
      </c>
      <c r="O497" s="203" t="e">
        <f>#REF!*#REF!^5/(Conv!$I$5*Conv!$D$46)/10^6 +#REF!</f>
        <v>#REF!</v>
      </c>
      <c r="P497" s="203" t="e">
        <f>#REF!*#REF!^5/(Conv!$I$5*Conv!$D$46)/10^6 +#REF!</f>
        <v>#REF!</v>
      </c>
      <c r="Q497" s="203" t="e">
        <f>#REF!*#REF!^5/(Conv!$I$5*Conv!$D$46)/10^6 +#REF!</f>
        <v>#REF!</v>
      </c>
      <c r="S497" s="177"/>
      <c r="T497" s="177"/>
      <c r="U497" s="177"/>
      <c r="V497" s="177"/>
      <c r="W497" s="177"/>
      <c r="X497" s="177"/>
      <c r="Y497" s="177"/>
      <c r="Z497" s="177"/>
      <c r="AA497" s="177"/>
      <c r="AB497" s="177"/>
      <c r="AC497" s="177"/>
    </row>
    <row r="498" spans="2:29">
      <c r="B498" s="158" t="s">
        <v>398</v>
      </c>
      <c r="C498" s="158" t="e">
        <f>Technologies!C658</f>
        <v>#REF!</v>
      </c>
      <c r="D498" s="158" t="e">
        <f>Technologies!D658</f>
        <v>#REF!</v>
      </c>
      <c r="E498" s="197" t="e">
        <f>E497</f>
        <v>#REF!</v>
      </c>
      <c r="F498" s="197" t="e">
        <f>Commodities!C245</f>
        <v>#REF!</v>
      </c>
      <c r="G498" s="204">
        <v>1</v>
      </c>
      <c r="H498" s="203" t="e">
        <f>#REF!*#REF!^5/(Conv!$I$5*Conv!$D$46)/10^6 +#REF!</f>
        <v>#REF!</v>
      </c>
      <c r="I498" s="203" t="e">
        <f>#REF!*#REF!^5/(Conv!$I$5*Conv!$D$46)/10^6 +#REF!</f>
        <v>#REF!</v>
      </c>
      <c r="J498" s="203" t="e">
        <f>#REF!*#REF!^5/(Conv!$I$5*Conv!$D$46)/10^6 +#REF!</f>
        <v>#REF!</v>
      </c>
      <c r="K498" s="203" t="e">
        <f>#REF!*#REF!^5/(Conv!$I$5*Conv!$D$46)/10^6 +#REF!</f>
        <v>#REF!</v>
      </c>
      <c r="L498" s="203" t="e">
        <f>#REF!*#REF!^5/(Conv!$I$5*Conv!$D$46)/10^6 +#REF!</f>
        <v>#REF!</v>
      </c>
      <c r="M498" s="203" t="e">
        <f>#REF!*#REF!^5/(Conv!$I$5*Conv!$D$46)/10^6 +#REF!</f>
        <v>#REF!</v>
      </c>
      <c r="N498" s="203" t="e">
        <f>#REF!*#REF!^5/(Conv!$I$5*Conv!$D$46)/10^6 +#REF!</f>
        <v>#REF!</v>
      </c>
      <c r="O498" s="203" t="e">
        <f>#REF!*#REF!^5/(Conv!$I$5*Conv!$D$46)/10^6 +#REF!</f>
        <v>#REF!</v>
      </c>
      <c r="P498" s="203" t="e">
        <f>#REF!*#REF!^5/(Conv!$I$5*Conv!$D$46)/10^6 +#REF!</f>
        <v>#REF!</v>
      </c>
      <c r="Q498" s="203" t="e">
        <f>#REF!*#REF!^5/(Conv!$I$5*Conv!$D$46)/10^6 +#REF!</f>
        <v>#REF!</v>
      </c>
      <c r="S498" s="177"/>
      <c r="T498" s="177"/>
      <c r="U498" s="177"/>
      <c r="V498" s="177"/>
      <c r="W498" s="177"/>
      <c r="X498" s="177"/>
      <c r="Y498" s="177"/>
      <c r="Z498" s="177"/>
      <c r="AA498" s="177"/>
      <c r="AB498" s="177"/>
      <c r="AC498" s="177"/>
    </row>
    <row r="499" spans="2:29">
      <c r="B499" s="158" t="s">
        <v>398</v>
      </c>
      <c r="C499" s="158" t="e">
        <f>Technologies!C659</f>
        <v>#REF!</v>
      </c>
      <c r="D499" s="158" t="e">
        <f>Technologies!D659</f>
        <v>#REF!</v>
      </c>
      <c r="E499" s="197" t="e">
        <f>Commodities!C168</f>
        <v>#REF!</v>
      </c>
      <c r="F499" s="197" t="e">
        <f>Commodities!C246</f>
        <v>#REF!</v>
      </c>
      <c r="G499" s="204">
        <v>1</v>
      </c>
      <c r="H499" s="203" t="e">
        <f>#REF!*#REF!^5/(Conv!$I$5*Conv!$D$46)/10^6 +#REF!</f>
        <v>#REF!</v>
      </c>
      <c r="I499" s="203" t="e">
        <f>#REF!*#REF!^5/(Conv!$I$5*Conv!$D$46)/10^6 +#REF!</f>
        <v>#REF!</v>
      </c>
      <c r="J499" s="203" t="e">
        <f>#REF!*#REF!^5/(Conv!$I$5*Conv!$D$46)/10^6 +#REF!</f>
        <v>#REF!</v>
      </c>
      <c r="K499" s="203" t="e">
        <f>#REF!*#REF!^5/(Conv!$I$5*Conv!$D$46)/10^6 +#REF!</f>
        <v>#REF!</v>
      </c>
      <c r="L499" s="203" t="e">
        <f>#REF!*#REF!^5/(Conv!$I$5*Conv!$D$46)/10^6 +#REF!</f>
        <v>#REF!</v>
      </c>
      <c r="M499" s="203" t="e">
        <f>#REF!*#REF!^5/(Conv!$I$5*Conv!$D$46)/10^6 +#REF!</f>
        <v>#REF!</v>
      </c>
      <c r="N499" s="203" t="e">
        <f>#REF!*#REF!^5/(Conv!$I$5*Conv!$D$46)/10^6 +#REF!</f>
        <v>#REF!</v>
      </c>
      <c r="O499" s="203" t="e">
        <f>#REF!*#REF!^5/(Conv!$I$5*Conv!$D$46)/10^6 +#REF!</f>
        <v>#REF!</v>
      </c>
      <c r="P499" s="203" t="e">
        <f>#REF!*#REF!^5/(Conv!$I$5*Conv!$D$46)/10^6 +#REF!</f>
        <v>#REF!</v>
      </c>
      <c r="Q499" s="203" t="e">
        <f>#REF!*#REF!^5/(Conv!$I$5*Conv!$D$46)/10^6 +#REF!</f>
        <v>#REF!</v>
      </c>
      <c r="S499" s="177"/>
      <c r="T499" s="177"/>
      <c r="U499" s="177"/>
      <c r="V499" s="177"/>
      <c r="W499" s="177"/>
      <c r="X499" s="177"/>
      <c r="Y499" s="177"/>
      <c r="Z499" s="177"/>
      <c r="AA499" s="177"/>
      <c r="AB499" s="177"/>
      <c r="AC499" s="177"/>
    </row>
    <row r="500" spans="2:29">
      <c r="B500" s="158" t="s">
        <v>398</v>
      </c>
      <c r="C500" s="158"/>
      <c r="D500" s="158"/>
      <c r="E500" s="197"/>
      <c r="F500" s="197"/>
      <c r="G500" s="204"/>
      <c r="H500" s="205"/>
      <c r="I500" s="205"/>
      <c r="J500" s="205"/>
      <c r="K500" s="205"/>
      <c r="L500" s="205"/>
      <c r="M500" s="205"/>
      <c r="N500" s="205"/>
      <c r="O500" s="205"/>
      <c r="P500" s="205"/>
      <c r="Q500" s="205"/>
    </row>
    <row r="501" spans="2:29">
      <c r="B501" s="158" t="s">
        <v>398</v>
      </c>
      <c r="C501" s="158" t="e">
        <f>Technologies!C685</f>
        <v>#REF!</v>
      </c>
      <c r="D501" s="158" t="e">
        <f>Technologies!D685</f>
        <v>#REF!</v>
      </c>
      <c r="E501" s="197" t="e">
        <f>Commodities!C182</f>
        <v>#REF!</v>
      </c>
      <c r="F501" s="197" t="e">
        <f>Commodities!C222</f>
        <v>#REF!</v>
      </c>
      <c r="G501" s="204">
        <v>1</v>
      </c>
      <c r="H501" s="203" t="e">
        <f>#REF!*#REF!^5/(Conv!$I$5*Conv!$D$46)/10^6 +#REF!</f>
        <v>#REF!</v>
      </c>
      <c r="I501" s="203" t="e">
        <f>#REF!*#REF!^5/(Conv!$I$5*Conv!$D$46)/10^6 +#REF!</f>
        <v>#REF!</v>
      </c>
      <c r="J501" s="203" t="e">
        <f>#REF!*#REF!^5/(Conv!$I$5*Conv!$D$46)/10^6 +#REF!</f>
        <v>#REF!</v>
      </c>
      <c r="K501" s="203" t="e">
        <f>#REF!*#REF!^5/(Conv!$I$5*Conv!$D$46)/10^6 +#REF!</f>
        <v>#REF!</v>
      </c>
      <c r="L501" s="203" t="e">
        <f>#REF!*#REF!^5/(Conv!$I$5*Conv!$D$46)/10^6 +#REF!</f>
        <v>#REF!</v>
      </c>
      <c r="M501" s="203" t="e">
        <f>#REF!*#REF!^5/(Conv!$I$5*Conv!$D$46)/10^6 +#REF!</f>
        <v>#REF!</v>
      </c>
      <c r="N501" s="203" t="e">
        <f>#REF!*#REF!^5/(Conv!$I$5*Conv!$D$46)/10^6 +#REF!</f>
        <v>#REF!</v>
      </c>
      <c r="O501" s="203" t="e">
        <f>#REF!*#REF!^5/(Conv!$I$5*Conv!$D$46)/10^6 +#REF!</f>
        <v>#REF!</v>
      </c>
      <c r="P501" s="203" t="e">
        <f>#REF!*#REF!^5/(Conv!$I$5*Conv!$D$46)/10^6 +#REF!</f>
        <v>#REF!</v>
      </c>
      <c r="Q501" s="203" t="e">
        <f>#REF!*#REF!^5/(Conv!$I$5*Conv!$D$46)/10^6 +#REF!</f>
        <v>#REF!</v>
      </c>
      <c r="S501" s="177"/>
      <c r="T501" s="177"/>
      <c r="U501" s="177"/>
      <c r="V501" s="177"/>
      <c r="W501" s="177"/>
      <c r="X501" s="177"/>
      <c r="Y501" s="177"/>
      <c r="Z501" s="177"/>
      <c r="AA501" s="177"/>
      <c r="AB501" s="177"/>
      <c r="AC501" s="177"/>
    </row>
    <row r="502" spans="2:29">
      <c r="B502" s="158" t="s">
        <v>398</v>
      </c>
      <c r="C502" s="158" t="e">
        <f>Technologies!C686</f>
        <v>#REF!</v>
      </c>
      <c r="D502" s="158" t="e">
        <f>Technologies!D686</f>
        <v>#REF!</v>
      </c>
      <c r="E502" s="197" t="e">
        <f>Commodities!C183</f>
        <v>#REF!</v>
      </c>
      <c r="F502" s="197" t="e">
        <f>Commodities!C223</f>
        <v>#REF!</v>
      </c>
      <c r="G502" s="204">
        <v>1</v>
      </c>
      <c r="H502" s="203" t="e">
        <f>#REF!*#REF!^5/(Conv!$I$5*Conv!$D$46)/10^6 +#REF!</f>
        <v>#REF!</v>
      </c>
      <c r="I502" s="203" t="e">
        <f>#REF!*#REF!^5/(Conv!$I$5*Conv!$D$46)/10^6 +#REF!</f>
        <v>#REF!</v>
      </c>
      <c r="J502" s="203" t="e">
        <f>#REF!*#REF!^5/(Conv!$I$5*Conv!$D$46)/10^6 +#REF!</f>
        <v>#REF!</v>
      </c>
      <c r="K502" s="203" t="e">
        <f>#REF!*#REF!^5/(Conv!$I$5*Conv!$D$46)/10^6 +#REF!</f>
        <v>#REF!</v>
      </c>
      <c r="L502" s="203" t="e">
        <f>#REF!*#REF!^5/(Conv!$I$5*Conv!$D$46)/10^6 +#REF!</f>
        <v>#REF!</v>
      </c>
      <c r="M502" s="203" t="e">
        <f>#REF!*#REF!^5/(Conv!$I$5*Conv!$D$46)/10^6 +#REF!</f>
        <v>#REF!</v>
      </c>
      <c r="N502" s="203" t="e">
        <f>#REF!*#REF!^5/(Conv!$I$5*Conv!$D$46)/10^6 +#REF!</f>
        <v>#REF!</v>
      </c>
      <c r="O502" s="203" t="e">
        <f>#REF!*#REF!^5/(Conv!$I$5*Conv!$D$46)/10^6 +#REF!</f>
        <v>#REF!</v>
      </c>
      <c r="P502" s="203" t="e">
        <f>#REF!*#REF!^5/(Conv!$I$5*Conv!$D$46)/10^6 +#REF!</f>
        <v>#REF!</v>
      </c>
      <c r="Q502" s="203" t="e">
        <f>#REF!*#REF!^5/(Conv!$I$5*Conv!$D$46)/10^6 +#REF!</f>
        <v>#REF!</v>
      </c>
      <c r="S502" s="177"/>
      <c r="T502" s="177"/>
      <c r="U502" s="177"/>
      <c r="V502" s="177"/>
      <c r="W502" s="177"/>
      <c r="X502" s="177"/>
      <c r="Y502" s="177"/>
      <c r="Z502" s="177"/>
      <c r="AA502" s="177"/>
      <c r="AB502" s="177"/>
      <c r="AC502" s="177"/>
    </row>
    <row r="503" spans="2:29">
      <c r="B503" s="158" t="s">
        <v>398</v>
      </c>
      <c r="C503" s="158" t="e">
        <f>Technologies!C687</f>
        <v>#REF!</v>
      </c>
      <c r="D503" s="158" t="e">
        <f>Technologies!D687</f>
        <v>#REF!</v>
      </c>
      <c r="E503" s="197" t="e">
        <f>Commodities!C184</f>
        <v>#REF!</v>
      </c>
      <c r="F503" s="197" t="e">
        <f>Commodities!C224</f>
        <v>#REF!</v>
      </c>
      <c r="G503" s="204">
        <v>1</v>
      </c>
      <c r="H503" s="203" t="e">
        <f>#REF!*#REF!^5/(Conv!$I$5*Conv!$D$46)/10^6 +#REF!</f>
        <v>#REF!</v>
      </c>
      <c r="I503" s="203" t="e">
        <f>#REF!*#REF!^5/(Conv!$I$5*Conv!$D$46)/10^6 +#REF!</f>
        <v>#REF!</v>
      </c>
      <c r="J503" s="203" t="e">
        <f>#REF!*#REF!^5/(Conv!$I$5*Conv!$D$46)/10^6 +#REF!</f>
        <v>#REF!</v>
      </c>
      <c r="K503" s="203" t="e">
        <f>#REF!*#REF!^5/(Conv!$I$5*Conv!$D$46)/10^6 +#REF!</f>
        <v>#REF!</v>
      </c>
      <c r="L503" s="203" t="e">
        <f>#REF!*#REF!^5/(Conv!$I$5*Conv!$D$46)/10^6 +#REF!</f>
        <v>#REF!</v>
      </c>
      <c r="M503" s="203" t="e">
        <f>#REF!*#REF!^5/(Conv!$I$5*Conv!$D$46)/10^6 +#REF!</f>
        <v>#REF!</v>
      </c>
      <c r="N503" s="203" t="e">
        <f>#REF!*#REF!^5/(Conv!$I$5*Conv!$D$46)/10^6 +#REF!</f>
        <v>#REF!</v>
      </c>
      <c r="O503" s="203" t="e">
        <f>#REF!*#REF!^5/(Conv!$I$5*Conv!$D$46)/10^6 +#REF!</f>
        <v>#REF!</v>
      </c>
      <c r="P503" s="203" t="e">
        <f>#REF!*#REF!^5/(Conv!$I$5*Conv!$D$46)/10^6 +#REF!</f>
        <v>#REF!</v>
      </c>
      <c r="Q503" s="203" t="e">
        <f>#REF!*#REF!^5/(Conv!$I$5*Conv!$D$46)/10^6 +#REF!</f>
        <v>#REF!</v>
      </c>
      <c r="S503" s="177"/>
      <c r="T503" s="177"/>
      <c r="U503" s="177"/>
      <c r="V503" s="177"/>
      <c r="W503" s="177"/>
      <c r="X503" s="177"/>
      <c r="Y503" s="177"/>
      <c r="Z503" s="177"/>
      <c r="AA503" s="177"/>
      <c r="AB503" s="177"/>
      <c r="AC503" s="177"/>
    </row>
    <row r="504" spans="2:29">
      <c r="B504" s="158" t="s">
        <v>398</v>
      </c>
      <c r="C504" s="158" t="e">
        <f>Technologies!C688</f>
        <v>#REF!</v>
      </c>
      <c r="D504" s="158" t="e">
        <f>Technologies!D688</f>
        <v>#REF!</v>
      </c>
      <c r="E504" s="197" t="e">
        <f>E503</f>
        <v>#REF!</v>
      </c>
      <c r="F504" s="197" t="e">
        <f>Commodities!C225</f>
        <v>#REF!</v>
      </c>
      <c r="G504" s="204">
        <v>1</v>
      </c>
      <c r="H504" s="203" t="e">
        <f>#REF!*#REF!^5/(Conv!$I$5*Conv!$D$46)/10^6 +#REF!</f>
        <v>#REF!</v>
      </c>
      <c r="I504" s="203" t="e">
        <f>#REF!*#REF!^5/(Conv!$I$5*Conv!$D$46)/10^6 +#REF!</f>
        <v>#REF!</v>
      </c>
      <c r="J504" s="203" t="e">
        <f>#REF!*#REF!^5/(Conv!$I$5*Conv!$D$46)/10^6 +#REF!</f>
        <v>#REF!</v>
      </c>
      <c r="K504" s="203" t="e">
        <f>#REF!*#REF!^5/(Conv!$I$5*Conv!$D$46)/10^6 +#REF!</f>
        <v>#REF!</v>
      </c>
      <c r="L504" s="203" t="e">
        <f>#REF!*#REF!^5/(Conv!$I$5*Conv!$D$46)/10^6 +#REF!</f>
        <v>#REF!</v>
      </c>
      <c r="M504" s="203" t="e">
        <f>#REF!*#REF!^5/(Conv!$I$5*Conv!$D$46)/10^6 +#REF!</f>
        <v>#REF!</v>
      </c>
      <c r="N504" s="203" t="e">
        <f>#REF!*#REF!^5/(Conv!$I$5*Conv!$D$46)/10^6 +#REF!</f>
        <v>#REF!</v>
      </c>
      <c r="O504" s="203" t="e">
        <f>#REF!*#REF!^5/(Conv!$I$5*Conv!$D$46)/10^6 +#REF!</f>
        <v>#REF!</v>
      </c>
      <c r="P504" s="203" t="e">
        <f>#REF!*#REF!^5/(Conv!$I$5*Conv!$D$46)/10^6 +#REF!</f>
        <v>#REF!</v>
      </c>
      <c r="Q504" s="203" t="e">
        <f>#REF!*#REF!^5/(Conv!$I$5*Conv!$D$46)/10^6 +#REF!</f>
        <v>#REF!</v>
      </c>
      <c r="S504" s="177"/>
      <c r="T504" s="177"/>
      <c r="U504" s="177"/>
      <c r="V504" s="177"/>
      <c r="W504" s="177"/>
      <c r="X504" s="177"/>
      <c r="Y504" s="177"/>
      <c r="Z504" s="177"/>
      <c r="AA504" s="177"/>
      <c r="AB504" s="177"/>
      <c r="AC504" s="177"/>
    </row>
    <row r="505" spans="2:29">
      <c r="B505" s="158" t="s">
        <v>398</v>
      </c>
      <c r="C505" s="158" t="e">
        <f>Technologies!C689</f>
        <v>#REF!</v>
      </c>
      <c r="D505" s="158" t="e">
        <f>Technologies!D689</f>
        <v>#REF!</v>
      </c>
      <c r="E505" s="197" t="e">
        <f>E504</f>
        <v>#REF!</v>
      </c>
      <c r="F505" s="197" t="e">
        <f>Commodities!C226</f>
        <v>#REF!</v>
      </c>
      <c r="G505" s="204">
        <v>1</v>
      </c>
      <c r="H505" s="203" t="e">
        <f>#REF!*#REF!^5/(Conv!$I$5*Conv!$D$46)/10^6 +#REF!</f>
        <v>#REF!</v>
      </c>
      <c r="I505" s="203" t="e">
        <f>#REF!*#REF!^5/(Conv!$I$5*Conv!$D$46)/10^6 +#REF!</f>
        <v>#REF!</v>
      </c>
      <c r="J505" s="203" t="e">
        <f>#REF!*#REF!^5/(Conv!$I$5*Conv!$D$46)/10^6 +#REF!</f>
        <v>#REF!</v>
      </c>
      <c r="K505" s="203" t="e">
        <f>#REF!*#REF!^5/(Conv!$I$5*Conv!$D$46)/10^6 +#REF!</f>
        <v>#REF!</v>
      </c>
      <c r="L505" s="203" t="e">
        <f>#REF!*#REF!^5/(Conv!$I$5*Conv!$D$46)/10^6 +#REF!</f>
        <v>#REF!</v>
      </c>
      <c r="M505" s="203" t="e">
        <f>#REF!*#REF!^5/(Conv!$I$5*Conv!$D$46)/10^6 +#REF!</f>
        <v>#REF!</v>
      </c>
      <c r="N505" s="203" t="e">
        <f>#REF!*#REF!^5/(Conv!$I$5*Conv!$D$46)/10^6 +#REF!</f>
        <v>#REF!</v>
      </c>
      <c r="O505" s="203" t="e">
        <f>#REF!*#REF!^5/(Conv!$I$5*Conv!$D$46)/10^6 +#REF!</f>
        <v>#REF!</v>
      </c>
      <c r="P505" s="203" t="e">
        <f>#REF!*#REF!^5/(Conv!$I$5*Conv!$D$46)/10^6 +#REF!</f>
        <v>#REF!</v>
      </c>
      <c r="Q505" s="203" t="e">
        <f>#REF!*#REF!^5/(Conv!$I$5*Conv!$D$46)/10^6 +#REF!</f>
        <v>#REF!</v>
      </c>
      <c r="S505" s="177"/>
      <c r="T505" s="177"/>
      <c r="U505" s="177"/>
      <c r="V505" s="177"/>
      <c r="W505" s="177"/>
      <c r="X505" s="177"/>
      <c r="Y505" s="177"/>
      <c r="Z505" s="177"/>
      <c r="AA505" s="177"/>
      <c r="AB505" s="177"/>
      <c r="AC505" s="177"/>
    </row>
    <row r="506" spans="2:29">
      <c r="B506" s="158" t="s">
        <v>398</v>
      </c>
      <c r="C506" s="158" t="e">
        <f>Technologies!C690</f>
        <v>#REF!</v>
      </c>
      <c r="D506" s="158" t="e">
        <f>Technologies!D690</f>
        <v>#REF!</v>
      </c>
      <c r="E506" s="197" t="e">
        <f>E505</f>
        <v>#REF!</v>
      </c>
      <c r="F506" s="197" t="e">
        <f>Commodities!C227</f>
        <v>#REF!</v>
      </c>
      <c r="G506" s="204">
        <v>1</v>
      </c>
      <c r="H506" s="203" t="e">
        <f>#REF!*#REF!^5/(Conv!$I$5*Conv!$D$46)/10^6 +#REF!</f>
        <v>#REF!</v>
      </c>
      <c r="I506" s="203" t="e">
        <f>#REF!*#REF!^5/(Conv!$I$5*Conv!$D$46)/10^6 +#REF!</f>
        <v>#REF!</v>
      </c>
      <c r="J506" s="203" t="e">
        <f>#REF!*#REF!^5/(Conv!$I$5*Conv!$D$46)/10^6 +#REF!</f>
        <v>#REF!</v>
      </c>
      <c r="K506" s="203" t="e">
        <f>#REF!*#REF!^5/(Conv!$I$5*Conv!$D$46)/10^6 +#REF!</f>
        <v>#REF!</v>
      </c>
      <c r="L506" s="203" t="e">
        <f>#REF!*#REF!^5/(Conv!$I$5*Conv!$D$46)/10^6 +#REF!</f>
        <v>#REF!</v>
      </c>
      <c r="M506" s="203" t="e">
        <f>#REF!*#REF!^5/(Conv!$I$5*Conv!$D$46)/10^6 +#REF!</f>
        <v>#REF!</v>
      </c>
      <c r="N506" s="203" t="e">
        <f>#REF!*#REF!^5/(Conv!$I$5*Conv!$D$46)/10^6 +#REF!</f>
        <v>#REF!</v>
      </c>
      <c r="O506" s="203" t="e">
        <f>#REF!*#REF!^5/(Conv!$I$5*Conv!$D$46)/10^6 +#REF!</f>
        <v>#REF!</v>
      </c>
      <c r="P506" s="203" t="e">
        <f>#REF!*#REF!^5/(Conv!$I$5*Conv!$D$46)/10^6 +#REF!</f>
        <v>#REF!</v>
      </c>
      <c r="Q506" s="203" t="e">
        <f>#REF!*#REF!^5/(Conv!$I$5*Conv!$D$46)/10^6 +#REF!</f>
        <v>#REF!</v>
      </c>
      <c r="S506" s="177"/>
      <c r="T506" s="177"/>
      <c r="U506" s="177"/>
      <c r="V506" s="177"/>
      <c r="W506" s="177"/>
      <c r="X506" s="177"/>
      <c r="Y506" s="177"/>
      <c r="Z506" s="177"/>
      <c r="AA506" s="177"/>
      <c r="AB506" s="177"/>
      <c r="AC506" s="177"/>
    </row>
    <row r="507" spans="2:29">
      <c r="B507" s="158" t="s">
        <v>398</v>
      </c>
      <c r="C507" s="158" t="e">
        <f>Technologies!C691</f>
        <v>#REF!</v>
      </c>
      <c r="D507" s="158" t="e">
        <f>Technologies!D691</f>
        <v>#REF!</v>
      </c>
      <c r="E507" s="197" t="e">
        <f>Commodities!C185</f>
        <v>#REF!</v>
      </c>
      <c r="F507" s="197" t="e">
        <f>Commodities!C228</f>
        <v>#REF!</v>
      </c>
      <c r="G507" s="204">
        <v>1</v>
      </c>
      <c r="H507" s="203" t="e">
        <f>#REF!*#REF!^5/(Conv!$I$5*Conv!$D$46)/10^6 +#REF!</f>
        <v>#REF!</v>
      </c>
      <c r="I507" s="203" t="e">
        <f>#REF!*#REF!^5/(Conv!$I$5*Conv!$D$46)/10^6 +#REF!</f>
        <v>#REF!</v>
      </c>
      <c r="J507" s="203" t="e">
        <f>#REF!*#REF!^5/(Conv!$I$5*Conv!$D$46)/10^6 +#REF!</f>
        <v>#REF!</v>
      </c>
      <c r="K507" s="203" t="e">
        <f>#REF!*#REF!^5/(Conv!$I$5*Conv!$D$46)/10^6 +#REF!</f>
        <v>#REF!</v>
      </c>
      <c r="L507" s="203" t="e">
        <f>#REF!*#REF!^5/(Conv!$I$5*Conv!$D$46)/10^6 +#REF!</f>
        <v>#REF!</v>
      </c>
      <c r="M507" s="203" t="e">
        <f>#REF!*#REF!^5/(Conv!$I$5*Conv!$D$46)/10^6 +#REF!</f>
        <v>#REF!</v>
      </c>
      <c r="N507" s="203" t="e">
        <f>#REF!*#REF!^5/(Conv!$I$5*Conv!$D$46)/10^6 +#REF!</f>
        <v>#REF!</v>
      </c>
      <c r="O507" s="203" t="e">
        <f>#REF!*#REF!^5/(Conv!$I$5*Conv!$D$46)/10^6 +#REF!</f>
        <v>#REF!</v>
      </c>
      <c r="P507" s="203" t="e">
        <f>#REF!*#REF!^5/(Conv!$I$5*Conv!$D$46)/10^6 +#REF!</f>
        <v>#REF!</v>
      </c>
      <c r="Q507" s="203" t="e">
        <f>#REF!*#REF!^5/(Conv!$I$5*Conv!$D$46)/10^6 +#REF!</f>
        <v>#REF!</v>
      </c>
      <c r="S507" s="177"/>
      <c r="T507" s="177"/>
      <c r="U507" s="177"/>
      <c r="V507" s="177"/>
      <c r="W507" s="177"/>
      <c r="X507" s="177"/>
      <c r="Y507" s="177"/>
      <c r="Z507" s="177"/>
      <c r="AA507" s="177"/>
      <c r="AB507" s="177"/>
      <c r="AC507" s="177"/>
    </row>
    <row r="508" spans="2:29">
      <c r="B508" s="158" t="s">
        <v>398</v>
      </c>
      <c r="C508" s="158" t="e">
        <f>Technologies!C692</f>
        <v>#REF!</v>
      </c>
      <c r="D508" s="158" t="e">
        <f>Technologies!D692</f>
        <v>#REF!</v>
      </c>
      <c r="E508" s="197" t="e">
        <f>Commodities!C186</f>
        <v>#REF!</v>
      </c>
      <c r="F508" s="197" t="e">
        <f>Commodities!C229</f>
        <v>#REF!</v>
      </c>
      <c r="G508" s="204">
        <v>1</v>
      </c>
      <c r="H508" s="203" t="e">
        <f>#REF!*#REF!^5/(Conv!$I$5*Conv!$D$46)/10^6 +#REF!</f>
        <v>#REF!</v>
      </c>
      <c r="I508" s="203" t="e">
        <f>#REF!*#REF!^5/(Conv!$I$5*Conv!$D$46)/10^6 +#REF!</f>
        <v>#REF!</v>
      </c>
      <c r="J508" s="203" t="e">
        <f>#REF!*#REF!^5/(Conv!$I$5*Conv!$D$46)/10^6 +#REF!</f>
        <v>#REF!</v>
      </c>
      <c r="K508" s="203" t="e">
        <f>#REF!*#REF!^5/(Conv!$I$5*Conv!$D$46)/10^6 +#REF!</f>
        <v>#REF!</v>
      </c>
      <c r="L508" s="203" t="e">
        <f>#REF!*#REF!^5/(Conv!$I$5*Conv!$D$46)/10^6 +#REF!</f>
        <v>#REF!</v>
      </c>
      <c r="M508" s="203" t="e">
        <f>#REF!*#REF!^5/(Conv!$I$5*Conv!$D$46)/10^6 +#REF!</f>
        <v>#REF!</v>
      </c>
      <c r="N508" s="203" t="e">
        <f>#REF!*#REF!^5/(Conv!$I$5*Conv!$D$46)/10^6 +#REF!</f>
        <v>#REF!</v>
      </c>
      <c r="O508" s="203" t="e">
        <f>#REF!*#REF!^5/(Conv!$I$5*Conv!$D$46)/10^6 +#REF!</f>
        <v>#REF!</v>
      </c>
      <c r="P508" s="203" t="e">
        <f>#REF!*#REF!^5/(Conv!$I$5*Conv!$D$46)/10^6 +#REF!</f>
        <v>#REF!</v>
      </c>
      <c r="Q508" s="203" t="e">
        <f>#REF!*#REF!^5/(Conv!$I$5*Conv!$D$46)/10^6 +#REF!</f>
        <v>#REF!</v>
      </c>
      <c r="S508" s="177"/>
      <c r="T508" s="177"/>
      <c r="U508" s="177"/>
      <c r="V508" s="177"/>
      <c r="W508" s="177"/>
      <c r="X508" s="177"/>
      <c r="Y508" s="177"/>
      <c r="Z508" s="177"/>
      <c r="AA508" s="177"/>
      <c r="AB508" s="177"/>
      <c r="AC508" s="177"/>
    </row>
    <row r="509" spans="2:29">
      <c r="B509" s="158" t="s">
        <v>398</v>
      </c>
      <c r="C509" s="158" t="e">
        <f>Technologies!C693</f>
        <v>#REF!</v>
      </c>
      <c r="D509" s="158" t="e">
        <f>Technologies!D693</f>
        <v>#REF!</v>
      </c>
      <c r="E509" s="197" t="e">
        <f>Commodities!C187</f>
        <v>#REF!</v>
      </c>
      <c r="F509" s="197" t="e">
        <f>Commodities!C230</f>
        <v>#REF!</v>
      </c>
      <c r="G509" s="204">
        <v>1</v>
      </c>
      <c r="H509" s="203" t="e">
        <f>#REF!*#REF!^5/(Conv!$I$5*Conv!$D$46)/10^6 +#REF!</f>
        <v>#REF!</v>
      </c>
      <c r="I509" s="203" t="e">
        <f>#REF!*#REF!^5/(Conv!$I$5*Conv!$D$46)/10^6 +#REF!</f>
        <v>#REF!</v>
      </c>
      <c r="J509" s="203" t="e">
        <f>#REF!*#REF!^5/(Conv!$I$5*Conv!$D$46)/10^6 +#REF!</f>
        <v>#REF!</v>
      </c>
      <c r="K509" s="203" t="e">
        <f>#REF!*#REF!^5/(Conv!$I$5*Conv!$D$46)/10^6 +#REF!</f>
        <v>#REF!</v>
      </c>
      <c r="L509" s="203" t="e">
        <f>#REF!*#REF!^5/(Conv!$I$5*Conv!$D$46)/10^6 +#REF!</f>
        <v>#REF!</v>
      </c>
      <c r="M509" s="203" t="e">
        <f>#REF!*#REF!^5/(Conv!$I$5*Conv!$D$46)/10^6 +#REF!</f>
        <v>#REF!</v>
      </c>
      <c r="N509" s="203" t="e">
        <f>#REF!*#REF!^5/(Conv!$I$5*Conv!$D$46)/10^6 +#REF!</f>
        <v>#REF!</v>
      </c>
      <c r="O509" s="203" t="e">
        <f>#REF!*#REF!^5/(Conv!$I$5*Conv!$D$46)/10^6 +#REF!</f>
        <v>#REF!</v>
      </c>
      <c r="P509" s="203" t="e">
        <f>#REF!*#REF!^5/(Conv!$I$5*Conv!$D$46)/10^6 +#REF!</f>
        <v>#REF!</v>
      </c>
      <c r="Q509" s="203" t="e">
        <f>#REF!*#REF!^5/(Conv!$I$5*Conv!$D$46)/10^6 +#REF!</f>
        <v>#REF!</v>
      </c>
      <c r="S509" s="177"/>
      <c r="T509" s="177"/>
      <c r="U509" s="177"/>
      <c r="V509" s="177"/>
      <c r="W509" s="177"/>
      <c r="X509" s="177"/>
      <c r="Y509" s="177"/>
      <c r="Z509" s="177"/>
      <c r="AA509" s="177"/>
      <c r="AB509" s="177"/>
      <c r="AC509" s="177"/>
    </row>
    <row r="510" spans="2:29">
      <c r="B510" s="158" t="s">
        <v>398</v>
      </c>
      <c r="C510" s="158" t="e">
        <f>Technologies!C694</f>
        <v>#REF!</v>
      </c>
      <c r="D510" s="158" t="e">
        <f>Technologies!D694</f>
        <v>#REF!</v>
      </c>
      <c r="E510" s="197" t="e">
        <f>Commodities!C188</f>
        <v>#REF!</v>
      </c>
      <c r="F510" s="197" t="e">
        <f>Commodities!C231</f>
        <v>#REF!</v>
      </c>
      <c r="G510" s="204">
        <v>1</v>
      </c>
      <c r="H510" s="203" t="e">
        <f>#REF!*#REF!^5/(Conv!$I$5*Conv!$D$46)/10^6 +#REF!</f>
        <v>#REF!</v>
      </c>
      <c r="I510" s="203" t="e">
        <f>#REF!*#REF!^5/(Conv!$I$5*Conv!$D$46)/10^6 +#REF!</f>
        <v>#REF!</v>
      </c>
      <c r="J510" s="203" t="e">
        <f>#REF!*#REF!^5/(Conv!$I$5*Conv!$D$46)/10^6 +#REF!</f>
        <v>#REF!</v>
      </c>
      <c r="K510" s="203" t="e">
        <f>#REF!*#REF!^5/(Conv!$I$5*Conv!$D$46)/10^6 +#REF!</f>
        <v>#REF!</v>
      </c>
      <c r="L510" s="203" t="e">
        <f>#REF!*#REF!^5/(Conv!$I$5*Conv!$D$46)/10^6 +#REF!</f>
        <v>#REF!</v>
      </c>
      <c r="M510" s="203" t="e">
        <f>#REF!*#REF!^5/(Conv!$I$5*Conv!$D$46)/10^6 +#REF!</f>
        <v>#REF!</v>
      </c>
      <c r="N510" s="203" t="e">
        <f>#REF!*#REF!^5/(Conv!$I$5*Conv!$D$46)/10^6 +#REF!</f>
        <v>#REF!</v>
      </c>
      <c r="O510" s="203" t="e">
        <f>#REF!*#REF!^5/(Conv!$I$5*Conv!$D$46)/10^6 +#REF!</f>
        <v>#REF!</v>
      </c>
      <c r="P510" s="203" t="e">
        <f>#REF!*#REF!^5/(Conv!$I$5*Conv!$D$46)/10^6 +#REF!</f>
        <v>#REF!</v>
      </c>
      <c r="Q510" s="203" t="e">
        <f>#REF!*#REF!^5/(Conv!$I$5*Conv!$D$46)/10^6 +#REF!</f>
        <v>#REF!</v>
      </c>
      <c r="S510" s="177"/>
      <c r="T510" s="177"/>
      <c r="U510" s="177"/>
      <c r="V510" s="177"/>
      <c r="W510" s="177"/>
      <c r="X510" s="177"/>
      <c r="Y510" s="177"/>
      <c r="Z510" s="177"/>
      <c r="AA510" s="177"/>
      <c r="AB510" s="177"/>
      <c r="AC510" s="177"/>
    </row>
    <row r="511" spans="2:29">
      <c r="B511" s="158" t="s">
        <v>398</v>
      </c>
      <c r="C511" s="158" t="e">
        <f>Technologies!C695</f>
        <v>#REF!</v>
      </c>
      <c r="D511" s="158" t="e">
        <f>Technologies!D695</f>
        <v>#REF!</v>
      </c>
      <c r="E511" s="197" t="e">
        <f>E510</f>
        <v>#REF!</v>
      </c>
      <c r="F511" s="197" t="e">
        <f>Commodities!C232</f>
        <v>#REF!</v>
      </c>
      <c r="G511" s="204">
        <v>1</v>
      </c>
      <c r="H511" s="203" t="e">
        <f>#REF!*#REF!^5/(Conv!$I$5*Conv!$D$46)/10^6 +#REF!</f>
        <v>#REF!</v>
      </c>
      <c r="I511" s="203" t="e">
        <f>#REF!*#REF!^5/(Conv!$I$5*Conv!$D$46)/10^6 +#REF!</f>
        <v>#REF!</v>
      </c>
      <c r="J511" s="203" t="e">
        <f>#REF!*#REF!^5/(Conv!$I$5*Conv!$D$46)/10^6 +#REF!</f>
        <v>#REF!</v>
      </c>
      <c r="K511" s="203" t="e">
        <f>#REF!*#REF!^5/(Conv!$I$5*Conv!$D$46)/10^6 +#REF!</f>
        <v>#REF!</v>
      </c>
      <c r="L511" s="203" t="e">
        <f>#REF!*#REF!^5/(Conv!$I$5*Conv!$D$46)/10^6 +#REF!</f>
        <v>#REF!</v>
      </c>
      <c r="M511" s="203" t="e">
        <f>#REF!*#REF!^5/(Conv!$I$5*Conv!$D$46)/10^6 +#REF!</f>
        <v>#REF!</v>
      </c>
      <c r="N511" s="203" t="e">
        <f>#REF!*#REF!^5/(Conv!$I$5*Conv!$D$46)/10^6 +#REF!</f>
        <v>#REF!</v>
      </c>
      <c r="O511" s="203" t="e">
        <f>#REF!*#REF!^5/(Conv!$I$5*Conv!$D$46)/10^6 +#REF!</f>
        <v>#REF!</v>
      </c>
      <c r="P511" s="203" t="e">
        <f>#REF!*#REF!^5/(Conv!$I$5*Conv!$D$46)/10^6 +#REF!</f>
        <v>#REF!</v>
      </c>
      <c r="Q511" s="203" t="e">
        <f>#REF!*#REF!^5/(Conv!$I$5*Conv!$D$46)/10^6 +#REF!</f>
        <v>#REF!</v>
      </c>
      <c r="S511" s="177"/>
      <c r="T511" s="177"/>
      <c r="U511" s="177"/>
      <c r="V511" s="177"/>
      <c r="W511" s="177"/>
      <c r="X511" s="177"/>
      <c r="Y511" s="177"/>
      <c r="Z511" s="177"/>
      <c r="AA511" s="177"/>
      <c r="AB511" s="177"/>
      <c r="AC511" s="177"/>
    </row>
    <row r="512" spans="2:29">
      <c r="B512" s="158" t="s">
        <v>398</v>
      </c>
      <c r="C512" s="158" t="e">
        <f>Technologies!C696</f>
        <v>#REF!</v>
      </c>
      <c r="D512" s="158" t="e">
        <f>Technologies!D696</f>
        <v>#REF!</v>
      </c>
      <c r="E512" s="197" t="e">
        <f>E511</f>
        <v>#REF!</v>
      </c>
      <c r="F512" s="197" t="e">
        <f>Commodities!C233</f>
        <v>#REF!</v>
      </c>
      <c r="G512" s="204">
        <v>1</v>
      </c>
      <c r="H512" s="203" t="e">
        <f>#REF!*#REF!^5/(Conv!$I$5*Conv!$D$46)/10^6 +#REF!</f>
        <v>#REF!</v>
      </c>
      <c r="I512" s="203" t="e">
        <f>#REF!*#REF!^5/(Conv!$I$5*Conv!$D$46)/10^6 +#REF!</f>
        <v>#REF!</v>
      </c>
      <c r="J512" s="203" t="e">
        <f>#REF!*#REF!^5/(Conv!$I$5*Conv!$D$46)/10^6 +#REF!</f>
        <v>#REF!</v>
      </c>
      <c r="K512" s="203" t="e">
        <f>#REF!*#REF!^5/(Conv!$I$5*Conv!$D$46)/10^6 +#REF!</f>
        <v>#REF!</v>
      </c>
      <c r="L512" s="203" t="e">
        <f>#REF!*#REF!^5/(Conv!$I$5*Conv!$D$46)/10^6 +#REF!</f>
        <v>#REF!</v>
      </c>
      <c r="M512" s="203" t="e">
        <f>#REF!*#REF!^5/(Conv!$I$5*Conv!$D$46)/10^6 +#REF!</f>
        <v>#REF!</v>
      </c>
      <c r="N512" s="203" t="e">
        <f>#REF!*#REF!^5/(Conv!$I$5*Conv!$D$46)/10^6 +#REF!</f>
        <v>#REF!</v>
      </c>
      <c r="O512" s="203" t="e">
        <f>#REF!*#REF!^5/(Conv!$I$5*Conv!$D$46)/10^6 +#REF!</f>
        <v>#REF!</v>
      </c>
      <c r="P512" s="203" t="e">
        <f>#REF!*#REF!^5/(Conv!$I$5*Conv!$D$46)/10^6 +#REF!</f>
        <v>#REF!</v>
      </c>
      <c r="Q512" s="203" t="e">
        <f>#REF!*#REF!^5/(Conv!$I$5*Conv!$D$46)/10^6 +#REF!</f>
        <v>#REF!</v>
      </c>
      <c r="S512" s="177"/>
      <c r="T512" s="177"/>
      <c r="U512" s="177"/>
      <c r="V512" s="177"/>
      <c r="W512" s="177"/>
      <c r="X512" s="177"/>
      <c r="Y512" s="177"/>
      <c r="Z512" s="177"/>
      <c r="AA512" s="177"/>
      <c r="AB512" s="177"/>
      <c r="AC512" s="177"/>
    </row>
    <row r="513" spans="2:29">
      <c r="B513" s="158" t="s">
        <v>398</v>
      </c>
      <c r="C513" s="158" t="e">
        <f>Technologies!C697</f>
        <v>#REF!</v>
      </c>
      <c r="D513" s="158" t="e">
        <f>Technologies!D697</f>
        <v>#REF!</v>
      </c>
      <c r="E513" s="197" t="e">
        <f>Commodities!C189</f>
        <v>#REF!</v>
      </c>
      <c r="F513" s="197" t="e">
        <f>Commodities!C234</f>
        <v>#REF!</v>
      </c>
      <c r="G513" s="204">
        <v>1</v>
      </c>
      <c r="H513" s="203" t="e">
        <f>#REF!*#REF!^5/(Conv!$I$5*Conv!$D$46)/10^6 +#REF!</f>
        <v>#REF!</v>
      </c>
      <c r="I513" s="203" t="e">
        <f>#REF!*#REF!^5/(Conv!$I$5*Conv!$D$46)/10^6 +#REF!</f>
        <v>#REF!</v>
      </c>
      <c r="J513" s="203" t="e">
        <f>#REF!*#REF!^5/(Conv!$I$5*Conv!$D$46)/10^6 +#REF!</f>
        <v>#REF!</v>
      </c>
      <c r="K513" s="203" t="e">
        <f>#REF!*#REF!^5/(Conv!$I$5*Conv!$D$46)/10^6 +#REF!</f>
        <v>#REF!</v>
      </c>
      <c r="L513" s="203" t="e">
        <f>#REF!*#REF!^5/(Conv!$I$5*Conv!$D$46)/10^6 +#REF!</f>
        <v>#REF!</v>
      </c>
      <c r="M513" s="203" t="e">
        <f>#REF!*#REF!^5/(Conv!$I$5*Conv!$D$46)/10^6 +#REF!</f>
        <v>#REF!</v>
      </c>
      <c r="N513" s="203" t="e">
        <f>#REF!*#REF!^5/(Conv!$I$5*Conv!$D$46)/10^6 +#REF!</f>
        <v>#REF!</v>
      </c>
      <c r="O513" s="203" t="e">
        <f>#REF!*#REF!^5/(Conv!$I$5*Conv!$D$46)/10^6 +#REF!</f>
        <v>#REF!</v>
      </c>
      <c r="P513" s="203" t="e">
        <f>#REF!*#REF!^5/(Conv!$I$5*Conv!$D$46)/10^6 +#REF!</f>
        <v>#REF!</v>
      </c>
      <c r="Q513" s="203" t="e">
        <f>#REF!*#REF!^5/(Conv!$I$5*Conv!$D$46)/10^6 +#REF!</f>
        <v>#REF!</v>
      </c>
      <c r="S513" s="177"/>
      <c r="T513" s="177"/>
      <c r="U513" s="177"/>
      <c r="V513" s="177"/>
      <c r="W513" s="177"/>
      <c r="X513" s="177"/>
      <c r="Y513" s="177"/>
      <c r="Z513" s="177"/>
      <c r="AA513" s="177"/>
      <c r="AB513" s="177"/>
      <c r="AC513" s="177"/>
    </row>
    <row r="514" spans="2:29">
      <c r="B514" s="158" t="s">
        <v>398</v>
      </c>
      <c r="C514" s="158" t="e">
        <f>Technologies!C698</f>
        <v>#REF!</v>
      </c>
      <c r="D514" s="158" t="e">
        <f>Technologies!D698</f>
        <v>#REF!</v>
      </c>
      <c r="E514" s="197" t="e">
        <f>E513</f>
        <v>#REF!</v>
      </c>
      <c r="F514" s="197" t="e">
        <f>Commodities!C235</f>
        <v>#REF!</v>
      </c>
      <c r="G514" s="204">
        <v>1</v>
      </c>
      <c r="H514" s="203" t="e">
        <f>#REF!*#REF!^5/(Conv!$I$5*Conv!$D$46)/10^6 +#REF!</f>
        <v>#REF!</v>
      </c>
      <c r="I514" s="203" t="e">
        <f>#REF!*#REF!^5/(Conv!$I$5*Conv!$D$46)/10^6 +#REF!</f>
        <v>#REF!</v>
      </c>
      <c r="J514" s="203" t="e">
        <f>#REF!*#REF!^5/(Conv!$I$5*Conv!$D$46)/10^6 +#REF!</f>
        <v>#REF!</v>
      </c>
      <c r="K514" s="203" t="e">
        <f>#REF!*#REF!^5/(Conv!$I$5*Conv!$D$46)/10^6 +#REF!</f>
        <v>#REF!</v>
      </c>
      <c r="L514" s="203" t="e">
        <f>#REF!*#REF!^5/(Conv!$I$5*Conv!$D$46)/10^6 +#REF!</f>
        <v>#REF!</v>
      </c>
      <c r="M514" s="203" t="e">
        <f>#REF!*#REF!^5/(Conv!$I$5*Conv!$D$46)/10^6 +#REF!</f>
        <v>#REF!</v>
      </c>
      <c r="N514" s="203" t="e">
        <f>#REF!*#REF!^5/(Conv!$I$5*Conv!$D$46)/10^6 +#REF!</f>
        <v>#REF!</v>
      </c>
      <c r="O514" s="203" t="e">
        <f>#REF!*#REF!^5/(Conv!$I$5*Conv!$D$46)/10^6 +#REF!</f>
        <v>#REF!</v>
      </c>
      <c r="P514" s="203" t="e">
        <f>#REF!*#REF!^5/(Conv!$I$5*Conv!$D$46)/10^6 +#REF!</f>
        <v>#REF!</v>
      </c>
      <c r="Q514" s="203" t="e">
        <f>#REF!*#REF!^5/(Conv!$I$5*Conv!$D$46)/10^6 +#REF!</f>
        <v>#REF!</v>
      </c>
      <c r="S514" s="177"/>
      <c r="T514" s="177"/>
      <c r="U514" s="177"/>
      <c r="V514" s="177"/>
      <c r="W514" s="177"/>
      <c r="X514" s="177"/>
      <c r="Y514" s="177"/>
      <c r="Z514" s="177"/>
      <c r="AA514" s="177"/>
      <c r="AB514" s="177"/>
      <c r="AC514" s="177"/>
    </row>
    <row r="515" spans="2:29">
      <c r="B515" s="158" t="s">
        <v>398</v>
      </c>
      <c r="C515" s="158" t="e">
        <f>Technologies!C699</f>
        <v>#REF!</v>
      </c>
      <c r="D515" s="158" t="e">
        <f>Technologies!D699</f>
        <v>#REF!</v>
      </c>
      <c r="E515" s="197" t="e">
        <f>E514</f>
        <v>#REF!</v>
      </c>
      <c r="F515" s="197" t="e">
        <f>Commodities!C236</f>
        <v>#REF!</v>
      </c>
      <c r="G515" s="204">
        <v>1</v>
      </c>
      <c r="H515" s="203" t="e">
        <f>#REF!*#REF!^5/(Conv!$I$5*Conv!$D$46)/10^6 +#REF!</f>
        <v>#REF!</v>
      </c>
      <c r="I515" s="203" t="e">
        <f>#REF!*#REF!^5/(Conv!$I$5*Conv!$D$46)/10^6 +#REF!</f>
        <v>#REF!</v>
      </c>
      <c r="J515" s="203" t="e">
        <f>#REF!*#REF!^5/(Conv!$I$5*Conv!$D$46)/10^6 +#REF!</f>
        <v>#REF!</v>
      </c>
      <c r="K515" s="203" t="e">
        <f>#REF!*#REF!^5/(Conv!$I$5*Conv!$D$46)/10^6 +#REF!</f>
        <v>#REF!</v>
      </c>
      <c r="L515" s="203" t="e">
        <f>#REF!*#REF!^5/(Conv!$I$5*Conv!$D$46)/10^6 +#REF!</f>
        <v>#REF!</v>
      </c>
      <c r="M515" s="203" t="e">
        <f>#REF!*#REF!^5/(Conv!$I$5*Conv!$D$46)/10^6 +#REF!</f>
        <v>#REF!</v>
      </c>
      <c r="N515" s="203" t="e">
        <f>#REF!*#REF!^5/(Conv!$I$5*Conv!$D$46)/10^6 +#REF!</f>
        <v>#REF!</v>
      </c>
      <c r="O515" s="203" t="e">
        <f>#REF!*#REF!^5/(Conv!$I$5*Conv!$D$46)/10^6 +#REF!</f>
        <v>#REF!</v>
      </c>
      <c r="P515" s="203" t="e">
        <f>#REF!*#REF!^5/(Conv!$I$5*Conv!$D$46)/10^6 +#REF!</f>
        <v>#REF!</v>
      </c>
      <c r="Q515" s="203" t="e">
        <f>#REF!*#REF!^5/(Conv!$I$5*Conv!$D$46)/10^6 +#REF!</f>
        <v>#REF!</v>
      </c>
      <c r="S515" s="177"/>
      <c r="T515" s="177"/>
      <c r="U515" s="177"/>
      <c r="V515" s="177"/>
      <c r="W515" s="177"/>
      <c r="X515" s="177"/>
      <c r="Y515" s="177"/>
      <c r="Z515" s="177"/>
      <c r="AA515" s="177"/>
      <c r="AB515" s="177"/>
      <c r="AC515" s="177"/>
    </row>
    <row r="516" spans="2:29">
      <c r="B516" s="158" t="s">
        <v>398</v>
      </c>
      <c r="C516" s="158" t="e">
        <f>Technologies!C700</f>
        <v>#REF!</v>
      </c>
      <c r="D516" s="158" t="e">
        <f>Technologies!D700</f>
        <v>#REF!</v>
      </c>
      <c r="E516" s="197" t="e">
        <f>E515</f>
        <v>#REF!</v>
      </c>
      <c r="F516" s="197" t="e">
        <f>Commodities!C237</f>
        <v>#REF!</v>
      </c>
      <c r="G516" s="204">
        <v>1</v>
      </c>
      <c r="H516" s="203" t="e">
        <f>#REF!*#REF!^5/(Conv!$I$5*Conv!$D$46)/10^6 +#REF!</f>
        <v>#REF!</v>
      </c>
      <c r="I516" s="203" t="e">
        <f>#REF!*#REF!^5/(Conv!$I$5*Conv!$D$46)/10^6 +#REF!</f>
        <v>#REF!</v>
      </c>
      <c r="J516" s="203" t="e">
        <f>#REF!*#REF!^5/(Conv!$I$5*Conv!$D$46)/10^6 +#REF!</f>
        <v>#REF!</v>
      </c>
      <c r="K516" s="203" t="e">
        <f>#REF!*#REF!^5/(Conv!$I$5*Conv!$D$46)/10^6 +#REF!</f>
        <v>#REF!</v>
      </c>
      <c r="L516" s="203" t="e">
        <f>#REF!*#REF!^5/(Conv!$I$5*Conv!$D$46)/10^6 +#REF!</f>
        <v>#REF!</v>
      </c>
      <c r="M516" s="203" t="e">
        <f>#REF!*#REF!^5/(Conv!$I$5*Conv!$D$46)/10^6 +#REF!</f>
        <v>#REF!</v>
      </c>
      <c r="N516" s="203" t="e">
        <f>#REF!*#REF!^5/(Conv!$I$5*Conv!$D$46)/10^6 +#REF!</f>
        <v>#REF!</v>
      </c>
      <c r="O516" s="203" t="e">
        <f>#REF!*#REF!^5/(Conv!$I$5*Conv!$D$46)/10^6 +#REF!</f>
        <v>#REF!</v>
      </c>
      <c r="P516" s="203" t="e">
        <f>#REF!*#REF!^5/(Conv!$I$5*Conv!$D$46)/10^6 +#REF!</f>
        <v>#REF!</v>
      </c>
      <c r="Q516" s="203" t="e">
        <f>#REF!*#REF!^5/(Conv!$I$5*Conv!$D$46)/10^6 +#REF!</f>
        <v>#REF!</v>
      </c>
      <c r="S516" s="177"/>
      <c r="T516" s="177"/>
      <c r="U516" s="177"/>
      <c r="V516" s="177"/>
      <c r="W516" s="177"/>
      <c r="X516" s="177"/>
      <c r="Y516" s="177"/>
      <c r="Z516" s="177"/>
      <c r="AA516" s="177"/>
      <c r="AB516" s="177"/>
      <c r="AC516" s="177"/>
    </row>
    <row r="517" spans="2:29">
      <c r="B517" s="158" t="s">
        <v>398</v>
      </c>
      <c r="C517" s="158" t="e">
        <f>Technologies!C701</f>
        <v>#REF!</v>
      </c>
      <c r="D517" s="158" t="e">
        <f>Technologies!D701</f>
        <v>#REF!</v>
      </c>
      <c r="E517" s="197" t="e">
        <f>Commodities!C190</f>
        <v>#REF!</v>
      </c>
      <c r="F517" s="197" t="e">
        <f>Commodities!C238</f>
        <v>#REF!</v>
      </c>
      <c r="G517" s="204">
        <v>1</v>
      </c>
      <c r="H517" s="203" t="e">
        <f>#REF!*#REF!^5/(Conv!$I$5*Conv!$D$46)/10^6 +#REF!</f>
        <v>#REF!</v>
      </c>
      <c r="I517" s="203" t="e">
        <f>#REF!*#REF!^5/(Conv!$I$5*Conv!$D$46)/10^6 +#REF!</f>
        <v>#REF!</v>
      </c>
      <c r="J517" s="203" t="e">
        <f>#REF!*#REF!^5/(Conv!$I$5*Conv!$D$46)/10^6 +#REF!</f>
        <v>#REF!</v>
      </c>
      <c r="K517" s="203" t="e">
        <f>#REF!*#REF!^5/(Conv!$I$5*Conv!$D$46)/10^6 +#REF!</f>
        <v>#REF!</v>
      </c>
      <c r="L517" s="203" t="e">
        <f>#REF!*#REF!^5/(Conv!$I$5*Conv!$D$46)/10^6 +#REF!</f>
        <v>#REF!</v>
      </c>
      <c r="M517" s="203" t="e">
        <f>#REF!*#REF!^5/(Conv!$I$5*Conv!$D$46)/10^6 +#REF!</f>
        <v>#REF!</v>
      </c>
      <c r="N517" s="203" t="e">
        <f>#REF!*#REF!^5/(Conv!$I$5*Conv!$D$46)/10^6 +#REF!</f>
        <v>#REF!</v>
      </c>
      <c r="O517" s="203" t="e">
        <f>#REF!*#REF!^5/(Conv!$I$5*Conv!$D$46)/10^6 +#REF!</f>
        <v>#REF!</v>
      </c>
      <c r="P517" s="203" t="e">
        <f>#REF!*#REF!^5/(Conv!$I$5*Conv!$D$46)/10^6 +#REF!</f>
        <v>#REF!</v>
      </c>
      <c r="Q517" s="203" t="e">
        <f>#REF!*#REF!^5/(Conv!$I$5*Conv!$D$46)/10^6 +#REF!</f>
        <v>#REF!</v>
      </c>
      <c r="S517" s="177"/>
      <c r="T517" s="177"/>
      <c r="U517" s="177"/>
      <c r="V517" s="177"/>
      <c r="W517" s="177"/>
      <c r="X517" s="177"/>
      <c r="Y517" s="177"/>
      <c r="Z517" s="177"/>
      <c r="AA517" s="177"/>
      <c r="AB517" s="177"/>
      <c r="AC517" s="177"/>
    </row>
    <row r="518" spans="2:29">
      <c r="B518" s="158" t="s">
        <v>398</v>
      </c>
      <c r="C518" s="158" t="e">
        <f>Technologies!C702</f>
        <v>#REF!</v>
      </c>
      <c r="D518" s="158" t="e">
        <f>Technologies!D702</f>
        <v>#REF!</v>
      </c>
      <c r="E518" s="197" t="e">
        <f>Commodities!C191</f>
        <v>#REF!</v>
      </c>
      <c r="F518" s="197" t="e">
        <f>Commodities!C239</f>
        <v>#REF!</v>
      </c>
      <c r="G518" s="204">
        <v>1</v>
      </c>
      <c r="H518" s="203" t="e">
        <f>#REF!*#REF!^5/(Conv!$I$5*Conv!$D$46)/10^6 +#REF!</f>
        <v>#REF!</v>
      </c>
      <c r="I518" s="203" t="e">
        <f>#REF!*#REF!^5/(Conv!$I$5*Conv!$D$46)/10^6 +#REF!</f>
        <v>#REF!</v>
      </c>
      <c r="J518" s="203" t="e">
        <f>#REF!*#REF!^5/(Conv!$I$5*Conv!$D$46)/10^6 +#REF!</f>
        <v>#REF!</v>
      </c>
      <c r="K518" s="203" t="e">
        <f>#REF!*#REF!^5/(Conv!$I$5*Conv!$D$46)/10^6 +#REF!</f>
        <v>#REF!</v>
      </c>
      <c r="L518" s="203" t="e">
        <f>#REF!*#REF!^5/(Conv!$I$5*Conv!$D$46)/10^6 +#REF!</f>
        <v>#REF!</v>
      </c>
      <c r="M518" s="203" t="e">
        <f>#REF!*#REF!^5/(Conv!$I$5*Conv!$D$46)/10^6 +#REF!</f>
        <v>#REF!</v>
      </c>
      <c r="N518" s="203" t="e">
        <f>#REF!*#REF!^5/(Conv!$I$5*Conv!$D$46)/10^6 +#REF!</f>
        <v>#REF!</v>
      </c>
      <c r="O518" s="203" t="e">
        <f>#REF!*#REF!^5/(Conv!$I$5*Conv!$D$46)/10^6 +#REF!</f>
        <v>#REF!</v>
      </c>
      <c r="P518" s="203" t="e">
        <f>#REF!*#REF!^5/(Conv!$I$5*Conv!$D$46)/10^6 +#REF!</f>
        <v>#REF!</v>
      </c>
      <c r="Q518" s="203" t="e">
        <f>#REF!*#REF!^5/(Conv!$I$5*Conv!$D$46)/10^6 +#REF!</f>
        <v>#REF!</v>
      </c>
      <c r="S518" s="177"/>
      <c r="T518" s="177"/>
      <c r="U518" s="177"/>
      <c r="V518" s="177"/>
      <c r="W518" s="177"/>
      <c r="X518" s="177"/>
      <c r="Y518" s="177"/>
      <c r="Z518" s="177"/>
      <c r="AA518" s="177"/>
      <c r="AB518" s="177"/>
      <c r="AC518" s="177"/>
    </row>
    <row r="519" spans="2:29">
      <c r="B519" s="158" t="s">
        <v>398</v>
      </c>
      <c r="C519" s="158" t="e">
        <f>Technologies!C704</f>
        <v>#REF!</v>
      </c>
      <c r="D519" s="158" t="e">
        <f>Technologies!D704</f>
        <v>#REF!</v>
      </c>
      <c r="E519" s="197" t="e">
        <f>Commodities!C193</f>
        <v>#REF!</v>
      </c>
      <c r="F519" s="197" t="e">
        <f>Commodities!C241</f>
        <v>#REF!</v>
      </c>
      <c r="G519" s="204">
        <v>1</v>
      </c>
      <c r="H519" s="203" t="e">
        <f>#REF!*#REF!^5/(Conv!$I$5*Conv!$D$46)/10^6 +#REF!</f>
        <v>#REF!</v>
      </c>
      <c r="I519" s="203" t="e">
        <f>#REF!*#REF!^5/(Conv!$I$5*Conv!$D$46)/10^6 +#REF!</f>
        <v>#REF!</v>
      </c>
      <c r="J519" s="203" t="e">
        <f>#REF!*#REF!^5/(Conv!$I$5*Conv!$D$46)/10^6 +#REF!</f>
        <v>#REF!</v>
      </c>
      <c r="K519" s="203" t="e">
        <f>#REF!*#REF!^5/(Conv!$I$5*Conv!$D$46)/10^6 +#REF!</f>
        <v>#REF!</v>
      </c>
      <c r="L519" s="203" t="e">
        <f>#REF!*#REF!^5/(Conv!$I$5*Conv!$D$46)/10^6 +#REF!</f>
        <v>#REF!</v>
      </c>
      <c r="M519" s="203" t="e">
        <f>#REF!*#REF!^5/(Conv!$I$5*Conv!$D$46)/10^6 +#REF!</f>
        <v>#REF!</v>
      </c>
      <c r="N519" s="203" t="e">
        <f>#REF!*#REF!^5/(Conv!$I$5*Conv!$D$46)/10^6 +#REF!</f>
        <v>#REF!</v>
      </c>
      <c r="O519" s="203" t="e">
        <f>#REF!*#REF!^5/(Conv!$I$5*Conv!$D$46)/10^6 +#REF!</f>
        <v>#REF!</v>
      </c>
      <c r="P519" s="203" t="e">
        <f>#REF!*#REF!^5/(Conv!$I$5*Conv!$D$46)/10^6 +#REF!</f>
        <v>#REF!</v>
      </c>
      <c r="Q519" s="203" t="e">
        <f>#REF!*#REF!^5/(Conv!$I$5*Conv!$D$46)/10^6 +#REF!</f>
        <v>#REF!</v>
      </c>
      <c r="S519" s="177"/>
      <c r="T519" s="177"/>
      <c r="U519" s="177"/>
      <c r="V519" s="177"/>
      <c r="W519" s="177"/>
      <c r="X519" s="177"/>
      <c r="Y519" s="177"/>
      <c r="Z519" s="177"/>
      <c r="AA519" s="177"/>
      <c r="AB519" s="177"/>
      <c r="AC519" s="177"/>
    </row>
    <row r="520" spans="2:29">
      <c r="B520" s="158" t="s">
        <v>398</v>
      </c>
      <c r="C520" s="158" t="e">
        <f>Technologies!C705</f>
        <v>#REF!</v>
      </c>
      <c r="D520" s="158" t="e">
        <f>Technologies!D705</f>
        <v>#REF!</v>
      </c>
      <c r="E520" s="197" t="e">
        <f>E519</f>
        <v>#REF!</v>
      </c>
      <c r="F520" s="197" t="e">
        <f>Commodities!C242</f>
        <v>#REF!</v>
      </c>
      <c r="G520" s="204">
        <v>1</v>
      </c>
      <c r="H520" s="203" t="e">
        <f>#REF!*#REF!^5/(Conv!$I$5*Conv!$D$46)/10^6 +#REF!</f>
        <v>#REF!</v>
      </c>
      <c r="I520" s="203" t="e">
        <f>#REF!*#REF!^5/(Conv!$I$5*Conv!$D$46)/10^6 +#REF!</f>
        <v>#REF!</v>
      </c>
      <c r="J520" s="203" t="e">
        <f>#REF!*#REF!^5/(Conv!$I$5*Conv!$D$46)/10^6 +#REF!</f>
        <v>#REF!</v>
      </c>
      <c r="K520" s="203" t="e">
        <f>#REF!*#REF!^5/(Conv!$I$5*Conv!$D$46)/10^6 +#REF!</f>
        <v>#REF!</v>
      </c>
      <c r="L520" s="203" t="e">
        <f>#REF!*#REF!^5/(Conv!$I$5*Conv!$D$46)/10^6 +#REF!</f>
        <v>#REF!</v>
      </c>
      <c r="M520" s="203" t="e">
        <f>#REF!*#REF!^5/(Conv!$I$5*Conv!$D$46)/10^6 +#REF!</f>
        <v>#REF!</v>
      </c>
      <c r="N520" s="203" t="e">
        <f>#REF!*#REF!^5/(Conv!$I$5*Conv!$D$46)/10^6 +#REF!</f>
        <v>#REF!</v>
      </c>
      <c r="O520" s="203" t="e">
        <f>#REF!*#REF!^5/(Conv!$I$5*Conv!$D$46)/10^6 +#REF!</f>
        <v>#REF!</v>
      </c>
      <c r="P520" s="203" t="e">
        <f>#REF!*#REF!^5/(Conv!$I$5*Conv!$D$46)/10^6 +#REF!</f>
        <v>#REF!</v>
      </c>
      <c r="Q520" s="203" t="e">
        <f>#REF!*#REF!^5/(Conv!$I$5*Conv!$D$46)/10^6 +#REF!</f>
        <v>#REF!</v>
      </c>
      <c r="S520" s="177"/>
      <c r="T520" s="177"/>
      <c r="U520" s="177"/>
      <c r="V520" s="177"/>
      <c r="W520" s="177"/>
      <c r="X520" s="177"/>
      <c r="Y520" s="177"/>
      <c r="Z520" s="177"/>
      <c r="AA520" s="177"/>
      <c r="AB520" s="177"/>
      <c r="AC520" s="177"/>
    </row>
    <row r="521" spans="2:29">
      <c r="B521" s="158" t="s">
        <v>398</v>
      </c>
      <c r="C521" s="158" t="e">
        <f>Technologies!C706</f>
        <v>#REF!</v>
      </c>
      <c r="D521" s="158" t="e">
        <f>Technologies!D706</f>
        <v>#REF!</v>
      </c>
      <c r="E521" s="197" t="e">
        <f>E520</f>
        <v>#REF!</v>
      </c>
      <c r="F521" s="197" t="e">
        <f>Commodities!C243</f>
        <v>#REF!</v>
      </c>
      <c r="G521" s="204">
        <v>1</v>
      </c>
      <c r="H521" s="203" t="e">
        <f>#REF!*#REF!^5/(Conv!$I$5*Conv!$D$46)/10^6 +#REF!</f>
        <v>#REF!</v>
      </c>
      <c r="I521" s="203" t="e">
        <f>#REF!*#REF!^5/(Conv!$I$5*Conv!$D$46)/10^6 +#REF!</f>
        <v>#REF!</v>
      </c>
      <c r="J521" s="203" t="e">
        <f>#REF!*#REF!^5/(Conv!$I$5*Conv!$D$46)/10^6 +#REF!</f>
        <v>#REF!</v>
      </c>
      <c r="K521" s="203" t="e">
        <f>#REF!*#REF!^5/(Conv!$I$5*Conv!$D$46)/10^6 +#REF!</f>
        <v>#REF!</v>
      </c>
      <c r="L521" s="203" t="e">
        <f>#REF!*#REF!^5/(Conv!$I$5*Conv!$D$46)/10^6 +#REF!</f>
        <v>#REF!</v>
      </c>
      <c r="M521" s="203" t="e">
        <f>#REF!*#REF!^5/(Conv!$I$5*Conv!$D$46)/10^6 +#REF!</f>
        <v>#REF!</v>
      </c>
      <c r="N521" s="203" t="e">
        <f>#REF!*#REF!^5/(Conv!$I$5*Conv!$D$46)/10^6 +#REF!</f>
        <v>#REF!</v>
      </c>
      <c r="O521" s="203" t="e">
        <f>#REF!*#REF!^5/(Conv!$I$5*Conv!$D$46)/10^6 +#REF!</f>
        <v>#REF!</v>
      </c>
      <c r="P521" s="203" t="e">
        <f>#REF!*#REF!^5/(Conv!$I$5*Conv!$D$46)/10^6 +#REF!</f>
        <v>#REF!</v>
      </c>
      <c r="Q521" s="203" t="e">
        <f>#REF!*#REF!^5/(Conv!$I$5*Conv!$D$46)/10^6 +#REF!</f>
        <v>#REF!</v>
      </c>
      <c r="S521" s="177"/>
      <c r="T521" s="177"/>
      <c r="U521" s="177"/>
      <c r="V521" s="177"/>
      <c r="W521" s="177"/>
      <c r="X521" s="177"/>
      <c r="Y521" s="177"/>
      <c r="Z521" s="177"/>
      <c r="AA521" s="177"/>
      <c r="AB521" s="177"/>
      <c r="AC521" s="177"/>
    </row>
    <row r="522" spans="2:29">
      <c r="B522" s="158" t="s">
        <v>398</v>
      </c>
      <c r="C522" s="158" t="e">
        <f>Technologies!C707</f>
        <v>#REF!</v>
      </c>
      <c r="D522" s="158" t="e">
        <f>Technologies!D707</f>
        <v>#REF!</v>
      </c>
      <c r="E522" s="197" t="e">
        <f>Commodities!C192</f>
        <v>#REF!</v>
      </c>
      <c r="F522" s="197" t="e">
        <f>Commodities!C244</f>
        <v>#REF!</v>
      </c>
      <c r="G522" s="204">
        <v>1</v>
      </c>
      <c r="H522" s="203" t="e">
        <f>#REF!*#REF!^5/(Conv!$I$5*Conv!$D$46)/10^6 +#REF!</f>
        <v>#REF!</v>
      </c>
      <c r="I522" s="203" t="e">
        <f>#REF!*#REF!^5/(Conv!$I$5*Conv!$D$46)/10^6 +#REF!</f>
        <v>#REF!</v>
      </c>
      <c r="J522" s="203" t="e">
        <f>#REF!*#REF!^5/(Conv!$I$5*Conv!$D$46)/10^6 +#REF!</f>
        <v>#REF!</v>
      </c>
      <c r="K522" s="203" t="e">
        <f>#REF!*#REF!^5/(Conv!$I$5*Conv!$D$46)/10^6 +#REF!</f>
        <v>#REF!</v>
      </c>
      <c r="L522" s="203" t="e">
        <f>#REF!*#REF!^5/(Conv!$I$5*Conv!$D$46)/10^6 +#REF!</f>
        <v>#REF!</v>
      </c>
      <c r="M522" s="203" t="e">
        <f>#REF!*#REF!^5/(Conv!$I$5*Conv!$D$46)/10^6 +#REF!</f>
        <v>#REF!</v>
      </c>
      <c r="N522" s="203" t="e">
        <f>#REF!*#REF!^5/(Conv!$I$5*Conv!$D$46)/10^6 +#REF!</f>
        <v>#REF!</v>
      </c>
      <c r="O522" s="203" t="e">
        <f>#REF!*#REF!^5/(Conv!$I$5*Conv!$D$46)/10^6 +#REF!</f>
        <v>#REF!</v>
      </c>
      <c r="P522" s="203" t="e">
        <f>#REF!*#REF!^5/(Conv!$I$5*Conv!$D$46)/10^6 +#REF!</f>
        <v>#REF!</v>
      </c>
      <c r="Q522" s="203" t="e">
        <f>#REF!*#REF!^5/(Conv!$I$5*Conv!$D$46)/10^6 +#REF!</f>
        <v>#REF!</v>
      </c>
      <c r="S522" s="177"/>
      <c r="T522" s="177"/>
      <c r="U522" s="177"/>
      <c r="V522" s="177"/>
      <c r="W522" s="177"/>
      <c r="X522" s="177"/>
      <c r="Y522" s="177"/>
      <c r="Z522" s="177"/>
      <c r="AA522" s="177"/>
      <c r="AB522" s="177"/>
      <c r="AC522" s="177"/>
    </row>
    <row r="523" spans="2:29">
      <c r="B523" s="158" t="s">
        <v>398</v>
      </c>
      <c r="C523" s="158" t="e">
        <f>Technologies!C708</f>
        <v>#REF!</v>
      </c>
      <c r="D523" s="158" t="e">
        <f>Technologies!D708</f>
        <v>#REF!</v>
      </c>
      <c r="E523" s="197" t="e">
        <f>E522</f>
        <v>#REF!</v>
      </c>
      <c r="F523" s="197" t="e">
        <f>Commodities!C245</f>
        <v>#REF!</v>
      </c>
      <c r="G523" s="204">
        <v>1</v>
      </c>
      <c r="H523" s="203" t="e">
        <f>#REF!*#REF!^5/(Conv!$I$5*Conv!$D$46)/10^6 +#REF!</f>
        <v>#REF!</v>
      </c>
      <c r="I523" s="203" t="e">
        <f>#REF!*#REF!^5/(Conv!$I$5*Conv!$D$46)/10^6 +#REF!</f>
        <v>#REF!</v>
      </c>
      <c r="J523" s="203" t="e">
        <f>#REF!*#REF!^5/(Conv!$I$5*Conv!$D$46)/10^6 +#REF!</f>
        <v>#REF!</v>
      </c>
      <c r="K523" s="203" t="e">
        <f>#REF!*#REF!^5/(Conv!$I$5*Conv!$D$46)/10^6 +#REF!</f>
        <v>#REF!</v>
      </c>
      <c r="L523" s="203" t="e">
        <f>#REF!*#REF!^5/(Conv!$I$5*Conv!$D$46)/10^6 +#REF!</f>
        <v>#REF!</v>
      </c>
      <c r="M523" s="203" t="e">
        <f>#REF!*#REF!^5/(Conv!$I$5*Conv!$D$46)/10^6 +#REF!</f>
        <v>#REF!</v>
      </c>
      <c r="N523" s="203" t="e">
        <f>#REF!*#REF!^5/(Conv!$I$5*Conv!$D$46)/10^6 +#REF!</f>
        <v>#REF!</v>
      </c>
      <c r="O523" s="203" t="e">
        <f>#REF!*#REF!^5/(Conv!$I$5*Conv!$D$46)/10^6 +#REF!</f>
        <v>#REF!</v>
      </c>
      <c r="P523" s="203" t="e">
        <f>#REF!*#REF!^5/(Conv!$I$5*Conv!$D$46)/10^6 +#REF!</f>
        <v>#REF!</v>
      </c>
      <c r="Q523" s="203" t="e">
        <f>#REF!*#REF!^5/(Conv!$I$5*Conv!$D$46)/10^6 +#REF!</f>
        <v>#REF!</v>
      </c>
      <c r="S523" s="177"/>
      <c r="T523" s="177"/>
      <c r="U523" s="177"/>
      <c r="V523" s="177"/>
      <c r="W523" s="177"/>
      <c r="X523" s="177"/>
      <c r="Y523" s="177"/>
      <c r="Z523" s="177"/>
      <c r="AA523" s="177"/>
      <c r="AB523" s="177"/>
      <c r="AC523" s="177"/>
    </row>
    <row r="524" spans="2:29">
      <c r="B524" s="158" t="s">
        <v>398</v>
      </c>
      <c r="C524" s="158" t="e">
        <f>Technologies!C709</f>
        <v>#REF!</v>
      </c>
      <c r="D524" s="158" t="e">
        <f>Technologies!D709</f>
        <v>#REF!</v>
      </c>
      <c r="E524" s="197" t="e">
        <f>Commodities!C194</f>
        <v>#REF!</v>
      </c>
      <c r="F524" s="197" t="e">
        <f>Commodities!C246</f>
        <v>#REF!</v>
      </c>
      <c r="G524" s="204">
        <v>1</v>
      </c>
      <c r="H524" s="203" t="e">
        <f>#REF!*#REF!^5/(Conv!$I$5*Conv!$D$46)/10^6 +#REF!</f>
        <v>#REF!</v>
      </c>
      <c r="I524" s="203" t="e">
        <f>#REF!*#REF!^5/(Conv!$I$5*Conv!$D$46)/10^6 +#REF!</f>
        <v>#REF!</v>
      </c>
      <c r="J524" s="203" t="e">
        <f>#REF!*#REF!^5/(Conv!$I$5*Conv!$D$46)/10^6 +#REF!</f>
        <v>#REF!</v>
      </c>
      <c r="K524" s="203" t="e">
        <f>#REF!*#REF!^5/(Conv!$I$5*Conv!$D$46)/10^6 +#REF!</f>
        <v>#REF!</v>
      </c>
      <c r="L524" s="203" t="e">
        <f>#REF!*#REF!^5/(Conv!$I$5*Conv!$D$46)/10^6 +#REF!</f>
        <v>#REF!</v>
      </c>
      <c r="M524" s="203" t="e">
        <f>#REF!*#REF!^5/(Conv!$I$5*Conv!$D$46)/10^6 +#REF!</f>
        <v>#REF!</v>
      </c>
      <c r="N524" s="203" t="e">
        <f>#REF!*#REF!^5/(Conv!$I$5*Conv!$D$46)/10^6 +#REF!</f>
        <v>#REF!</v>
      </c>
      <c r="O524" s="203" t="e">
        <f>#REF!*#REF!^5/(Conv!$I$5*Conv!$D$46)/10^6 +#REF!</f>
        <v>#REF!</v>
      </c>
      <c r="P524" s="203" t="e">
        <f>#REF!*#REF!^5/(Conv!$I$5*Conv!$D$46)/10^6 +#REF!</f>
        <v>#REF!</v>
      </c>
      <c r="Q524" s="203" t="e">
        <f>#REF!*#REF!^5/(Conv!$I$5*Conv!$D$46)/10^6 +#REF!</f>
        <v>#REF!</v>
      </c>
      <c r="S524" s="177"/>
      <c r="T524" s="177"/>
      <c r="U524" s="177"/>
      <c r="V524" s="177"/>
      <c r="W524" s="177"/>
      <c r="X524" s="177"/>
      <c r="Y524" s="177"/>
      <c r="Z524" s="177"/>
      <c r="AA524" s="177"/>
      <c r="AB524" s="177"/>
      <c r="AC524" s="177"/>
    </row>
    <row r="525" spans="2:29">
      <c r="B525" s="158" t="s">
        <v>398</v>
      </c>
      <c r="C525" s="158"/>
      <c r="D525" s="158"/>
      <c r="E525" s="197"/>
      <c r="F525" s="197"/>
      <c r="G525" s="204"/>
      <c r="H525" s="203"/>
      <c r="I525" s="203"/>
      <c r="J525" s="203"/>
      <c r="K525" s="203"/>
      <c r="L525" s="203"/>
      <c r="M525" s="203"/>
      <c r="N525" s="203"/>
      <c r="O525" s="203"/>
      <c r="P525" s="203"/>
      <c r="Q525" s="203"/>
      <c r="S525" s="177"/>
      <c r="T525" s="177"/>
      <c r="U525" s="177"/>
      <c r="V525" s="177"/>
      <c r="W525" s="177"/>
      <c r="X525" s="177"/>
      <c r="Y525" s="177"/>
      <c r="Z525" s="177"/>
      <c r="AA525" s="177"/>
      <c r="AB525" s="177"/>
      <c r="AC525" s="177"/>
    </row>
    <row r="528" spans="2:29" ht="17.25" customHeight="1">
      <c r="F528" s="192"/>
    </row>
    <row r="529" spans="2:29" ht="15.75" customHeight="1">
      <c r="B529" s="153" t="s">
        <v>541</v>
      </c>
      <c r="C529" s="153" t="s">
        <v>187</v>
      </c>
      <c r="D529" s="153" t="s">
        <v>188</v>
      </c>
      <c r="E529" s="153" t="s">
        <v>190</v>
      </c>
      <c r="F529" s="153" t="s">
        <v>191</v>
      </c>
      <c r="G529" s="153" t="s">
        <v>1157</v>
      </c>
      <c r="H529" s="153" t="s">
        <v>1159</v>
      </c>
      <c r="I529" s="153" t="s">
        <v>1160</v>
      </c>
      <c r="J529" s="153" t="s">
        <v>1161</v>
      </c>
      <c r="K529" s="153" t="s">
        <v>1162</v>
      </c>
      <c r="L529" s="153" t="s">
        <v>1163</v>
      </c>
      <c r="M529" s="153" t="s">
        <v>1164</v>
      </c>
      <c r="N529" s="153" t="s">
        <v>1165</v>
      </c>
      <c r="O529" s="153" t="s">
        <v>1166</v>
      </c>
      <c r="P529" s="153" t="s">
        <v>1167</v>
      </c>
      <c r="Q529" s="153" t="s">
        <v>1168</v>
      </c>
      <c r="S529" s="189"/>
      <c r="T529" s="189"/>
      <c r="U529" s="189"/>
      <c r="V529" s="189"/>
      <c r="W529" s="189"/>
      <c r="X529" s="189"/>
      <c r="Y529" s="189"/>
      <c r="Z529" s="189"/>
      <c r="AA529" s="189"/>
      <c r="AB529" s="189"/>
      <c r="AC529" s="189"/>
    </row>
    <row r="530" spans="2:29">
      <c r="B530" s="202" t="s">
        <v>1092</v>
      </c>
      <c r="C530" s="201"/>
      <c r="D530" s="201"/>
      <c r="E530" s="200"/>
      <c r="F530" s="200"/>
      <c r="G530" s="200"/>
      <c r="H530" s="201"/>
      <c r="I530" s="201"/>
      <c r="J530" s="201"/>
      <c r="K530" s="201"/>
      <c r="L530" s="201"/>
      <c r="M530" s="201"/>
      <c r="N530" s="201"/>
      <c r="O530" s="201"/>
      <c r="P530" s="201"/>
      <c r="Q530" s="201"/>
    </row>
    <row r="531" spans="2:29">
      <c r="B531" s="202" t="s">
        <v>1037</v>
      </c>
      <c r="C531" s="201"/>
      <c r="D531" s="201"/>
      <c r="E531" s="200"/>
      <c r="F531" s="200"/>
      <c r="G531" s="200"/>
      <c r="H531" s="201"/>
      <c r="I531" s="201"/>
      <c r="J531" s="201"/>
      <c r="K531" s="201"/>
      <c r="L531" s="201"/>
      <c r="M531" s="201"/>
      <c r="N531" s="201"/>
      <c r="O531" s="201"/>
      <c r="P531" s="201"/>
      <c r="Q531" s="201"/>
    </row>
    <row r="532" spans="2:29">
      <c r="B532" s="158" t="str">
        <f>IF(LEFT(Technologies!B$509,1)="*","*","R1")</f>
        <v>R1</v>
      </c>
      <c r="C532" s="158" t="e">
        <f>Technologies!C509</f>
        <v>#REF!</v>
      </c>
      <c r="D532" s="158" t="str">
        <f>Technologies!D509</f>
        <v>Delivery of Imported Conventional Gasoline</v>
      </c>
      <c r="E532" s="197" t="str">
        <f>Commodities!C$67</f>
        <v>GSCP1</v>
      </c>
      <c r="F532" s="197" t="e">
        <f>Commodities!C222</f>
        <v>#REF!</v>
      </c>
      <c r="G532" s="204">
        <v>1</v>
      </c>
      <c r="H532" s="203" t="e">
        <f>#REF!*#REF!^5/(Conv!$I$5*Conv!$D$46)/10^6 +#REF!</f>
        <v>#REF!</v>
      </c>
      <c r="I532" s="203" t="e">
        <f>#REF!*#REF!^5/(Conv!$I$5*Conv!$D$46)/10^6 +#REF!</f>
        <v>#REF!</v>
      </c>
      <c r="J532" s="203" t="e">
        <f>#REF!*#REF!^5/(Conv!$I$5*Conv!$D$46)/10^6 +#REF!</f>
        <v>#REF!</v>
      </c>
      <c r="K532" s="203" t="e">
        <f>#REF!*#REF!^5/(Conv!$I$5*Conv!$D$46)/10^6 +#REF!</f>
        <v>#REF!</v>
      </c>
      <c r="L532" s="203" t="e">
        <f>#REF!*#REF!^5/(Conv!$I$5*Conv!$D$46)/10^6 +#REF!</f>
        <v>#REF!</v>
      </c>
      <c r="M532" s="203" t="e">
        <f>#REF!*#REF!^5/(Conv!$I$5*Conv!$D$46)/10^6 +#REF!</f>
        <v>#REF!</v>
      </c>
      <c r="N532" s="203" t="e">
        <f>#REF!*#REF!^5/(Conv!$I$5*Conv!$D$46)/10^6 +#REF!</f>
        <v>#REF!</v>
      </c>
      <c r="O532" s="203" t="e">
        <f>#REF!*#REF!^5/(Conv!$I$5*Conv!$D$46)/10^6 +#REF!</f>
        <v>#REF!</v>
      </c>
      <c r="P532" s="203" t="e">
        <f>#REF!*#REF!^5/(Conv!$I$5*Conv!$D$46)/10^6 +#REF!</f>
        <v>#REF!</v>
      </c>
      <c r="Q532" s="203" t="e">
        <f>#REF!*#REF!^5/(Conv!$I$5*Conv!$D$46)/10^6 +#REF!</f>
        <v>#REF!</v>
      </c>
      <c r="S532" s="177"/>
      <c r="T532" s="177"/>
      <c r="U532" s="177"/>
      <c r="V532" s="177"/>
      <c r="W532" s="177"/>
      <c r="X532" s="177"/>
      <c r="Y532" s="177"/>
      <c r="Z532" s="177"/>
      <c r="AA532" s="177"/>
      <c r="AB532" s="177"/>
      <c r="AC532" s="177"/>
    </row>
    <row r="533" spans="2:29">
      <c r="B533" s="158" t="str">
        <f>IF(LEFT(Technologies!B$510,1)="*","*","R1")</f>
        <v>R1</v>
      </c>
      <c r="C533" s="158" t="e">
        <f>Technologies!C510</f>
        <v>#REF!</v>
      </c>
      <c r="D533" s="158" t="str">
        <f>Technologies!D510</f>
        <v>Delivery of Imported Reformulated Gasoline</v>
      </c>
      <c r="E533" s="197" t="str">
        <f>Commodities!C$68</f>
        <v>GSRP1</v>
      </c>
      <c r="F533" s="197" t="e">
        <f>Commodities!C223</f>
        <v>#REF!</v>
      </c>
      <c r="G533" s="204">
        <v>1</v>
      </c>
      <c r="H533" s="203" t="e">
        <f>#REF!*#REF!^5/(Conv!$I$5*Conv!$D$46)/10^6 +#REF!</f>
        <v>#REF!</v>
      </c>
      <c r="I533" s="203" t="e">
        <f>#REF!*#REF!^5/(Conv!$I$5*Conv!$D$46)/10^6 +#REF!</f>
        <v>#REF!</v>
      </c>
      <c r="J533" s="203" t="e">
        <f>#REF!*#REF!^5/(Conv!$I$5*Conv!$D$46)/10^6 +#REF!</f>
        <v>#REF!</v>
      </c>
      <c r="K533" s="203" t="e">
        <f>#REF!*#REF!^5/(Conv!$I$5*Conv!$D$46)/10^6 +#REF!</f>
        <v>#REF!</v>
      </c>
      <c r="L533" s="203" t="e">
        <f>#REF!*#REF!^5/(Conv!$I$5*Conv!$D$46)/10^6 +#REF!</f>
        <v>#REF!</v>
      </c>
      <c r="M533" s="203" t="e">
        <f>#REF!*#REF!^5/(Conv!$I$5*Conv!$D$46)/10^6 +#REF!</f>
        <v>#REF!</v>
      </c>
      <c r="N533" s="203" t="e">
        <f>#REF!*#REF!^5/(Conv!$I$5*Conv!$D$46)/10^6 +#REF!</f>
        <v>#REF!</v>
      </c>
      <c r="O533" s="203" t="e">
        <f>#REF!*#REF!^5/(Conv!$I$5*Conv!$D$46)/10^6 +#REF!</f>
        <v>#REF!</v>
      </c>
      <c r="P533" s="203" t="e">
        <f>#REF!*#REF!^5/(Conv!$I$5*Conv!$D$46)/10^6 +#REF!</f>
        <v>#REF!</v>
      </c>
      <c r="Q533" s="203" t="e">
        <f>#REF!*#REF!^5/(Conv!$I$5*Conv!$D$46)/10^6 +#REF!</f>
        <v>#REF!</v>
      </c>
      <c r="S533" s="177"/>
      <c r="T533" s="177"/>
      <c r="U533" s="177"/>
      <c r="V533" s="177"/>
      <c r="W533" s="177"/>
      <c r="X533" s="177"/>
      <c r="Y533" s="177"/>
      <c r="Z533" s="177"/>
      <c r="AA533" s="177"/>
      <c r="AB533" s="177"/>
      <c r="AC533" s="177"/>
    </row>
    <row r="534" spans="2:29">
      <c r="B534" s="158" t="str">
        <f>IF(OR(LEFT(Commodities!B$64,1)="*",LEFT(Technologies!B$511,1)="*"),"*","R1")</f>
        <v>R1</v>
      </c>
      <c r="C534" s="158" t="e">
        <f>Technologies!C511</f>
        <v>#REF!</v>
      </c>
      <c r="D534" s="158" t="str">
        <f>Technologies!D511</f>
        <v>Delivery of Imported Distillate-Heating Oil No. 2 to the Residential Sector</v>
      </c>
      <c r="E534" s="197" t="str">
        <f>Commodities!C$64</f>
        <v>DSHP1</v>
      </c>
      <c r="F534" s="197" t="e">
        <f>Commodities!C224</f>
        <v>#REF!</v>
      </c>
      <c r="G534" s="204">
        <v>1</v>
      </c>
      <c r="H534" s="203" t="e">
        <f>#REF!*#REF!^5/(Conv!$I$5*Conv!$D$46)/10^6 +#REF!</f>
        <v>#REF!</v>
      </c>
      <c r="I534" s="203" t="e">
        <f>#REF!*#REF!^5/(Conv!$I$5*Conv!$D$46)/10^6 +#REF!</f>
        <v>#REF!</v>
      </c>
      <c r="J534" s="203" t="e">
        <f>#REF!*#REF!^5/(Conv!$I$5*Conv!$D$46)/10^6 +#REF!</f>
        <v>#REF!</v>
      </c>
      <c r="K534" s="203" t="e">
        <f>#REF!*#REF!^5/(Conv!$I$5*Conv!$D$46)/10^6 +#REF!</f>
        <v>#REF!</v>
      </c>
      <c r="L534" s="203" t="e">
        <f>#REF!*#REF!^5/(Conv!$I$5*Conv!$D$46)/10^6 +#REF!</f>
        <v>#REF!</v>
      </c>
      <c r="M534" s="203" t="e">
        <f>#REF!*#REF!^5/(Conv!$I$5*Conv!$D$46)/10^6 +#REF!</f>
        <v>#REF!</v>
      </c>
      <c r="N534" s="203" t="e">
        <f>#REF!*#REF!^5/(Conv!$I$5*Conv!$D$46)/10^6 +#REF!</f>
        <v>#REF!</v>
      </c>
      <c r="O534" s="203" t="e">
        <f>#REF!*#REF!^5/(Conv!$I$5*Conv!$D$46)/10^6 +#REF!</f>
        <v>#REF!</v>
      </c>
      <c r="P534" s="203" t="e">
        <f>#REF!*#REF!^5/(Conv!$I$5*Conv!$D$46)/10^6 +#REF!</f>
        <v>#REF!</v>
      </c>
      <c r="Q534" s="203" t="e">
        <f>#REF!*#REF!^5/(Conv!$I$5*Conv!$D$46)/10^6 +#REF!</f>
        <v>#REF!</v>
      </c>
      <c r="S534" s="177"/>
      <c r="T534" s="177"/>
      <c r="U534" s="177"/>
      <c r="V534" s="177"/>
      <c r="W534" s="177"/>
      <c r="X534" s="177"/>
      <c r="Y534" s="177"/>
      <c r="Z534" s="177"/>
      <c r="AA534" s="177"/>
      <c r="AB534" s="177"/>
      <c r="AC534" s="177"/>
    </row>
    <row r="535" spans="2:29">
      <c r="B535" s="158" t="str">
        <f>IF(OR(LEFT(Commodities!B$64,1)="*",LEFT(Technologies!B$512,1)="*"),"*","R1")</f>
        <v>R1</v>
      </c>
      <c r="C535" s="158" t="e">
        <f>Technologies!C512</f>
        <v>#REF!</v>
      </c>
      <c r="D535" s="158" t="str">
        <f>Technologies!D512</f>
        <v>Delivery of Imported Distillate-Heating Oil No. 2 to the Commercial Sector</v>
      </c>
      <c r="E535" s="197" t="str">
        <f>Commodities!C$64</f>
        <v>DSHP1</v>
      </c>
      <c r="F535" s="197" t="e">
        <f>Commodities!C225</f>
        <v>#REF!</v>
      </c>
      <c r="G535" s="204">
        <v>1</v>
      </c>
      <c r="H535" s="203" t="e">
        <f>#REF!*#REF!^5/(Conv!$I$5*Conv!$D$46)/10^6 +#REF!</f>
        <v>#REF!</v>
      </c>
      <c r="I535" s="203" t="e">
        <f>#REF!*#REF!^5/(Conv!$I$5*Conv!$D$46)/10^6 +#REF!</f>
        <v>#REF!</v>
      </c>
      <c r="J535" s="203" t="e">
        <f>#REF!*#REF!^5/(Conv!$I$5*Conv!$D$46)/10^6 +#REF!</f>
        <v>#REF!</v>
      </c>
      <c r="K535" s="203" t="e">
        <f>#REF!*#REF!^5/(Conv!$I$5*Conv!$D$46)/10^6 +#REF!</f>
        <v>#REF!</v>
      </c>
      <c r="L535" s="203" t="e">
        <f>#REF!*#REF!^5/(Conv!$I$5*Conv!$D$46)/10^6 +#REF!</f>
        <v>#REF!</v>
      </c>
      <c r="M535" s="203" t="e">
        <f>#REF!*#REF!^5/(Conv!$I$5*Conv!$D$46)/10^6 +#REF!</f>
        <v>#REF!</v>
      </c>
      <c r="N535" s="203" t="e">
        <f>#REF!*#REF!^5/(Conv!$I$5*Conv!$D$46)/10^6 +#REF!</f>
        <v>#REF!</v>
      </c>
      <c r="O535" s="203" t="e">
        <f>#REF!*#REF!^5/(Conv!$I$5*Conv!$D$46)/10^6 +#REF!</f>
        <v>#REF!</v>
      </c>
      <c r="P535" s="203" t="e">
        <f>#REF!*#REF!^5/(Conv!$I$5*Conv!$D$46)/10^6 +#REF!</f>
        <v>#REF!</v>
      </c>
      <c r="Q535" s="203" t="e">
        <f>#REF!*#REF!^5/(Conv!$I$5*Conv!$D$46)/10^6 +#REF!</f>
        <v>#REF!</v>
      </c>
      <c r="S535" s="177"/>
      <c r="T535" s="177"/>
      <c r="U535" s="177"/>
      <c r="V535" s="177"/>
      <c r="W535" s="177"/>
      <c r="X535" s="177"/>
      <c r="Y535" s="177"/>
      <c r="Z535" s="177"/>
      <c r="AA535" s="177"/>
      <c r="AB535" s="177"/>
      <c r="AC535" s="177"/>
    </row>
    <row r="536" spans="2:29">
      <c r="B536" s="158" t="str">
        <f>IF(OR(LEFT(Commodities!B$64,1)="*",LEFT(Technologies!B$513,1)="*"),"*","R1")</f>
        <v>*</v>
      </c>
      <c r="C536" s="158" t="e">
        <f>Technologies!C513</f>
        <v>#REF!</v>
      </c>
      <c r="D536" s="158" t="str">
        <f>Technologies!D513</f>
        <v>Delivery of Imported Distillate-Heating Oil No. 2 to the Indistrial Sector</v>
      </c>
      <c r="E536" s="197" t="str">
        <f>Commodities!C$64</f>
        <v>DSHP1</v>
      </c>
      <c r="F536" s="197" t="e">
        <f>Commodities!C226</f>
        <v>#REF!</v>
      </c>
      <c r="G536" s="204">
        <v>1</v>
      </c>
      <c r="H536" s="203" t="e">
        <f>#REF!*#REF!^5/(Conv!$I$5*Conv!$D$46)/10^6 +#REF!</f>
        <v>#REF!</v>
      </c>
      <c r="I536" s="203" t="e">
        <f>#REF!*#REF!^5/(Conv!$I$5*Conv!$D$46)/10^6 +#REF!</f>
        <v>#REF!</v>
      </c>
      <c r="J536" s="203" t="e">
        <f>#REF!*#REF!^5/(Conv!$I$5*Conv!$D$46)/10^6 +#REF!</f>
        <v>#REF!</v>
      </c>
      <c r="K536" s="203" t="e">
        <f>#REF!*#REF!^5/(Conv!$I$5*Conv!$D$46)/10^6 +#REF!</f>
        <v>#REF!</v>
      </c>
      <c r="L536" s="203" t="e">
        <f>#REF!*#REF!^5/(Conv!$I$5*Conv!$D$46)/10^6 +#REF!</f>
        <v>#REF!</v>
      </c>
      <c r="M536" s="203" t="e">
        <f>#REF!*#REF!^5/(Conv!$I$5*Conv!$D$46)/10^6 +#REF!</f>
        <v>#REF!</v>
      </c>
      <c r="N536" s="203" t="e">
        <f>#REF!*#REF!^5/(Conv!$I$5*Conv!$D$46)/10^6 +#REF!</f>
        <v>#REF!</v>
      </c>
      <c r="O536" s="203" t="e">
        <f>#REF!*#REF!^5/(Conv!$I$5*Conv!$D$46)/10^6 +#REF!</f>
        <v>#REF!</v>
      </c>
      <c r="P536" s="203" t="e">
        <f>#REF!*#REF!^5/(Conv!$I$5*Conv!$D$46)/10^6 +#REF!</f>
        <v>#REF!</v>
      </c>
      <c r="Q536" s="203" t="e">
        <f>#REF!*#REF!^5/(Conv!$I$5*Conv!$D$46)/10^6 +#REF!</f>
        <v>#REF!</v>
      </c>
      <c r="S536" s="177"/>
      <c r="T536" s="177"/>
      <c r="U536" s="177"/>
      <c r="V536" s="177"/>
      <c r="W536" s="177"/>
      <c r="X536" s="177"/>
      <c r="Y536" s="177"/>
      <c r="Z536" s="177"/>
      <c r="AA536" s="177"/>
      <c r="AB536" s="177"/>
      <c r="AC536" s="177"/>
    </row>
    <row r="537" spans="2:29">
      <c r="B537" s="158" t="str">
        <f>IF(OR(LEFT(Commodities!B$64,1)="*",LEFT(Technologies!B$514,1)="*"),"*","R1")</f>
        <v>R1</v>
      </c>
      <c r="C537" s="158" t="e">
        <f>Technologies!C514</f>
        <v>#REF!</v>
      </c>
      <c r="D537" s="158" t="str">
        <f>Technologies!D514</f>
        <v>Delivery of Imported Distillate-Heating Oil No. 2 to the Electricity Sector</v>
      </c>
      <c r="E537" s="197" t="str">
        <f>Commodities!C$64</f>
        <v>DSHP1</v>
      </c>
      <c r="F537" s="197" t="e">
        <f>Commodities!C227</f>
        <v>#REF!</v>
      </c>
      <c r="G537" s="204">
        <v>1</v>
      </c>
      <c r="H537" s="203" t="e">
        <f>#REF!*#REF!^5/(Conv!$I$5*Conv!$D$46)/10^6 +#REF!</f>
        <v>#REF!</v>
      </c>
      <c r="I537" s="203" t="e">
        <f>#REF!*#REF!^5/(Conv!$I$5*Conv!$D$46)/10^6 +#REF!</f>
        <v>#REF!</v>
      </c>
      <c r="J537" s="203" t="e">
        <f>#REF!*#REF!^5/(Conv!$I$5*Conv!$D$46)/10^6 +#REF!</f>
        <v>#REF!</v>
      </c>
      <c r="K537" s="203" t="e">
        <f>#REF!*#REF!^5/(Conv!$I$5*Conv!$D$46)/10^6 +#REF!</f>
        <v>#REF!</v>
      </c>
      <c r="L537" s="203" t="e">
        <f>#REF!*#REF!^5/(Conv!$I$5*Conv!$D$46)/10^6 +#REF!</f>
        <v>#REF!</v>
      </c>
      <c r="M537" s="203" t="e">
        <f>#REF!*#REF!^5/(Conv!$I$5*Conv!$D$46)/10^6 +#REF!</f>
        <v>#REF!</v>
      </c>
      <c r="N537" s="203" t="e">
        <f>#REF!*#REF!^5/(Conv!$I$5*Conv!$D$46)/10^6 +#REF!</f>
        <v>#REF!</v>
      </c>
      <c r="O537" s="203" t="e">
        <f>#REF!*#REF!^5/(Conv!$I$5*Conv!$D$46)/10^6 +#REF!</f>
        <v>#REF!</v>
      </c>
      <c r="P537" s="203" t="e">
        <f>#REF!*#REF!^5/(Conv!$I$5*Conv!$D$46)/10^6 +#REF!</f>
        <v>#REF!</v>
      </c>
      <c r="Q537" s="203" t="e">
        <f>#REF!*#REF!^5/(Conv!$I$5*Conv!$D$46)/10^6 +#REF!</f>
        <v>#REF!</v>
      </c>
      <c r="S537" s="177"/>
      <c r="T537" s="177"/>
      <c r="U537" s="177"/>
      <c r="V537" s="177"/>
      <c r="W537" s="177"/>
      <c r="X537" s="177"/>
      <c r="Y537" s="177"/>
      <c r="Z537" s="177"/>
      <c r="AA537" s="177"/>
      <c r="AB537" s="177"/>
      <c r="AC537" s="177"/>
    </row>
    <row r="538" spans="2:29">
      <c r="B538" s="158" t="str">
        <f>IF(OR(LEFT(Commodities!B$65,1)="*",LEFT(Technologies!B$515,1)="*"),"*","R1")</f>
        <v>R1</v>
      </c>
      <c r="C538" s="158" t="e">
        <f>Technologies!C515</f>
        <v>#REF!</v>
      </c>
      <c r="D538" s="158" t="str">
        <f>Technologies!D515</f>
        <v>Delivery of Imported Distillate-Low Sulfur Highway Diesel (500 ppm)</v>
      </c>
      <c r="E538" s="197" t="str">
        <f>Commodities!C$65</f>
        <v>DSLP1</v>
      </c>
      <c r="F538" s="197" t="e">
        <f>Commodities!C228</f>
        <v>#REF!</v>
      </c>
      <c r="G538" s="204">
        <v>1</v>
      </c>
      <c r="H538" s="203" t="e">
        <f>#REF!*#REF!^5/(Conv!$I$5*Conv!$D$46)/10^6 +#REF!</f>
        <v>#REF!</v>
      </c>
      <c r="I538" s="203" t="e">
        <f>#REF!*#REF!^5/(Conv!$I$5*Conv!$D$46)/10^6 +#REF!</f>
        <v>#REF!</v>
      </c>
      <c r="J538" s="203" t="e">
        <f>#REF!*#REF!^5/(Conv!$I$5*Conv!$D$46)/10^6 +#REF!</f>
        <v>#REF!</v>
      </c>
      <c r="K538" s="203" t="e">
        <f>#REF!*#REF!^5/(Conv!$I$5*Conv!$D$46)/10^6 +#REF!</f>
        <v>#REF!</v>
      </c>
      <c r="L538" s="203" t="e">
        <f>#REF!*#REF!^5/(Conv!$I$5*Conv!$D$46)/10^6 +#REF!</f>
        <v>#REF!</v>
      </c>
      <c r="M538" s="203" t="e">
        <f>#REF!*#REF!^5/(Conv!$I$5*Conv!$D$46)/10^6 +#REF!</f>
        <v>#REF!</v>
      </c>
      <c r="N538" s="203" t="e">
        <f>#REF!*#REF!^5/(Conv!$I$5*Conv!$D$46)/10^6 +#REF!</f>
        <v>#REF!</v>
      </c>
      <c r="O538" s="203" t="e">
        <f>#REF!*#REF!^5/(Conv!$I$5*Conv!$D$46)/10^6 +#REF!</f>
        <v>#REF!</v>
      </c>
      <c r="P538" s="203" t="e">
        <f>#REF!*#REF!^5/(Conv!$I$5*Conv!$D$46)/10^6 +#REF!</f>
        <v>#REF!</v>
      </c>
      <c r="Q538" s="203" t="e">
        <f>#REF!*#REF!^5/(Conv!$I$5*Conv!$D$46)/10^6 +#REF!</f>
        <v>#REF!</v>
      </c>
      <c r="S538" s="177"/>
      <c r="T538" s="177"/>
      <c r="U538" s="177"/>
      <c r="V538" s="177"/>
      <c r="W538" s="177"/>
      <c r="X538" s="177"/>
      <c r="Y538" s="177"/>
      <c r="Z538" s="177"/>
      <c r="AA538" s="177"/>
      <c r="AB538" s="177"/>
      <c r="AC538" s="177"/>
    </row>
    <row r="539" spans="2:29">
      <c r="B539" s="158" t="str">
        <f>IF(OR(LEFT(Commodities!B$66,1)="*",LEFT(Technologies!B$516,1)="*"),"*","R1")</f>
        <v>R1</v>
      </c>
      <c r="C539" s="158" t="e">
        <f>Technologies!C516</f>
        <v>#REF!</v>
      </c>
      <c r="D539" s="158" t="str">
        <f>Technologies!D516</f>
        <v>Delivery of Imported Distillate-Ultralow Sulfur Highway Diesel (15 ppm)</v>
      </c>
      <c r="E539" s="197" t="str">
        <f>Commodities!C$66</f>
        <v>DSUP1</v>
      </c>
      <c r="F539" s="197" t="e">
        <f>Commodities!C229</f>
        <v>#REF!</v>
      </c>
      <c r="G539" s="204">
        <v>1</v>
      </c>
      <c r="H539" s="203" t="e">
        <f>#REF!*#REF!^5/(Conv!$I$5*Conv!$D$46)/10^6 +#REF!</f>
        <v>#REF!</v>
      </c>
      <c r="I539" s="203" t="e">
        <f>#REF!*#REF!^5/(Conv!$I$5*Conv!$D$46)/10^6 +#REF!</f>
        <v>#REF!</v>
      </c>
      <c r="J539" s="203" t="e">
        <f>#REF!*#REF!^5/(Conv!$I$5*Conv!$D$46)/10^6 +#REF!</f>
        <v>#REF!</v>
      </c>
      <c r="K539" s="203" t="e">
        <f>#REF!*#REF!^5/(Conv!$I$5*Conv!$D$46)/10^6 +#REF!</f>
        <v>#REF!</v>
      </c>
      <c r="L539" s="203" t="e">
        <f>#REF!*#REF!^5/(Conv!$I$5*Conv!$D$46)/10^6 +#REF!</f>
        <v>#REF!</v>
      </c>
      <c r="M539" s="203" t="e">
        <f>#REF!*#REF!^5/(Conv!$I$5*Conv!$D$46)/10^6 +#REF!</f>
        <v>#REF!</v>
      </c>
      <c r="N539" s="203" t="e">
        <f>#REF!*#REF!^5/(Conv!$I$5*Conv!$D$46)/10^6 +#REF!</f>
        <v>#REF!</v>
      </c>
      <c r="O539" s="203" t="e">
        <f>#REF!*#REF!^5/(Conv!$I$5*Conv!$D$46)/10^6 +#REF!</f>
        <v>#REF!</v>
      </c>
      <c r="P539" s="203" t="e">
        <f>#REF!*#REF!^5/(Conv!$I$5*Conv!$D$46)/10^6 +#REF!</f>
        <v>#REF!</v>
      </c>
      <c r="Q539" s="203" t="e">
        <f>#REF!*#REF!^5/(Conv!$I$5*Conv!$D$46)/10^6 +#REF!</f>
        <v>#REF!</v>
      </c>
      <c r="S539" s="177"/>
      <c r="T539" s="177"/>
      <c r="U539" s="177"/>
      <c r="V539" s="177"/>
      <c r="W539" s="177"/>
      <c r="X539" s="177"/>
      <c r="Y539" s="177"/>
      <c r="Z539" s="177"/>
      <c r="AA539" s="177"/>
      <c r="AB539" s="177"/>
      <c r="AC539" s="177"/>
    </row>
    <row r="540" spans="2:29">
      <c r="B540" s="158" t="str">
        <f>IF(OR(LEFT(Commodities!B$69,1)="*",LEFT(Technologies!B$517,1)="*"),"*","R1")</f>
        <v>*</v>
      </c>
      <c r="C540" s="158" t="e">
        <f>Technologies!C517</f>
        <v>#REF!</v>
      </c>
      <c r="D540" s="158" t="str">
        <f>Technologies!D517</f>
        <v>Delivery of Imported Jet Fuel</v>
      </c>
      <c r="E540" s="197" t="str">
        <f>Commodities!C$69</f>
        <v>JTFP1</v>
      </c>
      <c r="F540" s="197" t="e">
        <f>Commodities!C230</f>
        <v>#REF!</v>
      </c>
      <c r="G540" s="204">
        <v>1</v>
      </c>
      <c r="H540" s="203" t="e">
        <f>#REF!*#REF!^5/(Conv!$I$5*Conv!$D$46)/10^6 +#REF!</f>
        <v>#REF!</v>
      </c>
      <c r="I540" s="203" t="e">
        <f>#REF!*#REF!^5/(Conv!$I$5*Conv!$D$46)/10^6 +#REF!</f>
        <v>#REF!</v>
      </c>
      <c r="J540" s="203" t="e">
        <f>#REF!*#REF!^5/(Conv!$I$5*Conv!$D$46)/10^6 +#REF!</f>
        <v>#REF!</v>
      </c>
      <c r="K540" s="203" t="e">
        <f>#REF!*#REF!^5/(Conv!$I$5*Conv!$D$46)/10^6 +#REF!</f>
        <v>#REF!</v>
      </c>
      <c r="L540" s="203" t="e">
        <f>#REF!*#REF!^5/(Conv!$I$5*Conv!$D$46)/10^6 +#REF!</f>
        <v>#REF!</v>
      </c>
      <c r="M540" s="203" t="e">
        <f>#REF!*#REF!^5/(Conv!$I$5*Conv!$D$46)/10^6 +#REF!</f>
        <v>#REF!</v>
      </c>
      <c r="N540" s="203" t="e">
        <f>#REF!*#REF!^5/(Conv!$I$5*Conv!$D$46)/10^6 +#REF!</f>
        <v>#REF!</v>
      </c>
      <c r="O540" s="203" t="e">
        <f>#REF!*#REF!^5/(Conv!$I$5*Conv!$D$46)/10^6 +#REF!</f>
        <v>#REF!</v>
      </c>
      <c r="P540" s="203" t="e">
        <f>#REF!*#REF!^5/(Conv!$I$5*Conv!$D$46)/10^6 +#REF!</f>
        <v>#REF!</v>
      </c>
      <c r="Q540" s="203" t="e">
        <f>#REF!*#REF!^5/(Conv!$I$5*Conv!$D$46)/10^6 +#REF!</f>
        <v>#REF!</v>
      </c>
      <c r="S540" s="177"/>
      <c r="T540" s="177"/>
      <c r="U540" s="177"/>
      <c r="V540" s="177"/>
      <c r="W540" s="177"/>
      <c r="X540" s="177"/>
      <c r="Y540" s="177"/>
      <c r="Z540" s="177"/>
      <c r="AA540" s="177"/>
      <c r="AB540" s="177"/>
      <c r="AC540" s="177"/>
    </row>
    <row r="541" spans="2:29">
      <c r="B541" s="158" t="str">
        <f>IF(OR(LEFT(Commodities!B$70,1)="*",LEFT(Technologies!B$518,1)="*"),"*","R1")</f>
        <v>*</v>
      </c>
      <c r="C541" s="158" t="e">
        <f>Technologies!C518</f>
        <v>#REF!</v>
      </c>
      <c r="D541" s="158" t="str">
        <f>Technologies!D518</f>
        <v>Delivery of Imported Kerosene and Other Refined Products to the Residential Sector</v>
      </c>
      <c r="E541" s="197" t="str">
        <f>Commodities!C$70</f>
        <v>KERP1</v>
      </c>
      <c r="F541" s="197" t="e">
        <f>Commodities!C231</f>
        <v>#REF!</v>
      </c>
      <c r="G541" s="204">
        <v>1</v>
      </c>
      <c r="H541" s="203" t="e">
        <f>#REF!*#REF!^5/(Conv!$I$5*Conv!$D$46)/10^6 +#REF!</f>
        <v>#REF!</v>
      </c>
      <c r="I541" s="203" t="e">
        <f>#REF!*#REF!^5/(Conv!$I$5*Conv!$D$46)/10^6 +#REF!</f>
        <v>#REF!</v>
      </c>
      <c r="J541" s="203" t="e">
        <f>#REF!*#REF!^5/(Conv!$I$5*Conv!$D$46)/10^6 +#REF!</f>
        <v>#REF!</v>
      </c>
      <c r="K541" s="203" t="e">
        <f>#REF!*#REF!^5/(Conv!$I$5*Conv!$D$46)/10^6 +#REF!</f>
        <v>#REF!</v>
      </c>
      <c r="L541" s="203" t="e">
        <f>#REF!*#REF!^5/(Conv!$I$5*Conv!$D$46)/10^6 +#REF!</f>
        <v>#REF!</v>
      </c>
      <c r="M541" s="203" t="e">
        <f>#REF!*#REF!^5/(Conv!$I$5*Conv!$D$46)/10^6 +#REF!</f>
        <v>#REF!</v>
      </c>
      <c r="N541" s="203" t="e">
        <f>#REF!*#REF!^5/(Conv!$I$5*Conv!$D$46)/10^6 +#REF!</f>
        <v>#REF!</v>
      </c>
      <c r="O541" s="203" t="e">
        <f>#REF!*#REF!^5/(Conv!$I$5*Conv!$D$46)/10^6 +#REF!</f>
        <v>#REF!</v>
      </c>
      <c r="P541" s="203" t="e">
        <f>#REF!*#REF!^5/(Conv!$I$5*Conv!$D$46)/10^6 +#REF!</f>
        <v>#REF!</v>
      </c>
      <c r="Q541" s="203" t="e">
        <f>#REF!*#REF!^5/(Conv!$I$5*Conv!$D$46)/10^6 +#REF!</f>
        <v>#REF!</v>
      </c>
      <c r="S541" s="177"/>
      <c r="T541" s="177"/>
      <c r="U541" s="177"/>
      <c r="V541" s="177"/>
      <c r="W541" s="177"/>
      <c r="X541" s="177"/>
      <c r="Y541" s="177"/>
      <c r="Z541" s="177"/>
      <c r="AA541" s="177"/>
      <c r="AB541" s="177"/>
      <c r="AC541" s="177"/>
    </row>
    <row r="542" spans="2:29">
      <c r="B542" s="158" t="str">
        <f>IF(OR(LEFT(Commodities!B$70,1)="*",LEFT(Technologies!B$519,1)="*"),"*","R1")</f>
        <v>*</v>
      </c>
      <c r="C542" s="158" t="e">
        <f>Technologies!C519</f>
        <v>#REF!</v>
      </c>
      <c r="D542" s="158" t="str">
        <f>Technologies!D519</f>
        <v>Delivery of Imported Kerosene and Other Refined Products to the Commercial Sector</v>
      </c>
      <c r="E542" s="197" t="str">
        <f>Commodities!C$70</f>
        <v>KERP1</v>
      </c>
      <c r="F542" s="197" t="e">
        <f>Commodities!C232</f>
        <v>#REF!</v>
      </c>
      <c r="G542" s="204">
        <v>1</v>
      </c>
      <c r="H542" s="203" t="e">
        <f>#REF!*#REF!^5/(Conv!$I$5*Conv!$D$46)/10^6 +#REF!</f>
        <v>#REF!</v>
      </c>
      <c r="I542" s="203" t="e">
        <f>#REF!*#REF!^5/(Conv!$I$5*Conv!$D$46)/10^6 +#REF!</f>
        <v>#REF!</v>
      </c>
      <c r="J542" s="203" t="e">
        <f>#REF!*#REF!^5/(Conv!$I$5*Conv!$D$46)/10^6 +#REF!</f>
        <v>#REF!</v>
      </c>
      <c r="K542" s="203" t="e">
        <f>#REF!*#REF!^5/(Conv!$I$5*Conv!$D$46)/10^6 +#REF!</f>
        <v>#REF!</v>
      </c>
      <c r="L542" s="203" t="e">
        <f>#REF!*#REF!^5/(Conv!$I$5*Conv!$D$46)/10^6 +#REF!</f>
        <v>#REF!</v>
      </c>
      <c r="M542" s="203" t="e">
        <f>#REF!*#REF!^5/(Conv!$I$5*Conv!$D$46)/10^6 +#REF!</f>
        <v>#REF!</v>
      </c>
      <c r="N542" s="203" t="e">
        <f>#REF!*#REF!^5/(Conv!$I$5*Conv!$D$46)/10^6 +#REF!</f>
        <v>#REF!</v>
      </c>
      <c r="O542" s="203" t="e">
        <f>#REF!*#REF!^5/(Conv!$I$5*Conv!$D$46)/10^6 +#REF!</f>
        <v>#REF!</v>
      </c>
      <c r="P542" s="203" t="e">
        <f>#REF!*#REF!^5/(Conv!$I$5*Conv!$D$46)/10^6 +#REF!</f>
        <v>#REF!</v>
      </c>
      <c r="Q542" s="203" t="e">
        <f>#REF!*#REF!^5/(Conv!$I$5*Conv!$D$46)/10^6 +#REF!</f>
        <v>#REF!</v>
      </c>
      <c r="S542" s="177"/>
      <c r="T542" s="177"/>
      <c r="U542" s="177"/>
      <c r="V542" s="177"/>
      <c r="W542" s="177"/>
      <c r="X542" s="177"/>
      <c r="Y542" s="177"/>
      <c r="Z542" s="177"/>
      <c r="AA542" s="177"/>
      <c r="AB542" s="177"/>
      <c r="AC542" s="177"/>
    </row>
    <row r="543" spans="2:29">
      <c r="B543" s="158" t="str">
        <f>IF(OR(LEFT(Commodities!B$70,1)="*",LEFT(Technologies!B$520,1)="*"),"*","R1")</f>
        <v>*</v>
      </c>
      <c r="C543" s="158" t="e">
        <f>Technologies!C520</f>
        <v>#REF!</v>
      </c>
      <c r="D543" s="158" t="str">
        <f>Technologies!D520</f>
        <v>Delivery of Imported Kerosene and Other Refined Products to the Industrial Sector</v>
      </c>
      <c r="E543" s="197" t="str">
        <f>Commodities!C$70</f>
        <v>KERP1</v>
      </c>
      <c r="F543" s="197" t="e">
        <f>Commodities!C233</f>
        <v>#REF!</v>
      </c>
      <c r="G543" s="204">
        <v>1</v>
      </c>
      <c r="H543" s="203" t="e">
        <f>#REF!*#REF!^5/(Conv!$I$5*Conv!$D$46)/10^6 +#REF!</f>
        <v>#REF!</v>
      </c>
      <c r="I543" s="203" t="e">
        <f>#REF!*#REF!^5/(Conv!$I$5*Conv!$D$46)/10^6 +#REF!</f>
        <v>#REF!</v>
      </c>
      <c r="J543" s="203" t="e">
        <f>#REF!*#REF!^5/(Conv!$I$5*Conv!$D$46)/10^6 +#REF!</f>
        <v>#REF!</v>
      </c>
      <c r="K543" s="203" t="e">
        <f>#REF!*#REF!^5/(Conv!$I$5*Conv!$D$46)/10^6 +#REF!</f>
        <v>#REF!</v>
      </c>
      <c r="L543" s="203" t="e">
        <f>#REF!*#REF!^5/(Conv!$I$5*Conv!$D$46)/10^6 +#REF!</f>
        <v>#REF!</v>
      </c>
      <c r="M543" s="203" t="e">
        <f>#REF!*#REF!^5/(Conv!$I$5*Conv!$D$46)/10^6 +#REF!</f>
        <v>#REF!</v>
      </c>
      <c r="N543" s="203" t="e">
        <f>#REF!*#REF!^5/(Conv!$I$5*Conv!$D$46)/10^6 +#REF!</f>
        <v>#REF!</v>
      </c>
      <c r="O543" s="203" t="e">
        <f>#REF!*#REF!^5/(Conv!$I$5*Conv!$D$46)/10^6 +#REF!</f>
        <v>#REF!</v>
      </c>
      <c r="P543" s="203" t="e">
        <f>#REF!*#REF!^5/(Conv!$I$5*Conv!$D$46)/10^6 +#REF!</f>
        <v>#REF!</v>
      </c>
      <c r="Q543" s="203" t="e">
        <f>#REF!*#REF!^5/(Conv!$I$5*Conv!$D$46)/10^6 +#REF!</f>
        <v>#REF!</v>
      </c>
      <c r="S543" s="177"/>
      <c r="T543" s="177"/>
      <c r="U543" s="177"/>
      <c r="V543" s="177"/>
      <c r="W543" s="177"/>
      <c r="X543" s="177"/>
      <c r="Y543" s="177"/>
      <c r="Z543" s="177"/>
      <c r="AA543" s="177"/>
      <c r="AB543" s="177"/>
      <c r="AC543" s="177"/>
    </row>
    <row r="544" spans="2:29">
      <c r="B544" s="158" t="str">
        <f>IF(OR(LEFT(Commodities!B$71,1)="*",LEFT(Technologies!B$521,1)="*"),"*","R1")</f>
        <v>*</v>
      </c>
      <c r="C544" s="158" t="e">
        <f>Technologies!C521</f>
        <v>#REF!</v>
      </c>
      <c r="D544" s="158" t="str">
        <f>Technologies!D521</f>
        <v>Delivery of Imported LPG to the Residential Sector</v>
      </c>
      <c r="E544" s="197" t="str">
        <f>Commodities!C$71</f>
        <v>LPGP1</v>
      </c>
      <c r="F544" s="197" t="e">
        <f>Commodities!C234</f>
        <v>#REF!</v>
      </c>
      <c r="G544" s="204">
        <v>1</v>
      </c>
      <c r="H544" s="203" t="e">
        <f>#REF!*#REF!^5/(Conv!$I$5*Conv!$D$46)/10^6 +#REF!</f>
        <v>#REF!</v>
      </c>
      <c r="I544" s="203" t="e">
        <f>#REF!*#REF!^5/(Conv!$I$5*Conv!$D$46)/10^6 +#REF!</f>
        <v>#REF!</v>
      </c>
      <c r="J544" s="203" t="e">
        <f>#REF!*#REF!^5/(Conv!$I$5*Conv!$D$46)/10^6 +#REF!</f>
        <v>#REF!</v>
      </c>
      <c r="K544" s="203" t="e">
        <f>#REF!*#REF!^5/(Conv!$I$5*Conv!$D$46)/10^6 +#REF!</f>
        <v>#REF!</v>
      </c>
      <c r="L544" s="203" t="e">
        <f>#REF!*#REF!^5/(Conv!$I$5*Conv!$D$46)/10^6 +#REF!</f>
        <v>#REF!</v>
      </c>
      <c r="M544" s="203" t="e">
        <f>#REF!*#REF!^5/(Conv!$I$5*Conv!$D$46)/10^6 +#REF!</f>
        <v>#REF!</v>
      </c>
      <c r="N544" s="203" t="e">
        <f>#REF!*#REF!^5/(Conv!$I$5*Conv!$D$46)/10^6 +#REF!</f>
        <v>#REF!</v>
      </c>
      <c r="O544" s="203" t="e">
        <f>#REF!*#REF!^5/(Conv!$I$5*Conv!$D$46)/10^6 +#REF!</f>
        <v>#REF!</v>
      </c>
      <c r="P544" s="203" t="e">
        <f>#REF!*#REF!^5/(Conv!$I$5*Conv!$D$46)/10^6 +#REF!</f>
        <v>#REF!</v>
      </c>
      <c r="Q544" s="203" t="e">
        <f>#REF!*#REF!^5/(Conv!$I$5*Conv!$D$46)/10^6 +#REF!</f>
        <v>#REF!</v>
      </c>
      <c r="S544" s="177"/>
      <c r="T544" s="177"/>
      <c r="U544" s="177"/>
      <c r="V544" s="177"/>
      <c r="W544" s="177"/>
      <c r="X544" s="177"/>
      <c r="Y544" s="177"/>
      <c r="Z544" s="177"/>
      <c r="AA544" s="177"/>
      <c r="AB544" s="177"/>
      <c r="AC544" s="177"/>
    </row>
    <row r="545" spans="2:29">
      <c r="B545" s="158" t="str">
        <f>IF(OR(LEFT(Commodities!B$71,1)="*",LEFT(Technologies!B$522,1)="*"),"*","R1")</f>
        <v>*</v>
      </c>
      <c r="C545" s="158" t="e">
        <f>Technologies!C522</f>
        <v>#REF!</v>
      </c>
      <c r="D545" s="158" t="str">
        <f>Technologies!D522</f>
        <v>Delivery of Imported LPG to the Commercial Sector</v>
      </c>
      <c r="E545" s="197" t="str">
        <f>Commodities!C$71</f>
        <v>LPGP1</v>
      </c>
      <c r="F545" s="197" t="e">
        <f>Commodities!C235</f>
        <v>#REF!</v>
      </c>
      <c r="G545" s="204">
        <v>1</v>
      </c>
      <c r="H545" s="203" t="e">
        <f>#REF!*#REF!^5/(Conv!$I$5*Conv!$D$46)/10^6 +#REF!</f>
        <v>#REF!</v>
      </c>
      <c r="I545" s="203" t="e">
        <f>#REF!*#REF!^5/(Conv!$I$5*Conv!$D$46)/10^6 +#REF!</f>
        <v>#REF!</v>
      </c>
      <c r="J545" s="203" t="e">
        <f>#REF!*#REF!^5/(Conv!$I$5*Conv!$D$46)/10^6 +#REF!</f>
        <v>#REF!</v>
      </c>
      <c r="K545" s="203" t="e">
        <f>#REF!*#REF!^5/(Conv!$I$5*Conv!$D$46)/10^6 +#REF!</f>
        <v>#REF!</v>
      </c>
      <c r="L545" s="203" t="e">
        <f>#REF!*#REF!^5/(Conv!$I$5*Conv!$D$46)/10^6 +#REF!</f>
        <v>#REF!</v>
      </c>
      <c r="M545" s="203" t="e">
        <f>#REF!*#REF!^5/(Conv!$I$5*Conv!$D$46)/10^6 +#REF!</f>
        <v>#REF!</v>
      </c>
      <c r="N545" s="203" t="e">
        <f>#REF!*#REF!^5/(Conv!$I$5*Conv!$D$46)/10^6 +#REF!</f>
        <v>#REF!</v>
      </c>
      <c r="O545" s="203" t="e">
        <f>#REF!*#REF!^5/(Conv!$I$5*Conv!$D$46)/10^6 +#REF!</f>
        <v>#REF!</v>
      </c>
      <c r="P545" s="203" t="e">
        <f>#REF!*#REF!^5/(Conv!$I$5*Conv!$D$46)/10^6 +#REF!</f>
        <v>#REF!</v>
      </c>
      <c r="Q545" s="203" t="e">
        <f>#REF!*#REF!^5/(Conv!$I$5*Conv!$D$46)/10^6 +#REF!</f>
        <v>#REF!</v>
      </c>
      <c r="S545" s="177"/>
      <c r="T545" s="177"/>
      <c r="U545" s="177"/>
      <c r="V545" s="177"/>
      <c r="W545" s="177"/>
      <c r="X545" s="177"/>
      <c r="Y545" s="177"/>
      <c r="Z545" s="177"/>
      <c r="AA545" s="177"/>
      <c r="AB545" s="177"/>
      <c r="AC545" s="177"/>
    </row>
    <row r="546" spans="2:29">
      <c r="B546" s="158" t="str">
        <f>IF(OR(LEFT(Commodities!B$71,1)="*",LEFT(Technologies!B$523,1)="*"),"*","R1")</f>
        <v>*</v>
      </c>
      <c r="C546" s="158" t="e">
        <f>Technologies!C523</f>
        <v>#REF!</v>
      </c>
      <c r="D546" s="158" t="str">
        <f>Technologies!D523</f>
        <v>Delivery of Imported LPG to the Industrial Sector</v>
      </c>
      <c r="E546" s="197" t="str">
        <f>Commodities!C$71</f>
        <v>LPGP1</v>
      </c>
      <c r="F546" s="197" t="e">
        <f>Commodities!C236</f>
        <v>#REF!</v>
      </c>
      <c r="G546" s="204">
        <v>1</v>
      </c>
      <c r="H546" s="203" t="e">
        <f>#REF!*#REF!^5/(Conv!$I$5*Conv!$D$46)/10^6 +#REF!</f>
        <v>#REF!</v>
      </c>
      <c r="I546" s="203" t="e">
        <f>#REF!*#REF!^5/(Conv!$I$5*Conv!$D$46)/10^6 +#REF!</f>
        <v>#REF!</v>
      </c>
      <c r="J546" s="203" t="e">
        <f>#REF!*#REF!^5/(Conv!$I$5*Conv!$D$46)/10^6 +#REF!</f>
        <v>#REF!</v>
      </c>
      <c r="K546" s="203" t="e">
        <f>#REF!*#REF!^5/(Conv!$I$5*Conv!$D$46)/10^6 +#REF!</f>
        <v>#REF!</v>
      </c>
      <c r="L546" s="203" t="e">
        <f>#REF!*#REF!^5/(Conv!$I$5*Conv!$D$46)/10^6 +#REF!</f>
        <v>#REF!</v>
      </c>
      <c r="M546" s="203" t="e">
        <f>#REF!*#REF!^5/(Conv!$I$5*Conv!$D$46)/10^6 +#REF!</f>
        <v>#REF!</v>
      </c>
      <c r="N546" s="203" t="e">
        <f>#REF!*#REF!^5/(Conv!$I$5*Conv!$D$46)/10^6 +#REF!</f>
        <v>#REF!</v>
      </c>
      <c r="O546" s="203" t="e">
        <f>#REF!*#REF!^5/(Conv!$I$5*Conv!$D$46)/10^6 +#REF!</f>
        <v>#REF!</v>
      </c>
      <c r="P546" s="203" t="e">
        <f>#REF!*#REF!^5/(Conv!$I$5*Conv!$D$46)/10^6 +#REF!</f>
        <v>#REF!</v>
      </c>
      <c r="Q546" s="203" t="e">
        <f>#REF!*#REF!^5/(Conv!$I$5*Conv!$D$46)/10^6 +#REF!</f>
        <v>#REF!</v>
      </c>
      <c r="S546" s="177"/>
      <c r="T546" s="177"/>
      <c r="U546" s="177"/>
      <c r="V546" s="177"/>
      <c r="W546" s="177"/>
      <c r="X546" s="177"/>
      <c r="Y546" s="177"/>
      <c r="Z546" s="177"/>
      <c r="AA546" s="177"/>
      <c r="AB546" s="177"/>
      <c r="AC546" s="177"/>
    </row>
    <row r="547" spans="2:29">
      <c r="B547" s="158" t="str">
        <f>IF(OR(LEFT(Commodities!B$71,1)="*",LEFT(Technologies!B$524,1)="*"),"*","R1")</f>
        <v>*</v>
      </c>
      <c r="C547" s="158" t="e">
        <f>Technologies!C524</f>
        <v>#REF!</v>
      </c>
      <c r="D547" s="158" t="str">
        <f>Technologies!D524</f>
        <v>Delivery of Imported LPG to the Transportation Sector</v>
      </c>
      <c r="E547" s="197" t="str">
        <f>Commodities!C$71</f>
        <v>LPGP1</v>
      </c>
      <c r="F547" s="197" t="e">
        <f>Commodities!C237</f>
        <v>#REF!</v>
      </c>
      <c r="G547" s="204">
        <v>1</v>
      </c>
      <c r="H547" s="203" t="e">
        <f>#REF!*#REF!^5/(Conv!$I$5*Conv!$D$46)/10^6 +#REF!</f>
        <v>#REF!</v>
      </c>
      <c r="I547" s="203" t="e">
        <f>#REF!*#REF!^5/(Conv!$I$5*Conv!$D$46)/10^6 +#REF!</f>
        <v>#REF!</v>
      </c>
      <c r="J547" s="203" t="e">
        <f>#REF!*#REF!^5/(Conv!$I$5*Conv!$D$46)/10^6 +#REF!</f>
        <v>#REF!</v>
      </c>
      <c r="K547" s="203" t="e">
        <f>#REF!*#REF!^5/(Conv!$I$5*Conv!$D$46)/10^6 +#REF!</f>
        <v>#REF!</v>
      </c>
      <c r="L547" s="203" t="e">
        <f>#REF!*#REF!^5/(Conv!$I$5*Conv!$D$46)/10^6 +#REF!</f>
        <v>#REF!</v>
      </c>
      <c r="M547" s="203" t="e">
        <f>#REF!*#REF!^5/(Conv!$I$5*Conv!$D$46)/10^6 +#REF!</f>
        <v>#REF!</v>
      </c>
      <c r="N547" s="203" t="e">
        <f>#REF!*#REF!^5/(Conv!$I$5*Conv!$D$46)/10^6 +#REF!</f>
        <v>#REF!</v>
      </c>
      <c r="O547" s="203" t="e">
        <f>#REF!*#REF!^5/(Conv!$I$5*Conv!$D$46)/10^6 +#REF!</f>
        <v>#REF!</v>
      </c>
      <c r="P547" s="203" t="e">
        <f>#REF!*#REF!^5/(Conv!$I$5*Conv!$D$46)/10^6 +#REF!</f>
        <v>#REF!</v>
      </c>
      <c r="Q547" s="203" t="e">
        <f>#REF!*#REF!^5/(Conv!$I$5*Conv!$D$46)/10^6 +#REF!</f>
        <v>#REF!</v>
      </c>
      <c r="S547" s="177"/>
      <c r="T547" s="177"/>
      <c r="U547" s="177"/>
      <c r="V547" s="177"/>
      <c r="W547" s="177"/>
      <c r="X547" s="177"/>
      <c r="Y547" s="177"/>
      <c r="Z547" s="177"/>
      <c r="AA547" s="177"/>
      <c r="AB547" s="177"/>
      <c r="AC547" s="177"/>
    </row>
    <row r="548" spans="2:29">
      <c r="B548" s="158" t="str">
        <f>IF(LEFT(Technologies!B$525,1)="*","*","R1")</f>
        <v>*</v>
      </c>
      <c r="C548" s="158" t="e">
        <f>Technologies!C525</f>
        <v>#REF!</v>
      </c>
      <c r="D548" s="158" t="str">
        <f>Technologies!D525</f>
        <v>Delivery of Imported Methanol</v>
      </c>
      <c r="E548" s="197" t="str">
        <f>Commodities!C$72</f>
        <v>MTHP1</v>
      </c>
      <c r="F548" s="197" t="s">
        <v>270</v>
      </c>
      <c r="G548" s="204">
        <v>1</v>
      </c>
      <c r="H548" s="203" t="e">
        <f>#REF!*#REF!^5/(Conv!$I$5*Conv!$D$46)/10^6 +#REF!</f>
        <v>#REF!</v>
      </c>
      <c r="I548" s="203" t="e">
        <f>#REF!*#REF!^5/(Conv!$I$5*Conv!$D$46)/10^6 +#REF!</f>
        <v>#REF!</v>
      </c>
      <c r="J548" s="203" t="e">
        <f>#REF!*#REF!^5/(Conv!$I$5*Conv!$D$46)/10^6 +#REF!</f>
        <v>#REF!</v>
      </c>
      <c r="K548" s="203" t="e">
        <f>#REF!*#REF!^5/(Conv!$I$5*Conv!$D$46)/10^6 +#REF!</f>
        <v>#REF!</v>
      </c>
      <c r="L548" s="203" t="e">
        <f>#REF!*#REF!^5/(Conv!$I$5*Conv!$D$46)/10^6 +#REF!</f>
        <v>#REF!</v>
      </c>
      <c r="M548" s="203" t="e">
        <f>#REF!*#REF!^5/(Conv!$I$5*Conv!$D$46)/10^6 +#REF!</f>
        <v>#REF!</v>
      </c>
      <c r="N548" s="203" t="e">
        <f>#REF!*#REF!^5/(Conv!$I$5*Conv!$D$46)/10^6 +#REF!</f>
        <v>#REF!</v>
      </c>
      <c r="O548" s="203" t="e">
        <f>#REF!*#REF!^5/(Conv!$I$5*Conv!$D$46)/10^6 +#REF!</f>
        <v>#REF!</v>
      </c>
      <c r="P548" s="203" t="e">
        <f>#REF!*#REF!^5/(Conv!$I$5*Conv!$D$46)/10^6 +#REF!</f>
        <v>#REF!</v>
      </c>
      <c r="Q548" s="203" t="e">
        <f>#REF!*#REF!^5/(Conv!$I$5*Conv!$D$46)/10^6 +#REF!</f>
        <v>#REF!</v>
      </c>
      <c r="S548" s="177"/>
      <c r="T548" s="177"/>
      <c r="U548" s="177"/>
      <c r="V548" s="177"/>
      <c r="W548" s="177"/>
      <c r="X548" s="177"/>
      <c r="Y548" s="177"/>
      <c r="Z548" s="177"/>
      <c r="AA548" s="177"/>
      <c r="AB548" s="177"/>
      <c r="AC548" s="177"/>
    </row>
    <row r="549" spans="2:29">
      <c r="B549" s="158" t="str">
        <f>IF(OR(LEFT(Commodities!B$239,1)="*",LEFT(Technologies!B$526,1)="*"),"*","R1")</f>
        <v>*</v>
      </c>
      <c r="C549" s="158" t="e">
        <f>Technologies!C526</f>
        <v>#REF!</v>
      </c>
      <c r="D549" s="158" t="str">
        <f>Technologies!D526</f>
        <v>Delivery of Imported Petrochemical Feedstocks</v>
      </c>
      <c r="E549" s="197" t="str">
        <f>Commodities!C$73</f>
        <v>PFSP1</v>
      </c>
      <c r="F549" s="197" t="e">
        <f>Commodities!C239</f>
        <v>#REF!</v>
      </c>
      <c r="G549" s="204">
        <v>1</v>
      </c>
      <c r="H549" s="203" t="e">
        <f>#REF!*#REF!^5/(Conv!$I$5*Conv!$D$46)/10^6 +#REF!</f>
        <v>#REF!</v>
      </c>
      <c r="I549" s="203" t="e">
        <f>#REF!*#REF!^5/(Conv!$I$5*Conv!$D$46)/10^6 +#REF!</f>
        <v>#REF!</v>
      </c>
      <c r="J549" s="203" t="e">
        <f>#REF!*#REF!^5/(Conv!$I$5*Conv!$D$46)/10^6 +#REF!</f>
        <v>#REF!</v>
      </c>
      <c r="K549" s="203" t="e">
        <f>#REF!*#REF!^5/(Conv!$I$5*Conv!$D$46)/10^6 +#REF!</f>
        <v>#REF!</v>
      </c>
      <c r="L549" s="203" t="e">
        <f>#REF!*#REF!^5/(Conv!$I$5*Conv!$D$46)/10^6 +#REF!</f>
        <v>#REF!</v>
      </c>
      <c r="M549" s="203" t="e">
        <f>#REF!*#REF!^5/(Conv!$I$5*Conv!$D$46)/10^6 +#REF!</f>
        <v>#REF!</v>
      </c>
      <c r="N549" s="203" t="e">
        <f>#REF!*#REF!^5/(Conv!$I$5*Conv!$D$46)/10^6 +#REF!</f>
        <v>#REF!</v>
      </c>
      <c r="O549" s="203" t="e">
        <f>#REF!*#REF!^5/(Conv!$I$5*Conv!$D$46)/10^6 +#REF!</f>
        <v>#REF!</v>
      </c>
      <c r="P549" s="203" t="e">
        <f>#REF!*#REF!^5/(Conv!$I$5*Conv!$D$46)/10^6 +#REF!</f>
        <v>#REF!</v>
      </c>
      <c r="Q549" s="203" t="e">
        <f>#REF!*#REF!^5/(Conv!$I$5*Conv!$D$46)/10^6 +#REF!</f>
        <v>#REF!</v>
      </c>
      <c r="S549" s="177"/>
      <c r="T549" s="177"/>
      <c r="U549" s="177"/>
      <c r="V549" s="177"/>
      <c r="W549" s="177"/>
      <c r="X549" s="177"/>
      <c r="Y549" s="177"/>
      <c r="Z549" s="177"/>
      <c r="AA549" s="177"/>
      <c r="AB549" s="177"/>
      <c r="AC549" s="177"/>
    </row>
    <row r="550" spans="2:29">
      <c r="B550" s="158" t="str">
        <f>IF(OR(LEFT(Commodities!B$75,1)="*",LEFT(Technologies!B$527,1)="*"),"*","R1")</f>
        <v>*</v>
      </c>
      <c r="C550" s="158" t="str">
        <f>C575</f>
        <v>XIRESRFLP1</v>
      </c>
      <c r="D550" s="158" t="str">
        <f>D575</f>
        <v>Delivery of Imported Low Sulfur Residual Fuel Oil to Residential Sector</v>
      </c>
      <c r="E550" s="197" t="str">
        <f>Commodities!C$75</f>
        <v>RFLP1</v>
      </c>
      <c r="F550" s="197" t="str">
        <f>F575</f>
        <v>RESRFL</v>
      </c>
      <c r="G550" s="204">
        <v>1</v>
      </c>
      <c r="H550" s="203"/>
      <c r="I550" s="203"/>
      <c r="J550" s="203"/>
      <c r="K550" s="203"/>
      <c r="L550" s="203"/>
      <c r="M550" s="203"/>
      <c r="N550" s="203"/>
      <c r="O550" s="203"/>
      <c r="P550" s="203"/>
      <c r="Q550" s="203"/>
      <c r="S550" s="177"/>
      <c r="T550" s="177"/>
      <c r="U550" s="177"/>
      <c r="V550" s="177"/>
      <c r="W550" s="177"/>
      <c r="X550" s="177"/>
      <c r="Y550" s="177"/>
      <c r="Z550" s="177"/>
      <c r="AA550" s="177"/>
      <c r="AB550" s="177"/>
      <c r="AC550" s="177"/>
    </row>
    <row r="551" spans="2:29">
      <c r="B551" s="158" t="str">
        <f>IF(OR(LEFT(Commodities!B$75,1)="*",LEFT(Technologies!B$528,1)="*"),"*","R1")</f>
        <v>*</v>
      </c>
      <c r="C551" s="158" t="e">
        <f>Technologies!C528</f>
        <v>#REF!</v>
      </c>
      <c r="D551" s="158" t="str">
        <f>Technologies!D528</f>
        <v>Delivery of Imported Low Sulfur Residual Fuel Oil to Commercial Sector</v>
      </c>
      <c r="E551" s="197" t="str">
        <f>Commodities!C$75</f>
        <v>RFLP1</v>
      </c>
      <c r="F551" s="197" t="e">
        <f>Commodities!C241</f>
        <v>#REF!</v>
      </c>
      <c r="G551" s="204">
        <v>1</v>
      </c>
      <c r="H551" s="203" t="e">
        <f>#REF!*#REF!^5/(Conv!$I$5*Conv!$D$46)/10^6 +#REF!</f>
        <v>#REF!</v>
      </c>
      <c r="I551" s="203" t="e">
        <f>#REF!*#REF!^5/(Conv!$I$5*Conv!$D$46)/10^6 +#REF!</f>
        <v>#REF!</v>
      </c>
      <c r="J551" s="203" t="e">
        <f>#REF!*#REF!^5/(Conv!$I$5*Conv!$D$46)/10^6 +#REF!</f>
        <v>#REF!</v>
      </c>
      <c r="K551" s="203" t="e">
        <f>#REF!*#REF!^5/(Conv!$I$5*Conv!$D$46)/10^6 +#REF!</f>
        <v>#REF!</v>
      </c>
      <c r="L551" s="203" t="e">
        <f>#REF!*#REF!^5/(Conv!$I$5*Conv!$D$46)/10^6 +#REF!</f>
        <v>#REF!</v>
      </c>
      <c r="M551" s="203" t="e">
        <f>#REF!*#REF!^5/(Conv!$I$5*Conv!$D$46)/10^6 +#REF!</f>
        <v>#REF!</v>
      </c>
      <c r="N551" s="203" t="e">
        <f>#REF!*#REF!^5/(Conv!$I$5*Conv!$D$46)/10^6 +#REF!</f>
        <v>#REF!</v>
      </c>
      <c r="O551" s="203" t="e">
        <f>#REF!*#REF!^5/(Conv!$I$5*Conv!$D$46)/10^6 +#REF!</f>
        <v>#REF!</v>
      </c>
      <c r="P551" s="203" t="e">
        <f>#REF!*#REF!^5/(Conv!$I$5*Conv!$D$46)/10^6 +#REF!</f>
        <v>#REF!</v>
      </c>
      <c r="Q551" s="203" t="e">
        <f>#REF!*#REF!^5/(Conv!$I$5*Conv!$D$46)/10^6 +#REF!</f>
        <v>#REF!</v>
      </c>
      <c r="S551" s="177"/>
      <c r="T551" s="177"/>
      <c r="U551" s="177"/>
      <c r="V551" s="177"/>
      <c r="W551" s="177"/>
      <c r="X551" s="177"/>
      <c r="Y551" s="177"/>
      <c r="Z551" s="177"/>
      <c r="AA551" s="177"/>
      <c r="AB551" s="177"/>
      <c r="AC551" s="177"/>
    </row>
    <row r="552" spans="2:29">
      <c r="B552" s="158" t="str">
        <f>IF(OR(LEFT(Commodities!B$75,1)="*",LEFT(Technologies!B$529,1)="*"),"*","R1")</f>
        <v>R1</v>
      </c>
      <c r="C552" s="158" t="e">
        <f>Technologies!C529</f>
        <v>#REF!</v>
      </c>
      <c r="D552" s="158" t="str">
        <f>Technologies!D529</f>
        <v>Delivery of Imported Low Sulfur Residual Fuel Oil to Industrial Sector</v>
      </c>
      <c r="E552" s="197" t="str">
        <f>Commodities!C$75</f>
        <v>RFLP1</v>
      </c>
      <c r="F552" s="197" t="e">
        <f>Commodities!C242</f>
        <v>#REF!</v>
      </c>
      <c r="G552" s="204">
        <v>1</v>
      </c>
      <c r="H552" s="203" t="e">
        <f>#REF!*#REF!^5/(Conv!$I$5*Conv!$D$46)/10^6 +#REF!</f>
        <v>#REF!</v>
      </c>
      <c r="I552" s="203" t="e">
        <f>#REF!*#REF!^5/(Conv!$I$5*Conv!$D$46)/10^6 +#REF!</f>
        <v>#REF!</v>
      </c>
      <c r="J552" s="203" t="e">
        <f>#REF!*#REF!^5/(Conv!$I$5*Conv!$D$46)/10^6 +#REF!</f>
        <v>#REF!</v>
      </c>
      <c r="K552" s="203" t="e">
        <f>#REF!*#REF!^5/(Conv!$I$5*Conv!$D$46)/10^6 +#REF!</f>
        <v>#REF!</v>
      </c>
      <c r="L552" s="203" t="e">
        <f>#REF!*#REF!^5/(Conv!$I$5*Conv!$D$46)/10^6 +#REF!</f>
        <v>#REF!</v>
      </c>
      <c r="M552" s="203" t="e">
        <f>#REF!*#REF!^5/(Conv!$I$5*Conv!$D$46)/10^6 +#REF!</f>
        <v>#REF!</v>
      </c>
      <c r="N552" s="203" t="e">
        <f>#REF!*#REF!^5/(Conv!$I$5*Conv!$D$46)/10^6 +#REF!</f>
        <v>#REF!</v>
      </c>
      <c r="O552" s="203" t="e">
        <f>#REF!*#REF!^5/(Conv!$I$5*Conv!$D$46)/10^6 +#REF!</f>
        <v>#REF!</v>
      </c>
      <c r="P552" s="203" t="e">
        <f>#REF!*#REF!^5/(Conv!$I$5*Conv!$D$46)/10^6 +#REF!</f>
        <v>#REF!</v>
      </c>
      <c r="Q552" s="203" t="e">
        <f>#REF!*#REF!^5/(Conv!$I$5*Conv!$D$46)/10^6 +#REF!</f>
        <v>#REF!</v>
      </c>
      <c r="S552" s="177"/>
      <c r="T552" s="177"/>
      <c r="U552" s="177"/>
      <c r="V552" s="177"/>
      <c r="W552" s="177"/>
      <c r="X552" s="177"/>
      <c r="Y552" s="177"/>
      <c r="Z552" s="177"/>
      <c r="AA552" s="177"/>
      <c r="AB552" s="177"/>
      <c r="AC552" s="177"/>
    </row>
    <row r="553" spans="2:29">
      <c r="B553" s="158" t="str">
        <f>IF(OR(LEFT(Commodities!B$75,1)="*",LEFT(Technologies!B$530,1)="*"),"*","R1")</f>
        <v>*</v>
      </c>
      <c r="C553" s="158" t="e">
        <f>Technologies!C530</f>
        <v>#REF!</v>
      </c>
      <c r="D553" s="158" t="str">
        <f>Technologies!D530</f>
        <v>Delivery of Imported Low Sulfur Residual Fuel Oil to Electricity Sector</v>
      </c>
      <c r="E553" s="197" t="str">
        <f>Commodities!C$75</f>
        <v>RFLP1</v>
      </c>
      <c r="F553" s="197" t="e">
        <f>Commodities!C243</f>
        <v>#REF!</v>
      </c>
      <c r="G553" s="204">
        <v>1</v>
      </c>
      <c r="H553" s="203" t="e">
        <f>#REF!*#REF!^5/(Conv!$I$5*Conv!$D$46)/10^6 +#REF!</f>
        <v>#REF!</v>
      </c>
      <c r="I553" s="203" t="e">
        <f>#REF!*#REF!^5/(Conv!$I$5*Conv!$D$46)/10^6 +#REF!</f>
        <v>#REF!</v>
      </c>
      <c r="J553" s="203" t="e">
        <f>#REF!*#REF!^5/(Conv!$I$5*Conv!$D$46)/10^6 +#REF!</f>
        <v>#REF!</v>
      </c>
      <c r="K553" s="203" t="e">
        <f>#REF!*#REF!^5/(Conv!$I$5*Conv!$D$46)/10^6 +#REF!</f>
        <v>#REF!</v>
      </c>
      <c r="L553" s="203" t="e">
        <f>#REF!*#REF!^5/(Conv!$I$5*Conv!$D$46)/10^6 +#REF!</f>
        <v>#REF!</v>
      </c>
      <c r="M553" s="203" t="e">
        <f>#REF!*#REF!^5/(Conv!$I$5*Conv!$D$46)/10^6 +#REF!</f>
        <v>#REF!</v>
      </c>
      <c r="N553" s="203" t="e">
        <f>#REF!*#REF!^5/(Conv!$I$5*Conv!$D$46)/10^6 +#REF!</f>
        <v>#REF!</v>
      </c>
      <c r="O553" s="203" t="e">
        <f>#REF!*#REF!^5/(Conv!$I$5*Conv!$D$46)/10^6 +#REF!</f>
        <v>#REF!</v>
      </c>
      <c r="P553" s="203" t="e">
        <f>#REF!*#REF!^5/(Conv!$I$5*Conv!$D$46)/10^6 +#REF!</f>
        <v>#REF!</v>
      </c>
      <c r="Q553" s="203" t="e">
        <f>#REF!*#REF!^5/(Conv!$I$5*Conv!$D$46)/10^6 +#REF!</f>
        <v>#REF!</v>
      </c>
      <c r="S553" s="177"/>
      <c r="T553" s="177"/>
      <c r="U553" s="177"/>
      <c r="V553" s="177"/>
      <c r="W553" s="177"/>
      <c r="X553" s="177"/>
      <c r="Y553" s="177"/>
      <c r="Z553" s="177"/>
      <c r="AA553" s="177"/>
      <c r="AB553" s="177"/>
      <c r="AC553" s="177"/>
    </row>
    <row r="554" spans="2:29">
      <c r="B554" s="158" t="str">
        <f>IF(OR(LEFT(Commodities!B$74,1)="*",LEFT(Technologies!B$531,1)="*"),"*","R1")</f>
        <v>*</v>
      </c>
      <c r="C554" s="158" t="e">
        <f>Technologies!C531</f>
        <v>#REF!</v>
      </c>
      <c r="D554" s="158" t="str">
        <f>Technologies!D531</f>
        <v>Delivery of Imported High Sulfur Residual Fuel Oil to Transportation Sector</v>
      </c>
      <c r="E554" s="197" t="str">
        <f>Commodities!C$74</f>
        <v>RFHP1</v>
      </c>
      <c r="F554" s="197" t="e">
        <f>Commodities!C244</f>
        <v>#REF!</v>
      </c>
      <c r="G554" s="204">
        <v>1</v>
      </c>
      <c r="H554" s="203" t="e">
        <f>#REF!*#REF!^5/(Conv!$I$5*Conv!$D$46)/10^6 +#REF!</f>
        <v>#REF!</v>
      </c>
      <c r="I554" s="203" t="e">
        <f>#REF!*#REF!^5/(Conv!$I$5*Conv!$D$46)/10^6 +#REF!</f>
        <v>#REF!</v>
      </c>
      <c r="J554" s="203" t="e">
        <f>#REF!*#REF!^5/(Conv!$I$5*Conv!$D$46)/10^6 +#REF!</f>
        <v>#REF!</v>
      </c>
      <c r="K554" s="203" t="e">
        <f>#REF!*#REF!^5/(Conv!$I$5*Conv!$D$46)/10^6 +#REF!</f>
        <v>#REF!</v>
      </c>
      <c r="L554" s="203" t="e">
        <f>#REF!*#REF!^5/(Conv!$I$5*Conv!$D$46)/10^6 +#REF!</f>
        <v>#REF!</v>
      </c>
      <c r="M554" s="203" t="e">
        <f>#REF!*#REF!^5/(Conv!$I$5*Conv!$D$46)/10^6 +#REF!</f>
        <v>#REF!</v>
      </c>
      <c r="N554" s="203" t="e">
        <f>#REF!*#REF!^5/(Conv!$I$5*Conv!$D$46)/10^6 +#REF!</f>
        <v>#REF!</v>
      </c>
      <c r="O554" s="203" t="e">
        <f>#REF!*#REF!^5/(Conv!$I$5*Conv!$D$46)/10^6 +#REF!</f>
        <v>#REF!</v>
      </c>
      <c r="P554" s="203" t="e">
        <f>#REF!*#REF!^5/(Conv!$I$5*Conv!$D$46)/10^6 +#REF!</f>
        <v>#REF!</v>
      </c>
      <c r="Q554" s="203" t="e">
        <f>#REF!*#REF!^5/(Conv!$I$5*Conv!$D$46)/10^6 +#REF!</f>
        <v>#REF!</v>
      </c>
      <c r="S554" s="177"/>
      <c r="T554" s="177"/>
      <c r="U554" s="177"/>
      <c r="V554" s="177"/>
      <c r="W554" s="177"/>
      <c r="X554" s="177"/>
      <c r="Y554" s="177"/>
      <c r="Z554" s="177"/>
      <c r="AA554" s="177"/>
      <c r="AB554" s="177"/>
      <c r="AC554" s="177"/>
    </row>
    <row r="555" spans="2:29">
      <c r="B555" s="158" t="str">
        <f>IF(OR(LEFT(Commodities!B$74,1)="*",LEFT(Technologies!B$532,1)="*"),"*","R1")</f>
        <v>*</v>
      </c>
      <c r="C555" s="158" t="e">
        <f>Technologies!C532</f>
        <v>#REF!</v>
      </c>
      <c r="D555" s="158" t="str">
        <f>Technologies!D532</f>
        <v>Delivery of Imported High Sulfur Residual Fuel Oil to Electricity Sector</v>
      </c>
      <c r="E555" s="197" t="str">
        <f>Commodities!C$74</f>
        <v>RFHP1</v>
      </c>
      <c r="F555" s="197" t="e">
        <f>Commodities!C245</f>
        <v>#REF!</v>
      </c>
      <c r="G555" s="204">
        <v>1</v>
      </c>
      <c r="H555" s="203" t="e">
        <f>#REF!*#REF!^5/(Conv!$I$5*Conv!$D$46)/10^6 +#REF!</f>
        <v>#REF!</v>
      </c>
      <c r="I555" s="203" t="e">
        <f>#REF!*#REF!^5/(Conv!$I$5*Conv!$D$46)/10^6 +#REF!</f>
        <v>#REF!</v>
      </c>
      <c r="J555" s="203" t="e">
        <f>#REF!*#REF!^5/(Conv!$I$5*Conv!$D$46)/10^6 +#REF!</f>
        <v>#REF!</v>
      </c>
      <c r="K555" s="203" t="e">
        <f>#REF!*#REF!^5/(Conv!$I$5*Conv!$D$46)/10^6 +#REF!</f>
        <v>#REF!</v>
      </c>
      <c r="L555" s="203" t="e">
        <f>#REF!*#REF!^5/(Conv!$I$5*Conv!$D$46)/10^6 +#REF!</f>
        <v>#REF!</v>
      </c>
      <c r="M555" s="203" t="e">
        <f>#REF!*#REF!^5/(Conv!$I$5*Conv!$D$46)/10^6 +#REF!</f>
        <v>#REF!</v>
      </c>
      <c r="N555" s="203" t="e">
        <f>#REF!*#REF!^5/(Conv!$I$5*Conv!$D$46)/10^6 +#REF!</f>
        <v>#REF!</v>
      </c>
      <c r="O555" s="203" t="e">
        <f>#REF!*#REF!^5/(Conv!$I$5*Conv!$D$46)/10^6 +#REF!</f>
        <v>#REF!</v>
      </c>
      <c r="P555" s="203" t="e">
        <f>#REF!*#REF!^5/(Conv!$I$5*Conv!$D$46)/10^6 +#REF!</f>
        <v>#REF!</v>
      </c>
      <c r="Q555" s="203" t="e">
        <f>#REF!*#REF!^5/(Conv!$I$5*Conv!$D$46)/10^6 +#REF!</f>
        <v>#REF!</v>
      </c>
      <c r="S555" s="177"/>
      <c r="T555" s="177"/>
      <c r="U555" s="177"/>
      <c r="V555" s="177"/>
      <c r="W555" s="177"/>
      <c r="X555" s="177"/>
      <c r="Y555" s="177"/>
      <c r="Z555" s="177"/>
      <c r="AA555" s="177"/>
      <c r="AB555" s="177"/>
      <c r="AC555" s="177"/>
    </row>
    <row r="556" spans="2:29">
      <c r="B556" s="160" t="s">
        <v>1031</v>
      </c>
      <c r="C556" s="160"/>
      <c r="D556" s="160"/>
      <c r="E556" s="196"/>
      <c r="F556" s="196"/>
      <c r="G556" s="200"/>
      <c r="H556" s="174"/>
      <c r="I556" s="174"/>
      <c r="J556" s="174"/>
      <c r="K556" s="174"/>
      <c r="L556" s="174"/>
      <c r="M556" s="174"/>
      <c r="N556" s="174"/>
      <c r="O556" s="174"/>
      <c r="P556" s="174"/>
      <c r="Q556" s="174"/>
      <c r="S556" s="177"/>
      <c r="T556" s="177"/>
      <c r="U556" s="177"/>
      <c r="V556" s="177"/>
      <c r="W556" s="177"/>
      <c r="X556" s="177"/>
      <c r="Y556" s="177"/>
      <c r="Z556" s="177"/>
      <c r="AA556" s="177"/>
      <c r="AB556" s="177"/>
      <c r="AC556" s="177"/>
    </row>
    <row r="557" spans="2:29">
      <c r="B557" s="158" t="str">
        <f>IF(LEFT(Technologies!B$509,1)="*","*","R2")</f>
        <v>R2</v>
      </c>
      <c r="C557" s="158" t="e">
        <f>Technologies!C509</f>
        <v>#REF!</v>
      </c>
      <c r="D557" s="158" t="str">
        <f>Technologies!D509</f>
        <v>Delivery of Imported Conventional Gasoline</v>
      </c>
      <c r="E557" s="197" t="str">
        <f>Commodities!C$67</f>
        <v>GSCP1</v>
      </c>
      <c r="F557" s="197" t="e">
        <f>Commodities!C222</f>
        <v>#REF!</v>
      </c>
      <c r="G557" s="204">
        <v>1</v>
      </c>
      <c r="H557" s="203" t="e">
        <f>#REF!*#REF!^5/(Conv!$I$5*Conv!$D$46)/10^6 +#REF!</f>
        <v>#REF!</v>
      </c>
      <c r="I557" s="203" t="e">
        <f>#REF!*#REF!^5/(Conv!$I$5*Conv!$D$46)/10^6 +#REF!</f>
        <v>#REF!</v>
      </c>
      <c r="J557" s="203" t="e">
        <f>#REF!*#REF!^5/(Conv!$I$5*Conv!$D$46)/10^6 +#REF!</f>
        <v>#REF!</v>
      </c>
      <c r="K557" s="203" t="e">
        <f>#REF!*#REF!^5/(Conv!$I$5*Conv!$D$46)/10^6 +#REF!</f>
        <v>#REF!</v>
      </c>
      <c r="L557" s="203" t="e">
        <f>#REF!*#REF!^5/(Conv!$I$5*Conv!$D$46)/10^6 +#REF!</f>
        <v>#REF!</v>
      </c>
      <c r="M557" s="203" t="e">
        <f>#REF!*#REF!^5/(Conv!$I$5*Conv!$D$46)/10^6 +#REF!</f>
        <v>#REF!</v>
      </c>
      <c r="N557" s="203" t="e">
        <f>#REF!*#REF!^5/(Conv!$I$5*Conv!$D$46)/10^6 +#REF!</f>
        <v>#REF!</v>
      </c>
      <c r="O557" s="203" t="e">
        <f>#REF!*#REF!^5/(Conv!$I$5*Conv!$D$46)/10^6 +#REF!</f>
        <v>#REF!</v>
      </c>
      <c r="P557" s="203" t="e">
        <f>#REF!*#REF!^5/(Conv!$I$5*Conv!$D$46)/10^6 +#REF!</f>
        <v>#REF!</v>
      </c>
      <c r="Q557" s="203" t="e">
        <f>#REF!*#REF!^5/(Conv!$I$5*Conv!$D$46)/10^6 +#REF!</f>
        <v>#REF!</v>
      </c>
      <c r="S557" s="177"/>
      <c r="T557" s="177"/>
      <c r="U557" s="177"/>
      <c r="V557" s="177"/>
      <c r="W557" s="177"/>
      <c r="X557" s="177"/>
      <c r="Y557" s="177"/>
      <c r="Z557" s="177"/>
      <c r="AA557" s="177"/>
      <c r="AB557" s="177"/>
      <c r="AC557" s="177"/>
    </row>
    <row r="558" spans="2:29">
      <c r="B558" s="158" t="str">
        <f>IF(LEFT(Technologies!B$510,1)="*","*","R2")</f>
        <v>R2</v>
      </c>
      <c r="C558" s="158" t="e">
        <f>Technologies!C510</f>
        <v>#REF!</v>
      </c>
      <c r="D558" s="158" t="str">
        <f>Technologies!D510</f>
        <v>Delivery of Imported Reformulated Gasoline</v>
      </c>
      <c r="E558" s="197" t="str">
        <f>Commodities!C$68</f>
        <v>GSRP1</v>
      </c>
      <c r="F558" s="197" t="e">
        <f>Commodities!C223</f>
        <v>#REF!</v>
      </c>
      <c r="G558" s="204">
        <v>1</v>
      </c>
      <c r="H558" s="203" t="e">
        <f>#REF!*#REF!^5/(Conv!$I$5*Conv!$D$46)/10^6 +#REF!</f>
        <v>#REF!</v>
      </c>
      <c r="I558" s="203" t="e">
        <f>#REF!*#REF!^5/(Conv!$I$5*Conv!$D$46)/10^6 +#REF!</f>
        <v>#REF!</v>
      </c>
      <c r="J558" s="203" t="e">
        <f>#REF!*#REF!^5/(Conv!$I$5*Conv!$D$46)/10^6 +#REF!</f>
        <v>#REF!</v>
      </c>
      <c r="K558" s="203" t="e">
        <f>#REF!*#REF!^5/(Conv!$I$5*Conv!$D$46)/10^6 +#REF!</f>
        <v>#REF!</v>
      </c>
      <c r="L558" s="203" t="e">
        <f>#REF!*#REF!^5/(Conv!$I$5*Conv!$D$46)/10^6 +#REF!</f>
        <v>#REF!</v>
      </c>
      <c r="M558" s="203" t="e">
        <f>#REF!*#REF!^5/(Conv!$I$5*Conv!$D$46)/10^6 +#REF!</f>
        <v>#REF!</v>
      </c>
      <c r="N558" s="203" t="e">
        <f>#REF!*#REF!^5/(Conv!$I$5*Conv!$D$46)/10^6 +#REF!</f>
        <v>#REF!</v>
      </c>
      <c r="O558" s="203" t="e">
        <f>#REF!*#REF!^5/(Conv!$I$5*Conv!$D$46)/10^6 +#REF!</f>
        <v>#REF!</v>
      </c>
      <c r="P558" s="203" t="e">
        <f>#REF!*#REF!^5/(Conv!$I$5*Conv!$D$46)/10^6 +#REF!</f>
        <v>#REF!</v>
      </c>
      <c r="Q558" s="203" t="e">
        <f>#REF!*#REF!^5/(Conv!$I$5*Conv!$D$46)/10^6 +#REF!</f>
        <v>#REF!</v>
      </c>
      <c r="S558" s="177"/>
      <c r="T558" s="177"/>
      <c r="U558" s="177"/>
      <c r="V558" s="177"/>
      <c r="W558" s="177"/>
      <c r="X558" s="177"/>
      <c r="Y558" s="177"/>
      <c r="Z558" s="177"/>
      <c r="AA558" s="177"/>
      <c r="AB558" s="177"/>
      <c r="AC558" s="177"/>
    </row>
    <row r="559" spans="2:29">
      <c r="B559" s="158" t="str">
        <f>IF(OR(LEFT(Commodities!B$64,1)="*",LEFT(Technologies!B$511,1)="*"),"*","R2")</f>
        <v>R2</v>
      </c>
      <c r="C559" s="158" t="e">
        <f>Technologies!C511</f>
        <v>#REF!</v>
      </c>
      <c r="D559" s="158" t="str">
        <f>Technologies!D511</f>
        <v>Delivery of Imported Distillate-Heating Oil No. 2 to the Residential Sector</v>
      </c>
      <c r="E559" s="197" t="str">
        <f>Commodities!C$64</f>
        <v>DSHP1</v>
      </c>
      <c r="F559" s="197" t="e">
        <f>Commodities!C224</f>
        <v>#REF!</v>
      </c>
      <c r="G559" s="204">
        <v>1</v>
      </c>
      <c r="H559" s="203" t="e">
        <f>#REF!*#REF!^5/(Conv!$I$5*Conv!$D$46)/10^6 +#REF!</f>
        <v>#REF!</v>
      </c>
      <c r="I559" s="203" t="e">
        <f>#REF!*#REF!^5/(Conv!$I$5*Conv!$D$46)/10^6 +#REF!</f>
        <v>#REF!</v>
      </c>
      <c r="J559" s="203" t="e">
        <f>#REF!*#REF!^5/(Conv!$I$5*Conv!$D$46)/10^6 +#REF!</f>
        <v>#REF!</v>
      </c>
      <c r="K559" s="203" t="e">
        <f>#REF!*#REF!^5/(Conv!$I$5*Conv!$D$46)/10^6 +#REF!</f>
        <v>#REF!</v>
      </c>
      <c r="L559" s="203" t="e">
        <f>#REF!*#REF!^5/(Conv!$I$5*Conv!$D$46)/10^6 +#REF!</f>
        <v>#REF!</v>
      </c>
      <c r="M559" s="203" t="e">
        <f>#REF!*#REF!^5/(Conv!$I$5*Conv!$D$46)/10^6 +#REF!</f>
        <v>#REF!</v>
      </c>
      <c r="N559" s="203" t="e">
        <f>#REF!*#REF!^5/(Conv!$I$5*Conv!$D$46)/10^6 +#REF!</f>
        <v>#REF!</v>
      </c>
      <c r="O559" s="203" t="e">
        <f>#REF!*#REF!^5/(Conv!$I$5*Conv!$D$46)/10^6 +#REF!</f>
        <v>#REF!</v>
      </c>
      <c r="P559" s="203" t="e">
        <f>#REF!*#REF!^5/(Conv!$I$5*Conv!$D$46)/10^6 +#REF!</f>
        <v>#REF!</v>
      </c>
      <c r="Q559" s="203" t="e">
        <f>#REF!*#REF!^5/(Conv!$I$5*Conv!$D$46)/10^6 +#REF!</f>
        <v>#REF!</v>
      </c>
      <c r="S559" s="177"/>
      <c r="T559" s="177"/>
      <c r="U559" s="177"/>
      <c r="V559" s="177"/>
      <c r="W559" s="177"/>
      <c r="X559" s="177"/>
      <c r="Y559" s="177"/>
      <c r="Z559" s="177"/>
      <c r="AA559" s="177"/>
      <c r="AB559" s="177"/>
      <c r="AC559" s="177"/>
    </row>
    <row r="560" spans="2:29">
      <c r="B560" s="158" t="str">
        <f>IF(OR(LEFT(Commodities!B$64,1)="*",LEFT(Technologies!B$512,1)="*"),"*","R2")</f>
        <v>R2</v>
      </c>
      <c r="C560" s="158" t="e">
        <f>Technologies!C512</f>
        <v>#REF!</v>
      </c>
      <c r="D560" s="158" t="str">
        <f>Technologies!D512</f>
        <v>Delivery of Imported Distillate-Heating Oil No. 2 to the Commercial Sector</v>
      </c>
      <c r="E560" s="197" t="str">
        <f>Commodities!C$64</f>
        <v>DSHP1</v>
      </c>
      <c r="F560" s="197" t="e">
        <f>Commodities!C225</f>
        <v>#REF!</v>
      </c>
      <c r="G560" s="204">
        <v>1</v>
      </c>
      <c r="H560" s="203" t="e">
        <f>#REF!*#REF!^5/(Conv!$I$5*Conv!$D$46)/10^6 +#REF!</f>
        <v>#REF!</v>
      </c>
      <c r="I560" s="203" t="e">
        <f>#REF!*#REF!^5/(Conv!$I$5*Conv!$D$46)/10^6 +#REF!</f>
        <v>#REF!</v>
      </c>
      <c r="J560" s="203" t="e">
        <f>#REF!*#REF!^5/(Conv!$I$5*Conv!$D$46)/10^6 +#REF!</f>
        <v>#REF!</v>
      </c>
      <c r="K560" s="203" t="e">
        <f>#REF!*#REF!^5/(Conv!$I$5*Conv!$D$46)/10^6 +#REF!</f>
        <v>#REF!</v>
      </c>
      <c r="L560" s="203" t="e">
        <f>#REF!*#REF!^5/(Conv!$I$5*Conv!$D$46)/10^6 +#REF!</f>
        <v>#REF!</v>
      </c>
      <c r="M560" s="203" t="e">
        <f>#REF!*#REF!^5/(Conv!$I$5*Conv!$D$46)/10^6 +#REF!</f>
        <v>#REF!</v>
      </c>
      <c r="N560" s="203" t="e">
        <f>#REF!*#REF!^5/(Conv!$I$5*Conv!$D$46)/10^6 +#REF!</f>
        <v>#REF!</v>
      </c>
      <c r="O560" s="203" t="e">
        <f>#REF!*#REF!^5/(Conv!$I$5*Conv!$D$46)/10^6 +#REF!</f>
        <v>#REF!</v>
      </c>
      <c r="P560" s="203" t="e">
        <f>#REF!*#REF!^5/(Conv!$I$5*Conv!$D$46)/10^6 +#REF!</f>
        <v>#REF!</v>
      </c>
      <c r="Q560" s="203" t="e">
        <f>#REF!*#REF!^5/(Conv!$I$5*Conv!$D$46)/10^6 +#REF!</f>
        <v>#REF!</v>
      </c>
      <c r="S560" s="177"/>
      <c r="T560" s="177"/>
      <c r="U560" s="177"/>
      <c r="V560" s="177"/>
      <c r="W560" s="177"/>
      <c r="X560" s="177"/>
      <c r="Y560" s="177"/>
      <c r="Z560" s="177"/>
      <c r="AA560" s="177"/>
      <c r="AB560" s="177"/>
      <c r="AC560" s="177"/>
    </row>
    <row r="561" spans="2:29">
      <c r="B561" s="158" t="str">
        <f>IF(OR(LEFT(Commodities!B$64,1)="*",LEFT(Technologies!B$513,1)="*"),"*","R2")</f>
        <v>*</v>
      </c>
      <c r="C561" s="158" t="e">
        <f>Technologies!C513</f>
        <v>#REF!</v>
      </c>
      <c r="D561" s="158" t="str">
        <f>Technologies!D513</f>
        <v>Delivery of Imported Distillate-Heating Oil No. 2 to the Indistrial Sector</v>
      </c>
      <c r="E561" s="197" t="str">
        <f>Commodities!C$64</f>
        <v>DSHP1</v>
      </c>
      <c r="F561" s="197" t="e">
        <f>Commodities!C226</f>
        <v>#REF!</v>
      </c>
      <c r="G561" s="204">
        <v>1</v>
      </c>
      <c r="H561" s="203" t="e">
        <f>#REF!*#REF!^5/(Conv!$I$5*Conv!$D$46)/10^6 +#REF!</f>
        <v>#REF!</v>
      </c>
      <c r="I561" s="203" t="e">
        <f>#REF!*#REF!^5/(Conv!$I$5*Conv!$D$46)/10^6 +#REF!</f>
        <v>#REF!</v>
      </c>
      <c r="J561" s="203" t="e">
        <f>#REF!*#REF!^5/(Conv!$I$5*Conv!$D$46)/10^6 +#REF!</f>
        <v>#REF!</v>
      </c>
      <c r="K561" s="203" t="e">
        <f>#REF!*#REF!^5/(Conv!$I$5*Conv!$D$46)/10^6 +#REF!</f>
        <v>#REF!</v>
      </c>
      <c r="L561" s="203" t="e">
        <f>#REF!*#REF!^5/(Conv!$I$5*Conv!$D$46)/10^6 +#REF!</f>
        <v>#REF!</v>
      </c>
      <c r="M561" s="203" t="e">
        <f>#REF!*#REF!^5/(Conv!$I$5*Conv!$D$46)/10^6 +#REF!</f>
        <v>#REF!</v>
      </c>
      <c r="N561" s="203" t="e">
        <f>#REF!*#REF!^5/(Conv!$I$5*Conv!$D$46)/10^6 +#REF!</f>
        <v>#REF!</v>
      </c>
      <c r="O561" s="203" t="e">
        <f>#REF!*#REF!^5/(Conv!$I$5*Conv!$D$46)/10^6 +#REF!</f>
        <v>#REF!</v>
      </c>
      <c r="P561" s="203" t="e">
        <f>#REF!*#REF!^5/(Conv!$I$5*Conv!$D$46)/10^6 +#REF!</f>
        <v>#REF!</v>
      </c>
      <c r="Q561" s="203" t="e">
        <f>#REF!*#REF!^5/(Conv!$I$5*Conv!$D$46)/10^6 +#REF!</f>
        <v>#REF!</v>
      </c>
      <c r="S561" s="177"/>
      <c r="T561" s="177"/>
      <c r="U561" s="177"/>
      <c r="V561" s="177"/>
      <c r="W561" s="177"/>
      <c r="X561" s="177"/>
      <c r="Y561" s="177"/>
      <c r="Z561" s="177"/>
      <c r="AA561" s="177"/>
      <c r="AB561" s="177"/>
      <c r="AC561" s="177"/>
    </row>
    <row r="562" spans="2:29">
      <c r="B562" s="158" t="str">
        <f>IF(OR(LEFT(Commodities!B$64,1)="*",LEFT(Technologies!B$514,1)="*"),"*","R2")</f>
        <v>R2</v>
      </c>
      <c r="C562" s="158" t="e">
        <f>Technologies!C514</f>
        <v>#REF!</v>
      </c>
      <c r="D562" s="158" t="str">
        <f>Technologies!D514</f>
        <v>Delivery of Imported Distillate-Heating Oil No. 2 to the Electricity Sector</v>
      </c>
      <c r="E562" s="197" t="str">
        <f>Commodities!C$64</f>
        <v>DSHP1</v>
      </c>
      <c r="F562" s="197" t="e">
        <f>Commodities!C227</f>
        <v>#REF!</v>
      </c>
      <c r="G562" s="204">
        <v>1</v>
      </c>
      <c r="H562" s="203" t="e">
        <f>#REF!*#REF!^5/(Conv!$I$5*Conv!$D$46)/10^6 +#REF!</f>
        <v>#REF!</v>
      </c>
      <c r="I562" s="203" t="e">
        <f>#REF!*#REF!^5/(Conv!$I$5*Conv!$D$46)/10^6 +#REF!</f>
        <v>#REF!</v>
      </c>
      <c r="J562" s="203" t="e">
        <f>#REF!*#REF!^5/(Conv!$I$5*Conv!$D$46)/10^6 +#REF!</f>
        <v>#REF!</v>
      </c>
      <c r="K562" s="203" t="e">
        <f>#REF!*#REF!^5/(Conv!$I$5*Conv!$D$46)/10^6 +#REF!</f>
        <v>#REF!</v>
      </c>
      <c r="L562" s="203" t="e">
        <f>#REF!*#REF!^5/(Conv!$I$5*Conv!$D$46)/10^6 +#REF!</f>
        <v>#REF!</v>
      </c>
      <c r="M562" s="203" t="e">
        <f>#REF!*#REF!^5/(Conv!$I$5*Conv!$D$46)/10^6 +#REF!</f>
        <v>#REF!</v>
      </c>
      <c r="N562" s="203" t="e">
        <f>#REF!*#REF!^5/(Conv!$I$5*Conv!$D$46)/10^6 +#REF!</f>
        <v>#REF!</v>
      </c>
      <c r="O562" s="203" t="e">
        <f>#REF!*#REF!^5/(Conv!$I$5*Conv!$D$46)/10^6 +#REF!</f>
        <v>#REF!</v>
      </c>
      <c r="P562" s="203" t="e">
        <f>#REF!*#REF!^5/(Conv!$I$5*Conv!$D$46)/10^6 +#REF!</f>
        <v>#REF!</v>
      </c>
      <c r="Q562" s="203" t="e">
        <f>#REF!*#REF!^5/(Conv!$I$5*Conv!$D$46)/10^6 +#REF!</f>
        <v>#REF!</v>
      </c>
      <c r="S562" s="177"/>
      <c r="T562" s="177"/>
      <c r="U562" s="177"/>
      <c r="V562" s="177"/>
      <c r="W562" s="177"/>
      <c r="X562" s="177"/>
      <c r="Y562" s="177"/>
      <c r="Z562" s="177"/>
      <c r="AA562" s="177"/>
      <c r="AB562" s="177"/>
      <c r="AC562" s="177"/>
    </row>
    <row r="563" spans="2:29">
      <c r="B563" s="158" t="str">
        <f>IF(OR(LEFT(Commodities!B$65,1)="*",LEFT(Technologies!B$515,1)="*"),"*","R2")</f>
        <v>R2</v>
      </c>
      <c r="C563" s="158" t="e">
        <f>Technologies!C515</f>
        <v>#REF!</v>
      </c>
      <c r="D563" s="158" t="str">
        <f>Technologies!D515</f>
        <v>Delivery of Imported Distillate-Low Sulfur Highway Diesel (500 ppm)</v>
      </c>
      <c r="E563" s="197" t="str">
        <f>Commodities!C$65</f>
        <v>DSLP1</v>
      </c>
      <c r="F563" s="197" t="e">
        <f>Commodities!C228</f>
        <v>#REF!</v>
      </c>
      <c r="G563" s="204">
        <v>1</v>
      </c>
      <c r="H563" s="203" t="e">
        <f>#REF!*#REF!^5/(Conv!$I$5*Conv!$D$46)/10^6 +#REF!</f>
        <v>#REF!</v>
      </c>
      <c r="I563" s="203" t="e">
        <f>#REF!*#REF!^5/(Conv!$I$5*Conv!$D$46)/10^6 +#REF!</f>
        <v>#REF!</v>
      </c>
      <c r="J563" s="203" t="e">
        <f>#REF!*#REF!^5/(Conv!$I$5*Conv!$D$46)/10^6 +#REF!</f>
        <v>#REF!</v>
      </c>
      <c r="K563" s="203" t="e">
        <f>#REF!*#REF!^5/(Conv!$I$5*Conv!$D$46)/10^6 +#REF!</f>
        <v>#REF!</v>
      </c>
      <c r="L563" s="203" t="e">
        <f>#REF!*#REF!^5/(Conv!$I$5*Conv!$D$46)/10^6 +#REF!</f>
        <v>#REF!</v>
      </c>
      <c r="M563" s="203" t="e">
        <f>#REF!*#REF!^5/(Conv!$I$5*Conv!$D$46)/10^6 +#REF!</f>
        <v>#REF!</v>
      </c>
      <c r="N563" s="203" t="e">
        <f>#REF!*#REF!^5/(Conv!$I$5*Conv!$D$46)/10^6 +#REF!</f>
        <v>#REF!</v>
      </c>
      <c r="O563" s="203" t="e">
        <f>#REF!*#REF!^5/(Conv!$I$5*Conv!$D$46)/10^6 +#REF!</f>
        <v>#REF!</v>
      </c>
      <c r="P563" s="203" t="e">
        <f>#REF!*#REF!^5/(Conv!$I$5*Conv!$D$46)/10^6 +#REF!</f>
        <v>#REF!</v>
      </c>
      <c r="Q563" s="203" t="e">
        <f>#REF!*#REF!^5/(Conv!$I$5*Conv!$D$46)/10^6 +#REF!</f>
        <v>#REF!</v>
      </c>
      <c r="S563" s="177"/>
      <c r="T563" s="177"/>
      <c r="U563" s="177"/>
      <c r="V563" s="177"/>
      <c r="W563" s="177"/>
      <c r="X563" s="177"/>
      <c r="Y563" s="177"/>
      <c r="Z563" s="177"/>
      <c r="AA563" s="177"/>
      <c r="AB563" s="177"/>
      <c r="AC563" s="177"/>
    </row>
    <row r="564" spans="2:29">
      <c r="B564" s="158" t="str">
        <f>IF(OR(LEFT(Commodities!B$66,1)="*",LEFT(Technologies!B$516,1)="*"),"*","R2")</f>
        <v>R2</v>
      </c>
      <c r="C564" s="158" t="e">
        <f>Technologies!C516</f>
        <v>#REF!</v>
      </c>
      <c r="D564" s="158" t="str">
        <f>Technologies!D516</f>
        <v>Delivery of Imported Distillate-Ultralow Sulfur Highway Diesel (15 ppm)</v>
      </c>
      <c r="E564" s="197" t="str">
        <f>Commodities!C$66</f>
        <v>DSUP1</v>
      </c>
      <c r="F564" s="197" t="e">
        <f>Commodities!C229</f>
        <v>#REF!</v>
      </c>
      <c r="G564" s="204">
        <v>1</v>
      </c>
      <c r="H564" s="203" t="e">
        <f>#REF!*#REF!^5/(Conv!$I$5*Conv!$D$46)/10^6 +#REF!</f>
        <v>#REF!</v>
      </c>
      <c r="I564" s="203" t="e">
        <f>#REF!*#REF!^5/(Conv!$I$5*Conv!$D$46)/10^6 +#REF!</f>
        <v>#REF!</v>
      </c>
      <c r="J564" s="203" t="e">
        <f>#REF!*#REF!^5/(Conv!$I$5*Conv!$D$46)/10^6 +#REF!</f>
        <v>#REF!</v>
      </c>
      <c r="K564" s="203" t="e">
        <f>#REF!*#REF!^5/(Conv!$I$5*Conv!$D$46)/10^6 +#REF!</f>
        <v>#REF!</v>
      </c>
      <c r="L564" s="203" t="e">
        <f>#REF!*#REF!^5/(Conv!$I$5*Conv!$D$46)/10^6 +#REF!</f>
        <v>#REF!</v>
      </c>
      <c r="M564" s="203" t="e">
        <f>#REF!*#REF!^5/(Conv!$I$5*Conv!$D$46)/10^6 +#REF!</f>
        <v>#REF!</v>
      </c>
      <c r="N564" s="203" t="e">
        <f>#REF!*#REF!^5/(Conv!$I$5*Conv!$D$46)/10^6 +#REF!</f>
        <v>#REF!</v>
      </c>
      <c r="O564" s="203" t="e">
        <f>#REF!*#REF!^5/(Conv!$I$5*Conv!$D$46)/10^6 +#REF!</f>
        <v>#REF!</v>
      </c>
      <c r="P564" s="203" t="e">
        <f>#REF!*#REF!^5/(Conv!$I$5*Conv!$D$46)/10^6 +#REF!</f>
        <v>#REF!</v>
      </c>
      <c r="Q564" s="203" t="e">
        <f>#REF!*#REF!^5/(Conv!$I$5*Conv!$D$46)/10^6 +#REF!</f>
        <v>#REF!</v>
      </c>
      <c r="S564" s="177"/>
      <c r="T564" s="177"/>
      <c r="U564" s="177"/>
      <c r="V564" s="177"/>
      <c r="W564" s="177"/>
      <c r="X564" s="177"/>
      <c r="Y564" s="177"/>
      <c r="Z564" s="177"/>
      <c r="AA564" s="177"/>
      <c r="AB564" s="177"/>
      <c r="AC564" s="177"/>
    </row>
    <row r="565" spans="2:29">
      <c r="B565" s="158" t="str">
        <f>IF(OR(LEFT(Commodities!B$69,1)="*",LEFT(Technologies!B$517,1)="*"),"*","R2")</f>
        <v>*</v>
      </c>
      <c r="C565" s="158" t="e">
        <f>Technologies!C517</f>
        <v>#REF!</v>
      </c>
      <c r="D565" s="158" t="str">
        <f>Technologies!D517</f>
        <v>Delivery of Imported Jet Fuel</v>
      </c>
      <c r="E565" s="197" t="str">
        <f>Commodities!C$69</f>
        <v>JTFP1</v>
      </c>
      <c r="F565" s="197" t="e">
        <f>Commodities!C230</f>
        <v>#REF!</v>
      </c>
      <c r="G565" s="204">
        <v>1</v>
      </c>
      <c r="H565" s="203" t="e">
        <f>#REF!*#REF!^5/(Conv!$I$5*Conv!$D$46)/10^6 +#REF!</f>
        <v>#REF!</v>
      </c>
      <c r="I565" s="203" t="e">
        <f>#REF!*#REF!^5/(Conv!$I$5*Conv!$D$46)/10^6 +#REF!</f>
        <v>#REF!</v>
      </c>
      <c r="J565" s="203" t="e">
        <f>#REF!*#REF!^5/(Conv!$I$5*Conv!$D$46)/10^6 +#REF!</f>
        <v>#REF!</v>
      </c>
      <c r="K565" s="203" t="e">
        <f>#REF!*#REF!^5/(Conv!$I$5*Conv!$D$46)/10^6 +#REF!</f>
        <v>#REF!</v>
      </c>
      <c r="L565" s="203" t="e">
        <f>#REF!*#REF!^5/(Conv!$I$5*Conv!$D$46)/10^6 +#REF!</f>
        <v>#REF!</v>
      </c>
      <c r="M565" s="203" t="e">
        <f>#REF!*#REF!^5/(Conv!$I$5*Conv!$D$46)/10^6 +#REF!</f>
        <v>#REF!</v>
      </c>
      <c r="N565" s="203" t="e">
        <f>#REF!*#REF!^5/(Conv!$I$5*Conv!$D$46)/10^6 +#REF!</f>
        <v>#REF!</v>
      </c>
      <c r="O565" s="203" t="e">
        <f>#REF!*#REF!^5/(Conv!$I$5*Conv!$D$46)/10^6 +#REF!</f>
        <v>#REF!</v>
      </c>
      <c r="P565" s="203" t="e">
        <f>#REF!*#REF!^5/(Conv!$I$5*Conv!$D$46)/10^6 +#REF!</f>
        <v>#REF!</v>
      </c>
      <c r="Q565" s="203" t="e">
        <f>#REF!*#REF!^5/(Conv!$I$5*Conv!$D$46)/10^6 +#REF!</f>
        <v>#REF!</v>
      </c>
      <c r="S565" s="177"/>
      <c r="T565" s="177"/>
      <c r="U565" s="177"/>
      <c r="V565" s="177"/>
      <c r="W565" s="177"/>
      <c r="X565" s="177"/>
      <c r="Y565" s="177"/>
      <c r="Z565" s="177"/>
      <c r="AA565" s="177"/>
      <c r="AB565" s="177"/>
      <c r="AC565" s="177"/>
    </row>
    <row r="566" spans="2:29">
      <c r="B566" s="158" t="str">
        <f>IF(OR(LEFT(Commodities!B$70,1)="*",LEFT(Technologies!B$518,1)="*"),"*","R2")</f>
        <v>*</v>
      </c>
      <c r="C566" s="158" t="e">
        <f>Technologies!C518</f>
        <v>#REF!</v>
      </c>
      <c r="D566" s="158" t="str">
        <f>Technologies!D518</f>
        <v>Delivery of Imported Kerosene and Other Refined Products to the Residential Sector</v>
      </c>
      <c r="E566" s="197" t="str">
        <f>Commodities!C$70</f>
        <v>KERP1</v>
      </c>
      <c r="F566" s="197" t="e">
        <f>Commodities!C231</f>
        <v>#REF!</v>
      </c>
      <c r="G566" s="204">
        <v>1</v>
      </c>
      <c r="H566" s="203" t="e">
        <f>#REF!*#REF!^5/(Conv!$I$5*Conv!$D$46)/10^6 +#REF!</f>
        <v>#REF!</v>
      </c>
      <c r="I566" s="203" t="e">
        <f>#REF!*#REF!^5/(Conv!$I$5*Conv!$D$46)/10^6 +#REF!</f>
        <v>#REF!</v>
      </c>
      <c r="J566" s="203" t="e">
        <f>#REF!*#REF!^5/(Conv!$I$5*Conv!$D$46)/10^6 +#REF!</f>
        <v>#REF!</v>
      </c>
      <c r="K566" s="203" t="e">
        <f>#REF!*#REF!^5/(Conv!$I$5*Conv!$D$46)/10^6 +#REF!</f>
        <v>#REF!</v>
      </c>
      <c r="L566" s="203" t="e">
        <f>#REF!*#REF!^5/(Conv!$I$5*Conv!$D$46)/10^6 +#REF!</f>
        <v>#REF!</v>
      </c>
      <c r="M566" s="203" t="e">
        <f>#REF!*#REF!^5/(Conv!$I$5*Conv!$D$46)/10^6 +#REF!</f>
        <v>#REF!</v>
      </c>
      <c r="N566" s="203" t="e">
        <f>#REF!*#REF!^5/(Conv!$I$5*Conv!$D$46)/10^6 +#REF!</f>
        <v>#REF!</v>
      </c>
      <c r="O566" s="203" t="e">
        <f>#REF!*#REF!^5/(Conv!$I$5*Conv!$D$46)/10^6 +#REF!</f>
        <v>#REF!</v>
      </c>
      <c r="P566" s="203" t="e">
        <f>#REF!*#REF!^5/(Conv!$I$5*Conv!$D$46)/10^6 +#REF!</f>
        <v>#REF!</v>
      </c>
      <c r="Q566" s="203" t="e">
        <f>#REF!*#REF!^5/(Conv!$I$5*Conv!$D$46)/10^6 +#REF!</f>
        <v>#REF!</v>
      </c>
      <c r="S566" s="177"/>
      <c r="T566" s="177"/>
      <c r="U566" s="177"/>
      <c r="V566" s="177"/>
      <c r="W566" s="177"/>
      <c r="X566" s="177"/>
      <c r="Y566" s="177"/>
      <c r="Z566" s="177"/>
      <c r="AA566" s="177"/>
      <c r="AB566" s="177"/>
      <c r="AC566" s="177"/>
    </row>
    <row r="567" spans="2:29">
      <c r="B567" s="158" t="str">
        <f>IF(OR(LEFT(Commodities!B$70,1)="*",LEFT(Technologies!B$519,1)="*"),"*","R2")</f>
        <v>*</v>
      </c>
      <c r="C567" s="158" t="e">
        <f>Technologies!C519</f>
        <v>#REF!</v>
      </c>
      <c r="D567" s="158" t="str">
        <f>Technologies!D519</f>
        <v>Delivery of Imported Kerosene and Other Refined Products to the Commercial Sector</v>
      </c>
      <c r="E567" s="197" t="str">
        <f>Commodities!C$70</f>
        <v>KERP1</v>
      </c>
      <c r="F567" s="197" t="e">
        <f>Commodities!C232</f>
        <v>#REF!</v>
      </c>
      <c r="G567" s="204">
        <v>1</v>
      </c>
      <c r="H567" s="203" t="e">
        <f>#REF!*#REF!^5/(Conv!$I$5*Conv!$D$46)/10^6 +#REF!</f>
        <v>#REF!</v>
      </c>
      <c r="I567" s="203" t="e">
        <f>#REF!*#REF!^5/(Conv!$I$5*Conv!$D$46)/10^6 +#REF!</f>
        <v>#REF!</v>
      </c>
      <c r="J567" s="203" t="e">
        <f>#REF!*#REF!^5/(Conv!$I$5*Conv!$D$46)/10^6 +#REF!</f>
        <v>#REF!</v>
      </c>
      <c r="K567" s="203" t="e">
        <f>#REF!*#REF!^5/(Conv!$I$5*Conv!$D$46)/10^6 +#REF!</f>
        <v>#REF!</v>
      </c>
      <c r="L567" s="203" t="e">
        <f>#REF!*#REF!^5/(Conv!$I$5*Conv!$D$46)/10^6 +#REF!</f>
        <v>#REF!</v>
      </c>
      <c r="M567" s="203" t="e">
        <f>#REF!*#REF!^5/(Conv!$I$5*Conv!$D$46)/10^6 +#REF!</f>
        <v>#REF!</v>
      </c>
      <c r="N567" s="203" t="e">
        <f>#REF!*#REF!^5/(Conv!$I$5*Conv!$D$46)/10^6 +#REF!</f>
        <v>#REF!</v>
      </c>
      <c r="O567" s="203" t="e">
        <f>#REF!*#REF!^5/(Conv!$I$5*Conv!$D$46)/10^6 +#REF!</f>
        <v>#REF!</v>
      </c>
      <c r="P567" s="203" t="e">
        <f>#REF!*#REF!^5/(Conv!$I$5*Conv!$D$46)/10^6 +#REF!</f>
        <v>#REF!</v>
      </c>
      <c r="Q567" s="203" t="e">
        <f>#REF!*#REF!^5/(Conv!$I$5*Conv!$D$46)/10^6 +#REF!</f>
        <v>#REF!</v>
      </c>
      <c r="S567" s="177"/>
      <c r="T567" s="177"/>
      <c r="U567" s="177"/>
      <c r="V567" s="177"/>
      <c r="W567" s="177"/>
      <c r="X567" s="177"/>
      <c r="Y567" s="177"/>
      <c r="Z567" s="177"/>
      <c r="AA567" s="177"/>
      <c r="AB567" s="177"/>
      <c r="AC567" s="177"/>
    </row>
    <row r="568" spans="2:29">
      <c r="B568" s="158" t="str">
        <f>IF(OR(LEFT(Commodities!B$70,1)="*",LEFT(Technologies!B$520,1)="*"),"*","R2")</f>
        <v>*</v>
      </c>
      <c r="C568" s="158" t="e">
        <f>Technologies!C520</f>
        <v>#REF!</v>
      </c>
      <c r="D568" s="158" t="str">
        <f>Technologies!D520</f>
        <v>Delivery of Imported Kerosene and Other Refined Products to the Industrial Sector</v>
      </c>
      <c r="E568" s="197" t="str">
        <f>Commodities!C$70</f>
        <v>KERP1</v>
      </c>
      <c r="F568" s="197" t="e">
        <f>Commodities!C233</f>
        <v>#REF!</v>
      </c>
      <c r="G568" s="204">
        <v>1</v>
      </c>
      <c r="H568" s="203" t="e">
        <f>#REF!*#REF!^5/(Conv!$I$5*Conv!$D$46)/10^6 +#REF!</f>
        <v>#REF!</v>
      </c>
      <c r="I568" s="203" t="e">
        <f>#REF!*#REF!^5/(Conv!$I$5*Conv!$D$46)/10^6 +#REF!</f>
        <v>#REF!</v>
      </c>
      <c r="J568" s="203" t="e">
        <f>#REF!*#REF!^5/(Conv!$I$5*Conv!$D$46)/10^6 +#REF!</f>
        <v>#REF!</v>
      </c>
      <c r="K568" s="203" t="e">
        <f>#REF!*#REF!^5/(Conv!$I$5*Conv!$D$46)/10^6 +#REF!</f>
        <v>#REF!</v>
      </c>
      <c r="L568" s="203" t="e">
        <f>#REF!*#REF!^5/(Conv!$I$5*Conv!$D$46)/10^6 +#REF!</f>
        <v>#REF!</v>
      </c>
      <c r="M568" s="203" t="e">
        <f>#REF!*#REF!^5/(Conv!$I$5*Conv!$D$46)/10^6 +#REF!</f>
        <v>#REF!</v>
      </c>
      <c r="N568" s="203" t="e">
        <f>#REF!*#REF!^5/(Conv!$I$5*Conv!$D$46)/10^6 +#REF!</f>
        <v>#REF!</v>
      </c>
      <c r="O568" s="203" t="e">
        <f>#REF!*#REF!^5/(Conv!$I$5*Conv!$D$46)/10^6 +#REF!</f>
        <v>#REF!</v>
      </c>
      <c r="P568" s="203" t="e">
        <f>#REF!*#REF!^5/(Conv!$I$5*Conv!$D$46)/10^6 +#REF!</f>
        <v>#REF!</v>
      </c>
      <c r="Q568" s="203" t="e">
        <f>#REF!*#REF!^5/(Conv!$I$5*Conv!$D$46)/10^6 +#REF!</f>
        <v>#REF!</v>
      </c>
      <c r="S568" s="177"/>
      <c r="T568" s="177"/>
      <c r="U568" s="177"/>
      <c r="V568" s="177"/>
      <c r="W568" s="177"/>
      <c r="X568" s="177"/>
      <c r="Y568" s="177"/>
      <c r="Z568" s="177"/>
      <c r="AA568" s="177"/>
      <c r="AB568" s="177"/>
      <c r="AC568" s="177"/>
    </row>
    <row r="569" spans="2:29">
      <c r="B569" s="158" t="str">
        <f>IF(OR(LEFT(Commodities!B$71,1)="*",LEFT(Technologies!B$521,1)="*"),"*","R2")</f>
        <v>*</v>
      </c>
      <c r="C569" s="158" t="e">
        <f>Technologies!C521</f>
        <v>#REF!</v>
      </c>
      <c r="D569" s="158" t="str">
        <f>Technologies!D521</f>
        <v>Delivery of Imported LPG to the Residential Sector</v>
      </c>
      <c r="E569" s="197" t="str">
        <f>Commodities!C$71</f>
        <v>LPGP1</v>
      </c>
      <c r="F569" s="197" t="e">
        <f>Commodities!C234</f>
        <v>#REF!</v>
      </c>
      <c r="G569" s="204">
        <v>1</v>
      </c>
      <c r="H569" s="203" t="e">
        <f>#REF!*#REF!^5/(Conv!$I$5*Conv!$D$46)/10^6 +#REF!</f>
        <v>#REF!</v>
      </c>
      <c r="I569" s="203" t="e">
        <f>#REF!*#REF!^5/(Conv!$I$5*Conv!$D$46)/10^6 +#REF!</f>
        <v>#REF!</v>
      </c>
      <c r="J569" s="203" t="e">
        <f>#REF!*#REF!^5/(Conv!$I$5*Conv!$D$46)/10^6 +#REF!</f>
        <v>#REF!</v>
      </c>
      <c r="K569" s="203" t="e">
        <f>#REF!*#REF!^5/(Conv!$I$5*Conv!$D$46)/10^6 +#REF!</f>
        <v>#REF!</v>
      </c>
      <c r="L569" s="203" t="e">
        <f>#REF!*#REF!^5/(Conv!$I$5*Conv!$D$46)/10^6 +#REF!</f>
        <v>#REF!</v>
      </c>
      <c r="M569" s="203" t="e">
        <f>#REF!*#REF!^5/(Conv!$I$5*Conv!$D$46)/10^6 +#REF!</f>
        <v>#REF!</v>
      </c>
      <c r="N569" s="203" t="e">
        <f>#REF!*#REF!^5/(Conv!$I$5*Conv!$D$46)/10^6 +#REF!</f>
        <v>#REF!</v>
      </c>
      <c r="O569" s="203" t="e">
        <f>#REF!*#REF!^5/(Conv!$I$5*Conv!$D$46)/10^6 +#REF!</f>
        <v>#REF!</v>
      </c>
      <c r="P569" s="203" t="e">
        <f>#REF!*#REF!^5/(Conv!$I$5*Conv!$D$46)/10^6 +#REF!</f>
        <v>#REF!</v>
      </c>
      <c r="Q569" s="203" t="e">
        <f>#REF!*#REF!^5/(Conv!$I$5*Conv!$D$46)/10^6 +#REF!</f>
        <v>#REF!</v>
      </c>
      <c r="S569" s="177"/>
      <c r="T569" s="177"/>
      <c r="U569" s="177"/>
      <c r="V569" s="177"/>
      <c r="W569" s="177"/>
      <c r="X569" s="177"/>
      <c r="Y569" s="177"/>
      <c r="Z569" s="177"/>
      <c r="AA569" s="177"/>
      <c r="AB569" s="177"/>
      <c r="AC569" s="177"/>
    </row>
    <row r="570" spans="2:29">
      <c r="B570" s="158" t="str">
        <f>IF(OR(LEFT(Commodities!B$71,1)="*",LEFT(Technologies!B$522,1)="*"),"*","R2")</f>
        <v>*</v>
      </c>
      <c r="C570" s="158" t="e">
        <f>Technologies!C522</f>
        <v>#REF!</v>
      </c>
      <c r="D570" s="158" t="str">
        <f>Technologies!D522</f>
        <v>Delivery of Imported LPG to the Commercial Sector</v>
      </c>
      <c r="E570" s="197" t="str">
        <f>Commodities!C$71</f>
        <v>LPGP1</v>
      </c>
      <c r="F570" s="197" t="e">
        <f>Commodities!C235</f>
        <v>#REF!</v>
      </c>
      <c r="G570" s="204">
        <v>1</v>
      </c>
      <c r="H570" s="203" t="e">
        <f>#REF!*#REF!^5/(Conv!$I$5*Conv!$D$46)/10^6 +#REF!</f>
        <v>#REF!</v>
      </c>
      <c r="I570" s="203" t="e">
        <f>#REF!*#REF!^5/(Conv!$I$5*Conv!$D$46)/10^6 +#REF!</f>
        <v>#REF!</v>
      </c>
      <c r="J570" s="203" t="e">
        <f>#REF!*#REF!^5/(Conv!$I$5*Conv!$D$46)/10^6 +#REF!</f>
        <v>#REF!</v>
      </c>
      <c r="K570" s="203" t="e">
        <f>#REF!*#REF!^5/(Conv!$I$5*Conv!$D$46)/10^6 +#REF!</f>
        <v>#REF!</v>
      </c>
      <c r="L570" s="203" t="e">
        <f>#REF!*#REF!^5/(Conv!$I$5*Conv!$D$46)/10^6 +#REF!</f>
        <v>#REF!</v>
      </c>
      <c r="M570" s="203" t="e">
        <f>#REF!*#REF!^5/(Conv!$I$5*Conv!$D$46)/10^6 +#REF!</f>
        <v>#REF!</v>
      </c>
      <c r="N570" s="203" t="e">
        <f>#REF!*#REF!^5/(Conv!$I$5*Conv!$D$46)/10^6 +#REF!</f>
        <v>#REF!</v>
      </c>
      <c r="O570" s="203" t="e">
        <f>#REF!*#REF!^5/(Conv!$I$5*Conv!$D$46)/10^6 +#REF!</f>
        <v>#REF!</v>
      </c>
      <c r="P570" s="203" t="e">
        <f>#REF!*#REF!^5/(Conv!$I$5*Conv!$D$46)/10^6 +#REF!</f>
        <v>#REF!</v>
      </c>
      <c r="Q570" s="203" t="e">
        <f>#REF!*#REF!^5/(Conv!$I$5*Conv!$D$46)/10^6 +#REF!</f>
        <v>#REF!</v>
      </c>
      <c r="S570" s="177"/>
      <c r="T570" s="177"/>
      <c r="U570" s="177"/>
      <c r="V570" s="177"/>
      <c r="W570" s="177"/>
      <c r="X570" s="177"/>
      <c r="Y570" s="177"/>
      <c r="Z570" s="177"/>
      <c r="AA570" s="177"/>
      <c r="AB570" s="177"/>
      <c r="AC570" s="177"/>
    </row>
    <row r="571" spans="2:29">
      <c r="B571" s="158" t="str">
        <f>IF(OR(LEFT(Commodities!B$71,1)="*",LEFT(Technologies!B$523,1)="*"),"*","R2")</f>
        <v>*</v>
      </c>
      <c r="C571" s="158" t="e">
        <f>Technologies!C523</f>
        <v>#REF!</v>
      </c>
      <c r="D571" s="158" t="str">
        <f>Technologies!D523</f>
        <v>Delivery of Imported LPG to the Industrial Sector</v>
      </c>
      <c r="E571" s="197" t="str">
        <f>Commodities!C$71</f>
        <v>LPGP1</v>
      </c>
      <c r="F571" s="197" t="e">
        <f>Commodities!C236</f>
        <v>#REF!</v>
      </c>
      <c r="G571" s="204">
        <v>1</v>
      </c>
      <c r="H571" s="203" t="e">
        <f>#REF!*#REF!^5/(Conv!$I$5*Conv!$D$46)/10^6 +#REF!</f>
        <v>#REF!</v>
      </c>
      <c r="I571" s="203" t="e">
        <f>#REF!*#REF!^5/(Conv!$I$5*Conv!$D$46)/10^6 +#REF!</f>
        <v>#REF!</v>
      </c>
      <c r="J571" s="203" t="e">
        <f>#REF!*#REF!^5/(Conv!$I$5*Conv!$D$46)/10^6 +#REF!</f>
        <v>#REF!</v>
      </c>
      <c r="K571" s="203" t="e">
        <f>#REF!*#REF!^5/(Conv!$I$5*Conv!$D$46)/10^6 +#REF!</f>
        <v>#REF!</v>
      </c>
      <c r="L571" s="203" t="e">
        <f>#REF!*#REF!^5/(Conv!$I$5*Conv!$D$46)/10^6 +#REF!</f>
        <v>#REF!</v>
      </c>
      <c r="M571" s="203" t="e">
        <f>#REF!*#REF!^5/(Conv!$I$5*Conv!$D$46)/10^6 +#REF!</f>
        <v>#REF!</v>
      </c>
      <c r="N571" s="203" t="e">
        <f>#REF!*#REF!^5/(Conv!$I$5*Conv!$D$46)/10^6 +#REF!</f>
        <v>#REF!</v>
      </c>
      <c r="O571" s="203" t="e">
        <f>#REF!*#REF!^5/(Conv!$I$5*Conv!$D$46)/10^6 +#REF!</f>
        <v>#REF!</v>
      </c>
      <c r="P571" s="203" t="e">
        <f>#REF!*#REF!^5/(Conv!$I$5*Conv!$D$46)/10^6 +#REF!</f>
        <v>#REF!</v>
      </c>
      <c r="Q571" s="203" t="e">
        <f>#REF!*#REF!^5/(Conv!$I$5*Conv!$D$46)/10^6 +#REF!</f>
        <v>#REF!</v>
      </c>
      <c r="S571" s="177"/>
      <c r="T571" s="177"/>
      <c r="U571" s="177"/>
      <c r="V571" s="177"/>
      <c r="W571" s="177"/>
      <c r="X571" s="177"/>
      <c r="Y571" s="177"/>
      <c r="Z571" s="177"/>
      <c r="AA571" s="177"/>
      <c r="AB571" s="177"/>
      <c r="AC571" s="177"/>
    </row>
    <row r="572" spans="2:29">
      <c r="B572" s="158" t="str">
        <f>IF(OR(LEFT(Commodities!B$71,1)="*",LEFT(Technologies!B$524,1)="*"),"*","R2")</f>
        <v>*</v>
      </c>
      <c r="C572" s="158" t="e">
        <f>Technologies!C524</f>
        <v>#REF!</v>
      </c>
      <c r="D572" s="158" t="str">
        <f>Technologies!D524</f>
        <v>Delivery of Imported LPG to the Transportation Sector</v>
      </c>
      <c r="E572" s="197" t="str">
        <f>Commodities!C$71</f>
        <v>LPGP1</v>
      </c>
      <c r="F572" s="197" t="e">
        <f>Commodities!C237</f>
        <v>#REF!</v>
      </c>
      <c r="G572" s="204">
        <v>1</v>
      </c>
      <c r="H572" s="203" t="e">
        <f>#REF!*#REF!^5/(Conv!$I$5*Conv!$D$46)/10^6 +#REF!</f>
        <v>#REF!</v>
      </c>
      <c r="I572" s="203" t="e">
        <f>#REF!*#REF!^5/(Conv!$I$5*Conv!$D$46)/10^6 +#REF!</f>
        <v>#REF!</v>
      </c>
      <c r="J572" s="203" t="e">
        <f>#REF!*#REF!^5/(Conv!$I$5*Conv!$D$46)/10^6 +#REF!</f>
        <v>#REF!</v>
      </c>
      <c r="K572" s="203" t="e">
        <f>#REF!*#REF!^5/(Conv!$I$5*Conv!$D$46)/10^6 +#REF!</f>
        <v>#REF!</v>
      </c>
      <c r="L572" s="203" t="e">
        <f>#REF!*#REF!^5/(Conv!$I$5*Conv!$D$46)/10^6 +#REF!</f>
        <v>#REF!</v>
      </c>
      <c r="M572" s="203" t="e">
        <f>#REF!*#REF!^5/(Conv!$I$5*Conv!$D$46)/10^6 +#REF!</f>
        <v>#REF!</v>
      </c>
      <c r="N572" s="203" t="e">
        <f>#REF!*#REF!^5/(Conv!$I$5*Conv!$D$46)/10^6 +#REF!</f>
        <v>#REF!</v>
      </c>
      <c r="O572" s="203" t="e">
        <f>#REF!*#REF!^5/(Conv!$I$5*Conv!$D$46)/10^6 +#REF!</f>
        <v>#REF!</v>
      </c>
      <c r="P572" s="203" t="e">
        <f>#REF!*#REF!^5/(Conv!$I$5*Conv!$D$46)/10^6 +#REF!</f>
        <v>#REF!</v>
      </c>
      <c r="Q572" s="203" t="e">
        <f>#REF!*#REF!^5/(Conv!$I$5*Conv!$D$46)/10^6 +#REF!</f>
        <v>#REF!</v>
      </c>
      <c r="S572" s="177"/>
      <c r="T572" s="177"/>
      <c r="U572" s="177"/>
      <c r="V572" s="177"/>
      <c r="W572" s="177"/>
      <c r="X572" s="177"/>
      <c r="Y572" s="177"/>
      <c r="Z572" s="177"/>
      <c r="AA572" s="177"/>
      <c r="AB572" s="177"/>
      <c r="AC572" s="177"/>
    </row>
    <row r="573" spans="2:29">
      <c r="B573" s="158" t="str">
        <f>IF(LEFT(Technologies!B$525,1)="*","*","R2")</f>
        <v>*</v>
      </c>
      <c r="C573" s="158" t="e">
        <f>Technologies!C525</f>
        <v>#REF!</v>
      </c>
      <c r="D573" s="158" t="str">
        <f>Technologies!D525</f>
        <v>Delivery of Imported Methanol</v>
      </c>
      <c r="E573" s="197" t="str">
        <f>Commodities!C$72</f>
        <v>MTHP1</v>
      </c>
      <c r="F573" s="197" t="e">
        <f>Commodities!C238</f>
        <v>#REF!</v>
      </c>
      <c r="G573" s="204">
        <v>1</v>
      </c>
      <c r="H573" s="203" t="e">
        <f>#REF!*#REF!^5/(Conv!$I$5*Conv!$D$46)/10^6 +#REF!</f>
        <v>#REF!</v>
      </c>
      <c r="I573" s="203" t="e">
        <f>#REF!*#REF!^5/(Conv!$I$5*Conv!$D$46)/10^6 +#REF!</f>
        <v>#REF!</v>
      </c>
      <c r="J573" s="203" t="e">
        <f>#REF!*#REF!^5/(Conv!$I$5*Conv!$D$46)/10^6 +#REF!</f>
        <v>#REF!</v>
      </c>
      <c r="K573" s="203" t="e">
        <f>#REF!*#REF!^5/(Conv!$I$5*Conv!$D$46)/10^6 +#REF!</f>
        <v>#REF!</v>
      </c>
      <c r="L573" s="203" t="e">
        <f>#REF!*#REF!^5/(Conv!$I$5*Conv!$D$46)/10^6 +#REF!</f>
        <v>#REF!</v>
      </c>
      <c r="M573" s="203" t="e">
        <f>#REF!*#REF!^5/(Conv!$I$5*Conv!$D$46)/10^6 +#REF!</f>
        <v>#REF!</v>
      </c>
      <c r="N573" s="203" t="e">
        <f>#REF!*#REF!^5/(Conv!$I$5*Conv!$D$46)/10^6 +#REF!</f>
        <v>#REF!</v>
      </c>
      <c r="O573" s="203" t="e">
        <f>#REF!*#REF!^5/(Conv!$I$5*Conv!$D$46)/10^6 +#REF!</f>
        <v>#REF!</v>
      </c>
      <c r="P573" s="203" t="e">
        <f>#REF!*#REF!^5/(Conv!$I$5*Conv!$D$46)/10^6 +#REF!</f>
        <v>#REF!</v>
      </c>
      <c r="Q573" s="203" t="e">
        <f>#REF!*#REF!^5/(Conv!$I$5*Conv!$D$46)/10^6 +#REF!</f>
        <v>#REF!</v>
      </c>
      <c r="S573" s="177"/>
      <c r="T573" s="177"/>
      <c r="U573" s="177"/>
      <c r="V573" s="177"/>
      <c r="W573" s="177"/>
      <c r="X573" s="177"/>
      <c r="Y573" s="177"/>
      <c r="Z573" s="177"/>
      <c r="AA573" s="177"/>
      <c r="AB573" s="177"/>
      <c r="AC573" s="177"/>
    </row>
    <row r="574" spans="2:29">
      <c r="B574" s="158" t="str">
        <f>IF(OR(LEFT(Commodities!B$239,1)="*",LEFT(Technologies!B$526,1)="*"),"*","R2")</f>
        <v>*</v>
      </c>
      <c r="C574" s="158" t="e">
        <f>Technologies!C526</f>
        <v>#REF!</v>
      </c>
      <c r="D574" s="158" t="str">
        <f>Technologies!D526</f>
        <v>Delivery of Imported Petrochemical Feedstocks</v>
      </c>
      <c r="E574" s="197" t="str">
        <f>Commodities!C$73</f>
        <v>PFSP1</v>
      </c>
      <c r="F574" s="197" t="e">
        <f>Commodities!C239</f>
        <v>#REF!</v>
      </c>
      <c r="G574" s="204">
        <v>1</v>
      </c>
      <c r="H574" s="203" t="e">
        <f>#REF!*#REF!^5/(Conv!$I$5*Conv!$D$46)/10^6 +#REF!</f>
        <v>#REF!</v>
      </c>
      <c r="I574" s="203" t="e">
        <f>#REF!*#REF!^5/(Conv!$I$5*Conv!$D$46)/10^6 +#REF!</f>
        <v>#REF!</v>
      </c>
      <c r="J574" s="203" t="e">
        <f>#REF!*#REF!^5/(Conv!$I$5*Conv!$D$46)/10^6 +#REF!</f>
        <v>#REF!</v>
      </c>
      <c r="K574" s="203" t="e">
        <f>#REF!*#REF!^5/(Conv!$I$5*Conv!$D$46)/10^6 +#REF!</f>
        <v>#REF!</v>
      </c>
      <c r="L574" s="203" t="e">
        <f>#REF!*#REF!^5/(Conv!$I$5*Conv!$D$46)/10^6 +#REF!</f>
        <v>#REF!</v>
      </c>
      <c r="M574" s="203" t="e">
        <f>#REF!*#REF!^5/(Conv!$I$5*Conv!$D$46)/10^6 +#REF!</f>
        <v>#REF!</v>
      </c>
      <c r="N574" s="203" t="e">
        <f>#REF!*#REF!^5/(Conv!$I$5*Conv!$D$46)/10^6 +#REF!</f>
        <v>#REF!</v>
      </c>
      <c r="O574" s="203" t="e">
        <f>#REF!*#REF!^5/(Conv!$I$5*Conv!$D$46)/10^6 +#REF!</f>
        <v>#REF!</v>
      </c>
      <c r="P574" s="203" t="e">
        <f>#REF!*#REF!^5/(Conv!$I$5*Conv!$D$46)/10^6 +#REF!</f>
        <v>#REF!</v>
      </c>
      <c r="Q574" s="203" t="e">
        <f>#REF!*#REF!^5/(Conv!$I$5*Conv!$D$46)/10^6 +#REF!</f>
        <v>#REF!</v>
      </c>
      <c r="S574" s="177"/>
      <c r="T574" s="177"/>
      <c r="U574" s="177"/>
      <c r="V574" s="177"/>
      <c r="W574" s="177"/>
      <c r="X574" s="177"/>
      <c r="Y574" s="177"/>
      <c r="Z574" s="177"/>
      <c r="AA574" s="177"/>
      <c r="AB574" s="177"/>
      <c r="AC574" s="177"/>
    </row>
    <row r="575" spans="2:29">
      <c r="B575" s="158" t="str">
        <f>IF(OR(LEFT(Commodities!B$75,1)="*",LEFT(Technologies!B$527,1)="*"),"*","R2")</f>
        <v>*</v>
      </c>
      <c r="C575" s="158" t="str">
        <f>Technologies!C527</f>
        <v>XIRESRFLP1</v>
      </c>
      <c r="D575" s="158" t="str">
        <f>Technologies!D527</f>
        <v>Delivery of Imported Low Sulfur Residual Fuel Oil to Residential Sector</v>
      </c>
      <c r="E575" s="197" t="str">
        <f>Commodities!C$75</f>
        <v>RFLP1</v>
      </c>
      <c r="F575" s="197" t="str">
        <f>Commodities!C240</f>
        <v>RESRFL</v>
      </c>
      <c r="G575" s="204">
        <v>1</v>
      </c>
      <c r="H575" s="203" t="e">
        <f>#REF!*#REF!^5/(Conv!$I$5*Conv!$D$46)/10^6 +#REF!</f>
        <v>#REF!</v>
      </c>
      <c r="I575" s="203" t="e">
        <f>#REF!*#REF!^5/(Conv!$I$5*Conv!$D$46)/10^6 +#REF!</f>
        <v>#REF!</v>
      </c>
      <c r="J575" s="203" t="e">
        <f>#REF!*#REF!^5/(Conv!$I$5*Conv!$D$46)/10^6 +#REF!</f>
        <v>#REF!</v>
      </c>
      <c r="K575" s="203" t="e">
        <f>#REF!*#REF!^5/(Conv!$I$5*Conv!$D$46)/10^6 +#REF!</f>
        <v>#REF!</v>
      </c>
      <c r="L575" s="203" t="e">
        <f>#REF!*#REF!^5/(Conv!$I$5*Conv!$D$46)/10^6 +#REF!</f>
        <v>#REF!</v>
      </c>
      <c r="M575" s="203" t="e">
        <f>#REF!*#REF!^5/(Conv!$I$5*Conv!$D$46)/10^6 +#REF!</f>
        <v>#REF!</v>
      </c>
      <c r="N575" s="203" t="e">
        <f>#REF!*#REF!^5/(Conv!$I$5*Conv!$D$46)/10^6 +#REF!</f>
        <v>#REF!</v>
      </c>
      <c r="O575" s="203" t="e">
        <f>#REF!*#REF!^5/(Conv!$I$5*Conv!$D$46)/10^6 +#REF!</f>
        <v>#REF!</v>
      </c>
      <c r="P575" s="203" t="e">
        <f>#REF!*#REF!^5/(Conv!$I$5*Conv!$D$46)/10^6 +#REF!</f>
        <v>#REF!</v>
      </c>
      <c r="Q575" s="203" t="e">
        <f>#REF!*#REF!^5/(Conv!$I$5*Conv!$D$46)/10^6 +#REF!</f>
        <v>#REF!</v>
      </c>
      <c r="S575" s="177"/>
      <c r="T575" s="177"/>
      <c r="U575" s="177"/>
      <c r="V575" s="177"/>
      <c r="W575" s="177"/>
      <c r="X575" s="177"/>
      <c r="Y575" s="177"/>
      <c r="Z575" s="177"/>
      <c r="AA575" s="177"/>
      <c r="AB575" s="177"/>
      <c r="AC575" s="177"/>
    </row>
    <row r="576" spans="2:29">
      <c r="B576" s="158" t="str">
        <f>IF(OR(LEFT(Commodities!B$75,1)="*",LEFT(Technologies!B$528,1)="*"),"*","R2")</f>
        <v>*</v>
      </c>
      <c r="C576" s="158" t="e">
        <f>Technologies!C528</f>
        <v>#REF!</v>
      </c>
      <c r="D576" s="158" t="str">
        <f>Technologies!D528</f>
        <v>Delivery of Imported Low Sulfur Residual Fuel Oil to Commercial Sector</v>
      </c>
      <c r="E576" s="197" t="str">
        <f>Commodities!C$75</f>
        <v>RFLP1</v>
      </c>
      <c r="F576" s="197" t="e">
        <f>Commodities!C241</f>
        <v>#REF!</v>
      </c>
      <c r="G576" s="204">
        <v>1</v>
      </c>
      <c r="H576" s="203" t="e">
        <f>#REF!*#REF!^5/(Conv!$I$5*Conv!$D$46)/10^6 +#REF!</f>
        <v>#REF!</v>
      </c>
      <c r="I576" s="203" t="e">
        <f>#REF!*#REF!^5/(Conv!$I$5*Conv!$D$46)/10^6 +#REF!</f>
        <v>#REF!</v>
      </c>
      <c r="J576" s="203" t="e">
        <f>#REF!*#REF!^5/(Conv!$I$5*Conv!$D$46)/10^6 +#REF!</f>
        <v>#REF!</v>
      </c>
      <c r="K576" s="203" t="e">
        <f>#REF!*#REF!^5/(Conv!$I$5*Conv!$D$46)/10^6 +#REF!</f>
        <v>#REF!</v>
      </c>
      <c r="L576" s="203" t="e">
        <f>#REF!*#REF!^5/(Conv!$I$5*Conv!$D$46)/10^6 +#REF!</f>
        <v>#REF!</v>
      </c>
      <c r="M576" s="203" t="e">
        <f>#REF!*#REF!^5/(Conv!$I$5*Conv!$D$46)/10^6 +#REF!</f>
        <v>#REF!</v>
      </c>
      <c r="N576" s="203" t="e">
        <f>#REF!*#REF!^5/(Conv!$I$5*Conv!$D$46)/10^6 +#REF!</f>
        <v>#REF!</v>
      </c>
      <c r="O576" s="203" t="e">
        <f>#REF!*#REF!^5/(Conv!$I$5*Conv!$D$46)/10^6 +#REF!</f>
        <v>#REF!</v>
      </c>
      <c r="P576" s="203" t="e">
        <f>#REF!*#REF!^5/(Conv!$I$5*Conv!$D$46)/10^6 +#REF!</f>
        <v>#REF!</v>
      </c>
      <c r="Q576" s="203" t="e">
        <f>#REF!*#REF!^5/(Conv!$I$5*Conv!$D$46)/10^6 +#REF!</f>
        <v>#REF!</v>
      </c>
      <c r="S576" s="177"/>
      <c r="T576" s="177"/>
      <c r="U576" s="177"/>
      <c r="V576" s="177"/>
      <c r="W576" s="177"/>
      <c r="X576" s="177"/>
      <c r="Y576" s="177"/>
      <c r="Z576" s="177"/>
      <c r="AA576" s="177"/>
      <c r="AB576" s="177"/>
      <c r="AC576" s="177"/>
    </row>
    <row r="577" spans="2:29">
      <c r="B577" s="158" t="str">
        <f>IF(OR(LEFT(Commodities!B$75,1)="*",LEFT(Technologies!B$529,1)="*"),"*","R2")</f>
        <v>R2</v>
      </c>
      <c r="C577" s="158" t="e">
        <f>Technologies!C529</f>
        <v>#REF!</v>
      </c>
      <c r="D577" s="158" t="str">
        <f>Technologies!D529</f>
        <v>Delivery of Imported Low Sulfur Residual Fuel Oil to Industrial Sector</v>
      </c>
      <c r="E577" s="197" t="str">
        <f>Commodities!C$75</f>
        <v>RFLP1</v>
      </c>
      <c r="F577" s="197" t="e">
        <f>Commodities!C242</f>
        <v>#REF!</v>
      </c>
      <c r="G577" s="204">
        <v>1</v>
      </c>
      <c r="H577" s="203" t="e">
        <f>#REF!*#REF!^5/(Conv!$I$5*Conv!$D$46)/10^6 +#REF!</f>
        <v>#REF!</v>
      </c>
      <c r="I577" s="203" t="e">
        <f>#REF!*#REF!^5/(Conv!$I$5*Conv!$D$46)/10^6 +#REF!</f>
        <v>#REF!</v>
      </c>
      <c r="J577" s="203" t="e">
        <f>#REF!*#REF!^5/(Conv!$I$5*Conv!$D$46)/10^6 +#REF!</f>
        <v>#REF!</v>
      </c>
      <c r="K577" s="203" t="e">
        <f>#REF!*#REF!^5/(Conv!$I$5*Conv!$D$46)/10^6 +#REF!</f>
        <v>#REF!</v>
      </c>
      <c r="L577" s="203" t="e">
        <f>#REF!*#REF!^5/(Conv!$I$5*Conv!$D$46)/10^6 +#REF!</f>
        <v>#REF!</v>
      </c>
      <c r="M577" s="203" t="e">
        <f>#REF!*#REF!^5/(Conv!$I$5*Conv!$D$46)/10^6 +#REF!</f>
        <v>#REF!</v>
      </c>
      <c r="N577" s="203" t="e">
        <f>#REF!*#REF!^5/(Conv!$I$5*Conv!$D$46)/10^6 +#REF!</f>
        <v>#REF!</v>
      </c>
      <c r="O577" s="203" t="e">
        <f>#REF!*#REF!^5/(Conv!$I$5*Conv!$D$46)/10^6 +#REF!</f>
        <v>#REF!</v>
      </c>
      <c r="P577" s="203" t="e">
        <f>#REF!*#REF!^5/(Conv!$I$5*Conv!$D$46)/10^6 +#REF!</f>
        <v>#REF!</v>
      </c>
      <c r="Q577" s="203" t="e">
        <f>#REF!*#REF!^5/(Conv!$I$5*Conv!$D$46)/10^6 +#REF!</f>
        <v>#REF!</v>
      </c>
      <c r="S577" s="177"/>
      <c r="T577" s="177"/>
      <c r="U577" s="177"/>
      <c r="V577" s="177"/>
      <c r="W577" s="177"/>
      <c r="X577" s="177"/>
      <c r="Y577" s="177"/>
      <c r="Z577" s="177"/>
      <c r="AA577" s="177"/>
      <c r="AB577" s="177"/>
      <c r="AC577" s="177"/>
    </row>
    <row r="578" spans="2:29">
      <c r="B578" s="158" t="str">
        <f>IF(OR(LEFT(Commodities!B$75,1)="*",LEFT(Technologies!B$530,1)="*"),"*","R2")</f>
        <v>*</v>
      </c>
      <c r="C578" s="158" t="e">
        <f>Technologies!C530</f>
        <v>#REF!</v>
      </c>
      <c r="D578" s="158" t="str">
        <f>Technologies!D530</f>
        <v>Delivery of Imported Low Sulfur Residual Fuel Oil to Electricity Sector</v>
      </c>
      <c r="E578" s="197" t="str">
        <f>Commodities!C$75</f>
        <v>RFLP1</v>
      </c>
      <c r="F578" s="197" t="e">
        <f>Commodities!C243</f>
        <v>#REF!</v>
      </c>
      <c r="G578" s="204">
        <v>1</v>
      </c>
      <c r="H578" s="203" t="e">
        <f>#REF!*#REF!^5/(Conv!$I$5*Conv!$D$46)/10^6 +#REF!</f>
        <v>#REF!</v>
      </c>
      <c r="I578" s="203" t="e">
        <f>#REF!*#REF!^5/(Conv!$I$5*Conv!$D$46)/10^6 +#REF!</f>
        <v>#REF!</v>
      </c>
      <c r="J578" s="203" t="e">
        <f>#REF!*#REF!^5/(Conv!$I$5*Conv!$D$46)/10^6 +#REF!</f>
        <v>#REF!</v>
      </c>
      <c r="K578" s="203" t="e">
        <f>#REF!*#REF!^5/(Conv!$I$5*Conv!$D$46)/10^6 +#REF!</f>
        <v>#REF!</v>
      </c>
      <c r="L578" s="203" t="e">
        <f>#REF!*#REF!^5/(Conv!$I$5*Conv!$D$46)/10^6 +#REF!</f>
        <v>#REF!</v>
      </c>
      <c r="M578" s="203" t="e">
        <f>#REF!*#REF!^5/(Conv!$I$5*Conv!$D$46)/10^6 +#REF!</f>
        <v>#REF!</v>
      </c>
      <c r="N578" s="203" t="e">
        <f>#REF!*#REF!^5/(Conv!$I$5*Conv!$D$46)/10^6 +#REF!</f>
        <v>#REF!</v>
      </c>
      <c r="O578" s="203" t="e">
        <f>#REF!*#REF!^5/(Conv!$I$5*Conv!$D$46)/10^6 +#REF!</f>
        <v>#REF!</v>
      </c>
      <c r="P578" s="203" t="e">
        <f>#REF!*#REF!^5/(Conv!$I$5*Conv!$D$46)/10^6 +#REF!</f>
        <v>#REF!</v>
      </c>
      <c r="Q578" s="203" t="e">
        <f>#REF!*#REF!^5/(Conv!$I$5*Conv!$D$46)/10^6 +#REF!</f>
        <v>#REF!</v>
      </c>
      <c r="S578" s="177"/>
      <c r="T578" s="177"/>
      <c r="U578" s="177"/>
      <c r="V578" s="177"/>
      <c r="W578" s="177"/>
      <c r="X578" s="177"/>
      <c r="Y578" s="177"/>
      <c r="Z578" s="177"/>
      <c r="AA578" s="177"/>
      <c r="AB578" s="177"/>
      <c r="AC578" s="177"/>
    </row>
    <row r="579" spans="2:29">
      <c r="B579" s="158" t="str">
        <f>IF(OR(LEFT(Commodities!B$74,1)="*",LEFT(Technologies!B$531,1)="*"),"*","R2")</f>
        <v>*</v>
      </c>
      <c r="C579" s="158" t="e">
        <f>Technologies!C531</f>
        <v>#REF!</v>
      </c>
      <c r="D579" s="158" t="str">
        <f>Technologies!D531</f>
        <v>Delivery of Imported High Sulfur Residual Fuel Oil to Transportation Sector</v>
      </c>
      <c r="E579" s="197" t="str">
        <f>Commodities!C$74</f>
        <v>RFHP1</v>
      </c>
      <c r="F579" s="197" t="e">
        <f>Commodities!C244</f>
        <v>#REF!</v>
      </c>
      <c r="G579" s="204">
        <v>1</v>
      </c>
      <c r="H579" s="203" t="e">
        <f>#REF!*#REF!^5/(Conv!$I$5*Conv!$D$46)/10^6 +#REF!</f>
        <v>#REF!</v>
      </c>
      <c r="I579" s="203" t="e">
        <f>#REF!*#REF!^5/(Conv!$I$5*Conv!$D$46)/10^6 +#REF!</f>
        <v>#REF!</v>
      </c>
      <c r="J579" s="203" t="e">
        <f>#REF!*#REF!^5/(Conv!$I$5*Conv!$D$46)/10^6 +#REF!</f>
        <v>#REF!</v>
      </c>
      <c r="K579" s="203" t="e">
        <f>#REF!*#REF!^5/(Conv!$I$5*Conv!$D$46)/10^6 +#REF!</f>
        <v>#REF!</v>
      </c>
      <c r="L579" s="203" t="e">
        <f>#REF!*#REF!^5/(Conv!$I$5*Conv!$D$46)/10^6 +#REF!</f>
        <v>#REF!</v>
      </c>
      <c r="M579" s="203" t="e">
        <f>#REF!*#REF!^5/(Conv!$I$5*Conv!$D$46)/10^6 +#REF!</f>
        <v>#REF!</v>
      </c>
      <c r="N579" s="203" t="e">
        <f>#REF!*#REF!^5/(Conv!$I$5*Conv!$D$46)/10^6 +#REF!</f>
        <v>#REF!</v>
      </c>
      <c r="O579" s="203" t="e">
        <f>#REF!*#REF!^5/(Conv!$I$5*Conv!$D$46)/10^6 +#REF!</f>
        <v>#REF!</v>
      </c>
      <c r="P579" s="203" t="e">
        <f>#REF!*#REF!^5/(Conv!$I$5*Conv!$D$46)/10^6 +#REF!</f>
        <v>#REF!</v>
      </c>
      <c r="Q579" s="203" t="e">
        <f>#REF!*#REF!^5/(Conv!$I$5*Conv!$D$46)/10^6 +#REF!</f>
        <v>#REF!</v>
      </c>
      <c r="S579" s="177"/>
      <c r="T579" s="177"/>
      <c r="U579" s="177"/>
      <c r="V579" s="177"/>
      <c r="W579" s="177"/>
      <c r="X579" s="177"/>
      <c r="Y579" s="177"/>
      <c r="Z579" s="177"/>
      <c r="AA579" s="177"/>
      <c r="AB579" s="177"/>
      <c r="AC579" s="177"/>
    </row>
    <row r="580" spans="2:29">
      <c r="B580" s="158" t="str">
        <f>IF(OR(LEFT(Commodities!B$74,1)="*",LEFT(Technologies!B$532,1)="*"),"*","R2")</f>
        <v>*</v>
      </c>
      <c r="C580" s="158" t="e">
        <f>Technologies!C532</f>
        <v>#REF!</v>
      </c>
      <c r="D580" s="158" t="str">
        <f>Technologies!D532</f>
        <v>Delivery of Imported High Sulfur Residual Fuel Oil to Electricity Sector</v>
      </c>
      <c r="E580" s="197" t="str">
        <f>Commodities!C$74</f>
        <v>RFHP1</v>
      </c>
      <c r="F580" s="197" t="e">
        <f>Commodities!C245</f>
        <v>#REF!</v>
      </c>
      <c r="G580" s="204">
        <v>1</v>
      </c>
      <c r="H580" s="203" t="e">
        <f>#REF!*#REF!^5/(Conv!$I$5*Conv!$D$46)/10^6 +#REF!</f>
        <v>#REF!</v>
      </c>
      <c r="I580" s="203" t="e">
        <f>#REF!*#REF!^5/(Conv!$I$5*Conv!$D$46)/10^6 +#REF!</f>
        <v>#REF!</v>
      </c>
      <c r="J580" s="203" t="e">
        <f>#REF!*#REF!^5/(Conv!$I$5*Conv!$D$46)/10^6 +#REF!</f>
        <v>#REF!</v>
      </c>
      <c r="K580" s="203" t="e">
        <f>#REF!*#REF!^5/(Conv!$I$5*Conv!$D$46)/10^6 +#REF!</f>
        <v>#REF!</v>
      </c>
      <c r="L580" s="203" t="e">
        <f>#REF!*#REF!^5/(Conv!$I$5*Conv!$D$46)/10^6 +#REF!</f>
        <v>#REF!</v>
      </c>
      <c r="M580" s="203" t="e">
        <f>#REF!*#REF!^5/(Conv!$I$5*Conv!$D$46)/10^6 +#REF!</f>
        <v>#REF!</v>
      </c>
      <c r="N580" s="203" t="e">
        <f>#REF!*#REF!^5/(Conv!$I$5*Conv!$D$46)/10^6 +#REF!</f>
        <v>#REF!</v>
      </c>
      <c r="O580" s="203" t="e">
        <f>#REF!*#REF!^5/(Conv!$I$5*Conv!$D$46)/10^6 +#REF!</f>
        <v>#REF!</v>
      </c>
      <c r="P580" s="203" t="e">
        <f>#REF!*#REF!^5/(Conv!$I$5*Conv!$D$46)/10^6 +#REF!</f>
        <v>#REF!</v>
      </c>
      <c r="Q580" s="203" t="e">
        <f>#REF!*#REF!^5/(Conv!$I$5*Conv!$D$46)/10^6 +#REF!</f>
        <v>#REF!</v>
      </c>
      <c r="S580" s="177"/>
      <c r="T580" s="177"/>
      <c r="U580" s="177"/>
      <c r="V580" s="177"/>
      <c r="W580" s="177"/>
      <c r="X580" s="177"/>
      <c r="Y580" s="177"/>
      <c r="Z580" s="177"/>
      <c r="AA580" s="177"/>
      <c r="AB580" s="177"/>
      <c r="AC580" s="177"/>
    </row>
    <row r="581" spans="2:29">
      <c r="B581" s="160" t="s">
        <v>1032</v>
      </c>
      <c r="C581" s="160"/>
      <c r="D581" s="160"/>
      <c r="E581" s="196"/>
      <c r="F581" s="196"/>
      <c r="G581" s="200"/>
      <c r="H581" s="174"/>
      <c r="I581" s="174"/>
      <c r="J581" s="174"/>
      <c r="K581" s="174"/>
      <c r="L581" s="174"/>
      <c r="M581" s="174"/>
      <c r="N581" s="174"/>
      <c r="O581" s="174"/>
      <c r="P581" s="174"/>
      <c r="Q581" s="174"/>
    </row>
    <row r="582" spans="2:29">
      <c r="B582" s="158" t="str">
        <f>IF(LEFT(Technologies!B$509,1)="*","*","R3")</f>
        <v>R3</v>
      </c>
      <c r="C582" s="158" t="e">
        <f>Technologies!C509</f>
        <v>#REF!</v>
      </c>
      <c r="D582" s="158" t="str">
        <f>Technologies!D509</f>
        <v>Delivery of Imported Conventional Gasoline</v>
      </c>
      <c r="E582" s="197" t="str">
        <f>Commodities!C$67</f>
        <v>GSCP1</v>
      </c>
      <c r="F582" s="197" t="e">
        <f>Commodities!C222</f>
        <v>#REF!</v>
      </c>
      <c r="G582" s="204">
        <v>1</v>
      </c>
      <c r="H582" s="203" t="e">
        <f>#REF!*#REF!^5/(Conv!$I$5*Conv!$D$46)/10^6 +#REF!</f>
        <v>#REF!</v>
      </c>
      <c r="I582" s="203" t="e">
        <f>#REF!*#REF!^5/(Conv!$I$5*Conv!$D$46)/10^6 +#REF!</f>
        <v>#REF!</v>
      </c>
      <c r="J582" s="203" t="e">
        <f>#REF!*#REF!^5/(Conv!$I$5*Conv!$D$46)/10^6 +#REF!</f>
        <v>#REF!</v>
      </c>
      <c r="K582" s="203" t="e">
        <f>#REF!*#REF!^5/(Conv!$I$5*Conv!$D$46)/10^6 +#REF!</f>
        <v>#REF!</v>
      </c>
      <c r="L582" s="203" t="e">
        <f>#REF!*#REF!^5/(Conv!$I$5*Conv!$D$46)/10^6 +#REF!</f>
        <v>#REF!</v>
      </c>
      <c r="M582" s="203" t="e">
        <f>#REF!*#REF!^5/(Conv!$I$5*Conv!$D$46)/10^6 +#REF!</f>
        <v>#REF!</v>
      </c>
      <c r="N582" s="203" t="e">
        <f>#REF!*#REF!^5/(Conv!$I$5*Conv!$D$46)/10^6 +#REF!</f>
        <v>#REF!</v>
      </c>
      <c r="O582" s="203" t="e">
        <f>#REF!*#REF!^5/(Conv!$I$5*Conv!$D$46)/10^6 +#REF!</f>
        <v>#REF!</v>
      </c>
      <c r="P582" s="203" t="e">
        <f>#REF!*#REF!^5/(Conv!$I$5*Conv!$D$46)/10^6 +#REF!</f>
        <v>#REF!</v>
      </c>
      <c r="Q582" s="203" t="e">
        <f>#REF!*#REF!^5/(Conv!$I$5*Conv!$D$46)/10^6 +#REF!</f>
        <v>#REF!</v>
      </c>
      <c r="S582" s="177"/>
      <c r="T582" s="177"/>
      <c r="U582" s="177"/>
      <c r="V582" s="177"/>
      <c r="W582" s="177"/>
      <c r="X582" s="177"/>
      <c r="Y582" s="177"/>
      <c r="Z582" s="177"/>
      <c r="AA582" s="177"/>
      <c r="AB582" s="177"/>
      <c r="AC582" s="177"/>
    </row>
    <row r="583" spans="2:29">
      <c r="B583" s="158" t="str">
        <f>IF(LEFT(Technologies!B$510,1)="*","*","R3")</f>
        <v>R3</v>
      </c>
      <c r="C583" s="158" t="e">
        <f>Technologies!C510</f>
        <v>#REF!</v>
      </c>
      <c r="D583" s="158" t="str">
        <f>Technologies!D510</f>
        <v>Delivery of Imported Reformulated Gasoline</v>
      </c>
      <c r="E583" s="197" t="str">
        <f>Commodities!C$68</f>
        <v>GSRP1</v>
      </c>
      <c r="F583" s="197" t="e">
        <f>Commodities!C223</f>
        <v>#REF!</v>
      </c>
      <c r="G583" s="204">
        <v>1</v>
      </c>
      <c r="H583" s="203" t="e">
        <f>#REF!*#REF!^5/(Conv!$I$5*Conv!$D$46)/10^6 +#REF!</f>
        <v>#REF!</v>
      </c>
      <c r="I583" s="203" t="e">
        <f>#REF!*#REF!^5/(Conv!$I$5*Conv!$D$46)/10^6 +#REF!</f>
        <v>#REF!</v>
      </c>
      <c r="J583" s="203" t="e">
        <f>#REF!*#REF!^5/(Conv!$I$5*Conv!$D$46)/10^6 +#REF!</f>
        <v>#REF!</v>
      </c>
      <c r="K583" s="203" t="e">
        <f>#REF!*#REF!^5/(Conv!$I$5*Conv!$D$46)/10^6 +#REF!</f>
        <v>#REF!</v>
      </c>
      <c r="L583" s="203" t="e">
        <f>#REF!*#REF!^5/(Conv!$I$5*Conv!$D$46)/10^6 +#REF!</f>
        <v>#REF!</v>
      </c>
      <c r="M583" s="203" t="e">
        <f>#REF!*#REF!^5/(Conv!$I$5*Conv!$D$46)/10^6 +#REF!</f>
        <v>#REF!</v>
      </c>
      <c r="N583" s="203" t="e">
        <f>#REF!*#REF!^5/(Conv!$I$5*Conv!$D$46)/10^6 +#REF!</f>
        <v>#REF!</v>
      </c>
      <c r="O583" s="203" t="e">
        <f>#REF!*#REF!^5/(Conv!$I$5*Conv!$D$46)/10^6 +#REF!</f>
        <v>#REF!</v>
      </c>
      <c r="P583" s="203" t="e">
        <f>#REF!*#REF!^5/(Conv!$I$5*Conv!$D$46)/10^6 +#REF!</f>
        <v>#REF!</v>
      </c>
      <c r="Q583" s="203" t="e">
        <f>#REF!*#REF!^5/(Conv!$I$5*Conv!$D$46)/10^6 +#REF!</f>
        <v>#REF!</v>
      </c>
      <c r="S583" s="177"/>
      <c r="T583" s="177"/>
      <c r="U583" s="177"/>
      <c r="V583" s="177"/>
      <c r="W583" s="177"/>
      <c r="X583" s="177"/>
      <c r="Y583" s="177"/>
      <c r="Z583" s="177"/>
      <c r="AA583" s="177"/>
      <c r="AB583" s="177"/>
      <c r="AC583" s="177"/>
    </row>
    <row r="584" spans="2:29">
      <c r="B584" s="158" t="str">
        <f>IF(OR(LEFT(Commodities!B$64,1)="*",LEFT(Technologies!B$511,1)="*"),"*","R3")</f>
        <v>R3</v>
      </c>
      <c r="C584" s="158" t="e">
        <f>Technologies!C511</f>
        <v>#REF!</v>
      </c>
      <c r="D584" s="158" t="str">
        <f>Technologies!D511</f>
        <v>Delivery of Imported Distillate-Heating Oil No. 2 to the Residential Sector</v>
      </c>
      <c r="E584" s="197" t="str">
        <f>Commodities!C$64</f>
        <v>DSHP1</v>
      </c>
      <c r="F584" s="197" t="e">
        <f>Commodities!C224</f>
        <v>#REF!</v>
      </c>
      <c r="G584" s="204">
        <v>1</v>
      </c>
      <c r="H584" s="203" t="e">
        <f>#REF!*#REF!^5/(Conv!$I$5*Conv!$D$46)/10^6 +#REF!</f>
        <v>#REF!</v>
      </c>
      <c r="I584" s="203" t="e">
        <f>#REF!*#REF!^5/(Conv!$I$5*Conv!$D$46)/10^6 +#REF!</f>
        <v>#REF!</v>
      </c>
      <c r="J584" s="203" t="e">
        <f>#REF!*#REF!^5/(Conv!$I$5*Conv!$D$46)/10^6 +#REF!</f>
        <v>#REF!</v>
      </c>
      <c r="K584" s="203" t="e">
        <f>#REF!*#REF!^5/(Conv!$I$5*Conv!$D$46)/10^6 +#REF!</f>
        <v>#REF!</v>
      </c>
      <c r="L584" s="203" t="e">
        <f>#REF!*#REF!^5/(Conv!$I$5*Conv!$D$46)/10^6 +#REF!</f>
        <v>#REF!</v>
      </c>
      <c r="M584" s="203" t="e">
        <f>#REF!*#REF!^5/(Conv!$I$5*Conv!$D$46)/10^6 +#REF!</f>
        <v>#REF!</v>
      </c>
      <c r="N584" s="203" t="e">
        <f>#REF!*#REF!^5/(Conv!$I$5*Conv!$D$46)/10^6 +#REF!</f>
        <v>#REF!</v>
      </c>
      <c r="O584" s="203" t="e">
        <f>#REF!*#REF!^5/(Conv!$I$5*Conv!$D$46)/10^6 +#REF!</f>
        <v>#REF!</v>
      </c>
      <c r="P584" s="203" t="e">
        <f>#REF!*#REF!^5/(Conv!$I$5*Conv!$D$46)/10^6 +#REF!</f>
        <v>#REF!</v>
      </c>
      <c r="Q584" s="203" t="e">
        <f>#REF!*#REF!^5/(Conv!$I$5*Conv!$D$46)/10^6 +#REF!</f>
        <v>#REF!</v>
      </c>
      <c r="S584" s="177"/>
      <c r="T584" s="177"/>
      <c r="U584" s="177"/>
      <c r="V584" s="177"/>
      <c r="W584" s="177"/>
      <c r="X584" s="177"/>
      <c r="Y584" s="177"/>
      <c r="Z584" s="177"/>
      <c r="AA584" s="177"/>
      <c r="AB584" s="177"/>
      <c r="AC584" s="177"/>
    </row>
    <row r="585" spans="2:29">
      <c r="B585" s="158" t="str">
        <f>IF(OR(LEFT(Commodities!B$64,1)="*",LEFT(Technologies!B$512,1)="*"),"*","R3")</f>
        <v>R3</v>
      </c>
      <c r="C585" s="158" t="e">
        <f>Technologies!C512</f>
        <v>#REF!</v>
      </c>
      <c r="D585" s="158" t="str">
        <f>Technologies!D512</f>
        <v>Delivery of Imported Distillate-Heating Oil No. 2 to the Commercial Sector</v>
      </c>
      <c r="E585" s="197" t="str">
        <f>Commodities!C$64</f>
        <v>DSHP1</v>
      </c>
      <c r="F585" s="197" t="e">
        <f>Commodities!C225</f>
        <v>#REF!</v>
      </c>
      <c r="G585" s="204">
        <v>1</v>
      </c>
      <c r="H585" s="203" t="e">
        <f>#REF!*#REF!^5/(Conv!$I$5*Conv!$D$46)/10^6 +#REF!</f>
        <v>#REF!</v>
      </c>
      <c r="I585" s="203" t="e">
        <f>#REF!*#REF!^5/(Conv!$I$5*Conv!$D$46)/10^6 +#REF!</f>
        <v>#REF!</v>
      </c>
      <c r="J585" s="203" t="e">
        <f>#REF!*#REF!^5/(Conv!$I$5*Conv!$D$46)/10^6 +#REF!</f>
        <v>#REF!</v>
      </c>
      <c r="K585" s="203" t="e">
        <f>#REF!*#REF!^5/(Conv!$I$5*Conv!$D$46)/10^6 +#REF!</f>
        <v>#REF!</v>
      </c>
      <c r="L585" s="203" t="e">
        <f>#REF!*#REF!^5/(Conv!$I$5*Conv!$D$46)/10^6 +#REF!</f>
        <v>#REF!</v>
      </c>
      <c r="M585" s="203" t="e">
        <f>#REF!*#REF!^5/(Conv!$I$5*Conv!$D$46)/10^6 +#REF!</f>
        <v>#REF!</v>
      </c>
      <c r="N585" s="203" t="e">
        <f>#REF!*#REF!^5/(Conv!$I$5*Conv!$D$46)/10^6 +#REF!</f>
        <v>#REF!</v>
      </c>
      <c r="O585" s="203" t="e">
        <f>#REF!*#REF!^5/(Conv!$I$5*Conv!$D$46)/10^6 +#REF!</f>
        <v>#REF!</v>
      </c>
      <c r="P585" s="203" t="e">
        <f>#REF!*#REF!^5/(Conv!$I$5*Conv!$D$46)/10^6 +#REF!</f>
        <v>#REF!</v>
      </c>
      <c r="Q585" s="203" t="e">
        <f>#REF!*#REF!^5/(Conv!$I$5*Conv!$D$46)/10^6 +#REF!</f>
        <v>#REF!</v>
      </c>
      <c r="S585" s="177"/>
      <c r="T585" s="177"/>
      <c r="U585" s="177"/>
      <c r="V585" s="177"/>
      <c r="W585" s="177"/>
      <c r="X585" s="177"/>
      <c r="Y585" s="177"/>
      <c r="Z585" s="177"/>
      <c r="AA585" s="177"/>
      <c r="AB585" s="177"/>
      <c r="AC585" s="177"/>
    </row>
    <row r="586" spans="2:29">
      <c r="B586" s="158" t="str">
        <f>IF(OR(LEFT(Commodities!B$64,1)="*",LEFT(Technologies!B$513,1)="*"),"*","R3")</f>
        <v>*</v>
      </c>
      <c r="C586" s="158" t="e">
        <f>Technologies!C513</f>
        <v>#REF!</v>
      </c>
      <c r="D586" s="158" t="str">
        <f>Technologies!D513</f>
        <v>Delivery of Imported Distillate-Heating Oil No. 2 to the Indistrial Sector</v>
      </c>
      <c r="E586" s="197" t="str">
        <f>Commodities!C$64</f>
        <v>DSHP1</v>
      </c>
      <c r="F586" s="197" t="e">
        <f>Commodities!C226</f>
        <v>#REF!</v>
      </c>
      <c r="G586" s="204">
        <v>1</v>
      </c>
      <c r="H586" s="203" t="e">
        <f>#REF!*#REF!^5/(Conv!$I$5*Conv!$D$46)/10^6 +#REF!</f>
        <v>#REF!</v>
      </c>
      <c r="I586" s="203" t="e">
        <f>#REF!*#REF!^5/(Conv!$I$5*Conv!$D$46)/10^6 +#REF!</f>
        <v>#REF!</v>
      </c>
      <c r="J586" s="203" t="e">
        <f>#REF!*#REF!^5/(Conv!$I$5*Conv!$D$46)/10^6 +#REF!</f>
        <v>#REF!</v>
      </c>
      <c r="K586" s="203" t="e">
        <f>#REF!*#REF!^5/(Conv!$I$5*Conv!$D$46)/10^6 +#REF!</f>
        <v>#REF!</v>
      </c>
      <c r="L586" s="203" t="e">
        <f>#REF!*#REF!^5/(Conv!$I$5*Conv!$D$46)/10^6 +#REF!</f>
        <v>#REF!</v>
      </c>
      <c r="M586" s="203" t="e">
        <f>#REF!*#REF!^5/(Conv!$I$5*Conv!$D$46)/10^6 +#REF!</f>
        <v>#REF!</v>
      </c>
      <c r="N586" s="203" t="e">
        <f>#REF!*#REF!^5/(Conv!$I$5*Conv!$D$46)/10^6 +#REF!</f>
        <v>#REF!</v>
      </c>
      <c r="O586" s="203" t="e">
        <f>#REF!*#REF!^5/(Conv!$I$5*Conv!$D$46)/10^6 +#REF!</f>
        <v>#REF!</v>
      </c>
      <c r="P586" s="203" t="e">
        <f>#REF!*#REF!^5/(Conv!$I$5*Conv!$D$46)/10^6 +#REF!</f>
        <v>#REF!</v>
      </c>
      <c r="Q586" s="203" t="e">
        <f>#REF!*#REF!^5/(Conv!$I$5*Conv!$D$46)/10^6 +#REF!</f>
        <v>#REF!</v>
      </c>
      <c r="S586" s="177"/>
      <c r="T586" s="177"/>
      <c r="U586" s="177"/>
      <c r="V586" s="177"/>
      <c r="W586" s="177"/>
      <c r="X586" s="177"/>
      <c r="Y586" s="177"/>
      <c r="Z586" s="177"/>
      <c r="AA586" s="177"/>
      <c r="AB586" s="177"/>
      <c r="AC586" s="177"/>
    </row>
    <row r="587" spans="2:29">
      <c r="B587" s="158" t="str">
        <f>IF(OR(LEFT(Commodities!B$64,1)="*",LEFT(Technologies!B$514,1)="*"),"*","R3")</f>
        <v>R3</v>
      </c>
      <c r="C587" s="158" t="e">
        <f>Technologies!C514</f>
        <v>#REF!</v>
      </c>
      <c r="D587" s="158" t="str">
        <f>Technologies!D514</f>
        <v>Delivery of Imported Distillate-Heating Oil No. 2 to the Electricity Sector</v>
      </c>
      <c r="E587" s="197" t="str">
        <f>Commodities!C$64</f>
        <v>DSHP1</v>
      </c>
      <c r="F587" s="197" t="e">
        <f>Commodities!C227</f>
        <v>#REF!</v>
      </c>
      <c r="G587" s="204">
        <v>1</v>
      </c>
      <c r="H587" s="203" t="e">
        <f>#REF!*#REF!^5/(Conv!$I$5*Conv!$D$46)/10^6 +#REF!</f>
        <v>#REF!</v>
      </c>
      <c r="I587" s="203" t="e">
        <f>#REF!*#REF!^5/(Conv!$I$5*Conv!$D$46)/10^6 +#REF!</f>
        <v>#REF!</v>
      </c>
      <c r="J587" s="203" t="e">
        <f>#REF!*#REF!^5/(Conv!$I$5*Conv!$D$46)/10^6 +#REF!</f>
        <v>#REF!</v>
      </c>
      <c r="K587" s="203" t="e">
        <f>#REF!*#REF!^5/(Conv!$I$5*Conv!$D$46)/10^6 +#REF!</f>
        <v>#REF!</v>
      </c>
      <c r="L587" s="203" t="e">
        <f>#REF!*#REF!^5/(Conv!$I$5*Conv!$D$46)/10^6 +#REF!</f>
        <v>#REF!</v>
      </c>
      <c r="M587" s="203" t="e">
        <f>#REF!*#REF!^5/(Conv!$I$5*Conv!$D$46)/10^6 +#REF!</f>
        <v>#REF!</v>
      </c>
      <c r="N587" s="203" t="e">
        <f>#REF!*#REF!^5/(Conv!$I$5*Conv!$D$46)/10^6 +#REF!</f>
        <v>#REF!</v>
      </c>
      <c r="O587" s="203" t="e">
        <f>#REF!*#REF!^5/(Conv!$I$5*Conv!$D$46)/10^6 +#REF!</f>
        <v>#REF!</v>
      </c>
      <c r="P587" s="203" t="e">
        <f>#REF!*#REF!^5/(Conv!$I$5*Conv!$D$46)/10^6 +#REF!</f>
        <v>#REF!</v>
      </c>
      <c r="Q587" s="203" t="e">
        <f>#REF!*#REF!^5/(Conv!$I$5*Conv!$D$46)/10^6 +#REF!</f>
        <v>#REF!</v>
      </c>
      <c r="S587" s="177"/>
      <c r="T587" s="177"/>
      <c r="U587" s="177"/>
      <c r="V587" s="177"/>
      <c r="W587" s="177"/>
      <c r="X587" s="177"/>
      <c r="Y587" s="177"/>
      <c r="Z587" s="177"/>
      <c r="AA587" s="177"/>
      <c r="AB587" s="177"/>
      <c r="AC587" s="177"/>
    </row>
    <row r="588" spans="2:29">
      <c r="B588" s="158" t="str">
        <f>IF(OR(LEFT(Commodities!B$65,1)="*",LEFT(Technologies!B$515,1)="*"),"*","R3")</f>
        <v>R3</v>
      </c>
      <c r="C588" s="158" t="e">
        <f>Technologies!C515</f>
        <v>#REF!</v>
      </c>
      <c r="D588" s="158" t="str">
        <f>Technologies!D515</f>
        <v>Delivery of Imported Distillate-Low Sulfur Highway Diesel (500 ppm)</v>
      </c>
      <c r="E588" s="197" t="str">
        <f>Commodities!C$65</f>
        <v>DSLP1</v>
      </c>
      <c r="F588" s="197" t="e">
        <f>Commodities!C228</f>
        <v>#REF!</v>
      </c>
      <c r="G588" s="204">
        <v>1</v>
      </c>
      <c r="H588" s="203" t="e">
        <f>#REF!*#REF!^5/(Conv!$I$5*Conv!$D$46)/10^6 +#REF!</f>
        <v>#REF!</v>
      </c>
      <c r="I588" s="203" t="e">
        <f>#REF!*#REF!^5/(Conv!$I$5*Conv!$D$46)/10^6 +#REF!</f>
        <v>#REF!</v>
      </c>
      <c r="J588" s="203" t="e">
        <f>#REF!*#REF!^5/(Conv!$I$5*Conv!$D$46)/10^6 +#REF!</f>
        <v>#REF!</v>
      </c>
      <c r="K588" s="203" t="e">
        <f>#REF!*#REF!^5/(Conv!$I$5*Conv!$D$46)/10^6 +#REF!</f>
        <v>#REF!</v>
      </c>
      <c r="L588" s="203" t="e">
        <f>#REF!*#REF!^5/(Conv!$I$5*Conv!$D$46)/10^6 +#REF!</f>
        <v>#REF!</v>
      </c>
      <c r="M588" s="203" t="e">
        <f>#REF!*#REF!^5/(Conv!$I$5*Conv!$D$46)/10^6 +#REF!</f>
        <v>#REF!</v>
      </c>
      <c r="N588" s="203" t="e">
        <f>#REF!*#REF!^5/(Conv!$I$5*Conv!$D$46)/10^6 +#REF!</f>
        <v>#REF!</v>
      </c>
      <c r="O588" s="203" t="e">
        <f>#REF!*#REF!^5/(Conv!$I$5*Conv!$D$46)/10^6 +#REF!</f>
        <v>#REF!</v>
      </c>
      <c r="P588" s="203" t="e">
        <f>#REF!*#REF!^5/(Conv!$I$5*Conv!$D$46)/10^6 +#REF!</f>
        <v>#REF!</v>
      </c>
      <c r="Q588" s="203" t="e">
        <f>#REF!*#REF!^5/(Conv!$I$5*Conv!$D$46)/10^6 +#REF!</f>
        <v>#REF!</v>
      </c>
      <c r="S588" s="177"/>
      <c r="T588" s="177"/>
      <c r="U588" s="177"/>
      <c r="V588" s="177"/>
      <c r="W588" s="177"/>
      <c r="X588" s="177"/>
      <c r="Y588" s="177"/>
      <c r="Z588" s="177"/>
      <c r="AA588" s="177"/>
      <c r="AB588" s="177"/>
      <c r="AC588" s="177"/>
    </row>
    <row r="589" spans="2:29">
      <c r="B589" s="158" t="str">
        <f>IF(OR(LEFT(Commodities!B$66,1)="*",LEFT(Technologies!B$516,1)="*"),"*","R3")</f>
        <v>R3</v>
      </c>
      <c r="C589" s="158" t="e">
        <f>Technologies!C516</f>
        <v>#REF!</v>
      </c>
      <c r="D589" s="158" t="str">
        <f>Technologies!D516</f>
        <v>Delivery of Imported Distillate-Ultralow Sulfur Highway Diesel (15 ppm)</v>
      </c>
      <c r="E589" s="197" t="str">
        <f>Commodities!C$66</f>
        <v>DSUP1</v>
      </c>
      <c r="F589" s="197" t="e">
        <f>Commodities!C229</f>
        <v>#REF!</v>
      </c>
      <c r="G589" s="204">
        <v>1</v>
      </c>
      <c r="H589" s="203" t="e">
        <f>#REF!*#REF!^5/(Conv!$I$5*Conv!$D$46)/10^6 +#REF!</f>
        <v>#REF!</v>
      </c>
      <c r="I589" s="203" t="e">
        <f>#REF!*#REF!^5/(Conv!$I$5*Conv!$D$46)/10^6 +#REF!</f>
        <v>#REF!</v>
      </c>
      <c r="J589" s="203" t="e">
        <f>#REF!*#REF!^5/(Conv!$I$5*Conv!$D$46)/10^6 +#REF!</f>
        <v>#REF!</v>
      </c>
      <c r="K589" s="203" t="e">
        <f>#REF!*#REF!^5/(Conv!$I$5*Conv!$D$46)/10^6 +#REF!</f>
        <v>#REF!</v>
      </c>
      <c r="L589" s="203" t="e">
        <f>#REF!*#REF!^5/(Conv!$I$5*Conv!$D$46)/10^6 +#REF!</f>
        <v>#REF!</v>
      </c>
      <c r="M589" s="203" t="e">
        <f>#REF!*#REF!^5/(Conv!$I$5*Conv!$D$46)/10^6 +#REF!</f>
        <v>#REF!</v>
      </c>
      <c r="N589" s="203" t="e">
        <f>#REF!*#REF!^5/(Conv!$I$5*Conv!$D$46)/10^6 +#REF!</f>
        <v>#REF!</v>
      </c>
      <c r="O589" s="203" t="e">
        <f>#REF!*#REF!^5/(Conv!$I$5*Conv!$D$46)/10^6 +#REF!</f>
        <v>#REF!</v>
      </c>
      <c r="P589" s="203" t="e">
        <f>#REF!*#REF!^5/(Conv!$I$5*Conv!$D$46)/10^6 +#REF!</f>
        <v>#REF!</v>
      </c>
      <c r="Q589" s="203" t="e">
        <f>#REF!*#REF!^5/(Conv!$I$5*Conv!$D$46)/10^6 +#REF!</f>
        <v>#REF!</v>
      </c>
      <c r="S589" s="177"/>
      <c r="T589" s="177"/>
      <c r="U589" s="177"/>
      <c r="V589" s="177"/>
      <c r="W589" s="177"/>
      <c r="X589" s="177"/>
      <c r="Y589" s="177"/>
      <c r="Z589" s="177"/>
      <c r="AA589" s="177"/>
      <c r="AB589" s="177"/>
      <c r="AC589" s="177"/>
    </row>
    <row r="590" spans="2:29">
      <c r="B590" s="158" t="str">
        <f>IF(OR(LEFT(Commodities!B$69,1)="*",LEFT(Technologies!B$517,1)="*"),"*","R3")</f>
        <v>*</v>
      </c>
      <c r="C590" s="158" t="e">
        <f>Technologies!C517</f>
        <v>#REF!</v>
      </c>
      <c r="D590" s="158" t="str">
        <f>Technologies!D517</f>
        <v>Delivery of Imported Jet Fuel</v>
      </c>
      <c r="E590" s="197" t="str">
        <f>Commodities!C$69</f>
        <v>JTFP1</v>
      </c>
      <c r="F590" s="197" t="e">
        <f>Commodities!C230</f>
        <v>#REF!</v>
      </c>
      <c r="G590" s="204">
        <v>1</v>
      </c>
      <c r="H590" s="203" t="e">
        <f>#REF!*#REF!^5/(Conv!$I$5*Conv!$D$46)/10^6 +#REF!</f>
        <v>#REF!</v>
      </c>
      <c r="I590" s="203" t="e">
        <f>#REF!*#REF!^5/(Conv!$I$5*Conv!$D$46)/10^6 +#REF!</f>
        <v>#REF!</v>
      </c>
      <c r="J590" s="203" t="e">
        <f>#REF!*#REF!^5/(Conv!$I$5*Conv!$D$46)/10^6 +#REF!</f>
        <v>#REF!</v>
      </c>
      <c r="K590" s="203" t="e">
        <f>#REF!*#REF!^5/(Conv!$I$5*Conv!$D$46)/10^6 +#REF!</f>
        <v>#REF!</v>
      </c>
      <c r="L590" s="203" t="e">
        <f>#REF!*#REF!^5/(Conv!$I$5*Conv!$D$46)/10^6 +#REF!</f>
        <v>#REF!</v>
      </c>
      <c r="M590" s="203" t="e">
        <f>#REF!*#REF!^5/(Conv!$I$5*Conv!$D$46)/10^6 +#REF!</f>
        <v>#REF!</v>
      </c>
      <c r="N590" s="203" t="e">
        <f>#REF!*#REF!^5/(Conv!$I$5*Conv!$D$46)/10^6 +#REF!</f>
        <v>#REF!</v>
      </c>
      <c r="O590" s="203" t="e">
        <f>#REF!*#REF!^5/(Conv!$I$5*Conv!$D$46)/10^6 +#REF!</f>
        <v>#REF!</v>
      </c>
      <c r="P590" s="203" t="e">
        <f>#REF!*#REF!^5/(Conv!$I$5*Conv!$D$46)/10^6 +#REF!</f>
        <v>#REF!</v>
      </c>
      <c r="Q590" s="203" t="e">
        <f>#REF!*#REF!^5/(Conv!$I$5*Conv!$D$46)/10^6 +#REF!</f>
        <v>#REF!</v>
      </c>
      <c r="S590" s="177"/>
      <c r="T590" s="177"/>
      <c r="U590" s="177"/>
      <c r="V590" s="177"/>
      <c r="W590" s="177"/>
      <c r="X590" s="177"/>
      <c r="Y590" s="177"/>
      <c r="Z590" s="177"/>
      <c r="AA590" s="177"/>
      <c r="AB590" s="177"/>
      <c r="AC590" s="177"/>
    </row>
    <row r="591" spans="2:29">
      <c r="B591" s="158" t="str">
        <f>IF(OR(LEFT(Commodities!B$70,1)="*",LEFT(Technologies!B$518,1)="*"),"*","R3")</f>
        <v>*</v>
      </c>
      <c r="C591" s="158" t="e">
        <f>Technologies!C518</f>
        <v>#REF!</v>
      </c>
      <c r="D591" s="158" t="str">
        <f>Technologies!D518</f>
        <v>Delivery of Imported Kerosene and Other Refined Products to the Residential Sector</v>
      </c>
      <c r="E591" s="197" t="str">
        <f>Commodities!C$70</f>
        <v>KERP1</v>
      </c>
      <c r="F591" s="197" t="e">
        <f>Commodities!C231</f>
        <v>#REF!</v>
      </c>
      <c r="G591" s="204">
        <v>1</v>
      </c>
      <c r="H591" s="203" t="e">
        <f>#REF!*#REF!^5/(Conv!$I$5*Conv!$D$46)/10^6 +#REF!</f>
        <v>#REF!</v>
      </c>
      <c r="I591" s="203" t="e">
        <f>#REF!*#REF!^5/(Conv!$I$5*Conv!$D$46)/10^6 +#REF!</f>
        <v>#REF!</v>
      </c>
      <c r="J591" s="203" t="e">
        <f>#REF!*#REF!^5/(Conv!$I$5*Conv!$D$46)/10^6 +#REF!</f>
        <v>#REF!</v>
      </c>
      <c r="K591" s="203" t="e">
        <f>#REF!*#REF!^5/(Conv!$I$5*Conv!$D$46)/10^6 +#REF!</f>
        <v>#REF!</v>
      </c>
      <c r="L591" s="203" t="e">
        <f>#REF!*#REF!^5/(Conv!$I$5*Conv!$D$46)/10^6 +#REF!</f>
        <v>#REF!</v>
      </c>
      <c r="M591" s="203" t="e">
        <f>#REF!*#REF!^5/(Conv!$I$5*Conv!$D$46)/10^6 +#REF!</f>
        <v>#REF!</v>
      </c>
      <c r="N591" s="203" t="e">
        <f>#REF!*#REF!^5/(Conv!$I$5*Conv!$D$46)/10^6 +#REF!</f>
        <v>#REF!</v>
      </c>
      <c r="O591" s="203" t="e">
        <f>#REF!*#REF!^5/(Conv!$I$5*Conv!$D$46)/10^6 +#REF!</f>
        <v>#REF!</v>
      </c>
      <c r="P591" s="203" t="e">
        <f>#REF!*#REF!^5/(Conv!$I$5*Conv!$D$46)/10^6 +#REF!</f>
        <v>#REF!</v>
      </c>
      <c r="Q591" s="203" t="e">
        <f>#REF!*#REF!^5/(Conv!$I$5*Conv!$D$46)/10^6 +#REF!</f>
        <v>#REF!</v>
      </c>
      <c r="S591" s="177"/>
      <c r="T591" s="177"/>
      <c r="U591" s="177"/>
      <c r="V591" s="177"/>
      <c r="W591" s="177"/>
      <c r="X591" s="177"/>
      <c r="Y591" s="177"/>
      <c r="Z591" s="177"/>
      <c r="AA591" s="177"/>
      <c r="AB591" s="177"/>
      <c r="AC591" s="177"/>
    </row>
    <row r="592" spans="2:29">
      <c r="B592" s="158" t="str">
        <f>IF(OR(LEFT(Commodities!B$70,1)="*",LEFT(Technologies!B$519,1)="*"),"*","R3")</f>
        <v>*</v>
      </c>
      <c r="C592" s="158" t="e">
        <f>Technologies!C519</f>
        <v>#REF!</v>
      </c>
      <c r="D592" s="158" t="str">
        <f>Technologies!D519</f>
        <v>Delivery of Imported Kerosene and Other Refined Products to the Commercial Sector</v>
      </c>
      <c r="E592" s="197" t="str">
        <f>Commodities!C$70</f>
        <v>KERP1</v>
      </c>
      <c r="F592" s="197" t="e">
        <f>Commodities!C232</f>
        <v>#REF!</v>
      </c>
      <c r="G592" s="204">
        <v>1</v>
      </c>
      <c r="H592" s="203" t="e">
        <f>#REF!*#REF!^5/(Conv!$I$5*Conv!$D$46)/10^6 +#REF!</f>
        <v>#REF!</v>
      </c>
      <c r="I592" s="203" t="e">
        <f>#REF!*#REF!^5/(Conv!$I$5*Conv!$D$46)/10^6 +#REF!</f>
        <v>#REF!</v>
      </c>
      <c r="J592" s="203" t="e">
        <f>#REF!*#REF!^5/(Conv!$I$5*Conv!$D$46)/10^6 +#REF!</f>
        <v>#REF!</v>
      </c>
      <c r="K592" s="203" t="e">
        <f>#REF!*#REF!^5/(Conv!$I$5*Conv!$D$46)/10^6 +#REF!</f>
        <v>#REF!</v>
      </c>
      <c r="L592" s="203" t="e">
        <f>#REF!*#REF!^5/(Conv!$I$5*Conv!$D$46)/10^6 +#REF!</f>
        <v>#REF!</v>
      </c>
      <c r="M592" s="203" t="e">
        <f>#REF!*#REF!^5/(Conv!$I$5*Conv!$D$46)/10^6 +#REF!</f>
        <v>#REF!</v>
      </c>
      <c r="N592" s="203" t="e">
        <f>#REF!*#REF!^5/(Conv!$I$5*Conv!$D$46)/10^6 +#REF!</f>
        <v>#REF!</v>
      </c>
      <c r="O592" s="203" t="e">
        <f>#REF!*#REF!^5/(Conv!$I$5*Conv!$D$46)/10^6 +#REF!</f>
        <v>#REF!</v>
      </c>
      <c r="P592" s="203" t="e">
        <f>#REF!*#REF!^5/(Conv!$I$5*Conv!$D$46)/10^6 +#REF!</f>
        <v>#REF!</v>
      </c>
      <c r="Q592" s="203" t="e">
        <f>#REF!*#REF!^5/(Conv!$I$5*Conv!$D$46)/10^6 +#REF!</f>
        <v>#REF!</v>
      </c>
      <c r="S592" s="177"/>
      <c r="T592" s="177"/>
      <c r="U592" s="177"/>
      <c r="V592" s="177"/>
      <c r="W592" s="177"/>
      <c r="X592" s="177"/>
      <c r="Y592" s="177"/>
      <c r="Z592" s="177"/>
      <c r="AA592" s="177"/>
      <c r="AB592" s="177"/>
      <c r="AC592" s="177"/>
    </row>
    <row r="593" spans="2:29">
      <c r="B593" s="158" t="str">
        <f>IF(OR(LEFT(Commodities!B$70,1)="*",LEFT(Technologies!B$520,1)="*"),"*","R3")</f>
        <v>*</v>
      </c>
      <c r="C593" s="158" t="e">
        <f>Technologies!C520</f>
        <v>#REF!</v>
      </c>
      <c r="D593" s="158" t="str">
        <f>Technologies!D520</f>
        <v>Delivery of Imported Kerosene and Other Refined Products to the Industrial Sector</v>
      </c>
      <c r="E593" s="197" t="str">
        <f>Commodities!C$70</f>
        <v>KERP1</v>
      </c>
      <c r="F593" s="197" t="e">
        <f>Commodities!C233</f>
        <v>#REF!</v>
      </c>
      <c r="G593" s="204">
        <v>1</v>
      </c>
      <c r="H593" s="203" t="e">
        <f>#REF!*#REF!^5/(Conv!$I$5*Conv!$D$46)/10^6 +#REF!</f>
        <v>#REF!</v>
      </c>
      <c r="I593" s="203" t="e">
        <f>#REF!*#REF!^5/(Conv!$I$5*Conv!$D$46)/10^6 +#REF!</f>
        <v>#REF!</v>
      </c>
      <c r="J593" s="203" t="e">
        <f>#REF!*#REF!^5/(Conv!$I$5*Conv!$D$46)/10^6 +#REF!</f>
        <v>#REF!</v>
      </c>
      <c r="K593" s="203" t="e">
        <f>#REF!*#REF!^5/(Conv!$I$5*Conv!$D$46)/10^6 +#REF!</f>
        <v>#REF!</v>
      </c>
      <c r="L593" s="203" t="e">
        <f>#REF!*#REF!^5/(Conv!$I$5*Conv!$D$46)/10^6 +#REF!</f>
        <v>#REF!</v>
      </c>
      <c r="M593" s="203" t="e">
        <f>#REF!*#REF!^5/(Conv!$I$5*Conv!$D$46)/10^6 +#REF!</f>
        <v>#REF!</v>
      </c>
      <c r="N593" s="203" t="e">
        <f>#REF!*#REF!^5/(Conv!$I$5*Conv!$D$46)/10^6 +#REF!</f>
        <v>#REF!</v>
      </c>
      <c r="O593" s="203" t="e">
        <f>#REF!*#REF!^5/(Conv!$I$5*Conv!$D$46)/10^6 +#REF!</f>
        <v>#REF!</v>
      </c>
      <c r="P593" s="203" t="e">
        <f>#REF!*#REF!^5/(Conv!$I$5*Conv!$D$46)/10^6 +#REF!</f>
        <v>#REF!</v>
      </c>
      <c r="Q593" s="203" t="e">
        <f>#REF!*#REF!^5/(Conv!$I$5*Conv!$D$46)/10^6 +#REF!</f>
        <v>#REF!</v>
      </c>
      <c r="S593" s="177"/>
      <c r="T593" s="177"/>
      <c r="U593" s="177"/>
      <c r="V593" s="177"/>
      <c r="W593" s="177"/>
      <c r="X593" s="177"/>
      <c r="Y593" s="177"/>
      <c r="Z593" s="177"/>
      <c r="AA593" s="177"/>
      <c r="AB593" s="177"/>
      <c r="AC593" s="177"/>
    </row>
    <row r="594" spans="2:29">
      <c r="B594" s="158" t="str">
        <f>IF(OR(LEFT(Commodities!B$71,1)="*",LEFT(Technologies!B$521,1)="*"),"*","R3")</f>
        <v>*</v>
      </c>
      <c r="C594" s="158" t="e">
        <f>Technologies!C521</f>
        <v>#REF!</v>
      </c>
      <c r="D594" s="158" t="str">
        <f>Technologies!D521</f>
        <v>Delivery of Imported LPG to the Residential Sector</v>
      </c>
      <c r="E594" s="197" t="str">
        <f>Commodities!C$71</f>
        <v>LPGP1</v>
      </c>
      <c r="F594" s="197" t="e">
        <f>Commodities!C234</f>
        <v>#REF!</v>
      </c>
      <c r="G594" s="204">
        <v>1</v>
      </c>
      <c r="H594" s="203" t="e">
        <f>#REF!*#REF!^5/(Conv!$I$5*Conv!$D$46)/10^6 +#REF!</f>
        <v>#REF!</v>
      </c>
      <c r="I594" s="203" t="e">
        <f>#REF!*#REF!^5/(Conv!$I$5*Conv!$D$46)/10^6 +#REF!</f>
        <v>#REF!</v>
      </c>
      <c r="J594" s="203" t="e">
        <f>#REF!*#REF!^5/(Conv!$I$5*Conv!$D$46)/10^6 +#REF!</f>
        <v>#REF!</v>
      </c>
      <c r="K594" s="203" t="e">
        <f>#REF!*#REF!^5/(Conv!$I$5*Conv!$D$46)/10^6 +#REF!</f>
        <v>#REF!</v>
      </c>
      <c r="L594" s="203" t="e">
        <f>#REF!*#REF!^5/(Conv!$I$5*Conv!$D$46)/10^6 +#REF!</f>
        <v>#REF!</v>
      </c>
      <c r="M594" s="203" t="e">
        <f>#REF!*#REF!^5/(Conv!$I$5*Conv!$D$46)/10^6 +#REF!</f>
        <v>#REF!</v>
      </c>
      <c r="N594" s="203" t="e">
        <f>#REF!*#REF!^5/(Conv!$I$5*Conv!$D$46)/10^6 +#REF!</f>
        <v>#REF!</v>
      </c>
      <c r="O594" s="203" t="e">
        <f>#REF!*#REF!^5/(Conv!$I$5*Conv!$D$46)/10^6 +#REF!</f>
        <v>#REF!</v>
      </c>
      <c r="P594" s="203" t="e">
        <f>#REF!*#REF!^5/(Conv!$I$5*Conv!$D$46)/10^6 +#REF!</f>
        <v>#REF!</v>
      </c>
      <c r="Q594" s="203" t="e">
        <f>#REF!*#REF!^5/(Conv!$I$5*Conv!$D$46)/10^6 +#REF!</f>
        <v>#REF!</v>
      </c>
      <c r="S594" s="177"/>
      <c r="T594" s="177"/>
      <c r="U594" s="177"/>
      <c r="V594" s="177"/>
      <c r="W594" s="177"/>
      <c r="X594" s="177"/>
      <c r="Y594" s="177"/>
      <c r="Z594" s="177"/>
      <c r="AA594" s="177"/>
      <c r="AB594" s="177"/>
      <c r="AC594" s="177"/>
    </row>
    <row r="595" spans="2:29">
      <c r="B595" s="158" t="str">
        <f>IF(OR(LEFT(Commodities!B$71,1)="*",LEFT(Technologies!B$522,1)="*"),"*","R3")</f>
        <v>*</v>
      </c>
      <c r="C595" s="158" t="e">
        <f>Technologies!C522</f>
        <v>#REF!</v>
      </c>
      <c r="D595" s="158" t="str">
        <f>Technologies!D522</f>
        <v>Delivery of Imported LPG to the Commercial Sector</v>
      </c>
      <c r="E595" s="197" t="str">
        <f>Commodities!C$71</f>
        <v>LPGP1</v>
      </c>
      <c r="F595" s="197" t="e">
        <f>Commodities!C235</f>
        <v>#REF!</v>
      </c>
      <c r="G595" s="204">
        <v>1</v>
      </c>
      <c r="H595" s="203" t="e">
        <f>#REF!*#REF!^5/(Conv!$I$5*Conv!$D$46)/10^6 +#REF!</f>
        <v>#REF!</v>
      </c>
      <c r="I595" s="203" t="e">
        <f>#REF!*#REF!^5/(Conv!$I$5*Conv!$D$46)/10^6 +#REF!</f>
        <v>#REF!</v>
      </c>
      <c r="J595" s="203" t="e">
        <f>#REF!*#REF!^5/(Conv!$I$5*Conv!$D$46)/10^6 +#REF!</f>
        <v>#REF!</v>
      </c>
      <c r="K595" s="203" t="e">
        <f>#REF!*#REF!^5/(Conv!$I$5*Conv!$D$46)/10^6 +#REF!</f>
        <v>#REF!</v>
      </c>
      <c r="L595" s="203" t="e">
        <f>#REF!*#REF!^5/(Conv!$I$5*Conv!$D$46)/10^6 +#REF!</f>
        <v>#REF!</v>
      </c>
      <c r="M595" s="203" t="e">
        <f>#REF!*#REF!^5/(Conv!$I$5*Conv!$D$46)/10^6 +#REF!</f>
        <v>#REF!</v>
      </c>
      <c r="N595" s="203" t="e">
        <f>#REF!*#REF!^5/(Conv!$I$5*Conv!$D$46)/10^6 +#REF!</f>
        <v>#REF!</v>
      </c>
      <c r="O595" s="203" t="e">
        <f>#REF!*#REF!^5/(Conv!$I$5*Conv!$D$46)/10^6 +#REF!</f>
        <v>#REF!</v>
      </c>
      <c r="P595" s="203" t="e">
        <f>#REF!*#REF!^5/(Conv!$I$5*Conv!$D$46)/10^6 +#REF!</f>
        <v>#REF!</v>
      </c>
      <c r="Q595" s="203" t="e">
        <f>#REF!*#REF!^5/(Conv!$I$5*Conv!$D$46)/10^6 +#REF!</f>
        <v>#REF!</v>
      </c>
      <c r="S595" s="177"/>
      <c r="T595" s="177"/>
      <c r="U595" s="177"/>
      <c r="V595" s="177"/>
      <c r="W595" s="177"/>
      <c r="X595" s="177"/>
      <c r="Y595" s="177"/>
      <c r="Z595" s="177"/>
      <c r="AA595" s="177"/>
      <c r="AB595" s="177"/>
      <c r="AC595" s="177"/>
    </row>
    <row r="596" spans="2:29">
      <c r="B596" s="158" t="str">
        <f>IF(OR(LEFT(Commodities!B$71,1)="*",LEFT(Technologies!B$523,1)="*"),"*","R3")</f>
        <v>*</v>
      </c>
      <c r="C596" s="158" t="e">
        <f>Technologies!C523</f>
        <v>#REF!</v>
      </c>
      <c r="D596" s="158" t="str">
        <f>Technologies!D523</f>
        <v>Delivery of Imported LPG to the Industrial Sector</v>
      </c>
      <c r="E596" s="197" t="str">
        <f>Commodities!C$71</f>
        <v>LPGP1</v>
      </c>
      <c r="F596" s="197" t="e">
        <f>Commodities!C236</f>
        <v>#REF!</v>
      </c>
      <c r="G596" s="204">
        <v>1</v>
      </c>
      <c r="H596" s="203" t="e">
        <f>#REF!*#REF!^5/(Conv!$I$5*Conv!$D$46)/10^6 +#REF!</f>
        <v>#REF!</v>
      </c>
      <c r="I596" s="203" t="e">
        <f>#REF!*#REF!^5/(Conv!$I$5*Conv!$D$46)/10^6 +#REF!</f>
        <v>#REF!</v>
      </c>
      <c r="J596" s="203" t="e">
        <f>#REF!*#REF!^5/(Conv!$I$5*Conv!$D$46)/10^6 +#REF!</f>
        <v>#REF!</v>
      </c>
      <c r="K596" s="203" t="e">
        <f>#REF!*#REF!^5/(Conv!$I$5*Conv!$D$46)/10^6 +#REF!</f>
        <v>#REF!</v>
      </c>
      <c r="L596" s="203" t="e">
        <f>#REF!*#REF!^5/(Conv!$I$5*Conv!$D$46)/10^6 +#REF!</f>
        <v>#REF!</v>
      </c>
      <c r="M596" s="203" t="e">
        <f>#REF!*#REF!^5/(Conv!$I$5*Conv!$D$46)/10^6 +#REF!</f>
        <v>#REF!</v>
      </c>
      <c r="N596" s="203" t="e">
        <f>#REF!*#REF!^5/(Conv!$I$5*Conv!$D$46)/10^6 +#REF!</f>
        <v>#REF!</v>
      </c>
      <c r="O596" s="203" t="e">
        <f>#REF!*#REF!^5/(Conv!$I$5*Conv!$D$46)/10^6 +#REF!</f>
        <v>#REF!</v>
      </c>
      <c r="P596" s="203" t="e">
        <f>#REF!*#REF!^5/(Conv!$I$5*Conv!$D$46)/10^6 +#REF!</f>
        <v>#REF!</v>
      </c>
      <c r="Q596" s="203" t="e">
        <f>#REF!*#REF!^5/(Conv!$I$5*Conv!$D$46)/10^6 +#REF!</f>
        <v>#REF!</v>
      </c>
      <c r="S596" s="177"/>
      <c r="T596" s="177"/>
      <c r="U596" s="177"/>
      <c r="V596" s="177"/>
      <c r="W596" s="177"/>
      <c r="X596" s="177"/>
      <c r="Y596" s="177"/>
      <c r="Z596" s="177"/>
      <c r="AA596" s="177"/>
      <c r="AB596" s="177"/>
      <c r="AC596" s="177"/>
    </row>
    <row r="597" spans="2:29">
      <c r="B597" s="158" t="str">
        <f>IF(OR(LEFT(Commodities!B$71,1)="*",LEFT(Technologies!B$524,1)="*"),"*","R3")</f>
        <v>*</v>
      </c>
      <c r="C597" s="158" t="e">
        <f>Technologies!C524</f>
        <v>#REF!</v>
      </c>
      <c r="D597" s="158" t="str">
        <f>Technologies!D524</f>
        <v>Delivery of Imported LPG to the Transportation Sector</v>
      </c>
      <c r="E597" s="197" t="str">
        <f>Commodities!C$71</f>
        <v>LPGP1</v>
      </c>
      <c r="F597" s="197" t="e">
        <f>Commodities!C237</f>
        <v>#REF!</v>
      </c>
      <c r="G597" s="204">
        <v>1</v>
      </c>
      <c r="H597" s="203" t="e">
        <f>#REF!*#REF!^5/(Conv!$I$5*Conv!$D$46)/10^6 +#REF!</f>
        <v>#REF!</v>
      </c>
      <c r="I597" s="203" t="e">
        <f>#REF!*#REF!^5/(Conv!$I$5*Conv!$D$46)/10^6 +#REF!</f>
        <v>#REF!</v>
      </c>
      <c r="J597" s="203" t="e">
        <f>#REF!*#REF!^5/(Conv!$I$5*Conv!$D$46)/10^6 +#REF!</f>
        <v>#REF!</v>
      </c>
      <c r="K597" s="203" t="e">
        <f>#REF!*#REF!^5/(Conv!$I$5*Conv!$D$46)/10^6 +#REF!</f>
        <v>#REF!</v>
      </c>
      <c r="L597" s="203" t="e">
        <f>#REF!*#REF!^5/(Conv!$I$5*Conv!$D$46)/10^6 +#REF!</f>
        <v>#REF!</v>
      </c>
      <c r="M597" s="203" t="e">
        <f>#REF!*#REF!^5/(Conv!$I$5*Conv!$D$46)/10^6 +#REF!</f>
        <v>#REF!</v>
      </c>
      <c r="N597" s="203" t="e">
        <f>#REF!*#REF!^5/(Conv!$I$5*Conv!$D$46)/10^6 +#REF!</f>
        <v>#REF!</v>
      </c>
      <c r="O597" s="203" t="e">
        <f>#REF!*#REF!^5/(Conv!$I$5*Conv!$D$46)/10^6 +#REF!</f>
        <v>#REF!</v>
      </c>
      <c r="P597" s="203" t="e">
        <f>#REF!*#REF!^5/(Conv!$I$5*Conv!$D$46)/10^6 +#REF!</f>
        <v>#REF!</v>
      </c>
      <c r="Q597" s="203" t="e">
        <f>#REF!*#REF!^5/(Conv!$I$5*Conv!$D$46)/10^6 +#REF!</f>
        <v>#REF!</v>
      </c>
      <c r="S597" s="177"/>
      <c r="T597" s="177"/>
      <c r="U597" s="177"/>
      <c r="V597" s="177"/>
      <c r="W597" s="177"/>
      <c r="X597" s="177"/>
      <c r="Y597" s="177"/>
      <c r="Z597" s="177"/>
      <c r="AA597" s="177"/>
      <c r="AB597" s="177"/>
      <c r="AC597" s="177"/>
    </row>
    <row r="598" spans="2:29">
      <c r="B598" s="158" t="str">
        <f>IF(LEFT(Technologies!B$525,1)="*","*","R3")</f>
        <v>*</v>
      </c>
      <c r="C598" s="158" t="e">
        <f>Technologies!C525</f>
        <v>#REF!</v>
      </c>
      <c r="D598" s="158" t="str">
        <f>Technologies!D525</f>
        <v>Delivery of Imported Methanol</v>
      </c>
      <c r="E598" s="197" t="str">
        <f>Commodities!C$72</f>
        <v>MTHP1</v>
      </c>
      <c r="F598" s="197" t="e">
        <f>Commodities!C238</f>
        <v>#REF!</v>
      </c>
      <c r="G598" s="204">
        <v>1</v>
      </c>
      <c r="H598" s="203" t="e">
        <f>#REF!*#REF!^5/(Conv!$I$5*Conv!$D$46)/10^6 +#REF!</f>
        <v>#REF!</v>
      </c>
      <c r="I598" s="203" t="e">
        <f>#REF!*#REF!^5/(Conv!$I$5*Conv!$D$46)/10^6 +#REF!</f>
        <v>#REF!</v>
      </c>
      <c r="J598" s="203" t="e">
        <f>#REF!*#REF!^5/(Conv!$I$5*Conv!$D$46)/10^6 +#REF!</f>
        <v>#REF!</v>
      </c>
      <c r="K598" s="203" t="e">
        <f>#REF!*#REF!^5/(Conv!$I$5*Conv!$D$46)/10^6 +#REF!</f>
        <v>#REF!</v>
      </c>
      <c r="L598" s="203" t="e">
        <f>#REF!*#REF!^5/(Conv!$I$5*Conv!$D$46)/10^6 +#REF!</f>
        <v>#REF!</v>
      </c>
      <c r="M598" s="203" t="e">
        <f>#REF!*#REF!^5/(Conv!$I$5*Conv!$D$46)/10^6 +#REF!</f>
        <v>#REF!</v>
      </c>
      <c r="N598" s="203" t="e">
        <f>#REF!*#REF!^5/(Conv!$I$5*Conv!$D$46)/10^6 +#REF!</f>
        <v>#REF!</v>
      </c>
      <c r="O598" s="203" t="e">
        <f>#REF!*#REF!^5/(Conv!$I$5*Conv!$D$46)/10^6 +#REF!</f>
        <v>#REF!</v>
      </c>
      <c r="P598" s="203" t="e">
        <f>#REF!*#REF!^5/(Conv!$I$5*Conv!$D$46)/10^6 +#REF!</f>
        <v>#REF!</v>
      </c>
      <c r="Q598" s="203" t="e">
        <f>#REF!*#REF!^5/(Conv!$I$5*Conv!$D$46)/10^6 +#REF!</f>
        <v>#REF!</v>
      </c>
      <c r="S598" s="177"/>
      <c r="T598" s="177"/>
      <c r="U598" s="177"/>
      <c r="V598" s="177"/>
      <c r="W598" s="177"/>
      <c r="X598" s="177"/>
      <c r="Y598" s="177"/>
      <c r="Z598" s="177"/>
      <c r="AA598" s="177"/>
      <c r="AB598" s="177"/>
      <c r="AC598" s="177"/>
    </row>
    <row r="599" spans="2:29">
      <c r="B599" s="158" t="str">
        <f>IF(OR(LEFT(Commodities!B$239,1)="*",LEFT(Technologies!B$526,1)="*"),"*","R3")</f>
        <v>*</v>
      </c>
      <c r="C599" s="158" t="e">
        <f>Technologies!C526</f>
        <v>#REF!</v>
      </c>
      <c r="D599" s="158" t="str">
        <f>Technologies!D526</f>
        <v>Delivery of Imported Petrochemical Feedstocks</v>
      </c>
      <c r="E599" s="197" t="str">
        <f>Commodities!C$73</f>
        <v>PFSP1</v>
      </c>
      <c r="F599" s="197" t="e">
        <f>Commodities!C239</f>
        <v>#REF!</v>
      </c>
      <c r="G599" s="204">
        <v>1</v>
      </c>
      <c r="H599" s="203" t="e">
        <f>#REF!*#REF!^5/(Conv!$I$5*Conv!$D$46)/10^6 +#REF!</f>
        <v>#REF!</v>
      </c>
      <c r="I599" s="203" t="e">
        <f>#REF!*#REF!^5/(Conv!$I$5*Conv!$D$46)/10^6 +#REF!</f>
        <v>#REF!</v>
      </c>
      <c r="J599" s="203" t="e">
        <f>#REF!*#REF!^5/(Conv!$I$5*Conv!$D$46)/10^6 +#REF!</f>
        <v>#REF!</v>
      </c>
      <c r="K599" s="203" t="e">
        <f>#REF!*#REF!^5/(Conv!$I$5*Conv!$D$46)/10^6 +#REF!</f>
        <v>#REF!</v>
      </c>
      <c r="L599" s="203" t="e">
        <f>#REF!*#REF!^5/(Conv!$I$5*Conv!$D$46)/10^6 +#REF!</f>
        <v>#REF!</v>
      </c>
      <c r="M599" s="203" t="e">
        <f>#REF!*#REF!^5/(Conv!$I$5*Conv!$D$46)/10^6 +#REF!</f>
        <v>#REF!</v>
      </c>
      <c r="N599" s="203" t="e">
        <f>#REF!*#REF!^5/(Conv!$I$5*Conv!$D$46)/10^6 +#REF!</f>
        <v>#REF!</v>
      </c>
      <c r="O599" s="203" t="e">
        <f>#REF!*#REF!^5/(Conv!$I$5*Conv!$D$46)/10^6 +#REF!</f>
        <v>#REF!</v>
      </c>
      <c r="P599" s="203" t="e">
        <f>#REF!*#REF!^5/(Conv!$I$5*Conv!$D$46)/10^6 +#REF!</f>
        <v>#REF!</v>
      </c>
      <c r="Q599" s="203" t="e">
        <f>#REF!*#REF!^5/(Conv!$I$5*Conv!$D$46)/10^6 +#REF!</f>
        <v>#REF!</v>
      </c>
      <c r="S599" s="177"/>
      <c r="T599" s="177"/>
      <c r="U599" s="177"/>
      <c r="V599" s="177"/>
      <c r="W599" s="177"/>
      <c r="X599" s="177"/>
      <c r="Y599" s="177"/>
      <c r="Z599" s="177"/>
      <c r="AA599" s="177"/>
      <c r="AB599" s="177"/>
      <c r="AC599" s="177"/>
    </row>
    <row r="600" spans="2:29">
      <c r="B600" s="158" t="str">
        <f>IF(OR(LEFT(Commodities!B$75,1)="*",LEFT(Technologies!B$527,1)="*"),"*","R3")</f>
        <v>*</v>
      </c>
      <c r="C600" s="158" t="str">
        <f>Technologies!C527</f>
        <v>XIRESRFLP1</v>
      </c>
      <c r="D600" s="158" t="str">
        <f>Technologies!D527</f>
        <v>Delivery of Imported Low Sulfur Residual Fuel Oil to Residential Sector</v>
      </c>
      <c r="E600" s="197" t="str">
        <f>Commodities!C$75</f>
        <v>RFLP1</v>
      </c>
      <c r="F600" s="197" t="str">
        <f>Commodities!C240</f>
        <v>RESRFL</v>
      </c>
      <c r="G600" s="204">
        <v>1</v>
      </c>
      <c r="H600" s="203" t="e">
        <f>#REF!*#REF!^5/(Conv!$I$5*Conv!$D$46)/10^6 +#REF!</f>
        <v>#REF!</v>
      </c>
      <c r="I600" s="203" t="e">
        <f>#REF!*#REF!^5/(Conv!$I$5*Conv!$D$46)/10^6 +#REF!</f>
        <v>#REF!</v>
      </c>
      <c r="J600" s="203" t="e">
        <f>#REF!*#REF!^5/(Conv!$I$5*Conv!$D$46)/10^6 +#REF!</f>
        <v>#REF!</v>
      </c>
      <c r="K600" s="203" t="e">
        <f>#REF!*#REF!^5/(Conv!$I$5*Conv!$D$46)/10^6 +#REF!</f>
        <v>#REF!</v>
      </c>
      <c r="L600" s="203" t="e">
        <f>#REF!*#REF!^5/(Conv!$I$5*Conv!$D$46)/10^6 +#REF!</f>
        <v>#REF!</v>
      </c>
      <c r="M600" s="203" t="e">
        <f>#REF!*#REF!^5/(Conv!$I$5*Conv!$D$46)/10^6 +#REF!</f>
        <v>#REF!</v>
      </c>
      <c r="N600" s="203" t="e">
        <f>#REF!*#REF!^5/(Conv!$I$5*Conv!$D$46)/10^6 +#REF!</f>
        <v>#REF!</v>
      </c>
      <c r="O600" s="203" t="e">
        <f>#REF!*#REF!^5/(Conv!$I$5*Conv!$D$46)/10^6 +#REF!</f>
        <v>#REF!</v>
      </c>
      <c r="P600" s="203" t="e">
        <f>#REF!*#REF!^5/(Conv!$I$5*Conv!$D$46)/10^6 +#REF!</f>
        <v>#REF!</v>
      </c>
      <c r="Q600" s="203" t="e">
        <f>#REF!*#REF!^5/(Conv!$I$5*Conv!$D$46)/10^6 +#REF!</f>
        <v>#REF!</v>
      </c>
      <c r="S600" s="177"/>
      <c r="T600" s="177"/>
      <c r="U600" s="177"/>
      <c r="V600" s="177"/>
      <c r="W600" s="177"/>
      <c r="X600" s="177"/>
      <c r="Y600" s="177"/>
      <c r="Z600" s="177"/>
      <c r="AA600" s="177"/>
      <c r="AB600" s="177"/>
      <c r="AC600" s="177"/>
    </row>
    <row r="601" spans="2:29">
      <c r="B601" s="158" t="str">
        <f>IF(OR(LEFT(Commodities!B$75,1)="*",LEFT(Technologies!B$528,1)="*"),"*","R3")</f>
        <v>*</v>
      </c>
      <c r="C601" s="158" t="e">
        <f>Technologies!C528</f>
        <v>#REF!</v>
      </c>
      <c r="D601" s="158" t="str">
        <f>Technologies!D528</f>
        <v>Delivery of Imported Low Sulfur Residual Fuel Oil to Commercial Sector</v>
      </c>
      <c r="E601" s="197" t="str">
        <f>Commodities!C$75</f>
        <v>RFLP1</v>
      </c>
      <c r="F601" s="197" t="e">
        <f>Commodities!C241</f>
        <v>#REF!</v>
      </c>
      <c r="G601" s="204">
        <v>1</v>
      </c>
      <c r="H601" s="203" t="e">
        <f>#REF!*#REF!^5/(Conv!$I$5*Conv!$D$46)/10^6 +#REF!</f>
        <v>#REF!</v>
      </c>
      <c r="I601" s="203" t="e">
        <f>#REF!*#REF!^5/(Conv!$I$5*Conv!$D$46)/10^6 +#REF!</f>
        <v>#REF!</v>
      </c>
      <c r="J601" s="203" t="e">
        <f>#REF!*#REF!^5/(Conv!$I$5*Conv!$D$46)/10^6 +#REF!</f>
        <v>#REF!</v>
      </c>
      <c r="K601" s="203" t="e">
        <f>#REF!*#REF!^5/(Conv!$I$5*Conv!$D$46)/10^6 +#REF!</f>
        <v>#REF!</v>
      </c>
      <c r="L601" s="203" t="e">
        <f>#REF!*#REF!^5/(Conv!$I$5*Conv!$D$46)/10^6 +#REF!</f>
        <v>#REF!</v>
      </c>
      <c r="M601" s="203" t="e">
        <f>#REF!*#REF!^5/(Conv!$I$5*Conv!$D$46)/10^6 +#REF!</f>
        <v>#REF!</v>
      </c>
      <c r="N601" s="203" t="e">
        <f>#REF!*#REF!^5/(Conv!$I$5*Conv!$D$46)/10^6 +#REF!</f>
        <v>#REF!</v>
      </c>
      <c r="O601" s="203" t="e">
        <f>#REF!*#REF!^5/(Conv!$I$5*Conv!$D$46)/10^6 +#REF!</f>
        <v>#REF!</v>
      </c>
      <c r="P601" s="203" t="e">
        <f>#REF!*#REF!^5/(Conv!$I$5*Conv!$D$46)/10^6 +#REF!</f>
        <v>#REF!</v>
      </c>
      <c r="Q601" s="203" t="e">
        <f>#REF!*#REF!^5/(Conv!$I$5*Conv!$D$46)/10^6 +#REF!</f>
        <v>#REF!</v>
      </c>
      <c r="S601" s="177"/>
      <c r="T601" s="177"/>
      <c r="U601" s="177"/>
      <c r="V601" s="177"/>
      <c r="W601" s="177"/>
      <c r="X601" s="177"/>
      <c r="Y601" s="177"/>
      <c r="Z601" s="177"/>
      <c r="AA601" s="177"/>
      <c r="AB601" s="177"/>
      <c r="AC601" s="177"/>
    </row>
    <row r="602" spans="2:29">
      <c r="B602" s="158" t="str">
        <f>IF(OR(LEFT(Commodities!B$75,1)="*",LEFT(Technologies!B$529,1)="*"),"*","R3")</f>
        <v>R3</v>
      </c>
      <c r="C602" s="158" t="e">
        <f>Technologies!C529</f>
        <v>#REF!</v>
      </c>
      <c r="D602" s="158" t="str">
        <f>Technologies!D529</f>
        <v>Delivery of Imported Low Sulfur Residual Fuel Oil to Industrial Sector</v>
      </c>
      <c r="E602" s="197" t="str">
        <f>Commodities!C$75</f>
        <v>RFLP1</v>
      </c>
      <c r="F602" s="197" t="e">
        <f>Commodities!C242</f>
        <v>#REF!</v>
      </c>
      <c r="G602" s="204">
        <v>1</v>
      </c>
      <c r="H602" s="203" t="e">
        <f>#REF!*#REF!^5/(Conv!$I$5*Conv!$D$46)/10^6 +#REF!</f>
        <v>#REF!</v>
      </c>
      <c r="I602" s="203" t="e">
        <f>#REF!*#REF!^5/(Conv!$I$5*Conv!$D$46)/10^6 +#REF!</f>
        <v>#REF!</v>
      </c>
      <c r="J602" s="203" t="e">
        <f>#REF!*#REF!^5/(Conv!$I$5*Conv!$D$46)/10^6 +#REF!</f>
        <v>#REF!</v>
      </c>
      <c r="K602" s="203" t="e">
        <f>#REF!*#REF!^5/(Conv!$I$5*Conv!$D$46)/10^6 +#REF!</f>
        <v>#REF!</v>
      </c>
      <c r="L602" s="203" t="e">
        <f>#REF!*#REF!^5/(Conv!$I$5*Conv!$D$46)/10^6 +#REF!</f>
        <v>#REF!</v>
      </c>
      <c r="M602" s="203" t="e">
        <f>#REF!*#REF!^5/(Conv!$I$5*Conv!$D$46)/10^6 +#REF!</f>
        <v>#REF!</v>
      </c>
      <c r="N602" s="203" t="e">
        <f>#REF!*#REF!^5/(Conv!$I$5*Conv!$D$46)/10^6 +#REF!</f>
        <v>#REF!</v>
      </c>
      <c r="O602" s="203" t="e">
        <f>#REF!*#REF!^5/(Conv!$I$5*Conv!$D$46)/10^6 +#REF!</f>
        <v>#REF!</v>
      </c>
      <c r="P602" s="203" t="e">
        <f>#REF!*#REF!^5/(Conv!$I$5*Conv!$D$46)/10^6 +#REF!</f>
        <v>#REF!</v>
      </c>
      <c r="Q602" s="203" t="e">
        <f>#REF!*#REF!^5/(Conv!$I$5*Conv!$D$46)/10^6 +#REF!</f>
        <v>#REF!</v>
      </c>
      <c r="S602" s="177"/>
      <c r="T602" s="177"/>
      <c r="U602" s="177"/>
      <c r="V602" s="177"/>
      <c r="W602" s="177"/>
      <c r="X602" s="177"/>
      <c r="Y602" s="177"/>
      <c r="Z602" s="177"/>
      <c r="AA602" s="177"/>
      <c r="AB602" s="177"/>
      <c r="AC602" s="177"/>
    </row>
    <row r="603" spans="2:29">
      <c r="B603" s="158" t="str">
        <f>IF(OR(LEFT(Commodities!B$75,1)="*",LEFT(Technologies!B$530,1)="*"),"*","R3")</f>
        <v>*</v>
      </c>
      <c r="C603" s="158" t="e">
        <f>Technologies!C530</f>
        <v>#REF!</v>
      </c>
      <c r="D603" s="158" t="str">
        <f>Technologies!D530</f>
        <v>Delivery of Imported Low Sulfur Residual Fuel Oil to Electricity Sector</v>
      </c>
      <c r="E603" s="197" t="str">
        <f>Commodities!C$75</f>
        <v>RFLP1</v>
      </c>
      <c r="F603" s="197" t="e">
        <f>Commodities!C243</f>
        <v>#REF!</v>
      </c>
      <c r="G603" s="204">
        <v>1</v>
      </c>
      <c r="H603" s="203" t="e">
        <f>#REF!*#REF!^5/(Conv!$I$5*Conv!$D$46)/10^6 +#REF!</f>
        <v>#REF!</v>
      </c>
      <c r="I603" s="203" t="e">
        <f>#REF!*#REF!^5/(Conv!$I$5*Conv!$D$46)/10^6 +#REF!</f>
        <v>#REF!</v>
      </c>
      <c r="J603" s="203" t="e">
        <f>#REF!*#REF!^5/(Conv!$I$5*Conv!$D$46)/10^6 +#REF!</f>
        <v>#REF!</v>
      </c>
      <c r="K603" s="203" t="e">
        <f>#REF!*#REF!^5/(Conv!$I$5*Conv!$D$46)/10^6 +#REF!</f>
        <v>#REF!</v>
      </c>
      <c r="L603" s="203" t="e">
        <f>#REF!*#REF!^5/(Conv!$I$5*Conv!$D$46)/10^6 +#REF!</f>
        <v>#REF!</v>
      </c>
      <c r="M603" s="203" t="e">
        <f>#REF!*#REF!^5/(Conv!$I$5*Conv!$D$46)/10^6 +#REF!</f>
        <v>#REF!</v>
      </c>
      <c r="N603" s="203" t="e">
        <f>#REF!*#REF!^5/(Conv!$I$5*Conv!$D$46)/10^6 +#REF!</f>
        <v>#REF!</v>
      </c>
      <c r="O603" s="203" t="e">
        <f>#REF!*#REF!^5/(Conv!$I$5*Conv!$D$46)/10^6 +#REF!</f>
        <v>#REF!</v>
      </c>
      <c r="P603" s="203" t="e">
        <f>#REF!*#REF!^5/(Conv!$I$5*Conv!$D$46)/10^6 +#REF!</f>
        <v>#REF!</v>
      </c>
      <c r="Q603" s="203" t="e">
        <f>#REF!*#REF!^5/(Conv!$I$5*Conv!$D$46)/10^6 +#REF!</f>
        <v>#REF!</v>
      </c>
      <c r="S603" s="177"/>
      <c r="T603" s="177"/>
      <c r="U603" s="177"/>
      <c r="V603" s="177"/>
      <c r="W603" s="177"/>
      <c r="X603" s="177"/>
      <c r="Y603" s="177"/>
      <c r="Z603" s="177"/>
      <c r="AA603" s="177"/>
      <c r="AB603" s="177"/>
      <c r="AC603" s="177"/>
    </row>
    <row r="604" spans="2:29">
      <c r="B604" s="158" t="str">
        <f>IF(OR(LEFT(Commodities!B$74,1)="*",LEFT(Technologies!B$531,1)="*"),"*","R3")</f>
        <v>*</v>
      </c>
      <c r="C604" s="158" t="e">
        <f>Technologies!C531</f>
        <v>#REF!</v>
      </c>
      <c r="D604" s="158" t="str">
        <f>Technologies!D531</f>
        <v>Delivery of Imported High Sulfur Residual Fuel Oil to Transportation Sector</v>
      </c>
      <c r="E604" s="197" t="str">
        <f>Commodities!C$74</f>
        <v>RFHP1</v>
      </c>
      <c r="F604" s="197" t="e">
        <f>Commodities!C244</f>
        <v>#REF!</v>
      </c>
      <c r="G604" s="204">
        <v>1</v>
      </c>
      <c r="H604" s="203" t="e">
        <f>#REF!*#REF!^5/(Conv!$I$5*Conv!$D$46)/10^6 +#REF!</f>
        <v>#REF!</v>
      </c>
      <c r="I604" s="203" t="e">
        <f>#REF!*#REF!^5/(Conv!$I$5*Conv!$D$46)/10^6 +#REF!</f>
        <v>#REF!</v>
      </c>
      <c r="J604" s="203" t="e">
        <f>#REF!*#REF!^5/(Conv!$I$5*Conv!$D$46)/10^6 +#REF!</f>
        <v>#REF!</v>
      </c>
      <c r="K604" s="203" t="e">
        <f>#REF!*#REF!^5/(Conv!$I$5*Conv!$D$46)/10^6 +#REF!</f>
        <v>#REF!</v>
      </c>
      <c r="L604" s="203" t="e">
        <f>#REF!*#REF!^5/(Conv!$I$5*Conv!$D$46)/10^6 +#REF!</f>
        <v>#REF!</v>
      </c>
      <c r="M604" s="203" t="e">
        <f>#REF!*#REF!^5/(Conv!$I$5*Conv!$D$46)/10^6 +#REF!</f>
        <v>#REF!</v>
      </c>
      <c r="N604" s="203" t="e">
        <f>#REF!*#REF!^5/(Conv!$I$5*Conv!$D$46)/10^6 +#REF!</f>
        <v>#REF!</v>
      </c>
      <c r="O604" s="203" t="e">
        <f>#REF!*#REF!^5/(Conv!$I$5*Conv!$D$46)/10^6 +#REF!</f>
        <v>#REF!</v>
      </c>
      <c r="P604" s="203" t="e">
        <f>#REF!*#REF!^5/(Conv!$I$5*Conv!$D$46)/10^6 +#REF!</f>
        <v>#REF!</v>
      </c>
      <c r="Q604" s="203" t="e">
        <f>#REF!*#REF!^5/(Conv!$I$5*Conv!$D$46)/10^6 +#REF!</f>
        <v>#REF!</v>
      </c>
      <c r="S604" s="177"/>
      <c r="T604" s="177"/>
      <c r="U604" s="177"/>
      <c r="V604" s="177"/>
      <c r="W604" s="177"/>
      <c r="X604" s="177"/>
      <c r="Y604" s="177"/>
      <c r="Z604" s="177"/>
      <c r="AA604" s="177"/>
      <c r="AB604" s="177"/>
      <c r="AC604" s="177"/>
    </row>
    <row r="605" spans="2:29">
      <c r="B605" s="158" t="str">
        <f>IF(OR(LEFT(Commodities!B$74,1)="*",LEFT(Technologies!B$532,1)="*"),"*","R3")</f>
        <v>*</v>
      </c>
      <c r="C605" s="158" t="e">
        <f>Technologies!C532</f>
        <v>#REF!</v>
      </c>
      <c r="D605" s="158" t="str">
        <f>Technologies!D532</f>
        <v>Delivery of Imported High Sulfur Residual Fuel Oil to Electricity Sector</v>
      </c>
      <c r="E605" s="197" t="str">
        <f>Commodities!C$74</f>
        <v>RFHP1</v>
      </c>
      <c r="F605" s="197" t="e">
        <f>Commodities!C245</f>
        <v>#REF!</v>
      </c>
      <c r="G605" s="204">
        <v>1</v>
      </c>
      <c r="H605" s="203" t="e">
        <f>#REF!*#REF!^5/(Conv!$I$5*Conv!$D$46)/10^6 +#REF!</f>
        <v>#REF!</v>
      </c>
      <c r="I605" s="203" t="e">
        <f>#REF!*#REF!^5/(Conv!$I$5*Conv!$D$46)/10^6 +#REF!</f>
        <v>#REF!</v>
      </c>
      <c r="J605" s="203" t="e">
        <f>#REF!*#REF!^5/(Conv!$I$5*Conv!$D$46)/10^6 +#REF!</f>
        <v>#REF!</v>
      </c>
      <c r="K605" s="203" t="e">
        <f>#REF!*#REF!^5/(Conv!$I$5*Conv!$D$46)/10^6 +#REF!</f>
        <v>#REF!</v>
      </c>
      <c r="L605" s="203" t="e">
        <f>#REF!*#REF!^5/(Conv!$I$5*Conv!$D$46)/10^6 +#REF!</f>
        <v>#REF!</v>
      </c>
      <c r="M605" s="203" t="e">
        <f>#REF!*#REF!^5/(Conv!$I$5*Conv!$D$46)/10^6 +#REF!</f>
        <v>#REF!</v>
      </c>
      <c r="N605" s="203" t="e">
        <f>#REF!*#REF!^5/(Conv!$I$5*Conv!$D$46)/10^6 +#REF!</f>
        <v>#REF!</v>
      </c>
      <c r="O605" s="203" t="e">
        <f>#REF!*#REF!^5/(Conv!$I$5*Conv!$D$46)/10^6 +#REF!</f>
        <v>#REF!</v>
      </c>
      <c r="P605" s="203" t="e">
        <f>#REF!*#REF!^5/(Conv!$I$5*Conv!$D$46)/10^6 +#REF!</f>
        <v>#REF!</v>
      </c>
      <c r="Q605" s="203" t="e">
        <f>#REF!*#REF!^5/(Conv!$I$5*Conv!$D$46)/10^6 +#REF!</f>
        <v>#REF!</v>
      </c>
      <c r="S605" s="177"/>
      <c r="T605" s="177"/>
      <c r="U605" s="177"/>
      <c r="V605" s="177"/>
      <c r="W605" s="177"/>
      <c r="X605" s="177"/>
      <c r="Y605" s="177"/>
      <c r="Z605" s="177"/>
      <c r="AA605" s="177"/>
      <c r="AB605" s="177"/>
      <c r="AC605" s="177"/>
    </row>
    <row r="606" spans="2:29">
      <c r="B606" s="160" t="s">
        <v>1033</v>
      </c>
      <c r="C606" s="160"/>
      <c r="D606" s="160"/>
      <c r="E606" s="196"/>
      <c r="F606" s="196"/>
      <c r="G606" s="200"/>
      <c r="H606" s="174"/>
      <c r="I606" s="174"/>
      <c r="J606" s="174"/>
      <c r="K606" s="174"/>
      <c r="L606" s="174"/>
      <c r="M606" s="174"/>
      <c r="N606" s="174"/>
      <c r="O606" s="174"/>
      <c r="P606" s="174"/>
      <c r="Q606" s="174"/>
    </row>
    <row r="607" spans="2:29">
      <c r="B607" s="158" t="str">
        <f>IF(LEFT(Technologies!B$509,1)="*","*","R4")</f>
        <v>R4</v>
      </c>
      <c r="C607" s="158" t="e">
        <f>Technologies!C509</f>
        <v>#REF!</v>
      </c>
      <c r="D607" s="158" t="str">
        <f>Technologies!D509</f>
        <v>Delivery of Imported Conventional Gasoline</v>
      </c>
      <c r="E607" s="197" t="str">
        <f>Commodities!C$67</f>
        <v>GSCP1</v>
      </c>
      <c r="F607" s="197" t="e">
        <f>Commodities!C222</f>
        <v>#REF!</v>
      </c>
      <c r="G607" s="204">
        <v>1</v>
      </c>
      <c r="H607" s="203" t="e">
        <f>#REF!*#REF!^5/(Conv!$I$5*Conv!$D$46)/10^6 +#REF!</f>
        <v>#REF!</v>
      </c>
      <c r="I607" s="203" t="e">
        <f>#REF!*#REF!^5/(Conv!$I$5*Conv!$D$46)/10^6 +#REF!</f>
        <v>#REF!</v>
      </c>
      <c r="J607" s="203" t="e">
        <f>#REF!*#REF!^5/(Conv!$I$5*Conv!$D$46)/10^6 +#REF!</f>
        <v>#REF!</v>
      </c>
      <c r="K607" s="203" t="e">
        <f>#REF!*#REF!^5/(Conv!$I$5*Conv!$D$46)/10^6 +#REF!</f>
        <v>#REF!</v>
      </c>
      <c r="L607" s="203" t="e">
        <f>#REF!*#REF!^5/(Conv!$I$5*Conv!$D$46)/10^6 +#REF!</f>
        <v>#REF!</v>
      </c>
      <c r="M607" s="203" t="e">
        <f>#REF!*#REF!^5/(Conv!$I$5*Conv!$D$46)/10^6 +#REF!</f>
        <v>#REF!</v>
      </c>
      <c r="N607" s="203" t="e">
        <f>#REF!*#REF!^5/(Conv!$I$5*Conv!$D$46)/10^6 +#REF!</f>
        <v>#REF!</v>
      </c>
      <c r="O607" s="203" t="e">
        <f>#REF!*#REF!^5/(Conv!$I$5*Conv!$D$46)/10^6 +#REF!</f>
        <v>#REF!</v>
      </c>
      <c r="P607" s="203" t="e">
        <f>#REF!*#REF!^5/(Conv!$I$5*Conv!$D$46)/10^6 +#REF!</f>
        <v>#REF!</v>
      </c>
      <c r="Q607" s="203" t="e">
        <f>#REF!*#REF!^5/(Conv!$I$5*Conv!$D$46)/10^6 +#REF!</f>
        <v>#REF!</v>
      </c>
      <c r="S607" s="177"/>
      <c r="T607" s="177"/>
      <c r="U607" s="177"/>
      <c r="V607" s="177"/>
      <c r="W607" s="177"/>
      <c r="X607" s="177"/>
      <c r="Y607" s="177"/>
      <c r="Z607" s="177"/>
      <c r="AA607" s="177"/>
      <c r="AB607" s="177"/>
      <c r="AC607" s="177"/>
    </row>
    <row r="608" spans="2:29">
      <c r="B608" s="158" t="str">
        <f>IF(LEFT(Technologies!B$510,1)="*","*","R4")</f>
        <v>R4</v>
      </c>
      <c r="C608" s="158" t="e">
        <f>Technologies!C510</f>
        <v>#REF!</v>
      </c>
      <c r="D608" s="158" t="str">
        <f>Technologies!D510</f>
        <v>Delivery of Imported Reformulated Gasoline</v>
      </c>
      <c r="E608" s="197" t="str">
        <f>Commodities!C$68</f>
        <v>GSRP1</v>
      </c>
      <c r="F608" s="197" t="e">
        <f>Commodities!C223</f>
        <v>#REF!</v>
      </c>
      <c r="G608" s="204">
        <v>1</v>
      </c>
      <c r="H608" s="203" t="e">
        <f>#REF!*#REF!^5/(Conv!$I$5*Conv!$D$46)/10^6 +#REF!</f>
        <v>#REF!</v>
      </c>
      <c r="I608" s="203" t="e">
        <f>#REF!*#REF!^5/(Conv!$I$5*Conv!$D$46)/10^6 +#REF!</f>
        <v>#REF!</v>
      </c>
      <c r="J608" s="203" t="e">
        <f>#REF!*#REF!^5/(Conv!$I$5*Conv!$D$46)/10^6 +#REF!</f>
        <v>#REF!</v>
      </c>
      <c r="K608" s="203" t="e">
        <f>#REF!*#REF!^5/(Conv!$I$5*Conv!$D$46)/10^6 +#REF!</f>
        <v>#REF!</v>
      </c>
      <c r="L608" s="203" t="e">
        <f>#REF!*#REF!^5/(Conv!$I$5*Conv!$D$46)/10^6 +#REF!</f>
        <v>#REF!</v>
      </c>
      <c r="M608" s="203" t="e">
        <f>#REF!*#REF!^5/(Conv!$I$5*Conv!$D$46)/10^6 +#REF!</f>
        <v>#REF!</v>
      </c>
      <c r="N608" s="203" t="e">
        <f>#REF!*#REF!^5/(Conv!$I$5*Conv!$D$46)/10^6 +#REF!</f>
        <v>#REF!</v>
      </c>
      <c r="O608" s="203" t="e">
        <f>#REF!*#REF!^5/(Conv!$I$5*Conv!$D$46)/10^6 +#REF!</f>
        <v>#REF!</v>
      </c>
      <c r="P608" s="203" t="e">
        <f>#REF!*#REF!^5/(Conv!$I$5*Conv!$D$46)/10^6 +#REF!</f>
        <v>#REF!</v>
      </c>
      <c r="Q608" s="203" t="e">
        <f>#REF!*#REF!^5/(Conv!$I$5*Conv!$D$46)/10^6 +#REF!</f>
        <v>#REF!</v>
      </c>
      <c r="S608" s="177"/>
      <c r="T608" s="177"/>
      <c r="U608" s="177"/>
      <c r="V608" s="177"/>
      <c r="W608" s="177"/>
      <c r="X608" s="177"/>
      <c r="Y608" s="177"/>
      <c r="Z608" s="177"/>
      <c r="AA608" s="177"/>
      <c r="AB608" s="177"/>
      <c r="AC608" s="177"/>
    </row>
    <row r="609" spans="2:29">
      <c r="B609" s="158" t="str">
        <f>IF(OR(LEFT(Commodities!B$64,1)="*",LEFT(Technologies!B$511,1)="*"),"*","R4")</f>
        <v>R4</v>
      </c>
      <c r="C609" s="158" t="e">
        <f>Technologies!C511</f>
        <v>#REF!</v>
      </c>
      <c r="D609" s="158" t="str">
        <f>Technologies!D511</f>
        <v>Delivery of Imported Distillate-Heating Oil No. 2 to the Residential Sector</v>
      </c>
      <c r="E609" s="197" t="str">
        <f>Commodities!C$64</f>
        <v>DSHP1</v>
      </c>
      <c r="F609" s="197" t="e">
        <f>Commodities!C224</f>
        <v>#REF!</v>
      </c>
      <c r="G609" s="204">
        <v>1</v>
      </c>
      <c r="H609" s="203" t="e">
        <f>#REF!*#REF!^5/(Conv!$I$5*Conv!$D$46)/10^6 +#REF!</f>
        <v>#REF!</v>
      </c>
      <c r="I609" s="203" t="e">
        <f>#REF!*#REF!^5/(Conv!$I$5*Conv!$D$46)/10^6 +#REF!</f>
        <v>#REF!</v>
      </c>
      <c r="J609" s="203" t="e">
        <f>#REF!*#REF!^5/(Conv!$I$5*Conv!$D$46)/10^6 +#REF!</f>
        <v>#REF!</v>
      </c>
      <c r="K609" s="203" t="e">
        <f>#REF!*#REF!^5/(Conv!$I$5*Conv!$D$46)/10^6 +#REF!</f>
        <v>#REF!</v>
      </c>
      <c r="L609" s="203" t="e">
        <f>#REF!*#REF!^5/(Conv!$I$5*Conv!$D$46)/10^6 +#REF!</f>
        <v>#REF!</v>
      </c>
      <c r="M609" s="203" t="e">
        <f>#REF!*#REF!^5/(Conv!$I$5*Conv!$D$46)/10^6 +#REF!</f>
        <v>#REF!</v>
      </c>
      <c r="N609" s="203" t="e">
        <f>#REF!*#REF!^5/(Conv!$I$5*Conv!$D$46)/10^6 +#REF!</f>
        <v>#REF!</v>
      </c>
      <c r="O609" s="203" t="e">
        <f>#REF!*#REF!^5/(Conv!$I$5*Conv!$D$46)/10^6 +#REF!</f>
        <v>#REF!</v>
      </c>
      <c r="P609" s="203" t="e">
        <f>#REF!*#REF!^5/(Conv!$I$5*Conv!$D$46)/10^6 +#REF!</f>
        <v>#REF!</v>
      </c>
      <c r="Q609" s="203" t="e">
        <f>#REF!*#REF!^5/(Conv!$I$5*Conv!$D$46)/10^6 +#REF!</f>
        <v>#REF!</v>
      </c>
      <c r="S609" s="177"/>
      <c r="T609" s="177"/>
      <c r="U609" s="177"/>
      <c r="V609" s="177"/>
      <c r="W609" s="177"/>
      <c r="X609" s="177"/>
      <c r="Y609" s="177"/>
      <c r="Z609" s="177"/>
      <c r="AA609" s="177"/>
      <c r="AB609" s="177"/>
      <c r="AC609" s="177"/>
    </row>
    <row r="610" spans="2:29">
      <c r="B610" s="158" t="str">
        <f>IF(OR(LEFT(Commodities!B$64,1)="*",LEFT(Technologies!B$512,1)="*"),"*","R4")</f>
        <v>R4</v>
      </c>
      <c r="C610" s="158" t="e">
        <f>Technologies!C512</f>
        <v>#REF!</v>
      </c>
      <c r="D610" s="158" t="str">
        <f>Technologies!D512</f>
        <v>Delivery of Imported Distillate-Heating Oil No. 2 to the Commercial Sector</v>
      </c>
      <c r="E610" s="197" t="str">
        <f>Commodities!C$64</f>
        <v>DSHP1</v>
      </c>
      <c r="F610" s="197" t="e">
        <f>Commodities!C225</f>
        <v>#REF!</v>
      </c>
      <c r="G610" s="204">
        <v>1</v>
      </c>
      <c r="H610" s="203" t="e">
        <f>#REF!*#REF!^5/(Conv!$I$5*Conv!$D$46)/10^6 +#REF!</f>
        <v>#REF!</v>
      </c>
      <c r="I610" s="203" t="e">
        <f>#REF!*#REF!^5/(Conv!$I$5*Conv!$D$46)/10^6 +#REF!</f>
        <v>#REF!</v>
      </c>
      <c r="J610" s="203" t="e">
        <f>#REF!*#REF!^5/(Conv!$I$5*Conv!$D$46)/10^6 +#REF!</f>
        <v>#REF!</v>
      </c>
      <c r="K610" s="203" t="e">
        <f>#REF!*#REF!^5/(Conv!$I$5*Conv!$D$46)/10^6 +#REF!</f>
        <v>#REF!</v>
      </c>
      <c r="L610" s="203" t="e">
        <f>#REF!*#REF!^5/(Conv!$I$5*Conv!$D$46)/10^6 +#REF!</f>
        <v>#REF!</v>
      </c>
      <c r="M610" s="203" t="e">
        <f>#REF!*#REF!^5/(Conv!$I$5*Conv!$D$46)/10^6 +#REF!</f>
        <v>#REF!</v>
      </c>
      <c r="N610" s="203" t="e">
        <f>#REF!*#REF!^5/(Conv!$I$5*Conv!$D$46)/10^6 +#REF!</f>
        <v>#REF!</v>
      </c>
      <c r="O610" s="203" t="e">
        <f>#REF!*#REF!^5/(Conv!$I$5*Conv!$D$46)/10^6 +#REF!</f>
        <v>#REF!</v>
      </c>
      <c r="P610" s="203" t="e">
        <f>#REF!*#REF!^5/(Conv!$I$5*Conv!$D$46)/10^6 +#REF!</f>
        <v>#REF!</v>
      </c>
      <c r="Q610" s="203" t="e">
        <f>#REF!*#REF!^5/(Conv!$I$5*Conv!$D$46)/10^6 +#REF!</f>
        <v>#REF!</v>
      </c>
      <c r="S610" s="177"/>
      <c r="T610" s="177"/>
      <c r="U610" s="177"/>
      <c r="V610" s="177"/>
      <c r="W610" s="177"/>
      <c r="X610" s="177"/>
      <c r="Y610" s="177"/>
      <c r="Z610" s="177"/>
      <c r="AA610" s="177"/>
      <c r="AB610" s="177"/>
      <c r="AC610" s="177"/>
    </row>
    <row r="611" spans="2:29">
      <c r="B611" s="158" t="str">
        <f>IF(OR(LEFT(Commodities!B$64,1)="*",LEFT(Technologies!B$513,1)="*"),"*","R4")</f>
        <v>*</v>
      </c>
      <c r="C611" s="158" t="e">
        <f>Technologies!C513</f>
        <v>#REF!</v>
      </c>
      <c r="D611" s="158" t="str">
        <f>Technologies!D513</f>
        <v>Delivery of Imported Distillate-Heating Oil No. 2 to the Indistrial Sector</v>
      </c>
      <c r="E611" s="197" t="str">
        <f>Commodities!C$64</f>
        <v>DSHP1</v>
      </c>
      <c r="F611" s="197" t="e">
        <f>Commodities!C226</f>
        <v>#REF!</v>
      </c>
      <c r="G611" s="204">
        <v>1</v>
      </c>
      <c r="H611" s="203" t="e">
        <f>#REF!*#REF!^5/(Conv!$I$5*Conv!$D$46)/10^6 +#REF!</f>
        <v>#REF!</v>
      </c>
      <c r="I611" s="203" t="e">
        <f>#REF!*#REF!^5/(Conv!$I$5*Conv!$D$46)/10^6 +#REF!</f>
        <v>#REF!</v>
      </c>
      <c r="J611" s="203" t="e">
        <f>#REF!*#REF!^5/(Conv!$I$5*Conv!$D$46)/10^6 +#REF!</f>
        <v>#REF!</v>
      </c>
      <c r="K611" s="203" t="e">
        <f>#REF!*#REF!^5/(Conv!$I$5*Conv!$D$46)/10^6 +#REF!</f>
        <v>#REF!</v>
      </c>
      <c r="L611" s="203" t="e">
        <f>#REF!*#REF!^5/(Conv!$I$5*Conv!$D$46)/10^6 +#REF!</f>
        <v>#REF!</v>
      </c>
      <c r="M611" s="203" t="e">
        <f>#REF!*#REF!^5/(Conv!$I$5*Conv!$D$46)/10^6 +#REF!</f>
        <v>#REF!</v>
      </c>
      <c r="N611" s="203" t="e">
        <f>#REF!*#REF!^5/(Conv!$I$5*Conv!$D$46)/10^6 +#REF!</f>
        <v>#REF!</v>
      </c>
      <c r="O611" s="203" t="e">
        <f>#REF!*#REF!^5/(Conv!$I$5*Conv!$D$46)/10^6 +#REF!</f>
        <v>#REF!</v>
      </c>
      <c r="P611" s="203" t="e">
        <f>#REF!*#REF!^5/(Conv!$I$5*Conv!$D$46)/10^6 +#REF!</f>
        <v>#REF!</v>
      </c>
      <c r="Q611" s="203" t="e">
        <f>#REF!*#REF!^5/(Conv!$I$5*Conv!$D$46)/10^6 +#REF!</f>
        <v>#REF!</v>
      </c>
      <c r="S611" s="177"/>
      <c r="T611" s="177"/>
      <c r="U611" s="177"/>
      <c r="V611" s="177"/>
      <c r="W611" s="177"/>
      <c r="X611" s="177"/>
      <c r="Y611" s="177"/>
      <c r="Z611" s="177"/>
      <c r="AA611" s="177"/>
      <c r="AB611" s="177"/>
      <c r="AC611" s="177"/>
    </row>
    <row r="612" spans="2:29">
      <c r="B612" s="158" t="str">
        <f>IF(OR(LEFT(Commodities!B$64,1)="*",LEFT(Technologies!B$514,1)="*"),"*","R4")</f>
        <v>R4</v>
      </c>
      <c r="C612" s="158" t="e">
        <f>Technologies!C514</f>
        <v>#REF!</v>
      </c>
      <c r="D612" s="158" t="str">
        <f>Technologies!D514</f>
        <v>Delivery of Imported Distillate-Heating Oil No. 2 to the Electricity Sector</v>
      </c>
      <c r="E612" s="197" t="str">
        <f>Commodities!C$64</f>
        <v>DSHP1</v>
      </c>
      <c r="F612" s="197" t="e">
        <f>Commodities!C227</f>
        <v>#REF!</v>
      </c>
      <c r="G612" s="204">
        <v>1</v>
      </c>
      <c r="H612" s="203" t="e">
        <f>#REF!*#REF!^5/(Conv!$I$5*Conv!$D$46)/10^6 +#REF!</f>
        <v>#REF!</v>
      </c>
      <c r="I612" s="203" t="e">
        <f>#REF!*#REF!^5/(Conv!$I$5*Conv!$D$46)/10^6 +#REF!</f>
        <v>#REF!</v>
      </c>
      <c r="J612" s="203" t="e">
        <f>#REF!*#REF!^5/(Conv!$I$5*Conv!$D$46)/10^6 +#REF!</f>
        <v>#REF!</v>
      </c>
      <c r="K612" s="203" t="e">
        <f>#REF!*#REF!^5/(Conv!$I$5*Conv!$D$46)/10^6 +#REF!</f>
        <v>#REF!</v>
      </c>
      <c r="L612" s="203" t="e">
        <f>#REF!*#REF!^5/(Conv!$I$5*Conv!$D$46)/10^6 +#REF!</f>
        <v>#REF!</v>
      </c>
      <c r="M612" s="203" t="e">
        <f>#REF!*#REF!^5/(Conv!$I$5*Conv!$D$46)/10^6 +#REF!</f>
        <v>#REF!</v>
      </c>
      <c r="N612" s="203" t="e">
        <f>#REF!*#REF!^5/(Conv!$I$5*Conv!$D$46)/10^6 +#REF!</f>
        <v>#REF!</v>
      </c>
      <c r="O612" s="203" t="e">
        <f>#REF!*#REF!^5/(Conv!$I$5*Conv!$D$46)/10^6 +#REF!</f>
        <v>#REF!</v>
      </c>
      <c r="P612" s="203" t="e">
        <f>#REF!*#REF!^5/(Conv!$I$5*Conv!$D$46)/10^6 +#REF!</f>
        <v>#REF!</v>
      </c>
      <c r="Q612" s="203" t="e">
        <f>#REF!*#REF!^5/(Conv!$I$5*Conv!$D$46)/10^6 +#REF!</f>
        <v>#REF!</v>
      </c>
      <c r="S612" s="177"/>
      <c r="T612" s="177"/>
      <c r="U612" s="177"/>
      <c r="V612" s="177"/>
      <c r="W612" s="177"/>
      <c r="X612" s="177"/>
      <c r="Y612" s="177"/>
      <c r="Z612" s="177"/>
      <c r="AA612" s="177"/>
      <c r="AB612" s="177"/>
      <c r="AC612" s="177"/>
    </row>
    <row r="613" spans="2:29">
      <c r="B613" s="158" t="str">
        <f>IF(OR(LEFT(Commodities!B$65,1)="*",LEFT(Technologies!B$515,1)="*"),"*","R4")</f>
        <v>R4</v>
      </c>
      <c r="C613" s="158" t="e">
        <f>Technologies!C515</f>
        <v>#REF!</v>
      </c>
      <c r="D613" s="158" t="str">
        <f>Technologies!D515</f>
        <v>Delivery of Imported Distillate-Low Sulfur Highway Diesel (500 ppm)</v>
      </c>
      <c r="E613" s="197" t="str">
        <f>Commodities!C$65</f>
        <v>DSLP1</v>
      </c>
      <c r="F613" s="197" t="e">
        <f>Commodities!C228</f>
        <v>#REF!</v>
      </c>
      <c r="G613" s="204">
        <v>1</v>
      </c>
      <c r="H613" s="203" t="e">
        <f>#REF!*#REF!^5/(Conv!$I$5*Conv!$D$46)/10^6 +#REF!</f>
        <v>#REF!</v>
      </c>
      <c r="I613" s="203" t="e">
        <f>#REF!*#REF!^5/(Conv!$I$5*Conv!$D$46)/10^6 +#REF!</f>
        <v>#REF!</v>
      </c>
      <c r="J613" s="203" t="e">
        <f>#REF!*#REF!^5/(Conv!$I$5*Conv!$D$46)/10^6 +#REF!</f>
        <v>#REF!</v>
      </c>
      <c r="K613" s="203" t="e">
        <f>#REF!*#REF!^5/(Conv!$I$5*Conv!$D$46)/10^6 +#REF!</f>
        <v>#REF!</v>
      </c>
      <c r="L613" s="203" t="e">
        <f>#REF!*#REF!^5/(Conv!$I$5*Conv!$D$46)/10^6 +#REF!</f>
        <v>#REF!</v>
      </c>
      <c r="M613" s="203" t="e">
        <f>#REF!*#REF!^5/(Conv!$I$5*Conv!$D$46)/10^6 +#REF!</f>
        <v>#REF!</v>
      </c>
      <c r="N613" s="203" t="e">
        <f>#REF!*#REF!^5/(Conv!$I$5*Conv!$D$46)/10^6 +#REF!</f>
        <v>#REF!</v>
      </c>
      <c r="O613" s="203" t="e">
        <f>#REF!*#REF!^5/(Conv!$I$5*Conv!$D$46)/10^6 +#REF!</f>
        <v>#REF!</v>
      </c>
      <c r="P613" s="203" t="e">
        <f>#REF!*#REF!^5/(Conv!$I$5*Conv!$D$46)/10^6 +#REF!</f>
        <v>#REF!</v>
      </c>
      <c r="Q613" s="203" t="e">
        <f>#REF!*#REF!^5/(Conv!$I$5*Conv!$D$46)/10^6 +#REF!</f>
        <v>#REF!</v>
      </c>
      <c r="S613" s="177"/>
      <c r="T613" s="177"/>
      <c r="U613" s="177"/>
      <c r="V613" s="177"/>
      <c r="W613" s="177"/>
      <c r="X613" s="177"/>
      <c r="Y613" s="177"/>
      <c r="Z613" s="177"/>
      <c r="AA613" s="177"/>
      <c r="AB613" s="177"/>
      <c r="AC613" s="177"/>
    </row>
    <row r="614" spans="2:29">
      <c r="B614" s="158" t="str">
        <f>IF(OR(LEFT(Commodities!B$66,1)="*",LEFT(Technologies!B$516,1)="*"),"*","R4")</f>
        <v>R4</v>
      </c>
      <c r="C614" s="158" t="e">
        <f>Technologies!C516</f>
        <v>#REF!</v>
      </c>
      <c r="D614" s="158" t="str">
        <f>Technologies!D516</f>
        <v>Delivery of Imported Distillate-Ultralow Sulfur Highway Diesel (15 ppm)</v>
      </c>
      <c r="E614" s="197" t="str">
        <f>Commodities!C$66</f>
        <v>DSUP1</v>
      </c>
      <c r="F614" s="197" t="e">
        <f>Commodities!C229</f>
        <v>#REF!</v>
      </c>
      <c r="G614" s="204">
        <v>1</v>
      </c>
      <c r="H614" s="203" t="e">
        <f>#REF!*#REF!^5/(Conv!$I$5*Conv!$D$46)/10^6 +#REF!</f>
        <v>#REF!</v>
      </c>
      <c r="I614" s="203" t="e">
        <f>#REF!*#REF!^5/(Conv!$I$5*Conv!$D$46)/10^6 +#REF!</f>
        <v>#REF!</v>
      </c>
      <c r="J614" s="203" t="e">
        <f>#REF!*#REF!^5/(Conv!$I$5*Conv!$D$46)/10^6 +#REF!</f>
        <v>#REF!</v>
      </c>
      <c r="K614" s="203" t="e">
        <f>#REF!*#REF!^5/(Conv!$I$5*Conv!$D$46)/10^6 +#REF!</f>
        <v>#REF!</v>
      </c>
      <c r="L614" s="203" t="e">
        <f>#REF!*#REF!^5/(Conv!$I$5*Conv!$D$46)/10^6 +#REF!</f>
        <v>#REF!</v>
      </c>
      <c r="M614" s="203" t="e">
        <f>#REF!*#REF!^5/(Conv!$I$5*Conv!$D$46)/10^6 +#REF!</f>
        <v>#REF!</v>
      </c>
      <c r="N614" s="203" t="e">
        <f>#REF!*#REF!^5/(Conv!$I$5*Conv!$D$46)/10^6 +#REF!</f>
        <v>#REF!</v>
      </c>
      <c r="O614" s="203" t="e">
        <f>#REF!*#REF!^5/(Conv!$I$5*Conv!$D$46)/10^6 +#REF!</f>
        <v>#REF!</v>
      </c>
      <c r="P614" s="203" t="e">
        <f>#REF!*#REF!^5/(Conv!$I$5*Conv!$D$46)/10^6 +#REF!</f>
        <v>#REF!</v>
      </c>
      <c r="Q614" s="203" t="e">
        <f>#REF!*#REF!^5/(Conv!$I$5*Conv!$D$46)/10^6 +#REF!</f>
        <v>#REF!</v>
      </c>
      <c r="S614" s="177"/>
      <c r="T614" s="177"/>
      <c r="U614" s="177"/>
      <c r="V614" s="177"/>
      <c r="W614" s="177"/>
      <c r="X614" s="177"/>
      <c r="Y614" s="177"/>
      <c r="Z614" s="177"/>
      <c r="AA614" s="177"/>
      <c r="AB614" s="177"/>
      <c r="AC614" s="177"/>
    </row>
    <row r="615" spans="2:29">
      <c r="B615" s="158" t="str">
        <f>IF(OR(LEFT(Commodities!B$69,1)="*",LEFT(Technologies!B$517,1)="*"),"*","R4")</f>
        <v>*</v>
      </c>
      <c r="C615" s="158" t="e">
        <f>Technologies!C517</f>
        <v>#REF!</v>
      </c>
      <c r="D615" s="158" t="str">
        <f>Technologies!D517</f>
        <v>Delivery of Imported Jet Fuel</v>
      </c>
      <c r="E615" s="197" t="str">
        <f>Commodities!C$69</f>
        <v>JTFP1</v>
      </c>
      <c r="F615" s="197" t="e">
        <f>Commodities!C230</f>
        <v>#REF!</v>
      </c>
      <c r="G615" s="204">
        <v>1</v>
      </c>
      <c r="H615" s="203" t="e">
        <f>#REF!*#REF!^5/(Conv!$I$5*Conv!$D$46)/10^6 +#REF!</f>
        <v>#REF!</v>
      </c>
      <c r="I615" s="203" t="e">
        <f>#REF!*#REF!^5/(Conv!$I$5*Conv!$D$46)/10^6 +#REF!</f>
        <v>#REF!</v>
      </c>
      <c r="J615" s="203" t="e">
        <f>#REF!*#REF!^5/(Conv!$I$5*Conv!$D$46)/10^6 +#REF!</f>
        <v>#REF!</v>
      </c>
      <c r="K615" s="203" t="e">
        <f>#REF!*#REF!^5/(Conv!$I$5*Conv!$D$46)/10^6 +#REF!</f>
        <v>#REF!</v>
      </c>
      <c r="L615" s="203" t="e">
        <f>#REF!*#REF!^5/(Conv!$I$5*Conv!$D$46)/10^6 +#REF!</f>
        <v>#REF!</v>
      </c>
      <c r="M615" s="203" t="e">
        <f>#REF!*#REF!^5/(Conv!$I$5*Conv!$D$46)/10^6 +#REF!</f>
        <v>#REF!</v>
      </c>
      <c r="N615" s="203" t="e">
        <f>#REF!*#REF!^5/(Conv!$I$5*Conv!$D$46)/10^6 +#REF!</f>
        <v>#REF!</v>
      </c>
      <c r="O615" s="203" t="e">
        <f>#REF!*#REF!^5/(Conv!$I$5*Conv!$D$46)/10^6 +#REF!</f>
        <v>#REF!</v>
      </c>
      <c r="P615" s="203" t="e">
        <f>#REF!*#REF!^5/(Conv!$I$5*Conv!$D$46)/10^6 +#REF!</f>
        <v>#REF!</v>
      </c>
      <c r="Q615" s="203" t="e">
        <f>#REF!*#REF!^5/(Conv!$I$5*Conv!$D$46)/10^6 +#REF!</f>
        <v>#REF!</v>
      </c>
      <c r="S615" s="177"/>
      <c r="T615" s="177"/>
      <c r="U615" s="177"/>
      <c r="V615" s="177"/>
      <c r="W615" s="177"/>
      <c r="X615" s="177"/>
      <c r="Y615" s="177"/>
      <c r="Z615" s="177"/>
      <c r="AA615" s="177"/>
      <c r="AB615" s="177"/>
      <c r="AC615" s="177"/>
    </row>
    <row r="616" spans="2:29">
      <c r="B616" s="158" t="str">
        <f>IF(OR(LEFT(Commodities!B$70,1)="*",LEFT(Technologies!B$518,1)="*"),"*","R4")</f>
        <v>*</v>
      </c>
      <c r="C616" s="158" t="e">
        <f>Technologies!C518</f>
        <v>#REF!</v>
      </c>
      <c r="D616" s="158" t="str">
        <f>Technologies!D518</f>
        <v>Delivery of Imported Kerosene and Other Refined Products to the Residential Sector</v>
      </c>
      <c r="E616" s="197" t="str">
        <f>Commodities!C$70</f>
        <v>KERP1</v>
      </c>
      <c r="F616" s="197" t="e">
        <f>Commodities!C231</f>
        <v>#REF!</v>
      </c>
      <c r="G616" s="204">
        <v>1</v>
      </c>
      <c r="H616" s="203" t="e">
        <f>#REF!*#REF!^5/(Conv!$I$5*Conv!$D$46)/10^6 +#REF!</f>
        <v>#REF!</v>
      </c>
      <c r="I616" s="203" t="e">
        <f>#REF!*#REF!^5/(Conv!$I$5*Conv!$D$46)/10^6 +#REF!</f>
        <v>#REF!</v>
      </c>
      <c r="J616" s="203" t="e">
        <f>#REF!*#REF!^5/(Conv!$I$5*Conv!$D$46)/10^6 +#REF!</f>
        <v>#REF!</v>
      </c>
      <c r="K616" s="203" t="e">
        <f>#REF!*#REF!^5/(Conv!$I$5*Conv!$D$46)/10^6 +#REF!</f>
        <v>#REF!</v>
      </c>
      <c r="L616" s="203" t="e">
        <f>#REF!*#REF!^5/(Conv!$I$5*Conv!$D$46)/10^6 +#REF!</f>
        <v>#REF!</v>
      </c>
      <c r="M616" s="203" t="e">
        <f>#REF!*#REF!^5/(Conv!$I$5*Conv!$D$46)/10^6 +#REF!</f>
        <v>#REF!</v>
      </c>
      <c r="N616" s="203" t="e">
        <f>#REF!*#REF!^5/(Conv!$I$5*Conv!$D$46)/10^6 +#REF!</f>
        <v>#REF!</v>
      </c>
      <c r="O616" s="203" t="e">
        <f>#REF!*#REF!^5/(Conv!$I$5*Conv!$D$46)/10^6 +#REF!</f>
        <v>#REF!</v>
      </c>
      <c r="P616" s="203" t="e">
        <f>#REF!*#REF!^5/(Conv!$I$5*Conv!$D$46)/10^6 +#REF!</f>
        <v>#REF!</v>
      </c>
      <c r="Q616" s="203" t="e">
        <f>#REF!*#REF!^5/(Conv!$I$5*Conv!$D$46)/10^6 +#REF!</f>
        <v>#REF!</v>
      </c>
      <c r="S616" s="177"/>
      <c r="T616" s="177"/>
      <c r="U616" s="177"/>
      <c r="V616" s="177"/>
      <c r="W616" s="177"/>
      <c r="X616" s="177"/>
      <c r="Y616" s="177"/>
      <c r="Z616" s="177"/>
      <c r="AA616" s="177"/>
      <c r="AB616" s="177"/>
      <c r="AC616" s="177"/>
    </row>
    <row r="617" spans="2:29">
      <c r="B617" s="158" t="str">
        <f>IF(OR(LEFT(Commodities!B$70,1)="*",LEFT(Technologies!B$519,1)="*"),"*","R4")</f>
        <v>*</v>
      </c>
      <c r="C617" s="158" t="e">
        <f>Technologies!C519</f>
        <v>#REF!</v>
      </c>
      <c r="D617" s="158" t="str">
        <f>Technologies!D519</f>
        <v>Delivery of Imported Kerosene and Other Refined Products to the Commercial Sector</v>
      </c>
      <c r="E617" s="197" t="str">
        <f>Commodities!C$70</f>
        <v>KERP1</v>
      </c>
      <c r="F617" s="197" t="e">
        <f>Commodities!C232</f>
        <v>#REF!</v>
      </c>
      <c r="G617" s="204">
        <v>1</v>
      </c>
      <c r="H617" s="203" t="e">
        <f>#REF!*#REF!^5/(Conv!$I$5*Conv!$D$46)/10^6 +#REF!</f>
        <v>#REF!</v>
      </c>
      <c r="I617" s="203" t="e">
        <f>#REF!*#REF!^5/(Conv!$I$5*Conv!$D$46)/10^6 +#REF!</f>
        <v>#REF!</v>
      </c>
      <c r="J617" s="203" t="e">
        <f>#REF!*#REF!^5/(Conv!$I$5*Conv!$D$46)/10^6 +#REF!</f>
        <v>#REF!</v>
      </c>
      <c r="K617" s="203" t="e">
        <f>#REF!*#REF!^5/(Conv!$I$5*Conv!$D$46)/10^6 +#REF!</f>
        <v>#REF!</v>
      </c>
      <c r="L617" s="203" t="e">
        <f>#REF!*#REF!^5/(Conv!$I$5*Conv!$D$46)/10^6 +#REF!</f>
        <v>#REF!</v>
      </c>
      <c r="M617" s="203" t="e">
        <f>#REF!*#REF!^5/(Conv!$I$5*Conv!$D$46)/10^6 +#REF!</f>
        <v>#REF!</v>
      </c>
      <c r="N617" s="203" t="e">
        <f>#REF!*#REF!^5/(Conv!$I$5*Conv!$D$46)/10^6 +#REF!</f>
        <v>#REF!</v>
      </c>
      <c r="O617" s="203" t="e">
        <f>#REF!*#REF!^5/(Conv!$I$5*Conv!$D$46)/10^6 +#REF!</f>
        <v>#REF!</v>
      </c>
      <c r="P617" s="203" t="e">
        <f>#REF!*#REF!^5/(Conv!$I$5*Conv!$D$46)/10^6 +#REF!</f>
        <v>#REF!</v>
      </c>
      <c r="Q617" s="203" t="e">
        <f>#REF!*#REF!^5/(Conv!$I$5*Conv!$D$46)/10^6 +#REF!</f>
        <v>#REF!</v>
      </c>
      <c r="S617" s="177"/>
      <c r="T617" s="177"/>
      <c r="U617" s="177"/>
      <c r="V617" s="177"/>
      <c r="W617" s="177"/>
      <c r="X617" s="177"/>
      <c r="Y617" s="177"/>
      <c r="Z617" s="177"/>
      <c r="AA617" s="177"/>
      <c r="AB617" s="177"/>
      <c r="AC617" s="177"/>
    </row>
    <row r="618" spans="2:29">
      <c r="B618" s="158" t="str">
        <f>IF(OR(LEFT(Commodities!B$70,1)="*",LEFT(Technologies!B$520,1)="*"),"*","R4")</f>
        <v>*</v>
      </c>
      <c r="C618" s="158" t="e">
        <f>Technologies!C520</f>
        <v>#REF!</v>
      </c>
      <c r="D618" s="158" t="str">
        <f>Technologies!D520</f>
        <v>Delivery of Imported Kerosene and Other Refined Products to the Industrial Sector</v>
      </c>
      <c r="E618" s="197" t="str">
        <f>Commodities!C$70</f>
        <v>KERP1</v>
      </c>
      <c r="F618" s="197" t="e">
        <f>Commodities!C233</f>
        <v>#REF!</v>
      </c>
      <c r="G618" s="204">
        <v>1</v>
      </c>
      <c r="H618" s="203" t="e">
        <f>#REF!*#REF!^5/(Conv!$I$5*Conv!$D$46)/10^6 +#REF!</f>
        <v>#REF!</v>
      </c>
      <c r="I618" s="203" t="e">
        <f>#REF!*#REF!^5/(Conv!$I$5*Conv!$D$46)/10^6 +#REF!</f>
        <v>#REF!</v>
      </c>
      <c r="J618" s="203" t="e">
        <f>#REF!*#REF!^5/(Conv!$I$5*Conv!$D$46)/10^6 +#REF!</f>
        <v>#REF!</v>
      </c>
      <c r="K618" s="203" t="e">
        <f>#REF!*#REF!^5/(Conv!$I$5*Conv!$D$46)/10^6 +#REF!</f>
        <v>#REF!</v>
      </c>
      <c r="L618" s="203" t="e">
        <f>#REF!*#REF!^5/(Conv!$I$5*Conv!$D$46)/10^6 +#REF!</f>
        <v>#REF!</v>
      </c>
      <c r="M618" s="203" t="e">
        <f>#REF!*#REF!^5/(Conv!$I$5*Conv!$D$46)/10^6 +#REF!</f>
        <v>#REF!</v>
      </c>
      <c r="N618" s="203" t="e">
        <f>#REF!*#REF!^5/(Conv!$I$5*Conv!$D$46)/10^6 +#REF!</f>
        <v>#REF!</v>
      </c>
      <c r="O618" s="203" t="e">
        <f>#REF!*#REF!^5/(Conv!$I$5*Conv!$D$46)/10^6 +#REF!</f>
        <v>#REF!</v>
      </c>
      <c r="P618" s="203" t="e">
        <f>#REF!*#REF!^5/(Conv!$I$5*Conv!$D$46)/10^6 +#REF!</f>
        <v>#REF!</v>
      </c>
      <c r="Q618" s="203" t="e">
        <f>#REF!*#REF!^5/(Conv!$I$5*Conv!$D$46)/10^6 +#REF!</f>
        <v>#REF!</v>
      </c>
      <c r="S618" s="177"/>
      <c r="T618" s="177"/>
      <c r="U618" s="177"/>
      <c r="V618" s="177"/>
      <c r="W618" s="177"/>
      <c r="X618" s="177"/>
      <c r="Y618" s="177"/>
      <c r="Z618" s="177"/>
      <c r="AA618" s="177"/>
      <c r="AB618" s="177"/>
      <c r="AC618" s="177"/>
    </row>
    <row r="619" spans="2:29">
      <c r="B619" s="158" t="str">
        <f>IF(OR(LEFT(Commodities!B$71,1)="*",LEFT(Technologies!B$521,1)="*"),"*","R4")</f>
        <v>*</v>
      </c>
      <c r="C619" s="158" t="e">
        <f>Technologies!C521</f>
        <v>#REF!</v>
      </c>
      <c r="D619" s="158" t="str">
        <f>Technologies!D521</f>
        <v>Delivery of Imported LPG to the Residential Sector</v>
      </c>
      <c r="E619" s="197" t="str">
        <f>Commodities!C$71</f>
        <v>LPGP1</v>
      </c>
      <c r="F619" s="197" t="e">
        <f>Commodities!C234</f>
        <v>#REF!</v>
      </c>
      <c r="G619" s="204">
        <v>1</v>
      </c>
      <c r="H619" s="203" t="e">
        <f>#REF!*#REF!^5/(Conv!$I$5*Conv!$D$46)/10^6 +#REF!</f>
        <v>#REF!</v>
      </c>
      <c r="I619" s="203" t="e">
        <f>#REF!*#REF!^5/(Conv!$I$5*Conv!$D$46)/10^6 +#REF!</f>
        <v>#REF!</v>
      </c>
      <c r="J619" s="203" t="e">
        <f>#REF!*#REF!^5/(Conv!$I$5*Conv!$D$46)/10^6 +#REF!</f>
        <v>#REF!</v>
      </c>
      <c r="K619" s="203" t="e">
        <f>#REF!*#REF!^5/(Conv!$I$5*Conv!$D$46)/10^6 +#REF!</f>
        <v>#REF!</v>
      </c>
      <c r="L619" s="203" t="e">
        <f>#REF!*#REF!^5/(Conv!$I$5*Conv!$D$46)/10^6 +#REF!</f>
        <v>#REF!</v>
      </c>
      <c r="M619" s="203" t="e">
        <f>#REF!*#REF!^5/(Conv!$I$5*Conv!$D$46)/10^6 +#REF!</f>
        <v>#REF!</v>
      </c>
      <c r="N619" s="203" t="e">
        <f>#REF!*#REF!^5/(Conv!$I$5*Conv!$D$46)/10^6 +#REF!</f>
        <v>#REF!</v>
      </c>
      <c r="O619" s="203" t="e">
        <f>#REF!*#REF!^5/(Conv!$I$5*Conv!$D$46)/10^6 +#REF!</f>
        <v>#REF!</v>
      </c>
      <c r="P619" s="203" t="e">
        <f>#REF!*#REF!^5/(Conv!$I$5*Conv!$D$46)/10^6 +#REF!</f>
        <v>#REF!</v>
      </c>
      <c r="Q619" s="203" t="e">
        <f>#REF!*#REF!^5/(Conv!$I$5*Conv!$D$46)/10^6 +#REF!</f>
        <v>#REF!</v>
      </c>
      <c r="S619" s="177"/>
      <c r="T619" s="177"/>
      <c r="U619" s="177"/>
      <c r="V619" s="177"/>
      <c r="W619" s="177"/>
      <c r="X619" s="177"/>
      <c r="Y619" s="177"/>
      <c r="Z619" s="177"/>
      <c r="AA619" s="177"/>
      <c r="AB619" s="177"/>
      <c r="AC619" s="177"/>
    </row>
    <row r="620" spans="2:29">
      <c r="B620" s="158" t="str">
        <f>IF(OR(LEFT(Commodities!B$71,1)="*",LEFT(Technologies!B$522,1)="*"),"*","R4")</f>
        <v>*</v>
      </c>
      <c r="C620" s="158" t="e">
        <f>Technologies!C522</f>
        <v>#REF!</v>
      </c>
      <c r="D620" s="158" t="str">
        <f>Technologies!D522</f>
        <v>Delivery of Imported LPG to the Commercial Sector</v>
      </c>
      <c r="E620" s="197" t="str">
        <f>Commodities!C$71</f>
        <v>LPGP1</v>
      </c>
      <c r="F620" s="197" t="e">
        <f>Commodities!C235</f>
        <v>#REF!</v>
      </c>
      <c r="G620" s="204">
        <v>1</v>
      </c>
      <c r="H620" s="203" t="e">
        <f>#REF!*#REF!^5/(Conv!$I$5*Conv!$D$46)/10^6 +#REF!</f>
        <v>#REF!</v>
      </c>
      <c r="I620" s="203" t="e">
        <f>#REF!*#REF!^5/(Conv!$I$5*Conv!$D$46)/10^6 +#REF!</f>
        <v>#REF!</v>
      </c>
      <c r="J620" s="203" t="e">
        <f>#REF!*#REF!^5/(Conv!$I$5*Conv!$D$46)/10^6 +#REF!</f>
        <v>#REF!</v>
      </c>
      <c r="K620" s="203" t="e">
        <f>#REF!*#REF!^5/(Conv!$I$5*Conv!$D$46)/10^6 +#REF!</f>
        <v>#REF!</v>
      </c>
      <c r="L620" s="203" t="e">
        <f>#REF!*#REF!^5/(Conv!$I$5*Conv!$D$46)/10^6 +#REF!</f>
        <v>#REF!</v>
      </c>
      <c r="M620" s="203" t="e">
        <f>#REF!*#REF!^5/(Conv!$I$5*Conv!$D$46)/10^6 +#REF!</f>
        <v>#REF!</v>
      </c>
      <c r="N620" s="203" t="e">
        <f>#REF!*#REF!^5/(Conv!$I$5*Conv!$D$46)/10^6 +#REF!</f>
        <v>#REF!</v>
      </c>
      <c r="O620" s="203" t="e">
        <f>#REF!*#REF!^5/(Conv!$I$5*Conv!$D$46)/10^6 +#REF!</f>
        <v>#REF!</v>
      </c>
      <c r="P620" s="203" t="e">
        <f>#REF!*#REF!^5/(Conv!$I$5*Conv!$D$46)/10^6 +#REF!</f>
        <v>#REF!</v>
      </c>
      <c r="Q620" s="203" t="e">
        <f>#REF!*#REF!^5/(Conv!$I$5*Conv!$D$46)/10^6 +#REF!</f>
        <v>#REF!</v>
      </c>
      <c r="S620" s="177"/>
      <c r="T620" s="177"/>
      <c r="U620" s="177"/>
      <c r="V620" s="177"/>
      <c r="W620" s="177"/>
      <c r="X620" s="177"/>
      <c r="Y620" s="177"/>
      <c r="Z620" s="177"/>
      <c r="AA620" s="177"/>
      <c r="AB620" s="177"/>
      <c r="AC620" s="177"/>
    </row>
    <row r="621" spans="2:29">
      <c r="B621" s="158" t="str">
        <f>IF(OR(LEFT(Commodities!B$71,1)="*",LEFT(Technologies!B$523,1)="*"),"*","R4")</f>
        <v>*</v>
      </c>
      <c r="C621" s="158" t="e">
        <f>Technologies!C523</f>
        <v>#REF!</v>
      </c>
      <c r="D621" s="158" t="str">
        <f>Technologies!D523</f>
        <v>Delivery of Imported LPG to the Industrial Sector</v>
      </c>
      <c r="E621" s="197" t="str">
        <f>Commodities!C$71</f>
        <v>LPGP1</v>
      </c>
      <c r="F621" s="197" t="e">
        <f>Commodities!C236</f>
        <v>#REF!</v>
      </c>
      <c r="G621" s="204">
        <v>1</v>
      </c>
      <c r="H621" s="203" t="e">
        <f>#REF!*#REF!^5/(Conv!$I$5*Conv!$D$46)/10^6 +#REF!</f>
        <v>#REF!</v>
      </c>
      <c r="I621" s="203" t="e">
        <f>#REF!*#REF!^5/(Conv!$I$5*Conv!$D$46)/10^6 +#REF!</f>
        <v>#REF!</v>
      </c>
      <c r="J621" s="203" t="e">
        <f>#REF!*#REF!^5/(Conv!$I$5*Conv!$D$46)/10^6 +#REF!</f>
        <v>#REF!</v>
      </c>
      <c r="K621" s="203" t="e">
        <f>#REF!*#REF!^5/(Conv!$I$5*Conv!$D$46)/10^6 +#REF!</f>
        <v>#REF!</v>
      </c>
      <c r="L621" s="203" t="e">
        <f>#REF!*#REF!^5/(Conv!$I$5*Conv!$D$46)/10^6 +#REF!</f>
        <v>#REF!</v>
      </c>
      <c r="M621" s="203" t="e">
        <f>#REF!*#REF!^5/(Conv!$I$5*Conv!$D$46)/10^6 +#REF!</f>
        <v>#REF!</v>
      </c>
      <c r="N621" s="203" t="e">
        <f>#REF!*#REF!^5/(Conv!$I$5*Conv!$D$46)/10^6 +#REF!</f>
        <v>#REF!</v>
      </c>
      <c r="O621" s="203" t="e">
        <f>#REF!*#REF!^5/(Conv!$I$5*Conv!$D$46)/10^6 +#REF!</f>
        <v>#REF!</v>
      </c>
      <c r="P621" s="203" t="e">
        <f>#REF!*#REF!^5/(Conv!$I$5*Conv!$D$46)/10^6 +#REF!</f>
        <v>#REF!</v>
      </c>
      <c r="Q621" s="203" t="e">
        <f>#REF!*#REF!^5/(Conv!$I$5*Conv!$D$46)/10^6 +#REF!</f>
        <v>#REF!</v>
      </c>
      <c r="S621" s="177"/>
      <c r="T621" s="177"/>
      <c r="U621" s="177"/>
      <c r="V621" s="177"/>
      <c r="W621" s="177"/>
      <c r="X621" s="177"/>
      <c r="Y621" s="177"/>
      <c r="Z621" s="177"/>
      <c r="AA621" s="177"/>
      <c r="AB621" s="177"/>
      <c r="AC621" s="177"/>
    </row>
    <row r="622" spans="2:29">
      <c r="B622" s="158" t="str">
        <f>IF(OR(LEFT(Commodities!B$71,1)="*",LEFT(Technologies!B$524,1)="*"),"*","R4")</f>
        <v>*</v>
      </c>
      <c r="C622" s="158" t="e">
        <f>Technologies!C524</f>
        <v>#REF!</v>
      </c>
      <c r="D622" s="158" t="str">
        <f>Technologies!D524</f>
        <v>Delivery of Imported LPG to the Transportation Sector</v>
      </c>
      <c r="E622" s="197" t="str">
        <f>Commodities!C$71</f>
        <v>LPGP1</v>
      </c>
      <c r="F622" s="197" t="e">
        <f>Commodities!C237</f>
        <v>#REF!</v>
      </c>
      <c r="G622" s="204">
        <v>1</v>
      </c>
      <c r="H622" s="203" t="e">
        <f>#REF!*#REF!^5/(Conv!$I$5*Conv!$D$46)/10^6 +#REF!</f>
        <v>#REF!</v>
      </c>
      <c r="I622" s="203" t="e">
        <f>#REF!*#REF!^5/(Conv!$I$5*Conv!$D$46)/10^6 +#REF!</f>
        <v>#REF!</v>
      </c>
      <c r="J622" s="203" t="e">
        <f>#REF!*#REF!^5/(Conv!$I$5*Conv!$D$46)/10^6 +#REF!</f>
        <v>#REF!</v>
      </c>
      <c r="K622" s="203" t="e">
        <f>#REF!*#REF!^5/(Conv!$I$5*Conv!$D$46)/10^6 +#REF!</f>
        <v>#REF!</v>
      </c>
      <c r="L622" s="203" t="e">
        <f>#REF!*#REF!^5/(Conv!$I$5*Conv!$D$46)/10^6 +#REF!</f>
        <v>#REF!</v>
      </c>
      <c r="M622" s="203" t="e">
        <f>#REF!*#REF!^5/(Conv!$I$5*Conv!$D$46)/10^6 +#REF!</f>
        <v>#REF!</v>
      </c>
      <c r="N622" s="203" t="e">
        <f>#REF!*#REF!^5/(Conv!$I$5*Conv!$D$46)/10^6 +#REF!</f>
        <v>#REF!</v>
      </c>
      <c r="O622" s="203" t="e">
        <f>#REF!*#REF!^5/(Conv!$I$5*Conv!$D$46)/10^6 +#REF!</f>
        <v>#REF!</v>
      </c>
      <c r="P622" s="203" t="e">
        <f>#REF!*#REF!^5/(Conv!$I$5*Conv!$D$46)/10^6 +#REF!</f>
        <v>#REF!</v>
      </c>
      <c r="Q622" s="203" t="e">
        <f>#REF!*#REF!^5/(Conv!$I$5*Conv!$D$46)/10^6 +#REF!</f>
        <v>#REF!</v>
      </c>
      <c r="S622" s="177"/>
      <c r="T622" s="177"/>
      <c r="U622" s="177"/>
      <c r="V622" s="177"/>
      <c r="W622" s="177"/>
      <c r="X622" s="177"/>
      <c r="Y622" s="177"/>
      <c r="Z622" s="177"/>
      <c r="AA622" s="177"/>
      <c r="AB622" s="177"/>
      <c r="AC622" s="177"/>
    </row>
    <row r="623" spans="2:29">
      <c r="B623" s="158" t="str">
        <f>IF(LEFT(Technologies!B$525,1)="*","*","R4")</f>
        <v>*</v>
      </c>
      <c r="C623" s="158" t="e">
        <f>Technologies!C525</f>
        <v>#REF!</v>
      </c>
      <c r="D623" s="158" t="str">
        <f>Technologies!D525</f>
        <v>Delivery of Imported Methanol</v>
      </c>
      <c r="E623" s="197" t="str">
        <f>Commodities!C$72</f>
        <v>MTHP1</v>
      </c>
      <c r="F623" s="197" t="e">
        <f>Commodities!C238</f>
        <v>#REF!</v>
      </c>
      <c r="G623" s="204">
        <v>1</v>
      </c>
      <c r="H623" s="203" t="e">
        <f>#REF!*#REF!^5/(Conv!$I$5*Conv!$D$46)/10^6 +#REF!</f>
        <v>#REF!</v>
      </c>
      <c r="I623" s="203" t="e">
        <f>#REF!*#REF!^5/(Conv!$I$5*Conv!$D$46)/10^6 +#REF!</f>
        <v>#REF!</v>
      </c>
      <c r="J623" s="203" t="e">
        <f>#REF!*#REF!^5/(Conv!$I$5*Conv!$D$46)/10^6 +#REF!</f>
        <v>#REF!</v>
      </c>
      <c r="K623" s="203" t="e">
        <f>#REF!*#REF!^5/(Conv!$I$5*Conv!$D$46)/10^6 +#REF!</f>
        <v>#REF!</v>
      </c>
      <c r="L623" s="203" t="e">
        <f>#REF!*#REF!^5/(Conv!$I$5*Conv!$D$46)/10^6 +#REF!</f>
        <v>#REF!</v>
      </c>
      <c r="M623" s="203" t="e">
        <f>#REF!*#REF!^5/(Conv!$I$5*Conv!$D$46)/10^6 +#REF!</f>
        <v>#REF!</v>
      </c>
      <c r="N623" s="203" t="e">
        <f>#REF!*#REF!^5/(Conv!$I$5*Conv!$D$46)/10^6 +#REF!</f>
        <v>#REF!</v>
      </c>
      <c r="O623" s="203" t="e">
        <f>#REF!*#REF!^5/(Conv!$I$5*Conv!$D$46)/10^6 +#REF!</f>
        <v>#REF!</v>
      </c>
      <c r="P623" s="203" t="e">
        <f>#REF!*#REF!^5/(Conv!$I$5*Conv!$D$46)/10^6 +#REF!</f>
        <v>#REF!</v>
      </c>
      <c r="Q623" s="203" t="e">
        <f>#REF!*#REF!^5/(Conv!$I$5*Conv!$D$46)/10^6 +#REF!</f>
        <v>#REF!</v>
      </c>
      <c r="S623" s="177"/>
      <c r="T623" s="177"/>
      <c r="U623" s="177"/>
      <c r="V623" s="177"/>
      <c r="W623" s="177"/>
      <c r="X623" s="177"/>
      <c r="Y623" s="177"/>
      <c r="Z623" s="177"/>
      <c r="AA623" s="177"/>
      <c r="AB623" s="177"/>
      <c r="AC623" s="177"/>
    </row>
    <row r="624" spans="2:29">
      <c r="B624" s="158" t="str">
        <f>IF(OR(LEFT(Commodities!B$239,1)="*",LEFT(Technologies!B$526,1)="*"),"*","R4")</f>
        <v>*</v>
      </c>
      <c r="C624" s="158" t="e">
        <f>Technologies!C526</f>
        <v>#REF!</v>
      </c>
      <c r="D624" s="158" t="str">
        <f>Technologies!D526</f>
        <v>Delivery of Imported Petrochemical Feedstocks</v>
      </c>
      <c r="E624" s="197" t="str">
        <f>Commodities!C$73</f>
        <v>PFSP1</v>
      </c>
      <c r="F624" s="197" t="e">
        <f>Commodities!C239</f>
        <v>#REF!</v>
      </c>
      <c r="G624" s="204">
        <v>1</v>
      </c>
      <c r="H624" s="203" t="e">
        <f>#REF!*#REF!^5/(Conv!$I$5*Conv!$D$46)/10^6 +#REF!</f>
        <v>#REF!</v>
      </c>
      <c r="I624" s="203" t="e">
        <f>#REF!*#REF!^5/(Conv!$I$5*Conv!$D$46)/10^6 +#REF!</f>
        <v>#REF!</v>
      </c>
      <c r="J624" s="203" t="e">
        <f>#REF!*#REF!^5/(Conv!$I$5*Conv!$D$46)/10^6 +#REF!</f>
        <v>#REF!</v>
      </c>
      <c r="K624" s="203" t="e">
        <f>#REF!*#REF!^5/(Conv!$I$5*Conv!$D$46)/10^6 +#REF!</f>
        <v>#REF!</v>
      </c>
      <c r="L624" s="203" t="e">
        <f>#REF!*#REF!^5/(Conv!$I$5*Conv!$D$46)/10^6 +#REF!</f>
        <v>#REF!</v>
      </c>
      <c r="M624" s="203" t="e">
        <f>#REF!*#REF!^5/(Conv!$I$5*Conv!$D$46)/10^6 +#REF!</f>
        <v>#REF!</v>
      </c>
      <c r="N624" s="203" t="e">
        <f>#REF!*#REF!^5/(Conv!$I$5*Conv!$D$46)/10^6 +#REF!</f>
        <v>#REF!</v>
      </c>
      <c r="O624" s="203" t="e">
        <f>#REF!*#REF!^5/(Conv!$I$5*Conv!$D$46)/10^6 +#REF!</f>
        <v>#REF!</v>
      </c>
      <c r="P624" s="203" t="e">
        <f>#REF!*#REF!^5/(Conv!$I$5*Conv!$D$46)/10^6 +#REF!</f>
        <v>#REF!</v>
      </c>
      <c r="Q624" s="203" t="e">
        <f>#REF!*#REF!^5/(Conv!$I$5*Conv!$D$46)/10^6 +#REF!</f>
        <v>#REF!</v>
      </c>
      <c r="S624" s="177"/>
      <c r="T624" s="177"/>
      <c r="U624" s="177"/>
      <c r="V624" s="177"/>
      <c r="W624" s="177"/>
      <c r="X624" s="177"/>
      <c r="Y624" s="177"/>
      <c r="Z624" s="177"/>
      <c r="AA624" s="177"/>
      <c r="AB624" s="177"/>
      <c r="AC624" s="177"/>
    </row>
    <row r="625" spans="2:29">
      <c r="B625" s="158" t="str">
        <f>IF(OR(LEFT(Commodities!B$75,1)="*",LEFT(Technologies!B$527,1)="*"),"*","R4")</f>
        <v>*</v>
      </c>
      <c r="C625" s="158" t="str">
        <f>Technologies!C527</f>
        <v>XIRESRFLP1</v>
      </c>
      <c r="D625" s="158" t="str">
        <f>Technologies!D527</f>
        <v>Delivery of Imported Low Sulfur Residual Fuel Oil to Residential Sector</v>
      </c>
      <c r="E625" s="197" t="str">
        <f>Commodities!C$75</f>
        <v>RFLP1</v>
      </c>
      <c r="F625" s="197" t="str">
        <f>Commodities!C240</f>
        <v>RESRFL</v>
      </c>
      <c r="G625" s="204">
        <v>1</v>
      </c>
      <c r="H625" s="203" t="e">
        <f>#REF!*#REF!^5/(Conv!$I$5*Conv!$D$46)/10^6 +#REF!</f>
        <v>#REF!</v>
      </c>
      <c r="I625" s="203" t="e">
        <f>#REF!*#REF!^5/(Conv!$I$5*Conv!$D$46)/10^6 +#REF!</f>
        <v>#REF!</v>
      </c>
      <c r="J625" s="203" t="e">
        <f>#REF!*#REF!^5/(Conv!$I$5*Conv!$D$46)/10^6 +#REF!</f>
        <v>#REF!</v>
      </c>
      <c r="K625" s="203" t="e">
        <f>#REF!*#REF!^5/(Conv!$I$5*Conv!$D$46)/10^6 +#REF!</f>
        <v>#REF!</v>
      </c>
      <c r="L625" s="203" t="e">
        <f>#REF!*#REF!^5/(Conv!$I$5*Conv!$D$46)/10^6 +#REF!</f>
        <v>#REF!</v>
      </c>
      <c r="M625" s="203" t="e">
        <f>#REF!*#REF!^5/(Conv!$I$5*Conv!$D$46)/10^6 +#REF!</f>
        <v>#REF!</v>
      </c>
      <c r="N625" s="203" t="e">
        <f>#REF!*#REF!^5/(Conv!$I$5*Conv!$D$46)/10^6 +#REF!</f>
        <v>#REF!</v>
      </c>
      <c r="O625" s="203" t="e">
        <f>#REF!*#REF!^5/(Conv!$I$5*Conv!$D$46)/10^6 +#REF!</f>
        <v>#REF!</v>
      </c>
      <c r="P625" s="203" t="e">
        <f>#REF!*#REF!^5/(Conv!$I$5*Conv!$D$46)/10^6 +#REF!</f>
        <v>#REF!</v>
      </c>
      <c r="Q625" s="203" t="e">
        <f>#REF!*#REF!^5/(Conv!$I$5*Conv!$D$46)/10^6 +#REF!</f>
        <v>#REF!</v>
      </c>
      <c r="S625" s="177"/>
      <c r="T625" s="177"/>
      <c r="U625" s="177"/>
      <c r="V625" s="177"/>
      <c r="W625" s="177"/>
      <c r="X625" s="177"/>
      <c r="Y625" s="177"/>
      <c r="Z625" s="177"/>
      <c r="AA625" s="177"/>
      <c r="AB625" s="177"/>
      <c r="AC625" s="177"/>
    </row>
    <row r="626" spans="2:29">
      <c r="B626" s="158" t="str">
        <f>IF(OR(LEFT(Commodities!B$75,1)="*",LEFT(Technologies!B$528,1)="*"),"*","R4")</f>
        <v>*</v>
      </c>
      <c r="C626" s="158" t="e">
        <f>Technologies!C528</f>
        <v>#REF!</v>
      </c>
      <c r="D626" s="158" t="str">
        <f>Technologies!D528</f>
        <v>Delivery of Imported Low Sulfur Residual Fuel Oil to Commercial Sector</v>
      </c>
      <c r="E626" s="197" t="str">
        <f>Commodities!C$75</f>
        <v>RFLP1</v>
      </c>
      <c r="F626" s="197" t="e">
        <f>Commodities!C241</f>
        <v>#REF!</v>
      </c>
      <c r="G626" s="204">
        <v>1</v>
      </c>
      <c r="H626" s="203" t="e">
        <f>#REF!*#REF!^5/(Conv!$I$5*Conv!$D$46)/10^6 +#REF!</f>
        <v>#REF!</v>
      </c>
      <c r="I626" s="203" t="e">
        <f>#REF!*#REF!^5/(Conv!$I$5*Conv!$D$46)/10^6 +#REF!</f>
        <v>#REF!</v>
      </c>
      <c r="J626" s="203" t="e">
        <f>#REF!*#REF!^5/(Conv!$I$5*Conv!$D$46)/10^6 +#REF!</f>
        <v>#REF!</v>
      </c>
      <c r="K626" s="203" t="e">
        <f>#REF!*#REF!^5/(Conv!$I$5*Conv!$D$46)/10^6 +#REF!</f>
        <v>#REF!</v>
      </c>
      <c r="L626" s="203" t="e">
        <f>#REF!*#REF!^5/(Conv!$I$5*Conv!$D$46)/10^6 +#REF!</f>
        <v>#REF!</v>
      </c>
      <c r="M626" s="203" t="e">
        <f>#REF!*#REF!^5/(Conv!$I$5*Conv!$D$46)/10^6 +#REF!</f>
        <v>#REF!</v>
      </c>
      <c r="N626" s="203" t="e">
        <f>#REF!*#REF!^5/(Conv!$I$5*Conv!$D$46)/10^6 +#REF!</f>
        <v>#REF!</v>
      </c>
      <c r="O626" s="203" t="e">
        <f>#REF!*#REF!^5/(Conv!$I$5*Conv!$D$46)/10^6 +#REF!</f>
        <v>#REF!</v>
      </c>
      <c r="P626" s="203" t="e">
        <f>#REF!*#REF!^5/(Conv!$I$5*Conv!$D$46)/10^6 +#REF!</f>
        <v>#REF!</v>
      </c>
      <c r="Q626" s="203" t="e">
        <f>#REF!*#REF!^5/(Conv!$I$5*Conv!$D$46)/10^6 +#REF!</f>
        <v>#REF!</v>
      </c>
      <c r="S626" s="177"/>
      <c r="T626" s="177"/>
      <c r="U626" s="177"/>
      <c r="V626" s="177"/>
      <c r="W626" s="177"/>
      <c r="X626" s="177"/>
      <c r="Y626" s="177"/>
      <c r="Z626" s="177"/>
      <c r="AA626" s="177"/>
      <c r="AB626" s="177"/>
      <c r="AC626" s="177"/>
    </row>
    <row r="627" spans="2:29">
      <c r="B627" s="158" t="str">
        <f>IF(OR(LEFT(Commodities!B$75,1)="*",LEFT(Technologies!B$529,1)="*"),"*","R4")</f>
        <v>R4</v>
      </c>
      <c r="C627" s="158" t="e">
        <f>Technologies!C529</f>
        <v>#REF!</v>
      </c>
      <c r="D627" s="158" t="str">
        <f>Technologies!D529</f>
        <v>Delivery of Imported Low Sulfur Residual Fuel Oil to Industrial Sector</v>
      </c>
      <c r="E627" s="197" t="str">
        <f>Commodities!C$75</f>
        <v>RFLP1</v>
      </c>
      <c r="F627" s="197" t="e">
        <f>Commodities!C242</f>
        <v>#REF!</v>
      </c>
      <c r="G627" s="204">
        <v>1</v>
      </c>
      <c r="H627" s="203" t="e">
        <f>#REF!*#REF!^5/(Conv!$I$5*Conv!$D$46)/10^6 +#REF!</f>
        <v>#REF!</v>
      </c>
      <c r="I627" s="203" t="e">
        <f>#REF!*#REF!^5/(Conv!$I$5*Conv!$D$46)/10^6 +#REF!</f>
        <v>#REF!</v>
      </c>
      <c r="J627" s="203" t="e">
        <f>#REF!*#REF!^5/(Conv!$I$5*Conv!$D$46)/10^6 +#REF!</f>
        <v>#REF!</v>
      </c>
      <c r="K627" s="203" t="e">
        <f>#REF!*#REF!^5/(Conv!$I$5*Conv!$D$46)/10^6 +#REF!</f>
        <v>#REF!</v>
      </c>
      <c r="L627" s="203" t="e">
        <f>#REF!*#REF!^5/(Conv!$I$5*Conv!$D$46)/10^6 +#REF!</f>
        <v>#REF!</v>
      </c>
      <c r="M627" s="203" t="e">
        <f>#REF!*#REF!^5/(Conv!$I$5*Conv!$D$46)/10^6 +#REF!</f>
        <v>#REF!</v>
      </c>
      <c r="N627" s="203" t="e">
        <f>#REF!*#REF!^5/(Conv!$I$5*Conv!$D$46)/10^6 +#REF!</f>
        <v>#REF!</v>
      </c>
      <c r="O627" s="203" t="e">
        <f>#REF!*#REF!^5/(Conv!$I$5*Conv!$D$46)/10^6 +#REF!</f>
        <v>#REF!</v>
      </c>
      <c r="P627" s="203" t="e">
        <f>#REF!*#REF!^5/(Conv!$I$5*Conv!$D$46)/10^6 +#REF!</f>
        <v>#REF!</v>
      </c>
      <c r="Q627" s="203" t="e">
        <f>#REF!*#REF!^5/(Conv!$I$5*Conv!$D$46)/10^6 +#REF!</f>
        <v>#REF!</v>
      </c>
      <c r="S627" s="177"/>
      <c r="T627" s="177"/>
      <c r="U627" s="177"/>
      <c r="V627" s="177"/>
      <c r="W627" s="177"/>
      <c r="X627" s="177"/>
      <c r="Y627" s="177"/>
      <c r="Z627" s="177"/>
      <c r="AA627" s="177"/>
      <c r="AB627" s="177"/>
      <c r="AC627" s="177"/>
    </row>
    <row r="628" spans="2:29">
      <c r="B628" s="158" t="str">
        <f>IF(OR(LEFT(Commodities!B$75,1)="*",LEFT(Technologies!B$530,1)="*"),"*","R4")</f>
        <v>*</v>
      </c>
      <c r="C628" s="158" t="e">
        <f>Technologies!C530</f>
        <v>#REF!</v>
      </c>
      <c r="D628" s="158" t="str">
        <f>Technologies!D530</f>
        <v>Delivery of Imported Low Sulfur Residual Fuel Oil to Electricity Sector</v>
      </c>
      <c r="E628" s="197" t="str">
        <f>Commodities!C$75</f>
        <v>RFLP1</v>
      </c>
      <c r="F628" s="197" t="e">
        <f>Commodities!C243</f>
        <v>#REF!</v>
      </c>
      <c r="G628" s="204">
        <v>1</v>
      </c>
      <c r="H628" s="203" t="e">
        <f>#REF!*#REF!^5/(Conv!$I$5*Conv!$D$46)/10^6 +#REF!</f>
        <v>#REF!</v>
      </c>
      <c r="I628" s="203" t="e">
        <f>#REF!*#REF!^5/(Conv!$I$5*Conv!$D$46)/10^6 +#REF!</f>
        <v>#REF!</v>
      </c>
      <c r="J628" s="203" t="e">
        <f>#REF!*#REF!^5/(Conv!$I$5*Conv!$D$46)/10^6 +#REF!</f>
        <v>#REF!</v>
      </c>
      <c r="K628" s="203" t="e">
        <f>#REF!*#REF!^5/(Conv!$I$5*Conv!$D$46)/10^6 +#REF!</f>
        <v>#REF!</v>
      </c>
      <c r="L628" s="203" t="e">
        <f>#REF!*#REF!^5/(Conv!$I$5*Conv!$D$46)/10^6 +#REF!</f>
        <v>#REF!</v>
      </c>
      <c r="M628" s="203" t="e">
        <f>#REF!*#REF!^5/(Conv!$I$5*Conv!$D$46)/10^6 +#REF!</f>
        <v>#REF!</v>
      </c>
      <c r="N628" s="203" t="e">
        <f>#REF!*#REF!^5/(Conv!$I$5*Conv!$D$46)/10^6 +#REF!</f>
        <v>#REF!</v>
      </c>
      <c r="O628" s="203" t="e">
        <f>#REF!*#REF!^5/(Conv!$I$5*Conv!$D$46)/10^6 +#REF!</f>
        <v>#REF!</v>
      </c>
      <c r="P628" s="203" t="e">
        <f>#REF!*#REF!^5/(Conv!$I$5*Conv!$D$46)/10^6 +#REF!</f>
        <v>#REF!</v>
      </c>
      <c r="Q628" s="203" t="e">
        <f>#REF!*#REF!^5/(Conv!$I$5*Conv!$D$46)/10^6 +#REF!</f>
        <v>#REF!</v>
      </c>
      <c r="S628" s="177"/>
      <c r="T628" s="177"/>
      <c r="U628" s="177"/>
      <c r="V628" s="177"/>
      <c r="W628" s="177"/>
      <c r="X628" s="177"/>
      <c r="Y628" s="177"/>
      <c r="Z628" s="177"/>
      <c r="AA628" s="177"/>
      <c r="AB628" s="177"/>
      <c r="AC628" s="177"/>
    </row>
    <row r="629" spans="2:29">
      <c r="B629" s="158" t="str">
        <f>IF(OR(LEFT(Commodities!B$74,1)="*",LEFT(Technologies!B$531,1)="*"),"*","R4")</f>
        <v>*</v>
      </c>
      <c r="C629" s="158" t="e">
        <f>Technologies!C531</f>
        <v>#REF!</v>
      </c>
      <c r="D629" s="158" t="str">
        <f>Technologies!D531</f>
        <v>Delivery of Imported High Sulfur Residual Fuel Oil to Transportation Sector</v>
      </c>
      <c r="E629" s="197" t="str">
        <f>Commodities!C$74</f>
        <v>RFHP1</v>
      </c>
      <c r="F629" s="197" t="e">
        <f>Commodities!C244</f>
        <v>#REF!</v>
      </c>
      <c r="G629" s="204">
        <v>1</v>
      </c>
      <c r="H629" s="203" t="e">
        <f>#REF!*#REF!^5/(Conv!$I$5*Conv!$D$46)/10^6 +#REF!</f>
        <v>#REF!</v>
      </c>
      <c r="I629" s="203" t="e">
        <f>#REF!*#REF!^5/(Conv!$I$5*Conv!$D$46)/10^6 +#REF!</f>
        <v>#REF!</v>
      </c>
      <c r="J629" s="203" t="e">
        <f>#REF!*#REF!^5/(Conv!$I$5*Conv!$D$46)/10^6 +#REF!</f>
        <v>#REF!</v>
      </c>
      <c r="K629" s="203" t="e">
        <f>#REF!*#REF!^5/(Conv!$I$5*Conv!$D$46)/10^6 +#REF!</f>
        <v>#REF!</v>
      </c>
      <c r="L629" s="203" t="e">
        <f>#REF!*#REF!^5/(Conv!$I$5*Conv!$D$46)/10^6 +#REF!</f>
        <v>#REF!</v>
      </c>
      <c r="M629" s="203" t="e">
        <f>#REF!*#REF!^5/(Conv!$I$5*Conv!$D$46)/10^6 +#REF!</f>
        <v>#REF!</v>
      </c>
      <c r="N629" s="203" t="e">
        <f>#REF!*#REF!^5/(Conv!$I$5*Conv!$D$46)/10^6 +#REF!</f>
        <v>#REF!</v>
      </c>
      <c r="O629" s="203" t="e">
        <f>#REF!*#REF!^5/(Conv!$I$5*Conv!$D$46)/10^6 +#REF!</f>
        <v>#REF!</v>
      </c>
      <c r="P629" s="203" t="e">
        <f>#REF!*#REF!^5/(Conv!$I$5*Conv!$D$46)/10^6 +#REF!</f>
        <v>#REF!</v>
      </c>
      <c r="Q629" s="203" t="e">
        <f>#REF!*#REF!^5/(Conv!$I$5*Conv!$D$46)/10^6 +#REF!</f>
        <v>#REF!</v>
      </c>
      <c r="S629" s="177"/>
      <c r="T629" s="177"/>
      <c r="U629" s="177"/>
      <c r="V629" s="177"/>
      <c r="W629" s="177"/>
      <c r="X629" s="177"/>
      <c r="Y629" s="177"/>
      <c r="Z629" s="177"/>
      <c r="AA629" s="177"/>
      <c r="AB629" s="177"/>
      <c r="AC629" s="177"/>
    </row>
    <row r="630" spans="2:29">
      <c r="B630" s="158" t="str">
        <f>IF(OR(LEFT(Commodities!B$74,1)="*",LEFT(Technologies!B$532,1)="*"),"*","R4")</f>
        <v>*</v>
      </c>
      <c r="C630" s="158" t="e">
        <f>Technologies!C532</f>
        <v>#REF!</v>
      </c>
      <c r="D630" s="158" t="str">
        <f>Technologies!D532</f>
        <v>Delivery of Imported High Sulfur Residual Fuel Oil to Electricity Sector</v>
      </c>
      <c r="E630" s="197" t="str">
        <f>Commodities!C$74</f>
        <v>RFHP1</v>
      </c>
      <c r="F630" s="197" t="e">
        <f>Commodities!C245</f>
        <v>#REF!</v>
      </c>
      <c r="G630" s="204">
        <v>1</v>
      </c>
      <c r="H630" s="203" t="e">
        <f>#REF!*#REF!^5/(Conv!$I$5*Conv!$D$46)/10^6 +#REF!</f>
        <v>#REF!</v>
      </c>
      <c r="I630" s="203" t="e">
        <f>#REF!*#REF!^5/(Conv!$I$5*Conv!$D$46)/10^6 +#REF!</f>
        <v>#REF!</v>
      </c>
      <c r="J630" s="203" t="e">
        <f>#REF!*#REF!^5/(Conv!$I$5*Conv!$D$46)/10^6 +#REF!</f>
        <v>#REF!</v>
      </c>
      <c r="K630" s="203" t="e">
        <f>#REF!*#REF!^5/(Conv!$I$5*Conv!$D$46)/10^6 +#REF!</f>
        <v>#REF!</v>
      </c>
      <c r="L630" s="203" t="e">
        <f>#REF!*#REF!^5/(Conv!$I$5*Conv!$D$46)/10^6 +#REF!</f>
        <v>#REF!</v>
      </c>
      <c r="M630" s="203" t="e">
        <f>#REF!*#REF!^5/(Conv!$I$5*Conv!$D$46)/10^6 +#REF!</f>
        <v>#REF!</v>
      </c>
      <c r="N630" s="203" t="e">
        <f>#REF!*#REF!^5/(Conv!$I$5*Conv!$D$46)/10^6 +#REF!</f>
        <v>#REF!</v>
      </c>
      <c r="O630" s="203" t="e">
        <f>#REF!*#REF!^5/(Conv!$I$5*Conv!$D$46)/10^6 +#REF!</f>
        <v>#REF!</v>
      </c>
      <c r="P630" s="203" t="e">
        <f>#REF!*#REF!^5/(Conv!$I$5*Conv!$D$46)/10^6 +#REF!</f>
        <v>#REF!</v>
      </c>
      <c r="Q630" s="203" t="e">
        <f>#REF!*#REF!^5/(Conv!$I$5*Conv!$D$46)/10^6 +#REF!</f>
        <v>#REF!</v>
      </c>
      <c r="S630" s="177"/>
      <c r="T630" s="177"/>
      <c r="U630" s="177"/>
      <c r="V630" s="177"/>
      <c r="W630" s="177"/>
      <c r="X630" s="177"/>
      <c r="Y630" s="177"/>
      <c r="Z630" s="177"/>
      <c r="AA630" s="177"/>
      <c r="AB630" s="177"/>
      <c r="AC630" s="177"/>
    </row>
    <row r="631" spans="2:29">
      <c r="B631" s="160" t="s">
        <v>1034</v>
      </c>
      <c r="C631" s="160"/>
      <c r="D631" s="160"/>
      <c r="E631" s="196"/>
      <c r="F631" s="196"/>
      <c r="G631" s="200"/>
      <c r="H631" s="174"/>
      <c r="I631" s="174"/>
      <c r="J631" s="174"/>
      <c r="K631" s="174"/>
      <c r="L631" s="174"/>
      <c r="M631" s="174"/>
      <c r="N631" s="174"/>
      <c r="O631" s="174"/>
      <c r="P631" s="174"/>
      <c r="Q631" s="174"/>
    </row>
    <row r="632" spans="2:29">
      <c r="B632" s="158" t="str">
        <f>IF(LEFT(Technologies!B$509,1)="*","*","R5")</f>
        <v>R5</v>
      </c>
      <c r="C632" s="158" t="e">
        <f>Technologies!C509</f>
        <v>#REF!</v>
      </c>
      <c r="D632" s="158" t="str">
        <f>Technologies!D509</f>
        <v>Delivery of Imported Conventional Gasoline</v>
      </c>
      <c r="E632" s="197" t="str">
        <f>Commodities!C$67</f>
        <v>GSCP1</v>
      </c>
      <c r="F632" s="197" t="e">
        <f>Commodities!C222</f>
        <v>#REF!</v>
      </c>
      <c r="G632" s="204">
        <v>1</v>
      </c>
      <c r="H632" s="203" t="e">
        <f>#REF!*#REF!^5/(Conv!$I$5*Conv!$D$46)/10^6 +#REF!</f>
        <v>#REF!</v>
      </c>
      <c r="I632" s="203" t="e">
        <f>#REF!*#REF!^5/(Conv!$I$5*Conv!$D$46)/10^6 +#REF!</f>
        <v>#REF!</v>
      </c>
      <c r="J632" s="203" t="e">
        <f>#REF!*#REF!^5/(Conv!$I$5*Conv!$D$46)/10^6 +#REF!</f>
        <v>#REF!</v>
      </c>
      <c r="K632" s="203" t="e">
        <f>#REF!*#REF!^5/(Conv!$I$5*Conv!$D$46)/10^6 +#REF!</f>
        <v>#REF!</v>
      </c>
      <c r="L632" s="203" t="e">
        <f>#REF!*#REF!^5/(Conv!$I$5*Conv!$D$46)/10^6 +#REF!</f>
        <v>#REF!</v>
      </c>
      <c r="M632" s="203" t="e">
        <f>#REF!*#REF!^5/(Conv!$I$5*Conv!$D$46)/10^6 +#REF!</f>
        <v>#REF!</v>
      </c>
      <c r="N632" s="203" t="e">
        <f>#REF!*#REF!^5/(Conv!$I$5*Conv!$D$46)/10^6 +#REF!</f>
        <v>#REF!</v>
      </c>
      <c r="O632" s="203" t="e">
        <f>#REF!*#REF!^5/(Conv!$I$5*Conv!$D$46)/10^6 +#REF!</f>
        <v>#REF!</v>
      </c>
      <c r="P632" s="203" t="e">
        <f>#REF!*#REF!^5/(Conv!$I$5*Conv!$D$46)/10^6 +#REF!</f>
        <v>#REF!</v>
      </c>
      <c r="Q632" s="203" t="e">
        <f>#REF!*#REF!^5/(Conv!$I$5*Conv!$D$46)/10^6 +#REF!</f>
        <v>#REF!</v>
      </c>
      <c r="S632" s="177"/>
      <c r="T632" s="177"/>
      <c r="U632" s="177"/>
      <c r="V632" s="177"/>
      <c r="W632" s="177"/>
      <c r="X632" s="177"/>
      <c r="Y632" s="177"/>
      <c r="Z632" s="177"/>
      <c r="AA632" s="177"/>
      <c r="AB632" s="177"/>
      <c r="AC632" s="177"/>
    </row>
    <row r="633" spans="2:29">
      <c r="B633" s="158" t="str">
        <f>IF(LEFT(Technologies!B$510,1)="*","*","R5")</f>
        <v>R5</v>
      </c>
      <c r="C633" s="158" t="e">
        <f>Technologies!C510</f>
        <v>#REF!</v>
      </c>
      <c r="D633" s="158" t="str">
        <f>Technologies!D510</f>
        <v>Delivery of Imported Reformulated Gasoline</v>
      </c>
      <c r="E633" s="197" t="str">
        <f>Commodities!C$68</f>
        <v>GSRP1</v>
      </c>
      <c r="F633" s="197" t="e">
        <f>Commodities!C223</f>
        <v>#REF!</v>
      </c>
      <c r="G633" s="204">
        <v>1</v>
      </c>
      <c r="H633" s="203" t="e">
        <f>#REF!*#REF!^5/(Conv!$I$5*Conv!$D$46)/10^6 +#REF!</f>
        <v>#REF!</v>
      </c>
      <c r="I633" s="203" t="e">
        <f>#REF!*#REF!^5/(Conv!$I$5*Conv!$D$46)/10^6 +#REF!</f>
        <v>#REF!</v>
      </c>
      <c r="J633" s="203" t="e">
        <f>#REF!*#REF!^5/(Conv!$I$5*Conv!$D$46)/10^6 +#REF!</f>
        <v>#REF!</v>
      </c>
      <c r="K633" s="203" t="e">
        <f>#REF!*#REF!^5/(Conv!$I$5*Conv!$D$46)/10^6 +#REF!</f>
        <v>#REF!</v>
      </c>
      <c r="L633" s="203" t="e">
        <f>#REF!*#REF!^5/(Conv!$I$5*Conv!$D$46)/10^6 +#REF!</f>
        <v>#REF!</v>
      </c>
      <c r="M633" s="203" t="e">
        <f>#REF!*#REF!^5/(Conv!$I$5*Conv!$D$46)/10^6 +#REF!</f>
        <v>#REF!</v>
      </c>
      <c r="N633" s="203" t="e">
        <f>#REF!*#REF!^5/(Conv!$I$5*Conv!$D$46)/10^6 +#REF!</f>
        <v>#REF!</v>
      </c>
      <c r="O633" s="203" t="e">
        <f>#REF!*#REF!^5/(Conv!$I$5*Conv!$D$46)/10^6 +#REF!</f>
        <v>#REF!</v>
      </c>
      <c r="P633" s="203" t="e">
        <f>#REF!*#REF!^5/(Conv!$I$5*Conv!$D$46)/10^6 +#REF!</f>
        <v>#REF!</v>
      </c>
      <c r="Q633" s="203" t="e">
        <f>#REF!*#REF!^5/(Conv!$I$5*Conv!$D$46)/10^6 +#REF!</f>
        <v>#REF!</v>
      </c>
      <c r="S633" s="177"/>
      <c r="T633" s="177"/>
      <c r="U633" s="177"/>
      <c r="V633" s="177"/>
      <c r="W633" s="177"/>
      <c r="X633" s="177"/>
      <c r="Y633" s="177"/>
      <c r="Z633" s="177"/>
      <c r="AA633" s="177"/>
      <c r="AB633" s="177"/>
      <c r="AC633" s="177"/>
    </row>
    <row r="634" spans="2:29">
      <c r="B634" s="158" t="str">
        <f>IF(OR(LEFT(Commodities!B$64,1)="*",LEFT(Technologies!B$511,1)="*"),"*","R5")</f>
        <v>R5</v>
      </c>
      <c r="C634" s="158" t="e">
        <f>Technologies!C511</f>
        <v>#REF!</v>
      </c>
      <c r="D634" s="158" t="str">
        <f>Technologies!D511</f>
        <v>Delivery of Imported Distillate-Heating Oil No. 2 to the Residential Sector</v>
      </c>
      <c r="E634" s="197" t="str">
        <f>Commodities!C$64</f>
        <v>DSHP1</v>
      </c>
      <c r="F634" s="197" t="e">
        <f>Commodities!C224</f>
        <v>#REF!</v>
      </c>
      <c r="G634" s="204">
        <v>1</v>
      </c>
      <c r="H634" s="203" t="e">
        <f>#REF!*#REF!^5/(Conv!$I$5*Conv!$D$46)/10^6 +#REF!</f>
        <v>#REF!</v>
      </c>
      <c r="I634" s="203" t="e">
        <f>#REF!*#REF!^5/(Conv!$I$5*Conv!$D$46)/10^6 +#REF!</f>
        <v>#REF!</v>
      </c>
      <c r="J634" s="203" t="e">
        <f>#REF!*#REF!^5/(Conv!$I$5*Conv!$D$46)/10^6 +#REF!</f>
        <v>#REF!</v>
      </c>
      <c r="K634" s="203" t="e">
        <f>#REF!*#REF!^5/(Conv!$I$5*Conv!$D$46)/10^6 +#REF!</f>
        <v>#REF!</v>
      </c>
      <c r="L634" s="203" t="e">
        <f>#REF!*#REF!^5/(Conv!$I$5*Conv!$D$46)/10^6 +#REF!</f>
        <v>#REF!</v>
      </c>
      <c r="M634" s="203" t="e">
        <f>#REF!*#REF!^5/(Conv!$I$5*Conv!$D$46)/10^6 +#REF!</f>
        <v>#REF!</v>
      </c>
      <c r="N634" s="203" t="e">
        <f>#REF!*#REF!^5/(Conv!$I$5*Conv!$D$46)/10^6 +#REF!</f>
        <v>#REF!</v>
      </c>
      <c r="O634" s="203" t="e">
        <f>#REF!*#REF!^5/(Conv!$I$5*Conv!$D$46)/10^6 +#REF!</f>
        <v>#REF!</v>
      </c>
      <c r="P634" s="203" t="e">
        <f>#REF!*#REF!^5/(Conv!$I$5*Conv!$D$46)/10^6 +#REF!</f>
        <v>#REF!</v>
      </c>
      <c r="Q634" s="203" t="e">
        <f>#REF!*#REF!^5/(Conv!$I$5*Conv!$D$46)/10^6 +#REF!</f>
        <v>#REF!</v>
      </c>
      <c r="S634" s="177"/>
      <c r="T634" s="177"/>
      <c r="U634" s="177"/>
      <c r="V634" s="177"/>
      <c r="W634" s="177"/>
      <c r="X634" s="177"/>
      <c r="Y634" s="177"/>
      <c r="Z634" s="177"/>
      <c r="AA634" s="177"/>
      <c r="AB634" s="177"/>
      <c r="AC634" s="177"/>
    </row>
    <row r="635" spans="2:29">
      <c r="B635" s="158" t="str">
        <f>IF(OR(LEFT(Commodities!B$64,1)="*",LEFT(Technologies!B$512,1)="*"),"*","R5")</f>
        <v>R5</v>
      </c>
      <c r="C635" s="158" t="e">
        <f>Technologies!C512</f>
        <v>#REF!</v>
      </c>
      <c r="D635" s="158" t="str">
        <f>Technologies!D512</f>
        <v>Delivery of Imported Distillate-Heating Oil No. 2 to the Commercial Sector</v>
      </c>
      <c r="E635" s="197" t="str">
        <f>Commodities!C$64</f>
        <v>DSHP1</v>
      </c>
      <c r="F635" s="197" t="e">
        <f>Commodities!C225</f>
        <v>#REF!</v>
      </c>
      <c r="G635" s="204">
        <v>1</v>
      </c>
      <c r="H635" s="203" t="e">
        <f>#REF!*#REF!^5/(Conv!$I$5*Conv!$D$46)/10^6 +#REF!</f>
        <v>#REF!</v>
      </c>
      <c r="I635" s="203" t="e">
        <f>#REF!*#REF!^5/(Conv!$I$5*Conv!$D$46)/10^6 +#REF!</f>
        <v>#REF!</v>
      </c>
      <c r="J635" s="203" t="e">
        <f>#REF!*#REF!^5/(Conv!$I$5*Conv!$D$46)/10^6 +#REF!</f>
        <v>#REF!</v>
      </c>
      <c r="K635" s="203" t="e">
        <f>#REF!*#REF!^5/(Conv!$I$5*Conv!$D$46)/10^6 +#REF!</f>
        <v>#REF!</v>
      </c>
      <c r="L635" s="203" t="e">
        <f>#REF!*#REF!^5/(Conv!$I$5*Conv!$D$46)/10^6 +#REF!</f>
        <v>#REF!</v>
      </c>
      <c r="M635" s="203" t="e">
        <f>#REF!*#REF!^5/(Conv!$I$5*Conv!$D$46)/10^6 +#REF!</f>
        <v>#REF!</v>
      </c>
      <c r="N635" s="203" t="e">
        <f>#REF!*#REF!^5/(Conv!$I$5*Conv!$D$46)/10^6 +#REF!</f>
        <v>#REF!</v>
      </c>
      <c r="O635" s="203" t="e">
        <f>#REF!*#REF!^5/(Conv!$I$5*Conv!$D$46)/10^6 +#REF!</f>
        <v>#REF!</v>
      </c>
      <c r="P635" s="203" t="e">
        <f>#REF!*#REF!^5/(Conv!$I$5*Conv!$D$46)/10^6 +#REF!</f>
        <v>#REF!</v>
      </c>
      <c r="Q635" s="203" t="e">
        <f>#REF!*#REF!^5/(Conv!$I$5*Conv!$D$46)/10^6 +#REF!</f>
        <v>#REF!</v>
      </c>
      <c r="S635" s="177"/>
      <c r="T635" s="177"/>
      <c r="U635" s="177"/>
      <c r="V635" s="177"/>
      <c r="W635" s="177"/>
      <c r="X635" s="177"/>
      <c r="Y635" s="177"/>
      <c r="Z635" s="177"/>
      <c r="AA635" s="177"/>
      <c r="AB635" s="177"/>
      <c r="AC635" s="177"/>
    </row>
    <row r="636" spans="2:29">
      <c r="B636" s="158" t="str">
        <f>IF(OR(LEFT(Commodities!B$64,1)="*",LEFT(Technologies!B$513,1)="*"),"*","R5")</f>
        <v>*</v>
      </c>
      <c r="C636" s="158" t="e">
        <f>Technologies!C513</f>
        <v>#REF!</v>
      </c>
      <c r="D636" s="158" t="str">
        <f>Technologies!D513</f>
        <v>Delivery of Imported Distillate-Heating Oil No. 2 to the Indistrial Sector</v>
      </c>
      <c r="E636" s="197" t="str">
        <f>Commodities!C$64</f>
        <v>DSHP1</v>
      </c>
      <c r="F636" s="197" t="e">
        <f>Commodities!C226</f>
        <v>#REF!</v>
      </c>
      <c r="G636" s="204">
        <v>1</v>
      </c>
      <c r="H636" s="203" t="e">
        <f>#REF!*#REF!^5/(Conv!$I$5*Conv!$D$46)/10^6 +#REF!</f>
        <v>#REF!</v>
      </c>
      <c r="I636" s="203" t="e">
        <f>#REF!*#REF!^5/(Conv!$I$5*Conv!$D$46)/10^6 +#REF!</f>
        <v>#REF!</v>
      </c>
      <c r="J636" s="203" t="e">
        <f>#REF!*#REF!^5/(Conv!$I$5*Conv!$D$46)/10^6 +#REF!</f>
        <v>#REF!</v>
      </c>
      <c r="K636" s="203" t="e">
        <f>#REF!*#REF!^5/(Conv!$I$5*Conv!$D$46)/10^6 +#REF!</f>
        <v>#REF!</v>
      </c>
      <c r="L636" s="203" t="e">
        <f>#REF!*#REF!^5/(Conv!$I$5*Conv!$D$46)/10^6 +#REF!</f>
        <v>#REF!</v>
      </c>
      <c r="M636" s="203" t="e">
        <f>#REF!*#REF!^5/(Conv!$I$5*Conv!$D$46)/10^6 +#REF!</f>
        <v>#REF!</v>
      </c>
      <c r="N636" s="203" t="e">
        <f>#REF!*#REF!^5/(Conv!$I$5*Conv!$D$46)/10^6 +#REF!</f>
        <v>#REF!</v>
      </c>
      <c r="O636" s="203" t="e">
        <f>#REF!*#REF!^5/(Conv!$I$5*Conv!$D$46)/10^6 +#REF!</f>
        <v>#REF!</v>
      </c>
      <c r="P636" s="203" t="e">
        <f>#REF!*#REF!^5/(Conv!$I$5*Conv!$D$46)/10^6 +#REF!</f>
        <v>#REF!</v>
      </c>
      <c r="Q636" s="203" t="e">
        <f>#REF!*#REF!^5/(Conv!$I$5*Conv!$D$46)/10^6 +#REF!</f>
        <v>#REF!</v>
      </c>
      <c r="S636" s="177"/>
      <c r="T636" s="177"/>
      <c r="U636" s="177"/>
      <c r="V636" s="177"/>
      <c r="W636" s="177"/>
      <c r="X636" s="177"/>
      <c r="Y636" s="177"/>
      <c r="Z636" s="177"/>
      <c r="AA636" s="177"/>
      <c r="AB636" s="177"/>
      <c r="AC636" s="177"/>
    </row>
    <row r="637" spans="2:29">
      <c r="B637" s="158" t="str">
        <f>IF(OR(LEFT(Commodities!B$64,1)="*",LEFT(Technologies!B$514,1)="*"),"*","R5")</f>
        <v>R5</v>
      </c>
      <c r="C637" s="158" t="e">
        <f>Technologies!C514</f>
        <v>#REF!</v>
      </c>
      <c r="D637" s="158" t="str">
        <f>Technologies!D514</f>
        <v>Delivery of Imported Distillate-Heating Oil No. 2 to the Electricity Sector</v>
      </c>
      <c r="E637" s="197" t="str">
        <f>Commodities!C$64</f>
        <v>DSHP1</v>
      </c>
      <c r="F637" s="197" t="e">
        <f>Commodities!C227</f>
        <v>#REF!</v>
      </c>
      <c r="G637" s="204">
        <v>1</v>
      </c>
      <c r="H637" s="203" t="e">
        <f>#REF!*#REF!^5/(Conv!$I$5*Conv!$D$46)/10^6 +#REF!</f>
        <v>#REF!</v>
      </c>
      <c r="I637" s="203" t="e">
        <f>#REF!*#REF!^5/(Conv!$I$5*Conv!$D$46)/10^6 +#REF!</f>
        <v>#REF!</v>
      </c>
      <c r="J637" s="203" t="e">
        <f>#REF!*#REF!^5/(Conv!$I$5*Conv!$D$46)/10^6 +#REF!</f>
        <v>#REF!</v>
      </c>
      <c r="K637" s="203" t="e">
        <f>#REF!*#REF!^5/(Conv!$I$5*Conv!$D$46)/10^6 +#REF!</f>
        <v>#REF!</v>
      </c>
      <c r="L637" s="203" t="e">
        <f>#REF!*#REF!^5/(Conv!$I$5*Conv!$D$46)/10^6 +#REF!</f>
        <v>#REF!</v>
      </c>
      <c r="M637" s="203" t="e">
        <f>#REF!*#REF!^5/(Conv!$I$5*Conv!$D$46)/10^6 +#REF!</f>
        <v>#REF!</v>
      </c>
      <c r="N637" s="203" t="e">
        <f>#REF!*#REF!^5/(Conv!$I$5*Conv!$D$46)/10^6 +#REF!</f>
        <v>#REF!</v>
      </c>
      <c r="O637" s="203" t="e">
        <f>#REF!*#REF!^5/(Conv!$I$5*Conv!$D$46)/10^6 +#REF!</f>
        <v>#REF!</v>
      </c>
      <c r="P637" s="203" t="e">
        <f>#REF!*#REF!^5/(Conv!$I$5*Conv!$D$46)/10^6 +#REF!</f>
        <v>#REF!</v>
      </c>
      <c r="Q637" s="203" t="e">
        <f>#REF!*#REF!^5/(Conv!$I$5*Conv!$D$46)/10^6 +#REF!</f>
        <v>#REF!</v>
      </c>
      <c r="S637" s="177"/>
      <c r="T637" s="177"/>
      <c r="U637" s="177"/>
      <c r="V637" s="177"/>
      <c r="W637" s="177"/>
      <c r="X637" s="177"/>
      <c r="Y637" s="177"/>
      <c r="Z637" s="177"/>
      <c r="AA637" s="177"/>
      <c r="AB637" s="177"/>
      <c r="AC637" s="177"/>
    </row>
    <row r="638" spans="2:29">
      <c r="B638" s="158" t="str">
        <f>IF(OR(LEFT(Commodities!B$65,1)="*",LEFT(Technologies!B$515,1)="*"),"*","R5")</f>
        <v>R5</v>
      </c>
      <c r="C638" s="158" t="e">
        <f>Technologies!C515</f>
        <v>#REF!</v>
      </c>
      <c r="D638" s="158" t="str">
        <f>Technologies!D515</f>
        <v>Delivery of Imported Distillate-Low Sulfur Highway Diesel (500 ppm)</v>
      </c>
      <c r="E638" s="197" t="str">
        <f>Commodities!C$65</f>
        <v>DSLP1</v>
      </c>
      <c r="F638" s="197" t="e">
        <f>Commodities!C228</f>
        <v>#REF!</v>
      </c>
      <c r="G638" s="204">
        <v>1</v>
      </c>
      <c r="H638" s="203" t="e">
        <f>#REF!*#REF!^5/(Conv!$I$5*Conv!$D$46)/10^6 +#REF!</f>
        <v>#REF!</v>
      </c>
      <c r="I638" s="203" t="e">
        <f>#REF!*#REF!^5/(Conv!$I$5*Conv!$D$46)/10^6 +#REF!</f>
        <v>#REF!</v>
      </c>
      <c r="J638" s="203" t="e">
        <f>#REF!*#REF!^5/(Conv!$I$5*Conv!$D$46)/10^6 +#REF!</f>
        <v>#REF!</v>
      </c>
      <c r="K638" s="203" t="e">
        <f>#REF!*#REF!^5/(Conv!$I$5*Conv!$D$46)/10^6 +#REF!</f>
        <v>#REF!</v>
      </c>
      <c r="L638" s="203" t="e">
        <f>#REF!*#REF!^5/(Conv!$I$5*Conv!$D$46)/10^6 +#REF!</f>
        <v>#REF!</v>
      </c>
      <c r="M638" s="203" t="e">
        <f>#REF!*#REF!^5/(Conv!$I$5*Conv!$D$46)/10^6 +#REF!</f>
        <v>#REF!</v>
      </c>
      <c r="N638" s="203" t="e">
        <f>#REF!*#REF!^5/(Conv!$I$5*Conv!$D$46)/10^6 +#REF!</f>
        <v>#REF!</v>
      </c>
      <c r="O638" s="203" t="e">
        <f>#REF!*#REF!^5/(Conv!$I$5*Conv!$D$46)/10^6 +#REF!</f>
        <v>#REF!</v>
      </c>
      <c r="P638" s="203" t="e">
        <f>#REF!*#REF!^5/(Conv!$I$5*Conv!$D$46)/10^6 +#REF!</f>
        <v>#REF!</v>
      </c>
      <c r="Q638" s="203" t="e">
        <f>#REF!*#REF!^5/(Conv!$I$5*Conv!$D$46)/10^6 +#REF!</f>
        <v>#REF!</v>
      </c>
      <c r="S638" s="177"/>
      <c r="T638" s="177"/>
      <c r="U638" s="177"/>
      <c r="V638" s="177"/>
      <c r="W638" s="177"/>
      <c r="X638" s="177"/>
      <c r="Y638" s="177"/>
      <c r="Z638" s="177"/>
      <c r="AA638" s="177"/>
      <c r="AB638" s="177"/>
      <c r="AC638" s="177"/>
    </row>
    <row r="639" spans="2:29">
      <c r="B639" s="158" t="str">
        <f>IF(OR(LEFT(Commodities!B$66,1)="*",LEFT(Technologies!B$516,1)="*"),"*","R5")</f>
        <v>R5</v>
      </c>
      <c r="C639" s="158" t="e">
        <f>Technologies!C516</f>
        <v>#REF!</v>
      </c>
      <c r="D639" s="158" t="str">
        <f>Technologies!D516</f>
        <v>Delivery of Imported Distillate-Ultralow Sulfur Highway Diesel (15 ppm)</v>
      </c>
      <c r="E639" s="197" t="str">
        <f>Commodities!C$66</f>
        <v>DSUP1</v>
      </c>
      <c r="F639" s="197" t="e">
        <f>Commodities!C229</f>
        <v>#REF!</v>
      </c>
      <c r="G639" s="204">
        <v>1</v>
      </c>
      <c r="H639" s="203" t="e">
        <f>#REF!*#REF!^5/(Conv!$I$5*Conv!$D$46)/10^6 +#REF!</f>
        <v>#REF!</v>
      </c>
      <c r="I639" s="203" t="e">
        <f>#REF!*#REF!^5/(Conv!$I$5*Conv!$D$46)/10^6 +#REF!</f>
        <v>#REF!</v>
      </c>
      <c r="J639" s="203" t="e">
        <f>#REF!*#REF!^5/(Conv!$I$5*Conv!$D$46)/10^6 +#REF!</f>
        <v>#REF!</v>
      </c>
      <c r="K639" s="203" t="e">
        <f>#REF!*#REF!^5/(Conv!$I$5*Conv!$D$46)/10^6 +#REF!</f>
        <v>#REF!</v>
      </c>
      <c r="L639" s="203" t="e">
        <f>#REF!*#REF!^5/(Conv!$I$5*Conv!$D$46)/10^6 +#REF!</f>
        <v>#REF!</v>
      </c>
      <c r="M639" s="203" t="e">
        <f>#REF!*#REF!^5/(Conv!$I$5*Conv!$D$46)/10^6 +#REF!</f>
        <v>#REF!</v>
      </c>
      <c r="N639" s="203" t="e">
        <f>#REF!*#REF!^5/(Conv!$I$5*Conv!$D$46)/10^6 +#REF!</f>
        <v>#REF!</v>
      </c>
      <c r="O639" s="203" t="e">
        <f>#REF!*#REF!^5/(Conv!$I$5*Conv!$D$46)/10^6 +#REF!</f>
        <v>#REF!</v>
      </c>
      <c r="P639" s="203" t="e">
        <f>#REF!*#REF!^5/(Conv!$I$5*Conv!$D$46)/10^6 +#REF!</f>
        <v>#REF!</v>
      </c>
      <c r="Q639" s="203" t="e">
        <f>#REF!*#REF!^5/(Conv!$I$5*Conv!$D$46)/10^6 +#REF!</f>
        <v>#REF!</v>
      </c>
      <c r="S639" s="177"/>
      <c r="T639" s="177"/>
      <c r="U639" s="177"/>
      <c r="V639" s="177"/>
      <c r="W639" s="177"/>
      <c r="X639" s="177"/>
      <c r="Y639" s="177"/>
      <c r="Z639" s="177"/>
      <c r="AA639" s="177"/>
      <c r="AB639" s="177"/>
      <c r="AC639" s="177"/>
    </row>
    <row r="640" spans="2:29">
      <c r="B640" s="158" t="str">
        <f>IF(OR(LEFT(Commodities!B$69,1)="*",LEFT(Technologies!B$517,1)="*"),"*","R5")</f>
        <v>*</v>
      </c>
      <c r="C640" s="158" t="e">
        <f>Technologies!C517</f>
        <v>#REF!</v>
      </c>
      <c r="D640" s="158" t="str">
        <f>Technologies!D517</f>
        <v>Delivery of Imported Jet Fuel</v>
      </c>
      <c r="E640" s="197" t="str">
        <f>Commodities!C$69</f>
        <v>JTFP1</v>
      </c>
      <c r="F640" s="197" t="e">
        <f>Commodities!C230</f>
        <v>#REF!</v>
      </c>
      <c r="G640" s="204">
        <v>1</v>
      </c>
      <c r="H640" s="203" t="e">
        <f>#REF!*#REF!^5/(Conv!$I$5*Conv!$D$46)/10^6 +#REF!</f>
        <v>#REF!</v>
      </c>
      <c r="I640" s="203" t="e">
        <f>#REF!*#REF!^5/(Conv!$I$5*Conv!$D$46)/10^6 +#REF!</f>
        <v>#REF!</v>
      </c>
      <c r="J640" s="203" t="e">
        <f>#REF!*#REF!^5/(Conv!$I$5*Conv!$D$46)/10^6 +#REF!</f>
        <v>#REF!</v>
      </c>
      <c r="K640" s="203" t="e">
        <f>#REF!*#REF!^5/(Conv!$I$5*Conv!$D$46)/10^6 +#REF!</f>
        <v>#REF!</v>
      </c>
      <c r="L640" s="203" t="e">
        <f>#REF!*#REF!^5/(Conv!$I$5*Conv!$D$46)/10^6 +#REF!</f>
        <v>#REF!</v>
      </c>
      <c r="M640" s="203" t="e">
        <f>#REF!*#REF!^5/(Conv!$I$5*Conv!$D$46)/10^6 +#REF!</f>
        <v>#REF!</v>
      </c>
      <c r="N640" s="203" t="e">
        <f>#REF!*#REF!^5/(Conv!$I$5*Conv!$D$46)/10^6 +#REF!</f>
        <v>#REF!</v>
      </c>
      <c r="O640" s="203" t="e">
        <f>#REF!*#REF!^5/(Conv!$I$5*Conv!$D$46)/10^6 +#REF!</f>
        <v>#REF!</v>
      </c>
      <c r="P640" s="203" t="e">
        <f>#REF!*#REF!^5/(Conv!$I$5*Conv!$D$46)/10^6 +#REF!</f>
        <v>#REF!</v>
      </c>
      <c r="Q640" s="203" t="e">
        <f>#REF!*#REF!^5/(Conv!$I$5*Conv!$D$46)/10^6 +#REF!</f>
        <v>#REF!</v>
      </c>
      <c r="S640" s="177"/>
      <c r="T640" s="177"/>
      <c r="U640" s="177"/>
      <c r="V640" s="177"/>
      <c r="W640" s="177"/>
      <c r="X640" s="177"/>
      <c r="Y640" s="177"/>
      <c r="Z640" s="177"/>
      <c r="AA640" s="177"/>
      <c r="AB640" s="177"/>
      <c r="AC640" s="177"/>
    </row>
    <row r="641" spans="2:29">
      <c r="B641" s="158" t="str">
        <f>IF(OR(LEFT(Commodities!B$70,1)="*",LEFT(Technologies!B$518,1)="*"),"*","R5")</f>
        <v>*</v>
      </c>
      <c r="C641" s="158" t="e">
        <f>Technologies!C518</f>
        <v>#REF!</v>
      </c>
      <c r="D641" s="158" t="str">
        <f>Technologies!D518</f>
        <v>Delivery of Imported Kerosene and Other Refined Products to the Residential Sector</v>
      </c>
      <c r="E641" s="197" t="str">
        <f>Commodities!C$70</f>
        <v>KERP1</v>
      </c>
      <c r="F641" s="197" t="e">
        <f>Commodities!C231</f>
        <v>#REF!</v>
      </c>
      <c r="G641" s="204">
        <v>1</v>
      </c>
      <c r="H641" s="203" t="e">
        <f>#REF!*#REF!^5/(Conv!$I$5*Conv!$D$46)/10^6 +#REF!</f>
        <v>#REF!</v>
      </c>
      <c r="I641" s="203" t="e">
        <f>#REF!*#REF!^5/(Conv!$I$5*Conv!$D$46)/10^6 +#REF!</f>
        <v>#REF!</v>
      </c>
      <c r="J641" s="203" t="e">
        <f>#REF!*#REF!^5/(Conv!$I$5*Conv!$D$46)/10^6 +#REF!</f>
        <v>#REF!</v>
      </c>
      <c r="K641" s="203" t="e">
        <f>#REF!*#REF!^5/(Conv!$I$5*Conv!$D$46)/10^6 +#REF!</f>
        <v>#REF!</v>
      </c>
      <c r="L641" s="203" t="e">
        <f>#REF!*#REF!^5/(Conv!$I$5*Conv!$D$46)/10^6 +#REF!</f>
        <v>#REF!</v>
      </c>
      <c r="M641" s="203" t="e">
        <f>#REF!*#REF!^5/(Conv!$I$5*Conv!$D$46)/10^6 +#REF!</f>
        <v>#REF!</v>
      </c>
      <c r="N641" s="203" t="e">
        <f>#REF!*#REF!^5/(Conv!$I$5*Conv!$D$46)/10^6 +#REF!</f>
        <v>#REF!</v>
      </c>
      <c r="O641" s="203" t="e">
        <f>#REF!*#REF!^5/(Conv!$I$5*Conv!$D$46)/10^6 +#REF!</f>
        <v>#REF!</v>
      </c>
      <c r="P641" s="203" t="e">
        <f>#REF!*#REF!^5/(Conv!$I$5*Conv!$D$46)/10^6 +#REF!</f>
        <v>#REF!</v>
      </c>
      <c r="Q641" s="203" t="e">
        <f>#REF!*#REF!^5/(Conv!$I$5*Conv!$D$46)/10^6 +#REF!</f>
        <v>#REF!</v>
      </c>
      <c r="S641" s="177"/>
      <c r="T641" s="177"/>
      <c r="U641" s="177"/>
      <c r="V641" s="177"/>
      <c r="W641" s="177"/>
      <c r="X641" s="177"/>
      <c r="Y641" s="177"/>
      <c r="Z641" s="177"/>
      <c r="AA641" s="177"/>
      <c r="AB641" s="177"/>
      <c r="AC641" s="177"/>
    </row>
    <row r="642" spans="2:29">
      <c r="B642" s="158" t="str">
        <f>IF(OR(LEFT(Commodities!B$70,1)="*",LEFT(Technologies!B$519,1)="*"),"*","R5")</f>
        <v>*</v>
      </c>
      <c r="C642" s="158" t="e">
        <f>Technologies!C519</f>
        <v>#REF!</v>
      </c>
      <c r="D642" s="158" t="str">
        <f>Technologies!D519</f>
        <v>Delivery of Imported Kerosene and Other Refined Products to the Commercial Sector</v>
      </c>
      <c r="E642" s="197" t="str">
        <f>Commodities!C$70</f>
        <v>KERP1</v>
      </c>
      <c r="F642" s="197" t="e">
        <f>Commodities!C232</f>
        <v>#REF!</v>
      </c>
      <c r="G642" s="204">
        <v>1</v>
      </c>
      <c r="H642" s="203" t="e">
        <f>#REF!*#REF!^5/(Conv!$I$5*Conv!$D$46)/10^6 +#REF!</f>
        <v>#REF!</v>
      </c>
      <c r="I642" s="203" t="e">
        <f>#REF!*#REF!^5/(Conv!$I$5*Conv!$D$46)/10^6 +#REF!</f>
        <v>#REF!</v>
      </c>
      <c r="J642" s="203" t="e">
        <f>#REF!*#REF!^5/(Conv!$I$5*Conv!$D$46)/10^6 +#REF!</f>
        <v>#REF!</v>
      </c>
      <c r="K642" s="203" t="e">
        <f>#REF!*#REF!^5/(Conv!$I$5*Conv!$D$46)/10^6 +#REF!</f>
        <v>#REF!</v>
      </c>
      <c r="L642" s="203" t="e">
        <f>#REF!*#REF!^5/(Conv!$I$5*Conv!$D$46)/10^6 +#REF!</f>
        <v>#REF!</v>
      </c>
      <c r="M642" s="203" t="e">
        <f>#REF!*#REF!^5/(Conv!$I$5*Conv!$D$46)/10^6 +#REF!</f>
        <v>#REF!</v>
      </c>
      <c r="N642" s="203" t="e">
        <f>#REF!*#REF!^5/(Conv!$I$5*Conv!$D$46)/10^6 +#REF!</f>
        <v>#REF!</v>
      </c>
      <c r="O642" s="203" t="e">
        <f>#REF!*#REF!^5/(Conv!$I$5*Conv!$D$46)/10^6 +#REF!</f>
        <v>#REF!</v>
      </c>
      <c r="P642" s="203" t="e">
        <f>#REF!*#REF!^5/(Conv!$I$5*Conv!$D$46)/10^6 +#REF!</f>
        <v>#REF!</v>
      </c>
      <c r="Q642" s="203" t="e">
        <f>#REF!*#REF!^5/(Conv!$I$5*Conv!$D$46)/10^6 +#REF!</f>
        <v>#REF!</v>
      </c>
      <c r="S642" s="177"/>
      <c r="T642" s="177"/>
      <c r="U642" s="177"/>
      <c r="V642" s="177"/>
      <c r="W642" s="177"/>
      <c r="X642" s="177"/>
      <c r="Y642" s="177"/>
      <c r="Z642" s="177"/>
      <c r="AA642" s="177"/>
      <c r="AB642" s="177"/>
      <c r="AC642" s="177"/>
    </row>
    <row r="643" spans="2:29">
      <c r="B643" s="158" t="str">
        <f>IF(OR(LEFT(Commodities!B$70,1)="*",LEFT(Technologies!B$520,1)="*"),"*","R5")</f>
        <v>*</v>
      </c>
      <c r="C643" s="158" t="e">
        <f>Technologies!C520</f>
        <v>#REF!</v>
      </c>
      <c r="D643" s="158" t="str">
        <f>Technologies!D520</f>
        <v>Delivery of Imported Kerosene and Other Refined Products to the Industrial Sector</v>
      </c>
      <c r="E643" s="197" t="str">
        <f>Commodities!C$70</f>
        <v>KERP1</v>
      </c>
      <c r="F643" s="197" t="e">
        <f>Commodities!C233</f>
        <v>#REF!</v>
      </c>
      <c r="G643" s="204">
        <v>1</v>
      </c>
      <c r="H643" s="203" t="e">
        <f>#REF!*#REF!^5/(Conv!$I$5*Conv!$D$46)/10^6 +#REF!</f>
        <v>#REF!</v>
      </c>
      <c r="I643" s="203" t="e">
        <f>#REF!*#REF!^5/(Conv!$I$5*Conv!$D$46)/10^6 +#REF!</f>
        <v>#REF!</v>
      </c>
      <c r="J643" s="203" t="e">
        <f>#REF!*#REF!^5/(Conv!$I$5*Conv!$D$46)/10^6 +#REF!</f>
        <v>#REF!</v>
      </c>
      <c r="K643" s="203" t="e">
        <f>#REF!*#REF!^5/(Conv!$I$5*Conv!$D$46)/10^6 +#REF!</f>
        <v>#REF!</v>
      </c>
      <c r="L643" s="203" t="e">
        <f>#REF!*#REF!^5/(Conv!$I$5*Conv!$D$46)/10^6 +#REF!</f>
        <v>#REF!</v>
      </c>
      <c r="M643" s="203" t="e">
        <f>#REF!*#REF!^5/(Conv!$I$5*Conv!$D$46)/10^6 +#REF!</f>
        <v>#REF!</v>
      </c>
      <c r="N643" s="203" t="e">
        <f>#REF!*#REF!^5/(Conv!$I$5*Conv!$D$46)/10^6 +#REF!</f>
        <v>#REF!</v>
      </c>
      <c r="O643" s="203" t="e">
        <f>#REF!*#REF!^5/(Conv!$I$5*Conv!$D$46)/10^6 +#REF!</f>
        <v>#REF!</v>
      </c>
      <c r="P643" s="203" t="e">
        <f>#REF!*#REF!^5/(Conv!$I$5*Conv!$D$46)/10^6 +#REF!</f>
        <v>#REF!</v>
      </c>
      <c r="Q643" s="203" t="e">
        <f>#REF!*#REF!^5/(Conv!$I$5*Conv!$D$46)/10^6 +#REF!</f>
        <v>#REF!</v>
      </c>
      <c r="S643" s="177"/>
      <c r="T643" s="177"/>
      <c r="U643" s="177"/>
      <c r="V643" s="177"/>
      <c r="W643" s="177"/>
      <c r="X643" s="177"/>
      <c r="Y643" s="177"/>
      <c r="Z643" s="177"/>
      <c r="AA643" s="177"/>
      <c r="AB643" s="177"/>
      <c r="AC643" s="177"/>
    </row>
    <row r="644" spans="2:29">
      <c r="B644" s="158" t="str">
        <f>IF(OR(LEFT(Commodities!B$71,1)="*",LEFT(Technologies!B$521,1)="*"),"*","R5")</f>
        <v>*</v>
      </c>
      <c r="C644" s="158" t="e">
        <f>Technologies!C521</f>
        <v>#REF!</v>
      </c>
      <c r="D644" s="158" t="str">
        <f>Technologies!D521</f>
        <v>Delivery of Imported LPG to the Residential Sector</v>
      </c>
      <c r="E644" s="197" t="str">
        <f>Commodities!C$71</f>
        <v>LPGP1</v>
      </c>
      <c r="F644" s="197" t="e">
        <f>Commodities!C234</f>
        <v>#REF!</v>
      </c>
      <c r="G644" s="204">
        <v>1</v>
      </c>
      <c r="H644" s="203" t="e">
        <f>#REF!*#REF!^5/(Conv!$I$5*Conv!$D$46)/10^6 +#REF!</f>
        <v>#REF!</v>
      </c>
      <c r="I644" s="203" t="e">
        <f>#REF!*#REF!^5/(Conv!$I$5*Conv!$D$46)/10^6 +#REF!</f>
        <v>#REF!</v>
      </c>
      <c r="J644" s="203" t="e">
        <f>#REF!*#REF!^5/(Conv!$I$5*Conv!$D$46)/10^6 +#REF!</f>
        <v>#REF!</v>
      </c>
      <c r="K644" s="203" t="e">
        <f>#REF!*#REF!^5/(Conv!$I$5*Conv!$D$46)/10^6 +#REF!</f>
        <v>#REF!</v>
      </c>
      <c r="L644" s="203" t="e">
        <f>#REF!*#REF!^5/(Conv!$I$5*Conv!$D$46)/10^6 +#REF!</f>
        <v>#REF!</v>
      </c>
      <c r="M644" s="203" t="e">
        <f>#REF!*#REF!^5/(Conv!$I$5*Conv!$D$46)/10^6 +#REF!</f>
        <v>#REF!</v>
      </c>
      <c r="N644" s="203" t="e">
        <f>#REF!*#REF!^5/(Conv!$I$5*Conv!$D$46)/10^6 +#REF!</f>
        <v>#REF!</v>
      </c>
      <c r="O644" s="203" t="e">
        <f>#REF!*#REF!^5/(Conv!$I$5*Conv!$D$46)/10^6 +#REF!</f>
        <v>#REF!</v>
      </c>
      <c r="P644" s="203" t="e">
        <f>#REF!*#REF!^5/(Conv!$I$5*Conv!$D$46)/10^6 +#REF!</f>
        <v>#REF!</v>
      </c>
      <c r="Q644" s="203" t="e">
        <f>#REF!*#REF!^5/(Conv!$I$5*Conv!$D$46)/10^6 +#REF!</f>
        <v>#REF!</v>
      </c>
      <c r="S644" s="177"/>
      <c r="T644" s="177"/>
      <c r="U644" s="177"/>
      <c r="V644" s="177"/>
      <c r="W644" s="177"/>
      <c r="X644" s="177"/>
      <c r="Y644" s="177"/>
      <c r="Z644" s="177"/>
      <c r="AA644" s="177"/>
      <c r="AB644" s="177"/>
      <c r="AC644" s="177"/>
    </row>
    <row r="645" spans="2:29">
      <c r="B645" s="158" t="str">
        <f>IF(OR(LEFT(Commodities!B$71,1)="*",LEFT(Technologies!B$522,1)="*"),"*","R5")</f>
        <v>*</v>
      </c>
      <c r="C645" s="158" t="e">
        <f>Technologies!C522</f>
        <v>#REF!</v>
      </c>
      <c r="D645" s="158" t="str">
        <f>Technologies!D522</f>
        <v>Delivery of Imported LPG to the Commercial Sector</v>
      </c>
      <c r="E645" s="197" t="str">
        <f>Commodities!C$71</f>
        <v>LPGP1</v>
      </c>
      <c r="F645" s="197" t="e">
        <f>Commodities!C235</f>
        <v>#REF!</v>
      </c>
      <c r="G645" s="204">
        <v>1</v>
      </c>
      <c r="H645" s="203" t="e">
        <f>#REF!*#REF!^5/(Conv!$I$5*Conv!$D$46)/10^6 +#REF!</f>
        <v>#REF!</v>
      </c>
      <c r="I645" s="203" t="e">
        <f>#REF!*#REF!^5/(Conv!$I$5*Conv!$D$46)/10^6 +#REF!</f>
        <v>#REF!</v>
      </c>
      <c r="J645" s="203" t="e">
        <f>#REF!*#REF!^5/(Conv!$I$5*Conv!$D$46)/10^6 +#REF!</f>
        <v>#REF!</v>
      </c>
      <c r="K645" s="203" t="e">
        <f>#REF!*#REF!^5/(Conv!$I$5*Conv!$D$46)/10^6 +#REF!</f>
        <v>#REF!</v>
      </c>
      <c r="L645" s="203" t="e">
        <f>#REF!*#REF!^5/(Conv!$I$5*Conv!$D$46)/10^6 +#REF!</f>
        <v>#REF!</v>
      </c>
      <c r="M645" s="203" t="e">
        <f>#REF!*#REF!^5/(Conv!$I$5*Conv!$D$46)/10^6 +#REF!</f>
        <v>#REF!</v>
      </c>
      <c r="N645" s="203" t="e">
        <f>#REF!*#REF!^5/(Conv!$I$5*Conv!$D$46)/10^6 +#REF!</f>
        <v>#REF!</v>
      </c>
      <c r="O645" s="203" t="e">
        <f>#REF!*#REF!^5/(Conv!$I$5*Conv!$D$46)/10^6 +#REF!</f>
        <v>#REF!</v>
      </c>
      <c r="P645" s="203" t="e">
        <f>#REF!*#REF!^5/(Conv!$I$5*Conv!$D$46)/10^6 +#REF!</f>
        <v>#REF!</v>
      </c>
      <c r="Q645" s="203" t="e">
        <f>#REF!*#REF!^5/(Conv!$I$5*Conv!$D$46)/10^6 +#REF!</f>
        <v>#REF!</v>
      </c>
      <c r="S645" s="177"/>
      <c r="T645" s="177"/>
      <c r="U645" s="177"/>
      <c r="V645" s="177"/>
      <c r="W645" s="177"/>
      <c r="X645" s="177"/>
      <c r="Y645" s="177"/>
      <c r="Z645" s="177"/>
      <c r="AA645" s="177"/>
      <c r="AB645" s="177"/>
      <c r="AC645" s="177"/>
    </row>
    <row r="646" spans="2:29">
      <c r="B646" s="158" t="str">
        <f>IF(OR(LEFT(Commodities!B$71,1)="*",LEFT(Technologies!B$523,1)="*"),"*","R5")</f>
        <v>*</v>
      </c>
      <c r="C646" s="158" t="e">
        <f>Technologies!C523</f>
        <v>#REF!</v>
      </c>
      <c r="D646" s="158" t="str">
        <f>Technologies!D523</f>
        <v>Delivery of Imported LPG to the Industrial Sector</v>
      </c>
      <c r="E646" s="197" t="str">
        <f>Commodities!C$71</f>
        <v>LPGP1</v>
      </c>
      <c r="F646" s="197" t="e">
        <f>Commodities!C236</f>
        <v>#REF!</v>
      </c>
      <c r="G646" s="204">
        <v>1</v>
      </c>
      <c r="H646" s="203" t="e">
        <f>#REF!*#REF!^5/(Conv!$I$5*Conv!$D$46)/10^6 +#REF!</f>
        <v>#REF!</v>
      </c>
      <c r="I646" s="203" t="e">
        <f>#REF!*#REF!^5/(Conv!$I$5*Conv!$D$46)/10^6 +#REF!</f>
        <v>#REF!</v>
      </c>
      <c r="J646" s="203" t="e">
        <f>#REF!*#REF!^5/(Conv!$I$5*Conv!$D$46)/10^6 +#REF!</f>
        <v>#REF!</v>
      </c>
      <c r="K646" s="203" t="e">
        <f>#REF!*#REF!^5/(Conv!$I$5*Conv!$D$46)/10^6 +#REF!</f>
        <v>#REF!</v>
      </c>
      <c r="L646" s="203" t="e">
        <f>#REF!*#REF!^5/(Conv!$I$5*Conv!$D$46)/10^6 +#REF!</f>
        <v>#REF!</v>
      </c>
      <c r="M646" s="203" t="e">
        <f>#REF!*#REF!^5/(Conv!$I$5*Conv!$D$46)/10^6 +#REF!</f>
        <v>#REF!</v>
      </c>
      <c r="N646" s="203" t="e">
        <f>#REF!*#REF!^5/(Conv!$I$5*Conv!$D$46)/10^6 +#REF!</f>
        <v>#REF!</v>
      </c>
      <c r="O646" s="203" t="e">
        <f>#REF!*#REF!^5/(Conv!$I$5*Conv!$D$46)/10^6 +#REF!</f>
        <v>#REF!</v>
      </c>
      <c r="P646" s="203" t="e">
        <f>#REF!*#REF!^5/(Conv!$I$5*Conv!$D$46)/10^6 +#REF!</f>
        <v>#REF!</v>
      </c>
      <c r="Q646" s="203" t="e">
        <f>#REF!*#REF!^5/(Conv!$I$5*Conv!$D$46)/10^6 +#REF!</f>
        <v>#REF!</v>
      </c>
      <c r="S646" s="177"/>
      <c r="T646" s="177"/>
      <c r="U646" s="177"/>
      <c r="V646" s="177"/>
      <c r="W646" s="177"/>
      <c r="X646" s="177"/>
      <c r="Y646" s="177"/>
      <c r="Z646" s="177"/>
      <c r="AA646" s="177"/>
      <c r="AB646" s="177"/>
      <c r="AC646" s="177"/>
    </row>
    <row r="647" spans="2:29">
      <c r="B647" s="158" t="str">
        <f>IF(OR(LEFT(Commodities!B$71,1)="*",LEFT(Technologies!B$524,1)="*"),"*","R5")</f>
        <v>*</v>
      </c>
      <c r="C647" s="158" t="e">
        <f>Technologies!C524</f>
        <v>#REF!</v>
      </c>
      <c r="D647" s="158" t="str">
        <f>Technologies!D524</f>
        <v>Delivery of Imported LPG to the Transportation Sector</v>
      </c>
      <c r="E647" s="197" t="str">
        <f>Commodities!C$71</f>
        <v>LPGP1</v>
      </c>
      <c r="F647" s="197" t="e">
        <f>Commodities!C237</f>
        <v>#REF!</v>
      </c>
      <c r="G647" s="204">
        <v>1</v>
      </c>
      <c r="H647" s="203" t="e">
        <f>#REF!*#REF!^5/(Conv!$I$5*Conv!$D$46)/10^6 +#REF!</f>
        <v>#REF!</v>
      </c>
      <c r="I647" s="203" t="e">
        <f>#REF!*#REF!^5/(Conv!$I$5*Conv!$D$46)/10^6 +#REF!</f>
        <v>#REF!</v>
      </c>
      <c r="J647" s="203" t="e">
        <f>#REF!*#REF!^5/(Conv!$I$5*Conv!$D$46)/10^6 +#REF!</f>
        <v>#REF!</v>
      </c>
      <c r="K647" s="203" t="e">
        <f>#REF!*#REF!^5/(Conv!$I$5*Conv!$D$46)/10^6 +#REF!</f>
        <v>#REF!</v>
      </c>
      <c r="L647" s="203" t="e">
        <f>#REF!*#REF!^5/(Conv!$I$5*Conv!$D$46)/10^6 +#REF!</f>
        <v>#REF!</v>
      </c>
      <c r="M647" s="203" t="e">
        <f>#REF!*#REF!^5/(Conv!$I$5*Conv!$D$46)/10^6 +#REF!</f>
        <v>#REF!</v>
      </c>
      <c r="N647" s="203" t="e">
        <f>#REF!*#REF!^5/(Conv!$I$5*Conv!$D$46)/10^6 +#REF!</f>
        <v>#REF!</v>
      </c>
      <c r="O647" s="203" t="e">
        <f>#REF!*#REF!^5/(Conv!$I$5*Conv!$D$46)/10^6 +#REF!</f>
        <v>#REF!</v>
      </c>
      <c r="P647" s="203" t="e">
        <f>#REF!*#REF!^5/(Conv!$I$5*Conv!$D$46)/10^6 +#REF!</f>
        <v>#REF!</v>
      </c>
      <c r="Q647" s="203" t="e">
        <f>#REF!*#REF!^5/(Conv!$I$5*Conv!$D$46)/10^6 +#REF!</f>
        <v>#REF!</v>
      </c>
      <c r="S647" s="177"/>
      <c r="T647" s="177"/>
      <c r="U647" s="177"/>
      <c r="V647" s="177"/>
      <c r="W647" s="177"/>
      <c r="X647" s="177"/>
      <c r="Y647" s="177"/>
      <c r="Z647" s="177"/>
      <c r="AA647" s="177"/>
      <c r="AB647" s="177"/>
      <c r="AC647" s="177"/>
    </row>
    <row r="648" spans="2:29">
      <c r="B648" s="158" t="str">
        <f>IF(LEFT(Technologies!B$525,1)="*","*","R5")</f>
        <v>*</v>
      </c>
      <c r="C648" s="158" t="e">
        <f>Technologies!C525</f>
        <v>#REF!</v>
      </c>
      <c r="D648" s="158" t="str">
        <f>Technologies!D525</f>
        <v>Delivery of Imported Methanol</v>
      </c>
      <c r="E648" s="197" t="str">
        <f>Commodities!C$72</f>
        <v>MTHP1</v>
      </c>
      <c r="F648" s="197" t="e">
        <f>Commodities!C238</f>
        <v>#REF!</v>
      </c>
      <c r="G648" s="204">
        <v>1</v>
      </c>
      <c r="H648" s="203" t="e">
        <f>#REF!*#REF!^5/(Conv!$I$5*Conv!$D$46)/10^6 +#REF!</f>
        <v>#REF!</v>
      </c>
      <c r="I648" s="203" t="e">
        <f>#REF!*#REF!^5/(Conv!$I$5*Conv!$D$46)/10^6 +#REF!</f>
        <v>#REF!</v>
      </c>
      <c r="J648" s="203" t="e">
        <f>#REF!*#REF!^5/(Conv!$I$5*Conv!$D$46)/10^6 +#REF!</f>
        <v>#REF!</v>
      </c>
      <c r="K648" s="203" t="e">
        <f>#REF!*#REF!^5/(Conv!$I$5*Conv!$D$46)/10^6 +#REF!</f>
        <v>#REF!</v>
      </c>
      <c r="L648" s="203" t="e">
        <f>#REF!*#REF!^5/(Conv!$I$5*Conv!$D$46)/10^6 +#REF!</f>
        <v>#REF!</v>
      </c>
      <c r="M648" s="203" t="e">
        <f>#REF!*#REF!^5/(Conv!$I$5*Conv!$D$46)/10^6 +#REF!</f>
        <v>#REF!</v>
      </c>
      <c r="N648" s="203" t="e">
        <f>#REF!*#REF!^5/(Conv!$I$5*Conv!$D$46)/10^6 +#REF!</f>
        <v>#REF!</v>
      </c>
      <c r="O648" s="203" t="e">
        <f>#REF!*#REF!^5/(Conv!$I$5*Conv!$D$46)/10^6 +#REF!</f>
        <v>#REF!</v>
      </c>
      <c r="P648" s="203" t="e">
        <f>#REF!*#REF!^5/(Conv!$I$5*Conv!$D$46)/10^6 +#REF!</f>
        <v>#REF!</v>
      </c>
      <c r="Q648" s="203" t="e">
        <f>#REF!*#REF!^5/(Conv!$I$5*Conv!$D$46)/10^6 +#REF!</f>
        <v>#REF!</v>
      </c>
      <c r="S648" s="177"/>
      <c r="T648" s="177"/>
      <c r="U648" s="177"/>
      <c r="V648" s="177"/>
      <c r="W648" s="177"/>
      <c r="X648" s="177"/>
      <c r="Y648" s="177"/>
      <c r="Z648" s="177"/>
      <c r="AA648" s="177"/>
      <c r="AB648" s="177"/>
      <c r="AC648" s="177"/>
    </row>
    <row r="649" spans="2:29">
      <c r="B649" s="158" t="str">
        <f>IF(OR(LEFT(Commodities!B$239,1)="*",LEFT(Technologies!B$526,1)="*"),"*","R5")</f>
        <v>*</v>
      </c>
      <c r="C649" s="158" t="e">
        <f>Technologies!C526</f>
        <v>#REF!</v>
      </c>
      <c r="D649" s="158" t="str">
        <f>Technologies!D526</f>
        <v>Delivery of Imported Petrochemical Feedstocks</v>
      </c>
      <c r="E649" s="197" t="str">
        <f>Commodities!C$73</f>
        <v>PFSP1</v>
      </c>
      <c r="F649" s="197" t="e">
        <f>Commodities!C239</f>
        <v>#REF!</v>
      </c>
      <c r="G649" s="204">
        <v>1</v>
      </c>
      <c r="H649" s="203" t="e">
        <f>#REF!*#REF!^5/(Conv!$I$5*Conv!$D$46)/10^6 +#REF!</f>
        <v>#REF!</v>
      </c>
      <c r="I649" s="203" t="e">
        <f>#REF!*#REF!^5/(Conv!$I$5*Conv!$D$46)/10^6 +#REF!</f>
        <v>#REF!</v>
      </c>
      <c r="J649" s="203" t="e">
        <f>#REF!*#REF!^5/(Conv!$I$5*Conv!$D$46)/10^6 +#REF!</f>
        <v>#REF!</v>
      </c>
      <c r="K649" s="203" t="e">
        <f>#REF!*#REF!^5/(Conv!$I$5*Conv!$D$46)/10^6 +#REF!</f>
        <v>#REF!</v>
      </c>
      <c r="L649" s="203" t="e">
        <f>#REF!*#REF!^5/(Conv!$I$5*Conv!$D$46)/10^6 +#REF!</f>
        <v>#REF!</v>
      </c>
      <c r="M649" s="203" t="e">
        <f>#REF!*#REF!^5/(Conv!$I$5*Conv!$D$46)/10^6 +#REF!</f>
        <v>#REF!</v>
      </c>
      <c r="N649" s="203" t="e">
        <f>#REF!*#REF!^5/(Conv!$I$5*Conv!$D$46)/10^6 +#REF!</f>
        <v>#REF!</v>
      </c>
      <c r="O649" s="203" t="e">
        <f>#REF!*#REF!^5/(Conv!$I$5*Conv!$D$46)/10^6 +#REF!</f>
        <v>#REF!</v>
      </c>
      <c r="P649" s="203" t="e">
        <f>#REF!*#REF!^5/(Conv!$I$5*Conv!$D$46)/10^6 +#REF!</f>
        <v>#REF!</v>
      </c>
      <c r="Q649" s="203" t="e">
        <f>#REF!*#REF!^5/(Conv!$I$5*Conv!$D$46)/10^6 +#REF!</f>
        <v>#REF!</v>
      </c>
      <c r="S649" s="177"/>
      <c r="T649" s="177"/>
      <c r="U649" s="177"/>
      <c r="V649" s="177"/>
      <c r="W649" s="177"/>
      <c r="X649" s="177"/>
      <c r="Y649" s="177"/>
      <c r="Z649" s="177"/>
      <c r="AA649" s="177"/>
      <c r="AB649" s="177"/>
      <c r="AC649" s="177"/>
    </row>
    <row r="650" spans="2:29">
      <c r="B650" s="158" t="str">
        <f>IF(OR(LEFT(Commodities!B$75,1)="*",LEFT(Technologies!B$527,1)="*"),"*","R5")</f>
        <v>*</v>
      </c>
      <c r="C650" s="158" t="str">
        <f>Technologies!C527</f>
        <v>XIRESRFLP1</v>
      </c>
      <c r="D650" s="158" t="str">
        <f>Technologies!D527</f>
        <v>Delivery of Imported Low Sulfur Residual Fuel Oil to Residential Sector</v>
      </c>
      <c r="E650" s="197" t="str">
        <f>Commodities!C$75</f>
        <v>RFLP1</v>
      </c>
      <c r="F650" s="197" t="str">
        <f>Commodities!C240</f>
        <v>RESRFL</v>
      </c>
      <c r="G650" s="204">
        <v>1</v>
      </c>
      <c r="H650" s="203" t="e">
        <f>#REF!*#REF!^5/(Conv!$I$5*Conv!$D$46)/10^6 +#REF!</f>
        <v>#REF!</v>
      </c>
      <c r="I650" s="203" t="e">
        <f>#REF!*#REF!^5/(Conv!$I$5*Conv!$D$46)/10^6 +#REF!</f>
        <v>#REF!</v>
      </c>
      <c r="J650" s="203" t="e">
        <f>#REF!*#REF!^5/(Conv!$I$5*Conv!$D$46)/10^6 +#REF!</f>
        <v>#REF!</v>
      </c>
      <c r="K650" s="203" t="e">
        <f>#REF!*#REF!^5/(Conv!$I$5*Conv!$D$46)/10^6 +#REF!</f>
        <v>#REF!</v>
      </c>
      <c r="L650" s="203" t="e">
        <f>#REF!*#REF!^5/(Conv!$I$5*Conv!$D$46)/10^6 +#REF!</f>
        <v>#REF!</v>
      </c>
      <c r="M650" s="203" t="e">
        <f>#REF!*#REF!^5/(Conv!$I$5*Conv!$D$46)/10^6 +#REF!</f>
        <v>#REF!</v>
      </c>
      <c r="N650" s="203" t="e">
        <f>#REF!*#REF!^5/(Conv!$I$5*Conv!$D$46)/10^6 +#REF!</f>
        <v>#REF!</v>
      </c>
      <c r="O650" s="203" t="e">
        <f>#REF!*#REF!^5/(Conv!$I$5*Conv!$D$46)/10^6 +#REF!</f>
        <v>#REF!</v>
      </c>
      <c r="P650" s="203" t="e">
        <f>#REF!*#REF!^5/(Conv!$I$5*Conv!$D$46)/10^6 +#REF!</f>
        <v>#REF!</v>
      </c>
      <c r="Q650" s="203" t="e">
        <f>#REF!*#REF!^5/(Conv!$I$5*Conv!$D$46)/10^6 +#REF!</f>
        <v>#REF!</v>
      </c>
      <c r="S650" s="177"/>
      <c r="T650" s="177"/>
      <c r="U650" s="177"/>
      <c r="V650" s="177"/>
      <c r="W650" s="177"/>
      <c r="X650" s="177"/>
      <c r="Y650" s="177"/>
      <c r="Z650" s="177"/>
      <c r="AA650" s="177"/>
      <c r="AB650" s="177"/>
      <c r="AC650" s="177"/>
    </row>
    <row r="651" spans="2:29">
      <c r="B651" s="158" t="str">
        <f>IF(OR(LEFT(Commodities!B$75,1)="*",LEFT(Technologies!B$528,1)="*"),"*","R5")</f>
        <v>*</v>
      </c>
      <c r="C651" s="158" t="e">
        <f>Technologies!C528</f>
        <v>#REF!</v>
      </c>
      <c r="D651" s="158" t="str">
        <f>Technologies!D528</f>
        <v>Delivery of Imported Low Sulfur Residual Fuel Oil to Commercial Sector</v>
      </c>
      <c r="E651" s="197" t="str">
        <f>Commodities!C$75</f>
        <v>RFLP1</v>
      </c>
      <c r="F651" s="197" t="e">
        <f>Commodities!C241</f>
        <v>#REF!</v>
      </c>
      <c r="G651" s="204">
        <v>1</v>
      </c>
      <c r="H651" s="203" t="e">
        <f>#REF!*#REF!^5/(Conv!$I$5*Conv!$D$46)/10^6 +#REF!</f>
        <v>#REF!</v>
      </c>
      <c r="I651" s="203" t="e">
        <f>#REF!*#REF!^5/(Conv!$I$5*Conv!$D$46)/10^6 +#REF!</f>
        <v>#REF!</v>
      </c>
      <c r="J651" s="203" t="e">
        <f>#REF!*#REF!^5/(Conv!$I$5*Conv!$D$46)/10^6 +#REF!</f>
        <v>#REF!</v>
      </c>
      <c r="K651" s="203" t="e">
        <f>#REF!*#REF!^5/(Conv!$I$5*Conv!$D$46)/10^6 +#REF!</f>
        <v>#REF!</v>
      </c>
      <c r="L651" s="203" t="e">
        <f>#REF!*#REF!^5/(Conv!$I$5*Conv!$D$46)/10^6 +#REF!</f>
        <v>#REF!</v>
      </c>
      <c r="M651" s="203" t="e">
        <f>#REF!*#REF!^5/(Conv!$I$5*Conv!$D$46)/10^6 +#REF!</f>
        <v>#REF!</v>
      </c>
      <c r="N651" s="203" t="e">
        <f>#REF!*#REF!^5/(Conv!$I$5*Conv!$D$46)/10^6 +#REF!</f>
        <v>#REF!</v>
      </c>
      <c r="O651" s="203" t="e">
        <f>#REF!*#REF!^5/(Conv!$I$5*Conv!$D$46)/10^6 +#REF!</f>
        <v>#REF!</v>
      </c>
      <c r="P651" s="203" t="e">
        <f>#REF!*#REF!^5/(Conv!$I$5*Conv!$D$46)/10^6 +#REF!</f>
        <v>#REF!</v>
      </c>
      <c r="Q651" s="203" t="e">
        <f>#REF!*#REF!^5/(Conv!$I$5*Conv!$D$46)/10^6 +#REF!</f>
        <v>#REF!</v>
      </c>
      <c r="S651" s="177"/>
      <c r="T651" s="177"/>
      <c r="U651" s="177"/>
      <c r="V651" s="177"/>
      <c r="W651" s="177"/>
      <c r="X651" s="177"/>
      <c r="Y651" s="177"/>
      <c r="Z651" s="177"/>
      <c r="AA651" s="177"/>
      <c r="AB651" s="177"/>
      <c r="AC651" s="177"/>
    </row>
    <row r="652" spans="2:29">
      <c r="B652" s="158" t="str">
        <f>IF(OR(LEFT(Commodities!B$75,1)="*",LEFT(Technologies!B$529,1)="*"),"*","R5")</f>
        <v>R5</v>
      </c>
      <c r="C652" s="158" t="e">
        <f>Technologies!C529</f>
        <v>#REF!</v>
      </c>
      <c r="D652" s="158" t="str">
        <f>Technologies!D529</f>
        <v>Delivery of Imported Low Sulfur Residual Fuel Oil to Industrial Sector</v>
      </c>
      <c r="E652" s="197" t="str">
        <f>Commodities!C$75</f>
        <v>RFLP1</v>
      </c>
      <c r="F652" s="197" t="e">
        <f>Commodities!C242</f>
        <v>#REF!</v>
      </c>
      <c r="G652" s="204">
        <v>1</v>
      </c>
      <c r="H652" s="203" t="e">
        <f>#REF!*#REF!^5/(Conv!$I$5*Conv!$D$46)/10^6 +#REF!</f>
        <v>#REF!</v>
      </c>
      <c r="I652" s="203" t="e">
        <f>#REF!*#REF!^5/(Conv!$I$5*Conv!$D$46)/10^6 +#REF!</f>
        <v>#REF!</v>
      </c>
      <c r="J652" s="203" t="e">
        <f>#REF!*#REF!^5/(Conv!$I$5*Conv!$D$46)/10^6 +#REF!</f>
        <v>#REF!</v>
      </c>
      <c r="K652" s="203" t="e">
        <f>#REF!*#REF!^5/(Conv!$I$5*Conv!$D$46)/10^6 +#REF!</f>
        <v>#REF!</v>
      </c>
      <c r="L652" s="203" t="e">
        <f>#REF!*#REF!^5/(Conv!$I$5*Conv!$D$46)/10^6 +#REF!</f>
        <v>#REF!</v>
      </c>
      <c r="M652" s="203" t="e">
        <f>#REF!*#REF!^5/(Conv!$I$5*Conv!$D$46)/10^6 +#REF!</f>
        <v>#REF!</v>
      </c>
      <c r="N652" s="203" t="e">
        <f>#REF!*#REF!^5/(Conv!$I$5*Conv!$D$46)/10^6 +#REF!</f>
        <v>#REF!</v>
      </c>
      <c r="O652" s="203" t="e">
        <f>#REF!*#REF!^5/(Conv!$I$5*Conv!$D$46)/10^6 +#REF!</f>
        <v>#REF!</v>
      </c>
      <c r="P652" s="203" t="e">
        <f>#REF!*#REF!^5/(Conv!$I$5*Conv!$D$46)/10^6 +#REF!</f>
        <v>#REF!</v>
      </c>
      <c r="Q652" s="203" t="e">
        <f>#REF!*#REF!^5/(Conv!$I$5*Conv!$D$46)/10^6 +#REF!</f>
        <v>#REF!</v>
      </c>
      <c r="S652" s="177"/>
      <c r="T652" s="177"/>
      <c r="U652" s="177"/>
      <c r="V652" s="177"/>
      <c r="W652" s="177"/>
      <c r="X652" s="177"/>
      <c r="Y652" s="177"/>
      <c r="Z652" s="177"/>
      <c r="AA652" s="177"/>
      <c r="AB652" s="177"/>
      <c r="AC652" s="177"/>
    </row>
    <row r="653" spans="2:29">
      <c r="B653" s="158" t="str">
        <f>IF(OR(LEFT(Commodities!B$75,1)="*",LEFT(Technologies!B$530,1)="*"),"*","R5")</f>
        <v>*</v>
      </c>
      <c r="C653" s="158" t="e">
        <f>Technologies!C530</f>
        <v>#REF!</v>
      </c>
      <c r="D653" s="158" t="str">
        <f>Technologies!D530</f>
        <v>Delivery of Imported Low Sulfur Residual Fuel Oil to Electricity Sector</v>
      </c>
      <c r="E653" s="197" t="str">
        <f>Commodities!C$75</f>
        <v>RFLP1</v>
      </c>
      <c r="F653" s="197" t="e">
        <f>Commodities!C243</f>
        <v>#REF!</v>
      </c>
      <c r="G653" s="204">
        <v>1</v>
      </c>
      <c r="H653" s="203" t="e">
        <f>#REF!*#REF!^5/(Conv!$I$5*Conv!$D$46)/10^6 +#REF!</f>
        <v>#REF!</v>
      </c>
      <c r="I653" s="203" t="e">
        <f>#REF!*#REF!^5/(Conv!$I$5*Conv!$D$46)/10^6 +#REF!</f>
        <v>#REF!</v>
      </c>
      <c r="J653" s="203" t="e">
        <f>#REF!*#REF!^5/(Conv!$I$5*Conv!$D$46)/10^6 +#REF!</f>
        <v>#REF!</v>
      </c>
      <c r="K653" s="203" t="e">
        <f>#REF!*#REF!^5/(Conv!$I$5*Conv!$D$46)/10^6 +#REF!</f>
        <v>#REF!</v>
      </c>
      <c r="L653" s="203" t="e">
        <f>#REF!*#REF!^5/(Conv!$I$5*Conv!$D$46)/10^6 +#REF!</f>
        <v>#REF!</v>
      </c>
      <c r="M653" s="203" t="e">
        <f>#REF!*#REF!^5/(Conv!$I$5*Conv!$D$46)/10^6 +#REF!</f>
        <v>#REF!</v>
      </c>
      <c r="N653" s="203" t="e">
        <f>#REF!*#REF!^5/(Conv!$I$5*Conv!$D$46)/10^6 +#REF!</f>
        <v>#REF!</v>
      </c>
      <c r="O653" s="203" t="e">
        <f>#REF!*#REF!^5/(Conv!$I$5*Conv!$D$46)/10^6 +#REF!</f>
        <v>#REF!</v>
      </c>
      <c r="P653" s="203" t="e">
        <f>#REF!*#REF!^5/(Conv!$I$5*Conv!$D$46)/10^6 +#REF!</f>
        <v>#REF!</v>
      </c>
      <c r="Q653" s="203" t="e">
        <f>#REF!*#REF!^5/(Conv!$I$5*Conv!$D$46)/10^6 +#REF!</f>
        <v>#REF!</v>
      </c>
      <c r="S653" s="177"/>
      <c r="T653" s="177"/>
      <c r="U653" s="177"/>
      <c r="V653" s="177"/>
      <c r="W653" s="177"/>
      <c r="X653" s="177"/>
      <c r="Y653" s="177"/>
      <c r="Z653" s="177"/>
      <c r="AA653" s="177"/>
      <c r="AB653" s="177"/>
      <c r="AC653" s="177"/>
    </row>
    <row r="654" spans="2:29">
      <c r="B654" s="158" t="str">
        <f>IF(OR(LEFT(Commodities!B$74,1)="*",LEFT(Technologies!B$531,1)="*"),"*","R5")</f>
        <v>*</v>
      </c>
      <c r="C654" s="158" t="e">
        <f>Technologies!C531</f>
        <v>#REF!</v>
      </c>
      <c r="D654" s="158" t="str">
        <f>Technologies!D531</f>
        <v>Delivery of Imported High Sulfur Residual Fuel Oil to Transportation Sector</v>
      </c>
      <c r="E654" s="197" t="str">
        <f>Commodities!C$74</f>
        <v>RFHP1</v>
      </c>
      <c r="F654" s="197" t="e">
        <f>Commodities!C244</f>
        <v>#REF!</v>
      </c>
      <c r="G654" s="204">
        <v>1</v>
      </c>
      <c r="H654" s="203" t="e">
        <f>#REF!*#REF!^5/(Conv!$I$5*Conv!$D$46)/10^6 +#REF!</f>
        <v>#REF!</v>
      </c>
      <c r="I654" s="203" t="e">
        <f>#REF!*#REF!^5/(Conv!$I$5*Conv!$D$46)/10^6 +#REF!</f>
        <v>#REF!</v>
      </c>
      <c r="J654" s="203" t="e">
        <f>#REF!*#REF!^5/(Conv!$I$5*Conv!$D$46)/10^6 +#REF!</f>
        <v>#REF!</v>
      </c>
      <c r="K654" s="203" t="e">
        <f>#REF!*#REF!^5/(Conv!$I$5*Conv!$D$46)/10^6 +#REF!</f>
        <v>#REF!</v>
      </c>
      <c r="L654" s="203" t="e">
        <f>#REF!*#REF!^5/(Conv!$I$5*Conv!$D$46)/10^6 +#REF!</f>
        <v>#REF!</v>
      </c>
      <c r="M654" s="203" t="e">
        <f>#REF!*#REF!^5/(Conv!$I$5*Conv!$D$46)/10^6 +#REF!</f>
        <v>#REF!</v>
      </c>
      <c r="N654" s="203" t="e">
        <f>#REF!*#REF!^5/(Conv!$I$5*Conv!$D$46)/10^6 +#REF!</f>
        <v>#REF!</v>
      </c>
      <c r="O654" s="203" t="e">
        <f>#REF!*#REF!^5/(Conv!$I$5*Conv!$D$46)/10^6 +#REF!</f>
        <v>#REF!</v>
      </c>
      <c r="P654" s="203" t="e">
        <f>#REF!*#REF!^5/(Conv!$I$5*Conv!$D$46)/10^6 +#REF!</f>
        <v>#REF!</v>
      </c>
      <c r="Q654" s="203" t="e">
        <f>#REF!*#REF!^5/(Conv!$I$5*Conv!$D$46)/10^6 +#REF!</f>
        <v>#REF!</v>
      </c>
      <c r="S654" s="177"/>
      <c r="T654" s="177"/>
      <c r="U654" s="177"/>
      <c r="V654" s="177"/>
      <c r="W654" s="177"/>
      <c r="X654" s="177"/>
      <c r="Y654" s="177"/>
      <c r="Z654" s="177"/>
      <c r="AA654" s="177"/>
      <c r="AB654" s="177"/>
      <c r="AC654" s="177"/>
    </row>
    <row r="655" spans="2:29">
      <c r="B655" s="158" t="str">
        <f>IF(OR(LEFT(Commodities!B$74,1)="*",LEFT(Technologies!B$532,1)="*"),"*","R5")</f>
        <v>*</v>
      </c>
      <c r="C655" s="158" t="e">
        <f>Technologies!C532</f>
        <v>#REF!</v>
      </c>
      <c r="D655" s="158" t="str">
        <f>Technologies!D532</f>
        <v>Delivery of Imported High Sulfur Residual Fuel Oil to Electricity Sector</v>
      </c>
      <c r="E655" s="197" t="str">
        <f>Commodities!C$74</f>
        <v>RFHP1</v>
      </c>
      <c r="F655" s="197" t="e">
        <f>Commodities!C245</f>
        <v>#REF!</v>
      </c>
      <c r="G655" s="204">
        <v>1</v>
      </c>
      <c r="H655" s="203" t="e">
        <f>#REF!*#REF!^5/(Conv!$I$5*Conv!$D$46)/10^6 +#REF!</f>
        <v>#REF!</v>
      </c>
      <c r="I655" s="203" t="e">
        <f>#REF!*#REF!^5/(Conv!$I$5*Conv!$D$46)/10^6 +#REF!</f>
        <v>#REF!</v>
      </c>
      <c r="J655" s="203" t="e">
        <f>#REF!*#REF!^5/(Conv!$I$5*Conv!$D$46)/10^6 +#REF!</f>
        <v>#REF!</v>
      </c>
      <c r="K655" s="203" t="e">
        <f>#REF!*#REF!^5/(Conv!$I$5*Conv!$D$46)/10^6 +#REF!</f>
        <v>#REF!</v>
      </c>
      <c r="L655" s="203" t="e">
        <f>#REF!*#REF!^5/(Conv!$I$5*Conv!$D$46)/10^6 +#REF!</f>
        <v>#REF!</v>
      </c>
      <c r="M655" s="203" t="e">
        <f>#REF!*#REF!^5/(Conv!$I$5*Conv!$D$46)/10^6 +#REF!</f>
        <v>#REF!</v>
      </c>
      <c r="N655" s="203" t="e">
        <f>#REF!*#REF!^5/(Conv!$I$5*Conv!$D$46)/10^6 +#REF!</f>
        <v>#REF!</v>
      </c>
      <c r="O655" s="203" t="e">
        <f>#REF!*#REF!^5/(Conv!$I$5*Conv!$D$46)/10^6 +#REF!</f>
        <v>#REF!</v>
      </c>
      <c r="P655" s="203" t="e">
        <f>#REF!*#REF!^5/(Conv!$I$5*Conv!$D$46)/10^6 +#REF!</f>
        <v>#REF!</v>
      </c>
      <c r="Q655" s="203" t="e">
        <f>#REF!*#REF!^5/(Conv!$I$5*Conv!$D$46)/10^6 +#REF!</f>
        <v>#REF!</v>
      </c>
      <c r="S655" s="177"/>
      <c r="T655" s="177"/>
      <c r="U655" s="177"/>
      <c r="V655" s="177"/>
      <c r="W655" s="177"/>
      <c r="X655" s="177"/>
      <c r="Y655" s="177"/>
      <c r="Z655" s="177"/>
      <c r="AA655" s="177"/>
      <c r="AB655" s="177"/>
      <c r="AC655" s="177"/>
    </row>
    <row r="656" spans="2:29">
      <c r="B656" s="160" t="s">
        <v>1035</v>
      </c>
      <c r="C656" s="160"/>
      <c r="D656" s="160"/>
      <c r="E656" s="196"/>
      <c r="F656" s="196"/>
      <c r="G656" s="200"/>
      <c r="H656" s="174"/>
      <c r="I656" s="174"/>
      <c r="J656" s="174"/>
      <c r="K656" s="174"/>
      <c r="L656" s="174"/>
      <c r="M656" s="174"/>
      <c r="N656" s="174"/>
      <c r="O656" s="174"/>
      <c r="P656" s="174"/>
      <c r="Q656" s="174"/>
    </row>
    <row r="657" spans="2:29">
      <c r="B657" s="158" t="str">
        <f>IF(LEFT(Technologies!B$509,1)="*","*","R6")</f>
        <v>R6</v>
      </c>
      <c r="C657" s="158" t="e">
        <f>Technologies!C509</f>
        <v>#REF!</v>
      </c>
      <c r="D657" s="158" t="str">
        <f>Technologies!D509</f>
        <v>Delivery of Imported Conventional Gasoline</v>
      </c>
      <c r="E657" s="197" t="str">
        <f>Commodities!C$67</f>
        <v>GSCP1</v>
      </c>
      <c r="F657" s="197" t="e">
        <f>Commodities!C222</f>
        <v>#REF!</v>
      </c>
      <c r="G657" s="204">
        <v>1</v>
      </c>
      <c r="H657" s="203" t="e">
        <f>#REF!*#REF!^5/(Conv!$I$5*Conv!$D$46)/10^6 +#REF!</f>
        <v>#REF!</v>
      </c>
      <c r="I657" s="203" t="e">
        <f>#REF!*#REF!^5/(Conv!$I$5*Conv!$D$46)/10^6 +#REF!</f>
        <v>#REF!</v>
      </c>
      <c r="J657" s="203" t="e">
        <f>#REF!*#REF!^5/(Conv!$I$5*Conv!$D$46)/10^6 +#REF!</f>
        <v>#REF!</v>
      </c>
      <c r="K657" s="203" t="e">
        <f>#REF!*#REF!^5/(Conv!$I$5*Conv!$D$46)/10^6 +#REF!</f>
        <v>#REF!</v>
      </c>
      <c r="L657" s="203" t="e">
        <f>#REF!*#REF!^5/(Conv!$I$5*Conv!$D$46)/10^6 +#REF!</f>
        <v>#REF!</v>
      </c>
      <c r="M657" s="203" t="e">
        <f>#REF!*#REF!^5/(Conv!$I$5*Conv!$D$46)/10^6 +#REF!</f>
        <v>#REF!</v>
      </c>
      <c r="N657" s="203" t="e">
        <f>#REF!*#REF!^5/(Conv!$I$5*Conv!$D$46)/10^6 +#REF!</f>
        <v>#REF!</v>
      </c>
      <c r="O657" s="203" t="e">
        <f>#REF!*#REF!^5/(Conv!$I$5*Conv!$D$46)/10^6 +#REF!</f>
        <v>#REF!</v>
      </c>
      <c r="P657" s="203" t="e">
        <f>#REF!*#REF!^5/(Conv!$I$5*Conv!$D$46)/10^6 +#REF!</f>
        <v>#REF!</v>
      </c>
      <c r="Q657" s="203" t="e">
        <f>#REF!*#REF!^5/(Conv!$I$5*Conv!$D$46)/10^6 +#REF!</f>
        <v>#REF!</v>
      </c>
      <c r="S657" s="177"/>
      <c r="T657" s="177"/>
      <c r="U657" s="177"/>
      <c r="V657" s="177"/>
      <c r="W657" s="177"/>
      <c r="X657" s="177"/>
      <c r="Y657" s="177"/>
      <c r="Z657" s="177"/>
      <c r="AA657" s="177"/>
      <c r="AB657" s="177"/>
      <c r="AC657" s="177"/>
    </row>
    <row r="658" spans="2:29">
      <c r="B658" s="158" t="str">
        <f>IF(LEFT(Technologies!B$510,1)="*","*","R6")</f>
        <v>R6</v>
      </c>
      <c r="C658" s="158" t="e">
        <f>Technologies!C510</f>
        <v>#REF!</v>
      </c>
      <c r="D658" s="158" t="str">
        <f>Technologies!D510</f>
        <v>Delivery of Imported Reformulated Gasoline</v>
      </c>
      <c r="E658" s="197" t="str">
        <f>Commodities!C$68</f>
        <v>GSRP1</v>
      </c>
      <c r="F658" s="197" t="e">
        <f>Commodities!C223</f>
        <v>#REF!</v>
      </c>
      <c r="G658" s="204">
        <v>1</v>
      </c>
      <c r="H658" s="203" t="e">
        <f>#REF!*#REF!^5/(Conv!$I$5*Conv!$D$46)/10^6 +#REF!</f>
        <v>#REF!</v>
      </c>
      <c r="I658" s="203" t="e">
        <f>#REF!*#REF!^5/(Conv!$I$5*Conv!$D$46)/10^6 +#REF!</f>
        <v>#REF!</v>
      </c>
      <c r="J658" s="203" t="e">
        <f>#REF!*#REF!^5/(Conv!$I$5*Conv!$D$46)/10^6 +#REF!</f>
        <v>#REF!</v>
      </c>
      <c r="K658" s="203" t="e">
        <f>#REF!*#REF!^5/(Conv!$I$5*Conv!$D$46)/10^6 +#REF!</f>
        <v>#REF!</v>
      </c>
      <c r="L658" s="203" t="e">
        <f>#REF!*#REF!^5/(Conv!$I$5*Conv!$D$46)/10^6 +#REF!</f>
        <v>#REF!</v>
      </c>
      <c r="M658" s="203" t="e">
        <f>#REF!*#REF!^5/(Conv!$I$5*Conv!$D$46)/10^6 +#REF!</f>
        <v>#REF!</v>
      </c>
      <c r="N658" s="203" t="e">
        <f>#REF!*#REF!^5/(Conv!$I$5*Conv!$D$46)/10^6 +#REF!</f>
        <v>#REF!</v>
      </c>
      <c r="O658" s="203" t="e">
        <f>#REF!*#REF!^5/(Conv!$I$5*Conv!$D$46)/10^6 +#REF!</f>
        <v>#REF!</v>
      </c>
      <c r="P658" s="203" t="e">
        <f>#REF!*#REF!^5/(Conv!$I$5*Conv!$D$46)/10^6 +#REF!</f>
        <v>#REF!</v>
      </c>
      <c r="Q658" s="203" t="e">
        <f>#REF!*#REF!^5/(Conv!$I$5*Conv!$D$46)/10^6 +#REF!</f>
        <v>#REF!</v>
      </c>
      <c r="S658" s="177"/>
      <c r="T658" s="177"/>
      <c r="U658" s="177"/>
      <c r="V658" s="177"/>
      <c r="W658" s="177"/>
      <c r="X658" s="177"/>
      <c r="Y658" s="177"/>
      <c r="Z658" s="177"/>
      <c r="AA658" s="177"/>
      <c r="AB658" s="177"/>
      <c r="AC658" s="177"/>
    </row>
    <row r="659" spans="2:29">
      <c r="B659" s="158" t="str">
        <f>IF(OR(LEFT(Commodities!B$64,1)="*",LEFT(Technologies!B$511,1)="*"),"*","R6")</f>
        <v>R6</v>
      </c>
      <c r="C659" s="158" t="e">
        <f>Technologies!C511</f>
        <v>#REF!</v>
      </c>
      <c r="D659" s="158" t="str">
        <f>Technologies!D511</f>
        <v>Delivery of Imported Distillate-Heating Oil No. 2 to the Residential Sector</v>
      </c>
      <c r="E659" s="197" t="str">
        <f>Commodities!C$64</f>
        <v>DSHP1</v>
      </c>
      <c r="F659" s="197" t="e">
        <f>Commodities!C224</f>
        <v>#REF!</v>
      </c>
      <c r="G659" s="204">
        <v>1</v>
      </c>
      <c r="H659" s="203" t="e">
        <f>#REF!*#REF!^5/(Conv!$I$5*Conv!$D$46)/10^6 +#REF!</f>
        <v>#REF!</v>
      </c>
      <c r="I659" s="203" t="e">
        <f>#REF!*#REF!^5/(Conv!$I$5*Conv!$D$46)/10^6 +#REF!</f>
        <v>#REF!</v>
      </c>
      <c r="J659" s="203" t="e">
        <f>#REF!*#REF!^5/(Conv!$I$5*Conv!$D$46)/10^6 +#REF!</f>
        <v>#REF!</v>
      </c>
      <c r="K659" s="203" t="e">
        <f>#REF!*#REF!^5/(Conv!$I$5*Conv!$D$46)/10^6 +#REF!</f>
        <v>#REF!</v>
      </c>
      <c r="L659" s="203" t="e">
        <f>#REF!*#REF!^5/(Conv!$I$5*Conv!$D$46)/10^6 +#REF!</f>
        <v>#REF!</v>
      </c>
      <c r="M659" s="203" t="e">
        <f>#REF!*#REF!^5/(Conv!$I$5*Conv!$D$46)/10^6 +#REF!</f>
        <v>#REF!</v>
      </c>
      <c r="N659" s="203" t="e">
        <f>#REF!*#REF!^5/(Conv!$I$5*Conv!$D$46)/10^6 +#REF!</f>
        <v>#REF!</v>
      </c>
      <c r="O659" s="203" t="e">
        <f>#REF!*#REF!^5/(Conv!$I$5*Conv!$D$46)/10^6 +#REF!</f>
        <v>#REF!</v>
      </c>
      <c r="P659" s="203" t="e">
        <f>#REF!*#REF!^5/(Conv!$I$5*Conv!$D$46)/10^6 +#REF!</f>
        <v>#REF!</v>
      </c>
      <c r="Q659" s="203" t="e">
        <f>#REF!*#REF!^5/(Conv!$I$5*Conv!$D$46)/10^6 +#REF!</f>
        <v>#REF!</v>
      </c>
      <c r="S659" s="177"/>
      <c r="T659" s="177"/>
      <c r="U659" s="177"/>
      <c r="V659" s="177"/>
      <c r="W659" s="177"/>
      <c r="X659" s="177"/>
      <c r="Y659" s="177"/>
      <c r="Z659" s="177"/>
      <c r="AA659" s="177"/>
      <c r="AB659" s="177"/>
      <c r="AC659" s="177"/>
    </row>
    <row r="660" spans="2:29">
      <c r="B660" s="158" t="str">
        <f>IF(OR(LEFT(Commodities!B$64,1)="*",LEFT(Technologies!B$512,1)="*"),"*","R6")</f>
        <v>R6</v>
      </c>
      <c r="C660" s="158" t="e">
        <f>Technologies!C512</f>
        <v>#REF!</v>
      </c>
      <c r="D660" s="158" t="str">
        <f>Technologies!D512</f>
        <v>Delivery of Imported Distillate-Heating Oil No. 2 to the Commercial Sector</v>
      </c>
      <c r="E660" s="197" t="str">
        <f>Commodities!C$64</f>
        <v>DSHP1</v>
      </c>
      <c r="F660" s="197" t="e">
        <f>Commodities!C225</f>
        <v>#REF!</v>
      </c>
      <c r="G660" s="204">
        <v>1</v>
      </c>
      <c r="H660" s="203" t="e">
        <f>#REF!*#REF!^5/(Conv!$I$5*Conv!$D$46)/10^6 +#REF!</f>
        <v>#REF!</v>
      </c>
      <c r="I660" s="203" t="e">
        <f>#REF!*#REF!^5/(Conv!$I$5*Conv!$D$46)/10^6 +#REF!</f>
        <v>#REF!</v>
      </c>
      <c r="J660" s="203" t="e">
        <f>#REF!*#REF!^5/(Conv!$I$5*Conv!$D$46)/10^6 +#REF!</f>
        <v>#REF!</v>
      </c>
      <c r="K660" s="203" t="e">
        <f>#REF!*#REF!^5/(Conv!$I$5*Conv!$D$46)/10^6 +#REF!</f>
        <v>#REF!</v>
      </c>
      <c r="L660" s="203" t="e">
        <f>#REF!*#REF!^5/(Conv!$I$5*Conv!$D$46)/10^6 +#REF!</f>
        <v>#REF!</v>
      </c>
      <c r="M660" s="203" t="e">
        <f>#REF!*#REF!^5/(Conv!$I$5*Conv!$D$46)/10^6 +#REF!</f>
        <v>#REF!</v>
      </c>
      <c r="N660" s="203" t="e">
        <f>#REF!*#REF!^5/(Conv!$I$5*Conv!$D$46)/10^6 +#REF!</f>
        <v>#REF!</v>
      </c>
      <c r="O660" s="203" t="e">
        <f>#REF!*#REF!^5/(Conv!$I$5*Conv!$D$46)/10^6 +#REF!</f>
        <v>#REF!</v>
      </c>
      <c r="P660" s="203" t="e">
        <f>#REF!*#REF!^5/(Conv!$I$5*Conv!$D$46)/10^6 +#REF!</f>
        <v>#REF!</v>
      </c>
      <c r="Q660" s="203" t="e">
        <f>#REF!*#REF!^5/(Conv!$I$5*Conv!$D$46)/10^6 +#REF!</f>
        <v>#REF!</v>
      </c>
      <c r="S660" s="177"/>
      <c r="T660" s="177"/>
      <c r="U660" s="177"/>
      <c r="V660" s="177"/>
      <c r="W660" s="177"/>
      <c r="X660" s="177"/>
      <c r="Y660" s="177"/>
      <c r="Z660" s="177"/>
      <c r="AA660" s="177"/>
      <c r="AB660" s="177"/>
      <c r="AC660" s="177"/>
    </row>
    <row r="661" spans="2:29">
      <c r="B661" s="158" t="str">
        <f>IF(OR(LEFT(Commodities!B$64,1)="*",LEFT(Technologies!B$513,1)="*"),"*","R6")</f>
        <v>*</v>
      </c>
      <c r="C661" s="158" t="e">
        <f>Technologies!C513</f>
        <v>#REF!</v>
      </c>
      <c r="D661" s="158" t="str">
        <f>Technologies!D513</f>
        <v>Delivery of Imported Distillate-Heating Oil No. 2 to the Indistrial Sector</v>
      </c>
      <c r="E661" s="197" t="str">
        <f>Commodities!C$64</f>
        <v>DSHP1</v>
      </c>
      <c r="F661" s="197" t="e">
        <f>Commodities!C226</f>
        <v>#REF!</v>
      </c>
      <c r="G661" s="204">
        <v>1</v>
      </c>
      <c r="H661" s="203" t="e">
        <f>#REF!*#REF!^5/(Conv!$I$5*Conv!$D$46)/10^6 +#REF!</f>
        <v>#REF!</v>
      </c>
      <c r="I661" s="203" t="e">
        <f>#REF!*#REF!^5/(Conv!$I$5*Conv!$D$46)/10^6 +#REF!</f>
        <v>#REF!</v>
      </c>
      <c r="J661" s="203" t="e">
        <f>#REF!*#REF!^5/(Conv!$I$5*Conv!$D$46)/10^6 +#REF!</f>
        <v>#REF!</v>
      </c>
      <c r="K661" s="203" t="e">
        <f>#REF!*#REF!^5/(Conv!$I$5*Conv!$D$46)/10^6 +#REF!</f>
        <v>#REF!</v>
      </c>
      <c r="L661" s="203" t="e">
        <f>#REF!*#REF!^5/(Conv!$I$5*Conv!$D$46)/10^6 +#REF!</f>
        <v>#REF!</v>
      </c>
      <c r="M661" s="203" t="e">
        <f>#REF!*#REF!^5/(Conv!$I$5*Conv!$D$46)/10^6 +#REF!</f>
        <v>#REF!</v>
      </c>
      <c r="N661" s="203" t="e">
        <f>#REF!*#REF!^5/(Conv!$I$5*Conv!$D$46)/10^6 +#REF!</f>
        <v>#REF!</v>
      </c>
      <c r="O661" s="203" t="e">
        <f>#REF!*#REF!^5/(Conv!$I$5*Conv!$D$46)/10^6 +#REF!</f>
        <v>#REF!</v>
      </c>
      <c r="P661" s="203" t="e">
        <f>#REF!*#REF!^5/(Conv!$I$5*Conv!$D$46)/10^6 +#REF!</f>
        <v>#REF!</v>
      </c>
      <c r="Q661" s="203" t="e">
        <f>#REF!*#REF!^5/(Conv!$I$5*Conv!$D$46)/10^6 +#REF!</f>
        <v>#REF!</v>
      </c>
      <c r="S661" s="177"/>
      <c r="T661" s="177"/>
      <c r="U661" s="177"/>
      <c r="V661" s="177"/>
      <c r="W661" s="177"/>
      <c r="X661" s="177"/>
      <c r="Y661" s="177"/>
      <c r="Z661" s="177"/>
      <c r="AA661" s="177"/>
      <c r="AB661" s="177"/>
      <c r="AC661" s="177"/>
    </row>
    <row r="662" spans="2:29">
      <c r="B662" s="158" t="str">
        <f>IF(OR(LEFT(Commodities!B$64,1)="*",LEFT(Technologies!B$514,1)="*"),"*","R6")</f>
        <v>R6</v>
      </c>
      <c r="C662" s="158" t="e">
        <f>Technologies!C514</f>
        <v>#REF!</v>
      </c>
      <c r="D662" s="158" t="str">
        <f>Technologies!D514</f>
        <v>Delivery of Imported Distillate-Heating Oil No. 2 to the Electricity Sector</v>
      </c>
      <c r="E662" s="197" t="str">
        <f>Commodities!C$64</f>
        <v>DSHP1</v>
      </c>
      <c r="F662" s="197" t="e">
        <f>Commodities!C227</f>
        <v>#REF!</v>
      </c>
      <c r="G662" s="204">
        <v>1</v>
      </c>
      <c r="H662" s="203" t="e">
        <f>#REF!*#REF!^5/(Conv!$I$5*Conv!$D$46)/10^6 +#REF!</f>
        <v>#REF!</v>
      </c>
      <c r="I662" s="203" t="e">
        <f>#REF!*#REF!^5/(Conv!$I$5*Conv!$D$46)/10^6 +#REF!</f>
        <v>#REF!</v>
      </c>
      <c r="J662" s="203" t="e">
        <f>#REF!*#REF!^5/(Conv!$I$5*Conv!$D$46)/10^6 +#REF!</f>
        <v>#REF!</v>
      </c>
      <c r="K662" s="203" t="e">
        <f>#REF!*#REF!^5/(Conv!$I$5*Conv!$D$46)/10^6 +#REF!</f>
        <v>#REF!</v>
      </c>
      <c r="L662" s="203" t="e">
        <f>#REF!*#REF!^5/(Conv!$I$5*Conv!$D$46)/10^6 +#REF!</f>
        <v>#REF!</v>
      </c>
      <c r="M662" s="203" t="e">
        <f>#REF!*#REF!^5/(Conv!$I$5*Conv!$D$46)/10^6 +#REF!</f>
        <v>#REF!</v>
      </c>
      <c r="N662" s="203" t="e">
        <f>#REF!*#REF!^5/(Conv!$I$5*Conv!$D$46)/10^6 +#REF!</f>
        <v>#REF!</v>
      </c>
      <c r="O662" s="203" t="e">
        <f>#REF!*#REF!^5/(Conv!$I$5*Conv!$D$46)/10^6 +#REF!</f>
        <v>#REF!</v>
      </c>
      <c r="P662" s="203" t="e">
        <f>#REF!*#REF!^5/(Conv!$I$5*Conv!$D$46)/10^6 +#REF!</f>
        <v>#REF!</v>
      </c>
      <c r="Q662" s="203" t="e">
        <f>#REF!*#REF!^5/(Conv!$I$5*Conv!$D$46)/10^6 +#REF!</f>
        <v>#REF!</v>
      </c>
      <c r="S662" s="177"/>
      <c r="T662" s="177"/>
      <c r="U662" s="177"/>
      <c r="V662" s="177"/>
      <c r="W662" s="177"/>
      <c r="X662" s="177"/>
      <c r="Y662" s="177"/>
      <c r="Z662" s="177"/>
      <c r="AA662" s="177"/>
      <c r="AB662" s="177"/>
      <c r="AC662" s="177"/>
    </row>
    <row r="663" spans="2:29">
      <c r="B663" s="158" t="str">
        <f>IF(OR(LEFT(Commodities!B$65,1)="*",LEFT(Technologies!B$515,1)="*"),"*","R6")</f>
        <v>R6</v>
      </c>
      <c r="C663" s="158" t="e">
        <f>Technologies!C515</f>
        <v>#REF!</v>
      </c>
      <c r="D663" s="158" t="str">
        <f>Technologies!D515</f>
        <v>Delivery of Imported Distillate-Low Sulfur Highway Diesel (500 ppm)</v>
      </c>
      <c r="E663" s="197" t="str">
        <f>Commodities!C$65</f>
        <v>DSLP1</v>
      </c>
      <c r="F663" s="197" t="e">
        <f>Commodities!C228</f>
        <v>#REF!</v>
      </c>
      <c r="G663" s="204">
        <v>1</v>
      </c>
      <c r="H663" s="203" t="e">
        <f>#REF!*#REF!^5/(Conv!$I$5*Conv!$D$46)/10^6 +#REF!</f>
        <v>#REF!</v>
      </c>
      <c r="I663" s="203" t="e">
        <f>#REF!*#REF!^5/(Conv!$I$5*Conv!$D$46)/10^6 +#REF!</f>
        <v>#REF!</v>
      </c>
      <c r="J663" s="203" t="e">
        <f>#REF!*#REF!^5/(Conv!$I$5*Conv!$D$46)/10^6 +#REF!</f>
        <v>#REF!</v>
      </c>
      <c r="K663" s="203" t="e">
        <f>#REF!*#REF!^5/(Conv!$I$5*Conv!$D$46)/10^6 +#REF!</f>
        <v>#REF!</v>
      </c>
      <c r="L663" s="203" t="e">
        <f>#REF!*#REF!^5/(Conv!$I$5*Conv!$D$46)/10^6 +#REF!</f>
        <v>#REF!</v>
      </c>
      <c r="M663" s="203" t="e">
        <f>#REF!*#REF!^5/(Conv!$I$5*Conv!$D$46)/10^6 +#REF!</f>
        <v>#REF!</v>
      </c>
      <c r="N663" s="203" t="e">
        <f>#REF!*#REF!^5/(Conv!$I$5*Conv!$D$46)/10^6 +#REF!</f>
        <v>#REF!</v>
      </c>
      <c r="O663" s="203" t="e">
        <f>#REF!*#REF!^5/(Conv!$I$5*Conv!$D$46)/10^6 +#REF!</f>
        <v>#REF!</v>
      </c>
      <c r="P663" s="203" t="e">
        <f>#REF!*#REF!^5/(Conv!$I$5*Conv!$D$46)/10^6 +#REF!</f>
        <v>#REF!</v>
      </c>
      <c r="Q663" s="203" t="e">
        <f>#REF!*#REF!^5/(Conv!$I$5*Conv!$D$46)/10^6 +#REF!</f>
        <v>#REF!</v>
      </c>
      <c r="S663" s="177"/>
      <c r="T663" s="177"/>
      <c r="U663" s="177"/>
      <c r="V663" s="177"/>
      <c r="W663" s="177"/>
      <c r="X663" s="177"/>
      <c r="Y663" s="177"/>
      <c r="Z663" s="177"/>
      <c r="AA663" s="177"/>
      <c r="AB663" s="177"/>
      <c r="AC663" s="177"/>
    </row>
    <row r="664" spans="2:29">
      <c r="B664" s="158" t="str">
        <f>IF(OR(LEFT(Commodities!B$66,1)="*",LEFT(Technologies!B$516,1)="*"),"*","R6")</f>
        <v>R6</v>
      </c>
      <c r="C664" s="158" t="e">
        <f>Technologies!C516</f>
        <v>#REF!</v>
      </c>
      <c r="D664" s="158" t="str">
        <f>Technologies!D516</f>
        <v>Delivery of Imported Distillate-Ultralow Sulfur Highway Diesel (15 ppm)</v>
      </c>
      <c r="E664" s="197" t="str">
        <f>Commodities!C$66</f>
        <v>DSUP1</v>
      </c>
      <c r="F664" s="197" t="e">
        <f>Commodities!C229</f>
        <v>#REF!</v>
      </c>
      <c r="G664" s="204">
        <v>1</v>
      </c>
      <c r="H664" s="203" t="e">
        <f>#REF!*#REF!^5/(Conv!$I$5*Conv!$D$46)/10^6 +#REF!</f>
        <v>#REF!</v>
      </c>
      <c r="I664" s="203" t="e">
        <f>#REF!*#REF!^5/(Conv!$I$5*Conv!$D$46)/10^6 +#REF!</f>
        <v>#REF!</v>
      </c>
      <c r="J664" s="203" t="e">
        <f>#REF!*#REF!^5/(Conv!$I$5*Conv!$D$46)/10^6 +#REF!</f>
        <v>#REF!</v>
      </c>
      <c r="K664" s="203" t="e">
        <f>#REF!*#REF!^5/(Conv!$I$5*Conv!$D$46)/10^6 +#REF!</f>
        <v>#REF!</v>
      </c>
      <c r="L664" s="203" t="e">
        <f>#REF!*#REF!^5/(Conv!$I$5*Conv!$D$46)/10^6 +#REF!</f>
        <v>#REF!</v>
      </c>
      <c r="M664" s="203" t="e">
        <f>#REF!*#REF!^5/(Conv!$I$5*Conv!$D$46)/10^6 +#REF!</f>
        <v>#REF!</v>
      </c>
      <c r="N664" s="203" t="e">
        <f>#REF!*#REF!^5/(Conv!$I$5*Conv!$D$46)/10^6 +#REF!</f>
        <v>#REF!</v>
      </c>
      <c r="O664" s="203" t="e">
        <f>#REF!*#REF!^5/(Conv!$I$5*Conv!$D$46)/10^6 +#REF!</f>
        <v>#REF!</v>
      </c>
      <c r="P664" s="203" t="e">
        <f>#REF!*#REF!^5/(Conv!$I$5*Conv!$D$46)/10^6 +#REF!</f>
        <v>#REF!</v>
      </c>
      <c r="Q664" s="203" t="e">
        <f>#REF!*#REF!^5/(Conv!$I$5*Conv!$D$46)/10^6 +#REF!</f>
        <v>#REF!</v>
      </c>
      <c r="S664" s="177"/>
      <c r="T664" s="177"/>
      <c r="U664" s="177"/>
      <c r="V664" s="177"/>
      <c r="W664" s="177"/>
      <c r="X664" s="177"/>
      <c r="Y664" s="177"/>
      <c r="Z664" s="177"/>
      <c r="AA664" s="177"/>
      <c r="AB664" s="177"/>
      <c r="AC664" s="177"/>
    </row>
    <row r="665" spans="2:29">
      <c r="B665" s="158" t="str">
        <f>IF(OR(LEFT(Commodities!B$69,1)="*",LEFT(Technologies!B$517,1)="*"),"*","R6")</f>
        <v>*</v>
      </c>
      <c r="C665" s="158" t="e">
        <f>Technologies!C517</f>
        <v>#REF!</v>
      </c>
      <c r="D665" s="158" t="str">
        <f>Technologies!D517</f>
        <v>Delivery of Imported Jet Fuel</v>
      </c>
      <c r="E665" s="197" t="str">
        <f>Commodities!C$69</f>
        <v>JTFP1</v>
      </c>
      <c r="F665" s="197" t="e">
        <f>Commodities!C230</f>
        <v>#REF!</v>
      </c>
      <c r="G665" s="204">
        <v>1</v>
      </c>
      <c r="H665" s="203" t="e">
        <f>#REF!*#REF!^5/(Conv!$I$5*Conv!$D$46)/10^6 +#REF!</f>
        <v>#REF!</v>
      </c>
      <c r="I665" s="203" t="e">
        <f>#REF!*#REF!^5/(Conv!$I$5*Conv!$D$46)/10^6 +#REF!</f>
        <v>#REF!</v>
      </c>
      <c r="J665" s="203" t="e">
        <f>#REF!*#REF!^5/(Conv!$I$5*Conv!$D$46)/10^6 +#REF!</f>
        <v>#REF!</v>
      </c>
      <c r="K665" s="203" t="e">
        <f>#REF!*#REF!^5/(Conv!$I$5*Conv!$D$46)/10^6 +#REF!</f>
        <v>#REF!</v>
      </c>
      <c r="L665" s="203" t="e">
        <f>#REF!*#REF!^5/(Conv!$I$5*Conv!$D$46)/10^6 +#REF!</f>
        <v>#REF!</v>
      </c>
      <c r="M665" s="203" t="e">
        <f>#REF!*#REF!^5/(Conv!$I$5*Conv!$D$46)/10^6 +#REF!</f>
        <v>#REF!</v>
      </c>
      <c r="N665" s="203" t="e">
        <f>#REF!*#REF!^5/(Conv!$I$5*Conv!$D$46)/10^6 +#REF!</f>
        <v>#REF!</v>
      </c>
      <c r="O665" s="203" t="e">
        <f>#REF!*#REF!^5/(Conv!$I$5*Conv!$D$46)/10^6 +#REF!</f>
        <v>#REF!</v>
      </c>
      <c r="P665" s="203" t="e">
        <f>#REF!*#REF!^5/(Conv!$I$5*Conv!$D$46)/10^6 +#REF!</f>
        <v>#REF!</v>
      </c>
      <c r="Q665" s="203" t="e">
        <f>#REF!*#REF!^5/(Conv!$I$5*Conv!$D$46)/10^6 +#REF!</f>
        <v>#REF!</v>
      </c>
      <c r="S665" s="177"/>
      <c r="T665" s="177"/>
      <c r="U665" s="177"/>
      <c r="V665" s="177"/>
      <c r="W665" s="177"/>
      <c r="X665" s="177"/>
      <c r="Y665" s="177"/>
      <c r="Z665" s="177"/>
      <c r="AA665" s="177"/>
      <c r="AB665" s="177"/>
      <c r="AC665" s="177"/>
    </row>
    <row r="666" spans="2:29">
      <c r="B666" s="158" t="str">
        <f>IF(OR(LEFT(Commodities!B$70,1)="*",LEFT(Technologies!B$518,1)="*"),"*","R6")</f>
        <v>*</v>
      </c>
      <c r="C666" s="158" t="e">
        <f>Technologies!C518</f>
        <v>#REF!</v>
      </c>
      <c r="D666" s="158" t="str">
        <f>Technologies!D518</f>
        <v>Delivery of Imported Kerosene and Other Refined Products to the Residential Sector</v>
      </c>
      <c r="E666" s="197" t="str">
        <f>Commodities!C$70</f>
        <v>KERP1</v>
      </c>
      <c r="F666" s="197" t="e">
        <f>Commodities!C231</f>
        <v>#REF!</v>
      </c>
      <c r="G666" s="204">
        <v>1</v>
      </c>
      <c r="H666" s="203" t="e">
        <f>#REF!*#REF!^5/(Conv!$I$5*Conv!$D$46)/10^6 +#REF!</f>
        <v>#REF!</v>
      </c>
      <c r="I666" s="203" t="e">
        <f>#REF!*#REF!^5/(Conv!$I$5*Conv!$D$46)/10^6 +#REF!</f>
        <v>#REF!</v>
      </c>
      <c r="J666" s="203" t="e">
        <f>#REF!*#REF!^5/(Conv!$I$5*Conv!$D$46)/10^6 +#REF!</f>
        <v>#REF!</v>
      </c>
      <c r="K666" s="203" t="e">
        <f>#REF!*#REF!^5/(Conv!$I$5*Conv!$D$46)/10^6 +#REF!</f>
        <v>#REF!</v>
      </c>
      <c r="L666" s="203" t="e">
        <f>#REF!*#REF!^5/(Conv!$I$5*Conv!$D$46)/10^6 +#REF!</f>
        <v>#REF!</v>
      </c>
      <c r="M666" s="203" t="e">
        <f>#REF!*#REF!^5/(Conv!$I$5*Conv!$D$46)/10^6 +#REF!</f>
        <v>#REF!</v>
      </c>
      <c r="N666" s="203" t="e">
        <f>#REF!*#REF!^5/(Conv!$I$5*Conv!$D$46)/10^6 +#REF!</f>
        <v>#REF!</v>
      </c>
      <c r="O666" s="203" t="e">
        <f>#REF!*#REF!^5/(Conv!$I$5*Conv!$D$46)/10^6 +#REF!</f>
        <v>#REF!</v>
      </c>
      <c r="P666" s="203" t="e">
        <f>#REF!*#REF!^5/(Conv!$I$5*Conv!$D$46)/10^6 +#REF!</f>
        <v>#REF!</v>
      </c>
      <c r="Q666" s="203" t="e">
        <f>#REF!*#REF!^5/(Conv!$I$5*Conv!$D$46)/10^6 +#REF!</f>
        <v>#REF!</v>
      </c>
      <c r="S666" s="177"/>
      <c r="T666" s="177"/>
      <c r="U666" s="177"/>
      <c r="V666" s="177"/>
      <c r="W666" s="177"/>
      <c r="X666" s="177"/>
      <c r="Y666" s="177"/>
      <c r="Z666" s="177"/>
      <c r="AA666" s="177"/>
      <c r="AB666" s="177"/>
      <c r="AC666" s="177"/>
    </row>
    <row r="667" spans="2:29">
      <c r="B667" s="158" t="str">
        <f>IF(OR(LEFT(Commodities!B$70,1)="*",LEFT(Technologies!B$519,1)="*"),"*","R6")</f>
        <v>*</v>
      </c>
      <c r="C667" s="158" t="e">
        <f>Technologies!C519</f>
        <v>#REF!</v>
      </c>
      <c r="D667" s="158" t="str">
        <f>Technologies!D519</f>
        <v>Delivery of Imported Kerosene and Other Refined Products to the Commercial Sector</v>
      </c>
      <c r="E667" s="197" t="str">
        <f>Commodities!C$70</f>
        <v>KERP1</v>
      </c>
      <c r="F667" s="197" t="e">
        <f>Commodities!C232</f>
        <v>#REF!</v>
      </c>
      <c r="G667" s="204">
        <v>1</v>
      </c>
      <c r="H667" s="203" t="e">
        <f>#REF!*#REF!^5/(Conv!$I$5*Conv!$D$46)/10^6 +#REF!</f>
        <v>#REF!</v>
      </c>
      <c r="I667" s="203" t="e">
        <f>#REF!*#REF!^5/(Conv!$I$5*Conv!$D$46)/10^6 +#REF!</f>
        <v>#REF!</v>
      </c>
      <c r="J667" s="203" t="e">
        <f>#REF!*#REF!^5/(Conv!$I$5*Conv!$D$46)/10^6 +#REF!</f>
        <v>#REF!</v>
      </c>
      <c r="K667" s="203" t="e">
        <f>#REF!*#REF!^5/(Conv!$I$5*Conv!$D$46)/10^6 +#REF!</f>
        <v>#REF!</v>
      </c>
      <c r="L667" s="203" t="e">
        <f>#REF!*#REF!^5/(Conv!$I$5*Conv!$D$46)/10^6 +#REF!</f>
        <v>#REF!</v>
      </c>
      <c r="M667" s="203" t="e">
        <f>#REF!*#REF!^5/(Conv!$I$5*Conv!$D$46)/10^6 +#REF!</f>
        <v>#REF!</v>
      </c>
      <c r="N667" s="203" t="e">
        <f>#REF!*#REF!^5/(Conv!$I$5*Conv!$D$46)/10^6 +#REF!</f>
        <v>#REF!</v>
      </c>
      <c r="O667" s="203" t="e">
        <f>#REF!*#REF!^5/(Conv!$I$5*Conv!$D$46)/10^6 +#REF!</f>
        <v>#REF!</v>
      </c>
      <c r="P667" s="203" t="e">
        <f>#REF!*#REF!^5/(Conv!$I$5*Conv!$D$46)/10^6 +#REF!</f>
        <v>#REF!</v>
      </c>
      <c r="Q667" s="203" t="e">
        <f>#REF!*#REF!^5/(Conv!$I$5*Conv!$D$46)/10^6 +#REF!</f>
        <v>#REF!</v>
      </c>
      <c r="S667" s="177"/>
      <c r="T667" s="177"/>
      <c r="U667" s="177"/>
      <c r="V667" s="177"/>
      <c r="W667" s="177"/>
      <c r="X667" s="177"/>
      <c r="Y667" s="177"/>
      <c r="Z667" s="177"/>
      <c r="AA667" s="177"/>
      <c r="AB667" s="177"/>
      <c r="AC667" s="177"/>
    </row>
    <row r="668" spans="2:29">
      <c r="B668" s="158" t="str">
        <f>IF(OR(LEFT(Commodities!B$70,1)="*",LEFT(Technologies!B$520,1)="*"),"*","R6")</f>
        <v>*</v>
      </c>
      <c r="C668" s="158" t="e">
        <f>Technologies!C520</f>
        <v>#REF!</v>
      </c>
      <c r="D668" s="158" t="str">
        <f>Technologies!D520</f>
        <v>Delivery of Imported Kerosene and Other Refined Products to the Industrial Sector</v>
      </c>
      <c r="E668" s="197" t="str">
        <f>Commodities!C$70</f>
        <v>KERP1</v>
      </c>
      <c r="F668" s="197" t="e">
        <f>Commodities!C233</f>
        <v>#REF!</v>
      </c>
      <c r="G668" s="204">
        <v>1</v>
      </c>
      <c r="H668" s="203" t="e">
        <f>#REF!*#REF!^5/(Conv!$I$5*Conv!$D$46)/10^6 +#REF!</f>
        <v>#REF!</v>
      </c>
      <c r="I668" s="203" t="e">
        <f>#REF!*#REF!^5/(Conv!$I$5*Conv!$D$46)/10^6 +#REF!</f>
        <v>#REF!</v>
      </c>
      <c r="J668" s="203" t="e">
        <f>#REF!*#REF!^5/(Conv!$I$5*Conv!$D$46)/10^6 +#REF!</f>
        <v>#REF!</v>
      </c>
      <c r="K668" s="203" t="e">
        <f>#REF!*#REF!^5/(Conv!$I$5*Conv!$D$46)/10^6 +#REF!</f>
        <v>#REF!</v>
      </c>
      <c r="L668" s="203" t="e">
        <f>#REF!*#REF!^5/(Conv!$I$5*Conv!$D$46)/10^6 +#REF!</f>
        <v>#REF!</v>
      </c>
      <c r="M668" s="203" t="e">
        <f>#REF!*#REF!^5/(Conv!$I$5*Conv!$D$46)/10^6 +#REF!</f>
        <v>#REF!</v>
      </c>
      <c r="N668" s="203" t="e">
        <f>#REF!*#REF!^5/(Conv!$I$5*Conv!$D$46)/10^6 +#REF!</f>
        <v>#REF!</v>
      </c>
      <c r="O668" s="203" t="e">
        <f>#REF!*#REF!^5/(Conv!$I$5*Conv!$D$46)/10^6 +#REF!</f>
        <v>#REF!</v>
      </c>
      <c r="P668" s="203" t="e">
        <f>#REF!*#REF!^5/(Conv!$I$5*Conv!$D$46)/10^6 +#REF!</f>
        <v>#REF!</v>
      </c>
      <c r="Q668" s="203" t="e">
        <f>#REF!*#REF!^5/(Conv!$I$5*Conv!$D$46)/10^6 +#REF!</f>
        <v>#REF!</v>
      </c>
      <c r="S668" s="177"/>
      <c r="T668" s="177"/>
      <c r="U668" s="177"/>
      <c r="V668" s="177"/>
      <c r="W668" s="177"/>
      <c r="X668" s="177"/>
      <c r="Y668" s="177"/>
      <c r="Z668" s="177"/>
      <c r="AA668" s="177"/>
      <c r="AB668" s="177"/>
      <c r="AC668" s="177"/>
    </row>
    <row r="669" spans="2:29">
      <c r="B669" s="158" t="str">
        <f>IF(OR(LEFT(Commodities!B$71,1)="*",LEFT(Technologies!B$521,1)="*"),"*","R6")</f>
        <v>*</v>
      </c>
      <c r="C669" s="158" t="e">
        <f>Technologies!C521</f>
        <v>#REF!</v>
      </c>
      <c r="D669" s="158" t="str">
        <f>Technologies!D521</f>
        <v>Delivery of Imported LPG to the Residential Sector</v>
      </c>
      <c r="E669" s="197" t="str">
        <f>Commodities!C$71</f>
        <v>LPGP1</v>
      </c>
      <c r="F669" s="197" t="e">
        <f>Commodities!C234</f>
        <v>#REF!</v>
      </c>
      <c r="G669" s="204">
        <v>1</v>
      </c>
      <c r="H669" s="203" t="e">
        <f>#REF!*#REF!^5/(Conv!$I$5*Conv!$D$46)/10^6 +#REF!</f>
        <v>#REF!</v>
      </c>
      <c r="I669" s="203" t="e">
        <f>#REF!*#REF!^5/(Conv!$I$5*Conv!$D$46)/10^6 +#REF!</f>
        <v>#REF!</v>
      </c>
      <c r="J669" s="203" t="e">
        <f>#REF!*#REF!^5/(Conv!$I$5*Conv!$D$46)/10^6 +#REF!</f>
        <v>#REF!</v>
      </c>
      <c r="K669" s="203" t="e">
        <f>#REF!*#REF!^5/(Conv!$I$5*Conv!$D$46)/10^6 +#REF!</f>
        <v>#REF!</v>
      </c>
      <c r="L669" s="203" t="e">
        <f>#REF!*#REF!^5/(Conv!$I$5*Conv!$D$46)/10^6 +#REF!</f>
        <v>#REF!</v>
      </c>
      <c r="M669" s="203" t="e">
        <f>#REF!*#REF!^5/(Conv!$I$5*Conv!$D$46)/10^6 +#REF!</f>
        <v>#REF!</v>
      </c>
      <c r="N669" s="203" t="e">
        <f>#REF!*#REF!^5/(Conv!$I$5*Conv!$D$46)/10^6 +#REF!</f>
        <v>#REF!</v>
      </c>
      <c r="O669" s="203" t="e">
        <f>#REF!*#REF!^5/(Conv!$I$5*Conv!$D$46)/10^6 +#REF!</f>
        <v>#REF!</v>
      </c>
      <c r="P669" s="203" t="e">
        <f>#REF!*#REF!^5/(Conv!$I$5*Conv!$D$46)/10^6 +#REF!</f>
        <v>#REF!</v>
      </c>
      <c r="Q669" s="203" t="e">
        <f>#REF!*#REF!^5/(Conv!$I$5*Conv!$D$46)/10^6 +#REF!</f>
        <v>#REF!</v>
      </c>
      <c r="S669" s="177"/>
      <c r="T669" s="177"/>
      <c r="U669" s="177"/>
      <c r="V669" s="177"/>
      <c r="W669" s="177"/>
      <c r="X669" s="177"/>
      <c r="Y669" s="177"/>
      <c r="Z669" s="177"/>
      <c r="AA669" s="177"/>
      <c r="AB669" s="177"/>
      <c r="AC669" s="177"/>
    </row>
    <row r="670" spans="2:29">
      <c r="B670" s="158" t="str">
        <f>IF(OR(LEFT(Commodities!B$71,1)="*",LEFT(Technologies!B$522,1)="*"),"*","R6")</f>
        <v>*</v>
      </c>
      <c r="C670" s="158" t="e">
        <f>Technologies!C522</f>
        <v>#REF!</v>
      </c>
      <c r="D670" s="158" t="str">
        <f>Technologies!D522</f>
        <v>Delivery of Imported LPG to the Commercial Sector</v>
      </c>
      <c r="E670" s="197" t="str">
        <f>Commodities!C$71</f>
        <v>LPGP1</v>
      </c>
      <c r="F670" s="197" t="e">
        <f>Commodities!C235</f>
        <v>#REF!</v>
      </c>
      <c r="G670" s="204">
        <v>1</v>
      </c>
      <c r="H670" s="203" t="e">
        <f>#REF!*#REF!^5/(Conv!$I$5*Conv!$D$46)/10^6 +#REF!</f>
        <v>#REF!</v>
      </c>
      <c r="I670" s="203" t="e">
        <f>#REF!*#REF!^5/(Conv!$I$5*Conv!$D$46)/10^6 +#REF!</f>
        <v>#REF!</v>
      </c>
      <c r="J670" s="203" t="e">
        <f>#REF!*#REF!^5/(Conv!$I$5*Conv!$D$46)/10^6 +#REF!</f>
        <v>#REF!</v>
      </c>
      <c r="K670" s="203" t="e">
        <f>#REF!*#REF!^5/(Conv!$I$5*Conv!$D$46)/10^6 +#REF!</f>
        <v>#REF!</v>
      </c>
      <c r="L670" s="203" t="e">
        <f>#REF!*#REF!^5/(Conv!$I$5*Conv!$D$46)/10^6 +#REF!</f>
        <v>#REF!</v>
      </c>
      <c r="M670" s="203" t="e">
        <f>#REF!*#REF!^5/(Conv!$I$5*Conv!$D$46)/10^6 +#REF!</f>
        <v>#REF!</v>
      </c>
      <c r="N670" s="203" t="e">
        <f>#REF!*#REF!^5/(Conv!$I$5*Conv!$D$46)/10^6 +#REF!</f>
        <v>#REF!</v>
      </c>
      <c r="O670" s="203" t="e">
        <f>#REF!*#REF!^5/(Conv!$I$5*Conv!$D$46)/10^6 +#REF!</f>
        <v>#REF!</v>
      </c>
      <c r="P670" s="203" t="e">
        <f>#REF!*#REF!^5/(Conv!$I$5*Conv!$D$46)/10^6 +#REF!</f>
        <v>#REF!</v>
      </c>
      <c r="Q670" s="203" t="e">
        <f>#REF!*#REF!^5/(Conv!$I$5*Conv!$D$46)/10^6 +#REF!</f>
        <v>#REF!</v>
      </c>
      <c r="S670" s="177"/>
      <c r="T670" s="177"/>
      <c r="U670" s="177"/>
      <c r="V670" s="177"/>
      <c r="W670" s="177"/>
      <c r="X670" s="177"/>
      <c r="Y670" s="177"/>
      <c r="Z670" s="177"/>
      <c r="AA670" s="177"/>
      <c r="AB670" s="177"/>
      <c r="AC670" s="177"/>
    </row>
    <row r="671" spans="2:29">
      <c r="B671" s="158" t="str">
        <f>IF(OR(LEFT(Commodities!B$71,1)="*",LEFT(Technologies!B$523,1)="*"),"*","R6")</f>
        <v>*</v>
      </c>
      <c r="C671" s="158" t="e">
        <f>Technologies!C523</f>
        <v>#REF!</v>
      </c>
      <c r="D671" s="158" t="str">
        <f>Technologies!D523</f>
        <v>Delivery of Imported LPG to the Industrial Sector</v>
      </c>
      <c r="E671" s="197" t="str">
        <f>Commodities!C$71</f>
        <v>LPGP1</v>
      </c>
      <c r="F671" s="197" t="e">
        <f>Commodities!C236</f>
        <v>#REF!</v>
      </c>
      <c r="G671" s="204">
        <v>1</v>
      </c>
      <c r="H671" s="203" t="e">
        <f>#REF!*#REF!^5/(Conv!$I$5*Conv!$D$46)/10^6 +#REF!</f>
        <v>#REF!</v>
      </c>
      <c r="I671" s="203" t="e">
        <f>#REF!*#REF!^5/(Conv!$I$5*Conv!$D$46)/10^6 +#REF!</f>
        <v>#REF!</v>
      </c>
      <c r="J671" s="203" t="e">
        <f>#REF!*#REF!^5/(Conv!$I$5*Conv!$D$46)/10^6 +#REF!</f>
        <v>#REF!</v>
      </c>
      <c r="K671" s="203" t="e">
        <f>#REF!*#REF!^5/(Conv!$I$5*Conv!$D$46)/10^6 +#REF!</f>
        <v>#REF!</v>
      </c>
      <c r="L671" s="203" t="e">
        <f>#REF!*#REF!^5/(Conv!$I$5*Conv!$D$46)/10^6 +#REF!</f>
        <v>#REF!</v>
      </c>
      <c r="M671" s="203" t="e">
        <f>#REF!*#REF!^5/(Conv!$I$5*Conv!$D$46)/10^6 +#REF!</f>
        <v>#REF!</v>
      </c>
      <c r="N671" s="203" t="e">
        <f>#REF!*#REF!^5/(Conv!$I$5*Conv!$D$46)/10^6 +#REF!</f>
        <v>#REF!</v>
      </c>
      <c r="O671" s="203" t="e">
        <f>#REF!*#REF!^5/(Conv!$I$5*Conv!$D$46)/10^6 +#REF!</f>
        <v>#REF!</v>
      </c>
      <c r="P671" s="203" t="e">
        <f>#REF!*#REF!^5/(Conv!$I$5*Conv!$D$46)/10^6 +#REF!</f>
        <v>#REF!</v>
      </c>
      <c r="Q671" s="203" t="e">
        <f>#REF!*#REF!^5/(Conv!$I$5*Conv!$D$46)/10^6 +#REF!</f>
        <v>#REF!</v>
      </c>
      <c r="S671" s="177"/>
      <c r="T671" s="177"/>
      <c r="U671" s="177"/>
      <c r="V671" s="177"/>
      <c r="W671" s="177"/>
      <c r="X671" s="177"/>
      <c r="Y671" s="177"/>
      <c r="Z671" s="177"/>
      <c r="AA671" s="177"/>
      <c r="AB671" s="177"/>
      <c r="AC671" s="177"/>
    </row>
    <row r="672" spans="2:29">
      <c r="B672" s="158" t="str">
        <f>IF(OR(LEFT(Commodities!B$71,1)="*",LEFT(Technologies!B$524,1)="*"),"*","R6")</f>
        <v>*</v>
      </c>
      <c r="C672" s="158" t="e">
        <f>Technologies!C524</f>
        <v>#REF!</v>
      </c>
      <c r="D672" s="158" t="str">
        <f>Technologies!D524</f>
        <v>Delivery of Imported LPG to the Transportation Sector</v>
      </c>
      <c r="E672" s="197" t="str">
        <f>Commodities!C$71</f>
        <v>LPGP1</v>
      </c>
      <c r="F672" s="197" t="e">
        <f>Commodities!C237</f>
        <v>#REF!</v>
      </c>
      <c r="G672" s="204">
        <v>1</v>
      </c>
      <c r="H672" s="203" t="e">
        <f>#REF!*#REF!^5/(Conv!$I$5*Conv!$D$46)/10^6 +#REF!</f>
        <v>#REF!</v>
      </c>
      <c r="I672" s="203" t="e">
        <f>#REF!*#REF!^5/(Conv!$I$5*Conv!$D$46)/10^6 +#REF!</f>
        <v>#REF!</v>
      </c>
      <c r="J672" s="203" t="e">
        <f>#REF!*#REF!^5/(Conv!$I$5*Conv!$D$46)/10^6 +#REF!</f>
        <v>#REF!</v>
      </c>
      <c r="K672" s="203" t="e">
        <f>#REF!*#REF!^5/(Conv!$I$5*Conv!$D$46)/10^6 +#REF!</f>
        <v>#REF!</v>
      </c>
      <c r="L672" s="203" t="e">
        <f>#REF!*#REF!^5/(Conv!$I$5*Conv!$D$46)/10^6 +#REF!</f>
        <v>#REF!</v>
      </c>
      <c r="M672" s="203" t="e">
        <f>#REF!*#REF!^5/(Conv!$I$5*Conv!$D$46)/10^6 +#REF!</f>
        <v>#REF!</v>
      </c>
      <c r="N672" s="203" t="e">
        <f>#REF!*#REF!^5/(Conv!$I$5*Conv!$D$46)/10^6 +#REF!</f>
        <v>#REF!</v>
      </c>
      <c r="O672" s="203" t="e">
        <f>#REF!*#REF!^5/(Conv!$I$5*Conv!$D$46)/10^6 +#REF!</f>
        <v>#REF!</v>
      </c>
      <c r="P672" s="203" t="e">
        <f>#REF!*#REF!^5/(Conv!$I$5*Conv!$D$46)/10^6 +#REF!</f>
        <v>#REF!</v>
      </c>
      <c r="Q672" s="203" t="e">
        <f>#REF!*#REF!^5/(Conv!$I$5*Conv!$D$46)/10^6 +#REF!</f>
        <v>#REF!</v>
      </c>
      <c r="S672" s="177"/>
      <c r="T672" s="177"/>
      <c r="U672" s="177"/>
      <c r="V672" s="177"/>
      <c r="W672" s="177"/>
      <c r="X672" s="177"/>
      <c r="Y672" s="177"/>
      <c r="Z672" s="177"/>
      <c r="AA672" s="177"/>
      <c r="AB672" s="177"/>
      <c r="AC672" s="177"/>
    </row>
    <row r="673" spans="2:29">
      <c r="B673" s="158" t="str">
        <f>IF(LEFT(Technologies!B$525,1)="*","*","R6")</f>
        <v>*</v>
      </c>
      <c r="C673" s="158" t="e">
        <f>Technologies!C525</f>
        <v>#REF!</v>
      </c>
      <c r="D673" s="158" t="str">
        <f>Technologies!D525</f>
        <v>Delivery of Imported Methanol</v>
      </c>
      <c r="E673" s="197" t="str">
        <f>Commodities!C$72</f>
        <v>MTHP1</v>
      </c>
      <c r="F673" s="197" t="e">
        <f>Commodities!C238</f>
        <v>#REF!</v>
      </c>
      <c r="G673" s="204">
        <v>1</v>
      </c>
      <c r="H673" s="203" t="e">
        <f>#REF!*#REF!^5/(Conv!$I$5*Conv!$D$46)/10^6 +#REF!</f>
        <v>#REF!</v>
      </c>
      <c r="I673" s="203" t="e">
        <f>#REF!*#REF!^5/(Conv!$I$5*Conv!$D$46)/10^6 +#REF!</f>
        <v>#REF!</v>
      </c>
      <c r="J673" s="203" t="e">
        <f>#REF!*#REF!^5/(Conv!$I$5*Conv!$D$46)/10^6 +#REF!</f>
        <v>#REF!</v>
      </c>
      <c r="K673" s="203" t="e">
        <f>#REF!*#REF!^5/(Conv!$I$5*Conv!$D$46)/10^6 +#REF!</f>
        <v>#REF!</v>
      </c>
      <c r="L673" s="203" t="e">
        <f>#REF!*#REF!^5/(Conv!$I$5*Conv!$D$46)/10^6 +#REF!</f>
        <v>#REF!</v>
      </c>
      <c r="M673" s="203" t="e">
        <f>#REF!*#REF!^5/(Conv!$I$5*Conv!$D$46)/10^6 +#REF!</f>
        <v>#REF!</v>
      </c>
      <c r="N673" s="203" t="e">
        <f>#REF!*#REF!^5/(Conv!$I$5*Conv!$D$46)/10^6 +#REF!</f>
        <v>#REF!</v>
      </c>
      <c r="O673" s="203" t="e">
        <f>#REF!*#REF!^5/(Conv!$I$5*Conv!$D$46)/10^6 +#REF!</f>
        <v>#REF!</v>
      </c>
      <c r="P673" s="203" t="e">
        <f>#REF!*#REF!^5/(Conv!$I$5*Conv!$D$46)/10^6 +#REF!</f>
        <v>#REF!</v>
      </c>
      <c r="Q673" s="203" t="e">
        <f>#REF!*#REF!^5/(Conv!$I$5*Conv!$D$46)/10^6 +#REF!</f>
        <v>#REF!</v>
      </c>
      <c r="S673" s="177"/>
      <c r="T673" s="177"/>
      <c r="U673" s="177"/>
      <c r="V673" s="177"/>
      <c r="W673" s="177"/>
      <c r="X673" s="177"/>
      <c r="Y673" s="177"/>
      <c r="Z673" s="177"/>
      <c r="AA673" s="177"/>
      <c r="AB673" s="177"/>
      <c r="AC673" s="177"/>
    </row>
    <row r="674" spans="2:29">
      <c r="B674" s="158" t="str">
        <f>IF(OR(LEFT(Commodities!B$239,1)="*",LEFT(Technologies!B$526,1)="*"),"*","R6")</f>
        <v>*</v>
      </c>
      <c r="C674" s="158" t="e">
        <f>Technologies!C526</f>
        <v>#REF!</v>
      </c>
      <c r="D674" s="158" t="str">
        <f>Technologies!D526</f>
        <v>Delivery of Imported Petrochemical Feedstocks</v>
      </c>
      <c r="E674" s="197" t="str">
        <f>Commodities!C$73</f>
        <v>PFSP1</v>
      </c>
      <c r="F674" s="197" t="e">
        <f>Commodities!C239</f>
        <v>#REF!</v>
      </c>
      <c r="G674" s="204">
        <v>1</v>
      </c>
      <c r="H674" s="203" t="e">
        <f>#REF!*#REF!^5/(Conv!$I$5*Conv!$D$46)/10^6 +#REF!</f>
        <v>#REF!</v>
      </c>
      <c r="I674" s="203" t="e">
        <f>#REF!*#REF!^5/(Conv!$I$5*Conv!$D$46)/10^6 +#REF!</f>
        <v>#REF!</v>
      </c>
      <c r="J674" s="203" t="e">
        <f>#REF!*#REF!^5/(Conv!$I$5*Conv!$D$46)/10^6 +#REF!</f>
        <v>#REF!</v>
      </c>
      <c r="K674" s="203" t="e">
        <f>#REF!*#REF!^5/(Conv!$I$5*Conv!$D$46)/10^6 +#REF!</f>
        <v>#REF!</v>
      </c>
      <c r="L674" s="203" t="e">
        <f>#REF!*#REF!^5/(Conv!$I$5*Conv!$D$46)/10^6 +#REF!</f>
        <v>#REF!</v>
      </c>
      <c r="M674" s="203" t="e">
        <f>#REF!*#REF!^5/(Conv!$I$5*Conv!$D$46)/10^6 +#REF!</f>
        <v>#REF!</v>
      </c>
      <c r="N674" s="203" t="e">
        <f>#REF!*#REF!^5/(Conv!$I$5*Conv!$D$46)/10^6 +#REF!</f>
        <v>#REF!</v>
      </c>
      <c r="O674" s="203" t="e">
        <f>#REF!*#REF!^5/(Conv!$I$5*Conv!$D$46)/10^6 +#REF!</f>
        <v>#REF!</v>
      </c>
      <c r="P674" s="203" t="e">
        <f>#REF!*#REF!^5/(Conv!$I$5*Conv!$D$46)/10^6 +#REF!</f>
        <v>#REF!</v>
      </c>
      <c r="Q674" s="203" t="e">
        <f>#REF!*#REF!^5/(Conv!$I$5*Conv!$D$46)/10^6 +#REF!</f>
        <v>#REF!</v>
      </c>
      <c r="S674" s="177"/>
      <c r="T674" s="177"/>
      <c r="U674" s="177"/>
      <c r="V674" s="177"/>
      <c r="W674" s="177"/>
      <c r="X674" s="177"/>
      <c r="Y674" s="177"/>
      <c r="Z674" s="177"/>
      <c r="AA674" s="177"/>
      <c r="AB674" s="177"/>
      <c r="AC674" s="177"/>
    </row>
    <row r="675" spans="2:29">
      <c r="B675" s="158" t="str">
        <f>IF(OR(LEFT(Commodities!B$75,1)="*",LEFT(Technologies!B$527,1)="*"),"*","R6")</f>
        <v>*</v>
      </c>
      <c r="C675" s="158" t="str">
        <f>Technologies!C527</f>
        <v>XIRESRFLP1</v>
      </c>
      <c r="D675" s="158" t="str">
        <f>Technologies!D527</f>
        <v>Delivery of Imported Low Sulfur Residual Fuel Oil to Residential Sector</v>
      </c>
      <c r="E675" s="197" t="str">
        <f>Commodities!C$75</f>
        <v>RFLP1</v>
      </c>
      <c r="F675" s="197" t="str">
        <f>Commodities!C240</f>
        <v>RESRFL</v>
      </c>
      <c r="G675" s="204">
        <v>1</v>
      </c>
      <c r="H675" s="203" t="e">
        <f>#REF!*#REF!^5/(Conv!$I$5*Conv!$D$46)/10^6 +#REF!</f>
        <v>#REF!</v>
      </c>
      <c r="I675" s="203" t="e">
        <f>#REF!*#REF!^5/(Conv!$I$5*Conv!$D$46)/10^6 +#REF!</f>
        <v>#REF!</v>
      </c>
      <c r="J675" s="203" t="e">
        <f>#REF!*#REF!^5/(Conv!$I$5*Conv!$D$46)/10^6 +#REF!</f>
        <v>#REF!</v>
      </c>
      <c r="K675" s="203" t="e">
        <f>#REF!*#REF!^5/(Conv!$I$5*Conv!$D$46)/10^6 +#REF!</f>
        <v>#REF!</v>
      </c>
      <c r="L675" s="203" t="e">
        <f>#REF!*#REF!^5/(Conv!$I$5*Conv!$D$46)/10^6 +#REF!</f>
        <v>#REF!</v>
      </c>
      <c r="M675" s="203" t="e">
        <f>#REF!*#REF!^5/(Conv!$I$5*Conv!$D$46)/10^6 +#REF!</f>
        <v>#REF!</v>
      </c>
      <c r="N675" s="203" t="e">
        <f>#REF!*#REF!^5/(Conv!$I$5*Conv!$D$46)/10^6 +#REF!</f>
        <v>#REF!</v>
      </c>
      <c r="O675" s="203" t="e">
        <f>#REF!*#REF!^5/(Conv!$I$5*Conv!$D$46)/10^6 +#REF!</f>
        <v>#REF!</v>
      </c>
      <c r="P675" s="203" t="e">
        <f>#REF!*#REF!^5/(Conv!$I$5*Conv!$D$46)/10^6 +#REF!</f>
        <v>#REF!</v>
      </c>
      <c r="Q675" s="203" t="e">
        <f>#REF!*#REF!^5/(Conv!$I$5*Conv!$D$46)/10^6 +#REF!</f>
        <v>#REF!</v>
      </c>
      <c r="S675" s="177"/>
      <c r="T675" s="177"/>
      <c r="U675" s="177"/>
      <c r="V675" s="177"/>
      <c r="W675" s="177"/>
      <c r="X675" s="177"/>
      <c r="Y675" s="177"/>
      <c r="Z675" s="177"/>
      <c r="AA675" s="177"/>
      <c r="AB675" s="177"/>
      <c r="AC675" s="177"/>
    </row>
    <row r="676" spans="2:29">
      <c r="B676" s="158" t="str">
        <f>IF(OR(LEFT(Commodities!B$75,1)="*",LEFT(Technologies!B$528,1)="*"),"*","R6")</f>
        <v>*</v>
      </c>
      <c r="C676" s="158" t="e">
        <f>Technologies!C528</f>
        <v>#REF!</v>
      </c>
      <c r="D676" s="158" t="str">
        <f>Technologies!D528</f>
        <v>Delivery of Imported Low Sulfur Residual Fuel Oil to Commercial Sector</v>
      </c>
      <c r="E676" s="197" t="str">
        <f>Commodities!C$75</f>
        <v>RFLP1</v>
      </c>
      <c r="F676" s="197" t="e">
        <f>Commodities!C241</f>
        <v>#REF!</v>
      </c>
      <c r="G676" s="204">
        <v>1</v>
      </c>
      <c r="H676" s="203" t="e">
        <f>#REF!*#REF!^5/(Conv!$I$5*Conv!$D$46)/10^6 +#REF!</f>
        <v>#REF!</v>
      </c>
      <c r="I676" s="203" t="e">
        <f>#REF!*#REF!^5/(Conv!$I$5*Conv!$D$46)/10^6 +#REF!</f>
        <v>#REF!</v>
      </c>
      <c r="J676" s="203" t="e">
        <f>#REF!*#REF!^5/(Conv!$I$5*Conv!$D$46)/10^6 +#REF!</f>
        <v>#REF!</v>
      </c>
      <c r="K676" s="203" t="e">
        <f>#REF!*#REF!^5/(Conv!$I$5*Conv!$D$46)/10^6 +#REF!</f>
        <v>#REF!</v>
      </c>
      <c r="L676" s="203" t="e">
        <f>#REF!*#REF!^5/(Conv!$I$5*Conv!$D$46)/10^6 +#REF!</f>
        <v>#REF!</v>
      </c>
      <c r="M676" s="203" t="e">
        <f>#REF!*#REF!^5/(Conv!$I$5*Conv!$D$46)/10^6 +#REF!</f>
        <v>#REF!</v>
      </c>
      <c r="N676" s="203" t="e">
        <f>#REF!*#REF!^5/(Conv!$I$5*Conv!$D$46)/10^6 +#REF!</f>
        <v>#REF!</v>
      </c>
      <c r="O676" s="203" t="e">
        <f>#REF!*#REF!^5/(Conv!$I$5*Conv!$D$46)/10^6 +#REF!</f>
        <v>#REF!</v>
      </c>
      <c r="P676" s="203" t="e">
        <f>#REF!*#REF!^5/(Conv!$I$5*Conv!$D$46)/10^6 +#REF!</f>
        <v>#REF!</v>
      </c>
      <c r="Q676" s="203" t="e">
        <f>#REF!*#REF!^5/(Conv!$I$5*Conv!$D$46)/10^6 +#REF!</f>
        <v>#REF!</v>
      </c>
      <c r="S676" s="177"/>
      <c r="T676" s="177"/>
      <c r="U676" s="177"/>
      <c r="V676" s="177"/>
      <c r="W676" s="177"/>
      <c r="X676" s="177"/>
      <c r="Y676" s="177"/>
      <c r="Z676" s="177"/>
      <c r="AA676" s="177"/>
      <c r="AB676" s="177"/>
      <c r="AC676" s="177"/>
    </row>
    <row r="677" spans="2:29">
      <c r="B677" s="158" t="str">
        <f>IF(OR(LEFT(Commodities!B$75,1)="*",LEFT(Technologies!B$529,1)="*"),"*","R6")</f>
        <v>R6</v>
      </c>
      <c r="C677" s="158" t="e">
        <f>Technologies!C529</f>
        <v>#REF!</v>
      </c>
      <c r="D677" s="158" t="str">
        <f>Technologies!D529</f>
        <v>Delivery of Imported Low Sulfur Residual Fuel Oil to Industrial Sector</v>
      </c>
      <c r="E677" s="197" t="str">
        <f>Commodities!C$75</f>
        <v>RFLP1</v>
      </c>
      <c r="F677" s="197" t="e">
        <f>Commodities!C242</f>
        <v>#REF!</v>
      </c>
      <c r="G677" s="204">
        <v>1</v>
      </c>
      <c r="H677" s="203" t="e">
        <f>#REF!*#REF!^5/(Conv!$I$5*Conv!$D$46)/10^6 +#REF!</f>
        <v>#REF!</v>
      </c>
      <c r="I677" s="203" t="e">
        <f>#REF!*#REF!^5/(Conv!$I$5*Conv!$D$46)/10^6 +#REF!</f>
        <v>#REF!</v>
      </c>
      <c r="J677" s="203" t="e">
        <f>#REF!*#REF!^5/(Conv!$I$5*Conv!$D$46)/10^6 +#REF!</f>
        <v>#REF!</v>
      </c>
      <c r="K677" s="203" t="e">
        <f>#REF!*#REF!^5/(Conv!$I$5*Conv!$D$46)/10^6 +#REF!</f>
        <v>#REF!</v>
      </c>
      <c r="L677" s="203" t="e">
        <f>#REF!*#REF!^5/(Conv!$I$5*Conv!$D$46)/10^6 +#REF!</f>
        <v>#REF!</v>
      </c>
      <c r="M677" s="203" t="e">
        <f>#REF!*#REF!^5/(Conv!$I$5*Conv!$D$46)/10^6 +#REF!</f>
        <v>#REF!</v>
      </c>
      <c r="N677" s="203" t="e">
        <f>#REF!*#REF!^5/(Conv!$I$5*Conv!$D$46)/10^6 +#REF!</f>
        <v>#REF!</v>
      </c>
      <c r="O677" s="203" t="e">
        <f>#REF!*#REF!^5/(Conv!$I$5*Conv!$D$46)/10^6 +#REF!</f>
        <v>#REF!</v>
      </c>
      <c r="P677" s="203" t="e">
        <f>#REF!*#REF!^5/(Conv!$I$5*Conv!$D$46)/10^6 +#REF!</f>
        <v>#REF!</v>
      </c>
      <c r="Q677" s="203" t="e">
        <f>#REF!*#REF!^5/(Conv!$I$5*Conv!$D$46)/10^6 +#REF!</f>
        <v>#REF!</v>
      </c>
      <c r="S677" s="177"/>
      <c r="T677" s="177"/>
      <c r="U677" s="177"/>
      <c r="V677" s="177"/>
      <c r="W677" s="177"/>
      <c r="X677" s="177"/>
      <c r="Y677" s="177"/>
      <c r="Z677" s="177"/>
      <c r="AA677" s="177"/>
      <c r="AB677" s="177"/>
      <c r="AC677" s="177"/>
    </row>
    <row r="678" spans="2:29">
      <c r="B678" s="158" t="str">
        <f>IF(OR(LEFT(Commodities!B$75,1)="*",LEFT(Technologies!B$530,1)="*"),"*","R6")</f>
        <v>*</v>
      </c>
      <c r="C678" s="158" t="e">
        <f>Technologies!C530</f>
        <v>#REF!</v>
      </c>
      <c r="D678" s="158" t="str">
        <f>Technologies!D530</f>
        <v>Delivery of Imported Low Sulfur Residual Fuel Oil to Electricity Sector</v>
      </c>
      <c r="E678" s="197" t="str">
        <f>Commodities!C$75</f>
        <v>RFLP1</v>
      </c>
      <c r="F678" s="197" t="e">
        <f>Commodities!C243</f>
        <v>#REF!</v>
      </c>
      <c r="G678" s="204">
        <v>1</v>
      </c>
      <c r="H678" s="203" t="e">
        <f>#REF!*#REF!^5/(Conv!$I$5*Conv!$D$46)/10^6 +#REF!</f>
        <v>#REF!</v>
      </c>
      <c r="I678" s="203" t="e">
        <f>#REF!*#REF!^5/(Conv!$I$5*Conv!$D$46)/10^6 +#REF!</f>
        <v>#REF!</v>
      </c>
      <c r="J678" s="203" t="e">
        <f>#REF!*#REF!^5/(Conv!$I$5*Conv!$D$46)/10^6 +#REF!</f>
        <v>#REF!</v>
      </c>
      <c r="K678" s="203" t="e">
        <f>#REF!*#REF!^5/(Conv!$I$5*Conv!$D$46)/10^6 +#REF!</f>
        <v>#REF!</v>
      </c>
      <c r="L678" s="203" t="e">
        <f>#REF!*#REF!^5/(Conv!$I$5*Conv!$D$46)/10^6 +#REF!</f>
        <v>#REF!</v>
      </c>
      <c r="M678" s="203" t="e">
        <f>#REF!*#REF!^5/(Conv!$I$5*Conv!$D$46)/10^6 +#REF!</f>
        <v>#REF!</v>
      </c>
      <c r="N678" s="203" t="e">
        <f>#REF!*#REF!^5/(Conv!$I$5*Conv!$D$46)/10^6 +#REF!</f>
        <v>#REF!</v>
      </c>
      <c r="O678" s="203" t="e">
        <f>#REF!*#REF!^5/(Conv!$I$5*Conv!$D$46)/10^6 +#REF!</f>
        <v>#REF!</v>
      </c>
      <c r="P678" s="203" t="e">
        <f>#REF!*#REF!^5/(Conv!$I$5*Conv!$D$46)/10^6 +#REF!</f>
        <v>#REF!</v>
      </c>
      <c r="Q678" s="203" t="e">
        <f>#REF!*#REF!^5/(Conv!$I$5*Conv!$D$46)/10^6 +#REF!</f>
        <v>#REF!</v>
      </c>
      <c r="S678" s="177"/>
      <c r="T678" s="177"/>
      <c r="U678" s="177"/>
      <c r="V678" s="177"/>
      <c r="W678" s="177"/>
      <c r="X678" s="177"/>
      <c r="Y678" s="177"/>
      <c r="Z678" s="177"/>
      <c r="AA678" s="177"/>
      <c r="AB678" s="177"/>
      <c r="AC678" s="177"/>
    </row>
    <row r="679" spans="2:29">
      <c r="B679" s="158" t="str">
        <f>IF(OR(LEFT(Commodities!B$74,1)="*",LEFT(Technologies!B$531,1)="*"),"*","R6")</f>
        <v>*</v>
      </c>
      <c r="C679" s="158" t="e">
        <f>Technologies!C531</f>
        <v>#REF!</v>
      </c>
      <c r="D679" s="158" t="str">
        <f>Technologies!D531</f>
        <v>Delivery of Imported High Sulfur Residual Fuel Oil to Transportation Sector</v>
      </c>
      <c r="E679" s="197" t="str">
        <f>Commodities!C$74</f>
        <v>RFHP1</v>
      </c>
      <c r="F679" s="197" t="e">
        <f>Commodities!C244</f>
        <v>#REF!</v>
      </c>
      <c r="G679" s="204">
        <v>1</v>
      </c>
      <c r="H679" s="203" t="e">
        <f>#REF!*#REF!^5/(Conv!$I$5*Conv!$D$46)/10^6 +#REF!</f>
        <v>#REF!</v>
      </c>
      <c r="I679" s="203" t="e">
        <f>#REF!*#REF!^5/(Conv!$I$5*Conv!$D$46)/10^6 +#REF!</f>
        <v>#REF!</v>
      </c>
      <c r="J679" s="203" t="e">
        <f>#REF!*#REF!^5/(Conv!$I$5*Conv!$D$46)/10^6 +#REF!</f>
        <v>#REF!</v>
      </c>
      <c r="K679" s="203" t="e">
        <f>#REF!*#REF!^5/(Conv!$I$5*Conv!$D$46)/10^6 +#REF!</f>
        <v>#REF!</v>
      </c>
      <c r="L679" s="203" t="e">
        <f>#REF!*#REF!^5/(Conv!$I$5*Conv!$D$46)/10^6 +#REF!</f>
        <v>#REF!</v>
      </c>
      <c r="M679" s="203" t="e">
        <f>#REF!*#REF!^5/(Conv!$I$5*Conv!$D$46)/10^6 +#REF!</f>
        <v>#REF!</v>
      </c>
      <c r="N679" s="203" t="e">
        <f>#REF!*#REF!^5/(Conv!$I$5*Conv!$D$46)/10^6 +#REF!</f>
        <v>#REF!</v>
      </c>
      <c r="O679" s="203" t="e">
        <f>#REF!*#REF!^5/(Conv!$I$5*Conv!$D$46)/10^6 +#REF!</f>
        <v>#REF!</v>
      </c>
      <c r="P679" s="203" t="e">
        <f>#REF!*#REF!^5/(Conv!$I$5*Conv!$D$46)/10^6 +#REF!</f>
        <v>#REF!</v>
      </c>
      <c r="Q679" s="203" t="e">
        <f>#REF!*#REF!^5/(Conv!$I$5*Conv!$D$46)/10^6 +#REF!</f>
        <v>#REF!</v>
      </c>
      <c r="S679" s="177"/>
      <c r="T679" s="177"/>
      <c r="U679" s="177"/>
      <c r="V679" s="177"/>
      <c r="W679" s="177"/>
      <c r="X679" s="177"/>
      <c r="Y679" s="177"/>
      <c r="Z679" s="177"/>
      <c r="AA679" s="177"/>
      <c r="AB679" s="177"/>
      <c r="AC679" s="177"/>
    </row>
    <row r="680" spans="2:29">
      <c r="B680" s="158" t="str">
        <f>IF(OR(LEFT(Commodities!B$74,1)="*",LEFT(Technologies!B$532,1)="*"),"*","R6")</f>
        <v>*</v>
      </c>
      <c r="C680" s="158" t="e">
        <f>Technologies!C532</f>
        <v>#REF!</v>
      </c>
      <c r="D680" s="158" t="str">
        <f>Technologies!D532</f>
        <v>Delivery of Imported High Sulfur Residual Fuel Oil to Electricity Sector</v>
      </c>
      <c r="E680" s="197" t="str">
        <f>Commodities!C$74</f>
        <v>RFHP1</v>
      </c>
      <c r="F680" s="197" t="e">
        <f>Commodities!C245</f>
        <v>#REF!</v>
      </c>
      <c r="G680" s="204">
        <v>1</v>
      </c>
      <c r="H680" s="203" t="e">
        <f>#REF!*#REF!^5/(Conv!$I$5*Conv!$D$46)/10^6 +#REF!</f>
        <v>#REF!</v>
      </c>
      <c r="I680" s="203" t="e">
        <f>#REF!*#REF!^5/(Conv!$I$5*Conv!$D$46)/10^6 +#REF!</f>
        <v>#REF!</v>
      </c>
      <c r="J680" s="203" t="e">
        <f>#REF!*#REF!^5/(Conv!$I$5*Conv!$D$46)/10^6 +#REF!</f>
        <v>#REF!</v>
      </c>
      <c r="K680" s="203" t="e">
        <f>#REF!*#REF!^5/(Conv!$I$5*Conv!$D$46)/10^6 +#REF!</f>
        <v>#REF!</v>
      </c>
      <c r="L680" s="203" t="e">
        <f>#REF!*#REF!^5/(Conv!$I$5*Conv!$D$46)/10^6 +#REF!</f>
        <v>#REF!</v>
      </c>
      <c r="M680" s="203" t="e">
        <f>#REF!*#REF!^5/(Conv!$I$5*Conv!$D$46)/10^6 +#REF!</f>
        <v>#REF!</v>
      </c>
      <c r="N680" s="203" t="e">
        <f>#REF!*#REF!^5/(Conv!$I$5*Conv!$D$46)/10^6 +#REF!</f>
        <v>#REF!</v>
      </c>
      <c r="O680" s="203" t="e">
        <f>#REF!*#REF!^5/(Conv!$I$5*Conv!$D$46)/10^6 +#REF!</f>
        <v>#REF!</v>
      </c>
      <c r="P680" s="203" t="e">
        <f>#REF!*#REF!^5/(Conv!$I$5*Conv!$D$46)/10^6 +#REF!</f>
        <v>#REF!</v>
      </c>
      <c r="Q680" s="203" t="e">
        <f>#REF!*#REF!^5/(Conv!$I$5*Conv!$D$46)/10^6 +#REF!</f>
        <v>#REF!</v>
      </c>
      <c r="S680" s="177"/>
      <c r="T680" s="177"/>
      <c r="U680" s="177"/>
      <c r="V680" s="177"/>
      <c r="W680" s="177"/>
      <c r="X680" s="177"/>
      <c r="Y680" s="177"/>
      <c r="Z680" s="177"/>
      <c r="AA680" s="177"/>
      <c r="AB680" s="177"/>
      <c r="AC680" s="177"/>
    </row>
    <row r="681" spans="2:29">
      <c r="B681" s="158" t="s">
        <v>398</v>
      </c>
      <c r="C681" s="158"/>
      <c r="D681" s="158"/>
      <c r="E681" s="197"/>
      <c r="F681" s="197"/>
      <c r="G681" s="204"/>
      <c r="H681" s="205"/>
      <c r="I681" s="205"/>
      <c r="J681" s="205"/>
      <c r="K681" s="205"/>
      <c r="L681" s="205"/>
      <c r="M681" s="205"/>
      <c r="N681" s="205"/>
      <c r="O681" s="205"/>
      <c r="P681" s="205"/>
      <c r="Q681" s="205"/>
    </row>
    <row r="684" spans="2:29" ht="17.25" customHeight="1">
      <c r="F684" s="192"/>
    </row>
    <row r="685" spans="2:29" ht="15.75" customHeight="1">
      <c r="B685" s="153" t="s">
        <v>541</v>
      </c>
      <c r="C685" s="153" t="s">
        <v>187</v>
      </c>
      <c r="D685" s="153" t="s">
        <v>188</v>
      </c>
      <c r="E685" s="153" t="s">
        <v>190</v>
      </c>
      <c r="F685" s="153" t="s">
        <v>191</v>
      </c>
      <c r="G685" s="153" t="s">
        <v>1157</v>
      </c>
      <c r="H685" s="153" t="s">
        <v>1159</v>
      </c>
      <c r="I685" s="153" t="s">
        <v>1160</v>
      </c>
      <c r="J685" s="153" t="s">
        <v>1161</v>
      </c>
      <c r="K685" s="153" t="s">
        <v>1162</v>
      </c>
      <c r="L685" s="153" t="s">
        <v>1163</v>
      </c>
      <c r="M685" s="153" t="s">
        <v>1164</v>
      </c>
      <c r="N685" s="153" t="s">
        <v>1165</v>
      </c>
      <c r="O685" s="153" t="s">
        <v>1166</v>
      </c>
      <c r="P685" s="153" t="s">
        <v>1167</v>
      </c>
      <c r="Q685" s="153" t="s">
        <v>1168</v>
      </c>
      <c r="S685" s="189"/>
      <c r="T685" s="189"/>
      <c r="U685" s="189"/>
      <c r="V685" s="189"/>
      <c r="W685" s="189"/>
      <c r="X685" s="189"/>
      <c r="Y685" s="189"/>
      <c r="Z685" s="189"/>
      <c r="AA685" s="189"/>
      <c r="AB685" s="189"/>
      <c r="AC685" s="189"/>
    </row>
    <row r="686" spans="2:29">
      <c r="B686" s="202" t="s">
        <v>1093</v>
      </c>
      <c r="C686" s="201"/>
      <c r="D686" s="201"/>
      <c r="E686" s="200"/>
      <c r="F686" s="200"/>
      <c r="G686" s="200"/>
      <c r="H686" s="201"/>
      <c r="I686" s="201"/>
      <c r="J686" s="201"/>
      <c r="K686" s="201"/>
      <c r="L686" s="201"/>
      <c r="M686" s="201"/>
      <c r="N686" s="201"/>
      <c r="O686" s="201"/>
      <c r="P686" s="201"/>
      <c r="Q686" s="201"/>
    </row>
    <row r="687" spans="2:29">
      <c r="B687" s="202" t="s">
        <v>1037</v>
      </c>
      <c r="C687" s="201"/>
      <c r="D687" s="201"/>
      <c r="E687" s="200"/>
      <c r="F687" s="200"/>
      <c r="G687" s="200"/>
      <c r="H687" s="201"/>
      <c r="I687" s="201"/>
      <c r="J687" s="201"/>
      <c r="K687" s="201"/>
      <c r="L687" s="201"/>
      <c r="M687" s="201"/>
      <c r="N687" s="201"/>
      <c r="O687" s="201"/>
      <c r="P687" s="201"/>
      <c r="Q687" s="201"/>
    </row>
    <row r="688" spans="2:29">
      <c r="B688" s="158" t="str">
        <f>IF(LEFT(Technologies!B$509,1)="*","*","R1")</f>
        <v>R1</v>
      </c>
      <c r="C688" s="158" t="e">
        <f>Technologies!C$534</f>
        <v>#REF!</v>
      </c>
      <c r="D688" s="158" t="str">
        <f>Technologies!D509</f>
        <v>Delivery of Imported Conventional Gasoline</v>
      </c>
      <c r="E688" s="197" t="str">
        <f>Commodities!C$80</f>
        <v>GSCP2</v>
      </c>
      <c r="F688" s="197" t="e">
        <f>Commodities!C222</f>
        <v>#REF!</v>
      </c>
      <c r="G688" s="204">
        <v>1</v>
      </c>
      <c r="H688" s="203" t="e">
        <f>#REF!*#REF!^5/(Conv!$I$5*Conv!$D$46)/10^6 +#REF!</f>
        <v>#REF!</v>
      </c>
      <c r="I688" s="203" t="e">
        <f>#REF!*#REF!^5/(Conv!$I$5*Conv!$D$46)/10^6 +#REF!</f>
        <v>#REF!</v>
      </c>
      <c r="J688" s="203" t="e">
        <f>#REF!*#REF!^5/(Conv!$I$5*Conv!$D$46)/10^6 +#REF!</f>
        <v>#REF!</v>
      </c>
      <c r="K688" s="203" t="e">
        <f>#REF!*#REF!^5/(Conv!$I$5*Conv!$D$46)/10^6 +#REF!</f>
        <v>#REF!</v>
      </c>
      <c r="L688" s="203" t="e">
        <f>#REF!*#REF!^5/(Conv!$I$5*Conv!$D$46)/10^6 +#REF!</f>
        <v>#REF!</v>
      </c>
      <c r="M688" s="203" t="e">
        <f>#REF!*#REF!^5/(Conv!$I$5*Conv!$D$46)/10^6 +#REF!</f>
        <v>#REF!</v>
      </c>
      <c r="N688" s="203" t="e">
        <f>#REF!*#REF!^5/(Conv!$I$5*Conv!$D$46)/10^6 +#REF!</f>
        <v>#REF!</v>
      </c>
      <c r="O688" s="203" t="e">
        <f>#REF!*#REF!^5/(Conv!$I$5*Conv!$D$46)/10^6 +#REF!</f>
        <v>#REF!</v>
      </c>
      <c r="P688" s="203" t="e">
        <f>#REF!*#REF!^5/(Conv!$I$5*Conv!$D$46)/10^6 +#REF!</f>
        <v>#REF!</v>
      </c>
      <c r="Q688" s="203" t="e">
        <f>#REF!*#REF!^5/(Conv!$I$5*Conv!$D$46)/10^6 +#REF!</f>
        <v>#REF!</v>
      </c>
      <c r="S688" s="177"/>
      <c r="T688" s="177"/>
      <c r="U688" s="177"/>
      <c r="V688" s="177"/>
      <c r="W688" s="177"/>
      <c r="X688" s="177"/>
      <c r="Y688" s="177"/>
      <c r="Z688" s="177"/>
      <c r="AA688" s="177"/>
      <c r="AB688" s="177"/>
      <c r="AC688" s="177"/>
    </row>
    <row r="689" spans="2:29">
      <c r="B689" s="158" t="str">
        <f>IF(LEFT(Technologies!B$510,1)="*","*","R1")</f>
        <v>R1</v>
      </c>
      <c r="C689" s="158" t="e">
        <f>Technologies!C$535</f>
        <v>#REF!</v>
      </c>
      <c r="D689" s="158" t="str">
        <f>Technologies!D510</f>
        <v>Delivery of Imported Reformulated Gasoline</v>
      </c>
      <c r="E689" s="197" t="str">
        <f>Commodities!C$81</f>
        <v>GSRP2</v>
      </c>
      <c r="F689" s="197" t="e">
        <f>Commodities!C223</f>
        <v>#REF!</v>
      </c>
      <c r="G689" s="204">
        <v>1</v>
      </c>
      <c r="H689" s="203" t="e">
        <f>#REF!*#REF!^5/(Conv!$I$5*Conv!$D$46)/10^6 +#REF!</f>
        <v>#REF!</v>
      </c>
      <c r="I689" s="203" t="e">
        <f>#REF!*#REF!^5/(Conv!$I$5*Conv!$D$46)/10^6 +#REF!</f>
        <v>#REF!</v>
      </c>
      <c r="J689" s="203" t="e">
        <f>#REF!*#REF!^5/(Conv!$I$5*Conv!$D$46)/10^6 +#REF!</f>
        <v>#REF!</v>
      </c>
      <c r="K689" s="203" t="e">
        <f>#REF!*#REF!^5/(Conv!$I$5*Conv!$D$46)/10^6 +#REF!</f>
        <v>#REF!</v>
      </c>
      <c r="L689" s="203" t="e">
        <f>#REF!*#REF!^5/(Conv!$I$5*Conv!$D$46)/10^6 +#REF!</f>
        <v>#REF!</v>
      </c>
      <c r="M689" s="203" t="e">
        <f>#REF!*#REF!^5/(Conv!$I$5*Conv!$D$46)/10^6 +#REF!</f>
        <v>#REF!</v>
      </c>
      <c r="N689" s="203" t="e">
        <f>#REF!*#REF!^5/(Conv!$I$5*Conv!$D$46)/10^6 +#REF!</f>
        <v>#REF!</v>
      </c>
      <c r="O689" s="203" t="e">
        <f>#REF!*#REF!^5/(Conv!$I$5*Conv!$D$46)/10^6 +#REF!</f>
        <v>#REF!</v>
      </c>
      <c r="P689" s="203" t="e">
        <f>#REF!*#REF!^5/(Conv!$I$5*Conv!$D$46)/10^6 +#REF!</f>
        <v>#REF!</v>
      </c>
      <c r="Q689" s="203" t="e">
        <f>#REF!*#REF!^5/(Conv!$I$5*Conv!$D$46)/10^6 +#REF!</f>
        <v>#REF!</v>
      </c>
      <c r="S689" s="177"/>
      <c r="T689" s="177"/>
      <c r="U689" s="177"/>
      <c r="V689" s="177"/>
      <c r="W689" s="177"/>
      <c r="X689" s="177"/>
      <c r="Y689" s="177"/>
      <c r="Z689" s="177"/>
      <c r="AA689" s="177"/>
      <c r="AB689" s="177"/>
      <c r="AC689" s="177"/>
    </row>
    <row r="690" spans="2:29">
      <c r="B690" s="158" t="str">
        <f>IF(OR(LEFT(Commodities!B$64,1)="*",LEFT(Technologies!B$511,1)="*"),"*","R1")</f>
        <v>R1</v>
      </c>
      <c r="C690" s="158" t="e">
        <f>Technologies!C$536</f>
        <v>#REF!</v>
      </c>
      <c r="D690" s="158" t="str">
        <f>Technologies!D511</f>
        <v>Delivery of Imported Distillate-Heating Oil No. 2 to the Residential Sector</v>
      </c>
      <c r="E690" s="197" t="str">
        <f>Commodities!C$77</f>
        <v>DSHP2</v>
      </c>
      <c r="F690" s="197" t="e">
        <f>Commodities!C224</f>
        <v>#REF!</v>
      </c>
      <c r="G690" s="204">
        <v>1</v>
      </c>
      <c r="H690" s="203" t="e">
        <f>#REF!*#REF!^5/(Conv!$I$5*Conv!$D$46)/10^6 +#REF!</f>
        <v>#REF!</v>
      </c>
      <c r="I690" s="203" t="e">
        <f>#REF!*#REF!^5/(Conv!$I$5*Conv!$D$46)/10^6 +#REF!</f>
        <v>#REF!</v>
      </c>
      <c r="J690" s="203" t="e">
        <f>#REF!*#REF!^5/(Conv!$I$5*Conv!$D$46)/10^6 +#REF!</f>
        <v>#REF!</v>
      </c>
      <c r="K690" s="203" t="e">
        <f>#REF!*#REF!^5/(Conv!$I$5*Conv!$D$46)/10^6 +#REF!</f>
        <v>#REF!</v>
      </c>
      <c r="L690" s="203" t="e">
        <f>#REF!*#REF!^5/(Conv!$I$5*Conv!$D$46)/10^6 +#REF!</f>
        <v>#REF!</v>
      </c>
      <c r="M690" s="203" t="e">
        <f>#REF!*#REF!^5/(Conv!$I$5*Conv!$D$46)/10^6 +#REF!</f>
        <v>#REF!</v>
      </c>
      <c r="N690" s="203" t="e">
        <f>#REF!*#REF!^5/(Conv!$I$5*Conv!$D$46)/10^6 +#REF!</f>
        <v>#REF!</v>
      </c>
      <c r="O690" s="203" t="e">
        <f>#REF!*#REF!^5/(Conv!$I$5*Conv!$D$46)/10^6 +#REF!</f>
        <v>#REF!</v>
      </c>
      <c r="P690" s="203" t="e">
        <f>#REF!*#REF!^5/(Conv!$I$5*Conv!$D$46)/10^6 +#REF!</f>
        <v>#REF!</v>
      </c>
      <c r="Q690" s="203" t="e">
        <f>#REF!*#REF!^5/(Conv!$I$5*Conv!$D$46)/10^6 +#REF!</f>
        <v>#REF!</v>
      </c>
      <c r="S690" s="177"/>
      <c r="T690" s="177"/>
      <c r="U690" s="177"/>
      <c r="V690" s="177"/>
      <c r="W690" s="177"/>
      <c r="X690" s="177"/>
      <c r="Y690" s="177"/>
      <c r="Z690" s="177"/>
      <c r="AA690" s="177"/>
      <c r="AB690" s="177"/>
      <c r="AC690" s="177"/>
    </row>
    <row r="691" spans="2:29">
      <c r="B691" s="158" t="str">
        <f>IF(OR(LEFT(Commodities!B$64,1)="*",LEFT(Technologies!B$512,1)="*"),"*","R1")</f>
        <v>R1</v>
      </c>
      <c r="C691" s="158" t="e">
        <f>Technologies!C$537</f>
        <v>#REF!</v>
      </c>
      <c r="D691" s="158" t="str">
        <f>Technologies!D512</f>
        <v>Delivery of Imported Distillate-Heating Oil No. 2 to the Commercial Sector</v>
      </c>
      <c r="E691" s="197" t="str">
        <f>Commodities!C$77</f>
        <v>DSHP2</v>
      </c>
      <c r="F691" s="197" t="e">
        <f>Commodities!C225</f>
        <v>#REF!</v>
      </c>
      <c r="G691" s="204">
        <v>1</v>
      </c>
      <c r="H691" s="203" t="e">
        <f>#REF!*#REF!^5/(Conv!$I$5*Conv!$D$46)/10^6 +#REF!</f>
        <v>#REF!</v>
      </c>
      <c r="I691" s="203" t="e">
        <f>#REF!*#REF!^5/(Conv!$I$5*Conv!$D$46)/10^6 +#REF!</f>
        <v>#REF!</v>
      </c>
      <c r="J691" s="203" t="e">
        <f>#REF!*#REF!^5/(Conv!$I$5*Conv!$D$46)/10^6 +#REF!</f>
        <v>#REF!</v>
      </c>
      <c r="K691" s="203" t="e">
        <f>#REF!*#REF!^5/(Conv!$I$5*Conv!$D$46)/10^6 +#REF!</f>
        <v>#REF!</v>
      </c>
      <c r="L691" s="203" t="e">
        <f>#REF!*#REF!^5/(Conv!$I$5*Conv!$D$46)/10^6 +#REF!</f>
        <v>#REF!</v>
      </c>
      <c r="M691" s="203" t="e">
        <f>#REF!*#REF!^5/(Conv!$I$5*Conv!$D$46)/10^6 +#REF!</f>
        <v>#REF!</v>
      </c>
      <c r="N691" s="203" t="e">
        <f>#REF!*#REF!^5/(Conv!$I$5*Conv!$D$46)/10^6 +#REF!</f>
        <v>#REF!</v>
      </c>
      <c r="O691" s="203" t="e">
        <f>#REF!*#REF!^5/(Conv!$I$5*Conv!$D$46)/10^6 +#REF!</f>
        <v>#REF!</v>
      </c>
      <c r="P691" s="203" t="e">
        <f>#REF!*#REF!^5/(Conv!$I$5*Conv!$D$46)/10^6 +#REF!</f>
        <v>#REF!</v>
      </c>
      <c r="Q691" s="203" t="e">
        <f>#REF!*#REF!^5/(Conv!$I$5*Conv!$D$46)/10^6 +#REF!</f>
        <v>#REF!</v>
      </c>
      <c r="S691" s="177"/>
      <c r="T691" s="177"/>
      <c r="U691" s="177"/>
      <c r="V691" s="177"/>
      <c r="W691" s="177"/>
      <c r="X691" s="177"/>
      <c r="Y691" s="177"/>
      <c r="Z691" s="177"/>
      <c r="AA691" s="177"/>
      <c r="AB691" s="177"/>
      <c r="AC691" s="177"/>
    </row>
    <row r="692" spans="2:29">
      <c r="B692" s="158" t="str">
        <f>IF(OR(LEFT(Commodities!B$64,1)="*",LEFT(Technologies!B$513,1)="*"),"*","R1")</f>
        <v>*</v>
      </c>
      <c r="C692" s="158" t="e">
        <f>Technologies!C$538</f>
        <v>#REF!</v>
      </c>
      <c r="D692" s="158" t="str">
        <f>Technologies!D513</f>
        <v>Delivery of Imported Distillate-Heating Oil No. 2 to the Indistrial Sector</v>
      </c>
      <c r="E692" s="197" t="str">
        <f>Commodities!C$77</f>
        <v>DSHP2</v>
      </c>
      <c r="F692" s="197" t="e">
        <f>Commodities!C226</f>
        <v>#REF!</v>
      </c>
      <c r="G692" s="204">
        <v>1</v>
      </c>
      <c r="H692" s="203" t="e">
        <f>#REF!*#REF!^5/(Conv!$I$5*Conv!$D$46)/10^6 +#REF!</f>
        <v>#REF!</v>
      </c>
      <c r="I692" s="203" t="e">
        <f>#REF!*#REF!^5/(Conv!$I$5*Conv!$D$46)/10^6 +#REF!</f>
        <v>#REF!</v>
      </c>
      <c r="J692" s="203" t="e">
        <f>#REF!*#REF!^5/(Conv!$I$5*Conv!$D$46)/10^6 +#REF!</f>
        <v>#REF!</v>
      </c>
      <c r="K692" s="203" t="e">
        <f>#REF!*#REF!^5/(Conv!$I$5*Conv!$D$46)/10^6 +#REF!</f>
        <v>#REF!</v>
      </c>
      <c r="L692" s="203" t="e">
        <f>#REF!*#REF!^5/(Conv!$I$5*Conv!$D$46)/10^6 +#REF!</f>
        <v>#REF!</v>
      </c>
      <c r="M692" s="203" t="e">
        <f>#REF!*#REF!^5/(Conv!$I$5*Conv!$D$46)/10^6 +#REF!</f>
        <v>#REF!</v>
      </c>
      <c r="N692" s="203" t="e">
        <f>#REF!*#REF!^5/(Conv!$I$5*Conv!$D$46)/10^6 +#REF!</f>
        <v>#REF!</v>
      </c>
      <c r="O692" s="203" t="e">
        <f>#REF!*#REF!^5/(Conv!$I$5*Conv!$D$46)/10^6 +#REF!</f>
        <v>#REF!</v>
      </c>
      <c r="P692" s="203" t="e">
        <f>#REF!*#REF!^5/(Conv!$I$5*Conv!$D$46)/10^6 +#REF!</f>
        <v>#REF!</v>
      </c>
      <c r="Q692" s="203" t="e">
        <f>#REF!*#REF!^5/(Conv!$I$5*Conv!$D$46)/10^6 +#REF!</f>
        <v>#REF!</v>
      </c>
      <c r="S692" s="177"/>
      <c r="T692" s="177"/>
      <c r="U692" s="177"/>
      <c r="V692" s="177"/>
      <c r="W692" s="177"/>
      <c r="X692" s="177"/>
      <c r="Y692" s="177"/>
      <c r="Z692" s="177"/>
      <c r="AA692" s="177"/>
      <c r="AB692" s="177"/>
      <c r="AC692" s="177"/>
    </row>
    <row r="693" spans="2:29">
      <c r="B693" s="158" t="str">
        <f>IF(OR(LEFT(Commodities!B$64,1)="*",LEFT(Technologies!B$514,1)="*"),"*","R1")</f>
        <v>R1</v>
      </c>
      <c r="C693" s="158" t="e">
        <f>Technologies!C$539</f>
        <v>#REF!</v>
      </c>
      <c r="D693" s="158" t="str">
        <f>Technologies!D514</f>
        <v>Delivery of Imported Distillate-Heating Oil No. 2 to the Electricity Sector</v>
      </c>
      <c r="E693" s="197" t="str">
        <f>Commodities!C$77</f>
        <v>DSHP2</v>
      </c>
      <c r="F693" s="197" t="e">
        <f>Commodities!C227</f>
        <v>#REF!</v>
      </c>
      <c r="G693" s="204">
        <v>1</v>
      </c>
      <c r="H693" s="203" t="e">
        <f>#REF!*#REF!^5/(Conv!$I$5*Conv!$D$46)/10^6 +#REF!</f>
        <v>#REF!</v>
      </c>
      <c r="I693" s="203" t="e">
        <f>#REF!*#REF!^5/(Conv!$I$5*Conv!$D$46)/10^6 +#REF!</f>
        <v>#REF!</v>
      </c>
      <c r="J693" s="203" t="e">
        <f>#REF!*#REF!^5/(Conv!$I$5*Conv!$D$46)/10^6 +#REF!</f>
        <v>#REF!</v>
      </c>
      <c r="K693" s="203" t="e">
        <f>#REF!*#REF!^5/(Conv!$I$5*Conv!$D$46)/10^6 +#REF!</f>
        <v>#REF!</v>
      </c>
      <c r="L693" s="203" t="e">
        <f>#REF!*#REF!^5/(Conv!$I$5*Conv!$D$46)/10^6 +#REF!</f>
        <v>#REF!</v>
      </c>
      <c r="M693" s="203" t="e">
        <f>#REF!*#REF!^5/(Conv!$I$5*Conv!$D$46)/10^6 +#REF!</f>
        <v>#REF!</v>
      </c>
      <c r="N693" s="203" t="e">
        <f>#REF!*#REF!^5/(Conv!$I$5*Conv!$D$46)/10^6 +#REF!</f>
        <v>#REF!</v>
      </c>
      <c r="O693" s="203" t="e">
        <f>#REF!*#REF!^5/(Conv!$I$5*Conv!$D$46)/10^6 +#REF!</f>
        <v>#REF!</v>
      </c>
      <c r="P693" s="203" t="e">
        <f>#REF!*#REF!^5/(Conv!$I$5*Conv!$D$46)/10^6 +#REF!</f>
        <v>#REF!</v>
      </c>
      <c r="Q693" s="203" t="e">
        <f>#REF!*#REF!^5/(Conv!$I$5*Conv!$D$46)/10^6 +#REF!</f>
        <v>#REF!</v>
      </c>
      <c r="S693" s="177"/>
      <c r="T693" s="177"/>
      <c r="U693" s="177"/>
      <c r="V693" s="177"/>
      <c r="W693" s="177"/>
      <c r="X693" s="177"/>
      <c r="Y693" s="177"/>
      <c r="Z693" s="177"/>
      <c r="AA693" s="177"/>
      <c r="AB693" s="177"/>
      <c r="AC693" s="177"/>
    </row>
    <row r="694" spans="2:29">
      <c r="B694" s="158" t="str">
        <f>IF(OR(LEFT(Commodities!B$65,1)="*",LEFT(Technologies!B$515,1)="*"),"*","R1")</f>
        <v>R1</v>
      </c>
      <c r="C694" s="158" t="e">
        <f>Technologies!C$540</f>
        <v>#REF!</v>
      </c>
      <c r="D694" s="158" t="str">
        <f>Technologies!D515</f>
        <v>Delivery of Imported Distillate-Low Sulfur Highway Diesel (500 ppm)</v>
      </c>
      <c r="E694" s="197" t="str">
        <f>Commodities!C$78</f>
        <v>DSLP2</v>
      </c>
      <c r="F694" s="197" t="e">
        <f>Commodities!C228</f>
        <v>#REF!</v>
      </c>
      <c r="G694" s="204">
        <v>1</v>
      </c>
      <c r="H694" s="203" t="e">
        <f>#REF!*#REF!^5/(Conv!$I$5*Conv!$D$46)/10^6 +#REF!</f>
        <v>#REF!</v>
      </c>
      <c r="I694" s="203" t="e">
        <f>#REF!*#REF!^5/(Conv!$I$5*Conv!$D$46)/10^6 +#REF!</f>
        <v>#REF!</v>
      </c>
      <c r="J694" s="203" t="e">
        <f>#REF!*#REF!^5/(Conv!$I$5*Conv!$D$46)/10^6 +#REF!</f>
        <v>#REF!</v>
      </c>
      <c r="K694" s="203" t="e">
        <f>#REF!*#REF!^5/(Conv!$I$5*Conv!$D$46)/10^6 +#REF!</f>
        <v>#REF!</v>
      </c>
      <c r="L694" s="203" t="e">
        <f>#REF!*#REF!^5/(Conv!$I$5*Conv!$D$46)/10^6 +#REF!</f>
        <v>#REF!</v>
      </c>
      <c r="M694" s="203" t="e">
        <f>#REF!*#REF!^5/(Conv!$I$5*Conv!$D$46)/10^6 +#REF!</f>
        <v>#REF!</v>
      </c>
      <c r="N694" s="203" t="e">
        <f>#REF!*#REF!^5/(Conv!$I$5*Conv!$D$46)/10^6 +#REF!</f>
        <v>#REF!</v>
      </c>
      <c r="O694" s="203" t="e">
        <f>#REF!*#REF!^5/(Conv!$I$5*Conv!$D$46)/10^6 +#REF!</f>
        <v>#REF!</v>
      </c>
      <c r="P694" s="203" t="e">
        <f>#REF!*#REF!^5/(Conv!$I$5*Conv!$D$46)/10^6 +#REF!</f>
        <v>#REF!</v>
      </c>
      <c r="Q694" s="203" t="e">
        <f>#REF!*#REF!^5/(Conv!$I$5*Conv!$D$46)/10^6 +#REF!</f>
        <v>#REF!</v>
      </c>
      <c r="S694" s="177"/>
      <c r="T694" s="177"/>
      <c r="U694" s="177"/>
      <c r="V694" s="177"/>
      <c r="W694" s="177"/>
      <c r="X694" s="177"/>
      <c r="Y694" s="177"/>
      <c r="Z694" s="177"/>
      <c r="AA694" s="177"/>
      <c r="AB694" s="177"/>
      <c r="AC694" s="177"/>
    </row>
    <row r="695" spans="2:29">
      <c r="B695" s="158" t="str">
        <f>IF(OR(LEFT(Commodities!B$66,1)="*",LEFT(Technologies!B$516,1)="*"),"*","R1")</f>
        <v>R1</v>
      </c>
      <c r="C695" s="158" t="e">
        <f>Technologies!C$541</f>
        <v>#REF!</v>
      </c>
      <c r="D695" s="158" t="str">
        <f>Technologies!D516</f>
        <v>Delivery of Imported Distillate-Ultralow Sulfur Highway Diesel (15 ppm)</v>
      </c>
      <c r="E695" s="197" t="str">
        <f>Commodities!C$79</f>
        <v>DSUP2</v>
      </c>
      <c r="F695" s="197" t="e">
        <f>Commodities!C229</f>
        <v>#REF!</v>
      </c>
      <c r="G695" s="204">
        <v>1</v>
      </c>
      <c r="H695" s="203" t="e">
        <f>#REF!*#REF!^5/(Conv!$I$5*Conv!$D$46)/10^6 +#REF!</f>
        <v>#REF!</v>
      </c>
      <c r="I695" s="203" t="e">
        <f>#REF!*#REF!^5/(Conv!$I$5*Conv!$D$46)/10^6 +#REF!</f>
        <v>#REF!</v>
      </c>
      <c r="J695" s="203" t="e">
        <f>#REF!*#REF!^5/(Conv!$I$5*Conv!$D$46)/10^6 +#REF!</f>
        <v>#REF!</v>
      </c>
      <c r="K695" s="203" t="e">
        <f>#REF!*#REF!^5/(Conv!$I$5*Conv!$D$46)/10^6 +#REF!</f>
        <v>#REF!</v>
      </c>
      <c r="L695" s="203" t="e">
        <f>#REF!*#REF!^5/(Conv!$I$5*Conv!$D$46)/10^6 +#REF!</f>
        <v>#REF!</v>
      </c>
      <c r="M695" s="203" t="e">
        <f>#REF!*#REF!^5/(Conv!$I$5*Conv!$D$46)/10^6 +#REF!</f>
        <v>#REF!</v>
      </c>
      <c r="N695" s="203" t="e">
        <f>#REF!*#REF!^5/(Conv!$I$5*Conv!$D$46)/10^6 +#REF!</f>
        <v>#REF!</v>
      </c>
      <c r="O695" s="203" t="e">
        <f>#REF!*#REF!^5/(Conv!$I$5*Conv!$D$46)/10^6 +#REF!</f>
        <v>#REF!</v>
      </c>
      <c r="P695" s="203" t="e">
        <f>#REF!*#REF!^5/(Conv!$I$5*Conv!$D$46)/10^6 +#REF!</f>
        <v>#REF!</v>
      </c>
      <c r="Q695" s="203" t="e">
        <f>#REF!*#REF!^5/(Conv!$I$5*Conv!$D$46)/10^6 +#REF!</f>
        <v>#REF!</v>
      </c>
      <c r="S695" s="177"/>
      <c r="T695" s="177"/>
      <c r="U695" s="177"/>
      <c r="V695" s="177"/>
      <c r="W695" s="177"/>
      <c r="X695" s="177"/>
      <c r="Y695" s="177"/>
      <c r="Z695" s="177"/>
      <c r="AA695" s="177"/>
      <c r="AB695" s="177"/>
      <c r="AC695" s="177"/>
    </row>
    <row r="696" spans="2:29">
      <c r="B696" s="158" t="str">
        <f>IF(OR(LEFT(Commodities!B$69,1)="*",LEFT(Technologies!B$517,1)="*"),"*","R1")</f>
        <v>*</v>
      </c>
      <c r="C696" s="158" t="e">
        <f>Technologies!C$542</f>
        <v>#REF!</v>
      </c>
      <c r="D696" s="158" t="str">
        <f>Technologies!D517</f>
        <v>Delivery of Imported Jet Fuel</v>
      </c>
      <c r="E696" s="197" t="str">
        <f>Commodities!C$82</f>
        <v>JTFP2</v>
      </c>
      <c r="F696" s="197" t="e">
        <f>Commodities!C230</f>
        <v>#REF!</v>
      </c>
      <c r="G696" s="204">
        <v>1</v>
      </c>
      <c r="H696" s="203" t="e">
        <f>#REF!*#REF!^5/(Conv!$I$5*Conv!$D$46)/10^6 +#REF!</f>
        <v>#REF!</v>
      </c>
      <c r="I696" s="203" t="e">
        <f>#REF!*#REF!^5/(Conv!$I$5*Conv!$D$46)/10^6 +#REF!</f>
        <v>#REF!</v>
      </c>
      <c r="J696" s="203" t="e">
        <f>#REF!*#REF!^5/(Conv!$I$5*Conv!$D$46)/10^6 +#REF!</f>
        <v>#REF!</v>
      </c>
      <c r="K696" s="203" t="e">
        <f>#REF!*#REF!^5/(Conv!$I$5*Conv!$D$46)/10^6 +#REF!</f>
        <v>#REF!</v>
      </c>
      <c r="L696" s="203" t="e">
        <f>#REF!*#REF!^5/(Conv!$I$5*Conv!$D$46)/10^6 +#REF!</f>
        <v>#REF!</v>
      </c>
      <c r="M696" s="203" t="e">
        <f>#REF!*#REF!^5/(Conv!$I$5*Conv!$D$46)/10^6 +#REF!</f>
        <v>#REF!</v>
      </c>
      <c r="N696" s="203" t="e">
        <f>#REF!*#REF!^5/(Conv!$I$5*Conv!$D$46)/10^6 +#REF!</f>
        <v>#REF!</v>
      </c>
      <c r="O696" s="203" t="e">
        <f>#REF!*#REF!^5/(Conv!$I$5*Conv!$D$46)/10^6 +#REF!</f>
        <v>#REF!</v>
      </c>
      <c r="P696" s="203" t="e">
        <f>#REF!*#REF!^5/(Conv!$I$5*Conv!$D$46)/10^6 +#REF!</f>
        <v>#REF!</v>
      </c>
      <c r="Q696" s="203" t="e">
        <f>#REF!*#REF!^5/(Conv!$I$5*Conv!$D$46)/10^6 +#REF!</f>
        <v>#REF!</v>
      </c>
      <c r="S696" s="177"/>
      <c r="T696" s="177"/>
      <c r="U696" s="177"/>
      <c r="V696" s="177"/>
      <c r="W696" s="177"/>
      <c r="X696" s="177"/>
      <c r="Y696" s="177"/>
      <c r="Z696" s="177"/>
      <c r="AA696" s="177"/>
      <c r="AB696" s="177"/>
      <c r="AC696" s="177"/>
    </row>
    <row r="697" spans="2:29">
      <c r="B697" s="158" t="str">
        <f>IF(OR(LEFT(Commodities!B$70,1)="*",LEFT(Technologies!B$518,1)="*"),"*","R1")</f>
        <v>*</v>
      </c>
      <c r="C697" s="158" t="e">
        <f>Technologies!C$543</f>
        <v>#REF!</v>
      </c>
      <c r="D697" s="158" t="str">
        <f>Technologies!D518</f>
        <v>Delivery of Imported Kerosene and Other Refined Products to the Residential Sector</v>
      </c>
      <c r="E697" s="197" t="str">
        <f>Commodities!C$83</f>
        <v>KERP2</v>
      </c>
      <c r="F697" s="197" t="e">
        <f>Commodities!C231</f>
        <v>#REF!</v>
      </c>
      <c r="G697" s="204">
        <v>1</v>
      </c>
      <c r="H697" s="203" t="e">
        <f>#REF!*#REF!^5/(Conv!$I$5*Conv!$D$46)/10^6 +#REF!</f>
        <v>#REF!</v>
      </c>
      <c r="I697" s="203" t="e">
        <f>#REF!*#REF!^5/(Conv!$I$5*Conv!$D$46)/10^6 +#REF!</f>
        <v>#REF!</v>
      </c>
      <c r="J697" s="203" t="e">
        <f>#REF!*#REF!^5/(Conv!$I$5*Conv!$D$46)/10^6 +#REF!</f>
        <v>#REF!</v>
      </c>
      <c r="K697" s="203" t="e">
        <f>#REF!*#REF!^5/(Conv!$I$5*Conv!$D$46)/10^6 +#REF!</f>
        <v>#REF!</v>
      </c>
      <c r="L697" s="203" t="e">
        <f>#REF!*#REF!^5/(Conv!$I$5*Conv!$D$46)/10^6 +#REF!</f>
        <v>#REF!</v>
      </c>
      <c r="M697" s="203" t="e">
        <f>#REF!*#REF!^5/(Conv!$I$5*Conv!$D$46)/10^6 +#REF!</f>
        <v>#REF!</v>
      </c>
      <c r="N697" s="203" t="e">
        <f>#REF!*#REF!^5/(Conv!$I$5*Conv!$D$46)/10^6 +#REF!</f>
        <v>#REF!</v>
      </c>
      <c r="O697" s="203" t="e">
        <f>#REF!*#REF!^5/(Conv!$I$5*Conv!$D$46)/10^6 +#REF!</f>
        <v>#REF!</v>
      </c>
      <c r="P697" s="203" t="e">
        <f>#REF!*#REF!^5/(Conv!$I$5*Conv!$D$46)/10^6 +#REF!</f>
        <v>#REF!</v>
      </c>
      <c r="Q697" s="203" t="e">
        <f>#REF!*#REF!^5/(Conv!$I$5*Conv!$D$46)/10^6 +#REF!</f>
        <v>#REF!</v>
      </c>
      <c r="S697" s="177"/>
      <c r="T697" s="177"/>
      <c r="U697" s="177"/>
      <c r="V697" s="177"/>
      <c r="W697" s="177"/>
      <c r="X697" s="177"/>
      <c r="Y697" s="177"/>
      <c r="Z697" s="177"/>
      <c r="AA697" s="177"/>
      <c r="AB697" s="177"/>
      <c r="AC697" s="177"/>
    </row>
    <row r="698" spans="2:29">
      <c r="B698" s="158" t="str">
        <f>IF(OR(LEFT(Commodities!B$70,1)="*",LEFT(Technologies!B$519,1)="*"),"*","R1")</f>
        <v>*</v>
      </c>
      <c r="C698" s="158" t="e">
        <f>Technologies!C$544</f>
        <v>#REF!</v>
      </c>
      <c r="D698" s="158" t="str">
        <f>Technologies!D519</f>
        <v>Delivery of Imported Kerosene and Other Refined Products to the Commercial Sector</v>
      </c>
      <c r="E698" s="197" t="str">
        <f>E697</f>
        <v>KERP2</v>
      </c>
      <c r="F698" s="197" t="e">
        <f>Commodities!C232</f>
        <v>#REF!</v>
      </c>
      <c r="G698" s="204">
        <v>1</v>
      </c>
      <c r="H698" s="203" t="e">
        <f>#REF!*#REF!^5/(Conv!$I$5*Conv!$D$46)/10^6 +#REF!</f>
        <v>#REF!</v>
      </c>
      <c r="I698" s="203" t="e">
        <f>#REF!*#REF!^5/(Conv!$I$5*Conv!$D$46)/10^6 +#REF!</f>
        <v>#REF!</v>
      </c>
      <c r="J698" s="203" t="e">
        <f>#REF!*#REF!^5/(Conv!$I$5*Conv!$D$46)/10^6 +#REF!</f>
        <v>#REF!</v>
      </c>
      <c r="K698" s="203" t="e">
        <f>#REF!*#REF!^5/(Conv!$I$5*Conv!$D$46)/10^6 +#REF!</f>
        <v>#REF!</v>
      </c>
      <c r="L698" s="203" t="e">
        <f>#REF!*#REF!^5/(Conv!$I$5*Conv!$D$46)/10^6 +#REF!</f>
        <v>#REF!</v>
      </c>
      <c r="M698" s="203" t="e">
        <f>#REF!*#REF!^5/(Conv!$I$5*Conv!$D$46)/10^6 +#REF!</f>
        <v>#REF!</v>
      </c>
      <c r="N698" s="203" t="e">
        <f>#REF!*#REF!^5/(Conv!$I$5*Conv!$D$46)/10^6 +#REF!</f>
        <v>#REF!</v>
      </c>
      <c r="O698" s="203" t="e">
        <f>#REF!*#REF!^5/(Conv!$I$5*Conv!$D$46)/10^6 +#REF!</f>
        <v>#REF!</v>
      </c>
      <c r="P698" s="203" t="e">
        <f>#REF!*#REF!^5/(Conv!$I$5*Conv!$D$46)/10^6 +#REF!</f>
        <v>#REF!</v>
      </c>
      <c r="Q698" s="203" t="e">
        <f>#REF!*#REF!^5/(Conv!$I$5*Conv!$D$46)/10^6 +#REF!</f>
        <v>#REF!</v>
      </c>
      <c r="S698" s="177"/>
      <c r="T698" s="177"/>
      <c r="U698" s="177"/>
      <c r="V698" s="177"/>
      <c r="W698" s="177"/>
      <c r="X698" s="177"/>
      <c r="Y698" s="177"/>
      <c r="Z698" s="177"/>
      <c r="AA698" s="177"/>
      <c r="AB698" s="177"/>
      <c r="AC698" s="177"/>
    </row>
    <row r="699" spans="2:29">
      <c r="B699" s="158" t="str">
        <f>IF(OR(LEFT(Commodities!B$70,1)="*",LEFT(Technologies!B$520,1)="*"),"*","R1")</f>
        <v>*</v>
      </c>
      <c r="C699" s="158" t="e">
        <f>Technologies!C$545</f>
        <v>#REF!</v>
      </c>
      <c r="D699" s="158" t="str">
        <f>Technologies!D520</f>
        <v>Delivery of Imported Kerosene and Other Refined Products to the Industrial Sector</v>
      </c>
      <c r="E699" s="197" t="str">
        <f>E698</f>
        <v>KERP2</v>
      </c>
      <c r="F699" s="197" t="e">
        <f>Commodities!C233</f>
        <v>#REF!</v>
      </c>
      <c r="G699" s="204">
        <v>1</v>
      </c>
      <c r="H699" s="203" t="e">
        <f>#REF!*#REF!^5/(Conv!$I$5*Conv!$D$46)/10^6 +#REF!</f>
        <v>#REF!</v>
      </c>
      <c r="I699" s="203" t="e">
        <f>#REF!*#REF!^5/(Conv!$I$5*Conv!$D$46)/10^6 +#REF!</f>
        <v>#REF!</v>
      </c>
      <c r="J699" s="203" t="e">
        <f>#REF!*#REF!^5/(Conv!$I$5*Conv!$D$46)/10^6 +#REF!</f>
        <v>#REF!</v>
      </c>
      <c r="K699" s="203" t="e">
        <f>#REF!*#REF!^5/(Conv!$I$5*Conv!$D$46)/10^6 +#REF!</f>
        <v>#REF!</v>
      </c>
      <c r="L699" s="203" t="e">
        <f>#REF!*#REF!^5/(Conv!$I$5*Conv!$D$46)/10^6 +#REF!</f>
        <v>#REF!</v>
      </c>
      <c r="M699" s="203" t="e">
        <f>#REF!*#REF!^5/(Conv!$I$5*Conv!$D$46)/10^6 +#REF!</f>
        <v>#REF!</v>
      </c>
      <c r="N699" s="203" t="e">
        <f>#REF!*#REF!^5/(Conv!$I$5*Conv!$D$46)/10^6 +#REF!</f>
        <v>#REF!</v>
      </c>
      <c r="O699" s="203" t="e">
        <f>#REF!*#REF!^5/(Conv!$I$5*Conv!$D$46)/10^6 +#REF!</f>
        <v>#REF!</v>
      </c>
      <c r="P699" s="203" t="e">
        <f>#REF!*#REF!^5/(Conv!$I$5*Conv!$D$46)/10^6 +#REF!</f>
        <v>#REF!</v>
      </c>
      <c r="Q699" s="203" t="e">
        <f>#REF!*#REF!^5/(Conv!$I$5*Conv!$D$46)/10^6 +#REF!</f>
        <v>#REF!</v>
      </c>
      <c r="S699" s="177"/>
      <c r="T699" s="177"/>
      <c r="U699" s="177"/>
      <c r="V699" s="177"/>
      <c r="W699" s="177"/>
      <c r="X699" s="177"/>
      <c r="Y699" s="177"/>
      <c r="Z699" s="177"/>
      <c r="AA699" s="177"/>
      <c r="AB699" s="177"/>
      <c r="AC699" s="177"/>
    </row>
    <row r="700" spans="2:29">
      <c r="B700" s="158" t="str">
        <f>IF(OR(LEFT(Commodities!B$71,1)="*",LEFT(Technologies!B$521,1)="*"),"*","R1")</f>
        <v>*</v>
      </c>
      <c r="C700" s="158" t="e">
        <f>Technologies!C$546</f>
        <v>#REF!</v>
      </c>
      <c r="D700" s="158" t="str">
        <f>Technologies!D521</f>
        <v>Delivery of Imported LPG to the Residential Sector</v>
      </c>
      <c r="E700" s="197" t="str">
        <f>Commodities!C$84</f>
        <v>LPGP2</v>
      </c>
      <c r="F700" s="197" t="e">
        <f>Commodities!C234</f>
        <v>#REF!</v>
      </c>
      <c r="G700" s="204">
        <v>1</v>
      </c>
      <c r="H700" s="203" t="e">
        <f>#REF!*#REF!^5/(Conv!$I$5*Conv!$D$46)/10^6 +#REF!</f>
        <v>#REF!</v>
      </c>
      <c r="I700" s="203" t="e">
        <f>#REF!*#REF!^5/(Conv!$I$5*Conv!$D$46)/10^6 +#REF!</f>
        <v>#REF!</v>
      </c>
      <c r="J700" s="203" t="e">
        <f>#REF!*#REF!^5/(Conv!$I$5*Conv!$D$46)/10^6 +#REF!</f>
        <v>#REF!</v>
      </c>
      <c r="K700" s="203" t="e">
        <f>#REF!*#REF!^5/(Conv!$I$5*Conv!$D$46)/10^6 +#REF!</f>
        <v>#REF!</v>
      </c>
      <c r="L700" s="203" t="e">
        <f>#REF!*#REF!^5/(Conv!$I$5*Conv!$D$46)/10^6 +#REF!</f>
        <v>#REF!</v>
      </c>
      <c r="M700" s="203" t="e">
        <f>#REF!*#REF!^5/(Conv!$I$5*Conv!$D$46)/10^6 +#REF!</f>
        <v>#REF!</v>
      </c>
      <c r="N700" s="203" t="e">
        <f>#REF!*#REF!^5/(Conv!$I$5*Conv!$D$46)/10^6 +#REF!</f>
        <v>#REF!</v>
      </c>
      <c r="O700" s="203" t="e">
        <f>#REF!*#REF!^5/(Conv!$I$5*Conv!$D$46)/10^6 +#REF!</f>
        <v>#REF!</v>
      </c>
      <c r="P700" s="203" t="e">
        <f>#REF!*#REF!^5/(Conv!$I$5*Conv!$D$46)/10^6 +#REF!</f>
        <v>#REF!</v>
      </c>
      <c r="Q700" s="203" t="e">
        <f>#REF!*#REF!^5/(Conv!$I$5*Conv!$D$46)/10^6 +#REF!</f>
        <v>#REF!</v>
      </c>
      <c r="S700" s="177"/>
      <c r="T700" s="177"/>
      <c r="U700" s="177"/>
      <c r="V700" s="177"/>
      <c r="W700" s="177"/>
      <c r="X700" s="177"/>
      <c r="Y700" s="177"/>
      <c r="Z700" s="177"/>
      <c r="AA700" s="177"/>
      <c r="AB700" s="177"/>
      <c r="AC700" s="177"/>
    </row>
    <row r="701" spans="2:29">
      <c r="B701" s="158" t="str">
        <f>IF(OR(LEFT(Commodities!B$71,1)="*",LEFT(Technologies!B$522,1)="*"),"*","R1")</f>
        <v>*</v>
      </c>
      <c r="C701" s="158" t="e">
        <f>Technologies!C$547</f>
        <v>#REF!</v>
      </c>
      <c r="D701" s="158" t="str">
        <f>Technologies!D522</f>
        <v>Delivery of Imported LPG to the Commercial Sector</v>
      </c>
      <c r="E701" s="197" t="str">
        <f>Commodities!C$84</f>
        <v>LPGP2</v>
      </c>
      <c r="F701" s="197" t="e">
        <f>Commodities!C235</f>
        <v>#REF!</v>
      </c>
      <c r="G701" s="204">
        <v>1</v>
      </c>
      <c r="H701" s="203" t="e">
        <f>#REF!*#REF!^5/(Conv!$I$5*Conv!$D$46)/10^6 +#REF!</f>
        <v>#REF!</v>
      </c>
      <c r="I701" s="203" t="e">
        <f>#REF!*#REF!^5/(Conv!$I$5*Conv!$D$46)/10^6 +#REF!</f>
        <v>#REF!</v>
      </c>
      <c r="J701" s="203" t="e">
        <f>#REF!*#REF!^5/(Conv!$I$5*Conv!$D$46)/10^6 +#REF!</f>
        <v>#REF!</v>
      </c>
      <c r="K701" s="203" t="e">
        <f>#REF!*#REF!^5/(Conv!$I$5*Conv!$D$46)/10^6 +#REF!</f>
        <v>#REF!</v>
      </c>
      <c r="L701" s="203" t="e">
        <f>#REF!*#REF!^5/(Conv!$I$5*Conv!$D$46)/10^6 +#REF!</f>
        <v>#REF!</v>
      </c>
      <c r="M701" s="203" t="e">
        <f>#REF!*#REF!^5/(Conv!$I$5*Conv!$D$46)/10^6 +#REF!</f>
        <v>#REF!</v>
      </c>
      <c r="N701" s="203" t="e">
        <f>#REF!*#REF!^5/(Conv!$I$5*Conv!$D$46)/10^6 +#REF!</f>
        <v>#REF!</v>
      </c>
      <c r="O701" s="203" t="e">
        <f>#REF!*#REF!^5/(Conv!$I$5*Conv!$D$46)/10^6 +#REF!</f>
        <v>#REF!</v>
      </c>
      <c r="P701" s="203" t="e">
        <f>#REF!*#REF!^5/(Conv!$I$5*Conv!$D$46)/10^6 +#REF!</f>
        <v>#REF!</v>
      </c>
      <c r="Q701" s="203" t="e">
        <f>#REF!*#REF!^5/(Conv!$I$5*Conv!$D$46)/10^6 +#REF!</f>
        <v>#REF!</v>
      </c>
      <c r="S701" s="177"/>
      <c r="T701" s="177"/>
      <c r="U701" s="177"/>
      <c r="V701" s="177"/>
      <c r="W701" s="177"/>
      <c r="X701" s="177"/>
      <c r="Y701" s="177"/>
      <c r="Z701" s="177"/>
      <c r="AA701" s="177"/>
      <c r="AB701" s="177"/>
      <c r="AC701" s="177"/>
    </row>
    <row r="702" spans="2:29">
      <c r="B702" s="158" t="str">
        <f>IF(OR(LEFT(Commodities!B$71,1)="*",LEFT(Technologies!B$523,1)="*"),"*","R1")</f>
        <v>*</v>
      </c>
      <c r="C702" s="158" t="e">
        <f>Technologies!C$548</f>
        <v>#REF!</v>
      </c>
      <c r="D702" s="158" t="str">
        <f>Technologies!D523</f>
        <v>Delivery of Imported LPG to the Industrial Sector</v>
      </c>
      <c r="E702" s="197" t="str">
        <f>Commodities!C$84</f>
        <v>LPGP2</v>
      </c>
      <c r="F702" s="197" t="e">
        <f>Commodities!C236</f>
        <v>#REF!</v>
      </c>
      <c r="G702" s="204">
        <v>1</v>
      </c>
      <c r="H702" s="203" t="e">
        <f>#REF!*#REF!^5/(Conv!$I$5*Conv!$D$46)/10^6 +#REF!</f>
        <v>#REF!</v>
      </c>
      <c r="I702" s="203" t="e">
        <f>#REF!*#REF!^5/(Conv!$I$5*Conv!$D$46)/10^6 +#REF!</f>
        <v>#REF!</v>
      </c>
      <c r="J702" s="203" t="e">
        <f>#REF!*#REF!^5/(Conv!$I$5*Conv!$D$46)/10^6 +#REF!</f>
        <v>#REF!</v>
      </c>
      <c r="K702" s="203" t="e">
        <f>#REF!*#REF!^5/(Conv!$I$5*Conv!$D$46)/10^6 +#REF!</f>
        <v>#REF!</v>
      </c>
      <c r="L702" s="203" t="e">
        <f>#REF!*#REF!^5/(Conv!$I$5*Conv!$D$46)/10^6 +#REF!</f>
        <v>#REF!</v>
      </c>
      <c r="M702" s="203" t="e">
        <f>#REF!*#REF!^5/(Conv!$I$5*Conv!$D$46)/10^6 +#REF!</f>
        <v>#REF!</v>
      </c>
      <c r="N702" s="203" t="e">
        <f>#REF!*#REF!^5/(Conv!$I$5*Conv!$D$46)/10^6 +#REF!</f>
        <v>#REF!</v>
      </c>
      <c r="O702" s="203" t="e">
        <f>#REF!*#REF!^5/(Conv!$I$5*Conv!$D$46)/10^6 +#REF!</f>
        <v>#REF!</v>
      </c>
      <c r="P702" s="203" t="e">
        <f>#REF!*#REF!^5/(Conv!$I$5*Conv!$D$46)/10^6 +#REF!</f>
        <v>#REF!</v>
      </c>
      <c r="Q702" s="203" t="e">
        <f>#REF!*#REF!^5/(Conv!$I$5*Conv!$D$46)/10^6 +#REF!</f>
        <v>#REF!</v>
      </c>
      <c r="S702" s="177"/>
      <c r="T702" s="177"/>
      <c r="U702" s="177"/>
      <c r="V702" s="177"/>
      <c r="W702" s="177"/>
      <c r="X702" s="177"/>
      <c r="Y702" s="177"/>
      <c r="Z702" s="177"/>
      <c r="AA702" s="177"/>
      <c r="AB702" s="177"/>
      <c r="AC702" s="177"/>
    </row>
    <row r="703" spans="2:29">
      <c r="B703" s="158" t="str">
        <f>IF(OR(LEFT(Commodities!B$71,1)="*",LEFT(Technologies!B$524,1)="*"),"*","R1")</f>
        <v>*</v>
      </c>
      <c r="C703" s="158" t="e">
        <f>Technologies!C$549</f>
        <v>#REF!</v>
      </c>
      <c r="D703" s="158" t="str">
        <f>Technologies!D524</f>
        <v>Delivery of Imported LPG to the Transportation Sector</v>
      </c>
      <c r="E703" s="197" t="str">
        <f>Commodities!C$84</f>
        <v>LPGP2</v>
      </c>
      <c r="F703" s="197" t="e">
        <f>Commodities!C237</f>
        <v>#REF!</v>
      </c>
      <c r="G703" s="204">
        <v>1</v>
      </c>
      <c r="H703" s="203" t="e">
        <f>#REF!*#REF!^5/(Conv!$I$5*Conv!$D$46)/10^6 +#REF!</f>
        <v>#REF!</v>
      </c>
      <c r="I703" s="203" t="e">
        <f>#REF!*#REF!^5/(Conv!$I$5*Conv!$D$46)/10^6 +#REF!</f>
        <v>#REF!</v>
      </c>
      <c r="J703" s="203" t="e">
        <f>#REF!*#REF!^5/(Conv!$I$5*Conv!$D$46)/10^6 +#REF!</f>
        <v>#REF!</v>
      </c>
      <c r="K703" s="203" t="e">
        <f>#REF!*#REF!^5/(Conv!$I$5*Conv!$D$46)/10^6 +#REF!</f>
        <v>#REF!</v>
      </c>
      <c r="L703" s="203" t="e">
        <f>#REF!*#REF!^5/(Conv!$I$5*Conv!$D$46)/10^6 +#REF!</f>
        <v>#REF!</v>
      </c>
      <c r="M703" s="203" t="e">
        <f>#REF!*#REF!^5/(Conv!$I$5*Conv!$D$46)/10^6 +#REF!</f>
        <v>#REF!</v>
      </c>
      <c r="N703" s="203" t="e">
        <f>#REF!*#REF!^5/(Conv!$I$5*Conv!$D$46)/10^6 +#REF!</f>
        <v>#REF!</v>
      </c>
      <c r="O703" s="203" t="e">
        <f>#REF!*#REF!^5/(Conv!$I$5*Conv!$D$46)/10^6 +#REF!</f>
        <v>#REF!</v>
      </c>
      <c r="P703" s="203" t="e">
        <f>#REF!*#REF!^5/(Conv!$I$5*Conv!$D$46)/10^6 +#REF!</f>
        <v>#REF!</v>
      </c>
      <c r="Q703" s="203" t="e">
        <f>#REF!*#REF!^5/(Conv!$I$5*Conv!$D$46)/10^6 +#REF!</f>
        <v>#REF!</v>
      </c>
      <c r="S703" s="177"/>
      <c r="T703" s="177"/>
      <c r="U703" s="177"/>
      <c r="V703" s="177"/>
      <c r="W703" s="177"/>
      <c r="X703" s="177"/>
      <c r="Y703" s="177"/>
      <c r="Z703" s="177"/>
      <c r="AA703" s="177"/>
      <c r="AB703" s="177"/>
      <c r="AC703" s="177"/>
    </row>
    <row r="704" spans="2:29">
      <c r="B704" s="158" t="str">
        <f>IF(LEFT(Technologies!B$525,1)="*","*","R1")</f>
        <v>*</v>
      </c>
      <c r="C704" s="158" t="e">
        <f>Technologies!C$550</f>
        <v>#REF!</v>
      </c>
      <c r="D704" s="158" t="str">
        <f>Technologies!D525</f>
        <v>Delivery of Imported Methanol</v>
      </c>
      <c r="E704" s="197" t="str">
        <f>Commodities!C$85</f>
        <v>MTHP2</v>
      </c>
      <c r="F704" s="197" t="s">
        <v>270</v>
      </c>
      <c r="G704" s="204">
        <v>1</v>
      </c>
      <c r="H704" s="203" t="e">
        <f>#REF!*#REF!^5/(Conv!$I$5*Conv!$D$46)/10^6 +#REF!</f>
        <v>#REF!</v>
      </c>
      <c r="I704" s="203" t="e">
        <f>#REF!*#REF!^5/(Conv!$I$5*Conv!$D$46)/10^6 +#REF!</f>
        <v>#REF!</v>
      </c>
      <c r="J704" s="203" t="e">
        <f>#REF!*#REF!^5/(Conv!$I$5*Conv!$D$46)/10^6 +#REF!</f>
        <v>#REF!</v>
      </c>
      <c r="K704" s="203" t="e">
        <f>#REF!*#REF!^5/(Conv!$I$5*Conv!$D$46)/10^6 +#REF!</f>
        <v>#REF!</v>
      </c>
      <c r="L704" s="203" t="e">
        <f>#REF!*#REF!^5/(Conv!$I$5*Conv!$D$46)/10^6 +#REF!</f>
        <v>#REF!</v>
      </c>
      <c r="M704" s="203" t="e">
        <f>#REF!*#REF!^5/(Conv!$I$5*Conv!$D$46)/10^6 +#REF!</f>
        <v>#REF!</v>
      </c>
      <c r="N704" s="203" t="e">
        <f>#REF!*#REF!^5/(Conv!$I$5*Conv!$D$46)/10^6 +#REF!</f>
        <v>#REF!</v>
      </c>
      <c r="O704" s="203" t="e">
        <f>#REF!*#REF!^5/(Conv!$I$5*Conv!$D$46)/10^6 +#REF!</f>
        <v>#REF!</v>
      </c>
      <c r="P704" s="203" t="e">
        <f>#REF!*#REF!^5/(Conv!$I$5*Conv!$D$46)/10^6 +#REF!</f>
        <v>#REF!</v>
      </c>
      <c r="Q704" s="203" t="e">
        <f>#REF!*#REF!^5/(Conv!$I$5*Conv!$D$46)/10^6 +#REF!</f>
        <v>#REF!</v>
      </c>
      <c r="S704" s="177"/>
      <c r="T704" s="177"/>
      <c r="U704" s="177"/>
      <c r="V704" s="177"/>
      <c r="W704" s="177"/>
      <c r="X704" s="177"/>
      <c r="Y704" s="177"/>
      <c r="Z704" s="177"/>
      <c r="AA704" s="177"/>
      <c r="AB704" s="177"/>
      <c r="AC704" s="177"/>
    </row>
    <row r="705" spans="2:29">
      <c r="B705" s="158" t="str">
        <f>IF(OR(LEFT(Commodities!B$239,1)="*",LEFT(Technologies!B$526,1)="*"),"*","R1")</f>
        <v>*</v>
      </c>
      <c r="C705" s="158" t="e">
        <f>Technologies!C$551</f>
        <v>#REF!</v>
      </c>
      <c r="D705" s="158" t="str">
        <f>Technologies!D526</f>
        <v>Delivery of Imported Petrochemical Feedstocks</v>
      </c>
      <c r="E705" s="197" t="str">
        <f>Commodities!C$86</f>
        <v>PFSP2</v>
      </c>
      <c r="F705" s="197" t="e">
        <f>Commodities!C239</f>
        <v>#REF!</v>
      </c>
      <c r="G705" s="204">
        <v>1</v>
      </c>
      <c r="H705" s="203" t="e">
        <f>#REF!*#REF!^5/(Conv!$I$5*Conv!$D$46)/10^6 +#REF!</f>
        <v>#REF!</v>
      </c>
      <c r="I705" s="203" t="e">
        <f>#REF!*#REF!^5/(Conv!$I$5*Conv!$D$46)/10^6 +#REF!</f>
        <v>#REF!</v>
      </c>
      <c r="J705" s="203" t="e">
        <f>#REF!*#REF!^5/(Conv!$I$5*Conv!$D$46)/10^6 +#REF!</f>
        <v>#REF!</v>
      </c>
      <c r="K705" s="203" t="e">
        <f>#REF!*#REF!^5/(Conv!$I$5*Conv!$D$46)/10^6 +#REF!</f>
        <v>#REF!</v>
      </c>
      <c r="L705" s="203" t="e">
        <f>#REF!*#REF!^5/(Conv!$I$5*Conv!$D$46)/10^6 +#REF!</f>
        <v>#REF!</v>
      </c>
      <c r="M705" s="203" t="e">
        <f>#REF!*#REF!^5/(Conv!$I$5*Conv!$D$46)/10^6 +#REF!</f>
        <v>#REF!</v>
      </c>
      <c r="N705" s="203" t="e">
        <f>#REF!*#REF!^5/(Conv!$I$5*Conv!$D$46)/10^6 +#REF!</f>
        <v>#REF!</v>
      </c>
      <c r="O705" s="203" t="e">
        <f>#REF!*#REF!^5/(Conv!$I$5*Conv!$D$46)/10^6 +#REF!</f>
        <v>#REF!</v>
      </c>
      <c r="P705" s="203" t="e">
        <f>#REF!*#REF!^5/(Conv!$I$5*Conv!$D$46)/10^6 +#REF!</f>
        <v>#REF!</v>
      </c>
      <c r="Q705" s="203" t="e">
        <f>#REF!*#REF!^5/(Conv!$I$5*Conv!$D$46)/10^6 +#REF!</f>
        <v>#REF!</v>
      </c>
      <c r="S705" s="177"/>
      <c r="T705" s="177"/>
      <c r="U705" s="177"/>
      <c r="V705" s="177"/>
      <c r="W705" s="177"/>
      <c r="X705" s="177"/>
      <c r="Y705" s="177"/>
      <c r="Z705" s="177"/>
      <c r="AA705" s="177"/>
      <c r="AB705" s="177"/>
      <c r="AC705" s="177"/>
    </row>
    <row r="706" spans="2:29">
      <c r="B706" s="158" t="str">
        <f>IF(OR(LEFT(Commodities!B$75,1)="*",LEFT(Technologies!B$527,1)="*"),"*","R1")</f>
        <v>*</v>
      </c>
      <c r="C706" s="158" t="str">
        <f>Technologies!C$552</f>
        <v>XIRESRFLP2</v>
      </c>
      <c r="D706" s="158" t="str">
        <f>D731</f>
        <v>Delivery of Imported Low Sulfur Residual Fuel Oil to Residential Sector</v>
      </c>
      <c r="E706" s="197" t="str">
        <f>Commodities!C$88</f>
        <v>RFLP2</v>
      </c>
      <c r="F706" s="197" t="str">
        <f>F731</f>
        <v>RESRFL</v>
      </c>
      <c r="G706" s="204"/>
      <c r="H706" s="203"/>
      <c r="I706" s="203"/>
      <c r="J706" s="203"/>
      <c r="K706" s="203"/>
      <c r="L706" s="203"/>
      <c r="M706" s="203"/>
      <c r="N706" s="203"/>
      <c r="O706" s="203"/>
      <c r="P706" s="203"/>
      <c r="Q706" s="203"/>
      <c r="S706" s="177"/>
      <c r="T706" s="177"/>
      <c r="U706" s="177"/>
      <c r="V706" s="177"/>
      <c r="W706" s="177"/>
      <c r="X706" s="177"/>
      <c r="Y706" s="177"/>
      <c r="Z706" s="177"/>
      <c r="AA706" s="177"/>
      <c r="AB706" s="177"/>
      <c r="AC706" s="177"/>
    </row>
    <row r="707" spans="2:29">
      <c r="B707" s="158" t="str">
        <f>IF(OR(LEFT(Commodities!B$75,1)="*",LEFT(Technologies!B$528,1)="*"),"*","R1")</f>
        <v>*</v>
      </c>
      <c r="C707" s="158" t="e">
        <f>Technologies!C$553</f>
        <v>#REF!</v>
      </c>
      <c r="D707" s="158" t="str">
        <f>Technologies!D528</f>
        <v>Delivery of Imported Low Sulfur Residual Fuel Oil to Commercial Sector</v>
      </c>
      <c r="E707" s="197" t="str">
        <f>Commodities!C$88</f>
        <v>RFLP2</v>
      </c>
      <c r="F707" s="197" t="e">
        <f>Commodities!C241</f>
        <v>#REF!</v>
      </c>
      <c r="G707" s="204">
        <v>1</v>
      </c>
      <c r="H707" s="203" t="e">
        <f>#REF!*#REF!^5/(Conv!$I$5*Conv!$D$46)/10^6 +#REF!</f>
        <v>#REF!</v>
      </c>
      <c r="I707" s="203" t="e">
        <f>#REF!*#REF!^5/(Conv!$I$5*Conv!$D$46)/10^6 +#REF!</f>
        <v>#REF!</v>
      </c>
      <c r="J707" s="203" t="e">
        <f>#REF!*#REF!^5/(Conv!$I$5*Conv!$D$46)/10^6 +#REF!</f>
        <v>#REF!</v>
      </c>
      <c r="K707" s="203" t="e">
        <f>#REF!*#REF!^5/(Conv!$I$5*Conv!$D$46)/10^6 +#REF!</f>
        <v>#REF!</v>
      </c>
      <c r="L707" s="203" t="e">
        <f>#REF!*#REF!^5/(Conv!$I$5*Conv!$D$46)/10^6 +#REF!</f>
        <v>#REF!</v>
      </c>
      <c r="M707" s="203" t="e">
        <f>#REF!*#REF!^5/(Conv!$I$5*Conv!$D$46)/10^6 +#REF!</f>
        <v>#REF!</v>
      </c>
      <c r="N707" s="203" t="e">
        <f>#REF!*#REF!^5/(Conv!$I$5*Conv!$D$46)/10^6 +#REF!</f>
        <v>#REF!</v>
      </c>
      <c r="O707" s="203" t="e">
        <f>#REF!*#REF!^5/(Conv!$I$5*Conv!$D$46)/10^6 +#REF!</f>
        <v>#REF!</v>
      </c>
      <c r="P707" s="203" t="e">
        <f>#REF!*#REF!^5/(Conv!$I$5*Conv!$D$46)/10^6 +#REF!</f>
        <v>#REF!</v>
      </c>
      <c r="Q707" s="203" t="e">
        <f>#REF!*#REF!^5/(Conv!$I$5*Conv!$D$46)/10^6 +#REF!</f>
        <v>#REF!</v>
      </c>
      <c r="S707" s="177"/>
      <c r="T707" s="177"/>
      <c r="U707" s="177"/>
      <c r="V707" s="177"/>
      <c r="W707" s="177"/>
      <c r="X707" s="177"/>
      <c r="Y707" s="177"/>
      <c r="Z707" s="177"/>
      <c r="AA707" s="177"/>
      <c r="AB707" s="177"/>
      <c r="AC707" s="177"/>
    </row>
    <row r="708" spans="2:29">
      <c r="B708" s="158" t="str">
        <f>IF(OR(LEFT(Commodities!B$75,1)="*",LEFT(Technologies!B$529,1)="*"),"*","R1")</f>
        <v>R1</v>
      </c>
      <c r="C708" s="158" t="e">
        <f>Technologies!C$554</f>
        <v>#REF!</v>
      </c>
      <c r="D708" s="158" t="str">
        <f>Technologies!D529</f>
        <v>Delivery of Imported Low Sulfur Residual Fuel Oil to Industrial Sector</v>
      </c>
      <c r="E708" s="197" t="str">
        <f>Commodities!C$88</f>
        <v>RFLP2</v>
      </c>
      <c r="F708" s="197" t="e">
        <f>Commodities!C242</f>
        <v>#REF!</v>
      </c>
      <c r="G708" s="204">
        <v>1</v>
      </c>
      <c r="H708" s="203" t="e">
        <f>#REF!*#REF!^5/(Conv!$I$5*Conv!$D$46)/10^6 +#REF!</f>
        <v>#REF!</v>
      </c>
      <c r="I708" s="203" t="e">
        <f>#REF!*#REF!^5/(Conv!$I$5*Conv!$D$46)/10^6 +#REF!</f>
        <v>#REF!</v>
      </c>
      <c r="J708" s="203" t="e">
        <f>#REF!*#REF!^5/(Conv!$I$5*Conv!$D$46)/10^6 +#REF!</f>
        <v>#REF!</v>
      </c>
      <c r="K708" s="203" t="e">
        <f>#REF!*#REF!^5/(Conv!$I$5*Conv!$D$46)/10^6 +#REF!</f>
        <v>#REF!</v>
      </c>
      <c r="L708" s="203" t="e">
        <f>#REF!*#REF!^5/(Conv!$I$5*Conv!$D$46)/10^6 +#REF!</f>
        <v>#REF!</v>
      </c>
      <c r="M708" s="203" t="e">
        <f>#REF!*#REF!^5/(Conv!$I$5*Conv!$D$46)/10^6 +#REF!</f>
        <v>#REF!</v>
      </c>
      <c r="N708" s="203" t="e">
        <f>#REF!*#REF!^5/(Conv!$I$5*Conv!$D$46)/10^6 +#REF!</f>
        <v>#REF!</v>
      </c>
      <c r="O708" s="203" t="e">
        <f>#REF!*#REF!^5/(Conv!$I$5*Conv!$D$46)/10^6 +#REF!</f>
        <v>#REF!</v>
      </c>
      <c r="P708" s="203" t="e">
        <f>#REF!*#REF!^5/(Conv!$I$5*Conv!$D$46)/10^6 +#REF!</f>
        <v>#REF!</v>
      </c>
      <c r="Q708" s="203" t="e">
        <f>#REF!*#REF!^5/(Conv!$I$5*Conv!$D$46)/10^6 +#REF!</f>
        <v>#REF!</v>
      </c>
      <c r="S708" s="177"/>
      <c r="T708" s="177"/>
      <c r="U708" s="177"/>
      <c r="V708" s="177"/>
      <c r="W708" s="177"/>
      <c r="X708" s="177"/>
      <c r="Y708" s="177"/>
      <c r="Z708" s="177"/>
      <c r="AA708" s="177"/>
      <c r="AB708" s="177"/>
      <c r="AC708" s="177"/>
    </row>
    <row r="709" spans="2:29">
      <c r="B709" s="158" t="str">
        <f>IF(OR(LEFT(Commodities!B$75,1)="*",LEFT(Technologies!B$530,1)="*"),"*","R1")</f>
        <v>*</v>
      </c>
      <c r="C709" s="158" t="e">
        <f>Technologies!C$555</f>
        <v>#REF!</v>
      </c>
      <c r="D709" s="158" t="str">
        <f>Technologies!D530</f>
        <v>Delivery of Imported Low Sulfur Residual Fuel Oil to Electricity Sector</v>
      </c>
      <c r="E709" s="197" t="str">
        <f>Commodities!C$88</f>
        <v>RFLP2</v>
      </c>
      <c r="F709" s="197" t="e">
        <f>Commodities!C243</f>
        <v>#REF!</v>
      </c>
      <c r="G709" s="204">
        <v>1</v>
      </c>
      <c r="H709" s="203" t="e">
        <f>#REF!*#REF!^5/(Conv!$I$5*Conv!$D$46)/10^6 +#REF!</f>
        <v>#REF!</v>
      </c>
      <c r="I709" s="203" t="e">
        <f>#REF!*#REF!^5/(Conv!$I$5*Conv!$D$46)/10^6 +#REF!</f>
        <v>#REF!</v>
      </c>
      <c r="J709" s="203" t="e">
        <f>#REF!*#REF!^5/(Conv!$I$5*Conv!$D$46)/10^6 +#REF!</f>
        <v>#REF!</v>
      </c>
      <c r="K709" s="203" t="e">
        <f>#REF!*#REF!^5/(Conv!$I$5*Conv!$D$46)/10^6 +#REF!</f>
        <v>#REF!</v>
      </c>
      <c r="L709" s="203" t="e">
        <f>#REF!*#REF!^5/(Conv!$I$5*Conv!$D$46)/10^6 +#REF!</f>
        <v>#REF!</v>
      </c>
      <c r="M709" s="203" t="e">
        <f>#REF!*#REF!^5/(Conv!$I$5*Conv!$D$46)/10^6 +#REF!</f>
        <v>#REF!</v>
      </c>
      <c r="N709" s="203" t="e">
        <f>#REF!*#REF!^5/(Conv!$I$5*Conv!$D$46)/10^6 +#REF!</f>
        <v>#REF!</v>
      </c>
      <c r="O709" s="203" t="e">
        <f>#REF!*#REF!^5/(Conv!$I$5*Conv!$D$46)/10^6 +#REF!</f>
        <v>#REF!</v>
      </c>
      <c r="P709" s="203" t="e">
        <f>#REF!*#REF!^5/(Conv!$I$5*Conv!$D$46)/10^6 +#REF!</f>
        <v>#REF!</v>
      </c>
      <c r="Q709" s="203" t="e">
        <f>#REF!*#REF!^5/(Conv!$I$5*Conv!$D$46)/10^6 +#REF!</f>
        <v>#REF!</v>
      </c>
      <c r="S709" s="177"/>
      <c r="T709" s="177"/>
      <c r="U709" s="177"/>
      <c r="V709" s="177"/>
      <c r="W709" s="177"/>
      <c r="X709" s="177"/>
      <c r="Y709" s="177"/>
      <c r="Z709" s="177"/>
      <c r="AA709" s="177"/>
      <c r="AB709" s="177"/>
      <c r="AC709" s="177"/>
    </row>
    <row r="710" spans="2:29">
      <c r="B710" s="158" t="str">
        <f>IF(OR(LEFT(Commodities!B$74,1)="*",LEFT(Technologies!B$531,1)="*"),"*","R1")</f>
        <v>*</v>
      </c>
      <c r="C710" s="158" t="e">
        <f>Technologies!C$556</f>
        <v>#REF!</v>
      </c>
      <c r="D710" s="158" t="str">
        <f>Technologies!D531</f>
        <v>Delivery of Imported High Sulfur Residual Fuel Oil to Transportation Sector</v>
      </c>
      <c r="E710" s="197" t="str">
        <f>Commodities!C$87</f>
        <v>RFHP2</v>
      </c>
      <c r="F710" s="197" t="e">
        <f>Commodities!C244</f>
        <v>#REF!</v>
      </c>
      <c r="G710" s="204">
        <v>1</v>
      </c>
      <c r="H710" s="203" t="e">
        <f>#REF!*#REF!^5/(Conv!$I$5*Conv!$D$46)/10^6 +#REF!</f>
        <v>#REF!</v>
      </c>
      <c r="I710" s="203" t="e">
        <f>#REF!*#REF!^5/(Conv!$I$5*Conv!$D$46)/10^6 +#REF!</f>
        <v>#REF!</v>
      </c>
      <c r="J710" s="203" t="e">
        <f>#REF!*#REF!^5/(Conv!$I$5*Conv!$D$46)/10^6 +#REF!</f>
        <v>#REF!</v>
      </c>
      <c r="K710" s="203" t="e">
        <f>#REF!*#REF!^5/(Conv!$I$5*Conv!$D$46)/10^6 +#REF!</f>
        <v>#REF!</v>
      </c>
      <c r="L710" s="203" t="e">
        <f>#REF!*#REF!^5/(Conv!$I$5*Conv!$D$46)/10^6 +#REF!</f>
        <v>#REF!</v>
      </c>
      <c r="M710" s="203" t="e">
        <f>#REF!*#REF!^5/(Conv!$I$5*Conv!$D$46)/10^6 +#REF!</f>
        <v>#REF!</v>
      </c>
      <c r="N710" s="203" t="e">
        <f>#REF!*#REF!^5/(Conv!$I$5*Conv!$D$46)/10^6 +#REF!</f>
        <v>#REF!</v>
      </c>
      <c r="O710" s="203" t="e">
        <f>#REF!*#REF!^5/(Conv!$I$5*Conv!$D$46)/10^6 +#REF!</f>
        <v>#REF!</v>
      </c>
      <c r="P710" s="203" t="e">
        <f>#REF!*#REF!^5/(Conv!$I$5*Conv!$D$46)/10^6 +#REF!</f>
        <v>#REF!</v>
      </c>
      <c r="Q710" s="203" t="e">
        <f>#REF!*#REF!^5/(Conv!$I$5*Conv!$D$46)/10^6 +#REF!</f>
        <v>#REF!</v>
      </c>
      <c r="S710" s="177"/>
      <c r="T710" s="177"/>
      <c r="U710" s="177"/>
      <c r="V710" s="177"/>
      <c r="W710" s="177"/>
      <c r="X710" s="177"/>
      <c r="Y710" s="177"/>
      <c r="Z710" s="177"/>
      <c r="AA710" s="177"/>
      <c r="AB710" s="177"/>
      <c r="AC710" s="177"/>
    </row>
    <row r="711" spans="2:29">
      <c r="B711" s="158" t="str">
        <f>IF(OR(LEFT(Commodities!B$74,1)="*",LEFT(Technologies!B$532,1)="*"),"*","R1")</f>
        <v>*</v>
      </c>
      <c r="C711" s="158" t="e">
        <f>Technologies!C$557</f>
        <v>#REF!</v>
      </c>
      <c r="D711" s="158" t="str">
        <f>Technologies!D532</f>
        <v>Delivery of Imported High Sulfur Residual Fuel Oil to Electricity Sector</v>
      </c>
      <c r="E711" s="197" t="str">
        <f>Commodities!C$87</f>
        <v>RFHP2</v>
      </c>
      <c r="F711" s="197" t="e">
        <f>Commodities!C245</f>
        <v>#REF!</v>
      </c>
      <c r="G711" s="204">
        <v>1</v>
      </c>
      <c r="H711" s="203" t="e">
        <f>#REF!*#REF!^5/(Conv!$I$5*Conv!$D$46)/10^6 +#REF!</f>
        <v>#REF!</v>
      </c>
      <c r="I711" s="203" t="e">
        <f>#REF!*#REF!^5/(Conv!$I$5*Conv!$D$46)/10^6 +#REF!</f>
        <v>#REF!</v>
      </c>
      <c r="J711" s="203" t="e">
        <f>#REF!*#REF!^5/(Conv!$I$5*Conv!$D$46)/10^6 +#REF!</f>
        <v>#REF!</v>
      </c>
      <c r="K711" s="203" t="e">
        <f>#REF!*#REF!^5/(Conv!$I$5*Conv!$D$46)/10^6 +#REF!</f>
        <v>#REF!</v>
      </c>
      <c r="L711" s="203" t="e">
        <f>#REF!*#REF!^5/(Conv!$I$5*Conv!$D$46)/10^6 +#REF!</f>
        <v>#REF!</v>
      </c>
      <c r="M711" s="203" t="e">
        <f>#REF!*#REF!^5/(Conv!$I$5*Conv!$D$46)/10^6 +#REF!</f>
        <v>#REF!</v>
      </c>
      <c r="N711" s="203" t="e">
        <f>#REF!*#REF!^5/(Conv!$I$5*Conv!$D$46)/10^6 +#REF!</f>
        <v>#REF!</v>
      </c>
      <c r="O711" s="203" t="e">
        <f>#REF!*#REF!^5/(Conv!$I$5*Conv!$D$46)/10^6 +#REF!</f>
        <v>#REF!</v>
      </c>
      <c r="P711" s="203" t="e">
        <f>#REF!*#REF!^5/(Conv!$I$5*Conv!$D$46)/10^6 +#REF!</f>
        <v>#REF!</v>
      </c>
      <c r="Q711" s="203" t="e">
        <f>#REF!*#REF!^5/(Conv!$I$5*Conv!$D$46)/10^6 +#REF!</f>
        <v>#REF!</v>
      </c>
      <c r="S711" s="177"/>
      <c r="T711" s="177"/>
      <c r="U711" s="177"/>
      <c r="V711" s="177"/>
      <c r="W711" s="177"/>
      <c r="X711" s="177"/>
      <c r="Y711" s="177"/>
      <c r="Z711" s="177"/>
      <c r="AA711" s="177"/>
      <c r="AB711" s="177"/>
      <c r="AC711" s="177"/>
    </row>
    <row r="712" spans="2:29">
      <c r="B712" s="160" t="s">
        <v>1031</v>
      </c>
      <c r="C712" s="160"/>
      <c r="D712" s="160"/>
      <c r="E712" s="196"/>
      <c r="F712" s="196"/>
      <c r="G712" s="200"/>
      <c r="H712" s="174"/>
      <c r="I712" s="174"/>
      <c r="J712" s="174"/>
      <c r="K712" s="174"/>
      <c r="L712" s="174"/>
      <c r="M712" s="174"/>
      <c r="N712" s="174"/>
      <c r="O712" s="174"/>
      <c r="P712" s="174"/>
      <c r="Q712" s="174"/>
      <c r="S712" s="177"/>
      <c r="T712" s="177"/>
      <c r="U712" s="177"/>
      <c r="V712" s="177"/>
      <c r="W712" s="177"/>
      <c r="X712" s="177"/>
      <c r="Y712" s="177"/>
      <c r="Z712" s="177"/>
      <c r="AA712" s="177"/>
      <c r="AB712" s="177"/>
      <c r="AC712" s="177"/>
    </row>
    <row r="713" spans="2:29">
      <c r="B713" s="158" t="str">
        <f>IF(LEFT(Technologies!B$509,1)="*","*","R2")</f>
        <v>R2</v>
      </c>
      <c r="C713" s="158" t="e">
        <f>Technologies!C$534</f>
        <v>#REF!</v>
      </c>
      <c r="D713" s="158" t="str">
        <f>Technologies!D509</f>
        <v>Delivery of Imported Conventional Gasoline</v>
      </c>
      <c r="E713" s="197" t="str">
        <f>Commodities!C$80</f>
        <v>GSCP2</v>
      </c>
      <c r="F713" s="197" t="e">
        <f>Commodities!C222</f>
        <v>#REF!</v>
      </c>
      <c r="G713" s="204">
        <v>1</v>
      </c>
      <c r="H713" s="203" t="e">
        <f>#REF!*#REF!^5/(Conv!$I$5*Conv!$D$46)/10^6 +#REF!</f>
        <v>#REF!</v>
      </c>
      <c r="I713" s="203" t="e">
        <f>#REF!*#REF!^5/(Conv!$I$5*Conv!$D$46)/10^6 +#REF!</f>
        <v>#REF!</v>
      </c>
      <c r="J713" s="203" t="e">
        <f>#REF!*#REF!^5/(Conv!$I$5*Conv!$D$46)/10^6 +#REF!</f>
        <v>#REF!</v>
      </c>
      <c r="K713" s="203" t="e">
        <f>#REF!*#REF!^5/(Conv!$I$5*Conv!$D$46)/10^6 +#REF!</f>
        <v>#REF!</v>
      </c>
      <c r="L713" s="203" t="e">
        <f>#REF!*#REF!^5/(Conv!$I$5*Conv!$D$46)/10^6 +#REF!</f>
        <v>#REF!</v>
      </c>
      <c r="M713" s="203" t="e">
        <f>#REF!*#REF!^5/(Conv!$I$5*Conv!$D$46)/10^6 +#REF!</f>
        <v>#REF!</v>
      </c>
      <c r="N713" s="203" t="e">
        <f>#REF!*#REF!^5/(Conv!$I$5*Conv!$D$46)/10^6 +#REF!</f>
        <v>#REF!</v>
      </c>
      <c r="O713" s="203" t="e">
        <f>#REF!*#REF!^5/(Conv!$I$5*Conv!$D$46)/10^6 +#REF!</f>
        <v>#REF!</v>
      </c>
      <c r="P713" s="203" t="e">
        <f>#REF!*#REF!^5/(Conv!$I$5*Conv!$D$46)/10^6 +#REF!</f>
        <v>#REF!</v>
      </c>
      <c r="Q713" s="203" t="e">
        <f>#REF!*#REF!^5/(Conv!$I$5*Conv!$D$46)/10^6 +#REF!</f>
        <v>#REF!</v>
      </c>
      <c r="S713" s="177"/>
      <c r="T713" s="177"/>
      <c r="U713" s="177"/>
      <c r="V713" s="177"/>
      <c r="W713" s="177"/>
      <c r="X713" s="177"/>
      <c r="Y713" s="177"/>
      <c r="Z713" s="177"/>
      <c r="AA713" s="177"/>
      <c r="AB713" s="177"/>
      <c r="AC713" s="177"/>
    </row>
    <row r="714" spans="2:29">
      <c r="B714" s="158" t="str">
        <f>IF(LEFT(Technologies!B$510,1)="*","*","R2")</f>
        <v>R2</v>
      </c>
      <c r="C714" s="158" t="e">
        <f>Technologies!C$535</f>
        <v>#REF!</v>
      </c>
      <c r="D714" s="158" t="str">
        <f>Technologies!D510</f>
        <v>Delivery of Imported Reformulated Gasoline</v>
      </c>
      <c r="E714" s="197" t="str">
        <f>Commodities!C$81</f>
        <v>GSRP2</v>
      </c>
      <c r="F714" s="197" t="e">
        <f>Commodities!C223</f>
        <v>#REF!</v>
      </c>
      <c r="G714" s="204">
        <v>1</v>
      </c>
      <c r="H714" s="203" t="e">
        <f>#REF!*#REF!^5/(Conv!$I$5*Conv!$D$46)/10^6 +#REF!</f>
        <v>#REF!</v>
      </c>
      <c r="I714" s="203" t="e">
        <f>#REF!*#REF!^5/(Conv!$I$5*Conv!$D$46)/10^6 +#REF!</f>
        <v>#REF!</v>
      </c>
      <c r="J714" s="203" t="e">
        <f>#REF!*#REF!^5/(Conv!$I$5*Conv!$D$46)/10^6 +#REF!</f>
        <v>#REF!</v>
      </c>
      <c r="K714" s="203" t="e">
        <f>#REF!*#REF!^5/(Conv!$I$5*Conv!$D$46)/10^6 +#REF!</f>
        <v>#REF!</v>
      </c>
      <c r="L714" s="203" t="e">
        <f>#REF!*#REF!^5/(Conv!$I$5*Conv!$D$46)/10^6 +#REF!</f>
        <v>#REF!</v>
      </c>
      <c r="M714" s="203" t="e">
        <f>#REF!*#REF!^5/(Conv!$I$5*Conv!$D$46)/10^6 +#REF!</f>
        <v>#REF!</v>
      </c>
      <c r="N714" s="203" t="e">
        <f>#REF!*#REF!^5/(Conv!$I$5*Conv!$D$46)/10^6 +#REF!</f>
        <v>#REF!</v>
      </c>
      <c r="O714" s="203" t="e">
        <f>#REF!*#REF!^5/(Conv!$I$5*Conv!$D$46)/10^6 +#REF!</f>
        <v>#REF!</v>
      </c>
      <c r="P714" s="203" t="e">
        <f>#REF!*#REF!^5/(Conv!$I$5*Conv!$D$46)/10^6 +#REF!</f>
        <v>#REF!</v>
      </c>
      <c r="Q714" s="203" t="e">
        <f>#REF!*#REF!^5/(Conv!$I$5*Conv!$D$46)/10^6 +#REF!</f>
        <v>#REF!</v>
      </c>
      <c r="S714" s="177"/>
      <c r="T714" s="177"/>
      <c r="U714" s="177"/>
      <c r="V714" s="177"/>
      <c r="W714" s="177"/>
      <c r="X714" s="177"/>
      <c r="Y714" s="177"/>
      <c r="Z714" s="177"/>
      <c r="AA714" s="177"/>
      <c r="AB714" s="177"/>
      <c r="AC714" s="177"/>
    </row>
    <row r="715" spans="2:29">
      <c r="B715" s="158" t="str">
        <f>IF(OR(LEFT(Commodities!B$64,1)="*",LEFT(Technologies!B$511,1)="*"),"*","R2")</f>
        <v>R2</v>
      </c>
      <c r="C715" s="158" t="e">
        <f>Technologies!C$536</f>
        <v>#REF!</v>
      </c>
      <c r="D715" s="158" t="str">
        <f>Technologies!D511</f>
        <v>Delivery of Imported Distillate-Heating Oil No. 2 to the Residential Sector</v>
      </c>
      <c r="E715" s="197" t="str">
        <f>Commodities!C$77</f>
        <v>DSHP2</v>
      </c>
      <c r="F715" s="197" t="e">
        <f>Commodities!C224</f>
        <v>#REF!</v>
      </c>
      <c r="G715" s="204">
        <v>1</v>
      </c>
      <c r="H715" s="203" t="e">
        <f>#REF!*#REF!^5/(Conv!$I$5*Conv!$D$46)/10^6 +#REF!</f>
        <v>#REF!</v>
      </c>
      <c r="I715" s="203" t="e">
        <f>#REF!*#REF!^5/(Conv!$I$5*Conv!$D$46)/10^6 +#REF!</f>
        <v>#REF!</v>
      </c>
      <c r="J715" s="203" t="e">
        <f>#REF!*#REF!^5/(Conv!$I$5*Conv!$D$46)/10^6 +#REF!</f>
        <v>#REF!</v>
      </c>
      <c r="K715" s="203" t="e">
        <f>#REF!*#REF!^5/(Conv!$I$5*Conv!$D$46)/10^6 +#REF!</f>
        <v>#REF!</v>
      </c>
      <c r="L715" s="203" t="e">
        <f>#REF!*#REF!^5/(Conv!$I$5*Conv!$D$46)/10^6 +#REF!</f>
        <v>#REF!</v>
      </c>
      <c r="M715" s="203" t="e">
        <f>#REF!*#REF!^5/(Conv!$I$5*Conv!$D$46)/10^6 +#REF!</f>
        <v>#REF!</v>
      </c>
      <c r="N715" s="203" t="e">
        <f>#REF!*#REF!^5/(Conv!$I$5*Conv!$D$46)/10^6 +#REF!</f>
        <v>#REF!</v>
      </c>
      <c r="O715" s="203" t="e">
        <f>#REF!*#REF!^5/(Conv!$I$5*Conv!$D$46)/10^6 +#REF!</f>
        <v>#REF!</v>
      </c>
      <c r="P715" s="203" t="e">
        <f>#REF!*#REF!^5/(Conv!$I$5*Conv!$D$46)/10^6 +#REF!</f>
        <v>#REF!</v>
      </c>
      <c r="Q715" s="203" t="e">
        <f>#REF!*#REF!^5/(Conv!$I$5*Conv!$D$46)/10^6 +#REF!</f>
        <v>#REF!</v>
      </c>
      <c r="S715" s="177"/>
      <c r="T715" s="177"/>
      <c r="U715" s="177"/>
      <c r="V715" s="177"/>
      <c r="W715" s="177"/>
      <c r="X715" s="177"/>
      <c r="Y715" s="177"/>
      <c r="Z715" s="177"/>
      <c r="AA715" s="177"/>
      <c r="AB715" s="177"/>
      <c r="AC715" s="177"/>
    </row>
    <row r="716" spans="2:29">
      <c r="B716" s="158" t="str">
        <f>IF(OR(LEFT(Commodities!B$64,1)="*",LEFT(Technologies!B$512,1)="*"),"*","R2")</f>
        <v>R2</v>
      </c>
      <c r="C716" s="158" t="e">
        <f>Technologies!C$537</f>
        <v>#REF!</v>
      </c>
      <c r="D716" s="158" t="str">
        <f>Technologies!D512</f>
        <v>Delivery of Imported Distillate-Heating Oil No. 2 to the Commercial Sector</v>
      </c>
      <c r="E716" s="197" t="str">
        <f>Commodities!C$77</f>
        <v>DSHP2</v>
      </c>
      <c r="F716" s="197" t="e">
        <f>Commodities!C225</f>
        <v>#REF!</v>
      </c>
      <c r="G716" s="204">
        <v>1</v>
      </c>
      <c r="H716" s="203" t="e">
        <f>#REF!*#REF!^5/(Conv!$I$5*Conv!$D$46)/10^6 +#REF!</f>
        <v>#REF!</v>
      </c>
      <c r="I716" s="203" t="e">
        <f>#REF!*#REF!^5/(Conv!$I$5*Conv!$D$46)/10^6 +#REF!</f>
        <v>#REF!</v>
      </c>
      <c r="J716" s="203" t="e">
        <f>#REF!*#REF!^5/(Conv!$I$5*Conv!$D$46)/10^6 +#REF!</f>
        <v>#REF!</v>
      </c>
      <c r="K716" s="203" t="e">
        <f>#REF!*#REF!^5/(Conv!$I$5*Conv!$D$46)/10^6 +#REF!</f>
        <v>#REF!</v>
      </c>
      <c r="L716" s="203" t="e">
        <f>#REF!*#REF!^5/(Conv!$I$5*Conv!$D$46)/10^6 +#REF!</f>
        <v>#REF!</v>
      </c>
      <c r="M716" s="203" t="e">
        <f>#REF!*#REF!^5/(Conv!$I$5*Conv!$D$46)/10^6 +#REF!</f>
        <v>#REF!</v>
      </c>
      <c r="N716" s="203" t="e">
        <f>#REF!*#REF!^5/(Conv!$I$5*Conv!$D$46)/10^6 +#REF!</f>
        <v>#REF!</v>
      </c>
      <c r="O716" s="203" t="e">
        <f>#REF!*#REF!^5/(Conv!$I$5*Conv!$D$46)/10^6 +#REF!</f>
        <v>#REF!</v>
      </c>
      <c r="P716" s="203" t="e">
        <f>#REF!*#REF!^5/(Conv!$I$5*Conv!$D$46)/10^6 +#REF!</f>
        <v>#REF!</v>
      </c>
      <c r="Q716" s="203" t="e">
        <f>#REF!*#REF!^5/(Conv!$I$5*Conv!$D$46)/10^6 +#REF!</f>
        <v>#REF!</v>
      </c>
      <c r="S716" s="177"/>
      <c r="T716" s="177"/>
      <c r="U716" s="177"/>
      <c r="V716" s="177"/>
      <c r="W716" s="177"/>
      <c r="X716" s="177"/>
      <c r="Y716" s="177"/>
      <c r="Z716" s="177"/>
      <c r="AA716" s="177"/>
      <c r="AB716" s="177"/>
      <c r="AC716" s="177"/>
    </row>
    <row r="717" spans="2:29">
      <c r="B717" s="158" t="str">
        <f>IF(OR(LEFT(Commodities!B$64,1)="*",LEFT(Technologies!B$513,1)="*"),"*","R2")</f>
        <v>*</v>
      </c>
      <c r="C717" s="158" t="e">
        <f>Technologies!C$538</f>
        <v>#REF!</v>
      </c>
      <c r="D717" s="158" t="str">
        <f>Technologies!D513</f>
        <v>Delivery of Imported Distillate-Heating Oil No. 2 to the Indistrial Sector</v>
      </c>
      <c r="E717" s="197" t="str">
        <f>Commodities!C$77</f>
        <v>DSHP2</v>
      </c>
      <c r="F717" s="197" t="e">
        <f>Commodities!C226</f>
        <v>#REF!</v>
      </c>
      <c r="G717" s="204">
        <v>1</v>
      </c>
      <c r="H717" s="203" t="e">
        <f>#REF!*#REF!^5/(Conv!$I$5*Conv!$D$46)/10^6 +#REF!</f>
        <v>#REF!</v>
      </c>
      <c r="I717" s="203" t="e">
        <f>#REF!*#REF!^5/(Conv!$I$5*Conv!$D$46)/10^6 +#REF!</f>
        <v>#REF!</v>
      </c>
      <c r="J717" s="203" t="e">
        <f>#REF!*#REF!^5/(Conv!$I$5*Conv!$D$46)/10^6 +#REF!</f>
        <v>#REF!</v>
      </c>
      <c r="K717" s="203" t="e">
        <f>#REF!*#REF!^5/(Conv!$I$5*Conv!$D$46)/10^6 +#REF!</f>
        <v>#REF!</v>
      </c>
      <c r="L717" s="203" t="e">
        <f>#REF!*#REF!^5/(Conv!$I$5*Conv!$D$46)/10^6 +#REF!</f>
        <v>#REF!</v>
      </c>
      <c r="M717" s="203" t="e">
        <f>#REF!*#REF!^5/(Conv!$I$5*Conv!$D$46)/10^6 +#REF!</f>
        <v>#REF!</v>
      </c>
      <c r="N717" s="203" t="e">
        <f>#REF!*#REF!^5/(Conv!$I$5*Conv!$D$46)/10^6 +#REF!</f>
        <v>#REF!</v>
      </c>
      <c r="O717" s="203" t="e">
        <f>#REF!*#REF!^5/(Conv!$I$5*Conv!$D$46)/10^6 +#REF!</f>
        <v>#REF!</v>
      </c>
      <c r="P717" s="203" t="e">
        <f>#REF!*#REF!^5/(Conv!$I$5*Conv!$D$46)/10^6 +#REF!</f>
        <v>#REF!</v>
      </c>
      <c r="Q717" s="203" t="e">
        <f>#REF!*#REF!^5/(Conv!$I$5*Conv!$D$46)/10^6 +#REF!</f>
        <v>#REF!</v>
      </c>
      <c r="S717" s="177"/>
      <c r="T717" s="177"/>
      <c r="U717" s="177"/>
      <c r="V717" s="177"/>
      <c r="W717" s="177"/>
      <c r="X717" s="177"/>
      <c r="Y717" s="177"/>
      <c r="Z717" s="177"/>
      <c r="AA717" s="177"/>
      <c r="AB717" s="177"/>
      <c r="AC717" s="177"/>
    </row>
    <row r="718" spans="2:29">
      <c r="B718" s="158" t="str">
        <f>IF(OR(LEFT(Commodities!B$64,1)="*",LEFT(Technologies!B$514,1)="*"),"*","R2")</f>
        <v>R2</v>
      </c>
      <c r="C718" s="158" t="e">
        <f>Technologies!C$539</f>
        <v>#REF!</v>
      </c>
      <c r="D718" s="158" t="str">
        <f>Technologies!D514</f>
        <v>Delivery of Imported Distillate-Heating Oil No. 2 to the Electricity Sector</v>
      </c>
      <c r="E718" s="197" t="str">
        <f>Commodities!C$77</f>
        <v>DSHP2</v>
      </c>
      <c r="F718" s="197" t="e">
        <f>Commodities!C227</f>
        <v>#REF!</v>
      </c>
      <c r="G718" s="204">
        <v>1</v>
      </c>
      <c r="H718" s="203" t="e">
        <f>#REF!*#REF!^5/(Conv!$I$5*Conv!$D$46)/10^6 +#REF!</f>
        <v>#REF!</v>
      </c>
      <c r="I718" s="203" t="e">
        <f>#REF!*#REF!^5/(Conv!$I$5*Conv!$D$46)/10^6 +#REF!</f>
        <v>#REF!</v>
      </c>
      <c r="J718" s="203" t="e">
        <f>#REF!*#REF!^5/(Conv!$I$5*Conv!$D$46)/10^6 +#REF!</f>
        <v>#REF!</v>
      </c>
      <c r="K718" s="203" t="e">
        <f>#REF!*#REF!^5/(Conv!$I$5*Conv!$D$46)/10^6 +#REF!</f>
        <v>#REF!</v>
      </c>
      <c r="L718" s="203" t="e">
        <f>#REF!*#REF!^5/(Conv!$I$5*Conv!$D$46)/10^6 +#REF!</f>
        <v>#REF!</v>
      </c>
      <c r="M718" s="203" t="e">
        <f>#REF!*#REF!^5/(Conv!$I$5*Conv!$D$46)/10^6 +#REF!</f>
        <v>#REF!</v>
      </c>
      <c r="N718" s="203" t="e">
        <f>#REF!*#REF!^5/(Conv!$I$5*Conv!$D$46)/10^6 +#REF!</f>
        <v>#REF!</v>
      </c>
      <c r="O718" s="203" t="e">
        <f>#REF!*#REF!^5/(Conv!$I$5*Conv!$D$46)/10^6 +#REF!</f>
        <v>#REF!</v>
      </c>
      <c r="P718" s="203" t="e">
        <f>#REF!*#REF!^5/(Conv!$I$5*Conv!$D$46)/10^6 +#REF!</f>
        <v>#REF!</v>
      </c>
      <c r="Q718" s="203" t="e">
        <f>#REF!*#REF!^5/(Conv!$I$5*Conv!$D$46)/10^6 +#REF!</f>
        <v>#REF!</v>
      </c>
      <c r="S718" s="177"/>
      <c r="T718" s="177"/>
      <c r="U718" s="177"/>
      <c r="V718" s="177"/>
      <c r="W718" s="177"/>
      <c r="X718" s="177"/>
      <c r="Y718" s="177"/>
      <c r="Z718" s="177"/>
      <c r="AA718" s="177"/>
      <c r="AB718" s="177"/>
      <c r="AC718" s="177"/>
    </row>
    <row r="719" spans="2:29">
      <c r="B719" s="158" t="str">
        <f>IF(OR(LEFT(Commodities!B$65,1)="*",LEFT(Technologies!B$515,1)="*"),"*","R2")</f>
        <v>R2</v>
      </c>
      <c r="C719" s="158" t="e">
        <f>Technologies!C$540</f>
        <v>#REF!</v>
      </c>
      <c r="D719" s="158" t="str">
        <f>Technologies!D515</f>
        <v>Delivery of Imported Distillate-Low Sulfur Highway Diesel (500 ppm)</v>
      </c>
      <c r="E719" s="197" t="str">
        <f>Commodities!C$78</f>
        <v>DSLP2</v>
      </c>
      <c r="F719" s="197" t="e">
        <f>Commodities!C228</f>
        <v>#REF!</v>
      </c>
      <c r="G719" s="204">
        <v>1</v>
      </c>
      <c r="H719" s="203" t="e">
        <f>#REF!*#REF!^5/(Conv!$I$5*Conv!$D$46)/10^6 +#REF!</f>
        <v>#REF!</v>
      </c>
      <c r="I719" s="203" t="e">
        <f>#REF!*#REF!^5/(Conv!$I$5*Conv!$D$46)/10^6 +#REF!</f>
        <v>#REF!</v>
      </c>
      <c r="J719" s="203" t="e">
        <f>#REF!*#REF!^5/(Conv!$I$5*Conv!$D$46)/10^6 +#REF!</f>
        <v>#REF!</v>
      </c>
      <c r="K719" s="203" t="e">
        <f>#REF!*#REF!^5/(Conv!$I$5*Conv!$D$46)/10^6 +#REF!</f>
        <v>#REF!</v>
      </c>
      <c r="L719" s="203" t="e">
        <f>#REF!*#REF!^5/(Conv!$I$5*Conv!$D$46)/10^6 +#REF!</f>
        <v>#REF!</v>
      </c>
      <c r="M719" s="203" t="e">
        <f>#REF!*#REF!^5/(Conv!$I$5*Conv!$D$46)/10^6 +#REF!</f>
        <v>#REF!</v>
      </c>
      <c r="N719" s="203" t="e">
        <f>#REF!*#REF!^5/(Conv!$I$5*Conv!$D$46)/10^6 +#REF!</f>
        <v>#REF!</v>
      </c>
      <c r="O719" s="203" t="e">
        <f>#REF!*#REF!^5/(Conv!$I$5*Conv!$D$46)/10^6 +#REF!</f>
        <v>#REF!</v>
      </c>
      <c r="P719" s="203" t="e">
        <f>#REF!*#REF!^5/(Conv!$I$5*Conv!$D$46)/10^6 +#REF!</f>
        <v>#REF!</v>
      </c>
      <c r="Q719" s="203" t="e">
        <f>#REF!*#REF!^5/(Conv!$I$5*Conv!$D$46)/10^6 +#REF!</f>
        <v>#REF!</v>
      </c>
      <c r="S719" s="177"/>
      <c r="T719" s="177"/>
      <c r="U719" s="177"/>
      <c r="V719" s="177"/>
      <c r="W719" s="177"/>
      <c r="X719" s="177"/>
      <c r="Y719" s="177"/>
      <c r="Z719" s="177"/>
      <c r="AA719" s="177"/>
      <c r="AB719" s="177"/>
      <c r="AC719" s="177"/>
    </row>
    <row r="720" spans="2:29">
      <c r="B720" s="158" t="str">
        <f>IF(OR(LEFT(Commodities!B$66,1)="*",LEFT(Technologies!B$516,1)="*"),"*","R2")</f>
        <v>R2</v>
      </c>
      <c r="C720" s="158" t="e">
        <f>Technologies!C$541</f>
        <v>#REF!</v>
      </c>
      <c r="D720" s="158" t="str">
        <f>Technologies!D516</f>
        <v>Delivery of Imported Distillate-Ultralow Sulfur Highway Diesel (15 ppm)</v>
      </c>
      <c r="E720" s="197" t="str">
        <f>Commodities!C$79</f>
        <v>DSUP2</v>
      </c>
      <c r="F720" s="197" t="e">
        <f>Commodities!C229</f>
        <v>#REF!</v>
      </c>
      <c r="G720" s="204">
        <v>1</v>
      </c>
      <c r="H720" s="203" t="e">
        <f>#REF!*#REF!^5/(Conv!$I$5*Conv!$D$46)/10^6 +#REF!</f>
        <v>#REF!</v>
      </c>
      <c r="I720" s="203" t="e">
        <f>#REF!*#REF!^5/(Conv!$I$5*Conv!$D$46)/10^6 +#REF!</f>
        <v>#REF!</v>
      </c>
      <c r="J720" s="203" t="e">
        <f>#REF!*#REF!^5/(Conv!$I$5*Conv!$D$46)/10^6 +#REF!</f>
        <v>#REF!</v>
      </c>
      <c r="K720" s="203" t="e">
        <f>#REF!*#REF!^5/(Conv!$I$5*Conv!$D$46)/10^6 +#REF!</f>
        <v>#REF!</v>
      </c>
      <c r="L720" s="203" t="e">
        <f>#REF!*#REF!^5/(Conv!$I$5*Conv!$D$46)/10^6 +#REF!</f>
        <v>#REF!</v>
      </c>
      <c r="M720" s="203" t="e">
        <f>#REF!*#REF!^5/(Conv!$I$5*Conv!$D$46)/10^6 +#REF!</f>
        <v>#REF!</v>
      </c>
      <c r="N720" s="203" t="e">
        <f>#REF!*#REF!^5/(Conv!$I$5*Conv!$D$46)/10^6 +#REF!</f>
        <v>#REF!</v>
      </c>
      <c r="O720" s="203" t="e">
        <f>#REF!*#REF!^5/(Conv!$I$5*Conv!$D$46)/10^6 +#REF!</f>
        <v>#REF!</v>
      </c>
      <c r="P720" s="203" t="e">
        <f>#REF!*#REF!^5/(Conv!$I$5*Conv!$D$46)/10^6 +#REF!</f>
        <v>#REF!</v>
      </c>
      <c r="Q720" s="203" t="e">
        <f>#REF!*#REF!^5/(Conv!$I$5*Conv!$D$46)/10^6 +#REF!</f>
        <v>#REF!</v>
      </c>
      <c r="S720" s="177"/>
      <c r="T720" s="177"/>
      <c r="U720" s="177"/>
      <c r="V720" s="177"/>
      <c r="W720" s="177"/>
      <c r="X720" s="177"/>
      <c r="Y720" s="177"/>
      <c r="Z720" s="177"/>
      <c r="AA720" s="177"/>
      <c r="AB720" s="177"/>
      <c r="AC720" s="177"/>
    </row>
    <row r="721" spans="2:29">
      <c r="B721" s="158" t="str">
        <f>IF(OR(LEFT(Commodities!B$69,1)="*",LEFT(Technologies!B$517,1)="*"),"*","R2")</f>
        <v>*</v>
      </c>
      <c r="C721" s="158" t="e">
        <f>Technologies!C$542</f>
        <v>#REF!</v>
      </c>
      <c r="D721" s="158" t="str">
        <f>Technologies!D517</f>
        <v>Delivery of Imported Jet Fuel</v>
      </c>
      <c r="E721" s="197" t="str">
        <f>Commodities!C$82</f>
        <v>JTFP2</v>
      </c>
      <c r="F721" s="197" t="e">
        <f>Commodities!C230</f>
        <v>#REF!</v>
      </c>
      <c r="G721" s="204">
        <v>1</v>
      </c>
      <c r="H721" s="203" t="e">
        <f>#REF!*#REF!^5/(Conv!$I$5*Conv!$D$46)/10^6 +#REF!</f>
        <v>#REF!</v>
      </c>
      <c r="I721" s="203" t="e">
        <f>#REF!*#REF!^5/(Conv!$I$5*Conv!$D$46)/10^6 +#REF!</f>
        <v>#REF!</v>
      </c>
      <c r="J721" s="203" t="e">
        <f>#REF!*#REF!^5/(Conv!$I$5*Conv!$D$46)/10^6 +#REF!</f>
        <v>#REF!</v>
      </c>
      <c r="K721" s="203" t="e">
        <f>#REF!*#REF!^5/(Conv!$I$5*Conv!$D$46)/10^6 +#REF!</f>
        <v>#REF!</v>
      </c>
      <c r="L721" s="203" t="e">
        <f>#REF!*#REF!^5/(Conv!$I$5*Conv!$D$46)/10^6 +#REF!</f>
        <v>#REF!</v>
      </c>
      <c r="M721" s="203" t="e">
        <f>#REF!*#REF!^5/(Conv!$I$5*Conv!$D$46)/10^6 +#REF!</f>
        <v>#REF!</v>
      </c>
      <c r="N721" s="203" t="e">
        <f>#REF!*#REF!^5/(Conv!$I$5*Conv!$D$46)/10^6 +#REF!</f>
        <v>#REF!</v>
      </c>
      <c r="O721" s="203" t="e">
        <f>#REF!*#REF!^5/(Conv!$I$5*Conv!$D$46)/10^6 +#REF!</f>
        <v>#REF!</v>
      </c>
      <c r="P721" s="203" t="e">
        <f>#REF!*#REF!^5/(Conv!$I$5*Conv!$D$46)/10^6 +#REF!</f>
        <v>#REF!</v>
      </c>
      <c r="Q721" s="203" t="e">
        <f>#REF!*#REF!^5/(Conv!$I$5*Conv!$D$46)/10^6 +#REF!</f>
        <v>#REF!</v>
      </c>
      <c r="S721" s="177"/>
      <c r="T721" s="177"/>
      <c r="U721" s="177"/>
      <c r="V721" s="177"/>
      <c r="W721" s="177"/>
      <c r="X721" s="177"/>
      <c r="Y721" s="177"/>
      <c r="Z721" s="177"/>
      <c r="AA721" s="177"/>
      <c r="AB721" s="177"/>
      <c r="AC721" s="177"/>
    </row>
    <row r="722" spans="2:29">
      <c r="B722" s="158" t="str">
        <f>IF(OR(LEFT(Commodities!B$70,1)="*",LEFT(Technologies!B$518,1)="*"),"*","R2")</f>
        <v>*</v>
      </c>
      <c r="C722" s="158" t="e">
        <f>Technologies!C$543</f>
        <v>#REF!</v>
      </c>
      <c r="D722" s="158" t="str">
        <f>Technologies!D518</f>
        <v>Delivery of Imported Kerosene and Other Refined Products to the Residential Sector</v>
      </c>
      <c r="E722" s="197" t="str">
        <f>Commodities!C$83</f>
        <v>KERP2</v>
      </c>
      <c r="F722" s="197" t="e">
        <f>Commodities!C231</f>
        <v>#REF!</v>
      </c>
      <c r="G722" s="204">
        <v>1</v>
      </c>
      <c r="H722" s="203" t="e">
        <f>#REF!*#REF!^5/(Conv!$I$5*Conv!$D$46)/10^6 +#REF!</f>
        <v>#REF!</v>
      </c>
      <c r="I722" s="203" t="e">
        <f>#REF!*#REF!^5/(Conv!$I$5*Conv!$D$46)/10^6 +#REF!</f>
        <v>#REF!</v>
      </c>
      <c r="J722" s="203" t="e">
        <f>#REF!*#REF!^5/(Conv!$I$5*Conv!$D$46)/10^6 +#REF!</f>
        <v>#REF!</v>
      </c>
      <c r="K722" s="203" t="e">
        <f>#REF!*#REF!^5/(Conv!$I$5*Conv!$D$46)/10^6 +#REF!</f>
        <v>#REF!</v>
      </c>
      <c r="L722" s="203" t="e">
        <f>#REF!*#REF!^5/(Conv!$I$5*Conv!$D$46)/10^6 +#REF!</f>
        <v>#REF!</v>
      </c>
      <c r="M722" s="203" t="e">
        <f>#REF!*#REF!^5/(Conv!$I$5*Conv!$D$46)/10^6 +#REF!</f>
        <v>#REF!</v>
      </c>
      <c r="N722" s="203" t="e">
        <f>#REF!*#REF!^5/(Conv!$I$5*Conv!$D$46)/10^6 +#REF!</f>
        <v>#REF!</v>
      </c>
      <c r="O722" s="203" t="e">
        <f>#REF!*#REF!^5/(Conv!$I$5*Conv!$D$46)/10^6 +#REF!</f>
        <v>#REF!</v>
      </c>
      <c r="P722" s="203" t="e">
        <f>#REF!*#REF!^5/(Conv!$I$5*Conv!$D$46)/10^6 +#REF!</f>
        <v>#REF!</v>
      </c>
      <c r="Q722" s="203" t="e">
        <f>#REF!*#REF!^5/(Conv!$I$5*Conv!$D$46)/10^6 +#REF!</f>
        <v>#REF!</v>
      </c>
      <c r="S722" s="177"/>
      <c r="T722" s="177"/>
      <c r="U722" s="177"/>
      <c r="V722" s="177"/>
      <c r="W722" s="177"/>
      <c r="X722" s="177"/>
      <c r="Y722" s="177"/>
      <c r="Z722" s="177"/>
      <c r="AA722" s="177"/>
      <c r="AB722" s="177"/>
      <c r="AC722" s="177"/>
    </row>
    <row r="723" spans="2:29">
      <c r="B723" s="158" t="str">
        <f>IF(OR(LEFT(Commodities!B$70,1)="*",LEFT(Technologies!B$519,1)="*"),"*","R2")</f>
        <v>*</v>
      </c>
      <c r="C723" s="158" t="e">
        <f>Technologies!C$544</f>
        <v>#REF!</v>
      </c>
      <c r="D723" s="158" t="str">
        <f>Technologies!D519</f>
        <v>Delivery of Imported Kerosene and Other Refined Products to the Commercial Sector</v>
      </c>
      <c r="E723" s="197" t="str">
        <f>E722</f>
        <v>KERP2</v>
      </c>
      <c r="F723" s="197" t="e">
        <f>Commodities!C232</f>
        <v>#REF!</v>
      </c>
      <c r="G723" s="204">
        <v>1</v>
      </c>
      <c r="H723" s="203" t="e">
        <f>#REF!*#REF!^5/(Conv!$I$5*Conv!$D$46)/10^6 +#REF!</f>
        <v>#REF!</v>
      </c>
      <c r="I723" s="203" t="e">
        <f>#REF!*#REF!^5/(Conv!$I$5*Conv!$D$46)/10^6 +#REF!</f>
        <v>#REF!</v>
      </c>
      <c r="J723" s="203" t="e">
        <f>#REF!*#REF!^5/(Conv!$I$5*Conv!$D$46)/10^6 +#REF!</f>
        <v>#REF!</v>
      </c>
      <c r="K723" s="203" t="e">
        <f>#REF!*#REF!^5/(Conv!$I$5*Conv!$D$46)/10^6 +#REF!</f>
        <v>#REF!</v>
      </c>
      <c r="L723" s="203" t="e">
        <f>#REF!*#REF!^5/(Conv!$I$5*Conv!$D$46)/10^6 +#REF!</f>
        <v>#REF!</v>
      </c>
      <c r="M723" s="203" t="e">
        <f>#REF!*#REF!^5/(Conv!$I$5*Conv!$D$46)/10^6 +#REF!</f>
        <v>#REF!</v>
      </c>
      <c r="N723" s="203" t="e">
        <f>#REF!*#REF!^5/(Conv!$I$5*Conv!$D$46)/10^6 +#REF!</f>
        <v>#REF!</v>
      </c>
      <c r="O723" s="203" t="e">
        <f>#REF!*#REF!^5/(Conv!$I$5*Conv!$D$46)/10^6 +#REF!</f>
        <v>#REF!</v>
      </c>
      <c r="P723" s="203" t="e">
        <f>#REF!*#REF!^5/(Conv!$I$5*Conv!$D$46)/10^6 +#REF!</f>
        <v>#REF!</v>
      </c>
      <c r="Q723" s="203" t="e">
        <f>#REF!*#REF!^5/(Conv!$I$5*Conv!$D$46)/10^6 +#REF!</f>
        <v>#REF!</v>
      </c>
      <c r="S723" s="177"/>
      <c r="T723" s="177"/>
      <c r="U723" s="177"/>
      <c r="V723" s="177"/>
      <c r="W723" s="177"/>
      <c r="X723" s="177"/>
      <c r="Y723" s="177"/>
      <c r="Z723" s="177"/>
      <c r="AA723" s="177"/>
      <c r="AB723" s="177"/>
      <c r="AC723" s="177"/>
    </row>
    <row r="724" spans="2:29">
      <c r="B724" s="158" t="str">
        <f>IF(OR(LEFT(Commodities!B$70,1)="*",LEFT(Technologies!B$520,1)="*"),"*","R2")</f>
        <v>*</v>
      </c>
      <c r="C724" s="158" t="e">
        <f>Technologies!C$545</f>
        <v>#REF!</v>
      </c>
      <c r="D724" s="158" t="str">
        <f>Technologies!D520</f>
        <v>Delivery of Imported Kerosene and Other Refined Products to the Industrial Sector</v>
      </c>
      <c r="E724" s="197" t="str">
        <f>E723</f>
        <v>KERP2</v>
      </c>
      <c r="F724" s="197" t="e">
        <f>Commodities!C233</f>
        <v>#REF!</v>
      </c>
      <c r="G724" s="204">
        <v>1</v>
      </c>
      <c r="H724" s="203" t="e">
        <f>#REF!*#REF!^5/(Conv!$I$5*Conv!$D$46)/10^6 +#REF!</f>
        <v>#REF!</v>
      </c>
      <c r="I724" s="203" t="e">
        <f>#REF!*#REF!^5/(Conv!$I$5*Conv!$D$46)/10^6 +#REF!</f>
        <v>#REF!</v>
      </c>
      <c r="J724" s="203" t="e">
        <f>#REF!*#REF!^5/(Conv!$I$5*Conv!$D$46)/10^6 +#REF!</f>
        <v>#REF!</v>
      </c>
      <c r="K724" s="203" t="e">
        <f>#REF!*#REF!^5/(Conv!$I$5*Conv!$D$46)/10^6 +#REF!</f>
        <v>#REF!</v>
      </c>
      <c r="L724" s="203" t="e">
        <f>#REF!*#REF!^5/(Conv!$I$5*Conv!$D$46)/10^6 +#REF!</f>
        <v>#REF!</v>
      </c>
      <c r="M724" s="203" t="e">
        <f>#REF!*#REF!^5/(Conv!$I$5*Conv!$D$46)/10^6 +#REF!</f>
        <v>#REF!</v>
      </c>
      <c r="N724" s="203" t="e">
        <f>#REF!*#REF!^5/(Conv!$I$5*Conv!$D$46)/10^6 +#REF!</f>
        <v>#REF!</v>
      </c>
      <c r="O724" s="203" t="e">
        <f>#REF!*#REF!^5/(Conv!$I$5*Conv!$D$46)/10^6 +#REF!</f>
        <v>#REF!</v>
      </c>
      <c r="P724" s="203" t="e">
        <f>#REF!*#REF!^5/(Conv!$I$5*Conv!$D$46)/10^6 +#REF!</f>
        <v>#REF!</v>
      </c>
      <c r="Q724" s="203" t="e">
        <f>#REF!*#REF!^5/(Conv!$I$5*Conv!$D$46)/10^6 +#REF!</f>
        <v>#REF!</v>
      </c>
      <c r="S724" s="177"/>
      <c r="T724" s="177"/>
      <c r="U724" s="177"/>
      <c r="V724" s="177"/>
      <c r="W724" s="177"/>
      <c r="X724" s="177"/>
      <c r="Y724" s="177"/>
      <c r="Z724" s="177"/>
      <c r="AA724" s="177"/>
      <c r="AB724" s="177"/>
      <c r="AC724" s="177"/>
    </row>
    <row r="725" spans="2:29">
      <c r="B725" s="158" t="str">
        <f>IF(OR(LEFT(Commodities!B$71,1)="*",LEFT(Technologies!B$521,1)="*"),"*","R2")</f>
        <v>*</v>
      </c>
      <c r="C725" s="158" t="e">
        <f>Technologies!C$546</f>
        <v>#REF!</v>
      </c>
      <c r="D725" s="158" t="str">
        <f>Technologies!D521</f>
        <v>Delivery of Imported LPG to the Residential Sector</v>
      </c>
      <c r="E725" s="197" t="str">
        <f>Commodities!C$84</f>
        <v>LPGP2</v>
      </c>
      <c r="F725" s="197" t="e">
        <f>Commodities!C234</f>
        <v>#REF!</v>
      </c>
      <c r="G725" s="204">
        <v>1</v>
      </c>
      <c r="H725" s="203" t="e">
        <f>#REF!*#REF!^5/(Conv!$I$5*Conv!$D$46)/10^6 +#REF!</f>
        <v>#REF!</v>
      </c>
      <c r="I725" s="203" t="e">
        <f>#REF!*#REF!^5/(Conv!$I$5*Conv!$D$46)/10^6 +#REF!</f>
        <v>#REF!</v>
      </c>
      <c r="J725" s="203" t="e">
        <f>#REF!*#REF!^5/(Conv!$I$5*Conv!$D$46)/10^6 +#REF!</f>
        <v>#REF!</v>
      </c>
      <c r="K725" s="203" t="e">
        <f>#REF!*#REF!^5/(Conv!$I$5*Conv!$D$46)/10^6 +#REF!</f>
        <v>#REF!</v>
      </c>
      <c r="L725" s="203" t="e">
        <f>#REF!*#REF!^5/(Conv!$I$5*Conv!$D$46)/10^6 +#REF!</f>
        <v>#REF!</v>
      </c>
      <c r="M725" s="203" t="e">
        <f>#REF!*#REF!^5/(Conv!$I$5*Conv!$D$46)/10^6 +#REF!</f>
        <v>#REF!</v>
      </c>
      <c r="N725" s="203" t="e">
        <f>#REF!*#REF!^5/(Conv!$I$5*Conv!$D$46)/10^6 +#REF!</f>
        <v>#REF!</v>
      </c>
      <c r="O725" s="203" t="e">
        <f>#REF!*#REF!^5/(Conv!$I$5*Conv!$D$46)/10^6 +#REF!</f>
        <v>#REF!</v>
      </c>
      <c r="P725" s="203" t="e">
        <f>#REF!*#REF!^5/(Conv!$I$5*Conv!$D$46)/10^6 +#REF!</f>
        <v>#REF!</v>
      </c>
      <c r="Q725" s="203" t="e">
        <f>#REF!*#REF!^5/(Conv!$I$5*Conv!$D$46)/10^6 +#REF!</f>
        <v>#REF!</v>
      </c>
      <c r="S725" s="177"/>
      <c r="T725" s="177"/>
      <c r="U725" s="177"/>
      <c r="V725" s="177"/>
      <c r="W725" s="177"/>
      <c r="X725" s="177"/>
      <c r="Y725" s="177"/>
      <c r="Z725" s="177"/>
      <c r="AA725" s="177"/>
      <c r="AB725" s="177"/>
      <c r="AC725" s="177"/>
    </row>
    <row r="726" spans="2:29">
      <c r="B726" s="158" t="str">
        <f>IF(OR(LEFT(Commodities!B$71,1)="*",LEFT(Technologies!B$522,1)="*"),"*","R2")</f>
        <v>*</v>
      </c>
      <c r="C726" s="158" t="e">
        <f>Technologies!C$547</f>
        <v>#REF!</v>
      </c>
      <c r="D726" s="158" t="str">
        <f>Technologies!D522</f>
        <v>Delivery of Imported LPG to the Commercial Sector</v>
      </c>
      <c r="E726" s="197" t="str">
        <f>Commodities!C$84</f>
        <v>LPGP2</v>
      </c>
      <c r="F726" s="197" t="e">
        <f>Commodities!C235</f>
        <v>#REF!</v>
      </c>
      <c r="G726" s="204">
        <v>1</v>
      </c>
      <c r="H726" s="203" t="e">
        <f>#REF!*#REF!^5/(Conv!$I$5*Conv!$D$46)/10^6 +#REF!</f>
        <v>#REF!</v>
      </c>
      <c r="I726" s="203" t="e">
        <f>#REF!*#REF!^5/(Conv!$I$5*Conv!$D$46)/10^6 +#REF!</f>
        <v>#REF!</v>
      </c>
      <c r="J726" s="203" t="e">
        <f>#REF!*#REF!^5/(Conv!$I$5*Conv!$D$46)/10^6 +#REF!</f>
        <v>#REF!</v>
      </c>
      <c r="K726" s="203" t="e">
        <f>#REF!*#REF!^5/(Conv!$I$5*Conv!$D$46)/10^6 +#REF!</f>
        <v>#REF!</v>
      </c>
      <c r="L726" s="203" t="e">
        <f>#REF!*#REF!^5/(Conv!$I$5*Conv!$D$46)/10^6 +#REF!</f>
        <v>#REF!</v>
      </c>
      <c r="M726" s="203" t="e">
        <f>#REF!*#REF!^5/(Conv!$I$5*Conv!$D$46)/10^6 +#REF!</f>
        <v>#REF!</v>
      </c>
      <c r="N726" s="203" t="e">
        <f>#REF!*#REF!^5/(Conv!$I$5*Conv!$D$46)/10^6 +#REF!</f>
        <v>#REF!</v>
      </c>
      <c r="O726" s="203" t="e">
        <f>#REF!*#REF!^5/(Conv!$I$5*Conv!$D$46)/10^6 +#REF!</f>
        <v>#REF!</v>
      </c>
      <c r="P726" s="203" t="e">
        <f>#REF!*#REF!^5/(Conv!$I$5*Conv!$D$46)/10^6 +#REF!</f>
        <v>#REF!</v>
      </c>
      <c r="Q726" s="203" t="e">
        <f>#REF!*#REF!^5/(Conv!$I$5*Conv!$D$46)/10^6 +#REF!</f>
        <v>#REF!</v>
      </c>
      <c r="S726" s="177"/>
      <c r="T726" s="177"/>
      <c r="U726" s="177"/>
      <c r="V726" s="177"/>
      <c r="W726" s="177"/>
      <c r="X726" s="177"/>
      <c r="Y726" s="177"/>
      <c r="Z726" s="177"/>
      <c r="AA726" s="177"/>
      <c r="AB726" s="177"/>
      <c r="AC726" s="177"/>
    </row>
    <row r="727" spans="2:29">
      <c r="B727" s="158" t="str">
        <f>IF(OR(LEFT(Commodities!B$71,1)="*",LEFT(Technologies!B$523,1)="*"),"*","R2")</f>
        <v>*</v>
      </c>
      <c r="C727" s="158" t="e">
        <f>Technologies!C$548</f>
        <v>#REF!</v>
      </c>
      <c r="D727" s="158" t="str">
        <f>Technologies!D523</f>
        <v>Delivery of Imported LPG to the Industrial Sector</v>
      </c>
      <c r="E727" s="197" t="str">
        <f>Commodities!C$84</f>
        <v>LPGP2</v>
      </c>
      <c r="F727" s="197" t="e">
        <f>Commodities!C236</f>
        <v>#REF!</v>
      </c>
      <c r="G727" s="204">
        <v>1</v>
      </c>
      <c r="H727" s="203" t="e">
        <f>#REF!*#REF!^5/(Conv!$I$5*Conv!$D$46)/10^6 +#REF!</f>
        <v>#REF!</v>
      </c>
      <c r="I727" s="203" t="e">
        <f>#REF!*#REF!^5/(Conv!$I$5*Conv!$D$46)/10^6 +#REF!</f>
        <v>#REF!</v>
      </c>
      <c r="J727" s="203" t="e">
        <f>#REF!*#REF!^5/(Conv!$I$5*Conv!$D$46)/10^6 +#REF!</f>
        <v>#REF!</v>
      </c>
      <c r="K727" s="203" t="e">
        <f>#REF!*#REF!^5/(Conv!$I$5*Conv!$D$46)/10^6 +#REF!</f>
        <v>#REF!</v>
      </c>
      <c r="L727" s="203" t="e">
        <f>#REF!*#REF!^5/(Conv!$I$5*Conv!$D$46)/10^6 +#REF!</f>
        <v>#REF!</v>
      </c>
      <c r="M727" s="203" t="e">
        <f>#REF!*#REF!^5/(Conv!$I$5*Conv!$D$46)/10^6 +#REF!</f>
        <v>#REF!</v>
      </c>
      <c r="N727" s="203" t="e">
        <f>#REF!*#REF!^5/(Conv!$I$5*Conv!$D$46)/10^6 +#REF!</f>
        <v>#REF!</v>
      </c>
      <c r="O727" s="203" t="e">
        <f>#REF!*#REF!^5/(Conv!$I$5*Conv!$D$46)/10^6 +#REF!</f>
        <v>#REF!</v>
      </c>
      <c r="P727" s="203" t="e">
        <f>#REF!*#REF!^5/(Conv!$I$5*Conv!$D$46)/10^6 +#REF!</f>
        <v>#REF!</v>
      </c>
      <c r="Q727" s="203" t="e">
        <f>#REF!*#REF!^5/(Conv!$I$5*Conv!$D$46)/10^6 +#REF!</f>
        <v>#REF!</v>
      </c>
      <c r="S727" s="177"/>
      <c r="T727" s="177"/>
      <c r="U727" s="177"/>
      <c r="V727" s="177"/>
      <c r="W727" s="177"/>
      <c r="X727" s="177"/>
      <c r="Y727" s="177"/>
      <c r="Z727" s="177"/>
      <c r="AA727" s="177"/>
      <c r="AB727" s="177"/>
      <c r="AC727" s="177"/>
    </row>
    <row r="728" spans="2:29">
      <c r="B728" s="158" t="str">
        <f>IF(OR(LEFT(Commodities!B$71,1)="*",LEFT(Technologies!B$524,1)="*"),"*","R2")</f>
        <v>*</v>
      </c>
      <c r="C728" s="158" t="e">
        <f>Technologies!C$549</f>
        <v>#REF!</v>
      </c>
      <c r="D728" s="158" t="str">
        <f>Technologies!D524</f>
        <v>Delivery of Imported LPG to the Transportation Sector</v>
      </c>
      <c r="E728" s="197" t="str">
        <f>Commodities!C$84</f>
        <v>LPGP2</v>
      </c>
      <c r="F728" s="197" t="e">
        <f>Commodities!C237</f>
        <v>#REF!</v>
      </c>
      <c r="G728" s="204">
        <v>1</v>
      </c>
      <c r="H728" s="203" t="e">
        <f>#REF!*#REF!^5/(Conv!$I$5*Conv!$D$46)/10^6 +#REF!</f>
        <v>#REF!</v>
      </c>
      <c r="I728" s="203" t="e">
        <f>#REF!*#REF!^5/(Conv!$I$5*Conv!$D$46)/10^6 +#REF!</f>
        <v>#REF!</v>
      </c>
      <c r="J728" s="203" t="e">
        <f>#REF!*#REF!^5/(Conv!$I$5*Conv!$D$46)/10^6 +#REF!</f>
        <v>#REF!</v>
      </c>
      <c r="K728" s="203" t="e">
        <f>#REF!*#REF!^5/(Conv!$I$5*Conv!$D$46)/10^6 +#REF!</f>
        <v>#REF!</v>
      </c>
      <c r="L728" s="203" t="e">
        <f>#REF!*#REF!^5/(Conv!$I$5*Conv!$D$46)/10^6 +#REF!</f>
        <v>#REF!</v>
      </c>
      <c r="M728" s="203" t="e">
        <f>#REF!*#REF!^5/(Conv!$I$5*Conv!$D$46)/10^6 +#REF!</f>
        <v>#REF!</v>
      </c>
      <c r="N728" s="203" t="e">
        <f>#REF!*#REF!^5/(Conv!$I$5*Conv!$D$46)/10^6 +#REF!</f>
        <v>#REF!</v>
      </c>
      <c r="O728" s="203" t="e">
        <f>#REF!*#REF!^5/(Conv!$I$5*Conv!$D$46)/10^6 +#REF!</f>
        <v>#REF!</v>
      </c>
      <c r="P728" s="203" t="e">
        <f>#REF!*#REF!^5/(Conv!$I$5*Conv!$D$46)/10^6 +#REF!</f>
        <v>#REF!</v>
      </c>
      <c r="Q728" s="203" t="e">
        <f>#REF!*#REF!^5/(Conv!$I$5*Conv!$D$46)/10^6 +#REF!</f>
        <v>#REF!</v>
      </c>
      <c r="S728" s="177"/>
      <c r="T728" s="177"/>
      <c r="U728" s="177"/>
      <c r="V728" s="177"/>
      <c r="W728" s="177"/>
      <c r="X728" s="177"/>
      <c r="Y728" s="177"/>
      <c r="Z728" s="177"/>
      <c r="AA728" s="177"/>
      <c r="AB728" s="177"/>
      <c r="AC728" s="177"/>
    </row>
    <row r="729" spans="2:29">
      <c r="B729" s="158" t="str">
        <f>IF(LEFT(Technologies!B$525,1)="*","*","R2")</f>
        <v>*</v>
      </c>
      <c r="C729" s="158" t="e">
        <f>Technologies!C$550</f>
        <v>#REF!</v>
      </c>
      <c r="D729" s="158" t="str">
        <f>Technologies!D525</f>
        <v>Delivery of Imported Methanol</v>
      </c>
      <c r="E729" s="197" t="str">
        <f>Commodities!C$85</f>
        <v>MTHP2</v>
      </c>
      <c r="F729" s="197" t="e">
        <f>Commodities!C238</f>
        <v>#REF!</v>
      </c>
      <c r="G729" s="204">
        <v>1</v>
      </c>
      <c r="H729" s="203" t="e">
        <f>#REF!*#REF!^5/(Conv!$I$5*Conv!$D$46)/10^6 +#REF!</f>
        <v>#REF!</v>
      </c>
      <c r="I729" s="203" t="e">
        <f>#REF!*#REF!^5/(Conv!$I$5*Conv!$D$46)/10^6 +#REF!</f>
        <v>#REF!</v>
      </c>
      <c r="J729" s="203" t="e">
        <f>#REF!*#REF!^5/(Conv!$I$5*Conv!$D$46)/10^6 +#REF!</f>
        <v>#REF!</v>
      </c>
      <c r="K729" s="203" t="e">
        <f>#REF!*#REF!^5/(Conv!$I$5*Conv!$D$46)/10^6 +#REF!</f>
        <v>#REF!</v>
      </c>
      <c r="L729" s="203" t="e">
        <f>#REF!*#REF!^5/(Conv!$I$5*Conv!$D$46)/10^6 +#REF!</f>
        <v>#REF!</v>
      </c>
      <c r="M729" s="203" t="e">
        <f>#REF!*#REF!^5/(Conv!$I$5*Conv!$D$46)/10^6 +#REF!</f>
        <v>#REF!</v>
      </c>
      <c r="N729" s="203" t="e">
        <f>#REF!*#REF!^5/(Conv!$I$5*Conv!$D$46)/10^6 +#REF!</f>
        <v>#REF!</v>
      </c>
      <c r="O729" s="203" t="e">
        <f>#REF!*#REF!^5/(Conv!$I$5*Conv!$D$46)/10^6 +#REF!</f>
        <v>#REF!</v>
      </c>
      <c r="P729" s="203" t="e">
        <f>#REF!*#REF!^5/(Conv!$I$5*Conv!$D$46)/10^6 +#REF!</f>
        <v>#REF!</v>
      </c>
      <c r="Q729" s="203" t="e">
        <f>#REF!*#REF!^5/(Conv!$I$5*Conv!$D$46)/10^6 +#REF!</f>
        <v>#REF!</v>
      </c>
      <c r="S729" s="177"/>
      <c r="T729" s="177"/>
      <c r="U729" s="177"/>
      <c r="V729" s="177"/>
      <c r="W729" s="177"/>
      <c r="X729" s="177"/>
      <c r="Y729" s="177"/>
      <c r="Z729" s="177"/>
      <c r="AA729" s="177"/>
      <c r="AB729" s="177"/>
      <c r="AC729" s="177"/>
    </row>
    <row r="730" spans="2:29">
      <c r="B730" s="158" t="str">
        <f>IF(OR(LEFT(Commodities!B$239,1)="*",LEFT(Technologies!B$526,1)="*"),"*","R2")</f>
        <v>*</v>
      </c>
      <c r="C730" s="158" t="e">
        <f>Technologies!C$551</f>
        <v>#REF!</v>
      </c>
      <c r="D730" s="158" t="str">
        <f>Technologies!D526</f>
        <v>Delivery of Imported Petrochemical Feedstocks</v>
      </c>
      <c r="E730" s="197" t="str">
        <f>Commodities!C$86</f>
        <v>PFSP2</v>
      </c>
      <c r="F730" s="197" t="e">
        <f>Commodities!C239</f>
        <v>#REF!</v>
      </c>
      <c r="G730" s="204">
        <v>1</v>
      </c>
      <c r="H730" s="203" t="e">
        <f>#REF!*#REF!^5/(Conv!$I$5*Conv!$D$46)/10^6 +#REF!</f>
        <v>#REF!</v>
      </c>
      <c r="I730" s="203" t="e">
        <f>#REF!*#REF!^5/(Conv!$I$5*Conv!$D$46)/10^6 +#REF!</f>
        <v>#REF!</v>
      </c>
      <c r="J730" s="203" t="e">
        <f>#REF!*#REF!^5/(Conv!$I$5*Conv!$D$46)/10^6 +#REF!</f>
        <v>#REF!</v>
      </c>
      <c r="K730" s="203" t="e">
        <f>#REF!*#REF!^5/(Conv!$I$5*Conv!$D$46)/10^6 +#REF!</f>
        <v>#REF!</v>
      </c>
      <c r="L730" s="203" t="e">
        <f>#REF!*#REF!^5/(Conv!$I$5*Conv!$D$46)/10^6 +#REF!</f>
        <v>#REF!</v>
      </c>
      <c r="M730" s="203" t="e">
        <f>#REF!*#REF!^5/(Conv!$I$5*Conv!$D$46)/10^6 +#REF!</f>
        <v>#REF!</v>
      </c>
      <c r="N730" s="203" t="e">
        <f>#REF!*#REF!^5/(Conv!$I$5*Conv!$D$46)/10^6 +#REF!</f>
        <v>#REF!</v>
      </c>
      <c r="O730" s="203" t="e">
        <f>#REF!*#REF!^5/(Conv!$I$5*Conv!$D$46)/10^6 +#REF!</f>
        <v>#REF!</v>
      </c>
      <c r="P730" s="203" t="e">
        <f>#REF!*#REF!^5/(Conv!$I$5*Conv!$D$46)/10^6 +#REF!</f>
        <v>#REF!</v>
      </c>
      <c r="Q730" s="203" t="e">
        <f>#REF!*#REF!^5/(Conv!$I$5*Conv!$D$46)/10^6 +#REF!</f>
        <v>#REF!</v>
      </c>
      <c r="S730" s="177"/>
      <c r="T730" s="177"/>
      <c r="U730" s="177"/>
      <c r="V730" s="177"/>
      <c r="W730" s="177"/>
      <c r="X730" s="177"/>
      <c r="Y730" s="177"/>
      <c r="Z730" s="177"/>
      <c r="AA730" s="177"/>
      <c r="AB730" s="177"/>
      <c r="AC730" s="177"/>
    </row>
    <row r="731" spans="2:29">
      <c r="B731" s="158" t="str">
        <f>IF(OR(LEFT(Commodities!B$75,1)="*",LEFT(Technologies!B$527,1)="*"),"*","R2")</f>
        <v>*</v>
      </c>
      <c r="C731" s="158" t="str">
        <f>Technologies!C$552</f>
        <v>XIRESRFLP2</v>
      </c>
      <c r="D731" s="158" t="str">
        <f>Technologies!D527</f>
        <v>Delivery of Imported Low Sulfur Residual Fuel Oil to Residential Sector</v>
      </c>
      <c r="E731" s="197" t="str">
        <f>Commodities!C$88</f>
        <v>RFLP2</v>
      </c>
      <c r="F731" s="197" t="str">
        <f>Commodities!C240</f>
        <v>RESRFL</v>
      </c>
      <c r="G731" s="204">
        <v>1</v>
      </c>
      <c r="H731" s="203" t="e">
        <f>#REF!*#REF!^5/(Conv!$I$5*Conv!$D$46)/10^6 +#REF!</f>
        <v>#REF!</v>
      </c>
      <c r="I731" s="203" t="e">
        <f>#REF!*#REF!^5/(Conv!$I$5*Conv!$D$46)/10^6 +#REF!</f>
        <v>#REF!</v>
      </c>
      <c r="J731" s="203" t="e">
        <f>#REF!*#REF!^5/(Conv!$I$5*Conv!$D$46)/10^6 +#REF!</f>
        <v>#REF!</v>
      </c>
      <c r="K731" s="203" t="e">
        <f>#REF!*#REF!^5/(Conv!$I$5*Conv!$D$46)/10^6 +#REF!</f>
        <v>#REF!</v>
      </c>
      <c r="L731" s="203" t="e">
        <f>#REF!*#REF!^5/(Conv!$I$5*Conv!$D$46)/10^6 +#REF!</f>
        <v>#REF!</v>
      </c>
      <c r="M731" s="203" t="e">
        <f>#REF!*#REF!^5/(Conv!$I$5*Conv!$D$46)/10^6 +#REF!</f>
        <v>#REF!</v>
      </c>
      <c r="N731" s="203" t="e">
        <f>#REF!*#REF!^5/(Conv!$I$5*Conv!$D$46)/10^6 +#REF!</f>
        <v>#REF!</v>
      </c>
      <c r="O731" s="203" t="e">
        <f>#REF!*#REF!^5/(Conv!$I$5*Conv!$D$46)/10^6 +#REF!</f>
        <v>#REF!</v>
      </c>
      <c r="P731" s="203" t="e">
        <f>#REF!*#REF!^5/(Conv!$I$5*Conv!$D$46)/10^6 +#REF!</f>
        <v>#REF!</v>
      </c>
      <c r="Q731" s="203" t="e">
        <f>#REF!*#REF!^5/(Conv!$I$5*Conv!$D$46)/10^6 +#REF!</f>
        <v>#REF!</v>
      </c>
      <c r="S731" s="177"/>
      <c r="T731" s="177"/>
      <c r="U731" s="177"/>
      <c r="V731" s="177"/>
      <c r="W731" s="177"/>
      <c r="X731" s="177"/>
      <c r="Y731" s="177"/>
      <c r="Z731" s="177"/>
      <c r="AA731" s="177"/>
      <c r="AB731" s="177"/>
      <c r="AC731" s="177"/>
    </row>
    <row r="732" spans="2:29">
      <c r="B732" s="158" t="str">
        <f>IF(OR(LEFT(Commodities!B$75,1)="*",LEFT(Technologies!B$528,1)="*"),"*","R2")</f>
        <v>*</v>
      </c>
      <c r="C732" s="158" t="e">
        <f>Technologies!C$553</f>
        <v>#REF!</v>
      </c>
      <c r="D732" s="158" t="str">
        <f>Technologies!D528</f>
        <v>Delivery of Imported Low Sulfur Residual Fuel Oil to Commercial Sector</v>
      </c>
      <c r="E732" s="197" t="str">
        <f>Commodities!C$88</f>
        <v>RFLP2</v>
      </c>
      <c r="F732" s="197" t="e">
        <f>Commodities!C241</f>
        <v>#REF!</v>
      </c>
      <c r="G732" s="204">
        <v>1</v>
      </c>
      <c r="H732" s="203" t="e">
        <f>#REF!*#REF!^5/(Conv!$I$5*Conv!$D$46)/10^6 +#REF!</f>
        <v>#REF!</v>
      </c>
      <c r="I732" s="203" t="e">
        <f>#REF!*#REF!^5/(Conv!$I$5*Conv!$D$46)/10^6 +#REF!</f>
        <v>#REF!</v>
      </c>
      <c r="J732" s="203" t="e">
        <f>#REF!*#REF!^5/(Conv!$I$5*Conv!$D$46)/10^6 +#REF!</f>
        <v>#REF!</v>
      </c>
      <c r="K732" s="203" t="e">
        <f>#REF!*#REF!^5/(Conv!$I$5*Conv!$D$46)/10^6 +#REF!</f>
        <v>#REF!</v>
      </c>
      <c r="L732" s="203" t="e">
        <f>#REF!*#REF!^5/(Conv!$I$5*Conv!$D$46)/10^6 +#REF!</f>
        <v>#REF!</v>
      </c>
      <c r="M732" s="203" t="e">
        <f>#REF!*#REF!^5/(Conv!$I$5*Conv!$D$46)/10^6 +#REF!</f>
        <v>#REF!</v>
      </c>
      <c r="N732" s="203" t="e">
        <f>#REF!*#REF!^5/(Conv!$I$5*Conv!$D$46)/10^6 +#REF!</f>
        <v>#REF!</v>
      </c>
      <c r="O732" s="203" t="e">
        <f>#REF!*#REF!^5/(Conv!$I$5*Conv!$D$46)/10^6 +#REF!</f>
        <v>#REF!</v>
      </c>
      <c r="P732" s="203" t="e">
        <f>#REF!*#REF!^5/(Conv!$I$5*Conv!$D$46)/10^6 +#REF!</f>
        <v>#REF!</v>
      </c>
      <c r="Q732" s="203" t="e">
        <f>#REF!*#REF!^5/(Conv!$I$5*Conv!$D$46)/10^6 +#REF!</f>
        <v>#REF!</v>
      </c>
      <c r="S732" s="177"/>
      <c r="T732" s="177"/>
      <c r="U732" s="177"/>
      <c r="V732" s="177"/>
      <c r="W732" s="177"/>
      <c r="X732" s="177"/>
      <c r="Y732" s="177"/>
      <c r="Z732" s="177"/>
      <c r="AA732" s="177"/>
      <c r="AB732" s="177"/>
      <c r="AC732" s="177"/>
    </row>
    <row r="733" spans="2:29">
      <c r="B733" s="158" t="str">
        <f>IF(OR(LEFT(Commodities!B$75,1)="*",LEFT(Technologies!B$529,1)="*"),"*","R2")</f>
        <v>R2</v>
      </c>
      <c r="C733" s="158" t="e">
        <f>Technologies!C$554</f>
        <v>#REF!</v>
      </c>
      <c r="D733" s="158" t="str">
        <f>Technologies!D529</f>
        <v>Delivery of Imported Low Sulfur Residual Fuel Oil to Industrial Sector</v>
      </c>
      <c r="E733" s="197" t="str">
        <f>Commodities!C$88</f>
        <v>RFLP2</v>
      </c>
      <c r="F733" s="197" t="e">
        <f>Commodities!C242</f>
        <v>#REF!</v>
      </c>
      <c r="G733" s="204">
        <v>1</v>
      </c>
      <c r="H733" s="203" t="e">
        <f>#REF!*#REF!^5/(Conv!$I$5*Conv!$D$46)/10^6 +#REF!</f>
        <v>#REF!</v>
      </c>
      <c r="I733" s="203" t="e">
        <f>#REF!*#REF!^5/(Conv!$I$5*Conv!$D$46)/10^6 +#REF!</f>
        <v>#REF!</v>
      </c>
      <c r="J733" s="203" t="e">
        <f>#REF!*#REF!^5/(Conv!$I$5*Conv!$D$46)/10^6 +#REF!</f>
        <v>#REF!</v>
      </c>
      <c r="K733" s="203" t="e">
        <f>#REF!*#REF!^5/(Conv!$I$5*Conv!$D$46)/10^6 +#REF!</f>
        <v>#REF!</v>
      </c>
      <c r="L733" s="203" t="e">
        <f>#REF!*#REF!^5/(Conv!$I$5*Conv!$D$46)/10^6 +#REF!</f>
        <v>#REF!</v>
      </c>
      <c r="M733" s="203" t="e">
        <f>#REF!*#REF!^5/(Conv!$I$5*Conv!$D$46)/10^6 +#REF!</f>
        <v>#REF!</v>
      </c>
      <c r="N733" s="203" t="e">
        <f>#REF!*#REF!^5/(Conv!$I$5*Conv!$D$46)/10^6 +#REF!</f>
        <v>#REF!</v>
      </c>
      <c r="O733" s="203" t="e">
        <f>#REF!*#REF!^5/(Conv!$I$5*Conv!$D$46)/10^6 +#REF!</f>
        <v>#REF!</v>
      </c>
      <c r="P733" s="203" t="e">
        <f>#REF!*#REF!^5/(Conv!$I$5*Conv!$D$46)/10^6 +#REF!</f>
        <v>#REF!</v>
      </c>
      <c r="Q733" s="203" t="e">
        <f>#REF!*#REF!^5/(Conv!$I$5*Conv!$D$46)/10^6 +#REF!</f>
        <v>#REF!</v>
      </c>
      <c r="S733" s="177"/>
      <c r="T733" s="177"/>
      <c r="U733" s="177"/>
      <c r="V733" s="177"/>
      <c r="W733" s="177"/>
      <c r="X733" s="177"/>
      <c r="Y733" s="177"/>
      <c r="Z733" s="177"/>
      <c r="AA733" s="177"/>
      <c r="AB733" s="177"/>
      <c r="AC733" s="177"/>
    </row>
    <row r="734" spans="2:29">
      <c r="B734" s="158" t="str">
        <f>IF(OR(LEFT(Commodities!B$75,1)="*",LEFT(Technologies!B$530,1)="*"),"*","R2")</f>
        <v>*</v>
      </c>
      <c r="C734" s="158" t="e">
        <f>Technologies!C$555</f>
        <v>#REF!</v>
      </c>
      <c r="D734" s="158" t="str">
        <f>Technologies!D530</f>
        <v>Delivery of Imported Low Sulfur Residual Fuel Oil to Electricity Sector</v>
      </c>
      <c r="E734" s="197" t="str">
        <f>Commodities!C$88</f>
        <v>RFLP2</v>
      </c>
      <c r="F734" s="197" t="e">
        <f>Commodities!C243</f>
        <v>#REF!</v>
      </c>
      <c r="G734" s="204">
        <v>1</v>
      </c>
      <c r="H734" s="203" t="e">
        <f>#REF!*#REF!^5/(Conv!$I$5*Conv!$D$46)/10^6 +#REF!</f>
        <v>#REF!</v>
      </c>
      <c r="I734" s="203" t="e">
        <f>#REF!*#REF!^5/(Conv!$I$5*Conv!$D$46)/10^6 +#REF!</f>
        <v>#REF!</v>
      </c>
      <c r="J734" s="203" t="e">
        <f>#REF!*#REF!^5/(Conv!$I$5*Conv!$D$46)/10^6 +#REF!</f>
        <v>#REF!</v>
      </c>
      <c r="K734" s="203" t="e">
        <f>#REF!*#REF!^5/(Conv!$I$5*Conv!$D$46)/10^6 +#REF!</f>
        <v>#REF!</v>
      </c>
      <c r="L734" s="203" t="e">
        <f>#REF!*#REF!^5/(Conv!$I$5*Conv!$D$46)/10^6 +#REF!</f>
        <v>#REF!</v>
      </c>
      <c r="M734" s="203" t="e">
        <f>#REF!*#REF!^5/(Conv!$I$5*Conv!$D$46)/10^6 +#REF!</f>
        <v>#REF!</v>
      </c>
      <c r="N734" s="203" t="e">
        <f>#REF!*#REF!^5/(Conv!$I$5*Conv!$D$46)/10^6 +#REF!</f>
        <v>#REF!</v>
      </c>
      <c r="O734" s="203" t="e">
        <f>#REF!*#REF!^5/(Conv!$I$5*Conv!$D$46)/10^6 +#REF!</f>
        <v>#REF!</v>
      </c>
      <c r="P734" s="203" t="e">
        <f>#REF!*#REF!^5/(Conv!$I$5*Conv!$D$46)/10^6 +#REF!</f>
        <v>#REF!</v>
      </c>
      <c r="Q734" s="203" t="e">
        <f>#REF!*#REF!^5/(Conv!$I$5*Conv!$D$46)/10^6 +#REF!</f>
        <v>#REF!</v>
      </c>
      <c r="S734" s="177"/>
      <c r="T734" s="177"/>
      <c r="U734" s="177"/>
      <c r="V734" s="177"/>
      <c r="W734" s="177"/>
      <c r="X734" s="177"/>
      <c r="Y734" s="177"/>
      <c r="Z734" s="177"/>
      <c r="AA734" s="177"/>
      <c r="AB734" s="177"/>
      <c r="AC734" s="177"/>
    </row>
    <row r="735" spans="2:29">
      <c r="B735" s="158" t="str">
        <f>IF(OR(LEFT(Commodities!B$74,1)="*",LEFT(Technologies!B$531,1)="*"),"*","R2")</f>
        <v>*</v>
      </c>
      <c r="C735" s="158" t="e">
        <f>Technologies!C$556</f>
        <v>#REF!</v>
      </c>
      <c r="D735" s="158" t="str">
        <f>Technologies!D531</f>
        <v>Delivery of Imported High Sulfur Residual Fuel Oil to Transportation Sector</v>
      </c>
      <c r="E735" s="197" t="str">
        <f>Commodities!C$87</f>
        <v>RFHP2</v>
      </c>
      <c r="F735" s="197" t="e">
        <f>Commodities!C244</f>
        <v>#REF!</v>
      </c>
      <c r="G735" s="204">
        <v>1</v>
      </c>
      <c r="H735" s="203" t="e">
        <f>#REF!*#REF!^5/(Conv!$I$5*Conv!$D$46)/10^6 +#REF!</f>
        <v>#REF!</v>
      </c>
      <c r="I735" s="203" t="e">
        <f>#REF!*#REF!^5/(Conv!$I$5*Conv!$D$46)/10^6 +#REF!</f>
        <v>#REF!</v>
      </c>
      <c r="J735" s="203" t="e">
        <f>#REF!*#REF!^5/(Conv!$I$5*Conv!$D$46)/10^6 +#REF!</f>
        <v>#REF!</v>
      </c>
      <c r="K735" s="203" t="e">
        <f>#REF!*#REF!^5/(Conv!$I$5*Conv!$D$46)/10^6 +#REF!</f>
        <v>#REF!</v>
      </c>
      <c r="L735" s="203" t="e">
        <f>#REF!*#REF!^5/(Conv!$I$5*Conv!$D$46)/10^6 +#REF!</f>
        <v>#REF!</v>
      </c>
      <c r="M735" s="203" t="e">
        <f>#REF!*#REF!^5/(Conv!$I$5*Conv!$D$46)/10^6 +#REF!</f>
        <v>#REF!</v>
      </c>
      <c r="N735" s="203" t="e">
        <f>#REF!*#REF!^5/(Conv!$I$5*Conv!$D$46)/10^6 +#REF!</f>
        <v>#REF!</v>
      </c>
      <c r="O735" s="203" t="e">
        <f>#REF!*#REF!^5/(Conv!$I$5*Conv!$D$46)/10^6 +#REF!</f>
        <v>#REF!</v>
      </c>
      <c r="P735" s="203" t="e">
        <f>#REF!*#REF!^5/(Conv!$I$5*Conv!$D$46)/10^6 +#REF!</f>
        <v>#REF!</v>
      </c>
      <c r="Q735" s="203" t="e">
        <f>#REF!*#REF!^5/(Conv!$I$5*Conv!$D$46)/10^6 +#REF!</f>
        <v>#REF!</v>
      </c>
      <c r="S735" s="177"/>
      <c r="T735" s="177"/>
      <c r="U735" s="177"/>
      <c r="V735" s="177"/>
      <c r="W735" s="177"/>
      <c r="X735" s="177"/>
      <c r="Y735" s="177"/>
      <c r="Z735" s="177"/>
      <c r="AA735" s="177"/>
      <c r="AB735" s="177"/>
      <c r="AC735" s="177"/>
    </row>
    <row r="736" spans="2:29">
      <c r="B736" s="158" t="str">
        <f>IF(OR(LEFT(Commodities!B$74,1)="*",LEFT(Technologies!B$532,1)="*"),"*","R2")</f>
        <v>*</v>
      </c>
      <c r="C736" s="158" t="e">
        <f>Technologies!C$557</f>
        <v>#REF!</v>
      </c>
      <c r="D736" s="158" t="str">
        <f>Technologies!D532</f>
        <v>Delivery of Imported High Sulfur Residual Fuel Oil to Electricity Sector</v>
      </c>
      <c r="E736" s="197" t="str">
        <f>Commodities!C$87</f>
        <v>RFHP2</v>
      </c>
      <c r="F736" s="197" t="e">
        <f>Commodities!C245</f>
        <v>#REF!</v>
      </c>
      <c r="G736" s="204">
        <v>1</v>
      </c>
      <c r="H736" s="203" t="e">
        <f>#REF!*#REF!^5/(Conv!$I$5*Conv!$D$46)/10^6 +#REF!</f>
        <v>#REF!</v>
      </c>
      <c r="I736" s="203" t="e">
        <f>#REF!*#REF!^5/(Conv!$I$5*Conv!$D$46)/10^6 +#REF!</f>
        <v>#REF!</v>
      </c>
      <c r="J736" s="203" t="e">
        <f>#REF!*#REF!^5/(Conv!$I$5*Conv!$D$46)/10^6 +#REF!</f>
        <v>#REF!</v>
      </c>
      <c r="K736" s="203" t="e">
        <f>#REF!*#REF!^5/(Conv!$I$5*Conv!$D$46)/10^6 +#REF!</f>
        <v>#REF!</v>
      </c>
      <c r="L736" s="203" t="e">
        <f>#REF!*#REF!^5/(Conv!$I$5*Conv!$D$46)/10^6 +#REF!</f>
        <v>#REF!</v>
      </c>
      <c r="M736" s="203" t="e">
        <f>#REF!*#REF!^5/(Conv!$I$5*Conv!$D$46)/10^6 +#REF!</f>
        <v>#REF!</v>
      </c>
      <c r="N736" s="203" t="e">
        <f>#REF!*#REF!^5/(Conv!$I$5*Conv!$D$46)/10^6 +#REF!</f>
        <v>#REF!</v>
      </c>
      <c r="O736" s="203" t="e">
        <f>#REF!*#REF!^5/(Conv!$I$5*Conv!$D$46)/10^6 +#REF!</f>
        <v>#REF!</v>
      </c>
      <c r="P736" s="203" t="e">
        <f>#REF!*#REF!^5/(Conv!$I$5*Conv!$D$46)/10^6 +#REF!</f>
        <v>#REF!</v>
      </c>
      <c r="Q736" s="203" t="e">
        <f>#REF!*#REF!^5/(Conv!$I$5*Conv!$D$46)/10^6 +#REF!</f>
        <v>#REF!</v>
      </c>
      <c r="S736" s="177"/>
      <c r="T736" s="177"/>
      <c r="U736" s="177"/>
      <c r="V736" s="177"/>
      <c r="W736" s="177"/>
      <c r="X736" s="177"/>
      <c r="Y736" s="177"/>
      <c r="Z736" s="177"/>
      <c r="AA736" s="177"/>
      <c r="AB736" s="177"/>
      <c r="AC736" s="177"/>
    </row>
    <row r="737" spans="2:29">
      <c r="B737" s="160" t="s">
        <v>1032</v>
      </c>
      <c r="C737" s="160"/>
      <c r="D737" s="160"/>
      <c r="E737" s="196"/>
      <c r="F737" s="196"/>
      <c r="G737" s="200"/>
      <c r="H737" s="174"/>
      <c r="I737" s="174"/>
      <c r="J737" s="174"/>
      <c r="K737" s="174"/>
      <c r="L737" s="174"/>
      <c r="M737" s="174"/>
      <c r="N737" s="174"/>
      <c r="O737" s="174"/>
      <c r="P737" s="174"/>
      <c r="Q737" s="174"/>
    </row>
    <row r="738" spans="2:29">
      <c r="B738" s="158" t="str">
        <f>IF(LEFT(Technologies!B$509,1)="*","*","R3")</f>
        <v>R3</v>
      </c>
      <c r="C738" s="158" t="e">
        <f>Technologies!C$534</f>
        <v>#REF!</v>
      </c>
      <c r="D738" s="158" t="str">
        <f>Technologies!D509</f>
        <v>Delivery of Imported Conventional Gasoline</v>
      </c>
      <c r="E738" s="197" t="str">
        <f>Commodities!C$80</f>
        <v>GSCP2</v>
      </c>
      <c r="F738" s="197" t="e">
        <f>Commodities!C222</f>
        <v>#REF!</v>
      </c>
      <c r="G738" s="204">
        <v>1</v>
      </c>
      <c r="H738" s="203" t="e">
        <f>#REF!*#REF!^5/(Conv!$I$5*Conv!$D$46)/10^6 +#REF!</f>
        <v>#REF!</v>
      </c>
      <c r="I738" s="203" t="e">
        <f>#REF!*#REF!^5/(Conv!$I$5*Conv!$D$46)/10^6 +#REF!</f>
        <v>#REF!</v>
      </c>
      <c r="J738" s="203" t="e">
        <f>#REF!*#REF!^5/(Conv!$I$5*Conv!$D$46)/10^6 +#REF!</f>
        <v>#REF!</v>
      </c>
      <c r="K738" s="203" t="e">
        <f>#REF!*#REF!^5/(Conv!$I$5*Conv!$D$46)/10^6 +#REF!</f>
        <v>#REF!</v>
      </c>
      <c r="L738" s="203" t="e">
        <f>#REF!*#REF!^5/(Conv!$I$5*Conv!$D$46)/10^6 +#REF!</f>
        <v>#REF!</v>
      </c>
      <c r="M738" s="203" t="e">
        <f>#REF!*#REF!^5/(Conv!$I$5*Conv!$D$46)/10^6 +#REF!</f>
        <v>#REF!</v>
      </c>
      <c r="N738" s="203" t="e">
        <f>#REF!*#REF!^5/(Conv!$I$5*Conv!$D$46)/10^6 +#REF!</f>
        <v>#REF!</v>
      </c>
      <c r="O738" s="203" t="e">
        <f>#REF!*#REF!^5/(Conv!$I$5*Conv!$D$46)/10^6 +#REF!</f>
        <v>#REF!</v>
      </c>
      <c r="P738" s="203" t="e">
        <f>#REF!*#REF!^5/(Conv!$I$5*Conv!$D$46)/10^6 +#REF!</f>
        <v>#REF!</v>
      </c>
      <c r="Q738" s="203" t="e">
        <f>#REF!*#REF!^5/(Conv!$I$5*Conv!$D$46)/10^6 +#REF!</f>
        <v>#REF!</v>
      </c>
      <c r="S738" s="177"/>
      <c r="T738" s="177"/>
      <c r="U738" s="177"/>
      <c r="V738" s="177"/>
      <c r="W738" s="177"/>
      <c r="X738" s="177"/>
      <c r="Y738" s="177"/>
      <c r="Z738" s="177"/>
      <c r="AA738" s="177"/>
      <c r="AB738" s="177"/>
      <c r="AC738" s="177"/>
    </row>
    <row r="739" spans="2:29">
      <c r="B739" s="158" t="str">
        <f>IF(LEFT(Technologies!B$510,1)="*","*","R3")</f>
        <v>R3</v>
      </c>
      <c r="C739" s="158" t="e">
        <f>Technologies!C$535</f>
        <v>#REF!</v>
      </c>
      <c r="D739" s="158" t="str">
        <f>Technologies!D510</f>
        <v>Delivery of Imported Reformulated Gasoline</v>
      </c>
      <c r="E739" s="197" t="str">
        <f>Commodities!C$81</f>
        <v>GSRP2</v>
      </c>
      <c r="F739" s="197" t="e">
        <f>Commodities!C223</f>
        <v>#REF!</v>
      </c>
      <c r="G739" s="204">
        <v>1</v>
      </c>
      <c r="H739" s="203" t="e">
        <f>#REF!*#REF!^5/(Conv!$I$5*Conv!$D$46)/10^6 +#REF!</f>
        <v>#REF!</v>
      </c>
      <c r="I739" s="203" t="e">
        <f>#REF!*#REF!^5/(Conv!$I$5*Conv!$D$46)/10^6 +#REF!</f>
        <v>#REF!</v>
      </c>
      <c r="J739" s="203" t="e">
        <f>#REF!*#REF!^5/(Conv!$I$5*Conv!$D$46)/10^6 +#REF!</f>
        <v>#REF!</v>
      </c>
      <c r="K739" s="203" t="e">
        <f>#REF!*#REF!^5/(Conv!$I$5*Conv!$D$46)/10^6 +#REF!</f>
        <v>#REF!</v>
      </c>
      <c r="L739" s="203" t="e">
        <f>#REF!*#REF!^5/(Conv!$I$5*Conv!$D$46)/10^6 +#REF!</f>
        <v>#REF!</v>
      </c>
      <c r="M739" s="203" t="e">
        <f>#REF!*#REF!^5/(Conv!$I$5*Conv!$D$46)/10^6 +#REF!</f>
        <v>#REF!</v>
      </c>
      <c r="N739" s="203" t="e">
        <f>#REF!*#REF!^5/(Conv!$I$5*Conv!$D$46)/10^6 +#REF!</f>
        <v>#REF!</v>
      </c>
      <c r="O739" s="203" t="e">
        <f>#REF!*#REF!^5/(Conv!$I$5*Conv!$D$46)/10^6 +#REF!</f>
        <v>#REF!</v>
      </c>
      <c r="P739" s="203" t="e">
        <f>#REF!*#REF!^5/(Conv!$I$5*Conv!$D$46)/10^6 +#REF!</f>
        <v>#REF!</v>
      </c>
      <c r="Q739" s="203" t="e">
        <f>#REF!*#REF!^5/(Conv!$I$5*Conv!$D$46)/10^6 +#REF!</f>
        <v>#REF!</v>
      </c>
      <c r="S739" s="177"/>
      <c r="T739" s="177"/>
      <c r="U739" s="177"/>
      <c r="V739" s="177"/>
      <c r="W739" s="177"/>
      <c r="X739" s="177"/>
      <c r="Y739" s="177"/>
      <c r="Z739" s="177"/>
      <c r="AA739" s="177"/>
      <c r="AB739" s="177"/>
      <c r="AC739" s="177"/>
    </row>
    <row r="740" spans="2:29">
      <c r="B740" s="158" t="str">
        <f>IF(OR(LEFT(Commodities!B$64,1)="*",LEFT(Technologies!B$511,1)="*"),"*","R3")</f>
        <v>R3</v>
      </c>
      <c r="C740" s="158" t="e">
        <f>Technologies!C$536</f>
        <v>#REF!</v>
      </c>
      <c r="D740" s="158" t="str">
        <f>Technologies!D511</f>
        <v>Delivery of Imported Distillate-Heating Oil No. 2 to the Residential Sector</v>
      </c>
      <c r="E740" s="197" t="str">
        <f>Commodities!C$77</f>
        <v>DSHP2</v>
      </c>
      <c r="F740" s="197" t="e">
        <f>Commodities!C224</f>
        <v>#REF!</v>
      </c>
      <c r="G740" s="204">
        <v>1</v>
      </c>
      <c r="H740" s="203" t="e">
        <f>#REF!*#REF!^5/(Conv!$I$5*Conv!$D$46)/10^6 +#REF!</f>
        <v>#REF!</v>
      </c>
      <c r="I740" s="203" t="e">
        <f>#REF!*#REF!^5/(Conv!$I$5*Conv!$D$46)/10^6 +#REF!</f>
        <v>#REF!</v>
      </c>
      <c r="J740" s="203" t="e">
        <f>#REF!*#REF!^5/(Conv!$I$5*Conv!$D$46)/10^6 +#REF!</f>
        <v>#REF!</v>
      </c>
      <c r="K740" s="203" t="e">
        <f>#REF!*#REF!^5/(Conv!$I$5*Conv!$D$46)/10^6 +#REF!</f>
        <v>#REF!</v>
      </c>
      <c r="L740" s="203" t="e">
        <f>#REF!*#REF!^5/(Conv!$I$5*Conv!$D$46)/10^6 +#REF!</f>
        <v>#REF!</v>
      </c>
      <c r="M740" s="203" t="e">
        <f>#REF!*#REF!^5/(Conv!$I$5*Conv!$D$46)/10^6 +#REF!</f>
        <v>#REF!</v>
      </c>
      <c r="N740" s="203" t="e">
        <f>#REF!*#REF!^5/(Conv!$I$5*Conv!$D$46)/10^6 +#REF!</f>
        <v>#REF!</v>
      </c>
      <c r="O740" s="203" t="e">
        <f>#REF!*#REF!^5/(Conv!$I$5*Conv!$D$46)/10^6 +#REF!</f>
        <v>#REF!</v>
      </c>
      <c r="P740" s="203" t="e">
        <f>#REF!*#REF!^5/(Conv!$I$5*Conv!$D$46)/10^6 +#REF!</f>
        <v>#REF!</v>
      </c>
      <c r="Q740" s="203" t="e">
        <f>#REF!*#REF!^5/(Conv!$I$5*Conv!$D$46)/10^6 +#REF!</f>
        <v>#REF!</v>
      </c>
      <c r="S740" s="177"/>
      <c r="T740" s="177"/>
      <c r="U740" s="177"/>
      <c r="V740" s="177"/>
      <c r="W740" s="177"/>
      <c r="X740" s="177"/>
      <c r="Y740" s="177"/>
      <c r="Z740" s="177"/>
      <c r="AA740" s="177"/>
      <c r="AB740" s="177"/>
      <c r="AC740" s="177"/>
    </row>
    <row r="741" spans="2:29">
      <c r="B741" s="158" t="str">
        <f>IF(OR(LEFT(Commodities!B$64,1)="*",LEFT(Technologies!B$512,1)="*"),"*","R3")</f>
        <v>R3</v>
      </c>
      <c r="C741" s="158" t="e">
        <f>Technologies!C$537</f>
        <v>#REF!</v>
      </c>
      <c r="D741" s="158" t="str">
        <f>Technologies!D512</f>
        <v>Delivery of Imported Distillate-Heating Oil No. 2 to the Commercial Sector</v>
      </c>
      <c r="E741" s="197" t="str">
        <f>Commodities!C$77</f>
        <v>DSHP2</v>
      </c>
      <c r="F741" s="197" t="e">
        <f>Commodities!C225</f>
        <v>#REF!</v>
      </c>
      <c r="G741" s="204">
        <v>1</v>
      </c>
      <c r="H741" s="203" t="e">
        <f>#REF!*#REF!^5/(Conv!$I$5*Conv!$D$46)/10^6 +#REF!</f>
        <v>#REF!</v>
      </c>
      <c r="I741" s="203" t="e">
        <f>#REF!*#REF!^5/(Conv!$I$5*Conv!$D$46)/10^6 +#REF!</f>
        <v>#REF!</v>
      </c>
      <c r="J741" s="203" t="e">
        <f>#REF!*#REF!^5/(Conv!$I$5*Conv!$D$46)/10^6 +#REF!</f>
        <v>#REF!</v>
      </c>
      <c r="K741" s="203" t="e">
        <f>#REF!*#REF!^5/(Conv!$I$5*Conv!$D$46)/10^6 +#REF!</f>
        <v>#REF!</v>
      </c>
      <c r="L741" s="203" t="e">
        <f>#REF!*#REF!^5/(Conv!$I$5*Conv!$D$46)/10^6 +#REF!</f>
        <v>#REF!</v>
      </c>
      <c r="M741" s="203" t="e">
        <f>#REF!*#REF!^5/(Conv!$I$5*Conv!$D$46)/10^6 +#REF!</f>
        <v>#REF!</v>
      </c>
      <c r="N741" s="203" t="e">
        <f>#REF!*#REF!^5/(Conv!$I$5*Conv!$D$46)/10^6 +#REF!</f>
        <v>#REF!</v>
      </c>
      <c r="O741" s="203" t="e">
        <f>#REF!*#REF!^5/(Conv!$I$5*Conv!$D$46)/10^6 +#REF!</f>
        <v>#REF!</v>
      </c>
      <c r="P741" s="203" t="e">
        <f>#REF!*#REF!^5/(Conv!$I$5*Conv!$D$46)/10^6 +#REF!</f>
        <v>#REF!</v>
      </c>
      <c r="Q741" s="203" t="e">
        <f>#REF!*#REF!^5/(Conv!$I$5*Conv!$D$46)/10^6 +#REF!</f>
        <v>#REF!</v>
      </c>
      <c r="S741" s="177"/>
      <c r="T741" s="177"/>
      <c r="U741" s="177"/>
      <c r="V741" s="177"/>
      <c r="W741" s="177"/>
      <c r="X741" s="177"/>
      <c r="Y741" s="177"/>
      <c r="Z741" s="177"/>
      <c r="AA741" s="177"/>
      <c r="AB741" s="177"/>
      <c r="AC741" s="177"/>
    </row>
    <row r="742" spans="2:29">
      <c r="B742" s="158" t="str">
        <f>IF(OR(LEFT(Commodities!B$64,1)="*",LEFT(Technologies!B$513,1)="*"),"*","R3")</f>
        <v>*</v>
      </c>
      <c r="C742" s="158" t="e">
        <f>Technologies!C$538</f>
        <v>#REF!</v>
      </c>
      <c r="D742" s="158" t="str">
        <f>Technologies!D513</f>
        <v>Delivery of Imported Distillate-Heating Oil No. 2 to the Indistrial Sector</v>
      </c>
      <c r="E742" s="197" t="str">
        <f>Commodities!C$77</f>
        <v>DSHP2</v>
      </c>
      <c r="F742" s="197" t="e">
        <f>Commodities!C226</f>
        <v>#REF!</v>
      </c>
      <c r="G742" s="204">
        <v>1</v>
      </c>
      <c r="H742" s="203" t="e">
        <f>#REF!*#REF!^5/(Conv!$I$5*Conv!$D$46)/10^6 +#REF!</f>
        <v>#REF!</v>
      </c>
      <c r="I742" s="203" t="e">
        <f>#REF!*#REF!^5/(Conv!$I$5*Conv!$D$46)/10^6 +#REF!</f>
        <v>#REF!</v>
      </c>
      <c r="J742" s="203" t="e">
        <f>#REF!*#REF!^5/(Conv!$I$5*Conv!$D$46)/10^6 +#REF!</f>
        <v>#REF!</v>
      </c>
      <c r="K742" s="203" t="e">
        <f>#REF!*#REF!^5/(Conv!$I$5*Conv!$D$46)/10^6 +#REF!</f>
        <v>#REF!</v>
      </c>
      <c r="L742" s="203" t="e">
        <f>#REF!*#REF!^5/(Conv!$I$5*Conv!$D$46)/10^6 +#REF!</f>
        <v>#REF!</v>
      </c>
      <c r="M742" s="203" t="e">
        <f>#REF!*#REF!^5/(Conv!$I$5*Conv!$D$46)/10^6 +#REF!</f>
        <v>#REF!</v>
      </c>
      <c r="N742" s="203" t="e">
        <f>#REF!*#REF!^5/(Conv!$I$5*Conv!$D$46)/10^6 +#REF!</f>
        <v>#REF!</v>
      </c>
      <c r="O742" s="203" t="e">
        <f>#REF!*#REF!^5/(Conv!$I$5*Conv!$D$46)/10^6 +#REF!</f>
        <v>#REF!</v>
      </c>
      <c r="P742" s="203" t="e">
        <f>#REF!*#REF!^5/(Conv!$I$5*Conv!$D$46)/10^6 +#REF!</f>
        <v>#REF!</v>
      </c>
      <c r="Q742" s="203" t="e">
        <f>#REF!*#REF!^5/(Conv!$I$5*Conv!$D$46)/10^6 +#REF!</f>
        <v>#REF!</v>
      </c>
      <c r="S742" s="177"/>
      <c r="T742" s="177"/>
      <c r="U742" s="177"/>
      <c r="V742" s="177"/>
      <c r="W742" s="177"/>
      <c r="X742" s="177"/>
      <c r="Y742" s="177"/>
      <c r="Z742" s="177"/>
      <c r="AA742" s="177"/>
      <c r="AB742" s="177"/>
      <c r="AC742" s="177"/>
    </row>
    <row r="743" spans="2:29">
      <c r="B743" s="158" t="str">
        <f>IF(OR(LEFT(Commodities!B$64,1)="*",LEFT(Technologies!B$514,1)="*"),"*","R3")</f>
        <v>R3</v>
      </c>
      <c r="C743" s="158" t="e">
        <f>Technologies!C$539</f>
        <v>#REF!</v>
      </c>
      <c r="D743" s="158" t="str">
        <f>Technologies!D514</f>
        <v>Delivery of Imported Distillate-Heating Oil No. 2 to the Electricity Sector</v>
      </c>
      <c r="E743" s="197" t="str">
        <f>Commodities!C$77</f>
        <v>DSHP2</v>
      </c>
      <c r="F743" s="197" t="e">
        <f>Commodities!C227</f>
        <v>#REF!</v>
      </c>
      <c r="G743" s="204">
        <v>1</v>
      </c>
      <c r="H743" s="203" t="e">
        <f>#REF!*#REF!^5/(Conv!$I$5*Conv!$D$46)/10^6 +#REF!</f>
        <v>#REF!</v>
      </c>
      <c r="I743" s="203" t="e">
        <f>#REF!*#REF!^5/(Conv!$I$5*Conv!$D$46)/10^6 +#REF!</f>
        <v>#REF!</v>
      </c>
      <c r="J743" s="203" t="e">
        <f>#REF!*#REF!^5/(Conv!$I$5*Conv!$D$46)/10^6 +#REF!</f>
        <v>#REF!</v>
      </c>
      <c r="K743" s="203" t="e">
        <f>#REF!*#REF!^5/(Conv!$I$5*Conv!$D$46)/10^6 +#REF!</f>
        <v>#REF!</v>
      </c>
      <c r="L743" s="203" t="e">
        <f>#REF!*#REF!^5/(Conv!$I$5*Conv!$D$46)/10^6 +#REF!</f>
        <v>#REF!</v>
      </c>
      <c r="M743" s="203" t="e">
        <f>#REF!*#REF!^5/(Conv!$I$5*Conv!$D$46)/10^6 +#REF!</f>
        <v>#REF!</v>
      </c>
      <c r="N743" s="203" t="e">
        <f>#REF!*#REF!^5/(Conv!$I$5*Conv!$D$46)/10^6 +#REF!</f>
        <v>#REF!</v>
      </c>
      <c r="O743" s="203" t="e">
        <f>#REF!*#REF!^5/(Conv!$I$5*Conv!$D$46)/10^6 +#REF!</f>
        <v>#REF!</v>
      </c>
      <c r="P743" s="203" t="e">
        <f>#REF!*#REF!^5/(Conv!$I$5*Conv!$D$46)/10^6 +#REF!</f>
        <v>#REF!</v>
      </c>
      <c r="Q743" s="203" t="e">
        <f>#REF!*#REF!^5/(Conv!$I$5*Conv!$D$46)/10^6 +#REF!</f>
        <v>#REF!</v>
      </c>
      <c r="S743" s="177"/>
      <c r="T743" s="177"/>
      <c r="U743" s="177"/>
      <c r="V743" s="177"/>
      <c r="W743" s="177"/>
      <c r="X743" s="177"/>
      <c r="Y743" s="177"/>
      <c r="Z743" s="177"/>
      <c r="AA743" s="177"/>
      <c r="AB743" s="177"/>
      <c r="AC743" s="177"/>
    </row>
    <row r="744" spans="2:29">
      <c r="B744" s="158" t="str">
        <f>IF(OR(LEFT(Commodities!B$65,1)="*",LEFT(Technologies!B$515,1)="*"),"*","R3")</f>
        <v>R3</v>
      </c>
      <c r="C744" s="158" t="e">
        <f>Technologies!C$540</f>
        <v>#REF!</v>
      </c>
      <c r="D744" s="158" t="str">
        <f>Technologies!D515</f>
        <v>Delivery of Imported Distillate-Low Sulfur Highway Diesel (500 ppm)</v>
      </c>
      <c r="E744" s="197" t="str">
        <f>Commodities!C$78</f>
        <v>DSLP2</v>
      </c>
      <c r="F744" s="197" t="e">
        <f>Commodities!C228</f>
        <v>#REF!</v>
      </c>
      <c r="G744" s="204">
        <v>1</v>
      </c>
      <c r="H744" s="203" t="e">
        <f>#REF!*#REF!^5/(Conv!$I$5*Conv!$D$46)/10^6 +#REF!</f>
        <v>#REF!</v>
      </c>
      <c r="I744" s="203" t="e">
        <f>#REF!*#REF!^5/(Conv!$I$5*Conv!$D$46)/10^6 +#REF!</f>
        <v>#REF!</v>
      </c>
      <c r="J744" s="203" t="e">
        <f>#REF!*#REF!^5/(Conv!$I$5*Conv!$D$46)/10^6 +#REF!</f>
        <v>#REF!</v>
      </c>
      <c r="K744" s="203" t="e">
        <f>#REF!*#REF!^5/(Conv!$I$5*Conv!$D$46)/10^6 +#REF!</f>
        <v>#REF!</v>
      </c>
      <c r="L744" s="203" t="e">
        <f>#REF!*#REF!^5/(Conv!$I$5*Conv!$D$46)/10^6 +#REF!</f>
        <v>#REF!</v>
      </c>
      <c r="M744" s="203" t="e">
        <f>#REF!*#REF!^5/(Conv!$I$5*Conv!$D$46)/10^6 +#REF!</f>
        <v>#REF!</v>
      </c>
      <c r="N744" s="203" t="e">
        <f>#REF!*#REF!^5/(Conv!$I$5*Conv!$D$46)/10^6 +#REF!</f>
        <v>#REF!</v>
      </c>
      <c r="O744" s="203" t="e">
        <f>#REF!*#REF!^5/(Conv!$I$5*Conv!$D$46)/10^6 +#REF!</f>
        <v>#REF!</v>
      </c>
      <c r="P744" s="203" t="e">
        <f>#REF!*#REF!^5/(Conv!$I$5*Conv!$D$46)/10^6 +#REF!</f>
        <v>#REF!</v>
      </c>
      <c r="Q744" s="203" t="e">
        <f>#REF!*#REF!^5/(Conv!$I$5*Conv!$D$46)/10^6 +#REF!</f>
        <v>#REF!</v>
      </c>
      <c r="S744" s="177"/>
      <c r="T744" s="177"/>
      <c r="U744" s="177"/>
      <c r="V744" s="177"/>
      <c r="W744" s="177"/>
      <c r="X744" s="177"/>
      <c r="Y744" s="177"/>
      <c r="Z744" s="177"/>
      <c r="AA744" s="177"/>
      <c r="AB744" s="177"/>
      <c r="AC744" s="177"/>
    </row>
    <row r="745" spans="2:29">
      <c r="B745" s="158" t="str">
        <f>IF(OR(LEFT(Commodities!B$66,1)="*",LEFT(Technologies!B$516,1)="*"),"*","R3")</f>
        <v>R3</v>
      </c>
      <c r="C745" s="158" t="e">
        <f>Technologies!C$541</f>
        <v>#REF!</v>
      </c>
      <c r="D745" s="158" t="str">
        <f>Technologies!D516</f>
        <v>Delivery of Imported Distillate-Ultralow Sulfur Highway Diesel (15 ppm)</v>
      </c>
      <c r="E745" s="197" t="str">
        <f>Commodities!C$79</f>
        <v>DSUP2</v>
      </c>
      <c r="F745" s="197" t="e">
        <f>Commodities!C229</f>
        <v>#REF!</v>
      </c>
      <c r="G745" s="204">
        <v>1</v>
      </c>
      <c r="H745" s="203" t="e">
        <f>#REF!*#REF!^5/(Conv!$I$5*Conv!$D$46)/10^6 +#REF!</f>
        <v>#REF!</v>
      </c>
      <c r="I745" s="203" t="e">
        <f>#REF!*#REF!^5/(Conv!$I$5*Conv!$D$46)/10^6 +#REF!</f>
        <v>#REF!</v>
      </c>
      <c r="J745" s="203" t="e">
        <f>#REF!*#REF!^5/(Conv!$I$5*Conv!$D$46)/10^6 +#REF!</f>
        <v>#REF!</v>
      </c>
      <c r="K745" s="203" t="e">
        <f>#REF!*#REF!^5/(Conv!$I$5*Conv!$D$46)/10^6 +#REF!</f>
        <v>#REF!</v>
      </c>
      <c r="L745" s="203" t="e">
        <f>#REF!*#REF!^5/(Conv!$I$5*Conv!$D$46)/10^6 +#REF!</f>
        <v>#REF!</v>
      </c>
      <c r="M745" s="203" t="e">
        <f>#REF!*#REF!^5/(Conv!$I$5*Conv!$D$46)/10^6 +#REF!</f>
        <v>#REF!</v>
      </c>
      <c r="N745" s="203" t="e">
        <f>#REF!*#REF!^5/(Conv!$I$5*Conv!$D$46)/10^6 +#REF!</f>
        <v>#REF!</v>
      </c>
      <c r="O745" s="203" t="e">
        <f>#REF!*#REF!^5/(Conv!$I$5*Conv!$D$46)/10^6 +#REF!</f>
        <v>#REF!</v>
      </c>
      <c r="P745" s="203" t="e">
        <f>#REF!*#REF!^5/(Conv!$I$5*Conv!$D$46)/10^6 +#REF!</f>
        <v>#REF!</v>
      </c>
      <c r="Q745" s="203" t="e">
        <f>#REF!*#REF!^5/(Conv!$I$5*Conv!$D$46)/10^6 +#REF!</f>
        <v>#REF!</v>
      </c>
      <c r="S745" s="177"/>
      <c r="T745" s="177"/>
      <c r="U745" s="177"/>
      <c r="V745" s="177"/>
      <c r="W745" s="177"/>
      <c r="X745" s="177"/>
      <c r="Y745" s="177"/>
      <c r="Z745" s="177"/>
      <c r="AA745" s="177"/>
      <c r="AB745" s="177"/>
      <c r="AC745" s="177"/>
    </row>
    <row r="746" spans="2:29">
      <c r="B746" s="158" t="str">
        <f>IF(OR(LEFT(Commodities!B$69,1)="*",LEFT(Technologies!B$517,1)="*"),"*","R3")</f>
        <v>*</v>
      </c>
      <c r="C746" s="158" t="e">
        <f>Technologies!C$542</f>
        <v>#REF!</v>
      </c>
      <c r="D746" s="158" t="str">
        <f>Technologies!D517</f>
        <v>Delivery of Imported Jet Fuel</v>
      </c>
      <c r="E746" s="197" t="str">
        <f>Commodities!C$82</f>
        <v>JTFP2</v>
      </c>
      <c r="F746" s="197" t="e">
        <f>Commodities!C230</f>
        <v>#REF!</v>
      </c>
      <c r="G746" s="204">
        <v>1</v>
      </c>
      <c r="H746" s="203" t="e">
        <f>#REF!*#REF!^5/(Conv!$I$5*Conv!$D$46)/10^6 +#REF!</f>
        <v>#REF!</v>
      </c>
      <c r="I746" s="203" t="e">
        <f>#REF!*#REF!^5/(Conv!$I$5*Conv!$D$46)/10^6 +#REF!</f>
        <v>#REF!</v>
      </c>
      <c r="J746" s="203" t="e">
        <f>#REF!*#REF!^5/(Conv!$I$5*Conv!$D$46)/10^6 +#REF!</f>
        <v>#REF!</v>
      </c>
      <c r="K746" s="203" t="e">
        <f>#REF!*#REF!^5/(Conv!$I$5*Conv!$D$46)/10^6 +#REF!</f>
        <v>#REF!</v>
      </c>
      <c r="L746" s="203" t="e">
        <f>#REF!*#REF!^5/(Conv!$I$5*Conv!$D$46)/10^6 +#REF!</f>
        <v>#REF!</v>
      </c>
      <c r="M746" s="203" t="e">
        <f>#REF!*#REF!^5/(Conv!$I$5*Conv!$D$46)/10^6 +#REF!</f>
        <v>#REF!</v>
      </c>
      <c r="N746" s="203" t="e">
        <f>#REF!*#REF!^5/(Conv!$I$5*Conv!$D$46)/10^6 +#REF!</f>
        <v>#REF!</v>
      </c>
      <c r="O746" s="203" t="e">
        <f>#REF!*#REF!^5/(Conv!$I$5*Conv!$D$46)/10^6 +#REF!</f>
        <v>#REF!</v>
      </c>
      <c r="P746" s="203" t="e">
        <f>#REF!*#REF!^5/(Conv!$I$5*Conv!$D$46)/10^6 +#REF!</f>
        <v>#REF!</v>
      </c>
      <c r="Q746" s="203" t="e">
        <f>#REF!*#REF!^5/(Conv!$I$5*Conv!$D$46)/10^6 +#REF!</f>
        <v>#REF!</v>
      </c>
      <c r="S746" s="177"/>
      <c r="T746" s="177"/>
      <c r="U746" s="177"/>
      <c r="V746" s="177"/>
      <c r="W746" s="177"/>
      <c r="X746" s="177"/>
      <c r="Y746" s="177"/>
      <c r="Z746" s="177"/>
      <c r="AA746" s="177"/>
      <c r="AB746" s="177"/>
      <c r="AC746" s="177"/>
    </row>
    <row r="747" spans="2:29">
      <c r="B747" s="158" t="str">
        <f>IF(OR(LEFT(Commodities!B$70,1)="*",LEFT(Technologies!B$518,1)="*"),"*","R3")</f>
        <v>*</v>
      </c>
      <c r="C747" s="158" t="e">
        <f>Technologies!C$543</f>
        <v>#REF!</v>
      </c>
      <c r="D747" s="158" t="str">
        <f>Technologies!D518</f>
        <v>Delivery of Imported Kerosene and Other Refined Products to the Residential Sector</v>
      </c>
      <c r="E747" s="197" t="str">
        <f>Commodities!C$83</f>
        <v>KERP2</v>
      </c>
      <c r="F747" s="197" t="e">
        <f>Commodities!C231</f>
        <v>#REF!</v>
      </c>
      <c r="G747" s="204">
        <v>1</v>
      </c>
      <c r="H747" s="203" t="e">
        <f>#REF!*#REF!^5/(Conv!$I$5*Conv!$D$46)/10^6 +#REF!</f>
        <v>#REF!</v>
      </c>
      <c r="I747" s="203" t="e">
        <f>#REF!*#REF!^5/(Conv!$I$5*Conv!$D$46)/10^6 +#REF!</f>
        <v>#REF!</v>
      </c>
      <c r="J747" s="203" t="e">
        <f>#REF!*#REF!^5/(Conv!$I$5*Conv!$D$46)/10^6 +#REF!</f>
        <v>#REF!</v>
      </c>
      <c r="K747" s="203" t="e">
        <f>#REF!*#REF!^5/(Conv!$I$5*Conv!$D$46)/10^6 +#REF!</f>
        <v>#REF!</v>
      </c>
      <c r="L747" s="203" t="e">
        <f>#REF!*#REF!^5/(Conv!$I$5*Conv!$D$46)/10^6 +#REF!</f>
        <v>#REF!</v>
      </c>
      <c r="M747" s="203" t="e">
        <f>#REF!*#REF!^5/(Conv!$I$5*Conv!$D$46)/10^6 +#REF!</f>
        <v>#REF!</v>
      </c>
      <c r="N747" s="203" t="e">
        <f>#REF!*#REF!^5/(Conv!$I$5*Conv!$D$46)/10^6 +#REF!</f>
        <v>#REF!</v>
      </c>
      <c r="O747" s="203" t="e">
        <f>#REF!*#REF!^5/(Conv!$I$5*Conv!$D$46)/10^6 +#REF!</f>
        <v>#REF!</v>
      </c>
      <c r="P747" s="203" t="e">
        <f>#REF!*#REF!^5/(Conv!$I$5*Conv!$D$46)/10^6 +#REF!</f>
        <v>#REF!</v>
      </c>
      <c r="Q747" s="203" t="e">
        <f>#REF!*#REF!^5/(Conv!$I$5*Conv!$D$46)/10^6 +#REF!</f>
        <v>#REF!</v>
      </c>
      <c r="S747" s="177"/>
      <c r="T747" s="177"/>
      <c r="U747" s="177"/>
      <c r="V747" s="177"/>
      <c r="W747" s="177"/>
      <c r="X747" s="177"/>
      <c r="Y747" s="177"/>
      <c r="Z747" s="177"/>
      <c r="AA747" s="177"/>
      <c r="AB747" s="177"/>
      <c r="AC747" s="177"/>
    </row>
    <row r="748" spans="2:29">
      <c r="B748" s="158" t="str">
        <f>IF(OR(LEFT(Commodities!B$70,1)="*",LEFT(Technologies!B$519,1)="*"),"*","R3")</f>
        <v>*</v>
      </c>
      <c r="C748" s="158" t="e">
        <f>Technologies!C$544</f>
        <v>#REF!</v>
      </c>
      <c r="D748" s="158" t="str">
        <f>Technologies!D519</f>
        <v>Delivery of Imported Kerosene and Other Refined Products to the Commercial Sector</v>
      </c>
      <c r="E748" s="197" t="str">
        <f>E747</f>
        <v>KERP2</v>
      </c>
      <c r="F748" s="197" t="e">
        <f>Commodities!C232</f>
        <v>#REF!</v>
      </c>
      <c r="G748" s="204">
        <v>1</v>
      </c>
      <c r="H748" s="203" t="e">
        <f>#REF!*#REF!^5/(Conv!$I$5*Conv!$D$46)/10^6 +#REF!</f>
        <v>#REF!</v>
      </c>
      <c r="I748" s="203" t="e">
        <f>#REF!*#REF!^5/(Conv!$I$5*Conv!$D$46)/10^6 +#REF!</f>
        <v>#REF!</v>
      </c>
      <c r="J748" s="203" t="e">
        <f>#REF!*#REF!^5/(Conv!$I$5*Conv!$D$46)/10^6 +#REF!</f>
        <v>#REF!</v>
      </c>
      <c r="K748" s="203" t="e">
        <f>#REF!*#REF!^5/(Conv!$I$5*Conv!$D$46)/10^6 +#REF!</f>
        <v>#REF!</v>
      </c>
      <c r="L748" s="203" t="e">
        <f>#REF!*#REF!^5/(Conv!$I$5*Conv!$D$46)/10^6 +#REF!</f>
        <v>#REF!</v>
      </c>
      <c r="M748" s="203" t="e">
        <f>#REF!*#REF!^5/(Conv!$I$5*Conv!$D$46)/10^6 +#REF!</f>
        <v>#REF!</v>
      </c>
      <c r="N748" s="203" t="e">
        <f>#REF!*#REF!^5/(Conv!$I$5*Conv!$D$46)/10^6 +#REF!</f>
        <v>#REF!</v>
      </c>
      <c r="O748" s="203" t="e">
        <f>#REF!*#REF!^5/(Conv!$I$5*Conv!$D$46)/10^6 +#REF!</f>
        <v>#REF!</v>
      </c>
      <c r="P748" s="203" t="e">
        <f>#REF!*#REF!^5/(Conv!$I$5*Conv!$D$46)/10^6 +#REF!</f>
        <v>#REF!</v>
      </c>
      <c r="Q748" s="203" t="e">
        <f>#REF!*#REF!^5/(Conv!$I$5*Conv!$D$46)/10^6 +#REF!</f>
        <v>#REF!</v>
      </c>
      <c r="S748" s="177"/>
      <c r="T748" s="177"/>
      <c r="U748" s="177"/>
      <c r="V748" s="177"/>
      <c r="W748" s="177"/>
      <c r="X748" s="177"/>
      <c r="Y748" s="177"/>
      <c r="Z748" s="177"/>
      <c r="AA748" s="177"/>
      <c r="AB748" s="177"/>
      <c r="AC748" s="177"/>
    </row>
    <row r="749" spans="2:29">
      <c r="B749" s="158" t="str">
        <f>IF(OR(LEFT(Commodities!B$70,1)="*",LEFT(Technologies!B$520,1)="*"),"*","R3")</f>
        <v>*</v>
      </c>
      <c r="C749" s="158" t="e">
        <f>Technologies!C$545</f>
        <v>#REF!</v>
      </c>
      <c r="D749" s="158" t="str">
        <f>Technologies!D520</f>
        <v>Delivery of Imported Kerosene and Other Refined Products to the Industrial Sector</v>
      </c>
      <c r="E749" s="197" t="str">
        <f>E748</f>
        <v>KERP2</v>
      </c>
      <c r="F749" s="197" t="e">
        <f>Commodities!C233</f>
        <v>#REF!</v>
      </c>
      <c r="G749" s="204">
        <v>1</v>
      </c>
      <c r="H749" s="203" t="e">
        <f>#REF!*#REF!^5/(Conv!$I$5*Conv!$D$46)/10^6 +#REF!</f>
        <v>#REF!</v>
      </c>
      <c r="I749" s="203" t="e">
        <f>#REF!*#REF!^5/(Conv!$I$5*Conv!$D$46)/10^6 +#REF!</f>
        <v>#REF!</v>
      </c>
      <c r="J749" s="203" t="e">
        <f>#REF!*#REF!^5/(Conv!$I$5*Conv!$D$46)/10^6 +#REF!</f>
        <v>#REF!</v>
      </c>
      <c r="K749" s="203" t="e">
        <f>#REF!*#REF!^5/(Conv!$I$5*Conv!$D$46)/10^6 +#REF!</f>
        <v>#REF!</v>
      </c>
      <c r="L749" s="203" t="e">
        <f>#REF!*#REF!^5/(Conv!$I$5*Conv!$D$46)/10^6 +#REF!</f>
        <v>#REF!</v>
      </c>
      <c r="M749" s="203" t="e">
        <f>#REF!*#REF!^5/(Conv!$I$5*Conv!$D$46)/10^6 +#REF!</f>
        <v>#REF!</v>
      </c>
      <c r="N749" s="203" t="e">
        <f>#REF!*#REF!^5/(Conv!$I$5*Conv!$D$46)/10^6 +#REF!</f>
        <v>#REF!</v>
      </c>
      <c r="O749" s="203" t="e">
        <f>#REF!*#REF!^5/(Conv!$I$5*Conv!$D$46)/10^6 +#REF!</f>
        <v>#REF!</v>
      </c>
      <c r="P749" s="203" t="e">
        <f>#REF!*#REF!^5/(Conv!$I$5*Conv!$D$46)/10^6 +#REF!</f>
        <v>#REF!</v>
      </c>
      <c r="Q749" s="203" t="e">
        <f>#REF!*#REF!^5/(Conv!$I$5*Conv!$D$46)/10^6 +#REF!</f>
        <v>#REF!</v>
      </c>
      <c r="S749" s="177"/>
      <c r="T749" s="177"/>
      <c r="U749" s="177"/>
      <c r="V749" s="177"/>
      <c r="W749" s="177"/>
      <c r="X749" s="177"/>
      <c r="Y749" s="177"/>
      <c r="Z749" s="177"/>
      <c r="AA749" s="177"/>
      <c r="AB749" s="177"/>
      <c r="AC749" s="177"/>
    </row>
    <row r="750" spans="2:29">
      <c r="B750" s="158" t="str">
        <f>IF(OR(LEFT(Commodities!B$71,1)="*",LEFT(Technologies!B$521,1)="*"),"*","R3")</f>
        <v>*</v>
      </c>
      <c r="C750" s="158" t="e">
        <f>Technologies!C$546</f>
        <v>#REF!</v>
      </c>
      <c r="D750" s="158" t="str">
        <f>Technologies!D521</f>
        <v>Delivery of Imported LPG to the Residential Sector</v>
      </c>
      <c r="E750" s="197" t="str">
        <f>Commodities!C$84</f>
        <v>LPGP2</v>
      </c>
      <c r="F750" s="197" t="e">
        <f>Commodities!C234</f>
        <v>#REF!</v>
      </c>
      <c r="G750" s="204">
        <v>1</v>
      </c>
      <c r="H750" s="203" t="e">
        <f>#REF!*#REF!^5/(Conv!$I$5*Conv!$D$46)/10^6 +#REF!</f>
        <v>#REF!</v>
      </c>
      <c r="I750" s="203" t="e">
        <f>#REF!*#REF!^5/(Conv!$I$5*Conv!$D$46)/10^6 +#REF!</f>
        <v>#REF!</v>
      </c>
      <c r="J750" s="203" t="e">
        <f>#REF!*#REF!^5/(Conv!$I$5*Conv!$D$46)/10^6 +#REF!</f>
        <v>#REF!</v>
      </c>
      <c r="K750" s="203" t="e">
        <f>#REF!*#REF!^5/(Conv!$I$5*Conv!$D$46)/10^6 +#REF!</f>
        <v>#REF!</v>
      </c>
      <c r="L750" s="203" t="e">
        <f>#REF!*#REF!^5/(Conv!$I$5*Conv!$D$46)/10^6 +#REF!</f>
        <v>#REF!</v>
      </c>
      <c r="M750" s="203" t="e">
        <f>#REF!*#REF!^5/(Conv!$I$5*Conv!$D$46)/10^6 +#REF!</f>
        <v>#REF!</v>
      </c>
      <c r="N750" s="203" t="e">
        <f>#REF!*#REF!^5/(Conv!$I$5*Conv!$D$46)/10^6 +#REF!</f>
        <v>#REF!</v>
      </c>
      <c r="O750" s="203" t="e">
        <f>#REF!*#REF!^5/(Conv!$I$5*Conv!$D$46)/10^6 +#REF!</f>
        <v>#REF!</v>
      </c>
      <c r="P750" s="203" t="e">
        <f>#REF!*#REF!^5/(Conv!$I$5*Conv!$D$46)/10^6 +#REF!</f>
        <v>#REF!</v>
      </c>
      <c r="Q750" s="203" t="e">
        <f>#REF!*#REF!^5/(Conv!$I$5*Conv!$D$46)/10^6 +#REF!</f>
        <v>#REF!</v>
      </c>
      <c r="S750" s="177"/>
      <c r="T750" s="177"/>
      <c r="U750" s="177"/>
      <c r="V750" s="177"/>
      <c r="W750" s="177"/>
      <c r="X750" s="177"/>
      <c r="Y750" s="177"/>
      <c r="Z750" s="177"/>
      <c r="AA750" s="177"/>
      <c r="AB750" s="177"/>
      <c r="AC750" s="177"/>
    </row>
    <row r="751" spans="2:29">
      <c r="B751" s="158" t="str">
        <f>IF(OR(LEFT(Commodities!B$71,1)="*",LEFT(Technologies!B$522,1)="*"),"*","R3")</f>
        <v>*</v>
      </c>
      <c r="C751" s="158" t="e">
        <f>Technologies!C$547</f>
        <v>#REF!</v>
      </c>
      <c r="D751" s="158" t="str">
        <f>Technologies!D522</f>
        <v>Delivery of Imported LPG to the Commercial Sector</v>
      </c>
      <c r="E751" s="197" t="str">
        <f>Commodities!C$84</f>
        <v>LPGP2</v>
      </c>
      <c r="F751" s="197" t="e">
        <f>Commodities!C235</f>
        <v>#REF!</v>
      </c>
      <c r="G751" s="204">
        <v>1</v>
      </c>
      <c r="H751" s="203" t="e">
        <f>#REF!*#REF!^5/(Conv!$I$5*Conv!$D$46)/10^6 +#REF!</f>
        <v>#REF!</v>
      </c>
      <c r="I751" s="203" t="e">
        <f>#REF!*#REF!^5/(Conv!$I$5*Conv!$D$46)/10^6 +#REF!</f>
        <v>#REF!</v>
      </c>
      <c r="J751" s="203" t="e">
        <f>#REF!*#REF!^5/(Conv!$I$5*Conv!$D$46)/10^6 +#REF!</f>
        <v>#REF!</v>
      </c>
      <c r="K751" s="203" t="e">
        <f>#REF!*#REF!^5/(Conv!$I$5*Conv!$D$46)/10^6 +#REF!</f>
        <v>#REF!</v>
      </c>
      <c r="L751" s="203" t="e">
        <f>#REF!*#REF!^5/(Conv!$I$5*Conv!$D$46)/10^6 +#REF!</f>
        <v>#REF!</v>
      </c>
      <c r="M751" s="203" t="e">
        <f>#REF!*#REF!^5/(Conv!$I$5*Conv!$D$46)/10^6 +#REF!</f>
        <v>#REF!</v>
      </c>
      <c r="N751" s="203" t="e">
        <f>#REF!*#REF!^5/(Conv!$I$5*Conv!$D$46)/10^6 +#REF!</f>
        <v>#REF!</v>
      </c>
      <c r="O751" s="203" t="e">
        <f>#REF!*#REF!^5/(Conv!$I$5*Conv!$D$46)/10^6 +#REF!</f>
        <v>#REF!</v>
      </c>
      <c r="P751" s="203" t="e">
        <f>#REF!*#REF!^5/(Conv!$I$5*Conv!$D$46)/10^6 +#REF!</f>
        <v>#REF!</v>
      </c>
      <c r="Q751" s="203" t="e">
        <f>#REF!*#REF!^5/(Conv!$I$5*Conv!$D$46)/10^6 +#REF!</f>
        <v>#REF!</v>
      </c>
      <c r="S751" s="177"/>
      <c r="T751" s="177"/>
      <c r="U751" s="177"/>
      <c r="V751" s="177"/>
      <c r="W751" s="177"/>
      <c r="X751" s="177"/>
      <c r="Y751" s="177"/>
      <c r="Z751" s="177"/>
      <c r="AA751" s="177"/>
      <c r="AB751" s="177"/>
      <c r="AC751" s="177"/>
    </row>
    <row r="752" spans="2:29">
      <c r="B752" s="158" t="str">
        <f>IF(OR(LEFT(Commodities!B$71,1)="*",LEFT(Technologies!B$523,1)="*"),"*","R3")</f>
        <v>*</v>
      </c>
      <c r="C752" s="158" t="e">
        <f>Technologies!C$548</f>
        <v>#REF!</v>
      </c>
      <c r="D752" s="158" t="str">
        <f>Technologies!D523</f>
        <v>Delivery of Imported LPG to the Industrial Sector</v>
      </c>
      <c r="E752" s="197" t="str">
        <f>Commodities!C$84</f>
        <v>LPGP2</v>
      </c>
      <c r="F752" s="197" t="e">
        <f>Commodities!C236</f>
        <v>#REF!</v>
      </c>
      <c r="G752" s="204">
        <v>1</v>
      </c>
      <c r="H752" s="203" t="e">
        <f>#REF!*#REF!^5/(Conv!$I$5*Conv!$D$46)/10^6 +#REF!</f>
        <v>#REF!</v>
      </c>
      <c r="I752" s="203" t="e">
        <f>#REF!*#REF!^5/(Conv!$I$5*Conv!$D$46)/10^6 +#REF!</f>
        <v>#REF!</v>
      </c>
      <c r="J752" s="203" t="e">
        <f>#REF!*#REF!^5/(Conv!$I$5*Conv!$D$46)/10^6 +#REF!</f>
        <v>#REF!</v>
      </c>
      <c r="K752" s="203" t="e">
        <f>#REF!*#REF!^5/(Conv!$I$5*Conv!$D$46)/10^6 +#REF!</f>
        <v>#REF!</v>
      </c>
      <c r="L752" s="203" t="e">
        <f>#REF!*#REF!^5/(Conv!$I$5*Conv!$D$46)/10^6 +#REF!</f>
        <v>#REF!</v>
      </c>
      <c r="M752" s="203" t="e">
        <f>#REF!*#REF!^5/(Conv!$I$5*Conv!$D$46)/10^6 +#REF!</f>
        <v>#REF!</v>
      </c>
      <c r="N752" s="203" t="e">
        <f>#REF!*#REF!^5/(Conv!$I$5*Conv!$D$46)/10^6 +#REF!</f>
        <v>#REF!</v>
      </c>
      <c r="O752" s="203" t="e">
        <f>#REF!*#REF!^5/(Conv!$I$5*Conv!$D$46)/10^6 +#REF!</f>
        <v>#REF!</v>
      </c>
      <c r="P752" s="203" t="e">
        <f>#REF!*#REF!^5/(Conv!$I$5*Conv!$D$46)/10^6 +#REF!</f>
        <v>#REF!</v>
      </c>
      <c r="Q752" s="203" t="e">
        <f>#REF!*#REF!^5/(Conv!$I$5*Conv!$D$46)/10^6 +#REF!</f>
        <v>#REF!</v>
      </c>
      <c r="S752" s="177"/>
      <c r="T752" s="177"/>
      <c r="U752" s="177"/>
      <c r="V752" s="177"/>
      <c r="W752" s="177"/>
      <c r="X752" s="177"/>
      <c r="Y752" s="177"/>
      <c r="Z752" s="177"/>
      <c r="AA752" s="177"/>
      <c r="AB752" s="177"/>
      <c r="AC752" s="177"/>
    </row>
    <row r="753" spans="2:29">
      <c r="B753" s="158" t="str">
        <f>IF(OR(LEFT(Commodities!B$71,1)="*",LEFT(Technologies!B$524,1)="*"),"*","R3")</f>
        <v>*</v>
      </c>
      <c r="C753" s="158" t="e">
        <f>Technologies!C$549</f>
        <v>#REF!</v>
      </c>
      <c r="D753" s="158" t="str">
        <f>Technologies!D524</f>
        <v>Delivery of Imported LPG to the Transportation Sector</v>
      </c>
      <c r="E753" s="197" t="str">
        <f>Commodities!C$84</f>
        <v>LPGP2</v>
      </c>
      <c r="F753" s="197" t="e">
        <f>Commodities!C237</f>
        <v>#REF!</v>
      </c>
      <c r="G753" s="204">
        <v>1</v>
      </c>
      <c r="H753" s="203" t="e">
        <f>#REF!*#REF!^5/(Conv!$I$5*Conv!$D$46)/10^6 +#REF!</f>
        <v>#REF!</v>
      </c>
      <c r="I753" s="203" t="e">
        <f>#REF!*#REF!^5/(Conv!$I$5*Conv!$D$46)/10^6 +#REF!</f>
        <v>#REF!</v>
      </c>
      <c r="J753" s="203" t="e">
        <f>#REF!*#REF!^5/(Conv!$I$5*Conv!$D$46)/10^6 +#REF!</f>
        <v>#REF!</v>
      </c>
      <c r="K753" s="203" t="e">
        <f>#REF!*#REF!^5/(Conv!$I$5*Conv!$D$46)/10^6 +#REF!</f>
        <v>#REF!</v>
      </c>
      <c r="L753" s="203" t="e">
        <f>#REF!*#REF!^5/(Conv!$I$5*Conv!$D$46)/10^6 +#REF!</f>
        <v>#REF!</v>
      </c>
      <c r="M753" s="203" t="e">
        <f>#REF!*#REF!^5/(Conv!$I$5*Conv!$D$46)/10^6 +#REF!</f>
        <v>#REF!</v>
      </c>
      <c r="N753" s="203" t="e">
        <f>#REF!*#REF!^5/(Conv!$I$5*Conv!$D$46)/10^6 +#REF!</f>
        <v>#REF!</v>
      </c>
      <c r="O753" s="203" t="e">
        <f>#REF!*#REF!^5/(Conv!$I$5*Conv!$D$46)/10^6 +#REF!</f>
        <v>#REF!</v>
      </c>
      <c r="P753" s="203" t="e">
        <f>#REF!*#REF!^5/(Conv!$I$5*Conv!$D$46)/10^6 +#REF!</f>
        <v>#REF!</v>
      </c>
      <c r="Q753" s="203" t="e">
        <f>#REF!*#REF!^5/(Conv!$I$5*Conv!$D$46)/10^6 +#REF!</f>
        <v>#REF!</v>
      </c>
      <c r="S753" s="177"/>
      <c r="T753" s="177"/>
      <c r="U753" s="177"/>
      <c r="V753" s="177"/>
      <c r="W753" s="177"/>
      <c r="X753" s="177"/>
      <c r="Y753" s="177"/>
      <c r="Z753" s="177"/>
      <c r="AA753" s="177"/>
      <c r="AB753" s="177"/>
      <c r="AC753" s="177"/>
    </row>
    <row r="754" spans="2:29">
      <c r="B754" s="158" t="str">
        <f>IF(LEFT(Technologies!B$525,1)="*","*","R3")</f>
        <v>*</v>
      </c>
      <c r="C754" s="158" t="e">
        <f>Technologies!C$550</f>
        <v>#REF!</v>
      </c>
      <c r="D754" s="158" t="str">
        <f>Technologies!D525</f>
        <v>Delivery of Imported Methanol</v>
      </c>
      <c r="E754" s="197" t="str">
        <f>Commodities!C$85</f>
        <v>MTHP2</v>
      </c>
      <c r="F754" s="197" t="e">
        <f>Commodities!C238</f>
        <v>#REF!</v>
      </c>
      <c r="G754" s="204">
        <v>1</v>
      </c>
      <c r="H754" s="203" t="e">
        <f>#REF!*#REF!^5/(Conv!$I$5*Conv!$D$46)/10^6 +#REF!</f>
        <v>#REF!</v>
      </c>
      <c r="I754" s="203" t="e">
        <f>#REF!*#REF!^5/(Conv!$I$5*Conv!$D$46)/10^6 +#REF!</f>
        <v>#REF!</v>
      </c>
      <c r="J754" s="203" t="e">
        <f>#REF!*#REF!^5/(Conv!$I$5*Conv!$D$46)/10^6 +#REF!</f>
        <v>#REF!</v>
      </c>
      <c r="K754" s="203" t="e">
        <f>#REF!*#REF!^5/(Conv!$I$5*Conv!$D$46)/10^6 +#REF!</f>
        <v>#REF!</v>
      </c>
      <c r="L754" s="203" t="e">
        <f>#REF!*#REF!^5/(Conv!$I$5*Conv!$D$46)/10^6 +#REF!</f>
        <v>#REF!</v>
      </c>
      <c r="M754" s="203" t="e">
        <f>#REF!*#REF!^5/(Conv!$I$5*Conv!$D$46)/10^6 +#REF!</f>
        <v>#REF!</v>
      </c>
      <c r="N754" s="203" t="e">
        <f>#REF!*#REF!^5/(Conv!$I$5*Conv!$D$46)/10^6 +#REF!</f>
        <v>#REF!</v>
      </c>
      <c r="O754" s="203" t="e">
        <f>#REF!*#REF!^5/(Conv!$I$5*Conv!$D$46)/10^6 +#REF!</f>
        <v>#REF!</v>
      </c>
      <c r="P754" s="203" t="e">
        <f>#REF!*#REF!^5/(Conv!$I$5*Conv!$D$46)/10^6 +#REF!</f>
        <v>#REF!</v>
      </c>
      <c r="Q754" s="203" t="e">
        <f>#REF!*#REF!^5/(Conv!$I$5*Conv!$D$46)/10^6 +#REF!</f>
        <v>#REF!</v>
      </c>
      <c r="S754" s="177"/>
      <c r="T754" s="177"/>
      <c r="U754" s="177"/>
      <c r="V754" s="177"/>
      <c r="W754" s="177"/>
      <c r="X754" s="177"/>
      <c r="Y754" s="177"/>
      <c r="Z754" s="177"/>
      <c r="AA754" s="177"/>
      <c r="AB754" s="177"/>
      <c r="AC754" s="177"/>
    </row>
    <row r="755" spans="2:29">
      <c r="B755" s="158" t="str">
        <f>IF(OR(LEFT(Commodities!B$239,1)="*",LEFT(Technologies!B$526,1)="*"),"*","R3")</f>
        <v>*</v>
      </c>
      <c r="C755" s="158" t="e">
        <f>Technologies!C$551</f>
        <v>#REF!</v>
      </c>
      <c r="D755" s="158" t="str">
        <f>Technologies!D526</f>
        <v>Delivery of Imported Petrochemical Feedstocks</v>
      </c>
      <c r="E755" s="197" t="str">
        <f>Commodities!C$86</f>
        <v>PFSP2</v>
      </c>
      <c r="F755" s="197" t="e">
        <f>Commodities!C239</f>
        <v>#REF!</v>
      </c>
      <c r="G755" s="204">
        <v>1</v>
      </c>
      <c r="H755" s="203" t="e">
        <f>#REF!*#REF!^5/(Conv!$I$5*Conv!$D$46)/10^6 +#REF!</f>
        <v>#REF!</v>
      </c>
      <c r="I755" s="203" t="e">
        <f>#REF!*#REF!^5/(Conv!$I$5*Conv!$D$46)/10^6 +#REF!</f>
        <v>#REF!</v>
      </c>
      <c r="J755" s="203" t="e">
        <f>#REF!*#REF!^5/(Conv!$I$5*Conv!$D$46)/10^6 +#REF!</f>
        <v>#REF!</v>
      </c>
      <c r="K755" s="203" t="e">
        <f>#REF!*#REF!^5/(Conv!$I$5*Conv!$D$46)/10^6 +#REF!</f>
        <v>#REF!</v>
      </c>
      <c r="L755" s="203" t="e">
        <f>#REF!*#REF!^5/(Conv!$I$5*Conv!$D$46)/10^6 +#REF!</f>
        <v>#REF!</v>
      </c>
      <c r="M755" s="203" t="e">
        <f>#REF!*#REF!^5/(Conv!$I$5*Conv!$D$46)/10^6 +#REF!</f>
        <v>#REF!</v>
      </c>
      <c r="N755" s="203" t="e">
        <f>#REF!*#REF!^5/(Conv!$I$5*Conv!$D$46)/10^6 +#REF!</f>
        <v>#REF!</v>
      </c>
      <c r="O755" s="203" t="e">
        <f>#REF!*#REF!^5/(Conv!$I$5*Conv!$D$46)/10^6 +#REF!</f>
        <v>#REF!</v>
      </c>
      <c r="P755" s="203" t="e">
        <f>#REF!*#REF!^5/(Conv!$I$5*Conv!$D$46)/10^6 +#REF!</f>
        <v>#REF!</v>
      </c>
      <c r="Q755" s="203" t="e">
        <f>#REF!*#REF!^5/(Conv!$I$5*Conv!$D$46)/10^6 +#REF!</f>
        <v>#REF!</v>
      </c>
      <c r="S755" s="177"/>
      <c r="T755" s="177"/>
      <c r="U755" s="177"/>
      <c r="V755" s="177"/>
      <c r="W755" s="177"/>
      <c r="X755" s="177"/>
      <c r="Y755" s="177"/>
      <c r="Z755" s="177"/>
      <c r="AA755" s="177"/>
      <c r="AB755" s="177"/>
      <c r="AC755" s="177"/>
    </row>
    <row r="756" spans="2:29">
      <c r="B756" s="158" t="str">
        <f>IF(OR(LEFT(Commodities!B$75,1)="*",LEFT(Technologies!B$527,1)="*"),"*","R3")</f>
        <v>*</v>
      </c>
      <c r="C756" s="158" t="str">
        <f>Technologies!C$552</f>
        <v>XIRESRFLP2</v>
      </c>
      <c r="D756" s="158" t="str">
        <f>Technologies!D527</f>
        <v>Delivery of Imported Low Sulfur Residual Fuel Oil to Residential Sector</v>
      </c>
      <c r="E756" s="197" t="str">
        <f>Commodities!C$88</f>
        <v>RFLP2</v>
      </c>
      <c r="F756" s="197" t="str">
        <f>Commodities!C240</f>
        <v>RESRFL</v>
      </c>
      <c r="G756" s="204">
        <v>1</v>
      </c>
      <c r="H756" s="203" t="e">
        <f>#REF!*#REF!^5/(Conv!$I$5*Conv!$D$46)/10^6 +#REF!</f>
        <v>#REF!</v>
      </c>
      <c r="I756" s="203" t="e">
        <f>#REF!*#REF!^5/(Conv!$I$5*Conv!$D$46)/10^6 +#REF!</f>
        <v>#REF!</v>
      </c>
      <c r="J756" s="203" t="e">
        <f>#REF!*#REF!^5/(Conv!$I$5*Conv!$D$46)/10^6 +#REF!</f>
        <v>#REF!</v>
      </c>
      <c r="K756" s="203" t="e">
        <f>#REF!*#REF!^5/(Conv!$I$5*Conv!$D$46)/10^6 +#REF!</f>
        <v>#REF!</v>
      </c>
      <c r="L756" s="203" t="e">
        <f>#REF!*#REF!^5/(Conv!$I$5*Conv!$D$46)/10^6 +#REF!</f>
        <v>#REF!</v>
      </c>
      <c r="M756" s="203" t="e">
        <f>#REF!*#REF!^5/(Conv!$I$5*Conv!$D$46)/10^6 +#REF!</f>
        <v>#REF!</v>
      </c>
      <c r="N756" s="203" t="e">
        <f>#REF!*#REF!^5/(Conv!$I$5*Conv!$D$46)/10^6 +#REF!</f>
        <v>#REF!</v>
      </c>
      <c r="O756" s="203" t="e">
        <f>#REF!*#REF!^5/(Conv!$I$5*Conv!$D$46)/10^6 +#REF!</f>
        <v>#REF!</v>
      </c>
      <c r="P756" s="203" t="e">
        <f>#REF!*#REF!^5/(Conv!$I$5*Conv!$D$46)/10^6 +#REF!</f>
        <v>#REF!</v>
      </c>
      <c r="Q756" s="203" t="e">
        <f>#REF!*#REF!^5/(Conv!$I$5*Conv!$D$46)/10^6 +#REF!</f>
        <v>#REF!</v>
      </c>
      <c r="S756" s="177"/>
      <c r="T756" s="177"/>
      <c r="U756" s="177"/>
      <c r="V756" s="177"/>
      <c r="W756" s="177"/>
      <c r="X756" s="177"/>
      <c r="Y756" s="177"/>
      <c r="Z756" s="177"/>
      <c r="AA756" s="177"/>
      <c r="AB756" s="177"/>
      <c r="AC756" s="177"/>
    </row>
    <row r="757" spans="2:29">
      <c r="B757" s="158" t="str">
        <f>IF(OR(LEFT(Commodities!B$75,1)="*",LEFT(Technologies!B$528,1)="*"),"*","R3")</f>
        <v>*</v>
      </c>
      <c r="C757" s="158" t="e">
        <f>Technologies!C$553</f>
        <v>#REF!</v>
      </c>
      <c r="D757" s="158" t="str">
        <f>Technologies!D528</f>
        <v>Delivery of Imported Low Sulfur Residual Fuel Oil to Commercial Sector</v>
      </c>
      <c r="E757" s="197" t="str">
        <f>Commodities!C$88</f>
        <v>RFLP2</v>
      </c>
      <c r="F757" s="197" t="e">
        <f>Commodities!C241</f>
        <v>#REF!</v>
      </c>
      <c r="G757" s="204">
        <v>1</v>
      </c>
      <c r="H757" s="203" t="e">
        <f>#REF!*#REF!^5/(Conv!$I$5*Conv!$D$46)/10^6 +#REF!</f>
        <v>#REF!</v>
      </c>
      <c r="I757" s="203" t="e">
        <f>#REF!*#REF!^5/(Conv!$I$5*Conv!$D$46)/10^6 +#REF!</f>
        <v>#REF!</v>
      </c>
      <c r="J757" s="203" t="e">
        <f>#REF!*#REF!^5/(Conv!$I$5*Conv!$D$46)/10^6 +#REF!</f>
        <v>#REF!</v>
      </c>
      <c r="K757" s="203" t="e">
        <f>#REF!*#REF!^5/(Conv!$I$5*Conv!$D$46)/10^6 +#REF!</f>
        <v>#REF!</v>
      </c>
      <c r="L757" s="203" t="e">
        <f>#REF!*#REF!^5/(Conv!$I$5*Conv!$D$46)/10^6 +#REF!</f>
        <v>#REF!</v>
      </c>
      <c r="M757" s="203" t="e">
        <f>#REF!*#REF!^5/(Conv!$I$5*Conv!$D$46)/10^6 +#REF!</f>
        <v>#REF!</v>
      </c>
      <c r="N757" s="203" t="e">
        <f>#REF!*#REF!^5/(Conv!$I$5*Conv!$D$46)/10^6 +#REF!</f>
        <v>#REF!</v>
      </c>
      <c r="O757" s="203" t="e">
        <f>#REF!*#REF!^5/(Conv!$I$5*Conv!$D$46)/10^6 +#REF!</f>
        <v>#REF!</v>
      </c>
      <c r="P757" s="203" t="e">
        <f>#REF!*#REF!^5/(Conv!$I$5*Conv!$D$46)/10^6 +#REF!</f>
        <v>#REF!</v>
      </c>
      <c r="Q757" s="203" t="e">
        <f>#REF!*#REF!^5/(Conv!$I$5*Conv!$D$46)/10^6 +#REF!</f>
        <v>#REF!</v>
      </c>
      <c r="S757" s="177"/>
      <c r="T757" s="177"/>
      <c r="U757" s="177"/>
      <c r="V757" s="177"/>
      <c r="W757" s="177"/>
      <c r="X757" s="177"/>
      <c r="Y757" s="177"/>
      <c r="Z757" s="177"/>
      <c r="AA757" s="177"/>
      <c r="AB757" s="177"/>
      <c r="AC757" s="177"/>
    </row>
    <row r="758" spans="2:29">
      <c r="B758" s="158" t="str">
        <f>IF(OR(LEFT(Commodities!B$75,1)="*",LEFT(Technologies!B$529,1)="*"),"*","R3")</f>
        <v>R3</v>
      </c>
      <c r="C758" s="158" t="e">
        <f>Technologies!C$554</f>
        <v>#REF!</v>
      </c>
      <c r="D758" s="158" t="str">
        <f>Technologies!D529</f>
        <v>Delivery of Imported Low Sulfur Residual Fuel Oil to Industrial Sector</v>
      </c>
      <c r="E758" s="197" t="str">
        <f>Commodities!C$88</f>
        <v>RFLP2</v>
      </c>
      <c r="F758" s="197" t="e">
        <f>Commodities!C242</f>
        <v>#REF!</v>
      </c>
      <c r="G758" s="204">
        <v>1</v>
      </c>
      <c r="H758" s="203" t="e">
        <f>#REF!*#REF!^5/(Conv!$I$5*Conv!$D$46)/10^6 +#REF!</f>
        <v>#REF!</v>
      </c>
      <c r="I758" s="203" t="e">
        <f>#REF!*#REF!^5/(Conv!$I$5*Conv!$D$46)/10^6 +#REF!</f>
        <v>#REF!</v>
      </c>
      <c r="J758" s="203" t="e">
        <f>#REF!*#REF!^5/(Conv!$I$5*Conv!$D$46)/10^6 +#REF!</f>
        <v>#REF!</v>
      </c>
      <c r="K758" s="203" t="e">
        <f>#REF!*#REF!^5/(Conv!$I$5*Conv!$D$46)/10^6 +#REF!</f>
        <v>#REF!</v>
      </c>
      <c r="L758" s="203" t="e">
        <f>#REF!*#REF!^5/(Conv!$I$5*Conv!$D$46)/10^6 +#REF!</f>
        <v>#REF!</v>
      </c>
      <c r="M758" s="203" t="e">
        <f>#REF!*#REF!^5/(Conv!$I$5*Conv!$D$46)/10^6 +#REF!</f>
        <v>#REF!</v>
      </c>
      <c r="N758" s="203" t="e">
        <f>#REF!*#REF!^5/(Conv!$I$5*Conv!$D$46)/10^6 +#REF!</f>
        <v>#REF!</v>
      </c>
      <c r="O758" s="203" t="e">
        <f>#REF!*#REF!^5/(Conv!$I$5*Conv!$D$46)/10^6 +#REF!</f>
        <v>#REF!</v>
      </c>
      <c r="P758" s="203" t="e">
        <f>#REF!*#REF!^5/(Conv!$I$5*Conv!$D$46)/10^6 +#REF!</f>
        <v>#REF!</v>
      </c>
      <c r="Q758" s="203" t="e">
        <f>#REF!*#REF!^5/(Conv!$I$5*Conv!$D$46)/10^6 +#REF!</f>
        <v>#REF!</v>
      </c>
      <c r="S758" s="177"/>
      <c r="T758" s="177"/>
      <c r="U758" s="177"/>
      <c r="V758" s="177"/>
      <c r="W758" s="177"/>
      <c r="X758" s="177"/>
      <c r="Y758" s="177"/>
      <c r="Z758" s="177"/>
      <c r="AA758" s="177"/>
      <c r="AB758" s="177"/>
      <c r="AC758" s="177"/>
    </row>
    <row r="759" spans="2:29">
      <c r="B759" s="158" t="str">
        <f>IF(OR(LEFT(Commodities!B$75,1)="*",LEFT(Technologies!B$530,1)="*"),"*","R3")</f>
        <v>*</v>
      </c>
      <c r="C759" s="158" t="e">
        <f>Technologies!C$555</f>
        <v>#REF!</v>
      </c>
      <c r="D759" s="158" t="str">
        <f>Technologies!D530</f>
        <v>Delivery of Imported Low Sulfur Residual Fuel Oil to Electricity Sector</v>
      </c>
      <c r="E759" s="197" t="str">
        <f>Commodities!C$88</f>
        <v>RFLP2</v>
      </c>
      <c r="F759" s="197" t="e">
        <f>Commodities!C243</f>
        <v>#REF!</v>
      </c>
      <c r="G759" s="204">
        <v>1</v>
      </c>
      <c r="H759" s="203" t="e">
        <f>#REF!*#REF!^5/(Conv!$I$5*Conv!$D$46)/10^6 +#REF!</f>
        <v>#REF!</v>
      </c>
      <c r="I759" s="203" t="e">
        <f>#REF!*#REF!^5/(Conv!$I$5*Conv!$D$46)/10^6 +#REF!</f>
        <v>#REF!</v>
      </c>
      <c r="J759" s="203" t="e">
        <f>#REF!*#REF!^5/(Conv!$I$5*Conv!$D$46)/10^6 +#REF!</f>
        <v>#REF!</v>
      </c>
      <c r="K759" s="203" t="e">
        <f>#REF!*#REF!^5/(Conv!$I$5*Conv!$D$46)/10^6 +#REF!</f>
        <v>#REF!</v>
      </c>
      <c r="L759" s="203" t="e">
        <f>#REF!*#REF!^5/(Conv!$I$5*Conv!$D$46)/10^6 +#REF!</f>
        <v>#REF!</v>
      </c>
      <c r="M759" s="203" t="e">
        <f>#REF!*#REF!^5/(Conv!$I$5*Conv!$D$46)/10^6 +#REF!</f>
        <v>#REF!</v>
      </c>
      <c r="N759" s="203" t="e">
        <f>#REF!*#REF!^5/(Conv!$I$5*Conv!$D$46)/10^6 +#REF!</f>
        <v>#REF!</v>
      </c>
      <c r="O759" s="203" t="e">
        <f>#REF!*#REF!^5/(Conv!$I$5*Conv!$D$46)/10^6 +#REF!</f>
        <v>#REF!</v>
      </c>
      <c r="P759" s="203" t="e">
        <f>#REF!*#REF!^5/(Conv!$I$5*Conv!$D$46)/10^6 +#REF!</f>
        <v>#REF!</v>
      </c>
      <c r="Q759" s="203" t="e">
        <f>#REF!*#REF!^5/(Conv!$I$5*Conv!$D$46)/10^6 +#REF!</f>
        <v>#REF!</v>
      </c>
      <c r="S759" s="177"/>
      <c r="T759" s="177"/>
      <c r="U759" s="177"/>
      <c r="V759" s="177"/>
      <c r="W759" s="177"/>
      <c r="X759" s="177"/>
      <c r="Y759" s="177"/>
      <c r="Z759" s="177"/>
      <c r="AA759" s="177"/>
      <c r="AB759" s="177"/>
      <c r="AC759" s="177"/>
    </row>
    <row r="760" spans="2:29">
      <c r="B760" s="158" t="str">
        <f>IF(OR(LEFT(Commodities!B$74,1)="*",LEFT(Technologies!B$531,1)="*"),"*","R3")</f>
        <v>*</v>
      </c>
      <c r="C760" s="158" t="e">
        <f>Technologies!C$556</f>
        <v>#REF!</v>
      </c>
      <c r="D760" s="158" t="str">
        <f>Technologies!D531</f>
        <v>Delivery of Imported High Sulfur Residual Fuel Oil to Transportation Sector</v>
      </c>
      <c r="E760" s="197" t="str">
        <f>Commodities!C$87</f>
        <v>RFHP2</v>
      </c>
      <c r="F760" s="197" t="e">
        <f>Commodities!C244</f>
        <v>#REF!</v>
      </c>
      <c r="G760" s="204">
        <v>1</v>
      </c>
      <c r="H760" s="203" t="e">
        <f>#REF!*#REF!^5/(Conv!$I$5*Conv!$D$46)/10^6 +#REF!</f>
        <v>#REF!</v>
      </c>
      <c r="I760" s="203" t="e">
        <f>#REF!*#REF!^5/(Conv!$I$5*Conv!$D$46)/10^6 +#REF!</f>
        <v>#REF!</v>
      </c>
      <c r="J760" s="203" t="e">
        <f>#REF!*#REF!^5/(Conv!$I$5*Conv!$D$46)/10^6 +#REF!</f>
        <v>#REF!</v>
      </c>
      <c r="K760" s="203" t="e">
        <f>#REF!*#REF!^5/(Conv!$I$5*Conv!$D$46)/10^6 +#REF!</f>
        <v>#REF!</v>
      </c>
      <c r="L760" s="203" t="e">
        <f>#REF!*#REF!^5/(Conv!$I$5*Conv!$D$46)/10^6 +#REF!</f>
        <v>#REF!</v>
      </c>
      <c r="M760" s="203" t="e">
        <f>#REF!*#REF!^5/(Conv!$I$5*Conv!$D$46)/10^6 +#REF!</f>
        <v>#REF!</v>
      </c>
      <c r="N760" s="203" t="e">
        <f>#REF!*#REF!^5/(Conv!$I$5*Conv!$D$46)/10^6 +#REF!</f>
        <v>#REF!</v>
      </c>
      <c r="O760" s="203" t="e">
        <f>#REF!*#REF!^5/(Conv!$I$5*Conv!$D$46)/10^6 +#REF!</f>
        <v>#REF!</v>
      </c>
      <c r="P760" s="203" t="e">
        <f>#REF!*#REF!^5/(Conv!$I$5*Conv!$D$46)/10^6 +#REF!</f>
        <v>#REF!</v>
      </c>
      <c r="Q760" s="203" t="e">
        <f>#REF!*#REF!^5/(Conv!$I$5*Conv!$D$46)/10^6 +#REF!</f>
        <v>#REF!</v>
      </c>
      <c r="S760" s="177"/>
      <c r="T760" s="177"/>
      <c r="U760" s="177"/>
      <c r="V760" s="177"/>
      <c r="W760" s="177"/>
      <c r="X760" s="177"/>
      <c r="Y760" s="177"/>
      <c r="Z760" s="177"/>
      <c r="AA760" s="177"/>
      <c r="AB760" s="177"/>
      <c r="AC760" s="177"/>
    </row>
    <row r="761" spans="2:29">
      <c r="B761" s="158" t="str">
        <f>IF(OR(LEFT(Commodities!B$74,1)="*",LEFT(Technologies!B$532,1)="*"),"*","R3")</f>
        <v>*</v>
      </c>
      <c r="C761" s="158" t="e">
        <f>Technologies!C$557</f>
        <v>#REF!</v>
      </c>
      <c r="D761" s="158" t="str">
        <f>Technologies!D532</f>
        <v>Delivery of Imported High Sulfur Residual Fuel Oil to Electricity Sector</v>
      </c>
      <c r="E761" s="197" t="str">
        <f>Commodities!C$87</f>
        <v>RFHP2</v>
      </c>
      <c r="F761" s="197" t="e">
        <f>Commodities!C245</f>
        <v>#REF!</v>
      </c>
      <c r="G761" s="204">
        <v>1</v>
      </c>
      <c r="H761" s="203" t="e">
        <f>#REF!*#REF!^5/(Conv!$I$5*Conv!$D$46)/10^6 +#REF!</f>
        <v>#REF!</v>
      </c>
      <c r="I761" s="203" t="e">
        <f>#REF!*#REF!^5/(Conv!$I$5*Conv!$D$46)/10^6 +#REF!</f>
        <v>#REF!</v>
      </c>
      <c r="J761" s="203" t="e">
        <f>#REF!*#REF!^5/(Conv!$I$5*Conv!$D$46)/10^6 +#REF!</f>
        <v>#REF!</v>
      </c>
      <c r="K761" s="203" t="e">
        <f>#REF!*#REF!^5/(Conv!$I$5*Conv!$D$46)/10^6 +#REF!</f>
        <v>#REF!</v>
      </c>
      <c r="L761" s="203" t="e">
        <f>#REF!*#REF!^5/(Conv!$I$5*Conv!$D$46)/10^6 +#REF!</f>
        <v>#REF!</v>
      </c>
      <c r="M761" s="203" t="e">
        <f>#REF!*#REF!^5/(Conv!$I$5*Conv!$D$46)/10^6 +#REF!</f>
        <v>#REF!</v>
      </c>
      <c r="N761" s="203" t="e">
        <f>#REF!*#REF!^5/(Conv!$I$5*Conv!$D$46)/10^6 +#REF!</f>
        <v>#REF!</v>
      </c>
      <c r="O761" s="203" t="e">
        <f>#REF!*#REF!^5/(Conv!$I$5*Conv!$D$46)/10^6 +#REF!</f>
        <v>#REF!</v>
      </c>
      <c r="P761" s="203" t="e">
        <f>#REF!*#REF!^5/(Conv!$I$5*Conv!$D$46)/10^6 +#REF!</f>
        <v>#REF!</v>
      </c>
      <c r="Q761" s="203" t="e">
        <f>#REF!*#REF!^5/(Conv!$I$5*Conv!$D$46)/10^6 +#REF!</f>
        <v>#REF!</v>
      </c>
      <c r="S761" s="177"/>
      <c r="T761" s="177"/>
      <c r="U761" s="177"/>
      <c r="V761" s="177"/>
      <c r="W761" s="177"/>
      <c r="X761" s="177"/>
      <c r="Y761" s="177"/>
      <c r="Z761" s="177"/>
      <c r="AA761" s="177"/>
      <c r="AB761" s="177"/>
      <c r="AC761" s="177"/>
    </row>
    <row r="762" spans="2:29">
      <c r="B762" s="160" t="s">
        <v>1033</v>
      </c>
      <c r="C762" s="160"/>
      <c r="D762" s="160"/>
      <c r="E762" s="196"/>
      <c r="F762" s="196"/>
      <c r="G762" s="200"/>
      <c r="H762" s="174"/>
      <c r="I762" s="174"/>
      <c r="J762" s="174"/>
      <c r="K762" s="174"/>
      <c r="L762" s="174"/>
      <c r="M762" s="174"/>
      <c r="N762" s="174"/>
      <c r="O762" s="174"/>
      <c r="P762" s="174"/>
      <c r="Q762" s="174"/>
    </row>
    <row r="763" spans="2:29">
      <c r="B763" s="158" t="str">
        <f>IF(LEFT(Technologies!B$509,1)="*","*","R4")</f>
        <v>R4</v>
      </c>
      <c r="C763" s="158" t="e">
        <f>Technologies!C$534</f>
        <v>#REF!</v>
      </c>
      <c r="D763" s="158" t="str">
        <f>Technologies!D509</f>
        <v>Delivery of Imported Conventional Gasoline</v>
      </c>
      <c r="E763" s="197" t="str">
        <f>Commodities!C$80</f>
        <v>GSCP2</v>
      </c>
      <c r="F763" s="197" t="e">
        <f>Commodities!C222</f>
        <v>#REF!</v>
      </c>
      <c r="G763" s="204">
        <v>1</v>
      </c>
      <c r="H763" s="203" t="e">
        <f>#REF!*#REF!^5/(Conv!$I$5*Conv!$D$46)/10^6 +#REF!</f>
        <v>#REF!</v>
      </c>
      <c r="I763" s="203" t="e">
        <f>#REF!*#REF!^5/(Conv!$I$5*Conv!$D$46)/10^6 +#REF!</f>
        <v>#REF!</v>
      </c>
      <c r="J763" s="203" t="e">
        <f>#REF!*#REF!^5/(Conv!$I$5*Conv!$D$46)/10^6 +#REF!</f>
        <v>#REF!</v>
      </c>
      <c r="K763" s="203" t="e">
        <f>#REF!*#REF!^5/(Conv!$I$5*Conv!$D$46)/10^6 +#REF!</f>
        <v>#REF!</v>
      </c>
      <c r="L763" s="203" t="e">
        <f>#REF!*#REF!^5/(Conv!$I$5*Conv!$D$46)/10^6 +#REF!</f>
        <v>#REF!</v>
      </c>
      <c r="M763" s="203" t="e">
        <f>#REF!*#REF!^5/(Conv!$I$5*Conv!$D$46)/10^6 +#REF!</f>
        <v>#REF!</v>
      </c>
      <c r="N763" s="203" t="e">
        <f>#REF!*#REF!^5/(Conv!$I$5*Conv!$D$46)/10^6 +#REF!</f>
        <v>#REF!</v>
      </c>
      <c r="O763" s="203" t="e">
        <f>#REF!*#REF!^5/(Conv!$I$5*Conv!$D$46)/10^6 +#REF!</f>
        <v>#REF!</v>
      </c>
      <c r="P763" s="203" t="e">
        <f>#REF!*#REF!^5/(Conv!$I$5*Conv!$D$46)/10^6 +#REF!</f>
        <v>#REF!</v>
      </c>
      <c r="Q763" s="203" t="e">
        <f>#REF!*#REF!^5/(Conv!$I$5*Conv!$D$46)/10^6 +#REF!</f>
        <v>#REF!</v>
      </c>
      <c r="S763" s="177"/>
      <c r="T763" s="177"/>
      <c r="U763" s="177"/>
      <c r="V763" s="177"/>
      <c r="W763" s="177"/>
      <c r="X763" s="177"/>
      <c r="Y763" s="177"/>
      <c r="Z763" s="177"/>
      <c r="AA763" s="177"/>
      <c r="AB763" s="177"/>
      <c r="AC763" s="177"/>
    </row>
    <row r="764" spans="2:29">
      <c r="B764" s="158" t="str">
        <f>IF(LEFT(Technologies!B$510,1)="*","*","R4")</f>
        <v>R4</v>
      </c>
      <c r="C764" s="158" t="e">
        <f>Technologies!C$535</f>
        <v>#REF!</v>
      </c>
      <c r="D764" s="158" t="str">
        <f>Technologies!D510</f>
        <v>Delivery of Imported Reformulated Gasoline</v>
      </c>
      <c r="E764" s="197" t="str">
        <f>Commodities!C$81</f>
        <v>GSRP2</v>
      </c>
      <c r="F764" s="197" t="e">
        <f>Commodities!C223</f>
        <v>#REF!</v>
      </c>
      <c r="G764" s="204">
        <v>1</v>
      </c>
      <c r="H764" s="203" t="e">
        <f>#REF!*#REF!^5/(Conv!$I$5*Conv!$D$46)/10^6 +#REF!</f>
        <v>#REF!</v>
      </c>
      <c r="I764" s="203" t="e">
        <f>#REF!*#REF!^5/(Conv!$I$5*Conv!$D$46)/10^6 +#REF!</f>
        <v>#REF!</v>
      </c>
      <c r="J764" s="203" t="e">
        <f>#REF!*#REF!^5/(Conv!$I$5*Conv!$D$46)/10^6 +#REF!</f>
        <v>#REF!</v>
      </c>
      <c r="K764" s="203" t="e">
        <f>#REF!*#REF!^5/(Conv!$I$5*Conv!$D$46)/10^6 +#REF!</f>
        <v>#REF!</v>
      </c>
      <c r="L764" s="203" t="e">
        <f>#REF!*#REF!^5/(Conv!$I$5*Conv!$D$46)/10^6 +#REF!</f>
        <v>#REF!</v>
      </c>
      <c r="M764" s="203" t="e">
        <f>#REF!*#REF!^5/(Conv!$I$5*Conv!$D$46)/10^6 +#REF!</f>
        <v>#REF!</v>
      </c>
      <c r="N764" s="203" t="e">
        <f>#REF!*#REF!^5/(Conv!$I$5*Conv!$D$46)/10^6 +#REF!</f>
        <v>#REF!</v>
      </c>
      <c r="O764" s="203" t="e">
        <f>#REF!*#REF!^5/(Conv!$I$5*Conv!$D$46)/10^6 +#REF!</f>
        <v>#REF!</v>
      </c>
      <c r="P764" s="203" t="e">
        <f>#REF!*#REF!^5/(Conv!$I$5*Conv!$D$46)/10^6 +#REF!</f>
        <v>#REF!</v>
      </c>
      <c r="Q764" s="203" t="e">
        <f>#REF!*#REF!^5/(Conv!$I$5*Conv!$D$46)/10^6 +#REF!</f>
        <v>#REF!</v>
      </c>
      <c r="S764" s="177"/>
      <c r="T764" s="177"/>
      <c r="U764" s="177"/>
      <c r="V764" s="177"/>
      <c r="W764" s="177"/>
      <c r="X764" s="177"/>
      <c r="Y764" s="177"/>
      <c r="Z764" s="177"/>
      <c r="AA764" s="177"/>
      <c r="AB764" s="177"/>
      <c r="AC764" s="177"/>
    </row>
    <row r="765" spans="2:29">
      <c r="B765" s="158" t="str">
        <f>IF(OR(LEFT(Commodities!B$64,1)="*",LEFT(Technologies!B$511,1)="*"),"*","R4")</f>
        <v>R4</v>
      </c>
      <c r="C765" s="158" t="e">
        <f>Technologies!C$536</f>
        <v>#REF!</v>
      </c>
      <c r="D765" s="158" t="str">
        <f>Technologies!D511</f>
        <v>Delivery of Imported Distillate-Heating Oil No. 2 to the Residential Sector</v>
      </c>
      <c r="E765" s="197" t="str">
        <f>Commodities!C$77</f>
        <v>DSHP2</v>
      </c>
      <c r="F765" s="197" t="e">
        <f>Commodities!C224</f>
        <v>#REF!</v>
      </c>
      <c r="G765" s="204">
        <v>1</v>
      </c>
      <c r="H765" s="203" t="e">
        <f>#REF!*#REF!^5/(Conv!$I$5*Conv!$D$46)/10^6 +#REF!</f>
        <v>#REF!</v>
      </c>
      <c r="I765" s="203" t="e">
        <f>#REF!*#REF!^5/(Conv!$I$5*Conv!$D$46)/10^6 +#REF!</f>
        <v>#REF!</v>
      </c>
      <c r="J765" s="203" t="e">
        <f>#REF!*#REF!^5/(Conv!$I$5*Conv!$D$46)/10^6 +#REF!</f>
        <v>#REF!</v>
      </c>
      <c r="K765" s="203" t="e">
        <f>#REF!*#REF!^5/(Conv!$I$5*Conv!$D$46)/10^6 +#REF!</f>
        <v>#REF!</v>
      </c>
      <c r="L765" s="203" t="e">
        <f>#REF!*#REF!^5/(Conv!$I$5*Conv!$D$46)/10^6 +#REF!</f>
        <v>#REF!</v>
      </c>
      <c r="M765" s="203" t="e">
        <f>#REF!*#REF!^5/(Conv!$I$5*Conv!$D$46)/10^6 +#REF!</f>
        <v>#REF!</v>
      </c>
      <c r="N765" s="203" t="e">
        <f>#REF!*#REF!^5/(Conv!$I$5*Conv!$D$46)/10^6 +#REF!</f>
        <v>#REF!</v>
      </c>
      <c r="O765" s="203" t="e">
        <f>#REF!*#REF!^5/(Conv!$I$5*Conv!$D$46)/10^6 +#REF!</f>
        <v>#REF!</v>
      </c>
      <c r="P765" s="203" t="e">
        <f>#REF!*#REF!^5/(Conv!$I$5*Conv!$D$46)/10^6 +#REF!</f>
        <v>#REF!</v>
      </c>
      <c r="Q765" s="203" t="e">
        <f>#REF!*#REF!^5/(Conv!$I$5*Conv!$D$46)/10^6 +#REF!</f>
        <v>#REF!</v>
      </c>
      <c r="S765" s="177"/>
      <c r="T765" s="177"/>
      <c r="U765" s="177"/>
      <c r="V765" s="177"/>
      <c r="W765" s="177"/>
      <c r="X765" s="177"/>
      <c r="Y765" s="177"/>
      <c r="Z765" s="177"/>
      <c r="AA765" s="177"/>
      <c r="AB765" s="177"/>
      <c r="AC765" s="177"/>
    </row>
    <row r="766" spans="2:29">
      <c r="B766" s="158" t="str">
        <f>IF(OR(LEFT(Commodities!B$64,1)="*",LEFT(Technologies!B$512,1)="*"),"*","R4")</f>
        <v>R4</v>
      </c>
      <c r="C766" s="158" t="e">
        <f>Technologies!C$537</f>
        <v>#REF!</v>
      </c>
      <c r="D766" s="158" t="str">
        <f>Technologies!D512</f>
        <v>Delivery of Imported Distillate-Heating Oil No. 2 to the Commercial Sector</v>
      </c>
      <c r="E766" s="197" t="str">
        <f>Commodities!C$77</f>
        <v>DSHP2</v>
      </c>
      <c r="F766" s="197" t="e">
        <f>Commodities!C225</f>
        <v>#REF!</v>
      </c>
      <c r="G766" s="204">
        <v>1</v>
      </c>
      <c r="H766" s="203" t="e">
        <f>#REF!*#REF!^5/(Conv!$I$5*Conv!$D$46)/10^6 +#REF!</f>
        <v>#REF!</v>
      </c>
      <c r="I766" s="203" t="e">
        <f>#REF!*#REF!^5/(Conv!$I$5*Conv!$D$46)/10^6 +#REF!</f>
        <v>#REF!</v>
      </c>
      <c r="J766" s="203" t="e">
        <f>#REF!*#REF!^5/(Conv!$I$5*Conv!$D$46)/10^6 +#REF!</f>
        <v>#REF!</v>
      </c>
      <c r="K766" s="203" t="e">
        <f>#REF!*#REF!^5/(Conv!$I$5*Conv!$D$46)/10^6 +#REF!</f>
        <v>#REF!</v>
      </c>
      <c r="L766" s="203" t="e">
        <f>#REF!*#REF!^5/(Conv!$I$5*Conv!$D$46)/10^6 +#REF!</f>
        <v>#REF!</v>
      </c>
      <c r="M766" s="203" t="e">
        <f>#REF!*#REF!^5/(Conv!$I$5*Conv!$D$46)/10^6 +#REF!</f>
        <v>#REF!</v>
      </c>
      <c r="N766" s="203" t="e">
        <f>#REF!*#REF!^5/(Conv!$I$5*Conv!$D$46)/10^6 +#REF!</f>
        <v>#REF!</v>
      </c>
      <c r="O766" s="203" t="e">
        <f>#REF!*#REF!^5/(Conv!$I$5*Conv!$D$46)/10^6 +#REF!</f>
        <v>#REF!</v>
      </c>
      <c r="P766" s="203" t="e">
        <f>#REF!*#REF!^5/(Conv!$I$5*Conv!$D$46)/10^6 +#REF!</f>
        <v>#REF!</v>
      </c>
      <c r="Q766" s="203" t="e">
        <f>#REF!*#REF!^5/(Conv!$I$5*Conv!$D$46)/10^6 +#REF!</f>
        <v>#REF!</v>
      </c>
      <c r="S766" s="177"/>
      <c r="T766" s="177"/>
      <c r="U766" s="177"/>
      <c r="V766" s="177"/>
      <c r="W766" s="177"/>
      <c r="X766" s="177"/>
      <c r="Y766" s="177"/>
      <c r="Z766" s="177"/>
      <c r="AA766" s="177"/>
      <c r="AB766" s="177"/>
      <c r="AC766" s="177"/>
    </row>
    <row r="767" spans="2:29">
      <c r="B767" s="158" t="str">
        <f>IF(OR(LEFT(Commodities!B$64,1)="*",LEFT(Technologies!B$513,1)="*"),"*","R4")</f>
        <v>*</v>
      </c>
      <c r="C767" s="158" t="e">
        <f>Technologies!C$538</f>
        <v>#REF!</v>
      </c>
      <c r="D767" s="158" t="str">
        <f>Technologies!D513</f>
        <v>Delivery of Imported Distillate-Heating Oil No. 2 to the Indistrial Sector</v>
      </c>
      <c r="E767" s="197" t="str">
        <f>Commodities!C$77</f>
        <v>DSHP2</v>
      </c>
      <c r="F767" s="197" t="e">
        <f>Commodities!C226</f>
        <v>#REF!</v>
      </c>
      <c r="G767" s="204">
        <v>1</v>
      </c>
      <c r="H767" s="203" t="e">
        <f>#REF!*#REF!^5/(Conv!$I$5*Conv!$D$46)/10^6 +#REF!</f>
        <v>#REF!</v>
      </c>
      <c r="I767" s="203" t="e">
        <f>#REF!*#REF!^5/(Conv!$I$5*Conv!$D$46)/10^6 +#REF!</f>
        <v>#REF!</v>
      </c>
      <c r="J767" s="203" t="e">
        <f>#REF!*#REF!^5/(Conv!$I$5*Conv!$D$46)/10^6 +#REF!</f>
        <v>#REF!</v>
      </c>
      <c r="K767" s="203" t="e">
        <f>#REF!*#REF!^5/(Conv!$I$5*Conv!$D$46)/10^6 +#REF!</f>
        <v>#REF!</v>
      </c>
      <c r="L767" s="203" t="e">
        <f>#REF!*#REF!^5/(Conv!$I$5*Conv!$D$46)/10^6 +#REF!</f>
        <v>#REF!</v>
      </c>
      <c r="M767" s="203" t="e">
        <f>#REF!*#REF!^5/(Conv!$I$5*Conv!$D$46)/10^6 +#REF!</f>
        <v>#REF!</v>
      </c>
      <c r="N767" s="203" t="e">
        <f>#REF!*#REF!^5/(Conv!$I$5*Conv!$D$46)/10^6 +#REF!</f>
        <v>#REF!</v>
      </c>
      <c r="O767" s="203" t="e">
        <f>#REF!*#REF!^5/(Conv!$I$5*Conv!$D$46)/10^6 +#REF!</f>
        <v>#REF!</v>
      </c>
      <c r="P767" s="203" t="e">
        <f>#REF!*#REF!^5/(Conv!$I$5*Conv!$D$46)/10^6 +#REF!</f>
        <v>#REF!</v>
      </c>
      <c r="Q767" s="203" t="e">
        <f>#REF!*#REF!^5/(Conv!$I$5*Conv!$D$46)/10^6 +#REF!</f>
        <v>#REF!</v>
      </c>
      <c r="S767" s="177"/>
      <c r="T767" s="177"/>
      <c r="U767" s="177"/>
      <c r="V767" s="177"/>
      <c r="W767" s="177"/>
      <c r="X767" s="177"/>
      <c r="Y767" s="177"/>
      <c r="Z767" s="177"/>
      <c r="AA767" s="177"/>
      <c r="AB767" s="177"/>
      <c r="AC767" s="177"/>
    </row>
    <row r="768" spans="2:29">
      <c r="B768" s="158" t="str">
        <f>IF(OR(LEFT(Commodities!B$64,1)="*",LEFT(Technologies!B$514,1)="*"),"*","R4")</f>
        <v>R4</v>
      </c>
      <c r="C768" s="158" t="e">
        <f>Technologies!C$539</f>
        <v>#REF!</v>
      </c>
      <c r="D768" s="158" t="str">
        <f>Technologies!D514</f>
        <v>Delivery of Imported Distillate-Heating Oil No. 2 to the Electricity Sector</v>
      </c>
      <c r="E768" s="197" t="str">
        <f>Commodities!C$77</f>
        <v>DSHP2</v>
      </c>
      <c r="F768" s="197" t="e">
        <f>Commodities!C227</f>
        <v>#REF!</v>
      </c>
      <c r="G768" s="204">
        <v>1</v>
      </c>
      <c r="H768" s="203" t="e">
        <f>#REF!*#REF!^5/(Conv!$I$5*Conv!$D$46)/10^6 +#REF!</f>
        <v>#REF!</v>
      </c>
      <c r="I768" s="203" t="e">
        <f>#REF!*#REF!^5/(Conv!$I$5*Conv!$D$46)/10^6 +#REF!</f>
        <v>#REF!</v>
      </c>
      <c r="J768" s="203" t="e">
        <f>#REF!*#REF!^5/(Conv!$I$5*Conv!$D$46)/10^6 +#REF!</f>
        <v>#REF!</v>
      </c>
      <c r="K768" s="203" t="e">
        <f>#REF!*#REF!^5/(Conv!$I$5*Conv!$D$46)/10^6 +#REF!</f>
        <v>#REF!</v>
      </c>
      <c r="L768" s="203" t="e">
        <f>#REF!*#REF!^5/(Conv!$I$5*Conv!$D$46)/10^6 +#REF!</f>
        <v>#REF!</v>
      </c>
      <c r="M768" s="203" t="e">
        <f>#REF!*#REF!^5/(Conv!$I$5*Conv!$D$46)/10^6 +#REF!</f>
        <v>#REF!</v>
      </c>
      <c r="N768" s="203" t="e">
        <f>#REF!*#REF!^5/(Conv!$I$5*Conv!$D$46)/10^6 +#REF!</f>
        <v>#REF!</v>
      </c>
      <c r="O768" s="203" t="e">
        <f>#REF!*#REF!^5/(Conv!$I$5*Conv!$D$46)/10^6 +#REF!</f>
        <v>#REF!</v>
      </c>
      <c r="P768" s="203" t="e">
        <f>#REF!*#REF!^5/(Conv!$I$5*Conv!$D$46)/10^6 +#REF!</f>
        <v>#REF!</v>
      </c>
      <c r="Q768" s="203" t="e">
        <f>#REF!*#REF!^5/(Conv!$I$5*Conv!$D$46)/10^6 +#REF!</f>
        <v>#REF!</v>
      </c>
      <c r="S768" s="177"/>
      <c r="T768" s="177"/>
      <c r="U768" s="177"/>
      <c r="V768" s="177"/>
      <c r="W768" s="177"/>
      <c r="X768" s="177"/>
      <c r="Y768" s="177"/>
      <c r="Z768" s="177"/>
      <c r="AA768" s="177"/>
      <c r="AB768" s="177"/>
      <c r="AC768" s="177"/>
    </row>
    <row r="769" spans="2:29">
      <c r="B769" s="158" t="str">
        <f>IF(OR(LEFT(Commodities!B$65,1)="*",LEFT(Technologies!B$515,1)="*"),"*","R4")</f>
        <v>R4</v>
      </c>
      <c r="C769" s="158" t="e">
        <f>Technologies!C$540</f>
        <v>#REF!</v>
      </c>
      <c r="D769" s="158" t="str">
        <f>Technologies!D515</f>
        <v>Delivery of Imported Distillate-Low Sulfur Highway Diesel (500 ppm)</v>
      </c>
      <c r="E769" s="197" t="str">
        <f>Commodities!C$78</f>
        <v>DSLP2</v>
      </c>
      <c r="F769" s="197" t="e">
        <f>Commodities!C228</f>
        <v>#REF!</v>
      </c>
      <c r="G769" s="204">
        <v>1</v>
      </c>
      <c r="H769" s="203" t="e">
        <f>#REF!*#REF!^5/(Conv!$I$5*Conv!$D$46)/10^6 +#REF!</f>
        <v>#REF!</v>
      </c>
      <c r="I769" s="203" t="e">
        <f>#REF!*#REF!^5/(Conv!$I$5*Conv!$D$46)/10^6 +#REF!</f>
        <v>#REF!</v>
      </c>
      <c r="J769" s="203" t="e">
        <f>#REF!*#REF!^5/(Conv!$I$5*Conv!$D$46)/10^6 +#REF!</f>
        <v>#REF!</v>
      </c>
      <c r="K769" s="203" t="e">
        <f>#REF!*#REF!^5/(Conv!$I$5*Conv!$D$46)/10^6 +#REF!</f>
        <v>#REF!</v>
      </c>
      <c r="L769" s="203" t="e">
        <f>#REF!*#REF!^5/(Conv!$I$5*Conv!$D$46)/10^6 +#REF!</f>
        <v>#REF!</v>
      </c>
      <c r="M769" s="203" t="e">
        <f>#REF!*#REF!^5/(Conv!$I$5*Conv!$D$46)/10^6 +#REF!</f>
        <v>#REF!</v>
      </c>
      <c r="N769" s="203" t="e">
        <f>#REF!*#REF!^5/(Conv!$I$5*Conv!$D$46)/10^6 +#REF!</f>
        <v>#REF!</v>
      </c>
      <c r="O769" s="203" t="e">
        <f>#REF!*#REF!^5/(Conv!$I$5*Conv!$D$46)/10^6 +#REF!</f>
        <v>#REF!</v>
      </c>
      <c r="P769" s="203" t="e">
        <f>#REF!*#REF!^5/(Conv!$I$5*Conv!$D$46)/10^6 +#REF!</f>
        <v>#REF!</v>
      </c>
      <c r="Q769" s="203" t="e">
        <f>#REF!*#REF!^5/(Conv!$I$5*Conv!$D$46)/10^6 +#REF!</f>
        <v>#REF!</v>
      </c>
      <c r="S769" s="177"/>
      <c r="T769" s="177"/>
      <c r="U769" s="177"/>
      <c r="V769" s="177"/>
      <c r="W769" s="177"/>
      <c r="X769" s="177"/>
      <c r="Y769" s="177"/>
      <c r="Z769" s="177"/>
      <c r="AA769" s="177"/>
      <c r="AB769" s="177"/>
      <c r="AC769" s="177"/>
    </row>
    <row r="770" spans="2:29">
      <c r="B770" s="158" t="str">
        <f>IF(OR(LEFT(Commodities!B$66,1)="*",LEFT(Technologies!B$516,1)="*"),"*","R4")</f>
        <v>R4</v>
      </c>
      <c r="C770" s="158" t="e">
        <f>Technologies!C$541</f>
        <v>#REF!</v>
      </c>
      <c r="D770" s="158" t="str">
        <f>Technologies!D516</f>
        <v>Delivery of Imported Distillate-Ultralow Sulfur Highway Diesel (15 ppm)</v>
      </c>
      <c r="E770" s="197" t="str">
        <f>Commodities!C$79</f>
        <v>DSUP2</v>
      </c>
      <c r="F770" s="197" t="e">
        <f>Commodities!C229</f>
        <v>#REF!</v>
      </c>
      <c r="G770" s="204">
        <v>1</v>
      </c>
      <c r="H770" s="203" t="e">
        <f>#REF!*#REF!^5/(Conv!$I$5*Conv!$D$46)/10^6 +#REF!</f>
        <v>#REF!</v>
      </c>
      <c r="I770" s="203" t="e">
        <f>#REF!*#REF!^5/(Conv!$I$5*Conv!$D$46)/10^6 +#REF!</f>
        <v>#REF!</v>
      </c>
      <c r="J770" s="203" t="e">
        <f>#REF!*#REF!^5/(Conv!$I$5*Conv!$D$46)/10^6 +#REF!</f>
        <v>#REF!</v>
      </c>
      <c r="K770" s="203" t="e">
        <f>#REF!*#REF!^5/(Conv!$I$5*Conv!$D$46)/10^6 +#REF!</f>
        <v>#REF!</v>
      </c>
      <c r="L770" s="203" t="e">
        <f>#REF!*#REF!^5/(Conv!$I$5*Conv!$D$46)/10^6 +#REF!</f>
        <v>#REF!</v>
      </c>
      <c r="M770" s="203" t="e">
        <f>#REF!*#REF!^5/(Conv!$I$5*Conv!$D$46)/10^6 +#REF!</f>
        <v>#REF!</v>
      </c>
      <c r="N770" s="203" t="e">
        <f>#REF!*#REF!^5/(Conv!$I$5*Conv!$D$46)/10^6 +#REF!</f>
        <v>#REF!</v>
      </c>
      <c r="O770" s="203" t="e">
        <f>#REF!*#REF!^5/(Conv!$I$5*Conv!$D$46)/10^6 +#REF!</f>
        <v>#REF!</v>
      </c>
      <c r="P770" s="203" t="e">
        <f>#REF!*#REF!^5/(Conv!$I$5*Conv!$D$46)/10^6 +#REF!</f>
        <v>#REF!</v>
      </c>
      <c r="Q770" s="203" t="e">
        <f>#REF!*#REF!^5/(Conv!$I$5*Conv!$D$46)/10^6 +#REF!</f>
        <v>#REF!</v>
      </c>
      <c r="S770" s="177"/>
      <c r="T770" s="177"/>
      <c r="U770" s="177"/>
      <c r="V770" s="177"/>
      <c r="W770" s="177"/>
      <c r="X770" s="177"/>
      <c r="Y770" s="177"/>
      <c r="Z770" s="177"/>
      <c r="AA770" s="177"/>
      <c r="AB770" s="177"/>
      <c r="AC770" s="177"/>
    </row>
    <row r="771" spans="2:29">
      <c r="B771" s="158" t="str">
        <f>IF(OR(LEFT(Commodities!B$69,1)="*",LEFT(Technologies!B$517,1)="*"),"*","R4")</f>
        <v>*</v>
      </c>
      <c r="C771" s="158" t="e">
        <f>Technologies!C$542</f>
        <v>#REF!</v>
      </c>
      <c r="D771" s="158" t="str">
        <f>Technologies!D517</f>
        <v>Delivery of Imported Jet Fuel</v>
      </c>
      <c r="E771" s="197" t="str">
        <f>Commodities!C$82</f>
        <v>JTFP2</v>
      </c>
      <c r="F771" s="197" t="e">
        <f>Commodities!C230</f>
        <v>#REF!</v>
      </c>
      <c r="G771" s="204">
        <v>1</v>
      </c>
      <c r="H771" s="203" t="e">
        <f>#REF!*#REF!^5/(Conv!$I$5*Conv!$D$46)/10^6 +#REF!</f>
        <v>#REF!</v>
      </c>
      <c r="I771" s="203" t="e">
        <f>#REF!*#REF!^5/(Conv!$I$5*Conv!$D$46)/10^6 +#REF!</f>
        <v>#REF!</v>
      </c>
      <c r="J771" s="203" t="e">
        <f>#REF!*#REF!^5/(Conv!$I$5*Conv!$D$46)/10^6 +#REF!</f>
        <v>#REF!</v>
      </c>
      <c r="K771" s="203" t="e">
        <f>#REF!*#REF!^5/(Conv!$I$5*Conv!$D$46)/10^6 +#REF!</f>
        <v>#REF!</v>
      </c>
      <c r="L771" s="203" t="e">
        <f>#REF!*#REF!^5/(Conv!$I$5*Conv!$D$46)/10^6 +#REF!</f>
        <v>#REF!</v>
      </c>
      <c r="M771" s="203" t="e">
        <f>#REF!*#REF!^5/(Conv!$I$5*Conv!$D$46)/10^6 +#REF!</f>
        <v>#REF!</v>
      </c>
      <c r="N771" s="203" t="e">
        <f>#REF!*#REF!^5/(Conv!$I$5*Conv!$D$46)/10^6 +#REF!</f>
        <v>#REF!</v>
      </c>
      <c r="O771" s="203" t="e">
        <f>#REF!*#REF!^5/(Conv!$I$5*Conv!$D$46)/10^6 +#REF!</f>
        <v>#REF!</v>
      </c>
      <c r="P771" s="203" t="e">
        <f>#REF!*#REF!^5/(Conv!$I$5*Conv!$D$46)/10^6 +#REF!</f>
        <v>#REF!</v>
      </c>
      <c r="Q771" s="203" t="e">
        <f>#REF!*#REF!^5/(Conv!$I$5*Conv!$D$46)/10^6 +#REF!</f>
        <v>#REF!</v>
      </c>
      <c r="S771" s="177"/>
      <c r="T771" s="177"/>
      <c r="U771" s="177"/>
      <c r="V771" s="177"/>
      <c r="W771" s="177"/>
      <c r="X771" s="177"/>
      <c r="Y771" s="177"/>
      <c r="Z771" s="177"/>
      <c r="AA771" s="177"/>
      <c r="AB771" s="177"/>
      <c r="AC771" s="177"/>
    </row>
    <row r="772" spans="2:29">
      <c r="B772" s="158" t="str">
        <f>IF(OR(LEFT(Commodities!B$70,1)="*",LEFT(Technologies!B$518,1)="*"),"*","R4")</f>
        <v>*</v>
      </c>
      <c r="C772" s="158" t="e">
        <f>Technologies!C$543</f>
        <v>#REF!</v>
      </c>
      <c r="D772" s="158" t="str">
        <f>Technologies!D518</f>
        <v>Delivery of Imported Kerosene and Other Refined Products to the Residential Sector</v>
      </c>
      <c r="E772" s="197" t="str">
        <f>Commodities!C$83</f>
        <v>KERP2</v>
      </c>
      <c r="F772" s="197" t="e">
        <f>Commodities!C231</f>
        <v>#REF!</v>
      </c>
      <c r="G772" s="204">
        <v>1</v>
      </c>
      <c r="H772" s="203" t="e">
        <f>#REF!*#REF!^5/(Conv!$I$5*Conv!$D$46)/10^6 +#REF!</f>
        <v>#REF!</v>
      </c>
      <c r="I772" s="203" t="e">
        <f>#REF!*#REF!^5/(Conv!$I$5*Conv!$D$46)/10^6 +#REF!</f>
        <v>#REF!</v>
      </c>
      <c r="J772" s="203" t="e">
        <f>#REF!*#REF!^5/(Conv!$I$5*Conv!$D$46)/10^6 +#REF!</f>
        <v>#REF!</v>
      </c>
      <c r="K772" s="203" t="e">
        <f>#REF!*#REF!^5/(Conv!$I$5*Conv!$D$46)/10^6 +#REF!</f>
        <v>#REF!</v>
      </c>
      <c r="L772" s="203" t="e">
        <f>#REF!*#REF!^5/(Conv!$I$5*Conv!$D$46)/10^6 +#REF!</f>
        <v>#REF!</v>
      </c>
      <c r="M772" s="203" t="e">
        <f>#REF!*#REF!^5/(Conv!$I$5*Conv!$D$46)/10^6 +#REF!</f>
        <v>#REF!</v>
      </c>
      <c r="N772" s="203" t="e">
        <f>#REF!*#REF!^5/(Conv!$I$5*Conv!$D$46)/10^6 +#REF!</f>
        <v>#REF!</v>
      </c>
      <c r="O772" s="203" t="e">
        <f>#REF!*#REF!^5/(Conv!$I$5*Conv!$D$46)/10^6 +#REF!</f>
        <v>#REF!</v>
      </c>
      <c r="P772" s="203" t="e">
        <f>#REF!*#REF!^5/(Conv!$I$5*Conv!$D$46)/10^6 +#REF!</f>
        <v>#REF!</v>
      </c>
      <c r="Q772" s="203" t="e">
        <f>#REF!*#REF!^5/(Conv!$I$5*Conv!$D$46)/10^6 +#REF!</f>
        <v>#REF!</v>
      </c>
      <c r="S772" s="177"/>
      <c r="T772" s="177"/>
      <c r="U772" s="177"/>
      <c r="V772" s="177"/>
      <c r="W772" s="177"/>
      <c r="X772" s="177"/>
      <c r="Y772" s="177"/>
      <c r="Z772" s="177"/>
      <c r="AA772" s="177"/>
      <c r="AB772" s="177"/>
      <c r="AC772" s="177"/>
    </row>
    <row r="773" spans="2:29">
      <c r="B773" s="158" t="str">
        <f>IF(OR(LEFT(Commodities!B$70,1)="*",LEFT(Technologies!B$519,1)="*"),"*","R4")</f>
        <v>*</v>
      </c>
      <c r="C773" s="158" t="e">
        <f>Technologies!C$544</f>
        <v>#REF!</v>
      </c>
      <c r="D773" s="158" t="str">
        <f>Technologies!D519</f>
        <v>Delivery of Imported Kerosene and Other Refined Products to the Commercial Sector</v>
      </c>
      <c r="E773" s="197" t="str">
        <f>E772</f>
        <v>KERP2</v>
      </c>
      <c r="F773" s="197" t="e">
        <f>Commodities!C232</f>
        <v>#REF!</v>
      </c>
      <c r="G773" s="204">
        <v>1</v>
      </c>
      <c r="H773" s="203" t="e">
        <f>#REF!*#REF!^5/(Conv!$I$5*Conv!$D$46)/10^6 +#REF!</f>
        <v>#REF!</v>
      </c>
      <c r="I773" s="203" t="e">
        <f>#REF!*#REF!^5/(Conv!$I$5*Conv!$D$46)/10^6 +#REF!</f>
        <v>#REF!</v>
      </c>
      <c r="J773" s="203" t="e">
        <f>#REF!*#REF!^5/(Conv!$I$5*Conv!$D$46)/10^6 +#REF!</f>
        <v>#REF!</v>
      </c>
      <c r="K773" s="203" t="e">
        <f>#REF!*#REF!^5/(Conv!$I$5*Conv!$D$46)/10^6 +#REF!</f>
        <v>#REF!</v>
      </c>
      <c r="L773" s="203" t="e">
        <f>#REF!*#REF!^5/(Conv!$I$5*Conv!$D$46)/10^6 +#REF!</f>
        <v>#REF!</v>
      </c>
      <c r="M773" s="203" t="e">
        <f>#REF!*#REF!^5/(Conv!$I$5*Conv!$D$46)/10^6 +#REF!</f>
        <v>#REF!</v>
      </c>
      <c r="N773" s="203" t="e">
        <f>#REF!*#REF!^5/(Conv!$I$5*Conv!$D$46)/10^6 +#REF!</f>
        <v>#REF!</v>
      </c>
      <c r="O773" s="203" t="e">
        <f>#REF!*#REF!^5/(Conv!$I$5*Conv!$D$46)/10^6 +#REF!</f>
        <v>#REF!</v>
      </c>
      <c r="P773" s="203" t="e">
        <f>#REF!*#REF!^5/(Conv!$I$5*Conv!$D$46)/10^6 +#REF!</f>
        <v>#REF!</v>
      </c>
      <c r="Q773" s="203" t="e">
        <f>#REF!*#REF!^5/(Conv!$I$5*Conv!$D$46)/10^6 +#REF!</f>
        <v>#REF!</v>
      </c>
      <c r="S773" s="177"/>
      <c r="T773" s="177"/>
      <c r="U773" s="177"/>
      <c r="V773" s="177"/>
      <c r="W773" s="177"/>
      <c r="X773" s="177"/>
      <c r="Y773" s="177"/>
      <c r="Z773" s="177"/>
      <c r="AA773" s="177"/>
      <c r="AB773" s="177"/>
      <c r="AC773" s="177"/>
    </row>
    <row r="774" spans="2:29">
      <c r="B774" s="158" t="str">
        <f>IF(OR(LEFT(Commodities!B$70,1)="*",LEFT(Technologies!B$520,1)="*"),"*","R4")</f>
        <v>*</v>
      </c>
      <c r="C774" s="158" t="e">
        <f>Technologies!C$545</f>
        <v>#REF!</v>
      </c>
      <c r="D774" s="158" t="str">
        <f>Technologies!D520</f>
        <v>Delivery of Imported Kerosene and Other Refined Products to the Industrial Sector</v>
      </c>
      <c r="E774" s="197" t="str">
        <f>E773</f>
        <v>KERP2</v>
      </c>
      <c r="F774" s="197" t="e">
        <f>Commodities!C233</f>
        <v>#REF!</v>
      </c>
      <c r="G774" s="204">
        <v>1</v>
      </c>
      <c r="H774" s="203" t="e">
        <f>#REF!*#REF!^5/(Conv!$I$5*Conv!$D$46)/10^6 +#REF!</f>
        <v>#REF!</v>
      </c>
      <c r="I774" s="203" t="e">
        <f>#REF!*#REF!^5/(Conv!$I$5*Conv!$D$46)/10^6 +#REF!</f>
        <v>#REF!</v>
      </c>
      <c r="J774" s="203" t="e">
        <f>#REF!*#REF!^5/(Conv!$I$5*Conv!$D$46)/10^6 +#REF!</f>
        <v>#REF!</v>
      </c>
      <c r="K774" s="203" t="e">
        <f>#REF!*#REF!^5/(Conv!$I$5*Conv!$D$46)/10^6 +#REF!</f>
        <v>#REF!</v>
      </c>
      <c r="L774" s="203" t="e">
        <f>#REF!*#REF!^5/(Conv!$I$5*Conv!$D$46)/10^6 +#REF!</f>
        <v>#REF!</v>
      </c>
      <c r="M774" s="203" t="e">
        <f>#REF!*#REF!^5/(Conv!$I$5*Conv!$D$46)/10^6 +#REF!</f>
        <v>#REF!</v>
      </c>
      <c r="N774" s="203" t="e">
        <f>#REF!*#REF!^5/(Conv!$I$5*Conv!$D$46)/10^6 +#REF!</f>
        <v>#REF!</v>
      </c>
      <c r="O774" s="203" t="e">
        <f>#REF!*#REF!^5/(Conv!$I$5*Conv!$D$46)/10^6 +#REF!</f>
        <v>#REF!</v>
      </c>
      <c r="P774" s="203" t="e">
        <f>#REF!*#REF!^5/(Conv!$I$5*Conv!$D$46)/10^6 +#REF!</f>
        <v>#REF!</v>
      </c>
      <c r="Q774" s="203" t="e">
        <f>#REF!*#REF!^5/(Conv!$I$5*Conv!$D$46)/10^6 +#REF!</f>
        <v>#REF!</v>
      </c>
      <c r="S774" s="177"/>
      <c r="T774" s="177"/>
      <c r="U774" s="177"/>
      <c r="V774" s="177"/>
      <c r="W774" s="177"/>
      <c r="X774" s="177"/>
      <c r="Y774" s="177"/>
      <c r="Z774" s="177"/>
      <c r="AA774" s="177"/>
      <c r="AB774" s="177"/>
      <c r="AC774" s="177"/>
    </row>
    <row r="775" spans="2:29">
      <c r="B775" s="158" t="str">
        <f>IF(OR(LEFT(Commodities!B$71,1)="*",LEFT(Technologies!B$521,1)="*"),"*","R4")</f>
        <v>*</v>
      </c>
      <c r="C775" s="158" t="e">
        <f>Technologies!C$546</f>
        <v>#REF!</v>
      </c>
      <c r="D775" s="158" t="str">
        <f>Technologies!D521</f>
        <v>Delivery of Imported LPG to the Residential Sector</v>
      </c>
      <c r="E775" s="197" t="str">
        <f>Commodities!C$84</f>
        <v>LPGP2</v>
      </c>
      <c r="F775" s="197" t="e">
        <f>Commodities!C234</f>
        <v>#REF!</v>
      </c>
      <c r="G775" s="204">
        <v>1</v>
      </c>
      <c r="H775" s="203" t="e">
        <f>#REF!*#REF!^5/(Conv!$I$5*Conv!$D$46)/10^6 +#REF!</f>
        <v>#REF!</v>
      </c>
      <c r="I775" s="203" t="e">
        <f>#REF!*#REF!^5/(Conv!$I$5*Conv!$D$46)/10^6 +#REF!</f>
        <v>#REF!</v>
      </c>
      <c r="J775" s="203" t="e">
        <f>#REF!*#REF!^5/(Conv!$I$5*Conv!$D$46)/10^6 +#REF!</f>
        <v>#REF!</v>
      </c>
      <c r="K775" s="203" t="e">
        <f>#REF!*#REF!^5/(Conv!$I$5*Conv!$D$46)/10^6 +#REF!</f>
        <v>#REF!</v>
      </c>
      <c r="L775" s="203" t="e">
        <f>#REF!*#REF!^5/(Conv!$I$5*Conv!$D$46)/10^6 +#REF!</f>
        <v>#REF!</v>
      </c>
      <c r="M775" s="203" t="e">
        <f>#REF!*#REF!^5/(Conv!$I$5*Conv!$D$46)/10^6 +#REF!</f>
        <v>#REF!</v>
      </c>
      <c r="N775" s="203" t="e">
        <f>#REF!*#REF!^5/(Conv!$I$5*Conv!$D$46)/10^6 +#REF!</f>
        <v>#REF!</v>
      </c>
      <c r="O775" s="203" t="e">
        <f>#REF!*#REF!^5/(Conv!$I$5*Conv!$D$46)/10^6 +#REF!</f>
        <v>#REF!</v>
      </c>
      <c r="P775" s="203" t="e">
        <f>#REF!*#REF!^5/(Conv!$I$5*Conv!$D$46)/10^6 +#REF!</f>
        <v>#REF!</v>
      </c>
      <c r="Q775" s="203" t="e">
        <f>#REF!*#REF!^5/(Conv!$I$5*Conv!$D$46)/10^6 +#REF!</f>
        <v>#REF!</v>
      </c>
      <c r="S775" s="177"/>
      <c r="T775" s="177"/>
      <c r="U775" s="177"/>
      <c r="V775" s="177"/>
      <c r="W775" s="177"/>
      <c r="X775" s="177"/>
      <c r="Y775" s="177"/>
      <c r="Z775" s="177"/>
      <c r="AA775" s="177"/>
      <c r="AB775" s="177"/>
      <c r="AC775" s="177"/>
    </row>
    <row r="776" spans="2:29">
      <c r="B776" s="158" t="str">
        <f>IF(OR(LEFT(Commodities!B$71,1)="*",LEFT(Technologies!B$522,1)="*"),"*","R4")</f>
        <v>*</v>
      </c>
      <c r="C776" s="158" t="e">
        <f>Technologies!C$547</f>
        <v>#REF!</v>
      </c>
      <c r="D776" s="158" t="str">
        <f>Technologies!D522</f>
        <v>Delivery of Imported LPG to the Commercial Sector</v>
      </c>
      <c r="E776" s="197" t="str">
        <f>Commodities!C$84</f>
        <v>LPGP2</v>
      </c>
      <c r="F776" s="197" t="e">
        <f>Commodities!C235</f>
        <v>#REF!</v>
      </c>
      <c r="G776" s="204">
        <v>1</v>
      </c>
      <c r="H776" s="203" t="e">
        <f>#REF!*#REF!^5/(Conv!$I$5*Conv!$D$46)/10^6 +#REF!</f>
        <v>#REF!</v>
      </c>
      <c r="I776" s="203" t="e">
        <f>#REF!*#REF!^5/(Conv!$I$5*Conv!$D$46)/10^6 +#REF!</f>
        <v>#REF!</v>
      </c>
      <c r="J776" s="203" t="e">
        <f>#REF!*#REF!^5/(Conv!$I$5*Conv!$D$46)/10^6 +#REF!</f>
        <v>#REF!</v>
      </c>
      <c r="K776" s="203" t="e">
        <f>#REF!*#REF!^5/(Conv!$I$5*Conv!$D$46)/10^6 +#REF!</f>
        <v>#REF!</v>
      </c>
      <c r="L776" s="203" t="e">
        <f>#REF!*#REF!^5/(Conv!$I$5*Conv!$D$46)/10^6 +#REF!</f>
        <v>#REF!</v>
      </c>
      <c r="M776" s="203" t="e">
        <f>#REF!*#REF!^5/(Conv!$I$5*Conv!$D$46)/10^6 +#REF!</f>
        <v>#REF!</v>
      </c>
      <c r="N776" s="203" t="e">
        <f>#REF!*#REF!^5/(Conv!$I$5*Conv!$D$46)/10^6 +#REF!</f>
        <v>#REF!</v>
      </c>
      <c r="O776" s="203" t="e">
        <f>#REF!*#REF!^5/(Conv!$I$5*Conv!$D$46)/10^6 +#REF!</f>
        <v>#REF!</v>
      </c>
      <c r="P776" s="203" t="e">
        <f>#REF!*#REF!^5/(Conv!$I$5*Conv!$D$46)/10^6 +#REF!</f>
        <v>#REF!</v>
      </c>
      <c r="Q776" s="203" t="e">
        <f>#REF!*#REF!^5/(Conv!$I$5*Conv!$D$46)/10^6 +#REF!</f>
        <v>#REF!</v>
      </c>
      <c r="S776" s="177"/>
      <c r="T776" s="177"/>
      <c r="U776" s="177"/>
      <c r="V776" s="177"/>
      <c r="W776" s="177"/>
      <c r="X776" s="177"/>
      <c r="Y776" s="177"/>
      <c r="Z776" s="177"/>
      <c r="AA776" s="177"/>
      <c r="AB776" s="177"/>
      <c r="AC776" s="177"/>
    </row>
    <row r="777" spans="2:29">
      <c r="B777" s="158" t="str">
        <f>IF(OR(LEFT(Commodities!B$71,1)="*",LEFT(Technologies!B$523,1)="*"),"*","R4")</f>
        <v>*</v>
      </c>
      <c r="C777" s="158" t="e">
        <f>Technologies!C$548</f>
        <v>#REF!</v>
      </c>
      <c r="D777" s="158" t="str">
        <f>Technologies!D523</f>
        <v>Delivery of Imported LPG to the Industrial Sector</v>
      </c>
      <c r="E777" s="197" t="str">
        <f>Commodities!C$84</f>
        <v>LPGP2</v>
      </c>
      <c r="F777" s="197" t="e">
        <f>Commodities!C236</f>
        <v>#REF!</v>
      </c>
      <c r="G777" s="204">
        <v>1</v>
      </c>
      <c r="H777" s="203" t="e">
        <f>#REF!*#REF!^5/(Conv!$I$5*Conv!$D$46)/10^6 +#REF!</f>
        <v>#REF!</v>
      </c>
      <c r="I777" s="203" t="e">
        <f>#REF!*#REF!^5/(Conv!$I$5*Conv!$D$46)/10^6 +#REF!</f>
        <v>#REF!</v>
      </c>
      <c r="J777" s="203" t="e">
        <f>#REF!*#REF!^5/(Conv!$I$5*Conv!$D$46)/10^6 +#REF!</f>
        <v>#REF!</v>
      </c>
      <c r="K777" s="203" t="e">
        <f>#REF!*#REF!^5/(Conv!$I$5*Conv!$D$46)/10^6 +#REF!</f>
        <v>#REF!</v>
      </c>
      <c r="L777" s="203" t="e">
        <f>#REF!*#REF!^5/(Conv!$I$5*Conv!$D$46)/10^6 +#REF!</f>
        <v>#REF!</v>
      </c>
      <c r="M777" s="203" t="e">
        <f>#REF!*#REF!^5/(Conv!$I$5*Conv!$D$46)/10^6 +#REF!</f>
        <v>#REF!</v>
      </c>
      <c r="N777" s="203" t="e">
        <f>#REF!*#REF!^5/(Conv!$I$5*Conv!$D$46)/10^6 +#REF!</f>
        <v>#REF!</v>
      </c>
      <c r="O777" s="203" t="e">
        <f>#REF!*#REF!^5/(Conv!$I$5*Conv!$D$46)/10^6 +#REF!</f>
        <v>#REF!</v>
      </c>
      <c r="P777" s="203" t="e">
        <f>#REF!*#REF!^5/(Conv!$I$5*Conv!$D$46)/10^6 +#REF!</f>
        <v>#REF!</v>
      </c>
      <c r="Q777" s="203" t="e">
        <f>#REF!*#REF!^5/(Conv!$I$5*Conv!$D$46)/10^6 +#REF!</f>
        <v>#REF!</v>
      </c>
      <c r="S777" s="177"/>
      <c r="T777" s="177"/>
      <c r="U777" s="177"/>
      <c r="V777" s="177"/>
      <c r="W777" s="177"/>
      <c r="X777" s="177"/>
      <c r="Y777" s="177"/>
      <c r="Z777" s="177"/>
      <c r="AA777" s="177"/>
      <c r="AB777" s="177"/>
      <c r="AC777" s="177"/>
    </row>
    <row r="778" spans="2:29">
      <c r="B778" s="158" t="str">
        <f>IF(OR(LEFT(Commodities!B$71,1)="*",LEFT(Technologies!B$524,1)="*"),"*","R4")</f>
        <v>*</v>
      </c>
      <c r="C778" s="158" t="e">
        <f>Technologies!C$549</f>
        <v>#REF!</v>
      </c>
      <c r="D778" s="158" t="str">
        <f>Technologies!D524</f>
        <v>Delivery of Imported LPG to the Transportation Sector</v>
      </c>
      <c r="E778" s="197" t="str">
        <f>Commodities!C$84</f>
        <v>LPGP2</v>
      </c>
      <c r="F778" s="197" t="e">
        <f>Commodities!C237</f>
        <v>#REF!</v>
      </c>
      <c r="G778" s="204">
        <v>1</v>
      </c>
      <c r="H778" s="203" t="e">
        <f>#REF!*#REF!^5/(Conv!$I$5*Conv!$D$46)/10^6 +#REF!</f>
        <v>#REF!</v>
      </c>
      <c r="I778" s="203" t="e">
        <f>#REF!*#REF!^5/(Conv!$I$5*Conv!$D$46)/10^6 +#REF!</f>
        <v>#REF!</v>
      </c>
      <c r="J778" s="203" t="e">
        <f>#REF!*#REF!^5/(Conv!$I$5*Conv!$D$46)/10^6 +#REF!</f>
        <v>#REF!</v>
      </c>
      <c r="K778" s="203" t="e">
        <f>#REF!*#REF!^5/(Conv!$I$5*Conv!$D$46)/10^6 +#REF!</f>
        <v>#REF!</v>
      </c>
      <c r="L778" s="203" t="e">
        <f>#REF!*#REF!^5/(Conv!$I$5*Conv!$D$46)/10^6 +#REF!</f>
        <v>#REF!</v>
      </c>
      <c r="M778" s="203" t="e">
        <f>#REF!*#REF!^5/(Conv!$I$5*Conv!$D$46)/10^6 +#REF!</f>
        <v>#REF!</v>
      </c>
      <c r="N778" s="203" t="e">
        <f>#REF!*#REF!^5/(Conv!$I$5*Conv!$D$46)/10^6 +#REF!</f>
        <v>#REF!</v>
      </c>
      <c r="O778" s="203" t="e">
        <f>#REF!*#REF!^5/(Conv!$I$5*Conv!$D$46)/10^6 +#REF!</f>
        <v>#REF!</v>
      </c>
      <c r="P778" s="203" t="e">
        <f>#REF!*#REF!^5/(Conv!$I$5*Conv!$D$46)/10^6 +#REF!</f>
        <v>#REF!</v>
      </c>
      <c r="Q778" s="203" t="e">
        <f>#REF!*#REF!^5/(Conv!$I$5*Conv!$D$46)/10^6 +#REF!</f>
        <v>#REF!</v>
      </c>
      <c r="S778" s="177"/>
      <c r="T778" s="177"/>
      <c r="U778" s="177"/>
      <c r="V778" s="177"/>
      <c r="W778" s="177"/>
      <c r="X778" s="177"/>
      <c r="Y778" s="177"/>
      <c r="Z778" s="177"/>
      <c r="AA778" s="177"/>
      <c r="AB778" s="177"/>
      <c r="AC778" s="177"/>
    </row>
    <row r="779" spans="2:29">
      <c r="B779" s="158" t="str">
        <f>IF(LEFT(Technologies!B$525,1)="*","*","R4")</f>
        <v>*</v>
      </c>
      <c r="C779" s="158" t="e">
        <f>Technologies!C$550</f>
        <v>#REF!</v>
      </c>
      <c r="D779" s="158" t="str">
        <f>Technologies!D525</f>
        <v>Delivery of Imported Methanol</v>
      </c>
      <c r="E779" s="197" t="str">
        <f>Commodities!C$85</f>
        <v>MTHP2</v>
      </c>
      <c r="F779" s="197" t="e">
        <f>Commodities!C238</f>
        <v>#REF!</v>
      </c>
      <c r="G779" s="204">
        <v>1</v>
      </c>
      <c r="H779" s="203" t="e">
        <f>#REF!*#REF!^5/(Conv!$I$5*Conv!$D$46)/10^6 +#REF!</f>
        <v>#REF!</v>
      </c>
      <c r="I779" s="203" t="e">
        <f>#REF!*#REF!^5/(Conv!$I$5*Conv!$D$46)/10^6 +#REF!</f>
        <v>#REF!</v>
      </c>
      <c r="J779" s="203" t="e">
        <f>#REF!*#REF!^5/(Conv!$I$5*Conv!$D$46)/10^6 +#REF!</f>
        <v>#REF!</v>
      </c>
      <c r="K779" s="203" t="e">
        <f>#REF!*#REF!^5/(Conv!$I$5*Conv!$D$46)/10^6 +#REF!</f>
        <v>#REF!</v>
      </c>
      <c r="L779" s="203" t="e">
        <f>#REF!*#REF!^5/(Conv!$I$5*Conv!$D$46)/10^6 +#REF!</f>
        <v>#REF!</v>
      </c>
      <c r="M779" s="203" t="e">
        <f>#REF!*#REF!^5/(Conv!$I$5*Conv!$D$46)/10^6 +#REF!</f>
        <v>#REF!</v>
      </c>
      <c r="N779" s="203" t="e">
        <f>#REF!*#REF!^5/(Conv!$I$5*Conv!$D$46)/10^6 +#REF!</f>
        <v>#REF!</v>
      </c>
      <c r="O779" s="203" t="e">
        <f>#REF!*#REF!^5/(Conv!$I$5*Conv!$D$46)/10^6 +#REF!</f>
        <v>#REF!</v>
      </c>
      <c r="P779" s="203" t="e">
        <f>#REF!*#REF!^5/(Conv!$I$5*Conv!$D$46)/10^6 +#REF!</f>
        <v>#REF!</v>
      </c>
      <c r="Q779" s="203" t="e">
        <f>#REF!*#REF!^5/(Conv!$I$5*Conv!$D$46)/10^6 +#REF!</f>
        <v>#REF!</v>
      </c>
      <c r="S779" s="177"/>
      <c r="T779" s="177"/>
      <c r="U779" s="177"/>
      <c r="V779" s="177"/>
      <c r="W779" s="177"/>
      <c r="X779" s="177"/>
      <c r="Y779" s="177"/>
      <c r="Z779" s="177"/>
      <c r="AA779" s="177"/>
      <c r="AB779" s="177"/>
      <c r="AC779" s="177"/>
    </row>
    <row r="780" spans="2:29">
      <c r="B780" s="158" t="str">
        <f>IF(OR(LEFT(Commodities!B$239,1)="*",LEFT(Technologies!B$526,1)="*"),"*","R4")</f>
        <v>*</v>
      </c>
      <c r="C780" s="158" t="e">
        <f>Technologies!C$551</f>
        <v>#REF!</v>
      </c>
      <c r="D780" s="158" t="str">
        <f>Technologies!D526</f>
        <v>Delivery of Imported Petrochemical Feedstocks</v>
      </c>
      <c r="E780" s="197" t="str">
        <f>Commodities!C$86</f>
        <v>PFSP2</v>
      </c>
      <c r="F780" s="197" t="e">
        <f>Commodities!C239</f>
        <v>#REF!</v>
      </c>
      <c r="G780" s="204">
        <v>1</v>
      </c>
      <c r="H780" s="203" t="e">
        <f>#REF!*#REF!^5/(Conv!$I$5*Conv!$D$46)/10^6 +#REF!</f>
        <v>#REF!</v>
      </c>
      <c r="I780" s="203" t="e">
        <f>#REF!*#REF!^5/(Conv!$I$5*Conv!$D$46)/10^6 +#REF!</f>
        <v>#REF!</v>
      </c>
      <c r="J780" s="203" t="e">
        <f>#REF!*#REF!^5/(Conv!$I$5*Conv!$D$46)/10^6 +#REF!</f>
        <v>#REF!</v>
      </c>
      <c r="K780" s="203" t="e">
        <f>#REF!*#REF!^5/(Conv!$I$5*Conv!$D$46)/10^6 +#REF!</f>
        <v>#REF!</v>
      </c>
      <c r="L780" s="203" t="e">
        <f>#REF!*#REF!^5/(Conv!$I$5*Conv!$D$46)/10^6 +#REF!</f>
        <v>#REF!</v>
      </c>
      <c r="M780" s="203" t="e">
        <f>#REF!*#REF!^5/(Conv!$I$5*Conv!$D$46)/10^6 +#REF!</f>
        <v>#REF!</v>
      </c>
      <c r="N780" s="203" t="e">
        <f>#REF!*#REF!^5/(Conv!$I$5*Conv!$D$46)/10^6 +#REF!</f>
        <v>#REF!</v>
      </c>
      <c r="O780" s="203" t="e">
        <f>#REF!*#REF!^5/(Conv!$I$5*Conv!$D$46)/10^6 +#REF!</f>
        <v>#REF!</v>
      </c>
      <c r="P780" s="203" t="e">
        <f>#REF!*#REF!^5/(Conv!$I$5*Conv!$D$46)/10^6 +#REF!</f>
        <v>#REF!</v>
      </c>
      <c r="Q780" s="203" t="e">
        <f>#REF!*#REF!^5/(Conv!$I$5*Conv!$D$46)/10^6 +#REF!</f>
        <v>#REF!</v>
      </c>
      <c r="S780" s="177"/>
      <c r="T780" s="177"/>
      <c r="U780" s="177"/>
      <c r="V780" s="177"/>
      <c r="W780" s="177"/>
      <c r="X780" s="177"/>
      <c r="Y780" s="177"/>
      <c r="Z780" s="177"/>
      <c r="AA780" s="177"/>
      <c r="AB780" s="177"/>
      <c r="AC780" s="177"/>
    </row>
    <row r="781" spans="2:29">
      <c r="B781" s="158" t="str">
        <f>IF(OR(LEFT(Commodities!B$75,1)="*",LEFT(Technologies!B$527,1)="*"),"*","R4")</f>
        <v>*</v>
      </c>
      <c r="C781" s="158" t="str">
        <f>Technologies!C$552</f>
        <v>XIRESRFLP2</v>
      </c>
      <c r="D781" s="158" t="str">
        <f>Technologies!D527</f>
        <v>Delivery of Imported Low Sulfur Residual Fuel Oil to Residential Sector</v>
      </c>
      <c r="E781" s="197" t="str">
        <f>Commodities!C$88</f>
        <v>RFLP2</v>
      </c>
      <c r="F781" s="197" t="str">
        <f>Commodities!C240</f>
        <v>RESRFL</v>
      </c>
      <c r="G781" s="204">
        <v>1</v>
      </c>
      <c r="H781" s="203" t="e">
        <f>#REF!*#REF!^5/(Conv!$I$5*Conv!$D$46)/10^6 +#REF!</f>
        <v>#REF!</v>
      </c>
      <c r="I781" s="203" t="e">
        <f>#REF!*#REF!^5/(Conv!$I$5*Conv!$D$46)/10^6 +#REF!</f>
        <v>#REF!</v>
      </c>
      <c r="J781" s="203" t="e">
        <f>#REF!*#REF!^5/(Conv!$I$5*Conv!$D$46)/10^6 +#REF!</f>
        <v>#REF!</v>
      </c>
      <c r="K781" s="203" t="e">
        <f>#REF!*#REF!^5/(Conv!$I$5*Conv!$D$46)/10^6 +#REF!</f>
        <v>#REF!</v>
      </c>
      <c r="L781" s="203" t="e">
        <f>#REF!*#REF!^5/(Conv!$I$5*Conv!$D$46)/10^6 +#REF!</f>
        <v>#REF!</v>
      </c>
      <c r="M781" s="203" t="e">
        <f>#REF!*#REF!^5/(Conv!$I$5*Conv!$D$46)/10^6 +#REF!</f>
        <v>#REF!</v>
      </c>
      <c r="N781" s="203" t="e">
        <f>#REF!*#REF!^5/(Conv!$I$5*Conv!$D$46)/10^6 +#REF!</f>
        <v>#REF!</v>
      </c>
      <c r="O781" s="203" t="e">
        <f>#REF!*#REF!^5/(Conv!$I$5*Conv!$D$46)/10^6 +#REF!</f>
        <v>#REF!</v>
      </c>
      <c r="P781" s="203" t="e">
        <f>#REF!*#REF!^5/(Conv!$I$5*Conv!$D$46)/10^6 +#REF!</f>
        <v>#REF!</v>
      </c>
      <c r="Q781" s="203" t="e">
        <f>#REF!*#REF!^5/(Conv!$I$5*Conv!$D$46)/10^6 +#REF!</f>
        <v>#REF!</v>
      </c>
      <c r="S781" s="177"/>
      <c r="T781" s="177"/>
      <c r="U781" s="177"/>
      <c r="V781" s="177"/>
      <c r="W781" s="177"/>
      <c r="X781" s="177"/>
      <c r="Y781" s="177"/>
      <c r="Z781" s="177"/>
      <c r="AA781" s="177"/>
      <c r="AB781" s="177"/>
      <c r="AC781" s="177"/>
    </row>
    <row r="782" spans="2:29">
      <c r="B782" s="158" t="str">
        <f>IF(OR(LEFT(Commodities!B$75,1)="*",LEFT(Technologies!B$528,1)="*"),"*","R4")</f>
        <v>*</v>
      </c>
      <c r="C782" s="158" t="e">
        <f>Technologies!C$553</f>
        <v>#REF!</v>
      </c>
      <c r="D782" s="158" t="str">
        <f>Technologies!D528</f>
        <v>Delivery of Imported Low Sulfur Residual Fuel Oil to Commercial Sector</v>
      </c>
      <c r="E782" s="197" t="str">
        <f>Commodities!C$88</f>
        <v>RFLP2</v>
      </c>
      <c r="F782" s="197" t="e">
        <f>Commodities!C241</f>
        <v>#REF!</v>
      </c>
      <c r="G782" s="204">
        <v>1</v>
      </c>
      <c r="H782" s="203" t="e">
        <f>#REF!*#REF!^5/(Conv!$I$5*Conv!$D$46)/10^6 +#REF!</f>
        <v>#REF!</v>
      </c>
      <c r="I782" s="203" t="e">
        <f>#REF!*#REF!^5/(Conv!$I$5*Conv!$D$46)/10^6 +#REF!</f>
        <v>#REF!</v>
      </c>
      <c r="J782" s="203" t="e">
        <f>#REF!*#REF!^5/(Conv!$I$5*Conv!$D$46)/10^6 +#REF!</f>
        <v>#REF!</v>
      </c>
      <c r="K782" s="203" t="e">
        <f>#REF!*#REF!^5/(Conv!$I$5*Conv!$D$46)/10^6 +#REF!</f>
        <v>#REF!</v>
      </c>
      <c r="L782" s="203" t="e">
        <f>#REF!*#REF!^5/(Conv!$I$5*Conv!$D$46)/10^6 +#REF!</f>
        <v>#REF!</v>
      </c>
      <c r="M782" s="203" t="e">
        <f>#REF!*#REF!^5/(Conv!$I$5*Conv!$D$46)/10^6 +#REF!</f>
        <v>#REF!</v>
      </c>
      <c r="N782" s="203" t="e">
        <f>#REF!*#REF!^5/(Conv!$I$5*Conv!$D$46)/10^6 +#REF!</f>
        <v>#REF!</v>
      </c>
      <c r="O782" s="203" t="e">
        <f>#REF!*#REF!^5/(Conv!$I$5*Conv!$D$46)/10^6 +#REF!</f>
        <v>#REF!</v>
      </c>
      <c r="P782" s="203" t="e">
        <f>#REF!*#REF!^5/(Conv!$I$5*Conv!$D$46)/10^6 +#REF!</f>
        <v>#REF!</v>
      </c>
      <c r="Q782" s="203" t="e">
        <f>#REF!*#REF!^5/(Conv!$I$5*Conv!$D$46)/10^6 +#REF!</f>
        <v>#REF!</v>
      </c>
      <c r="S782" s="177"/>
      <c r="T782" s="177"/>
      <c r="U782" s="177"/>
      <c r="V782" s="177"/>
      <c r="W782" s="177"/>
      <c r="X782" s="177"/>
      <c r="Y782" s="177"/>
      <c r="Z782" s="177"/>
      <c r="AA782" s="177"/>
      <c r="AB782" s="177"/>
      <c r="AC782" s="177"/>
    </row>
    <row r="783" spans="2:29">
      <c r="B783" s="158" t="str">
        <f>IF(OR(LEFT(Commodities!B$75,1)="*",LEFT(Technologies!B$529,1)="*"),"*","R4")</f>
        <v>R4</v>
      </c>
      <c r="C783" s="158" t="e">
        <f>Technologies!C$554</f>
        <v>#REF!</v>
      </c>
      <c r="D783" s="158" t="str">
        <f>Technologies!D529</f>
        <v>Delivery of Imported Low Sulfur Residual Fuel Oil to Industrial Sector</v>
      </c>
      <c r="E783" s="197" t="str">
        <f>Commodities!C$88</f>
        <v>RFLP2</v>
      </c>
      <c r="F783" s="197" t="e">
        <f>Commodities!C242</f>
        <v>#REF!</v>
      </c>
      <c r="G783" s="204">
        <v>1</v>
      </c>
      <c r="H783" s="203" t="e">
        <f>#REF!*#REF!^5/(Conv!$I$5*Conv!$D$46)/10^6 +#REF!</f>
        <v>#REF!</v>
      </c>
      <c r="I783" s="203" t="e">
        <f>#REF!*#REF!^5/(Conv!$I$5*Conv!$D$46)/10^6 +#REF!</f>
        <v>#REF!</v>
      </c>
      <c r="J783" s="203" t="e">
        <f>#REF!*#REF!^5/(Conv!$I$5*Conv!$D$46)/10^6 +#REF!</f>
        <v>#REF!</v>
      </c>
      <c r="K783" s="203" t="e">
        <f>#REF!*#REF!^5/(Conv!$I$5*Conv!$D$46)/10^6 +#REF!</f>
        <v>#REF!</v>
      </c>
      <c r="L783" s="203" t="e">
        <f>#REF!*#REF!^5/(Conv!$I$5*Conv!$D$46)/10^6 +#REF!</f>
        <v>#REF!</v>
      </c>
      <c r="M783" s="203" t="e">
        <f>#REF!*#REF!^5/(Conv!$I$5*Conv!$D$46)/10^6 +#REF!</f>
        <v>#REF!</v>
      </c>
      <c r="N783" s="203" t="e">
        <f>#REF!*#REF!^5/(Conv!$I$5*Conv!$D$46)/10^6 +#REF!</f>
        <v>#REF!</v>
      </c>
      <c r="O783" s="203" t="e">
        <f>#REF!*#REF!^5/(Conv!$I$5*Conv!$D$46)/10^6 +#REF!</f>
        <v>#REF!</v>
      </c>
      <c r="P783" s="203" t="e">
        <f>#REF!*#REF!^5/(Conv!$I$5*Conv!$D$46)/10^6 +#REF!</f>
        <v>#REF!</v>
      </c>
      <c r="Q783" s="203" t="e">
        <f>#REF!*#REF!^5/(Conv!$I$5*Conv!$D$46)/10^6 +#REF!</f>
        <v>#REF!</v>
      </c>
      <c r="S783" s="177"/>
      <c r="T783" s="177"/>
      <c r="U783" s="177"/>
      <c r="V783" s="177"/>
      <c r="W783" s="177"/>
      <c r="X783" s="177"/>
      <c r="Y783" s="177"/>
      <c r="Z783" s="177"/>
      <c r="AA783" s="177"/>
      <c r="AB783" s="177"/>
      <c r="AC783" s="177"/>
    </row>
    <row r="784" spans="2:29">
      <c r="B784" s="158" t="str">
        <f>IF(OR(LEFT(Commodities!B$75,1)="*",LEFT(Technologies!B$530,1)="*"),"*","R4")</f>
        <v>*</v>
      </c>
      <c r="C784" s="158" t="e">
        <f>Technologies!C$555</f>
        <v>#REF!</v>
      </c>
      <c r="D784" s="158" t="str">
        <f>Technologies!D530</f>
        <v>Delivery of Imported Low Sulfur Residual Fuel Oil to Electricity Sector</v>
      </c>
      <c r="E784" s="197" t="str">
        <f>Commodities!C$88</f>
        <v>RFLP2</v>
      </c>
      <c r="F784" s="197" t="e">
        <f>Commodities!C243</f>
        <v>#REF!</v>
      </c>
      <c r="G784" s="204">
        <v>1</v>
      </c>
      <c r="H784" s="203" t="e">
        <f>#REF!*#REF!^5/(Conv!$I$5*Conv!$D$46)/10^6 +#REF!</f>
        <v>#REF!</v>
      </c>
      <c r="I784" s="203" t="e">
        <f>#REF!*#REF!^5/(Conv!$I$5*Conv!$D$46)/10^6 +#REF!</f>
        <v>#REF!</v>
      </c>
      <c r="J784" s="203" t="e">
        <f>#REF!*#REF!^5/(Conv!$I$5*Conv!$D$46)/10^6 +#REF!</f>
        <v>#REF!</v>
      </c>
      <c r="K784" s="203" t="e">
        <f>#REF!*#REF!^5/(Conv!$I$5*Conv!$D$46)/10^6 +#REF!</f>
        <v>#REF!</v>
      </c>
      <c r="L784" s="203" t="e">
        <f>#REF!*#REF!^5/(Conv!$I$5*Conv!$D$46)/10^6 +#REF!</f>
        <v>#REF!</v>
      </c>
      <c r="M784" s="203" t="e">
        <f>#REF!*#REF!^5/(Conv!$I$5*Conv!$D$46)/10^6 +#REF!</f>
        <v>#REF!</v>
      </c>
      <c r="N784" s="203" t="e">
        <f>#REF!*#REF!^5/(Conv!$I$5*Conv!$D$46)/10^6 +#REF!</f>
        <v>#REF!</v>
      </c>
      <c r="O784" s="203" t="e">
        <f>#REF!*#REF!^5/(Conv!$I$5*Conv!$D$46)/10^6 +#REF!</f>
        <v>#REF!</v>
      </c>
      <c r="P784" s="203" t="e">
        <f>#REF!*#REF!^5/(Conv!$I$5*Conv!$D$46)/10^6 +#REF!</f>
        <v>#REF!</v>
      </c>
      <c r="Q784" s="203" t="e">
        <f>#REF!*#REF!^5/(Conv!$I$5*Conv!$D$46)/10^6 +#REF!</f>
        <v>#REF!</v>
      </c>
      <c r="S784" s="177"/>
      <c r="T784" s="177"/>
      <c r="U784" s="177"/>
      <c r="V784" s="177"/>
      <c r="W784" s="177"/>
      <c r="X784" s="177"/>
      <c r="Y784" s="177"/>
      <c r="Z784" s="177"/>
      <c r="AA784" s="177"/>
      <c r="AB784" s="177"/>
      <c r="AC784" s="177"/>
    </row>
    <row r="785" spans="2:29">
      <c r="B785" s="158" t="str">
        <f>IF(OR(LEFT(Commodities!B$74,1)="*",LEFT(Technologies!B$531,1)="*"),"*","R4")</f>
        <v>*</v>
      </c>
      <c r="C785" s="158" t="e">
        <f>Technologies!C$556</f>
        <v>#REF!</v>
      </c>
      <c r="D785" s="158" t="str">
        <f>Technologies!D531</f>
        <v>Delivery of Imported High Sulfur Residual Fuel Oil to Transportation Sector</v>
      </c>
      <c r="E785" s="197" t="str">
        <f>Commodities!C$87</f>
        <v>RFHP2</v>
      </c>
      <c r="F785" s="197" t="e">
        <f>Commodities!C244</f>
        <v>#REF!</v>
      </c>
      <c r="G785" s="204">
        <v>1</v>
      </c>
      <c r="H785" s="203" t="e">
        <f>#REF!*#REF!^5/(Conv!$I$5*Conv!$D$46)/10^6 +#REF!</f>
        <v>#REF!</v>
      </c>
      <c r="I785" s="203" t="e">
        <f>#REF!*#REF!^5/(Conv!$I$5*Conv!$D$46)/10^6 +#REF!</f>
        <v>#REF!</v>
      </c>
      <c r="J785" s="203" t="e">
        <f>#REF!*#REF!^5/(Conv!$I$5*Conv!$D$46)/10^6 +#REF!</f>
        <v>#REF!</v>
      </c>
      <c r="K785" s="203" t="e">
        <f>#REF!*#REF!^5/(Conv!$I$5*Conv!$D$46)/10^6 +#REF!</f>
        <v>#REF!</v>
      </c>
      <c r="L785" s="203" t="e">
        <f>#REF!*#REF!^5/(Conv!$I$5*Conv!$D$46)/10^6 +#REF!</f>
        <v>#REF!</v>
      </c>
      <c r="M785" s="203" t="e">
        <f>#REF!*#REF!^5/(Conv!$I$5*Conv!$D$46)/10^6 +#REF!</f>
        <v>#REF!</v>
      </c>
      <c r="N785" s="203" t="e">
        <f>#REF!*#REF!^5/(Conv!$I$5*Conv!$D$46)/10^6 +#REF!</f>
        <v>#REF!</v>
      </c>
      <c r="O785" s="203" t="e">
        <f>#REF!*#REF!^5/(Conv!$I$5*Conv!$D$46)/10^6 +#REF!</f>
        <v>#REF!</v>
      </c>
      <c r="P785" s="203" t="e">
        <f>#REF!*#REF!^5/(Conv!$I$5*Conv!$D$46)/10^6 +#REF!</f>
        <v>#REF!</v>
      </c>
      <c r="Q785" s="203" t="e">
        <f>#REF!*#REF!^5/(Conv!$I$5*Conv!$D$46)/10^6 +#REF!</f>
        <v>#REF!</v>
      </c>
      <c r="S785" s="177"/>
      <c r="T785" s="177"/>
      <c r="U785" s="177"/>
      <c r="V785" s="177"/>
      <c r="W785" s="177"/>
      <c r="X785" s="177"/>
      <c r="Y785" s="177"/>
      <c r="Z785" s="177"/>
      <c r="AA785" s="177"/>
      <c r="AB785" s="177"/>
      <c r="AC785" s="177"/>
    </row>
    <row r="786" spans="2:29">
      <c r="B786" s="158" t="str">
        <f>IF(OR(LEFT(Commodities!B$74,1)="*",LEFT(Technologies!B$532,1)="*"),"*","R4")</f>
        <v>*</v>
      </c>
      <c r="C786" s="158" t="e">
        <f>Technologies!C$557</f>
        <v>#REF!</v>
      </c>
      <c r="D786" s="158" t="str">
        <f>Technologies!D532</f>
        <v>Delivery of Imported High Sulfur Residual Fuel Oil to Electricity Sector</v>
      </c>
      <c r="E786" s="197" t="str">
        <f>Commodities!C$87</f>
        <v>RFHP2</v>
      </c>
      <c r="F786" s="197" t="e">
        <f>Commodities!C245</f>
        <v>#REF!</v>
      </c>
      <c r="G786" s="204">
        <v>1</v>
      </c>
      <c r="H786" s="203" t="e">
        <f>#REF!*#REF!^5/(Conv!$I$5*Conv!$D$46)/10^6 +#REF!</f>
        <v>#REF!</v>
      </c>
      <c r="I786" s="203" t="e">
        <f>#REF!*#REF!^5/(Conv!$I$5*Conv!$D$46)/10^6 +#REF!</f>
        <v>#REF!</v>
      </c>
      <c r="J786" s="203" t="e">
        <f>#REF!*#REF!^5/(Conv!$I$5*Conv!$D$46)/10^6 +#REF!</f>
        <v>#REF!</v>
      </c>
      <c r="K786" s="203" t="e">
        <f>#REF!*#REF!^5/(Conv!$I$5*Conv!$D$46)/10^6 +#REF!</f>
        <v>#REF!</v>
      </c>
      <c r="L786" s="203" t="e">
        <f>#REF!*#REF!^5/(Conv!$I$5*Conv!$D$46)/10^6 +#REF!</f>
        <v>#REF!</v>
      </c>
      <c r="M786" s="203" t="e">
        <f>#REF!*#REF!^5/(Conv!$I$5*Conv!$D$46)/10^6 +#REF!</f>
        <v>#REF!</v>
      </c>
      <c r="N786" s="203" t="e">
        <f>#REF!*#REF!^5/(Conv!$I$5*Conv!$D$46)/10^6 +#REF!</f>
        <v>#REF!</v>
      </c>
      <c r="O786" s="203" t="e">
        <f>#REF!*#REF!^5/(Conv!$I$5*Conv!$D$46)/10^6 +#REF!</f>
        <v>#REF!</v>
      </c>
      <c r="P786" s="203" t="e">
        <f>#REF!*#REF!^5/(Conv!$I$5*Conv!$D$46)/10^6 +#REF!</f>
        <v>#REF!</v>
      </c>
      <c r="Q786" s="203" t="e">
        <f>#REF!*#REF!^5/(Conv!$I$5*Conv!$D$46)/10^6 +#REF!</f>
        <v>#REF!</v>
      </c>
      <c r="S786" s="177"/>
      <c r="T786" s="177"/>
      <c r="U786" s="177"/>
      <c r="V786" s="177"/>
      <c r="W786" s="177"/>
      <c r="X786" s="177"/>
      <c r="Y786" s="177"/>
      <c r="Z786" s="177"/>
      <c r="AA786" s="177"/>
      <c r="AB786" s="177"/>
      <c r="AC786" s="177"/>
    </row>
    <row r="787" spans="2:29">
      <c r="B787" s="160" t="s">
        <v>1034</v>
      </c>
      <c r="C787" s="160"/>
      <c r="D787" s="160"/>
      <c r="E787" s="196"/>
      <c r="F787" s="196"/>
      <c r="G787" s="200"/>
      <c r="H787" s="174"/>
      <c r="I787" s="174"/>
      <c r="J787" s="174"/>
      <c r="K787" s="174"/>
      <c r="L787" s="174"/>
      <c r="M787" s="174"/>
      <c r="N787" s="174"/>
      <c r="O787" s="174"/>
      <c r="P787" s="174"/>
      <c r="Q787" s="174"/>
    </row>
    <row r="788" spans="2:29">
      <c r="B788" s="158" t="str">
        <f>IF(LEFT(Technologies!B$509,1)="*","*","R5")</f>
        <v>R5</v>
      </c>
      <c r="C788" s="158" t="e">
        <f>Technologies!C$534</f>
        <v>#REF!</v>
      </c>
      <c r="D788" s="158" t="str">
        <f>Technologies!D509</f>
        <v>Delivery of Imported Conventional Gasoline</v>
      </c>
      <c r="E788" s="197" t="str">
        <f>Commodities!C$80</f>
        <v>GSCP2</v>
      </c>
      <c r="F788" s="197" t="e">
        <f>Commodities!C222</f>
        <v>#REF!</v>
      </c>
      <c r="G788" s="204">
        <v>1</v>
      </c>
      <c r="H788" s="203" t="e">
        <f>#REF!*#REF!^5/(Conv!$I$5*Conv!$D$46)/10^6 +#REF!</f>
        <v>#REF!</v>
      </c>
      <c r="I788" s="203" t="e">
        <f>#REF!*#REF!^5/(Conv!$I$5*Conv!$D$46)/10^6 +#REF!</f>
        <v>#REF!</v>
      </c>
      <c r="J788" s="203" t="e">
        <f>#REF!*#REF!^5/(Conv!$I$5*Conv!$D$46)/10^6 +#REF!</f>
        <v>#REF!</v>
      </c>
      <c r="K788" s="203" t="e">
        <f>#REF!*#REF!^5/(Conv!$I$5*Conv!$D$46)/10^6 +#REF!</f>
        <v>#REF!</v>
      </c>
      <c r="L788" s="203" t="e">
        <f>#REF!*#REF!^5/(Conv!$I$5*Conv!$D$46)/10^6 +#REF!</f>
        <v>#REF!</v>
      </c>
      <c r="M788" s="203" t="e">
        <f>#REF!*#REF!^5/(Conv!$I$5*Conv!$D$46)/10^6 +#REF!</f>
        <v>#REF!</v>
      </c>
      <c r="N788" s="203" t="e">
        <f>#REF!*#REF!^5/(Conv!$I$5*Conv!$D$46)/10^6 +#REF!</f>
        <v>#REF!</v>
      </c>
      <c r="O788" s="203" t="e">
        <f>#REF!*#REF!^5/(Conv!$I$5*Conv!$D$46)/10^6 +#REF!</f>
        <v>#REF!</v>
      </c>
      <c r="P788" s="203" t="e">
        <f>#REF!*#REF!^5/(Conv!$I$5*Conv!$D$46)/10^6 +#REF!</f>
        <v>#REF!</v>
      </c>
      <c r="Q788" s="203" t="e">
        <f>#REF!*#REF!^5/(Conv!$I$5*Conv!$D$46)/10^6 +#REF!</f>
        <v>#REF!</v>
      </c>
      <c r="S788" s="177"/>
      <c r="T788" s="177"/>
      <c r="U788" s="177"/>
      <c r="V788" s="177"/>
      <c r="W788" s="177"/>
      <c r="X788" s="177"/>
      <c r="Y788" s="177"/>
      <c r="Z788" s="177"/>
      <c r="AA788" s="177"/>
      <c r="AB788" s="177"/>
      <c r="AC788" s="177"/>
    </row>
    <row r="789" spans="2:29">
      <c r="B789" s="158" t="str">
        <f>IF(LEFT(Technologies!B$510,1)="*","*","R5")</f>
        <v>R5</v>
      </c>
      <c r="C789" s="158" t="e">
        <f>Technologies!C$535</f>
        <v>#REF!</v>
      </c>
      <c r="D789" s="158" t="str">
        <f>Technologies!D510</f>
        <v>Delivery of Imported Reformulated Gasoline</v>
      </c>
      <c r="E789" s="197" t="str">
        <f>Commodities!C$81</f>
        <v>GSRP2</v>
      </c>
      <c r="F789" s="197" t="e">
        <f>Commodities!C223</f>
        <v>#REF!</v>
      </c>
      <c r="G789" s="204">
        <v>1</v>
      </c>
      <c r="H789" s="203" t="e">
        <f>#REF!*#REF!^5/(Conv!$I$5*Conv!$D$46)/10^6 +#REF!</f>
        <v>#REF!</v>
      </c>
      <c r="I789" s="203" t="e">
        <f>#REF!*#REF!^5/(Conv!$I$5*Conv!$D$46)/10^6 +#REF!</f>
        <v>#REF!</v>
      </c>
      <c r="J789" s="203" t="e">
        <f>#REF!*#REF!^5/(Conv!$I$5*Conv!$D$46)/10^6 +#REF!</f>
        <v>#REF!</v>
      </c>
      <c r="K789" s="203" t="e">
        <f>#REF!*#REF!^5/(Conv!$I$5*Conv!$D$46)/10^6 +#REF!</f>
        <v>#REF!</v>
      </c>
      <c r="L789" s="203" t="e">
        <f>#REF!*#REF!^5/(Conv!$I$5*Conv!$D$46)/10^6 +#REF!</f>
        <v>#REF!</v>
      </c>
      <c r="M789" s="203" t="e">
        <f>#REF!*#REF!^5/(Conv!$I$5*Conv!$D$46)/10^6 +#REF!</f>
        <v>#REF!</v>
      </c>
      <c r="N789" s="203" t="e">
        <f>#REF!*#REF!^5/(Conv!$I$5*Conv!$D$46)/10^6 +#REF!</f>
        <v>#REF!</v>
      </c>
      <c r="O789" s="203" t="e">
        <f>#REF!*#REF!^5/(Conv!$I$5*Conv!$D$46)/10^6 +#REF!</f>
        <v>#REF!</v>
      </c>
      <c r="P789" s="203" t="e">
        <f>#REF!*#REF!^5/(Conv!$I$5*Conv!$D$46)/10^6 +#REF!</f>
        <v>#REF!</v>
      </c>
      <c r="Q789" s="203" t="e">
        <f>#REF!*#REF!^5/(Conv!$I$5*Conv!$D$46)/10^6 +#REF!</f>
        <v>#REF!</v>
      </c>
      <c r="S789" s="177"/>
      <c r="T789" s="177"/>
      <c r="U789" s="177"/>
      <c r="V789" s="177"/>
      <c r="W789" s="177"/>
      <c r="X789" s="177"/>
      <c r="Y789" s="177"/>
      <c r="Z789" s="177"/>
      <c r="AA789" s="177"/>
      <c r="AB789" s="177"/>
      <c r="AC789" s="177"/>
    </row>
    <row r="790" spans="2:29">
      <c r="B790" s="158" t="str">
        <f>IF(OR(LEFT(Commodities!B$64,1)="*",LEFT(Technologies!B$511,1)="*"),"*","R5")</f>
        <v>R5</v>
      </c>
      <c r="C790" s="158" t="e">
        <f>Technologies!C$536</f>
        <v>#REF!</v>
      </c>
      <c r="D790" s="158" t="str">
        <f>Technologies!D511</f>
        <v>Delivery of Imported Distillate-Heating Oil No. 2 to the Residential Sector</v>
      </c>
      <c r="E790" s="197" t="str">
        <f>Commodities!C$77</f>
        <v>DSHP2</v>
      </c>
      <c r="F790" s="197" t="e">
        <f>Commodities!C224</f>
        <v>#REF!</v>
      </c>
      <c r="G790" s="204">
        <v>1</v>
      </c>
      <c r="H790" s="203" t="e">
        <f>#REF!*#REF!^5/(Conv!$I$5*Conv!$D$46)/10^6 +#REF!</f>
        <v>#REF!</v>
      </c>
      <c r="I790" s="203" t="e">
        <f>#REF!*#REF!^5/(Conv!$I$5*Conv!$D$46)/10^6 +#REF!</f>
        <v>#REF!</v>
      </c>
      <c r="J790" s="203" t="e">
        <f>#REF!*#REF!^5/(Conv!$I$5*Conv!$D$46)/10^6 +#REF!</f>
        <v>#REF!</v>
      </c>
      <c r="K790" s="203" t="e">
        <f>#REF!*#REF!^5/(Conv!$I$5*Conv!$D$46)/10^6 +#REF!</f>
        <v>#REF!</v>
      </c>
      <c r="L790" s="203" t="e">
        <f>#REF!*#REF!^5/(Conv!$I$5*Conv!$D$46)/10^6 +#REF!</f>
        <v>#REF!</v>
      </c>
      <c r="M790" s="203" t="e">
        <f>#REF!*#REF!^5/(Conv!$I$5*Conv!$D$46)/10^6 +#REF!</f>
        <v>#REF!</v>
      </c>
      <c r="N790" s="203" t="e">
        <f>#REF!*#REF!^5/(Conv!$I$5*Conv!$D$46)/10^6 +#REF!</f>
        <v>#REF!</v>
      </c>
      <c r="O790" s="203" t="e">
        <f>#REF!*#REF!^5/(Conv!$I$5*Conv!$D$46)/10^6 +#REF!</f>
        <v>#REF!</v>
      </c>
      <c r="P790" s="203" t="e">
        <f>#REF!*#REF!^5/(Conv!$I$5*Conv!$D$46)/10^6 +#REF!</f>
        <v>#REF!</v>
      </c>
      <c r="Q790" s="203" t="e">
        <f>#REF!*#REF!^5/(Conv!$I$5*Conv!$D$46)/10^6 +#REF!</f>
        <v>#REF!</v>
      </c>
      <c r="S790" s="177"/>
      <c r="T790" s="177"/>
      <c r="U790" s="177"/>
      <c r="V790" s="177"/>
      <c r="W790" s="177"/>
      <c r="X790" s="177"/>
      <c r="Y790" s="177"/>
      <c r="Z790" s="177"/>
      <c r="AA790" s="177"/>
      <c r="AB790" s="177"/>
      <c r="AC790" s="177"/>
    </row>
    <row r="791" spans="2:29">
      <c r="B791" s="158" t="str">
        <f>IF(OR(LEFT(Commodities!B$64,1)="*",LEFT(Technologies!B$512,1)="*"),"*","R5")</f>
        <v>R5</v>
      </c>
      <c r="C791" s="158" t="e">
        <f>Technologies!C$537</f>
        <v>#REF!</v>
      </c>
      <c r="D791" s="158" t="str">
        <f>Technologies!D512</f>
        <v>Delivery of Imported Distillate-Heating Oil No. 2 to the Commercial Sector</v>
      </c>
      <c r="E791" s="197" t="str">
        <f>Commodities!C$77</f>
        <v>DSHP2</v>
      </c>
      <c r="F791" s="197" t="e">
        <f>Commodities!C225</f>
        <v>#REF!</v>
      </c>
      <c r="G791" s="204">
        <v>1</v>
      </c>
      <c r="H791" s="203" t="e">
        <f>#REF!*#REF!^5/(Conv!$I$5*Conv!$D$46)/10^6 +#REF!</f>
        <v>#REF!</v>
      </c>
      <c r="I791" s="203" t="e">
        <f>#REF!*#REF!^5/(Conv!$I$5*Conv!$D$46)/10^6 +#REF!</f>
        <v>#REF!</v>
      </c>
      <c r="J791" s="203" t="e">
        <f>#REF!*#REF!^5/(Conv!$I$5*Conv!$D$46)/10^6 +#REF!</f>
        <v>#REF!</v>
      </c>
      <c r="K791" s="203" t="e">
        <f>#REF!*#REF!^5/(Conv!$I$5*Conv!$D$46)/10^6 +#REF!</f>
        <v>#REF!</v>
      </c>
      <c r="L791" s="203" t="e">
        <f>#REF!*#REF!^5/(Conv!$I$5*Conv!$D$46)/10^6 +#REF!</f>
        <v>#REF!</v>
      </c>
      <c r="M791" s="203" t="e">
        <f>#REF!*#REF!^5/(Conv!$I$5*Conv!$D$46)/10^6 +#REF!</f>
        <v>#REF!</v>
      </c>
      <c r="N791" s="203" t="e">
        <f>#REF!*#REF!^5/(Conv!$I$5*Conv!$D$46)/10^6 +#REF!</f>
        <v>#REF!</v>
      </c>
      <c r="O791" s="203" t="e">
        <f>#REF!*#REF!^5/(Conv!$I$5*Conv!$D$46)/10^6 +#REF!</f>
        <v>#REF!</v>
      </c>
      <c r="P791" s="203" t="e">
        <f>#REF!*#REF!^5/(Conv!$I$5*Conv!$D$46)/10^6 +#REF!</f>
        <v>#REF!</v>
      </c>
      <c r="Q791" s="203" t="e">
        <f>#REF!*#REF!^5/(Conv!$I$5*Conv!$D$46)/10^6 +#REF!</f>
        <v>#REF!</v>
      </c>
      <c r="S791" s="177"/>
      <c r="T791" s="177"/>
      <c r="U791" s="177"/>
      <c r="V791" s="177"/>
      <c r="W791" s="177"/>
      <c r="X791" s="177"/>
      <c r="Y791" s="177"/>
      <c r="Z791" s="177"/>
      <c r="AA791" s="177"/>
      <c r="AB791" s="177"/>
      <c r="AC791" s="177"/>
    </row>
    <row r="792" spans="2:29">
      <c r="B792" s="158" t="str">
        <f>IF(OR(LEFT(Commodities!B$64,1)="*",LEFT(Technologies!B$513,1)="*"),"*","R5")</f>
        <v>*</v>
      </c>
      <c r="C792" s="158" t="e">
        <f>Technologies!C$538</f>
        <v>#REF!</v>
      </c>
      <c r="D792" s="158" t="str">
        <f>Technologies!D513</f>
        <v>Delivery of Imported Distillate-Heating Oil No. 2 to the Indistrial Sector</v>
      </c>
      <c r="E792" s="197" t="str">
        <f>Commodities!C$77</f>
        <v>DSHP2</v>
      </c>
      <c r="F792" s="197" t="e">
        <f>Commodities!C226</f>
        <v>#REF!</v>
      </c>
      <c r="G792" s="204">
        <v>1</v>
      </c>
      <c r="H792" s="203" t="e">
        <f>#REF!*#REF!^5/(Conv!$I$5*Conv!$D$46)/10^6 +#REF!</f>
        <v>#REF!</v>
      </c>
      <c r="I792" s="203" t="e">
        <f>#REF!*#REF!^5/(Conv!$I$5*Conv!$D$46)/10^6 +#REF!</f>
        <v>#REF!</v>
      </c>
      <c r="J792" s="203" t="e">
        <f>#REF!*#REF!^5/(Conv!$I$5*Conv!$D$46)/10^6 +#REF!</f>
        <v>#REF!</v>
      </c>
      <c r="K792" s="203" t="e">
        <f>#REF!*#REF!^5/(Conv!$I$5*Conv!$D$46)/10^6 +#REF!</f>
        <v>#REF!</v>
      </c>
      <c r="L792" s="203" t="e">
        <f>#REF!*#REF!^5/(Conv!$I$5*Conv!$D$46)/10^6 +#REF!</f>
        <v>#REF!</v>
      </c>
      <c r="M792" s="203" t="e">
        <f>#REF!*#REF!^5/(Conv!$I$5*Conv!$D$46)/10^6 +#REF!</f>
        <v>#REF!</v>
      </c>
      <c r="N792" s="203" t="e">
        <f>#REF!*#REF!^5/(Conv!$I$5*Conv!$D$46)/10^6 +#REF!</f>
        <v>#REF!</v>
      </c>
      <c r="O792" s="203" t="e">
        <f>#REF!*#REF!^5/(Conv!$I$5*Conv!$D$46)/10^6 +#REF!</f>
        <v>#REF!</v>
      </c>
      <c r="P792" s="203" t="e">
        <f>#REF!*#REF!^5/(Conv!$I$5*Conv!$D$46)/10^6 +#REF!</f>
        <v>#REF!</v>
      </c>
      <c r="Q792" s="203" t="e">
        <f>#REF!*#REF!^5/(Conv!$I$5*Conv!$D$46)/10^6 +#REF!</f>
        <v>#REF!</v>
      </c>
      <c r="S792" s="177"/>
      <c r="T792" s="177"/>
      <c r="U792" s="177"/>
      <c r="V792" s="177"/>
      <c r="W792" s="177"/>
      <c r="X792" s="177"/>
      <c r="Y792" s="177"/>
      <c r="Z792" s="177"/>
      <c r="AA792" s="177"/>
      <c r="AB792" s="177"/>
      <c r="AC792" s="177"/>
    </row>
    <row r="793" spans="2:29">
      <c r="B793" s="158" t="str">
        <f>IF(OR(LEFT(Commodities!B$64,1)="*",LEFT(Technologies!B$514,1)="*"),"*","R5")</f>
        <v>R5</v>
      </c>
      <c r="C793" s="158" t="e">
        <f>Technologies!C$539</f>
        <v>#REF!</v>
      </c>
      <c r="D793" s="158" t="str">
        <f>Technologies!D514</f>
        <v>Delivery of Imported Distillate-Heating Oil No. 2 to the Electricity Sector</v>
      </c>
      <c r="E793" s="197" t="str">
        <f>Commodities!C$77</f>
        <v>DSHP2</v>
      </c>
      <c r="F793" s="197" t="e">
        <f>Commodities!C227</f>
        <v>#REF!</v>
      </c>
      <c r="G793" s="204">
        <v>1</v>
      </c>
      <c r="H793" s="203" t="e">
        <f>#REF!*#REF!^5/(Conv!$I$5*Conv!$D$46)/10^6 +#REF!</f>
        <v>#REF!</v>
      </c>
      <c r="I793" s="203" t="e">
        <f>#REF!*#REF!^5/(Conv!$I$5*Conv!$D$46)/10^6 +#REF!</f>
        <v>#REF!</v>
      </c>
      <c r="J793" s="203" t="e">
        <f>#REF!*#REF!^5/(Conv!$I$5*Conv!$D$46)/10^6 +#REF!</f>
        <v>#REF!</v>
      </c>
      <c r="K793" s="203" t="e">
        <f>#REF!*#REF!^5/(Conv!$I$5*Conv!$D$46)/10^6 +#REF!</f>
        <v>#REF!</v>
      </c>
      <c r="L793" s="203" t="e">
        <f>#REF!*#REF!^5/(Conv!$I$5*Conv!$D$46)/10^6 +#REF!</f>
        <v>#REF!</v>
      </c>
      <c r="M793" s="203" t="e">
        <f>#REF!*#REF!^5/(Conv!$I$5*Conv!$D$46)/10^6 +#REF!</f>
        <v>#REF!</v>
      </c>
      <c r="N793" s="203" t="e">
        <f>#REF!*#REF!^5/(Conv!$I$5*Conv!$D$46)/10^6 +#REF!</f>
        <v>#REF!</v>
      </c>
      <c r="O793" s="203" t="e">
        <f>#REF!*#REF!^5/(Conv!$I$5*Conv!$D$46)/10^6 +#REF!</f>
        <v>#REF!</v>
      </c>
      <c r="P793" s="203" t="e">
        <f>#REF!*#REF!^5/(Conv!$I$5*Conv!$D$46)/10^6 +#REF!</f>
        <v>#REF!</v>
      </c>
      <c r="Q793" s="203" t="e">
        <f>#REF!*#REF!^5/(Conv!$I$5*Conv!$D$46)/10^6 +#REF!</f>
        <v>#REF!</v>
      </c>
      <c r="S793" s="177"/>
      <c r="T793" s="177"/>
      <c r="U793" s="177"/>
      <c r="V793" s="177"/>
      <c r="W793" s="177"/>
      <c r="X793" s="177"/>
      <c r="Y793" s="177"/>
      <c r="Z793" s="177"/>
      <c r="AA793" s="177"/>
      <c r="AB793" s="177"/>
      <c r="AC793" s="177"/>
    </row>
    <row r="794" spans="2:29">
      <c r="B794" s="158" t="str">
        <f>IF(OR(LEFT(Commodities!B$65,1)="*",LEFT(Technologies!B$515,1)="*"),"*","R5")</f>
        <v>R5</v>
      </c>
      <c r="C794" s="158" t="e">
        <f>Technologies!C$540</f>
        <v>#REF!</v>
      </c>
      <c r="D794" s="158" t="str">
        <f>Technologies!D515</f>
        <v>Delivery of Imported Distillate-Low Sulfur Highway Diesel (500 ppm)</v>
      </c>
      <c r="E794" s="197" t="str">
        <f>Commodities!C$78</f>
        <v>DSLP2</v>
      </c>
      <c r="F794" s="197" t="e">
        <f>Commodities!C228</f>
        <v>#REF!</v>
      </c>
      <c r="G794" s="204">
        <v>1</v>
      </c>
      <c r="H794" s="203" t="e">
        <f>#REF!*#REF!^5/(Conv!$I$5*Conv!$D$46)/10^6 +#REF!</f>
        <v>#REF!</v>
      </c>
      <c r="I794" s="203" t="e">
        <f>#REF!*#REF!^5/(Conv!$I$5*Conv!$D$46)/10^6 +#REF!</f>
        <v>#REF!</v>
      </c>
      <c r="J794" s="203" t="e">
        <f>#REF!*#REF!^5/(Conv!$I$5*Conv!$D$46)/10^6 +#REF!</f>
        <v>#REF!</v>
      </c>
      <c r="K794" s="203" t="e">
        <f>#REF!*#REF!^5/(Conv!$I$5*Conv!$D$46)/10^6 +#REF!</f>
        <v>#REF!</v>
      </c>
      <c r="L794" s="203" t="e">
        <f>#REF!*#REF!^5/(Conv!$I$5*Conv!$D$46)/10^6 +#REF!</f>
        <v>#REF!</v>
      </c>
      <c r="M794" s="203" t="e">
        <f>#REF!*#REF!^5/(Conv!$I$5*Conv!$D$46)/10^6 +#REF!</f>
        <v>#REF!</v>
      </c>
      <c r="N794" s="203" t="e">
        <f>#REF!*#REF!^5/(Conv!$I$5*Conv!$D$46)/10^6 +#REF!</f>
        <v>#REF!</v>
      </c>
      <c r="O794" s="203" t="e">
        <f>#REF!*#REF!^5/(Conv!$I$5*Conv!$D$46)/10^6 +#REF!</f>
        <v>#REF!</v>
      </c>
      <c r="P794" s="203" t="e">
        <f>#REF!*#REF!^5/(Conv!$I$5*Conv!$D$46)/10^6 +#REF!</f>
        <v>#REF!</v>
      </c>
      <c r="Q794" s="203" t="e">
        <f>#REF!*#REF!^5/(Conv!$I$5*Conv!$D$46)/10^6 +#REF!</f>
        <v>#REF!</v>
      </c>
      <c r="S794" s="177"/>
      <c r="T794" s="177"/>
      <c r="U794" s="177"/>
      <c r="V794" s="177"/>
      <c r="W794" s="177"/>
      <c r="X794" s="177"/>
      <c r="Y794" s="177"/>
      <c r="Z794" s="177"/>
      <c r="AA794" s="177"/>
      <c r="AB794" s="177"/>
      <c r="AC794" s="177"/>
    </row>
    <row r="795" spans="2:29">
      <c r="B795" s="158" t="str">
        <f>IF(OR(LEFT(Commodities!B$66,1)="*",LEFT(Technologies!B$516,1)="*"),"*","R5")</f>
        <v>R5</v>
      </c>
      <c r="C795" s="158" t="e">
        <f>Technologies!C$541</f>
        <v>#REF!</v>
      </c>
      <c r="D795" s="158" t="str">
        <f>Technologies!D516</f>
        <v>Delivery of Imported Distillate-Ultralow Sulfur Highway Diesel (15 ppm)</v>
      </c>
      <c r="E795" s="197" t="str">
        <f>Commodities!C$79</f>
        <v>DSUP2</v>
      </c>
      <c r="F795" s="197" t="e">
        <f>Commodities!C229</f>
        <v>#REF!</v>
      </c>
      <c r="G795" s="204">
        <v>1</v>
      </c>
      <c r="H795" s="203" t="e">
        <f>#REF!*#REF!^5/(Conv!$I$5*Conv!$D$46)/10^6 +#REF!</f>
        <v>#REF!</v>
      </c>
      <c r="I795" s="203" t="e">
        <f>#REF!*#REF!^5/(Conv!$I$5*Conv!$D$46)/10^6 +#REF!</f>
        <v>#REF!</v>
      </c>
      <c r="J795" s="203" t="e">
        <f>#REF!*#REF!^5/(Conv!$I$5*Conv!$D$46)/10^6 +#REF!</f>
        <v>#REF!</v>
      </c>
      <c r="K795" s="203" t="e">
        <f>#REF!*#REF!^5/(Conv!$I$5*Conv!$D$46)/10^6 +#REF!</f>
        <v>#REF!</v>
      </c>
      <c r="L795" s="203" t="e">
        <f>#REF!*#REF!^5/(Conv!$I$5*Conv!$D$46)/10^6 +#REF!</f>
        <v>#REF!</v>
      </c>
      <c r="M795" s="203" t="e">
        <f>#REF!*#REF!^5/(Conv!$I$5*Conv!$D$46)/10^6 +#REF!</f>
        <v>#REF!</v>
      </c>
      <c r="N795" s="203" t="e">
        <f>#REF!*#REF!^5/(Conv!$I$5*Conv!$D$46)/10^6 +#REF!</f>
        <v>#REF!</v>
      </c>
      <c r="O795" s="203" t="e">
        <f>#REF!*#REF!^5/(Conv!$I$5*Conv!$D$46)/10^6 +#REF!</f>
        <v>#REF!</v>
      </c>
      <c r="P795" s="203" t="e">
        <f>#REF!*#REF!^5/(Conv!$I$5*Conv!$D$46)/10^6 +#REF!</f>
        <v>#REF!</v>
      </c>
      <c r="Q795" s="203" t="e">
        <f>#REF!*#REF!^5/(Conv!$I$5*Conv!$D$46)/10^6 +#REF!</f>
        <v>#REF!</v>
      </c>
      <c r="S795" s="177"/>
      <c r="T795" s="177"/>
      <c r="U795" s="177"/>
      <c r="V795" s="177"/>
      <c r="W795" s="177"/>
      <c r="X795" s="177"/>
      <c r="Y795" s="177"/>
      <c r="Z795" s="177"/>
      <c r="AA795" s="177"/>
      <c r="AB795" s="177"/>
      <c r="AC795" s="177"/>
    </row>
    <row r="796" spans="2:29">
      <c r="B796" s="158" t="str">
        <f>IF(OR(LEFT(Commodities!B$69,1)="*",LEFT(Technologies!B$517,1)="*"),"*","R5")</f>
        <v>*</v>
      </c>
      <c r="C796" s="158" t="e">
        <f>Technologies!C$542</f>
        <v>#REF!</v>
      </c>
      <c r="D796" s="158" t="str">
        <f>Technologies!D517</f>
        <v>Delivery of Imported Jet Fuel</v>
      </c>
      <c r="E796" s="197" t="str">
        <f>Commodities!C$82</f>
        <v>JTFP2</v>
      </c>
      <c r="F796" s="197" t="e">
        <f>Commodities!C230</f>
        <v>#REF!</v>
      </c>
      <c r="G796" s="204">
        <v>1</v>
      </c>
      <c r="H796" s="203" t="e">
        <f>#REF!*#REF!^5/(Conv!$I$5*Conv!$D$46)/10^6 +#REF!</f>
        <v>#REF!</v>
      </c>
      <c r="I796" s="203" t="e">
        <f>#REF!*#REF!^5/(Conv!$I$5*Conv!$D$46)/10^6 +#REF!</f>
        <v>#REF!</v>
      </c>
      <c r="J796" s="203" t="e">
        <f>#REF!*#REF!^5/(Conv!$I$5*Conv!$D$46)/10^6 +#REF!</f>
        <v>#REF!</v>
      </c>
      <c r="K796" s="203" t="e">
        <f>#REF!*#REF!^5/(Conv!$I$5*Conv!$D$46)/10^6 +#REF!</f>
        <v>#REF!</v>
      </c>
      <c r="L796" s="203" t="e">
        <f>#REF!*#REF!^5/(Conv!$I$5*Conv!$D$46)/10^6 +#REF!</f>
        <v>#REF!</v>
      </c>
      <c r="M796" s="203" t="e">
        <f>#REF!*#REF!^5/(Conv!$I$5*Conv!$D$46)/10^6 +#REF!</f>
        <v>#REF!</v>
      </c>
      <c r="N796" s="203" t="e">
        <f>#REF!*#REF!^5/(Conv!$I$5*Conv!$D$46)/10^6 +#REF!</f>
        <v>#REF!</v>
      </c>
      <c r="O796" s="203" t="e">
        <f>#REF!*#REF!^5/(Conv!$I$5*Conv!$D$46)/10^6 +#REF!</f>
        <v>#REF!</v>
      </c>
      <c r="P796" s="203" t="e">
        <f>#REF!*#REF!^5/(Conv!$I$5*Conv!$D$46)/10^6 +#REF!</f>
        <v>#REF!</v>
      </c>
      <c r="Q796" s="203" t="e">
        <f>#REF!*#REF!^5/(Conv!$I$5*Conv!$D$46)/10^6 +#REF!</f>
        <v>#REF!</v>
      </c>
      <c r="S796" s="177"/>
      <c r="T796" s="177"/>
      <c r="U796" s="177"/>
      <c r="V796" s="177"/>
      <c r="W796" s="177"/>
      <c r="X796" s="177"/>
      <c r="Y796" s="177"/>
      <c r="Z796" s="177"/>
      <c r="AA796" s="177"/>
      <c r="AB796" s="177"/>
      <c r="AC796" s="177"/>
    </row>
    <row r="797" spans="2:29">
      <c r="B797" s="158" t="str">
        <f>IF(OR(LEFT(Commodities!B$70,1)="*",LEFT(Technologies!B$518,1)="*"),"*","R5")</f>
        <v>*</v>
      </c>
      <c r="C797" s="158" t="e">
        <f>Technologies!C$543</f>
        <v>#REF!</v>
      </c>
      <c r="D797" s="158" t="str">
        <f>Technologies!D518</f>
        <v>Delivery of Imported Kerosene and Other Refined Products to the Residential Sector</v>
      </c>
      <c r="E797" s="197" t="str">
        <f>Commodities!C$83</f>
        <v>KERP2</v>
      </c>
      <c r="F797" s="197" t="e">
        <f>Commodities!C231</f>
        <v>#REF!</v>
      </c>
      <c r="G797" s="204">
        <v>1</v>
      </c>
      <c r="H797" s="203" t="e">
        <f>#REF!*#REF!^5/(Conv!$I$5*Conv!$D$46)/10^6 +#REF!</f>
        <v>#REF!</v>
      </c>
      <c r="I797" s="203" t="e">
        <f>#REF!*#REF!^5/(Conv!$I$5*Conv!$D$46)/10^6 +#REF!</f>
        <v>#REF!</v>
      </c>
      <c r="J797" s="203" t="e">
        <f>#REF!*#REF!^5/(Conv!$I$5*Conv!$D$46)/10^6 +#REF!</f>
        <v>#REF!</v>
      </c>
      <c r="K797" s="203" t="e">
        <f>#REF!*#REF!^5/(Conv!$I$5*Conv!$D$46)/10^6 +#REF!</f>
        <v>#REF!</v>
      </c>
      <c r="L797" s="203" t="e">
        <f>#REF!*#REF!^5/(Conv!$I$5*Conv!$D$46)/10^6 +#REF!</f>
        <v>#REF!</v>
      </c>
      <c r="M797" s="203" t="e">
        <f>#REF!*#REF!^5/(Conv!$I$5*Conv!$D$46)/10^6 +#REF!</f>
        <v>#REF!</v>
      </c>
      <c r="N797" s="203" t="e">
        <f>#REF!*#REF!^5/(Conv!$I$5*Conv!$D$46)/10^6 +#REF!</f>
        <v>#REF!</v>
      </c>
      <c r="O797" s="203" t="e">
        <f>#REF!*#REF!^5/(Conv!$I$5*Conv!$D$46)/10^6 +#REF!</f>
        <v>#REF!</v>
      </c>
      <c r="P797" s="203" t="e">
        <f>#REF!*#REF!^5/(Conv!$I$5*Conv!$D$46)/10^6 +#REF!</f>
        <v>#REF!</v>
      </c>
      <c r="Q797" s="203" t="e">
        <f>#REF!*#REF!^5/(Conv!$I$5*Conv!$D$46)/10^6 +#REF!</f>
        <v>#REF!</v>
      </c>
      <c r="S797" s="177"/>
      <c r="T797" s="177"/>
      <c r="U797" s="177"/>
      <c r="V797" s="177"/>
      <c r="W797" s="177"/>
      <c r="X797" s="177"/>
      <c r="Y797" s="177"/>
      <c r="Z797" s="177"/>
      <c r="AA797" s="177"/>
      <c r="AB797" s="177"/>
      <c r="AC797" s="177"/>
    </row>
    <row r="798" spans="2:29">
      <c r="B798" s="158" t="str">
        <f>IF(OR(LEFT(Commodities!B$70,1)="*",LEFT(Technologies!B$519,1)="*"),"*","R5")</f>
        <v>*</v>
      </c>
      <c r="C798" s="158" t="e">
        <f>Technologies!C$544</f>
        <v>#REF!</v>
      </c>
      <c r="D798" s="158" t="str">
        <f>Technologies!D519</f>
        <v>Delivery of Imported Kerosene and Other Refined Products to the Commercial Sector</v>
      </c>
      <c r="E798" s="197" t="str">
        <f>E797</f>
        <v>KERP2</v>
      </c>
      <c r="F798" s="197" t="e">
        <f>Commodities!C232</f>
        <v>#REF!</v>
      </c>
      <c r="G798" s="204">
        <v>1</v>
      </c>
      <c r="H798" s="203" t="e">
        <f>#REF!*#REF!^5/(Conv!$I$5*Conv!$D$46)/10^6 +#REF!</f>
        <v>#REF!</v>
      </c>
      <c r="I798" s="203" t="e">
        <f>#REF!*#REF!^5/(Conv!$I$5*Conv!$D$46)/10^6 +#REF!</f>
        <v>#REF!</v>
      </c>
      <c r="J798" s="203" t="e">
        <f>#REF!*#REF!^5/(Conv!$I$5*Conv!$D$46)/10^6 +#REF!</f>
        <v>#REF!</v>
      </c>
      <c r="K798" s="203" t="e">
        <f>#REF!*#REF!^5/(Conv!$I$5*Conv!$D$46)/10^6 +#REF!</f>
        <v>#REF!</v>
      </c>
      <c r="L798" s="203" t="e">
        <f>#REF!*#REF!^5/(Conv!$I$5*Conv!$D$46)/10^6 +#REF!</f>
        <v>#REF!</v>
      </c>
      <c r="M798" s="203" t="e">
        <f>#REF!*#REF!^5/(Conv!$I$5*Conv!$D$46)/10^6 +#REF!</f>
        <v>#REF!</v>
      </c>
      <c r="N798" s="203" t="e">
        <f>#REF!*#REF!^5/(Conv!$I$5*Conv!$D$46)/10^6 +#REF!</f>
        <v>#REF!</v>
      </c>
      <c r="O798" s="203" t="e">
        <f>#REF!*#REF!^5/(Conv!$I$5*Conv!$D$46)/10^6 +#REF!</f>
        <v>#REF!</v>
      </c>
      <c r="P798" s="203" t="e">
        <f>#REF!*#REF!^5/(Conv!$I$5*Conv!$D$46)/10^6 +#REF!</f>
        <v>#REF!</v>
      </c>
      <c r="Q798" s="203" t="e">
        <f>#REF!*#REF!^5/(Conv!$I$5*Conv!$D$46)/10^6 +#REF!</f>
        <v>#REF!</v>
      </c>
      <c r="S798" s="177"/>
      <c r="T798" s="177"/>
      <c r="U798" s="177"/>
      <c r="V798" s="177"/>
      <c r="W798" s="177"/>
      <c r="X798" s="177"/>
      <c r="Y798" s="177"/>
      <c r="Z798" s="177"/>
      <c r="AA798" s="177"/>
      <c r="AB798" s="177"/>
      <c r="AC798" s="177"/>
    </row>
    <row r="799" spans="2:29">
      <c r="B799" s="158" t="str">
        <f>IF(OR(LEFT(Commodities!B$70,1)="*",LEFT(Technologies!B$520,1)="*"),"*","R5")</f>
        <v>*</v>
      </c>
      <c r="C799" s="158" t="e">
        <f>Technologies!C$545</f>
        <v>#REF!</v>
      </c>
      <c r="D799" s="158" t="str">
        <f>Technologies!D520</f>
        <v>Delivery of Imported Kerosene and Other Refined Products to the Industrial Sector</v>
      </c>
      <c r="E799" s="197" t="str">
        <f>E798</f>
        <v>KERP2</v>
      </c>
      <c r="F799" s="197" t="e">
        <f>Commodities!C233</f>
        <v>#REF!</v>
      </c>
      <c r="G799" s="204">
        <v>1</v>
      </c>
      <c r="H799" s="203" t="e">
        <f>#REF!*#REF!^5/(Conv!$I$5*Conv!$D$46)/10^6 +#REF!</f>
        <v>#REF!</v>
      </c>
      <c r="I799" s="203" t="e">
        <f>#REF!*#REF!^5/(Conv!$I$5*Conv!$D$46)/10^6 +#REF!</f>
        <v>#REF!</v>
      </c>
      <c r="J799" s="203" t="e">
        <f>#REF!*#REF!^5/(Conv!$I$5*Conv!$D$46)/10^6 +#REF!</f>
        <v>#REF!</v>
      </c>
      <c r="K799" s="203" t="e">
        <f>#REF!*#REF!^5/(Conv!$I$5*Conv!$D$46)/10^6 +#REF!</f>
        <v>#REF!</v>
      </c>
      <c r="L799" s="203" t="e">
        <f>#REF!*#REF!^5/(Conv!$I$5*Conv!$D$46)/10^6 +#REF!</f>
        <v>#REF!</v>
      </c>
      <c r="M799" s="203" t="e">
        <f>#REF!*#REF!^5/(Conv!$I$5*Conv!$D$46)/10^6 +#REF!</f>
        <v>#REF!</v>
      </c>
      <c r="N799" s="203" t="e">
        <f>#REF!*#REF!^5/(Conv!$I$5*Conv!$D$46)/10^6 +#REF!</f>
        <v>#REF!</v>
      </c>
      <c r="O799" s="203" t="e">
        <f>#REF!*#REF!^5/(Conv!$I$5*Conv!$D$46)/10^6 +#REF!</f>
        <v>#REF!</v>
      </c>
      <c r="P799" s="203" t="e">
        <f>#REF!*#REF!^5/(Conv!$I$5*Conv!$D$46)/10^6 +#REF!</f>
        <v>#REF!</v>
      </c>
      <c r="Q799" s="203" t="e">
        <f>#REF!*#REF!^5/(Conv!$I$5*Conv!$D$46)/10^6 +#REF!</f>
        <v>#REF!</v>
      </c>
      <c r="S799" s="177"/>
      <c r="T799" s="177"/>
      <c r="U799" s="177"/>
      <c r="V799" s="177"/>
      <c r="W799" s="177"/>
      <c r="X799" s="177"/>
      <c r="Y799" s="177"/>
      <c r="Z799" s="177"/>
      <c r="AA799" s="177"/>
      <c r="AB799" s="177"/>
      <c r="AC799" s="177"/>
    </row>
    <row r="800" spans="2:29">
      <c r="B800" s="158" t="str">
        <f>IF(OR(LEFT(Commodities!B$71,1)="*",LEFT(Technologies!B$521,1)="*"),"*","R5")</f>
        <v>*</v>
      </c>
      <c r="C800" s="158" t="e">
        <f>Technologies!C$546</f>
        <v>#REF!</v>
      </c>
      <c r="D800" s="158" t="str">
        <f>Technologies!D521</f>
        <v>Delivery of Imported LPG to the Residential Sector</v>
      </c>
      <c r="E800" s="197" t="str">
        <f>Commodities!C$84</f>
        <v>LPGP2</v>
      </c>
      <c r="F800" s="197" t="e">
        <f>Commodities!C234</f>
        <v>#REF!</v>
      </c>
      <c r="G800" s="204">
        <v>1</v>
      </c>
      <c r="H800" s="203" t="e">
        <f>#REF!*#REF!^5/(Conv!$I$5*Conv!$D$46)/10^6 +#REF!</f>
        <v>#REF!</v>
      </c>
      <c r="I800" s="203" t="e">
        <f>#REF!*#REF!^5/(Conv!$I$5*Conv!$D$46)/10^6 +#REF!</f>
        <v>#REF!</v>
      </c>
      <c r="J800" s="203" t="e">
        <f>#REF!*#REF!^5/(Conv!$I$5*Conv!$D$46)/10^6 +#REF!</f>
        <v>#REF!</v>
      </c>
      <c r="K800" s="203" t="e">
        <f>#REF!*#REF!^5/(Conv!$I$5*Conv!$D$46)/10^6 +#REF!</f>
        <v>#REF!</v>
      </c>
      <c r="L800" s="203" t="e">
        <f>#REF!*#REF!^5/(Conv!$I$5*Conv!$D$46)/10^6 +#REF!</f>
        <v>#REF!</v>
      </c>
      <c r="M800" s="203" t="e">
        <f>#REF!*#REF!^5/(Conv!$I$5*Conv!$D$46)/10^6 +#REF!</f>
        <v>#REF!</v>
      </c>
      <c r="N800" s="203" t="e">
        <f>#REF!*#REF!^5/(Conv!$I$5*Conv!$D$46)/10^6 +#REF!</f>
        <v>#REF!</v>
      </c>
      <c r="O800" s="203" t="e">
        <f>#REF!*#REF!^5/(Conv!$I$5*Conv!$D$46)/10^6 +#REF!</f>
        <v>#REF!</v>
      </c>
      <c r="P800" s="203" t="e">
        <f>#REF!*#REF!^5/(Conv!$I$5*Conv!$D$46)/10^6 +#REF!</f>
        <v>#REF!</v>
      </c>
      <c r="Q800" s="203" t="e">
        <f>#REF!*#REF!^5/(Conv!$I$5*Conv!$D$46)/10^6 +#REF!</f>
        <v>#REF!</v>
      </c>
      <c r="S800" s="177"/>
      <c r="T800" s="177"/>
      <c r="U800" s="177"/>
      <c r="V800" s="177"/>
      <c r="W800" s="177"/>
      <c r="X800" s="177"/>
      <c r="Y800" s="177"/>
      <c r="Z800" s="177"/>
      <c r="AA800" s="177"/>
      <c r="AB800" s="177"/>
      <c r="AC800" s="177"/>
    </row>
    <row r="801" spans="2:29">
      <c r="B801" s="158" t="str">
        <f>IF(OR(LEFT(Commodities!B$71,1)="*",LEFT(Technologies!B$522,1)="*"),"*","R5")</f>
        <v>*</v>
      </c>
      <c r="C801" s="158" t="e">
        <f>Technologies!C$547</f>
        <v>#REF!</v>
      </c>
      <c r="D801" s="158" t="str">
        <f>Technologies!D522</f>
        <v>Delivery of Imported LPG to the Commercial Sector</v>
      </c>
      <c r="E801" s="197" t="str">
        <f>Commodities!C$84</f>
        <v>LPGP2</v>
      </c>
      <c r="F801" s="197" t="e">
        <f>Commodities!C235</f>
        <v>#REF!</v>
      </c>
      <c r="G801" s="204">
        <v>1</v>
      </c>
      <c r="H801" s="203" t="e">
        <f>#REF!*#REF!^5/(Conv!$I$5*Conv!$D$46)/10^6 +#REF!</f>
        <v>#REF!</v>
      </c>
      <c r="I801" s="203" t="e">
        <f>#REF!*#REF!^5/(Conv!$I$5*Conv!$D$46)/10^6 +#REF!</f>
        <v>#REF!</v>
      </c>
      <c r="J801" s="203" t="e">
        <f>#REF!*#REF!^5/(Conv!$I$5*Conv!$D$46)/10^6 +#REF!</f>
        <v>#REF!</v>
      </c>
      <c r="K801" s="203" t="e">
        <f>#REF!*#REF!^5/(Conv!$I$5*Conv!$D$46)/10^6 +#REF!</f>
        <v>#REF!</v>
      </c>
      <c r="L801" s="203" t="e">
        <f>#REF!*#REF!^5/(Conv!$I$5*Conv!$D$46)/10^6 +#REF!</f>
        <v>#REF!</v>
      </c>
      <c r="M801" s="203" t="e">
        <f>#REF!*#REF!^5/(Conv!$I$5*Conv!$D$46)/10^6 +#REF!</f>
        <v>#REF!</v>
      </c>
      <c r="N801" s="203" t="e">
        <f>#REF!*#REF!^5/(Conv!$I$5*Conv!$D$46)/10^6 +#REF!</f>
        <v>#REF!</v>
      </c>
      <c r="O801" s="203" t="e">
        <f>#REF!*#REF!^5/(Conv!$I$5*Conv!$D$46)/10^6 +#REF!</f>
        <v>#REF!</v>
      </c>
      <c r="P801" s="203" t="e">
        <f>#REF!*#REF!^5/(Conv!$I$5*Conv!$D$46)/10^6 +#REF!</f>
        <v>#REF!</v>
      </c>
      <c r="Q801" s="203" t="e">
        <f>#REF!*#REF!^5/(Conv!$I$5*Conv!$D$46)/10^6 +#REF!</f>
        <v>#REF!</v>
      </c>
      <c r="S801" s="177"/>
      <c r="T801" s="177"/>
      <c r="U801" s="177"/>
      <c r="V801" s="177"/>
      <c r="W801" s="177"/>
      <c r="X801" s="177"/>
      <c r="Y801" s="177"/>
      <c r="Z801" s="177"/>
      <c r="AA801" s="177"/>
      <c r="AB801" s="177"/>
      <c r="AC801" s="177"/>
    </row>
    <row r="802" spans="2:29">
      <c r="B802" s="158" t="str">
        <f>IF(OR(LEFT(Commodities!B$71,1)="*",LEFT(Technologies!B$523,1)="*"),"*","R5")</f>
        <v>*</v>
      </c>
      <c r="C802" s="158" t="e">
        <f>Technologies!C$548</f>
        <v>#REF!</v>
      </c>
      <c r="D802" s="158" t="str">
        <f>Technologies!D523</f>
        <v>Delivery of Imported LPG to the Industrial Sector</v>
      </c>
      <c r="E802" s="197" t="str">
        <f>Commodities!C$84</f>
        <v>LPGP2</v>
      </c>
      <c r="F802" s="197" t="e">
        <f>Commodities!C236</f>
        <v>#REF!</v>
      </c>
      <c r="G802" s="204">
        <v>1</v>
      </c>
      <c r="H802" s="203" t="e">
        <f>#REF!*#REF!^5/(Conv!$I$5*Conv!$D$46)/10^6 +#REF!</f>
        <v>#REF!</v>
      </c>
      <c r="I802" s="203" t="e">
        <f>#REF!*#REF!^5/(Conv!$I$5*Conv!$D$46)/10^6 +#REF!</f>
        <v>#REF!</v>
      </c>
      <c r="J802" s="203" t="e">
        <f>#REF!*#REF!^5/(Conv!$I$5*Conv!$D$46)/10^6 +#REF!</f>
        <v>#REF!</v>
      </c>
      <c r="K802" s="203" t="e">
        <f>#REF!*#REF!^5/(Conv!$I$5*Conv!$D$46)/10^6 +#REF!</f>
        <v>#REF!</v>
      </c>
      <c r="L802" s="203" t="e">
        <f>#REF!*#REF!^5/(Conv!$I$5*Conv!$D$46)/10^6 +#REF!</f>
        <v>#REF!</v>
      </c>
      <c r="M802" s="203" t="e">
        <f>#REF!*#REF!^5/(Conv!$I$5*Conv!$D$46)/10^6 +#REF!</f>
        <v>#REF!</v>
      </c>
      <c r="N802" s="203" t="e">
        <f>#REF!*#REF!^5/(Conv!$I$5*Conv!$D$46)/10^6 +#REF!</f>
        <v>#REF!</v>
      </c>
      <c r="O802" s="203" t="e">
        <f>#REF!*#REF!^5/(Conv!$I$5*Conv!$D$46)/10^6 +#REF!</f>
        <v>#REF!</v>
      </c>
      <c r="P802" s="203" t="e">
        <f>#REF!*#REF!^5/(Conv!$I$5*Conv!$D$46)/10^6 +#REF!</f>
        <v>#REF!</v>
      </c>
      <c r="Q802" s="203" t="e">
        <f>#REF!*#REF!^5/(Conv!$I$5*Conv!$D$46)/10^6 +#REF!</f>
        <v>#REF!</v>
      </c>
      <c r="S802" s="177"/>
      <c r="T802" s="177"/>
      <c r="U802" s="177"/>
      <c r="V802" s="177"/>
      <c r="W802" s="177"/>
      <c r="X802" s="177"/>
      <c r="Y802" s="177"/>
      <c r="Z802" s="177"/>
      <c r="AA802" s="177"/>
      <c r="AB802" s="177"/>
      <c r="AC802" s="177"/>
    </row>
    <row r="803" spans="2:29">
      <c r="B803" s="158" t="str">
        <f>IF(OR(LEFT(Commodities!B$71,1)="*",LEFT(Technologies!B$524,1)="*"),"*","R5")</f>
        <v>*</v>
      </c>
      <c r="C803" s="158" t="e">
        <f>Technologies!C$549</f>
        <v>#REF!</v>
      </c>
      <c r="D803" s="158" t="str">
        <f>Technologies!D524</f>
        <v>Delivery of Imported LPG to the Transportation Sector</v>
      </c>
      <c r="E803" s="197" t="str">
        <f>Commodities!C$84</f>
        <v>LPGP2</v>
      </c>
      <c r="F803" s="197" t="e">
        <f>Commodities!C237</f>
        <v>#REF!</v>
      </c>
      <c r="G803" s="204">
        <v>1</v>
      </c>
      <c r="H803" s="203" t="e">
        <f>#REF!*#REF!^5/(Conv!$I$5*Conv!$D$46)/10^6 +#REF!</f>
        <v>#REF!</v>
      </c>
      <c r="I803" s="203" t="e">
        <f>#REF!*#REF!^5/(Conv!$I$5*Conv!$D$46)/10^6 +#REF!</f>
        <v>#REF!</v>
      </c>
      <c r="J803" s="203" t="e">
        <f>#REF!*#REF!^5/(Conv!$I$5*Conv!$D$46)/10^6 +#REF!</f>
        <v>#REF!</v>
      </c>
      <c r="K803" s="203" t="e">
        <f>#REF!*#REF!^5/(Conv!$I$5*Conv!$D$46)/10^6 +#REF!</f>
        <v>#REF!</v>
      </c>
      <c r="L803" s="203" t="e">
        <f>#REF!*#REF!^5/(Conv!$I$5*Conv!$D$46)/10^6 +#REF!</f>
        <v>#REF!</v>
      </c>
      <c r="M803" s="203" t="e">
        <f>#REF!*#REF!^5/(Conv!$I$5*Conv!$D$46)/10^6 +#REF!</f>
        <v>#REF!</v>
      </c>
      <c r="N803" s="203" t="e">
        <f>#REF!*#REF!^5/(Conv!$I$5*Conv!$D$46)/10^6 +#REF!</f>
        <v>#REF!</v>
      </c>
      <c r="O803" s="203" t="e">
        <f>#REF!*#REF!^5/(Conv!$I$5*Conv!$D$46)/10^6 +#REF!</f>
        <v>#REF!</v>
      </c>
      <c r="P803" s="203" t="e">
        <f>#REF!*#REF!^5/(Conv!$I$5*Conv!$D$46)/10^6 +#REF!</f>
        <v>#REF!</v>
      </c>
      <c r="Q803" s="203" t="e">
        <f>#REF!*#REF!^5/(Conv!$I$5*Conv!$D$46)/10^6 +#REF!</f>
        <v>#REF!</v>
      </c>
      <c r="S803" s="177"/>
      <c r="T803" s="177"/>
      <c r="U803" s="177"/>
      <c r="V803" s="177"/>
      <c r="W803" s="177"/>
      <c r="X803" s="177"/>
      <c r="Y803" s="177"/>
      <c r="Z803" s="177"/>
      <c r="AA803" s="177"/>
      <c r="AB803" s="177"/>
      <c r="AC803" s="177"/>
    </row>
    <row r="804" spans="2:29">
      <c r="B804" s="158" t="str">
        <f>IF(LEFT(Technologies!B$525,1)="*","*","R5")</f>
        <v>*</v>
      </c>
      <c r="C804" s="158" t="e">
        <f>Technologies!C$550</f>
        <v>#REF!</v>
      </c>
      <c r="D804" s="158" t="str">
        <f>Technologies!D525</f>
        <v>Delivery of Imported Methanol</v>
      </c>
      <c r="E804" s="197" t="str">
        <f>Commodities!C$85</f>
        <v>MTHP2</v>
      </c>
      <c r="F804" s="197" t="e">
        <f>Commodities!C238</f>
        <v>#REF!</v>
      </c>
      <c r="G804" s="204">
        <v>1</v>
      </c>
      <c r="H804" s="203" t="e">
        <f>#REF!*#REF!^5/(Conv!$I$5*Conv!$D$46)/10^6 +#REF!</f>
        <v>#REF!</v>
      </c>
      <c r="I804" s="203" t="e">
        <f>#REF!*#REF!^5/(Conv!$I$5*Conv!$D$46)/10^6 +#REF!</f>
        <v>#REF!</v>
      </c>
      <c r="J804" s="203" t="e">
        <f>#REF!*#REF!^5/(Conv!$I$5*Conv!$D$46)/10^6 +#REF!</f>
        <v>#REF!</v>
      </c>
      <c r="K804" s="203" t="e">
        <f>#REF!*#REF!^5/(Conv!$I$5*Conv!$D$46)/10^6 +#REF!</f>
        <v>#REF!</v>
      </c>
      <c r="L804" s="203" t="e">
        <f>#REF!*#REF!^5/(Conv!$I$5*Conv!$D$46)/10^6 +#REF!</f>
        <v>#REF!</v>
      </c>
      <c r="M804" s="203" t="e">
        <f>#REF!*#REF!^5/(Conv!$I$5*Conv!$D$46)/10^6 +#REF!</f>
        <v>#REF!</v>
      </c>
      <c r="N804" s="203" t="e">
        <f>#REF!*#REF!^5/(Conv!$I$5*Conv!$D$46)/10^6 +#REF!</f>
        <v>#REF!</v>
      </c>
      <c r="O804" s="203" t="e">
        <f>#REF!*#REF!^5/(Conv!$I$5*Conv!$D$46)/10^6 +#REF!</f>
        <v>#REF!</v>
      </c>
      <c r="P804" s="203" t="e">
        <f>#REF!*#REF!^5/(Conv!$I$5*Conv!$D$46)/10^6 +#REF!</f>
        <v>#REF!</v>
      </c>
      <c r="Q804" s="203" t="e">
        <f>#REF!*#REF!^5/(Conv!$I$5*Conv!$D$46)/10^6 +#REF!</f>
        <v>#REF!</v>
      </c>
      <c r="S804" s="177"/>
      <c r="T804" s="177"/>
      <c r="U804" s="177"/>
      <c r="V804" s="177"/>
      <c r="W804" s="177"/>
      <c r="X804" s="177"/>
      <c r="Y804" s="177"/>
      <c r="Z804" s="177"/>
      <c r="AA804" s="177"/>
      <c r="AB804" s="177"/>
      <c r="AC804" s="177"/>
    </row>
    <row r="805" spans="2:29">
      <c r="B805" s="158" t="str">
        <f>IF(OR(LEFT(Commodities!B$239,1)="*",LEFT(Technologies!B$526,1)="*"),"*","R5")</f>
        <v>*</v>
      </c>
      <c r="C805" s="158" t="e">
        <f>Technologies!C$551</f>
        <v>#REF!</v>
      </c>
      <c r="D805" s="158" t="str">
        <f>Technologies!D526</f>
        <v>Delivery of Imported Petrochemical Feedstocks</v>
      </c>
      <c r="E805" s="197" t="str">
        <f>Commodities!C$86</f>
        <v>PFSP2</v>
      </c>
      <c r="F805" s="197" t="e">
        <f>Commodities!C239</f>
        <v>#REF!</v>
      </c>
      <c r="G805" s="204">
        <v>1</v>
      </c>
      <c r="H805" s="203" t="e">
        <f>#REF!*#REF!^5/(Conv!$I$5*Conv!$D$46)/10^6 +#REF!</f>
        <v>#REF!</v>
      </c>
      <c r="I805" s="203" t="e">
        <f>#REF!*#REF!^5/(Conv!$I$5*Conv!$D$46)/10^6 +#REF!</f>
        <v>#REF!</v>
      </c>
      <c r="J805" s="203" t="e">
        <f>#REF!*#REF!^5/(Conv!$I$5*Conv!$D$46)/10^6 +#REF!</f>
        <v>#REF!</v>
      </c>
      <c r="K805" s="203" t="e">
        <f>#REF!*#REF!^5/(Conv!$I$5*Conv!$D$46)/10^6 +#REF!</f>
        <v>#REF!</v>
      </c>
      <c r="L805" s="203" t="e">
        <f>#REF!*#REF!^5/(Conv!$I$5*Conv!$D$46)/10^6 +#REF!</f>
        <v>#REF!</v>
      </c>
      <c r="M805" s="203" t="e">
        <f>#REF!*#REF!^5/(Conv!$I$5*Conv!$D$46)/10^6 +#REF!</f>
        <v>#REF!</v>
      </c>
      <c r="N805" s="203" t="e">
        <f>#REF!*#REF!^5/(Conv!$I$5*Conv!$D$46)/10^6 +#REF!</f>
        <v>#REF!</v>
      </c>
      <c r="O805" s="203" t="e">
        <f>#REF!*#REF!^5/(Conv!$I$5*Conv!$D$46)/10^6 +#REF!</f>
        <v>#REF!</v>
      </c>
      <c r="P805" s="203" t="e">
        <f>#REF!*#REF!^5/(Conv!$I$5*Conv!$D$46)/10^6 +#REF!</f>
        <v>#REF!</v>
      </c>
      <c r="Q805" s="203" t="e">
        <f>#REF!*#REF!^5/(Conv!$I$5*Conv!$D$46)/10^6 +#REF!</f>
        <v>#REF!</v>
      </c>
      <c r="S805" s="177"/>
      <c r="T805" s="177"/>
      <c r="U805" s="177"/>
      <c r="V805" s="177"/>
      <c r="W805" s="177"/>
      <c r="X805" s="177"/>
      <c r="Y805" s="177"/>
      <c r="Z805" s="177"/>
      <c r="AA805" s="177"/>
      <c r="AB805" s="177"/>
      <c r="AC805" s="177"/>
    </row>
    <row r="806" spans="2:29">
      <c r="B806" s="158" t="str">
        <f>IF(OR(LEFT(Commodities!B$75,1)="*",LEFT(Technologies!B$527,1)="*"),"*","R5")</f>
        <v>*</v>
      </c>
      <c r="C806" s="158" t="str">
        <f>Technologies!C$552</f>
        <v>XIRESRFLP2</v>
      </c>
      <c r="D806" s="158" t="str">
        <f>Technologies!D527</f>
        <v>Delivery of Imported Low Sulfur Residual Fuel Oil to Residential Sector</v>
      </c>
      <c r="E806" s="197" t="str">
        <f>Commodities!C$88</f>
        <v>RFLP2</v>
      </c>
      <c r="F806" s="197" t="str">
        <f>Commodities!C240</f>
        <v>RESRFL</v>
      </c>
      <c r="G806" s="204">
        <v>1</v>
      </c>
      <c r="H806" s="203" t="e">
        <f>#REF!*#REF!^5/(Conv!$I$5*Conv!$D$46)/10^6 +#REF!</f>
        <v>#REF!</v>
      </c>
      <c r="I806" s="203" t="e">
        <f>#REF!*#REF!^5/(Conv!$I$5*Conv!$D$46)/10^6 +#REF!</f>
        <v>#REF!</v>
      </c>
      <c r="J806" s="203" t="e">
        <f>#REF!*#REF!^5/(Conv!$I$5*Conv!$D$46)/10^6 +#REF!</f>
        <v>#REF!</v>
      </c>
      <c r="K806" s="203" t="e">
        <f>#REF!*#REF!^5/(Conv!$I$5*Conv!$D$46)/10^6 +#REF!</f>
        <v>#REF!</v>
      </c>
      <c r="L806" s="203" t="e">
        <f>#REF!*#REF!^5/(Conv!$I$5*Conv!$D$46)/10^6 +#REF!</f>
        <v>#REF!</v>
      </c>
      <c r="M806" s="203" t="e">
        <f>#REF!*#REF!^5/(Conv!$I$5*Conv!$D$46)/10^6 +#REF!</f>
        <v>#REF!</v>
      </c>
      <c r="N806" s="203" t="e">
        <f>#REF!*#REF!^5/(Conv!$I$5*Conv!$D$46)/10^6 +#REF!</f>
        <v>#REF!</v>
      </c>
      <c r="O806" s="203" t="e">
        <f>#REF!*#REF!^5/(Conv!$I$5*Conv!$D$46)/10^6 +#REF!</f>
        <v>#REF!</v>
      </c>
      <c r="P806" s="203" t="e">
        <f>#REF!*#REF!^5/(Conv!$I$5*Conv!$D$46)/10^6 +#REF!</f>
        <v>#REF!</v>
      </c>
      <c r="Q806" s="203" t="e">
        <f>#REF!*#REF!^5/(Conv!$I$5*Conv!$D$46)/10^6 +#REF!</f>
        <v>#REF!</v>
      </c>
      <c r="S806" s="177"/>
      <c r="T806" s="177"/>
      <c r="U806" s="177"/>
      <c r="V806" s="177"/>
      <c r="W806" s="177"/>
      <c r="X806" s="177"/>
      <c r="Y806" s="177"/>
      <c r="Z806" s="177"/>
      <c r="AA806" s="177"/>
      <c r="AB806" s="177"/>
      <c r="AC806" s="177"/>
    </row>
    <row r="807" spans="2:29">
      <c r="B807" s="158" t="str">
        <f>IF(OR(LEFT(Commodities!B$75,1)="*",LEFT(Technologies!B$528,1)="*"),"*","R5")</f>
        <v>*</v>
      </c>
      <c r="C807" s="158" t="e">
        <f>Technologies!C$553</f>
        <v>#REF!</v>
      </c>
      <c r="D807" s="158" t="str">
        <f>Technologies!D528</f>
        <v>Delivery of Imported Low Sulfur Residual Fuel Oil to Commercial Sector</v>
      </c>
      <c r="E807" s="197" t="str">
        <f>Commodities!C$88</f>
        <v>RFLP2</v>
      </c>
      <c r="F807" s="197" t="e">
        <f>Commodities!C241</f>
        <v>#REF!</v>
      </c>
      <c r="G807" s="204">
        <v>1</v>
      </c>
      <c r="H807" s="203" t="e">
        <f>#REF!*#REF!^5/(Conv!$I$5*Conv!$D$46)/10^6 +#REF!</f>
        <v>#REF!</v>
      </c>
      <c r="I807" s="203" t="e">
        <f>#REF!*#REF!^5/(Conv!$I$5*Conv!$D$46)/10^6 +#REF!</f>
        <v>#REF!</v>
      </c>
      <c r="J807" s="203" t="e">
        <f>#REF!*#REF!^5/(Conv!$I$5*Conv!$D$46)/10^6 +#REF!</f>
        <v>#REF!</v>
      </c>
      <c r="K807" s="203" t="e">
        <f>#REF!*#REF!^5/(Conv!$I$5*Conv!$D$46)/10^6 +#REF!</f>
        <v>#REF!</v>
      </c>
      <c r="L807" s="203" t="e">
        <f>#REF!*#REF!^5/(Conv!$I$5*Conv!$D$46)/10^6 +#REF!</f>
        <v>#REF!</v>
      </c>
      <c r="M807" s="203" t="e">
        <f>#REF!*#REF!^5/(Conv!$I$5*Conv!$D$46)/10^6 +#REF!</f>
        <v>#REF!</v>
      </c>
      <c r="N807" s="203" t="e">
        <f>#REF!*#REF!^5/(Conv!$I$5*Conv!$D$46)/10^6 +#REF!</f>
        <v>#REF!</v>
      </c>
      <c r="O807" s="203" t="e">
        <f>#REF!*#REF!^5/(Conv!$I$5*Conv!$D$46)/10^6 +#REF!</f>
        <v>#REF!</v>
      </c>
      <c r="P807" s="203" t="e">
        <f>#REF!*#REF!^5/(Conv!$I$5*Conv!$D$46)/10^6 +#REF!</f>
        <v>#REF!</v>
      </c>
      <c r="Q807" s="203" t="e">
        <f>#REF!*#REF!^5/(Conv!$I$5*Conv!$D$46)/10^6 +#REF!</f>
        <v>#REF!</v>
      </c>
      <c r="S807" s="177"/>
      <c r="T807" s="177"/>
      <c r="U807" s="177"/>
      <c r="V807" s="177"/>
      <c r="W807" s="177"/>
      <c r="X807" s="177"/>
      <c r="Y807" s="177"/>
      <c r="Z807" s="177"/>
      <c r="AA807" s="177"/>
      <c r="AB807" s="177"/>
      <c r="AC807" s="177"/>
    </row>
    <row r="808" spans="2:29">
      <c r="B808" s="158" t="str">
        <f>IF(OR(LEFT(Commodities!B$75,1)="*",LEFT(Technologies!B$529,1)="*"),"*","R5")</f>
        <v>R5</v>
      </c>
      <c r="C808" s="158" t="e">
        <f>Technologies!C$554</f>
        <v>#REF!</v>
      </c>
      <c r="D808" s="158" t="str">
        <f>Technologies!D529</f>
        <v>Delivery of Imported Low Sulfur Residual Fuel Oil to Industrial Sector</v>
      </c>
      <c r="E808" s="197" t="str">
        <f>Commodities!C$88</f>
        <v>RFLP2</v>
      </c>
      <c r="F808" s="197" t="e">
        <f>Commodities!C242</f>
        <v>#REF!</v>
      </c>
      <c r="G808" s="204">
        <v>1</v>
      </c>
      <c r="H808" s="203" t="e">
        <f>#REF!*#REF!^5/(Conv!$I$5*Conv!$D$46)/10^6 +#REF!</f>
        <v>#REF!</v>
      </c>
      <c r="I808" s="203" t="e">
        <f>#REF!*#REF!^5/(Conv!$I$5*Conv!$D$46)/10^6 +#REF!</f>
        <v>#REF!</v>
      </c>
      <c r="J808" s="203" t="e">
        <f>#REF!*#REF!^5/(Conv!$I$5*Conv!$D$46)/10^6 +#REF!</f>
        <v>#REF!</v>
      </c>
      <c r="K808" s="203" t="e">
        <f>#REF!*#REF!^5/(Conv!$I$5*Conv!$D$46)/10^6 +#REF!</f>
        <v>#REF!</v>
      </c>
      <c r="L808" s="203" t="e">
        <f>#REF!*#REF!^5/(Conv!$I$5*Conv!$D$46)/10^6 +#REF!</f>
        <v>#REF!</v>
      </c>
      <c r="M808" s="203" t="e">
        <f>#REF!*#REF!^5/(Conv!$I$5*Conv!$D$46)/10^6 +#REF!</f>
        <v>#REF!</v>
      </c>
      <c r="N808" s="203" t="e">
        <f>#REF!*#REF!^5/(Conv!$I$5*Conv!$D$46)/10^6 +#REF!</f>
        <v>#REF!</v>
      </c>
      <c r="O808" s="203" t="e">
        <f>#REF!*#REF!^5/(Conv!$I$5*Conv!$D$46)/10^6 +#REF!</f>
        <v>#REF!</v>
      </c>
      <c r="P808" s="203" t="e">
        <f>#REF!*#REF!^5/(Conv!$I$5*Conv!$D$46)/10^6 +#REF!</f>
        <v>#REF!</v>
      </c>
      <c r="Q808" s="203" t="e">
        <f>#REF!*#REF!^5/(Conv!$I$5*Conv!$D$46)/10^6 +#REF!</f>
        <v>#REF!</v>
      </c>
      <c r="S808" s="177"/>
      <c r="T808" s="177"/>
      <c r="U808" s="177"/>
      <c r="V808" s="177"/>
      <c r="W808" s="177"/>
      <c r="X808" s="177"/>
      <c r="Y808" s="177"/>
      <c r="Z808" s="177"/>
      <c r="AA808" s="177"/>
      <c r="AB808" s="177"/>
      <c r="AC808" s="177"/>
    </row>
    <row r="809" spans="2:29">
      <c r="B809" s="158" t="str">
        <f>IF(OR(LEFT(Commodities!B$75,1)="*",LEFT(Technologies!B$530,1)="*"),"*","R5")</f>
        <v>*</v>
      </c>
      <c r="C809" s="158" t="e">
        <f>Technologies!C$555</f>
        <v>#REF!</v>
      </c>
      <c r="D809" s="158" t="str">
        <f>Technologies!D530</f>
        <v>Delivery of Imported Low Sulfur Residual Fuel Oil to Electricity Sector</v>
      </c>
      <c r="E809" s="197" t="str">
        <f>Commodities!C$88</f>
        <v>RFLP2</v>
      </c>
      <c r="F809" s="197" t="e">
        <f>Commodities!C243</f>
        <v>#REF!</v>
      </c>
      <c r="G809" s="204">
        <v>1</v>
      </c>
      <c r="H809" s="203" t="e">
        <f>#REF!*#REF!^5/(Conv!$I$5*Conv!$D$46)/10^6 +#REF!</f>
        <v>#REF!</v>
      </c>
      <c r="I809" s="203" t="e">
        <f>#REF!*#REF!^5/(Conv!$I$5*Conv!$D$46)/10^6 +#REF!</f>
        <v>#REF!</v>
      </c>
      <c r="J809" s="203" t="e">
        <f>#REF!*#REF!^5/(Conv!$I$5*Conv!$D$46)/10^6 +#REF!</f>
        <v>#REF!</v>
      </c>
      <c r="K809" s="203" t="e">
        <f>#REF!*#REF!^5/(Conv!$I$5*Conv!$D$46)/10^6 +#REF!</f>
        <v>#REF!</v>
      </c>
      <c r="L809" s="203" t="e">
        <f>#REF!*#REF!^5/(Conv!$I$5*Conv!$D$46)/10^6 +#REF!</f>
        <v>#REF!</v>
      </c>
      <c r="M809" s="203" t="e">
        <f>#REF!*#REF!^5/(Conv!$I$5*Conv!$D$46)/10^6 +#REF!</f>
        <v>#REF!</v>
      </c>
      <c r="N809" s="203" t="e">
        <f>#REF!*#REF!^5/(Conv!$I$5*Conv!$D$46)/10^6 +#REF!</f>
        <v>#REF!</v>
      </c>
      <c r="O809" s="203" t="e">
        <f>#REF!*#REF!^5/(Conv!$I$5*Conv!$D$46)/10^6 +#REF!</f>
        <v>#REF!</v>
      </c>
      <c r="P809" s="203" t="e">
        <f>#REF!*#REF!^5/(Conv!$I$5*Conv!$D$46)/10^6 +#REF!</f>
        <v>#REF!</v>
      </c>
      <c r="Q809" s="203" t="e">
        <f>#REF!*#REF!^5/(Conv!$I$5*Conv!$D$46)/10^6 +#REF!</f>
        <v>#REF!</v>
      </c>
      <c r="S809" s="177"/>
      <c r="T809" s="177"/>
      <c r="U809" s="177"/>
      <c r="V809" s="177"/>
      <c r="W809" s="177"/>
      <c r="X809" s="177"/>
      <c r="Y809" s="177"/>
      <c r="Z809" s="177"/>
      <c r="AA809" s="177"/>
      <c r="AB809" s="177"/>
      <c r="AC809" s="177"/>
    </row>
    <row r="810" spans="2:29">
      <c r="B810" s="158" t="str">
        <f>IF(OR(LEFT(Commodities!B$74,1)="*",LEFT(Technologies!B$531,1)="*"),"*","R5")</f>
        <v>*</v>
      </c>
      <c r="C810" s="158" t="e">
        <f>Technologies!C$556</f>
        <v>#REF!</v>
      </c>
      <c r="D810" s="158" t="str">
        <f>Technologies!D531</f>
        <v>Delivery of Imported High Sulfur Residual Fuel Oil to Transportation Sector</v>
      </c>
      <c r="E810" s="197" t="str">
        <f>Commodities!C$87</f>
        <v>RFHP2</v>
      </c>
      <c r="F810" s="197" t="e">
        <f>Commodities!C244</f>
        <v>#REF!</v>
      </c>
      <c r="G810" s="204">
        <v>1</v>
      </c>
      <c r="H810" s="203" t="e">
        <f>#REF!*#REF!^5/(Conv!$I$5*Conv!$D$46)/10^6 +#REF!</f>
        <v>#REF!</v>
      </c>
      <c r="I810" s="203" t="e">
        <f>#REF!*#REF!^5/(Conv!$I$5*Conv!$D$46)/10^6 +#REF!</f>
        <v>#REF!</v>
      </c>
      <c r="J810" s="203" t="e">
        <f>#REF!*#REF!^5/(Conv!$I$5*Conv!$D$46)/10^6 +#REF!</f>
        <v>#REF!</v>
      </c>
      <c r="K810" s="203" t="e">
        <f>#REF!*#REF!^5/(Conv!$I$5*Conv!$D$46)/10^6 +#REF!</f>
        <v>#REF!</v>
      </c>
      <c r="L810" s="203" t="e">
        <f>#REF!*#REF!^5/(Conv!$I$5*Conv!$D$46)/10^6 +#REF!</f>
        <v>#REF!</v>
      </c>
      <c r="M810" s="203" t="e">
        <f>#REF!*#REF!^5/(Conv!$I$5*Conv!$D$46)/10^6 +#REF!</f>
        <v>#REF!</v>
      </c>
      <c r="N810" s="203" t="e">
        <f>#REF!*#REF!^5/(Conv!$I$5*Conv!$D$46)/10^6 +#REF!</f>
        <v>#REF!</v>
      </c>
      <c r="O810" s="203" t="e">
        <f>#REF!*#REF!^5/(Conv!$I$5*Conv!$D$46)/10^6 +#REF!</f>
        <v>#REF!</v>
      </c>
      <c r="P810" s="203" t="e">
        <f>#REF!*#REF!^5/(Conv!$I$5*Conv!$D$46)/10^6 +#REF!</f>
        <v>#REF!</v>
      </c>
      <c r="Q810" s="203" t="e">
        <f>#REF!*#REF!^5/(Conv!$I$5*Conv!$D$46)/10^6 +#REF!</f>
        <v>#REF!</v>
      </c>
      <c r="S810" s="177"/>
      <c r="T810" s="177"/>
      <c r="U810" s="177"/>
      <c r="V810" s="177"/>
      <c r="W810" s="177"/>
      <c r="X810" s="177"/>
      <c r="Y810" s="177"/>
      <c r="Z810" s="177"/>
      <c r="AA810" s="177"/>
      <c r="AB810" s="177"/>
      <c r="AC810" s="177"/>
    </row>
    <row r="811" spans="2:29">
      <c r="B811" s="158" t="str">
        <f>IF(OR(LEFT(Commodities!B$74,1)="*",LEFT(Technologies!B$532,1)="*"),"*","R5")</f>
        <v>*</v>
      </c>
      <c r="C811" s="158" t="e">
        <f>Technologies!C$557</f>
        <v>#REF!</v>
      </c>
      <c r="D811" s="158" t="str">
        <f>Technologies!D532</f>
        <v>Delivery of Imported High Sulfur Residual Fuel Oil to Electricity Sector</v>
      </c>
      <c r="E811" s="197" t="str">
        <f>Commodities!C$87</f>
        <v>RFHP2</v>
      </c>
      <c r="F811" s="197" t="e">
        <f>Commodities!C245</f>
        <v>#REF!</v>
      </c>
      <c r="G811" s="204">
        <v>1</v>
      </c>
      <c r="H811" s="203" t="e">
        <f>#REF!*#REF!^5/(Conv!$I$5*Conv!$D$46)/10^6 +#REF!</f>
        <v>#REF!</v>
      </c>
      <c r="I811" s="203" t="e">
        <f>#REF!*#REF!^5/(Conv!$I$5*Conv!$D$46)/10^6 +#REF!</f>
        <v>#REF!</v>
      </c>
      <c r="J811" s="203" t="e">
        <f>#REF!*#REF!^5/(Conv!$I$5*Conv!$D$46)/10^6 +#REF!</f>
        <v>#REF!</v>
      </c>
      <c r="K811" s="203" t="e">
        <f>#REF!*#REF!^5/(Conv!$I$5*Conv!$D$46)/10^6 +#REF!</f>
        <v>#REF!</v>
      </c>
      <c r="L811" s="203" t="e">
        <f>#REF!*#REF!^5/(Conv!$I$5*Conv!$D$46)/10^6 +#REF!</f>
        <v>#REF!</v>
      </c>
      <c r="M811" s="203" t="e">
        <f>#REF!*#REF!^5/(Conv!$I$5*Conv!$D$46)/10^6 +#REF!</f>
        <v>#REF!</v>
      </c>
      <c r="N811" s="203" t="e">
        <f>#REF!*#REF!^5/(Conv!$I$5*Conv!$D$46)/10^6 +#REF!</f>
        <v>#REF!</v>
      </c>
      <c r="O811" s="203" t="e">
        <f>#REF!*#REF!^5/(Conv!$I$5*Conv!$D$46)/10^6 +#REF!</f>
        <v>#REF!</v>
      </c>
      <c r="P811" s="203" t="e">
        <f>#REF!*#REF!^5/(Conv!$I$5*Conv!$D$46)/10^6 +#REF!</f>
        <v>#REF!</v>
      </c>
      <c r="Q811" s="203" t="e">
        <f>#REF!*#REF!^5/(Conv!$I$5*Conv!$D$46)/10^6 +#REF!</f>
        <v>#REF!</v>
      </c>
      <c r="S811" s="177"/>
      <c r="T811" s="177"/>
      <c r="U811" s="177"/>
      <c r="V811" s="177"/>
      <c r="W811" s="177"/>
      <c r="X811" s="177"/>
      <c r="Y811" s="177"/>
      <c r="Z811" s="177"/>
      <c r="AA811" s="177"/>
      <c r="AB811" s="177"/>
      <c r="AC811" s="177"/>
    </row>
    <row r="812" spans="2:29">
      <c r="B812" s="160" t="s">
        <v>1035</v>
      </c>
      <c r="C812" s="160"/>
      <c r="D812" s="160"/>
      <c r="E812" s="196"/>
      <c r="F812" s="196"/>
      <c r="G812" s="200"/>
      <c r="H812" s="174"/>
      <c r="I812" s="174"/>
      <c r="J812" s="174"/>
      <c r="K812" s="174"/>
      <c r="L812" s="174"/>
      <c r="M812" s="174"/>
      <c r="N812" s="174"/>
      <c r="O812" s="174"/>
      <c r="P812" s="174"/>
      <c r="Q812" s="174"/>
    </row>
    <row r="813" spans="2:29">
      <c r="B813" s="158" t="str">
        <f>IF(LEFT(Technologies!B$509,1)="*","*","R6")</f>
        <v>R6</v>
      </c>
      <c r="C813" s="158" t="e">
        <f>Technologies!C$534</f>
        <v>#REF!</v>
      </c>
      <c r="D813" s="158" t="str">
        <f>Technologies!D509</f>
        <v>Delivery of Imported Conventional Gasoline</v>
      </c>
      <c r="E813" s="197" t="str">
        <f>Commodities!C$80</f>
        <v>GSCP2</v>
      </c>
      <c r="F813" s="197" t="e">
        <f>Commodities!C222</f>
        <v>#REF!</v>
      </c>
      <c r="G813" s="204">
        <v>1</v>
      </c>
      <c r="H813" s="203" t="e">
        <f>#REF!*#REF!^5/(Conv!$I$5*Conv!$D$46)/10^6 +#REF!</f>
        <v>#REF!</v>
      </c>
      <c r="I813" s="203" t="e">
        <f>#REF!*#REF!^5/(Conv!$I$5*Conv!$D$46)/10^6 +#REF!</f>
        <v>#REF!</v>
      </c>
      <c r="J813" s="203" t="e">
        <f>#REF!*#REF!^5/(Conv!$I$5*Conv!$D$46)/10^6 +#REF!</f>
        <v>#REF!</v>
      </c>
      <c r="K813" s="203" t="e">
        <f>#REF!*#REF!^5/(Conv!$I$5*Conv!$D$46)/10^6 +#REF!</f>
        <v>#REF!</v>
      </c>
      <c r="L813" s="203" t="e">
        <f>#REF!*#REF!^5/(Conv!$I$5*Conv!$D$46)/10^6 +#REF!</f>
        <v>#REF!</v>
      </c>
      <c r="M813" s="203" t="e">
        <f>#REF!*#REF!^5/(Conv!$I$5*Conv!$D$46)/10^6 +#REF!</f>
        <v>#REF!</v>
      </c>
      <c r="N813" s="203" t="e">
        <f>#REF!*#REF!^5/(Conv!$I$5*Conv!$D$46)/10^6 +#REF!</f>
        <v>#REF!</v>
      </c>
      <c r="O813" s="203" t="e">
        <f>#REF!*#REF!^5/(Conv!$I$5*Conv!$D$46)/10^6 +#REF!</f>
        <v>#REF!</v>
      </c>
      <c r="P813" s="203" t="e">
        <f>#REF!*#REF!^5/(Conv!$I$5*Conv!$D$46)/10^6 +#REF!</f>
        <v>#REF!</v>
      </c>
      <c r="Q813" s="203" t="e">
        <f>#REF!*#REF!^5/(Conv!$I$5*Conv!$D$46)/10^6 +#REF!</f>
        <v>#REF!</v>
      </c>
      <c r="S813" s="177"/>
      <c r="T813" s="177"/>
      <c r="U813" s="177"/>
      <c r="V813" s="177"/>
      <c r="W813" s="177"/>
      <c r="X813" s="177"/>
      <c r="Y813" s="177"/>
      <c r="Z813" s="177"/>
      <c r="AA813" s="177"/>
      <c r="AB813" s="177"/>
      <c r="AC813" s="177"/>
    </row>
    <row r="814" spans="2:29">
      <c r="B814" s="158" t="str">
        <f>IF(LEFT(Technologies!B$510,1)="*","*","R6")</f>
        <v>R6</v>
      </c>
      <c r="C814" s="158" t="e">
        <f>Technologies!C$535</f>
        <v>#REF!</v>
      </c>
      <c r="D814" s="158" t="str">
        <f>Technologies!D510</f>
        <v>Delivery of Imported Reformulated Gasoline</v>
      </c>
      <c r="E814" s="197" t="str">
        <f>Commodities!C$81</f>
        <v>GSRP2</v>
      </c>
      <c r="F814" s="197" t="e">
        <f>Commodities!C223</f>
        <v>#REF!</v>
      </c>
      <c r="G814" s="204">
        <v>1</v>
      </c>
      <c r="H814" s="203" t="e">
        <f>#REF!*#REF!^5/(Conv!$I$5*Conv!$D$46)/10^6 +#REF!</f>
        <v>#REF!</v>
      </c>
      <c r="I814" s="203" t="e">
        <f>#REF!*#REF!^5/(Conv!$I$5*Conv!$D$46)/10^6 +#REF!</f>
        <v>#REF!</v>
      </c>
      <c r="J814" s="203" t="e">
        <f>#REF!*#REF!^5/(Conv!$I$5*Conv!$D$46)/10^6 +#REF!</f>
        <v>#REF!</v>
      </c>
      <c r="K814" s="203" t="e">
        <f>#REF!*#REF!^5/(Conv!$I$5*Conv!$D$46)/10^6 +#REF!</f>
        <v>#REF!</v>
      </c>
      <c r="L814" s="203" t="e">
        <f>#REF!*#REF!^5/(Conv!$I$5*Conv!$D$46)/10^6 +#REF!</f>
        <v>#REF!</v>
      </c>
      <c r="M814" s="203" t="e">
        <f>#REF!*#REF!^5/(Conv!$I$5*Conv!$D$46)/10^6 +#REF!</f>
        <v>#REF!</v>
      </c>
      <c r="N814" s="203" t="e">
        <f>#REF!*#REF!^5/(Conv!$I$5*Conv!$D$46)/10^6 +#REF!</f>
        <v>#REF!</v>
      </c>
      <c r="O814" s="203" t="e">
        <f>#REF!*#REF!^5/(Conv!$I$5*Conv!$D$46)/10^6 +#REF!</f>
        <v>#REF!</v>
      </c>
      <c r="P814" s="203" t="e">
        <f>#REF!*#REF!^5/(Conv!$I$5*Conv!$D$46)/10^6 +#REF!</f>
        <v>#REF!</v>
      </c>
      <c r="Q814" s="203" t="e">
        <f>#REF!*#REF!^5/(Conv!$I$5*Conv!$D$46)/10^6 +#REF!</f>
        <v>#REF!</v>
      </c>
      <c r="S814" s="177"/>
      <c r="T814" s="177"/>
      <c r="U814" s="177"/>
      <c r="V814" s="177"/>
      <c r="W814" s="177"/>
      <c r="X814" s="177"/>
      <c r="Y814" s="177"/>
      <c r="Z814" s="177"/>
      <c r="AA814" s="177"/>
      <c r="AB814" s="177"/>
      <c r="AC814" s="177"/>
    </row>
    <row r="815" spans="2:29">
      <c r="B815" s="158" t="str">
        <f>IF(OR(LEFT(Commodities!B$64,1)="*",LEFT(Technologies!B$511,1)="*"),"*","R6")</f>
        <v>R6</v>
      </c>
      <c r="C815" s="158" t="e">
        <f>Technologies!C$536</f>
        <v>#REF!</v>
      </c>
      <c r="D815" s="158" t="str">
        <f>Technologies!D511</f>
        <v>Delivery of Imported Distillate-Heating Oil No. 2 to the Residential Sector</v>
      </c>
      <c r="E815" s="197" t="str">
        <f>Commodities!C$77</f>
        <v>DSHP2</v>
      </c>
      <c r="F815" s="197" t="e">
        <f>Commodities!C224</f>
        <v>#REF!</v>
      </c>
      <c r="G815" s="204">
        <v>1</v>
      </c>
      <c r="H815" s="203" t="e">
        <f>#REF!*#REF!^5/(Conv!$I$5*Conv!$D$46)/10^6 +#REF!</f>
        <v>#REF!</v>
      </c>
      <c r="I815" s="203" t="e">
        <f>#REF!*#REF!^5/(Conv!$I$5*Conv!$D$46)/10^6 +#REF!</f>
        <v>#REF!</v>
      </c>
      <c r="J815" s="203" t="e">
        <f>#REF!*#REF!^5/(Conv!$I$5*Conv!$D$46)/10^6 +#REF!</f>
        <v>#REF!</v>
      </c>
      <c r="K815" s="203" t="e">
        <f>#REF!*#REF!^5/(Conv!$I$5*Conv!$D$46)/10^6 +#REF!</f>
        <v>#REF!</v>
      </c>
      <c r="L815" s="203" t="e">
        <f>#REF!*#REF!^5/(Conv!$I$5*Conv!$D$46)/10^6 +#REF!</f>
        <v>#REF!</v>
      </c>
      <c r="M815" s="203" t="e">
        <f>#REF!*#REF!^5/(Conv!$I$5*Conv!$D$46)/10^6 +#REF!</f>
        <v>#REF!</v>
      </c>
      <c r="N815" s="203" t="e">
        <f>#REF!*#REF!^5/(Conv!$I$5*Conv!$D$46)/10^6 +#REF!</f>
        <v>#REF!</v>
      </c>
      <c r="O815" s="203" t="e">
        <f>#REF!*#REF!^5/(Conv!$I$5*Conv!$D$46)/10^6 +#REF!</f>
        <v>#REF!</v>
      </c>
      <c r="P815" s="203" t="e">
        <f>#REF!*#REF!^5/(Conv!$I$5*Conv!$D$46)/10^6 +#REF!</f>
        <v>#REF!</v>
      </c>
      <c r="Q815" s="203" t="e">
        <f>#REF!*#REF!^5/(Conv!$I$5*Conv!$D$46)/10^6 +#REF!</f>
        <v>#REF!</v>
      </c>
      <c r="S815" s="177"/>
      <c r="T815" s="177"/>
      <c r="U815" s="177"/>
      <c r="V815" s="177"/>
      <c r="W815" s="177"/>
      <c r="X815" s="177"/>
      <c r="Y815" s="177"/>
      <c r="Z815" s="177"/>
      <c r="AA815" s="177"/>
      <c r="AB815" s="177"/>
      <c r="AC815" s="177"/>
    </row>
    <row r="816" spans="2:29">
      <c r="B816" s="158" t="str">
        <f>IF(OR(LEFT(Commodities!B$64,1)="*",LEFT(Technologies!B$512,1)="*"),"*","R6")</f>
        <v>R6</v>
      </c>
      <c r="C816" s="158" t="e">
        <f>Technologies!C$537</f>
        <v>#REF!</v>
      </c>
      <c r="D816" s="158" t="str">
        <f>Technologies!D512</f>
        <v>Delivery of Imported Distillate-Heating Oil No. 2 to the Commercial Sector</v>
      </c>
      <c r="E816" s="197" t="str">
        <f>Commodities!C$77</f>
        <v>DSHP2</v>
      </c>
      <c r="F816" s="197" t="e">
        <f>Commodities!C225</f>
        <v>#REF!</v>
      </c>
      <c r="G816" s="204">
        <v>1</v>
      </c>
      <c r="H816" s="203" t="e">
        <f>#REF!*#REF!^5/(Conv!$I$5*Conv!$D$46)/10^6 +#REF!</f>
        <v>#REF!</v>
      </c>
      <c r="I816" s="203" t="e">
        <f>#REF!*#REF!^5/(Conv!$I$5*Conv!$D$46)/10^6 +#REF!</f>
        <v>#REF!</v>
      </c>
      <c r="J816" s="203" t="e">
        <f>#REF!*#REF!^5/(Conv!$I$5*Conv!$D$46)/10^6 +#REF!</f>
        <v>#REF!</v>
      </c>
      <c r="K816" s="203" t="e">
        <f>#REF!*#REF!^5/(Conv!$I$5*Conv!$D$46)/10^6 +#REF!</f>
        <v>#REF!</v>
      </c>
      <c r="L816" s="203" t="e">
        <f>#REF!*#REF!^5/(Conv!$I$5*Conv!$D$46)/10^6 +#REF!</f>
        <v>#REF!</v>
      </c>
      <c r="M816" s="203" t="e">
        <f>#REF!*#REF!^5/(Conv!$I$5*Conv!$D$46)/10^6 +#REF!</f>
        <v>#REF!</v>
      </c>
      <c r="N816" s="203" t="e">
        <f>#REF!*#REF!^5/(Conv!$I$5*Conv!$D$46)/10^6 +#REF!</f>
        <v>#REF!</v>
      </c>
      <c r="O816" s="203" t="e">
        <f>#REF!*#REF!^5/(Conv!$I$5*Conv!$D$46)/10^6 +#REF!</f>
        <v>#REF!</v>
      </c>
      <c r="P816" s="203" t="e">
        <f>#REF!*#REF!^5/(Conv!$I$5*Conv!$D$46)/10^6 +#REF!</f>
        <v>#REF!</v>
      </c>
      <c r="Q816" s="203" t="e">
        <f>#REF!*#REF!^5/(Conv!$I$5*Conv!$D$46)/10^6 +#REF!</f>
        <v>#REF!</v>
      </c>
      <c r="S816" s="177"/>
      <c r="T816" s="177"/>
      <c r="U816" s="177"/>
      <c r="V816" s="177"/>
      <c r="W816" s="177"/>
      <c r="X816" s="177"/>
      <c r="Y816" s="177"/>
      <c r="Z816" s="177"/>
      <c r="AA816" s="177"/>
      <c r="AB816" s="177"/>
      <c r="AC816" s="177"/>
    </row>
    <row r="817" spans="2:29">
      <c r="B817" s="158" t="str">
        <f>IF(OR(LEFT(Commodities!B$64,1)="*",LEFT(Technologies!B$513,1)="*"),"*","R6")</f>
        <v>*</v>
      </c>
      <c r="C817" s="158" t="e">
        <f>Technologies!C$538</f>
        <v>#REF!</v>
      </c>
      <c r="D817" s="158" t="str">
        <f>Technologies!D513</f>
        <v>Delivery of Imported Distillate-Heating Oil No. 2 to the Indistrial Sector</v>
      </c>
      <c r="E817" s="197" t="str">
        <f>Commodities!C$77</f>
        <v>DSHP2</v>
      </c>
      <c r="F817" s="197" t="e">
        <f>Commodities!C226</f>
        <v>#REF!</v>
      </c>
      <c r="G817" s="204">
        <v>1</v>
      </c>
      <c r="H817" s="203" t="e">
        <f>#REF!*#REF!^5/(Conv!$I$5*Conv!$D$46)/10^6 +#REF!</f>
        <v>#REF!</v>
      </c>
      <c r="I817" s="203" t="e">
        <f>#REF!*#REF!^5/(Conv!$I$5*Conv!$D$46)/10^6 +#REF!</f>
        <v>#REF!</v>
      </c>
      <c r="J817" s="203" t="e">
        <f>#REF!*#REF!^5/(Conv!$I$5*Conv!$D$46)/10^6 +#REF!</f>
        <v>#REF!</v>
      </c>
      <c r="K817" s="203" t="e">
        <f>#REF!*#REF!^5/(Conv!$I$5*Conv!$D$46)/10^6 +#REF!</f>
        <v>#REF!</v>
      </c>
      <c r="L817" s="203" t="e">
        <f>#REF!*#REF!^5/(Conv!$I$5*Conv!$D$46)/10^6 +#REF!</f>
        <v>#REF!</v>
      </c>
      <c r="M817" s="203" t="e">
        <f>#REF!*#REF!^5/(Conv!$I$5*Conv!$D$46)/10^6 +#REF!</f>
        <v>#REF!</v>
      </c>
      <c r="N817" s="203" t="e">
        <f>#REF!*#REF!^5/(Conv!$I$5*Conv!$D$46)/10^6 +#REF!</f>
        <v>#REF!</v>
      </c>
      <c r="O817" s="203" t="e">
        <f>#REF!*#REF!^5/(Conv!$I$5*Conv!$D$46)/10^6 +#REF!</f>
        <v>#REF!</v>
      </c>
      <c r="P817" s="203" t="e">
        <f>#REF!*#REF!^5/(Conv!$I$5*Conv!$D$46)/10^6 +#REF!</f>
        <v>#REF!</v>
      </c>
      <c r="Q817" s="203" t="e">
        <f>#REF!*#REF!^5/(Conv!$I$5*Conv!$D$46)/10^6 +#REF!</f>
        <v>#REF!</v>
      </c>
      <c r="S817" s="177"/>
      <c r="T817" s="177"/>
      <c r="U817" s="177"/>
      <c r="V817" s="177"/>
      <c r="W817" s="177"/>
      <c r="X817" s="177"/>
      <c r="Y817" s="177"/>
      <c r="Z817" s="177"/>
      <c r="AA817" s="177"/>
      <c r="AB817" s="177"/>
      <c r="AC817" s="177"/>
    </row>
    <row r="818" spans="2:29">
      <c r="B818" s="158" t="str">
        <f>IF(OR(LEFT(Commodities!B$64,1)="*",LEFT(Technologies!B$514,1)="*"),"*","R6")</f>
        <v>R6</v>
      </c>
      <c r="C818" s="158" t="e">
        <f>Technologies!C$539</f>
        <v>#REF!</v>
      </c>
      <c r="D818" s="158" t="str">
        <f>Technologies!D514</f>
        <v>Delivery of Imported Distillate-Heating Oil No. 2 to the Electricity Sector</v>
      </c>
      <c r="E818" s="197" t="str">
        <f>Commodities!C$77</f>
        <v>DSHP2</v>
      </c>
      <c r="F818" s="197" t="e">
        <f>Commodities!C227</f>
        <v>#REF!</v>
      </c>
      <c r="G818" s="204">
        <v>1</v>
      </c>
      <c r="H818" s="203" t="e">
        <f>#REF!*#REF!^5/(Conv!$I$5*Conv!$D$46)/10^6 +#REF!</f>
        <v>#REF!</v>
      </c>
      <c r="I818" s="203" t="e">
        <f>#REF!*#REF!^5/(Conv!$I$5*Conv!$D$46)/10^6 +#REF!</f>
        <v>#REF!</v>
      </c>
      <c r="J818" s="203" t="e">
        <f>#REF!*#REF!^5/(Conv!$I$5*Conv!$D$46)/10^6 +#REF!</f>
        <v>#REF!</v>
      </c>
      <c r="K818" s="203" t="e">
        <f>#REF!*#REF!^5/(Conv!$I$5*Conv!$D$46)/10^6 +#REF!</f>
        <v>#REF!</v>
      </c>
      <c r="L818" s="203" t="e">
        <f>#REF!*#REF!^5/(Conv!$I$5*Conv!$D$46)/10^6 +#REF!</f>
        <v>#REF!</v>
      </c>
      <c r="M818" s="203" t="e">
        <f>#REF!*#REF!^5/(Conv!$I$5*Conv!$D$46)/10^6 +#REF!</f>
        <v>#REF!</v>
      </c>
      <c r="N818" s="203" t="e">
        <f>#REF!*#REF!^5/(Conv!$I$5*Conv!$D$46)/10^6 +#REF!</f>
        <v>#REF!</v>
      </c>
      <c r="O818" s="203" t="e">
        <f>#REF!*#REF!^5/(Conv!$I$5*Conv!$D$46)/10^6 +#REF!</f>
        <v>#REF!</v>
      </c>
      <c r="P818" s="203" t="e">
        <f>#REF!*#REF!^5/(Conv!$I$5*Conv!$D$46)/10^6 +#REF!</f>
        <v>#REF!</v>
      </c>
      <c r="Q818" s="203" t="e">
        <f>#REF!*#REF!^5/(Conv!$I$5*Conv!$D$46)/10^6 +#REF!</f>
        <v>#REF!</v>
      </c>
      <c r="S818" s="177"/>
      <c r="T818" s="177"/>
      <c r="U818" s="177"/>
      <c r="V818" s="177"/>
      <c r="W818" s="177"/>
      <c r="X818" s="177"/>
      <c r="Y818" s="177"/>
      <c r="Z818" s="177"/>
      <c r="AA818" s="177"/>
      <c r="AB818" s="177"/>
      <c r="AC818" s="177"/>
    </row>
    <row r="819" spans="2:29">
      <c r="B819" s="158" t="str">
        <f>IF(OR(LEFT(Commodities!B$65,1)="*",LEFT(Technologies!B$515,1)="*"),"*","R6")</f>
        <v>R6</v>
      </c>
      <c r="C819" s="158" t="e">
        <f>Technologies!C$540</f>
        <v>#REF!</v>
      </c>
      <c r="D819" s="158" t="str">
        <f>Technologies!D515</f>
        <v>Delivery of Imported Distillate-Low Sulfur Highway Diesel (500 ppm)</v>
      </c>
      <c r="E819" s="197" t="str">
        <f>Commodities!C$78</f>
        <v>DSLP2</v>
      </c>
      <c r="F819" s="197" t="e">
        <f>Commodities!C228</f>
        <v>#REF!</v>
      </c>
      <c r="G819" s="204">
        <v>1</v>
      </c>
      <c r="H819" s="203" t="e">
        <f>#REF!*#REF!^5/(Conv!$I$5*Conv!$D$46)/10^6 +#REF!</f>
        <v>#REF!</v>
      </c>
      <c r="I819" s="203" t="e">
        <f>#REF!*#REF!^5/(Conv!$I$5*Conv!$D$46)/10^6 +#REF!</f>
        <v>#REF!</v>
      </c>
      <c r="J819" s="203" t="e">
        <f>#REF!*#REF!^5/(Conv!$I$5*Conv!$D$46)/10^6 +#REF!</f>
        <v>#REF!</v>
      </c>
      <c r="K819" s="203" t="e">
        <f>#REF!*#REF!^5/(Conv!$I$5*Conv!$D$46)/10^6 +#REF!</f>
        <v>#REF!</v>
      </c>
      <c r="L819" s="203" t="e">
        <f>#REF!*#REF!^5/(Conv!$I$5*Conv!$D$46)/10^6 +#REF!</f>
        <v>#REF!</v>
      </c>
      <c r="M819" s="203" t="e">
        <f>#REF!*#REF!^5/(Conv!$I$5*Conv!$D$46)/10^6 +#REF!</f>
        <v>#REF!</v>
      </c>
      <c r="N819" s="203" t="e">
        <f>#REF!*#REF!^5/(Conv!$I$5*Conv!$D$46)/10^6 +#REF!</f>
        <v>#REF!</v>
      </c>
      <c r="O819" s="203" t="e">
        <f>#REF!*#REF!^5/(Conv!$I$5*Conv!$D$46)/10^6 +#REF!</f>
        <v>#REF!</v>
      </c>
      <c r="P819" s="203" t="e">
        <f>#REF!*#REF!^5/(Conv!$I$5*Conv!$D$46)/10^6 +#REF!</f>
        <v>#REF!</v>
      </c>
      <c r="Q819" s="203" t="e">
        <f>#REF!*#REF!^5/(Conv!$I$5*Conv!$D$46)/10^6 +#REF!</f>
        <v>#REF!</v>
      </c>
      <c r="S819" s="177"/>
      <c r="T819" s="177"/>
      <c r="U819" s="177"/>
      <c r="V819" s="177"/>
      <c r="W819" s="177"/>
      <c r="X819" s="177"/>
      <c r="Y819" s="177"/>
      <c r="Z819" s="177"/>
      <c r="AA819" s="177"/>
      <c r="AB819" s="177"/>
      <c r="AC819" s="177"/>
    </row>
    <row r="820" spans="2:29">
      <c r="B820" s="158" t="str">
        <f>IF(OR(LEFT(Commodities!B$66,1)="*",LEFT(Technologies!B$516,1)="*"),"*","R6")</f>
        <v>R6</v>
      </c>
      <c r="C820" s="158" t="e">
        <f>Technologies!C$541</f>
        <v>#REF!</v>
      </c>
      <c r="D820" s="158" t="str">
        <f>Technologies!D516</f>
        <v>Delivery of Imported Distillate-Ultralow Sulfur Highway Diesel (15 ppm)</v>
      </c>
      <c r="E820" s="197" t="str">
        <f>Commodities!C$79</f>
        <v>DSUP2</v>
      </c>
      <c r="F820" s="197" t="e">
        <f>Commodities!C229</f>
        <v>#REF!</v>
      </c>
      <c r="G820" s="204">
        <v>1</v>
      </c>
      <c r="H820" s="203" t="e">
        <f>#REF!*#REF!^5/(Conv!$I$5*Conv!$D$46)/10^6 +#REF!</f>
        <v>#REF!</v>
      </c>
      <c r="I820" s="203" t="e">
        <f>#REF!*#REF!^5/(Conv!$I$5*Conv!$D$46)/10^6 +#REF!</f>
        <v>#REF!</v>
      </c>
      <c r="J820" s="203" t="e">
        <f>#REF!*#REF!^5/(Conv!$I$5*Conv!$D$46)/10^6 +#REF!</f>
        <v>#REF!</v>
      </c>
      <c r="K820" s="203" t="e">
        <f>#REF!*#REF!^5/(Conv!$I$5*Conv!$D$46)/10^6 +#REF!</f>
        <v>#REF!</v>
      </c>
      <c r="L820" s="203" t="e">
        <f>#REF!*#REF!^5/(Conv!$I$5*Conv!$D$46)/10^6 +#REF!</f>
        <v>#REF!</v>
      </c>
      <c r="M820" s="203" t="e">
        <f>#REF!*#REF!^5/(Conv!$I$5*Conv!$D$46)/10^6 +#REF!</f>
        <v>#REF!</v>
      </c>
      <c r="N820" s="203" t="e">
        <f>#REF!*#REF!^5/(Conv!$I$5*Conv!$D$46)/10^6 +#REF!</f>
        <v>#REF!</v>
      </c>
      <c r="O820" s="203" t="e">
        <f>#REF!*#REF!^5/(Conv!$I$5*Conv!$D$46)/10^6 +#REF!</f>
        <v>#REF!</v>
      </c>
      <c r="P820" s="203" t="e">
        <f>#REF!*#REF!^5/(Conv!$I$5*Conv!$D$46)/10^6 +#REF!</f>
        <v>#REF!</v>
      </c>
      <c r="Q820" s="203" t="e">
        <f>#REF!*#REF!^5/(Conv!$I$5*Conv!$D$46)/10^6 +#REF!</f>
        <v>#REF!</v>
      </c>
      <c r="S820" s="177"/>
      <c r="T820" s="177"/>
      <c r="U820" s="177"/>
      <c r="V820" s="177"/>
      <c r="W820" s="177"/>
      <c r="X820" s="177"/>
      <c r="Y820" s="177"/>
      <c r="Z820" s="177"/>
      <c r="AA820" s="177"/>
      <c r="AB820" s="177"/>
      <c r="AC820" s="177"/>
    </row>
    <row r="821" spans="2:29">
      <c r="B821" s="158" t="str">
        <f>IF(OR(LEFT(Commodities!B$69,1)="*",LEFT(Technologies!B$517,1)="*"),"*","R6")</f>
        <v>*</v>
      </c>
      <c r="C821" s="158" t="e">
        <f>Technologies!C$542</f>
        <v>#REF!</v>
      </c>
      <c r="D821" s="158" t="str">
        <f>Technologies!D517</f>
        <v>Delivery of Imported Jet Fuel</v>
      </c>
      <c r="E821" s="197" t="str">
        <f>Commodities!C$82</f>
        <v>JTFP2</v>
      </c>
      <c r="F821" s="197" t="e">
        <f>Commodities!C230</f>
        <v>#REF!</v>
      </c>
      <c r="G821" s="204">
        <v>1</v>
      </c>
      <c r="H821" s="203" t="e">
        <f>#REF!*#REF!^5/(Conv!$I$5*Conv!$D$46)/10^6 +#REF!</f>
        <v>#REF!</v>
      </c>
      <c r="I821" s="203" t="e">
        <f>#REF!*#REF!^5/(Conv!$I$5*Conv!$D$46)/10^6 +#REF!</f>
        <v>#REF!</v>
      </c>
      <c r="J821" s="203" t="e">
        <f>#REF!*#REF!^5/(Conv!$I$5*Conv!$D$46)/10^6 +#REF!</f>
        <v>#REF!</v>
      </c>
      <c r="K821" s="203" t="e">
        <f>#REF!*#REF!^5/(Conv!$I$5*Conv!$D$46)/10^6 +#REF!</f>
        <v>#REF!</v>
      </c>
      <c r="L821" s="203" t="e">
        <f>#REF!*#REF!^5/(Conv!$I$5*Conv!$D$46)/10^6 +#REF!</f>
        <v>#REF!</v>
      </c>
      <c r="M821" s="203" t="e">
        <f>#REF!*#REF!^5/(Conv!$I$5*Conv!$D$46)/10^6 +#REF!</f>
        <v>#REF!</v>
      </c>
      <c r="N821" s="203" t="e">
        <f>#REF!*#REF!^5/(Conv!$I$5*Conv!$D$46)/10^6 +#REF!</f>
        <v>#REF!</v>
      </c>
      <c r="O821" s="203" t="e">
        <f>#REF!*#REF!^5/(Conv!$I$5*Conv!$D$46)/10^6 +#REF!</f>
        <v>#REF!</v>
      </c>
      <c r="P821" s="203" t="e">
        <f>#REF!*#REF!^5/(Conv!$I$5*Conv!$D$46)/10^6 +#REF!</f>
        <v>#REF!</v>
      </c>
      <c r="Q821" s="203" t="e">
        <f>#REF!*#REF!^5/(Conv!$I$5*Conv!$D$46)/10^6 +#REF!</f>
        <v>#REF!</v>
      </c>
      <c r="S821" s="177"/>
      <c r="T821" s="177"/>
      <c r="U821" s="177"/>
      <c r="V821" s="177"/>
      <c r="W821" s="177"/>
      <c r="X821" s="177"/>
      <c r="Y821" s="177"/>
      <c r="Z821" s="177"/>
      <c r="AA821" s="177"/>
      <c r="AB821" s="177"/>
      <c r="AC821" s="177"/>
    </row>
    <row r="822" spans="2:29">
      <c r="B822" s="158" t="str">
        <f>IF(OR(LEFT(Commodities!B$70,1)="*",LEFT(Technologies!B$518,1)="*"),"*","R6")</f>
        <v>*</v>
      </c>
      <c r="C822" s="158" t="e">
        <f>Technologies!C$543</f>
        <v>#REF!</v>
      </c>
      <c r="D822" s="158" t="str">
        <f>Technologies!D518</f>
        <v>Delivery of Imported Kerosene and Other Refined Products to the Residential Sector</v>
      </c>
      <c r="E822" s="197" t="str">
        <f>Commodities!C$83</f>
        <v>KERP2</v>
      </c>
      <c r="F822" s="197" t="e">
        <f>Commodities!C231</f>
        <v>#REF!</v>
      </c>
      <c r="G822" s="204">
        <v>1</v>
      </c>
      <c r="H822" s="203" t="e">
        <f>#REF!*#REF!^5/(Conv!$I$5*Conv!$D$46)/10^6 +#REF!</f>
        <v>#REF!</v>
      </c>
      <c r="I822" s="203" t="e">
        <f>#REF!*#REF!^5/(Conv!$I$5*Conv!$D$46)/10^6 +#REF!</f>
        <v>#REF!</v>
      </c>
      <c r="J822" s="203" t="e">
        <f>#REF!*#REF!^5/(Conv!$I$5*Conv!$D$46)/10^6 +#REF!</f>
        <v>#REF!</v>
      </c>
      <c r="K822" s="203" t="e">
        <f>#REF!*#REF!^5/(Conv!$I$5*Conv!$D$46)/10^6 +#REF!</f>
        <v>#REF!</v>
      </c>
      <c r="L822" s="203" t="e">
        <f>#REF!*#REF!^5/(Conv!$I$5*Conv!$D$46)/10^6 +#REF!</f>
        <v>#REF!</v>
      </c>
      <c r="M822" s="203" t="e">
        <f>#REF!*#REF!^5/(Conv!$I$5*Conv!$D$46)/10^6 +#REF!</f>
        <v>#REF!</v>
      </c>
      <c r="N822" s="203" t="e">
        <f>#REF!*#REF!^5/(Conv!$I$5*Conv!$D$46)/10^6 +#REF!</f>
        <v>#REF!</v>
      </c>
      <c r="O822" s="203" t="e">
        <f>#REF!*#REF!^5/(Conv!$I$5*Conv!$D$46)/10^6 +#REF!</f>
        <v>#REF!</v>
      </c>
      <c r="P822" s="203" t="e">
        <f>#REF!*#REF!^5/(Conv!$I$5*Conv!$D$46)/10^6 +#REF!</f>
        <v>#REF!</v>
      </c>
      <c r="Q822" s="203" t="e">
        <f>#REF!*#REF!^5/(Conv!$I$5*Conv!$D$46)/10^6 +#REF!</f>
        <v>#REF!</v>
      </c>
      <c r="S822" s="177"/>
      <c r="T822" s="177"/>
      <c r="U822" s="177"/>
      <c r="V822" s="177"/>
      <c r="W822" s="177"/>
      <c r="X822" s="177"/>
      <c r="Y822" s="177"/>
      <c r="Z822" s="177"/>
      <c r="AA822" s="177"/>
      <c r="AB822" s="177"/>
      <c r="AC822" s="177"/>
    </row>
    <row r="823" spans="2:29">
      <c r="B823" s="158" t="str">
        <f>IF(OR(LEFT(Commodities!B$70,1)="*",LEFT(Technologies!B$519,1)="*"),"*","R6")</f>
        <v>*</v>
      </c>
      <c r="C823" s="158" t="e">
        <f>Technologies!C$544</f>
        <v>#REF!</v>
      </c>
      <c r="D823" s="158" t="str">
        <f>Technologies!D519</f>
        <v>Delivery of Imported Kerosene and Other Refined Products to the Commercial Sector</v>
      </c>
      <c r="E823" s="197" t="str">
        <f>E822</f>
        <v>KERP2</v>
      </c>
      <c r="F823" s="197" t="e">
        <f>Commodities!C232</f>
        <v>#REF!</v>
      </c>
      <c r="G823" s="204">
        <v>1</v>
      </c>
      <c r="H823" s="203" t="e">
        <f>#REF!*#REF!^5/(Conv!$I$5*Conv!$D$46)/10^6 +#REF!</f>
        <v>#REF!</v>
      </c>
      <c r="I823" s="203" t="e">
        <f>#REF!*#REF!^5/(Conv!$I$5*Conv!$D$46)/10^6 +#REF!</f>
        <v>#REF!</v>
      </c>
      <c r="J823" s="203" t="e">
        <f>#REF!*#REF!^5/(Conv!$I$5*Conv!$D$46)/10^6 +#REF!</f>
        <v>#REF!</v>
      </c>
      <c r="K823" s="203" t="e">
        <f>#REF!*#REF!^5/(Conv!$I$5*Conv!$D$46)/10^6 +#REF!</f>
        <v>#REF!</v>
      </c>
      <c r="L823" s="203" t="e">
        <f>#REF!*#REF!^5/(Conv!$I$5*Conv!$D$46)/10^6 +#REF!</f>
        <v>#REF!</v>
      </c>
      <c r="M823" s="203" t="e">
        <f>#REF!*#REF!^5/(Conv!$I$5*Conv!$D$46)/10^6 +#REF!</f>
        <v>#REF!</v>
      </c>
      <c r="N823" s="203" t="e">
        <f>#REF!*#REF!^5/(Conv!$I$5*Conv!$D$46)/10^6 +#REF!</f>
        <v>#REF!</v>
      </c>
      <c r="O823" s="203" t="e">
        <f>#REF!*#REF!^5/(Conv!$I$5*Conv!$D$46)/10^6 +#REF!</f>
        <v>#REF!</v>
      </c>
      <c r="P823" s="203" t="e">
        <f>#REF!*#REF!^5/(Conv!$I$5*Conv!$D$46)/10^6 +#REF!</f>
        <v>#REF!</v>
      </c>
      <c r="Q823" s="203" t="e">
        <f>#REF!*#REF!^5/(Conv!$I$5*Conv!$D$46)/10^6 +#REF!</f>
        <v>#REF!</v>
      </c>
      <c r="S823" s="177"/>
      <c r="T823" s="177"/>
      <c r="U823" s="177"/>
      <c r="V823" s="177"/>
      <c r="W823" s="177"/>
      <c r="X823" s="177"/>
      <c r="Y823" s="177"/>
      <c r="Z823" s="177"/>
      <c r="AA823" s="177"/>
      <c r="AB823" s="177"/>
      <c r="AC823" s="177"/>
    </row>
    <row r="824" spans="2:29">
      <c r="B824" s="158" t="str">
        <f>IF(OR(LEFT(Commodities!B$70,1)="*",LEFT(Technologies!B$520,1)="*"),"*","R6")</f>
        <v>*</v>
      </c>
      <c r="C824" s="158" t="e">
        <f>Technologies!C$545</f>
        <v>#REF!</v>
      </c>
      <c r="D824" s="158" t="str">
        <f>Technologies!D520</f>
        <v>Delivery of Imported Kerosene and Other Refined Products to the Industrial Sector</v>
      </c>
      <c r="E824" s="197" t="str">
        <f>E823</f>
        <v>KERP2</v>
      </c>
      <c r="F824" s="197" t="e">
        <f>Commodities!C233</f>
        <v>#REF!</v>
      </c>
      <c r="G824" s="204">
        <v>1</v>
      </c>
      <c r="H824" s="203" t="e">
        <f>#REF!*#REF!^5/(Conv!$I$5*Conv!$D$46)/10^6 +#REF!</f>
        <v>#REF!</v>
      </c>
      <c r="I824" s="203" t="e">
        <f>#REF!*#REF!^5/(Conv!$I$5*Conv!$D$46)/10^6 +#REF!</f>
        <v>#REF!</v>
      </c>
      <c r="J824" s="203" t="e">
        <f>#REF!*#REF!^5/(Conv!$I$5*Conv!$D$46)/10^6 +#REF!</f>
        <v>#REF!</v>
      </c>
      <c r="K824" s="203" t="e">
        <f>#REF!*#REF!^5/(Conv!$I$5*Conv!$D$46)/10^6 +#REF!</f>
        <v>#REF!</v>
      </c>
      <c r="L824" s="203" t="e">
        <f>#REF!*#REF!^5/(Conv!$I$5*Conv!$D$46)/10^6 +#REF!</f>
        <v>#REF!</v>
      </c>
      <c r="M824" s="203" t="e">
        <f>#REF!*#REF!^5/(Conv!$I$5*Conv!$D$46)/10^6 +#REF!</f>
        <v>#REF!</v>
      </c>
      <c r="N824" s="203" t="e">
        <f>#REF!*#REF!^5/(Conv!$I$5*Conv!$D$46)/10^6 +#REF!</f>
        <v>#REF!</v>
      </c>
      <c r="O824" s="203" t="e">
        <f>#REF!*#REF!^5/(Conv!$I$5*Conv!$D$46)/10^6 +#REF!</f>
        <v>#REF!</v>
      </c>
      <c r="P824" s="203" t="e">
        <f>#REF!*#REF!^5/(Conv!$I$5*Conv!$D$46)/10^6 +#REF!</f>
        <v>#REF!</v>
      </c>
      <c r="Q824" s="203" t="e">
        <f>#REF!*#REF!^5/(Conv!$I$5*Conv!$D$46)/10^6 +#REF!</f>
        <v>#REF!</v>
      </c>
      <c r="S824" s="177"/>
      <c r="T824" s="177"/>
      <c r="U824" s="177"/>
      <c r="V824" s="177"/>
      <c r="W824" s="177"/>
      <c r="X824" s="177"/>
      <c r="Y824" s="177"/>
      <c r="Z824" s="177"/>
      <c r="AA824" s="177"/>
      <c r="AB824" s="177"/>
      <c r="AC824" s="177"/>
    </row>
    <row r="825" spans="2:29">
      <c r="B825" s="158" t="str">
        <f>IF(OR(LEFT(Commodities!B$71,1)="*",LEFT(Technologies!B$521,1)="*"),"*","R6")</f>
        <v>*</v>
      </c>
      <c r="C825" s="158" t="e">
        <f>Technologies!C$546</f>
        <v>#REF!</v>
      </c>
      <c r="D825" s="158" t="str">
        <f>Technologies!D521</f>
        <v>Delivery of Imported LPG to the Residential Sector</v>
      </c>
      <c r="E825" s="197" t="str">
        <f>Commodities!C$84</f>
        <v>LPGP2</v>
      </c>
      <c r="F825" s="197" t="e">
        <f>Commodities!C234</f>
        <v>#REF!</v>
      </c>
      <c r="G825" s="204">
        <v>1</v>
      </c>
      <c r="H825" s="203" t="e">
        <f>#REF!*#REF!^5/(Conv!$I$5*Conv!$D$46)/10^6 +#REF!</f>
        <v>#REF!</v>
      </c>
      <c r="I825" s="203" t="e">
        <f>#REF!*#REF!^5/(Conv!$I$5*Conv!$D$46)/10^6 +#REF!</f>
        <v>#REF!</v>
      </c>
      <c r="J825" s="203" t="e">
        <f>#REF!*#REF!^5/(Conv!$I$5*Conv!$D$46)/10^6 +#REF!</f>
        <v>#REF!</v>
      </c>
      <c r="K825" s="203" t="e">
        <f>#REF!*#REF!^5/(Conv!$I$5*Conv!$D$46)/10^6 +#REF!</f>
        <v>#REF!</v>
      </c>
      <c r="L825" s="203" t="e">
        <f>#REF!*#REF!^5/(Conv!$I$5*Conv!$D$46)/10^6 +#REF!</f>
        <v>#REF!</v>
      </c>
      <c r="M825" s="203" t="e">
        <f>#REF!*#REF!^5/(Conv!$I$5*Conv!$D$46)/10^6 +#REF!</f>
        <v>#REF!</v>
      </c>
      <c r="N825" s="203" t="e">
        <f>#REF!*#REF!^5/(Conv!$I$5*Conv!$D$46)/10^6 +#REF!</f>
        <v>#REF!</v>
      </c>
      <c r="O825" s="203" t="e">
        <f>#REF!*#REF!^5/(Conv!$I$5*Conv!$D$46)/10^6 +#REF!</f>
        <v>#REF!</v>
      </c>
      <c r="P825" s="203" t="e">
        <f>#REF!*#REF!^5/(Conv!$I$5*Conv!$D$46)/10^6 +#REF!</f>
        <v>#REF!</v>
      </c>
      <c r="Q825" s="203" t="e">
        <f>#REF!*#REF!^5/(Conv!$I$5*Conv!$D$46)/10^6 +#REF!</f>
        <v>#REF!</v>
      </c>
      <c r="S825" s="177"/>
      <c r="T825" s="177"/>
      <c r="U825" s="177"/>
      <c r="V825" s="177"/>
      <c r="W825" s="177"/>
      <c r="X825" s="177"/>
      <c r="Y825" s="177"/>
      <c r="Z825" s="177"/>
      <c r="AA825" s="177"/>
      <c r="AB825" s="177"/>
      <c r="AC825" s="177"/>
    </row>
    <row r="826" spans="2:29">
      <c r="B826" s="158" t="str">
        <f>IF(OR(LEFT(Commodities!B$71,1)="*",LEFT(Technologies!B$522,1)="*"),"*","R6")</f>
        <v>*</v>
      </c>
      <c r="C826" s="158" t="e">
        <f>Technologies!C$547</f>
        <v>#REF!</v>
      </c>
      <c r="D826" s="158" t="str">
        <f>Technologies!D522</f>
        <v>Delivery of Imported LPG to the Commercial Sector</v>
      </c>
      <c r="E826" s="197" t="str">
        <f>Commodities!C$84</f>
        <v>LPGP2</v>
      </c>
      <c r="F826" s="197" t="e">
        <f>Commodities!C235</f>
        <v>#REF!</v>
      </c>
      <c r="G826" s="204">
        <v>1</v>
      </c>
      <c r="H826" s="203" t="e">
        <f>#REF!*#REF!^5/(Conv!$I$5*Conv!$D$46)/10^6 +#REF!</f>
        <v>#REF!</v>
      </c>
      <c r="I826" s="203" t="e">
        <f>#REF!*#REF!^5/(Conv!$I$5*Conv!$D$46)/10^6 +#REF!</f>
        <v>#REF!</v>
      </c>
      <c r="J826" s="203" t="e">
        <f>#REF!*#REF!^5/(Conv!$I$5*Conv!$D$46)/10^6 +#REF!</f>
        <v>#REF!</v>
      </c>
      <c r="K826" s="203" t="e">
        <f>#REF!*#REF!^5/(Conv!$I$5*Conv!$D$46)/10^6 +#REF!</f>
        <v>#REF!</v>
      </c>
      <c r="L826" s="203" t="e">
        <f>#REF!*#REF!^5/(Conv!$I$5*Conv!$D$46)/10^6 +#REF!</f>
        <v>#REF!</v>
      </c>
      <c r="M826" s="203" t="e">
        <f>#REF!*#REF!^5/(Conv!$I$5*Conv!$D$46)/10^6 +#REF!</f>
        <v>#REF!</v>
      </c>
      <c r="N826" s="203" t="e">
        <f>#REF!*#REF!^5/(Conv!$I$5*Conv!$D$46)/10^6 +#REF!</f>
        <v>#REF!</v>
      </c>
      <c r="O826" s="203" t="e">
        <f>#REF!*#REF!^5/(Conv!$I$5*Conv!$D$46)/10^6 +#REF!</f>
        <v>#REF!</v>
      </c>
      <c r="P826" s="203" t="e">
        <f>#REF!*#REF!^5/(Conv!$I$5*Conv!$D$46)/10^6 +#REF!</f>
        <v>#REF!</v>
      </c>
      <c r="Q826" s="203" t="e">
        <f>#REF!*#REF!^5/(Conv!$I$5*Conv!$D$46)/10^6 +#REF!</f>
        <v>#REF!</v>
      </c>
      <c r="S826" s="177"/>
      <c r="T826" s="177"/>
      <c r="U826" s="177"/>
      <c r="V826" s="177"/>
      <c r="W826" s="177"/>
      <c r="X826" s="177"/>
      <c r="Y826" s="177"/>
      <c r="Z826" s="177"/>
      <c r="AA826" s="177"/>
      <c r="AB826" s="177"/>
      <c r="AC826" s="177"/>
    </row>
    <row r="827" spans="2:29">
      <c r="B827" s="158" t="str">
        <f>IF(OR(LEFT(Commodities!B$71,1)="*",LEFT(Technologies!B$523,1)="*"),"*","R6")</f>
        <v>*</v>
      </c>
      <c r="C827" s="158" t="e">
        <f>Technologies!C$548</f>
        <v>#REF!</v>
      </c>
      <c r="D827" s="158" t="str">
        <f>Technologies!D523</f>
        <v>Delivery of Imported LPG to the Industrial Sector</v>
      </c>
      <c r="E827" s="197" t="str">
        <f>Commodities!C$84</f>
        <v>LPGP2</v>
      </c>
      <c r="F827" s="197" t="e">
        <f>Commodities!C236</f>
        <v>#REF!</v>
      </c>
      <c r="G827" s="204">
        <v>1</v>
      </c>
      <c r="H827" s="203" t="e">
        <f>#REF!*#REF!^5/(Conv!$I$5*Conv!$D$46)/10^6 +#REF!</f>
        <v>#REF!</v>
      </c>
      <c r="I827" s="203" t="e">
        <f>#REF!*#REF!^5/(Conv!$I$5*Conv!$D$46)/10^6 +#REF!</f>
        <v>#REF!</v>
      </c>
      <c r="J827" s="203" t="e">
        <f>#REF!*#REF!^5/(Conv!$I$5*Conv!$D$46)/10^6 +#REF!</f>
        <v>#REF!</v>
      </c>
      <c r="K827" s="203" t="e">
        <f>#REF!*#REF!^5/(Conv!$I$5*Conv!$D$46)/10^6 +#REF!</f>
        <v>#REF!</v>
      </c>
      <c r="L827" s="203" t="e">
        <f>#REF!*#REF!^5/(Conv!$I$5*Conv!$D$46)/10^6 +#REF!</f>
        <v>#REF!</v>
      </c>
      <c r="M827" s="203" t="e">
        <f>#REF!*#REF!^5/(Conv!$I$5*Conv!$D$46)/10^6 +#REF!</f>
        <v>#REF!</v>
      </c>
      <c r="N827" s="203" t="e">
        <f>#REF!*#REF!^5/(Conv!$I$5*Conv!$D$46)/10^6 +#REF!</f>
        <v>#REF!</v>
      </c>
      <c r="O827" s="203" t="e">
        <f>#REF!*#REF!^5/(Conv!$I$5*Conv!$D$46)/10^6 +#REF!</f>
        <v>#REF!</v>
      </c>
      <c r="P827" s="203" t="e">
        <f>#REF!*#REF!^5/(Conv!$I$5*Conv!$D$46)/10^6 +#REF!</f>
        <v>#REF!</v>
      </c>
      <c r="Q827" s="203" t="e">
        <f>#REF!*#REF!^5/(Conv!$I$5*Conv!$D$46)/10^6 +#REF!</f>
        <v>#REF!</v>
      </c>
      <c r="S827" s="177"/>
      <c r="T827" s="177"/>
      <c r="U827" s="177"/>
      <c r="V827" s="177"/>
      <c r="W827" s="177"/>
      <c r="X827" s="177"/>
      <c r="Y827" s="177"/>
      <c r="Z827" s="177"/>
      <c r="AA827" s="177"/>
      <c r="AB827" s="177"/>
      <c r="AC827" s="177"/>
    </row>
    <row r="828" spans="2:29">
      <c r="B828" s="158" t="str">
        <f>IF(OR(LEFT(Commodities!B$71,1)="*",LEFT(Technologies!B$524,1)="*"),"*","R6")</f>
        <v>*</v>
      </c>
      <c r="C828" s="158" t="e">
        <f>Technologies!C$549</f>
        <v>#REF!</v>
      </c>
      <c r="D828" s="158" t="str">
        <f>Technologies!D524</f>
        <v>Delivery of Imported LPG to the Transportation Sector</v>
      </c>
      <c r="E828" s="197" t="str">
        <f>Commodities!C$84</f>
        <v>LPGP2</v>
      </c>
      <c r="F828" s="197" t="e">
        <f>Commodities!C237</f>
        <v>#REF!</v>
      </c>
      <c r="G828" s="204">
        <v>1</v>
      </c>
      <c r="H828" s="203" t="e">
        <f>#REF!*#REF!^5/(Conv!$I$5*Conv!$D$46)/10^6 +#REF!</f>
        <v>#REF!</v>
      </c>
      <c r="I828" s="203" t="e">
        <f>#REF!*#REF!^5/(Conv!$I$5*Conv!$D$46)/10^6 +#REF!</f>
        <v>#REF!</v>
      </c>
      <c r="J828" s="203" t="e">
        <f>#REF!*#REF!^5/(Conv!$I$5*Conv!$D$46)/10^6 +#REF!</f>
        <v>#REF!</v>
      </c>
      <c r="K828" s="203" t="e">
        <f>#REF!*#REF!^5/(Conv!$I$5*Conv!$D$46)/10^6 +#REF!</f>
        <v>#REF!</v>
      </c>
      <c r="L828" s="203" t="e">
        <f>#REF!*#REF!^5/(Conv!$I$5*Conv!$D$46)/10^6 +#REF!</f>
        <v>#REF!</v>
      </c>
      <c r="M828" s="203" t="e">
        <f>#REF!*#REF!^5/(Conv!$I$5*Conv!$D$46)/10^6 +#REF!</f>
        <v>#REF!</v>
      </c>
      <c r="N828" s="203" t="e">
        <f>#REF!*#REF!^5/(Conv!$I$5*Conv!$D$46)/10^6 +#REF!</f>
        <v>#REF!</v>
      </c>
      <c r="O828" s="203" t="e">
        <f>#REF!*#REF!^5/(Conv!$I$5*Conv!$D$46)/10^6 +#REF!</f>
        <v>#REF!</v>
      </c>
      <c r="P828" s="203" t="e">
        <f>#REF!*#REF!^5/(Conv!$I$5*Conv!$D$46)/10^6 +#REF!</f>
        <v>#REF!</v>
      </c>
      <c r="Q828" s="203" t="e">
        <f>#REF!*#REF!^5/(Conv!$I$5*Conv!$D$46)/10^6 +#REF!</f>
        <v>#REF!</v>
      </c>
      <c r="S828" s="177"/>
      <c r="T828" s="177"/>
      <c r="U828" s="177"/>
      <c r="V828" s="177"/>
      <c r="W828" s="177"/>
      <c r="X828" s="177"/>
      <c r="Y828" s="177"/>
      <c r="Z828" s="177"/>
      <c r="AA828" s="177"/>
      <c r="AB828" s="177"/>
      <c r="AC828" s="177"/>
    </row>
    <row r="829" spans="2:29">
      <c r="B829" s="158" t="str">
        <f>IF(LEFT(Technologies!B$525,1)="*","*","R6")</f>
        <v>*</v>
      </c>
      <c r="C829" s="158" t="e">
        <f>Technologies!C$550</f>
        <v>#REF!</v>
      </c>
      <c r="D829" s="158" t="str">
        <f>Technologies!D525</f>
        <v>Delivery of Imported Methanol</v>
      </c>
      <c r="E829" s="197" t="str">
        <f>Commodities!C$85</f>
        <v>MTHP2</v>
      </c>
      <c r="F829" s="197" t="e">
        <f>Commodities!C238</f>
        <v>#REF!</v>
      </c>
      <c r="G829" s="204">
        <v>1</v>
      </c>
      <c r="H829" s="203" t="e">
        <f>#REF!*#REF!^5/(Conv!$I$5*Conv!$D$46)/10^6 +#REF!</f>
        <v>#REF!</v>
      </c>
      <c r="I829" s="203" t="e">
        <f>#REF!*#REF!^5/(Conv!$I$5*Conv!$D$46)/10^6 +#REF!</f>
        <v>#REF!</v>
      </c>
      <c r="J829" s="203" t="e">
        <f>#REF!*#REF!^5/(Conv!$I$5*Conv!$D$46)/10^6 +#REF!</f>
        <v>#REF!</v>
      </c>
      <c r="K829" s="203" t="e">
        <f>#REF!*#REF!^5/(Conv!$I$5*Conv!$D$46)/10^6 +#REF!</f>
        <v>#REF!</v>
      </c>
      <c r="L829" s="203" t="e">
        <f>#REF!*#REF!^5/(Conv!$I$5*Conv!$D$46)/10^6 +#REF!</f>
        <v>#REF!</v>
      </c>
      <c r="M829" s="203" t="e">
        <f>#REF!*#REF!^5/(Conv!$I$5*Conv!$D$46)/10^6 +#REF!</f>
        <v>#REF!</v>
      </c>
      <c r="N829" s="203" t="e">
        <f>#REF!*#REF!^5/(Conv!$I$5*Conv!$D$46)/10^6 +#REF!</f>
        <v>#REF!</v>
      </c>
      <c r="O829" s="203" t="e">
        <f>#REF!*#REF!^5/(Conv!$I$5*Conv!$D$46)/10^6 +#REF!</f>
        <v>#REF!</v>
      </c>
      <c r="P829" s="203" t="e">
        <f>#REF!*#REF!^5/(Conv!$I$5*Conv!$D$46)/10^6 +#REF!</f>
        <v>#REF!</v>
      </c>
      <c r="Q829" s="203" t="e">
        <f>#REF!*#REF!^5/(Conv!$I$5*Conv!$D$46)/10^6 +#REF!</f>
        <v>#REF!</v>
      </c>
      <c r="S829" s="177"/>
      <c r="T829" s="177"/>
      <c r="U829" s="177"/>
      <c r="V829" s="177"/>
      <c r="W829" s="177"/>
      <c r="X829" s="177"/>
      <c r="Y829" s="177"/>
      <c r="Z829" s="177"/>
      <c r="AA829" s="177"/>
      <c r="AB829" s="177"/>
      <c r="AC829" s="177"/>
    </row>
    <row r="830" spans="2:29">
      <c r="B830" s="158" t="str">
        <f>IF(OR(LEFT(Commodities!B$239,1)="*",LEFT(Technologies!B$526,1)="*"),"*","R6")</f>
        <v>*</v>
      </c>
      <c r="C830" s="158" t="e">
        <f>Technologies!C$551</f>
        <v>#REF!</v>
      </c>
      <c r="D830" s="158" t="str">
        <f>Technologies!D526</f>
        <v>Delivery of Imported Petrochemical Feedstocks</v>
      </c>
      <c r="E830" s="197" t="str">
        <f>Commodities!C$86</f>
        <v>PFSP2</v>
      </c>
      <c r="F830" s="197" t="e">
        <f>Commodities!C239</f>
        <v>#REF!</v>
      </c>
      <c r="G830" s="204">
        <v>1</v>
      </c>
      <c r="H830" s="203" t="e">
        <f>#REF!*#REF!^5/(Conv!$I$5*Conv!$D$46)/10^6 +#REF!</f>
        <v>#REF!</v>
      </c>
      <c r="I830" s="203" t="e">
        <f>#REF!*#REF!^5/(Conv!$I$5*Conv!$D$46)/10^6 +#REF!</f>
        <v>#REF!</v>
      </c>
      <c r="J830" s="203" t="e">
        <f>#REF!*#REF!^5/(Conv!$I$5*Conv!$D$46)/10^6 +#REF!</f>
        <v>#REF!</v>
      </c>
      <c r="K830" s="203" t="e">
        <f>#REF!*#REF!^5/(Conv!$I$5*Conv!$D$46)/10^6 +#REF!</f>
        <v>#REF!</v>
      </c>
      <c r="L830" s="203" t="e">
        <f>#REF!*#REF!^5/(Conv!$I$5*Conv!$D$46)/10^6 +#REF!</f>
        <v>#REF!</v>
      </c>
      <c r="M830" s="203" t="e">
        <f>#REF!*#REF!^5/(Conv!$I$5*Conv!$D$46)/10^6 +#REF!</f>
        <v>#REF!</v>
      </c>
      <c r="N830" s="203" t="e">
        <f>#REF!*#REF!^5/(Conv!$I$5*Conv!$D$46)/10^6 +#REF!</f>
        <v>#REF!</v>
      </c>
      <c r="O830" s="203" t="e">
        <f>#REF!*#REF!^5/(Conv!$I$5*Conv!$D$46)/10^6 +#REF!</f>
        <v>#REF!</v>
      </c>
      <c r="P830" s="203" t="e">
        <f>#REF!*#REF!^5/(Conv!$I$5*Conv!$D$46)/10^6 +#REF!</f>
        <v>#REF!</v>
      </c>
      <c r="Q830" s="203" t="e">
        <f>#REF!*#REF!^5/(Conv!$I$5*Conv!$D$46)/10^6 +#REF!</f>
        <v>#REF!</v>
      </c>
      <c r="S830" s="177"/>
      <c r="T830" s="177"/>
      <c r="U830" s="177"/>
      <c r="V830" s="177"/>
      <c r="W830" s="177"/>
      <c r="X830" s="177"/>
      <c r="Y830" s="177"/>
      <c r="Z830" s="177"/>
      <c r="AA830" s="177"/>
      <c r="AB830" s="177"/>
      <c r="AC830" s="177"/>
    </row>
    <row r="831" spans="2:29">
      <c r="B831" s="158" t="str">
        <f>IF(OR(LEFT(Commodities!B$75,1)="*",LEFT(Technologies!B$527,1)="*"),"*","R6")</f>
        <v>*</v>
      </c>
      <c r="C831" s="158" t="str">
        <f>Technologies!C$552</f>
        <v>XIRESRFLP2</v>
      </c>
      <c r="D831" s="158" t="str">
        <f>Technologies!D527</f>
        <v>Delivery of Imported Low Sulfur Residual Fuel Oil to Residential Sector</v>
      </c>
      <c r="E831" s="197" t="str">
        <f>Commodities!C$88</f>
        <v>RFLP2</v>
      </c>
      <c r="F831" s="197" t="str">
        <f>Commodities!C240</f>
        <v>RESRFL</v>
      </c>
      <c r="G831" s="204">
        <v>1</v>
      </c>
      <c r="H831" s="203" t="e">
        <f>#REF!*#REF!^5/(Conv!$I$5*Conv!$D$46)/10^6 +#REF!</f>
        <v>#REF!</v>
      </c>
      <c r="I831" s="203" t="e">
        <f>#REF!*#REF!^5/(Conv!$I$5*Conv!$D$46)/10^6 +#REF!</f>
        <v>#REF!</v>
      </c>
      <c r="J831" s="203" t="e">
        <f>#REF!*#REF!^5/(Conv!$I$5*Conv!$D$46)/10^6 +#REF!</f>
        <v>#REF!</v>
      </c>
      <c r="K831" s="203" t="e">
        <f>#REF!*#REF!^5/(Conv!$I$5*Conv!$D$46)/10^6 +#REF!</f>
        <v>#REF!</v>
      </c>
      <c r="L831" s="203" t="e">
        <f>#REF!*#REF!^5/(Conv!$I$5*Conv!$D$46)/10^6 +#REF!</f>
        <v>#REF!</v>
      </c>
      <c r="M831" s="203" t="e">
        <f>#REF!*#REF!^5/(Conv!$I$5*Conv!$D$46)/10^6 +#REF!</f>
        <v>#REF!</v>
      </c>
      <c r="N831" s="203" t="e">
        <f>#REF!*#REF!^5/(Conv!$I$5*Conv!$D$46)/10^6 +#REF!</f>
        <v>#REF!</v>
      </c>
      <c r="O831" s="203" t="e">
        <f>#REF!*#REF!^5/(Conv!$I$5*Conv!$D$46)/10^6 +#REF!</f>
        <v>#REF!</v>
      </c>
      <c r="P831" s="203" t="e">
        <f>#REF!*#REF!^5/(Conv!$I$5*Conv!$D$46)/10^6 +#REF!</f>
        <v>#REF!</v>
      </c>
      <c r="Q831" s="203" t="e">
        <f>#REF!*#REF!^5/(Conv!$I$5*Conv!$D$46)/10^6 +#REF!</f>
        <v>#REF!</v>
      </c>
      <c r="S831" s="177"/>
      <c r="T831" s="177"/>
      <c r="U831" s="177"/>
      <c r="V831" s="177"/>
      <c r="W831" s="177"/>
      <c r="X831" s="177"/>
      <c r="Y831" s="177"/>
      <c r="Z831" s="177"/>
      <c r="AA831" s="177"/>
      <c r="AB831" s="177"/>
      <c r="AC831" s="177"/>
    </row>
    <row r="832" spans="2:29">
      <c r="B832" s="158" t="str">
        <f>IF(OR(LEFT(Commodities!B$75,1)="*",LEFT(Technologies!B$528,1)="*"),"*","R6")</f>
        <v>*</v>
      </c>
      <c r="C832" s="158" t="e">
        <f>Technologies!C$553</f>
        <v>#REF!</v>
      </c>
      <c r="D832" s="158" t="str">
        <f>Technologies!D528</f>
        <v>Delivery of Imported Low Sulfur Residual Fuel Oil to Commercial Sector</v>
      </c>
      <c r="E832" s="197" t="str">
        <f>Commodities!C$88</f>
        <v>RFLP2</v>
      </c>
      <c r="F832" s="197" t="e">
        <f>Commodities!C241</f>
        <v>#REF!</v>
      </c>
      <c r="G832" s="204">
        <v>1</v>
      </c>
      <c r="H832" s="203" t="e">
        <f>#REF!*#REF!^5/(Conv!$I$5*Conv!$D$46)/10^6 +#REF!</f>
        <v>#REF!</v>
      </c>
      <c r="I832" s="203" t="e">
        <f>#REF!*#REF!^5/(Conv!$I$5*Conv!$D$46)/10^6 +#REF!</f>
        <v>#REF!</v>
      </c>
      <c r="J832" s="203" t="e">
        <f>#REF!*#REF!^5/(Conv!$I$5*Conv!$D$46)/10^6 +#REF!</f>
        <v>#REF!</v>
      </c>
      <c r="K832" s="203" t="e">
        <f>#REF!*#REF!^5/(Conv!$I$5*Conv!$D$46)/10^6 +#REF!</f>
        <v>#REF!</v>
      </c>
      <c r="L832" s="203" t="e">
        <f>#REF!*#REF!^5/(Conv!$I$5*Conv!$D$46)/10^6 +#REF!</f>
        <v>#REF!</v>
      </c>
      <c r="M832" s="203" t="e">
        <f>#REF!*#REF!^5/(Conv!$I$5*Conv!$D$46)/10^6 +#REF!</f>
        <v>#REF!</v>
      </c>
      <c r="N832" s="203" t="e">
        <f>#REF!*#REF!^5/(Conv!$I$5*Conv!$D$46)/10^6 +#REF!</f>
        <v>#REF!</v>
      </c>
      <c r="O832" s="203" t="e">
        <f>#REF!*#REF!^5/(Conv!$I$5*Conv!$D$46)/10^6 +#REF!</f>
        <v>#REF!</v>
      </c>
      <c r="P832" s="203" t="e">
        <f>#REF!*#REF!^5/(Conv!$I$5*Conv!$D$46)/10^6 +#REF!</f>
        <v>#REF!</v>
      </c>
      <c r="Q832" s="203" t="e">
        <f>#REF!*#REF!^5/(Conv!$I$5*Conv!$D$46)/10^6 +#REF!</f>
        <v>#REF!</v>
      </c>
      <c r="S832" s="177"/>
      <c r="T832" s="177"/>
      <c r="U832" s="177"/>
      <c r="V832" s="177"/>
      <c r="W832" s="177"/>
      <c r="X832" s="177"/>
      <c r="Y832" s="177"/>
      <c r="Z832" s="177"/>
      <c r="AA832" s="177"/>
      <c r="AB832" s="177"/>
      <c r="AC832" s="177"/>
    </row>
    <row r="833" spans="2:29">
      <c r="B833" s="158" t="str">
        <f>IF(OR(LEFT(Commodities!B$75,1)="*",LEFT(Technologies!B$529,1)="*"),"*","R6")</f>
        <v>R6</v>
      </c>
      <c r="C833" s="158" t="e">
        <f>Technologies!C$554</f>
        <v>#REF!</v>
      </c>
      <c r="D833" s="158" t="str">
        <f>Technologies!D529</f>
        <v>Delivery of Imported Low Sulfur Residual Fuel Oil to Industrial Sector</v>
      </c>
      <c r="E833" s="197" t="str">
        <f>Commodities!C$88</f>
        <v>RFLP2</v>
      </c>
      <c r="F833" s="197" t="e">
        <f>Commodities!C242</f>
        <v>#REF!</v>
      </c>
      <c r="G833" s="204">
        <v>1</v>
      </c>
      <c r="H833" s="203" t="e">
        <f>#REF!*#REF!^5/(Conv!$I$5*Conv!$D$46)/10^6 +#REF!</f>
        <v>#REF!</v>
      </c>
      <c r="I833" s="203" t="e">
        <f>#REF!*#REF!^5/(Conv!$I$5*Conv!$D$46)/10^6 +#REF!</f>
        <v>#REF!</v>
      </c>
      <c r="J833" s="203" t="e">
        <f>#REF!*#REF!^5/(Conv!$I$5*Conv!$D$46)/10^6 +#REF!</f>
        <v>#REF!</v>
      </c>
      <c r="K833" s="203" t="e">
        <f>#REF!*#REF!^5/(Conv!$I$5*Conv!$D$46)/10^6 +#REF!</f>
        <v>#REF!</v>
      </c>
      <c r="L833" s="203" t="e">
        <f>#REF!*#REF!^5/(Conv!$I$5*Conv!$D$46)/10^6 +#REF!</f>
        <v>#REF!</v>
      </c>
      <c r="M833" s="203" t="e">
        <f>#REF!*#REF!^5/(Conv!$I$5*Conv!$D$46)/10^6 +#REF!</f>
        <v>#REF!</v>
      </c>
      <c r="N833" s="203" t="e">
        <f>#REF!*#REF!^5/(Conv!$I$5*Conv!$D$46)/10^6 +#REF!</f>
        <v>#REF!</v>
      </c>
      <c r="O833" s="203" t="e">
        <f>#REF!*#REF!^5/(Conv!$I$5*Conv!$D$46)/10^6 +#REF!</f>
        <v>#REF!</v>
      </c>
      <c r="P833" s="203" t="e">
        <f>#REF!*#REF!^5/(Conv!$I$5*Conv!$D$46)/10^6 +#REF!</f>
        <v>#REF!</v>
      </c>
      <c r="Q833" s="203" t="e">
        <f>#REF!*#REF!^5/(Conv!$I$5*Conv!$D$46)/10^6 +#REF!</f>
        <v>#REF!</v>
      </c>
      <c r="S833" s="177"/>
      <c r="T833" s="177"/>
      <c r="U833" s="177"/>
      <c r="V833" s="177"/>
      <c r="W833" s="177"/>
      <c r="X833" s="177"/>
      <c r="Y833" s="177"/>
      <c r="Z833" s="177"/>
      <c r="AA833" s="177"/>
      <c r="AB833" s="177"/>
      <c r="AC833" s="177"/>
    </row>
    <row r="834" spans="2:29">
      <c r="B834" s="158" t="str">
        <f>IF(OR(LEFT(Commodities!B$75,1)="*",LEFT(Technologies!B$530,1)="*"),"*","R6")</f>
        <v>*</v>
      </c>
      <c r="C834" s="158" t="e">
        <f>Technologies!C$555</f>
        <v>#REF!</v>
      </c>
      <c r="D834" s="158" t="str">
        <f>Technologies!D530</f>
        <v>Delivery of Imported Low Sulfur Residual Fuel Oil to Electricity Sector</v>
      </c>
      <c r="E834" s="197" t="str">
        <f>Commodities!C$88</f>
        <v>RFLP2</v>
      </c>
      <c r="F834" s="197" t="e">
        <f>Commodities!C243</f>
        <v>#REF!</v>
      </c>
      <c r="G834" s="204">
        <v>1</v>
      </c>
      <c r="H834" s="203" t="e">
        <f>#REF!*#REF!^5/(Conv!$I$5*Conv!$D$46)/10^6 +#REF!</f>
        <v>#REF!</v>
      </c>
      <c r="I834" s="203" t="e">
        <f>#REF!*#REF!^5/(Conv!$I$5*Conv!$D$46)/10^6 +#REF!</f>
        <v>#REF!</v>
      </c>
      <c r="J834" s="203" t="e">
        <f>#REF!*#REF!^5/(Conv!$I$5*Conv!$D$46)/10^6 +#REF!</f>
        <v>#REF!</v>
      </c>
      <c r="K834" s="203" t="e">
        <f>#REF!*#REF!^5/(Conv!$I$5*Conv!$D$46)/10^6 +#REF!</f>
        <v>#REF!</v>
      </c>
      <c r="L834" s="203" t="e">
        <f>#REF!*#REF!^5/(Conv!$I$5*Conv!$D$46)/10^6 +#REF!</f>
        <v>#REF!</v>
      </c>
      <c r="M834" s="203" t="e">
        <f>#REF!*#REF!^5/(Conv!$I$5*Conv!$D$46)/10^6 +#REF!</f>
        <v>#REF!</v>
      </c>
      <c r="N834" s="203" t="e">
        <f>#REF!*#REF!^5/(Conv!$I$5*Conv!$D$46)/10^6 +#REF!</f>
        <v>#REF!</v>
      </c>
      <c r="O834" s="203" t="e">
        <f>#REF!*#REF!^5/(Conv!$I$5*Conv!$D$46)/10^6 +#REF!</f>
        <v>#REF!</v>
      </c>
      <c r="P834" s="203" t="e">
        <f>#REF!*#REF!^5/(Conv!$I$5*Conv!$D$46)/10^6 +#REF!</f>
        <v>#REF!</v>
      </c>
      <c r="Q834" s="203" t="e">
        <f>#REF!*#REF!^5/(Conv!$I$5*Conv!$D$46)/10^6 +#REF!</f>
        <v>#REF!</v>
      </c>
      <c r="S834" s="177"/>
      <c r="T834" s="177"/>
      <c r="U834" s="177"/>
      <c r="V834" s="177"/>
      <c r="W834" s="177"/>
      <c r="X834" s="177"/>
      <c r="Y834" s="177"/>
      <c r="Z834" s="177"/>
      <c r="AA834" s="177"/>
      <c r="AB834" s="177"/>
      <c r="AC834" s="177"/>
    </row>
    <row r="835" spans="2:29">
      <c r="B835" s="158" t="str">
        <f>IF(OR(LEFT(Commodities!B$74,1)="*",LEFT(Technologies!B$531,1)="*"),"*","R6")</f>
        <v>*</v>
      </c>
      <c r="C835" s="158" t="e">
        <f>Technologies!C$556</f>
        <v>#REF!</v>
      </c>
      <c r="D835" s="158" t="str">
        <f>Technologies!D531</f>
        <v>Delivery of Imported High Sulfur Residual Fuel Oil to Transportation Sector</v>
      </c>
      <c r="E835" s="197" t="str">
        <f>Commodities!C$87</f>
        <v>RFHP2</v>
      </c>
      <c r="F835" s="197" t="e">
        <f>Commodities!C244</f>
        <v>#REF!</v>
      </c>
      <c r="G835" s="204">
        <v>1</v>
      </c>
      <c r="H835" s="203" t="e">
        <f>#REF!*#REF!^5/(Conv!$I$5*Conv!$D$46)/10^6 +#REF!</f>
        <v>#REF!</v>
      </c>
      <c r="I835" s="203" t="e">
        <f>#REF!*#REF!^5/(Conv!$I$5*Conv!$D$46)/10^6 +#REF!</f>
        <v>#REF!</v>
      </c>
      <c r="J835" s="203" t="e">
        <f>#REF!*#REF!^5/(Conv!$I$5*Conv!$D$46)/10^6 +#REF!</f>
        <v>#REF!</v>
      </c>
      <c r="K835" s="203" t="e">
        <f>#REF!*#REF!^5/(Conv!$I$5*Conv!$D$46)/10^6 +#REF!</f>
        <v>#REF!</v>
      </c>
      <c r="L835" s="203" t="e">
        <f>#REF!*#REF!^5/(Conv!$I$5*Conv!$D$46)/10^6 +#REF!</f>
        <v>#REF!</v>
      </c>
      <c r="M835" s="203" t="e">
        <f>#REF!*#REF!^5/(Conv!$I$5*Conv!$D$46)/10^6 +#REF!</f>
        <v>#REF!</v>
      </c>
      <c r="N835" s="203" t="e">
        <f>#REF!*#REF!^5/(Conv!$I$5*Conv!$D$46)/10^6 +#REF!</f>
        <v>#REF!</v>
      </c>
      <c r="O835" s="203" t="e">
        <f>#REF!*#REF!^5/(Conv!$I$5*Conv!$D$46)/10^6 +#REF!</f>
        <v>#REF!</v>
      </c>
      <c r="P835" s="203" t="e">
        <f>#REF!*#REF!^5/(Conv!$I$5*Conv!$D$46)/10^6 +#REF!</f>
        <v>#REF!</v>
      </c>
      <c r="Q835" s="203" t="e">
        <f>#REF!*#REF!^5/(Conv!$I$5*Conv!$D$46)/10^6 +#REF!</f>
        <v>#REF!</v>
      </c>
      <c r="S835" s="177"/>
      <c r="T835" s="177"/>
      <c r="U835" s="177"/>
      <c r="V835" s="177"/>
      <c r="W835" s="177"/>
      <c r="X835" s="177"/>
      <c r="Y835" s="177"/>
      <c r="Z835" s="177"/>
      <c r="AA835" s="177"/>
      <c r="AB835" s="177"/>
      <c r="AC835" s="177"/>
    </row>
    <row r="836" spans="2:29">
      <c r="B836" s="158" t="str">
        <f>IF(OR(LEFT(Commodities!B$74,1)="*",LEFT(Technologies!B$532,1)="*"),"*","R6")</f>
        <v>*</v>
      </c>
      <c r="C836" s="158" t="e">
        <f>Technologies!C$557</f>
        <v>#REF!</v>
      </c>
      <c r="D836" s="158" t="str">
        <f>Technologies!D532</f>
        <v>Delivery of Imported High Sulfur Residual Fuel Oil to Electricity Sector</v>
      </c>
      <c r="E836" s="197" t="str">
        <f>Commodities!C$87</f>
        <v>RFHP2</v>
      </c>
      <c r="F836" s="197" t="e">
        <f>Commodities!C245</f>
        <v>#REF!</v>
      </c>
      <c r="G836" s="204">
        <v>1</v>
      </c>
      <c r="H836" s="203" t="e">
        <f>#REF!*#REF!^5/(Conv!$I$5*Conv!$D$46)/10^6 +#REF!</f>
        <v>#REF!</v>
      </c>
      <c r="I836" s="203" t="e">
        <f>#REF!*#REF!^5/(Conv!$I$5*Conv!$D$46)/10^6 +#REF!</f>
        <v>#REF!</v>
      </c>
      <c r="J836" s="203" t="e">
        <f>#REF!*#REF!^5/(Conv!$I$5*Conv!$D$46)/10^6 +#REF!</f>
        <v>#REF!</v>
      </c>
      <c r="K836" s="203" t="e">
        <f>#REF!*#REF!^5/(Conv!$I$5*Conv!$D$46)/10^6 +#REF!</f>
        <v>#REF!</v>
      </c>
      <c r="L836" s="203" t="e">
        <f>#REF!*#REF!^5/(Conv!$I$5*Conv!$D$46)/10^6 +#REF!</f>
        <v>#REF!</v>
      </c>
      <c r="M836" s="203" t="e">
        <f>#REF!*#REF!^5/(Conv!$I$5*Conv!$D$46)/10^6 +#REF!</f>
        <v>#REF!</v>
      </c>
      <c r="N836" s="203" t="e">
        <f>#REF!*#REF!^5/(Conv!$I$5*Conv!$D$46)/10^6 +#REF!</f>
        <v>#REF!</v>
      </c>
      <c r="O836" s="203" t="e">
        <f>#REF!*#REF!^5/(Conv!$I$5*Conv!$D$46)/10^6 +#REF!</f>
        <v>#REF!</v>
      </c>
      <c r="P836" s="203" t="e">
        <f>#REF!*#REF!^5/(Conv!$I$5*Conv!$D$46)/10^6 +#REF!</f>
        <v>#REF!</v>
      </c>
      <c r="Q836" s="203" t="e">
        <f>#REF!*#REF!^5/(Conv!$I$5*Conv!$D$46)/10^6 +#REF!</f>
        <v>#REF!</v>
      </c>
      <c r="S836" s="177"/>
      <c r="T836" s="177"/>
      <c r="U836" s="177"/>
      <c r="V836" s="177"/>
      <c r="W836" s="177"/>
      <c r="X836" s="177"/>
      <c r="Y836" s="177"/>
      <c r="Z836" s="177"/>
      <c r="AA836" s="177"/>
      <c r="AB836" s="177"/>
      <c r="AC836" s="177"/>
    </row>
    <row r="837" spans="2:29">
      <c r="B837" s="160" t="str">
        <f>IF(LEFT(Technologies!B$532,1)="*","*","R6")</f>
        <v>*</v>
      </c>
      <c r="C837" s="160"/>
      <c r="D837" s="160"/>
      <c r="E837" s="196"/>
      <c r="F837" s="196"/>
      <c r="G837" s="200"/>
      <c r="H837" s="174"/>
      <c r="I837" s="174"/>
      <c r="J837" s="174"/>
      <c r="K837" s="174"/>
      <c r="L837" s="174"/>
      <c r="M837" s="174"/>
      <c r="N837" s="174"/>
      <c r="O837" s="174"/>
      <c r="P837" s="174"/>
      <c r="Q837" s="174"/>
    </row>
    <row r="838" spans="2:29">
      <c r="H838" s="191"/>
      <c r="I838" s="191"/>
    </row>
    <row r="839" spans="2:29">
      <c r="H839" s="191"/>
      <c r="I839" s="191"/>
    </row>
    <row r="840" spans="2:29" ht="17.25" customHeight="1">
      <c r="F840" s="192"/>
      <c r="H840" s="191"/>
      <c r="I840" s="191"/>
    </row>
    <row r="841" spans="2:29" ht="15.75" customHeight="1">
      <c r="B841" s="153" t="s">
        <v>541</v>
      </c>
      <c r="C841" s="153" t="s">
        <v>187</v>
      </c>
      <c r="D841" s="153" t="s">
        <v>188</v>
      </c>
      <c r="E841" s="153" t="s">
        <v>190</v>
      </c>
      <c r="F841" s="153" t="s">
        <v>191</v>
      </c>
      <c r="G841" s="153" t="s">
        <v>1157</v>
      </c>
      <c r="H841" s="153" t="s">
        <v>1159</v>
      </c>
      <c r="I841" s="153" t="s">
        <v>1160</v>
      </c>
      <c r="J841" s="153" t="s">
        <v>1161</v>
      </c>
      <c r="K841" s="153" t="s">
        <v>1162</v>
      </c>
      <c r="L841" s="153" t="s">
        <v>1163</v>
      </c>
      <c r="M841" s="153" t="s">
        <v>1164</v>
      </c>
      <c r="N841" s="153" t="s">
        <v>1165</v>
      </c>
      <c r="O841" s="153" t="s">
        <v>1166</v>
      </c>
      <c r="P841" s="153" t="s">
        <v>1167</v>
      </c>
      <c r="Q841" s="153" t="s">
        <v>1168</v>
      </c>
      <c r="S841" s="189"/>
      <c r="T841" s="189"/>
      <c r="U841" s="189"/>
      <c r="V841" s="189"/>
      <c r="W841" s="189"/>
      <c r="X841" s="189"/>
      <c r="Y841" s="189"/>
      <c r="Z841" s="189"/>
      <c r="AA841" s="189"/>
      <c r="AB841" s="189"/>
      <c r="AC841" s="189"/>
    </row>
    <row r="842" spans="2:29">
      <c r="B842" s="154" t="s">
        <v>1094</v>
      </c>
      <c r="C842" s="154"/>
      <c r="D842" s="154"/>
      <c r="E842" s="194"/>
      <c r="F842" s="194"/>
      <c r="G842" s="190"/>
      <c r="H842" s="206"/>
      <c r="I842" s="206"/>
      <c r="J842" s="206"/>
      <c r="K842" s="206"/>
      <c r="L842" s="206"/>
      <c r="M842" s="206"/>
      <c r="N842" s="206"/>
      <c r="O842" s="206"/>
      <c r="P842" s="206"/>
      <c r="Q842" s="206"/>
    </row>
    <row r="843" spans="2:29">
      <c r="B843" s="160" t="s">
        <v>1037</v>
      </c>
      <c r="C843" s="160"/>
      <c r="D843" s="160"/>
      <c r="E843" s="196"/>
      <c r="F843" s="196"/>
      <c r="G843" s="200"/>
      <c r="H843" s="174"/>
      <c r="I843" s="174"/>
      <c r="J843" s="174"/>
      <c r="K843" s="174"/>
      <c r="L843" s="174"/>
      <c r="M843" s="174"/>
      <c r="N843" s="174"/>
      <c r="O843" s="174"/>
      <c r="P843" s="174"/>
      <c r="Q843" s="174"/>
    </row>
    <row r="844" spans="2:29">
      <c r="B844" s="158" t="str">
        <f>IF(LEFT(Technologies!B$509,1)="*","*","R1")</f>
        <v>R1</v>
      </c>
      <c r="C844" s="158" t="e">
        <f>Technologies!C$559</f>
        <v>#REF!</v>
      </c>
      <c r="D844" s="158" t="str">
        <f>Technologies!D509</f>
        <v>Delivery of Imported Conventional Gasoline</v>
      </c>
      <c r="E844" s="197" t="str">
        <f>Commodities!C$93</f>
        <v>GSCP3</v>
      </c>
      <c r="F844" s="197" t="e">
        <f>Commodities!C222</f>
        <v>#REF!</v>
      </c>
      <c r="G844" s="204">
        <v>1</v>
      </c>
      <c r="H844" s="203" t="e">
        <f>#REF!*#REF!^5/(Conv!$I$5*Conv!$D$46)/10^6 +#REF!</f>
        <v>#REF!</v>
      </c>
      <c r="I844" s="203" t="e">
        <f>#REF!*#REF!^5/(Conv!$I$5*Conv!$D$46)/10^6 +#REF!</f>
        <v>#REF!</v>
      </c>
      <c r="J844" s="203" t="e">
        <f>#REF!*#REF!^5/(Conv!$I$5*Conv!$D$46)/10^6 +#REF!</f>
        <v>#REF!</v>
      </c>
      <c r="K844" s="203" t="e">
        <f>#REF!*#REF!^5/(Conv!$I$5*Conv!$D$46)/10^6 +#REF!</f>
        <v>#REF!</v>
      </c>
      <c r="L844" s="203" t="e">
        <f>#REF!*#REF!^5/(Conv!$I$5*Conv!$D$46)/10^6 +#REF!</f>
        <v>#REF!</v>
      </c>
      <c r="M844" s="203" t="e">
        <f>#REF!*#REF!^5/(Conv!$I$5*Conv!$D$46)/10^6 +#REF!</f>
        <v>#REF!</v>
      </c>
      <c r="N844" s="203" t="e">
        <f>#REF!*#REF!^5/(Conv!$I$5*Conv!$D$46)/10^6 +#REF!</f>
        <v>#REF!</v>
      </c>
      <c r="O844" s="203" t="e">
        <f>#REF!*#REF!^5/(Conv!$I$5*Conv!$D$46)/10^6 +#REF!</f>
        <v>#REF!</v>
      </c>
      <c r="P844" s="203" t="e">
        <f>#REF!*#REF!^5/(Conv!$I$5*Conv!$D$46)/10^6 +#REF!</f>
        <v>#REF!</v>
      </c>
      <c r="Q844" s="203" t="e">
        <f>#REF!*#REF!^5/(Conv!$I$5*Conv!$D$46)/10^6 +#REF!</f>
        <v>#REF!</v>
      </c>
      <c r="S844" s="177"/>
      <c r="T844" s="177"/>
      <c r="U844" s="177"/>
      <c r="V844" s="177"/>
      <c r="W844" s="177"/>
      <c r="X844" s="177"/>
      <c r="Y844" s="177"/>
      <c r="Z844" s="177"/>
      <c r="AA844" s="177"/>
      <c r="AB844" s="177"/>
      <c r="AC844" s="177"/>
    </row>
    <row r="845" spans="2:29">
      <c r="B845" s="158" t="str">
        <f>IF(LEFT(Technologies!B$510,1)="*","*","R1")</f>
        <v>R1</v>
      </c>
      <c r="C845" s="158" t="e">
        <f>Technologies!C$560</f>
        <v>#REF!</v>
      </c>
      <c r="D845" s="158" t="str">
        <f>Technologies!D510</f>
        <v>Delivery of Imported Reformulated Gasoline</v>
      </c>
      <c r="E845" s="197" t="str">
        <f>Commodities!C$94</f>
        <v>GSRP3</v>
      </c>
      <c r="F845" s="197" t="e">
        <f>Commodities!C223</f>
        <v>#REF!</v>
      </c>
      <c r="G845" s="204">
        <v>1</v>
      </c>
      <c r="H845" s="203" t="e">
        <f>#REF!*#REF!^5/(Conv!$I$5*Conv!$D$46)/10^6 +#REF!</f>
        <v>#REF!</v>
      </c>
      <c r="I845" s="203" t="e">
        <f>#REF!*#REF!^5/(Conv!$I$5*Conv!$D$46)/10^6 +#REF!</f>
        <v>#REF!</v>
      </c>
      <c r="J845" s="203" t="e">
        <f>#REF!*#REF!^5/(Conv!$I$5*Conv!$D$46)/10^6 +#REF!</f>
        <v>#REF!</v>
      </c>
      <c r="K845" s="203" t="e">
        <f>#REF!*#REF!^5/(Conv!$I$5*Conv!$D$46)/10^6 +#REF!</f>
        <v>#REF!</v>
      </c>
      <c r="L845" s="203" t="e">
        <f>#REF!*#REF!^5/(Conv!$I$5*Conv!$D$46)/10^6 +#REF!</f>
        <v>#REF!</v>
      </c>
      <c r="M845" s="203" t="e">
        <f>#REF!*#REF!^5/(Conv!$I$5*Conv!$D$46)/10^6 +#REF!</f>
        <v>#REF!</v>
      </c>
      <c r="N845" s="203" t="e">
        <f>#REF!*#REF!^5/(Conv!$I$5*Conv!$D$46)/10^6 +#REF!</f>
        <v>#REF!</v>
      </c>
      <c r="O845" s="203" t="e">
        <f>#REF!*#REF!^5/(Conv!$I$5*Conv!$D$46)/10^6 +#REF!</f>
        <v>#REF!</v>
      </c>
      <c r="P845" s="203" t="e">
        <f>#REF!*#REF!^5/(Conv!$I$5*Conv!$D$46)/10^6 +#REF!</f>
        <v>#REF!</v>
      </c>
      <c r="Q845" s="203" t="e">
        <f>#REF!*#REF!^5/(Conv!$I$5*Conv!$D$46)/10^6 +#REF!</f>
        <v>#REF!</v>
      </c>
      <c r="S845" s="177"/>
      <c r="T845" s="177"/>
      <c r="U845" s="177"/>
      <c r="V845" s="177"/>
      <c r="W845" s="177"/>
      <c r="X845" s="177"/>
      <c r="Y845" s="177"/>
      <c r="Z845" s="177"/>
      <c r="AA845" s="177"/>
      <c r="AB845" s="177"/>
      <c r="AC845" s="177"/>
    </row>
    <row r="846" spans="2:29">
      <c r="B846" s="158" t="str">
        <f>IF(OR(LEFT(Commodities!B$64,1)="*",LEFT(Technologies!B$511,1)="*"),"*","R1")</f>
        <v>R1</v>
      </c>
      <c r="C846" s="158" t="e">
        <f>Technologies!C$561</f>
        <v>#REF!</v>
      </c>
      <c r="D846" s="158" t="str">
        <f>Technologies!D511</f>
        <v>Delivery of Imported Distillate-Heating Oil No. 2 to the Residential Sector</v>
      </c>
      <c r="E846" s="197" t="str">
        <f>Commodities!C$90</f>
        <v>DSHP3</v>
      </c>
      <c r="F846" s="197" t="e">
        <f>Commodities!C224</f>
        <v>#REF!</v>
      </c>
      <c r="G846" s="204">
        <v>1</v>
      </c>
      <c r="H846" s="203" t="e">
        <f>#REF!*#REF!^5/(Conv!$I$5*Conv!$D$46)/10^6 +#REF!</f>
        <v>#REF!</v>
      </c>
      <c r="I846" s="203" t="e">
        <f>#REF!*#REF!^5/(Conv!$I$5*Conv!$D$46)/10^6 +#REF!</f>
        <v>#REF!</v>
      </c>
      <c r="J846" s="203" t="e">
        <f>#REF!*#REF!^5/(Conv!$I$5*Conv!$D$46)/10^6 +#REF!</f>
        <v>#REF!</v>
      </c>
      <c r="K846" s="203" t="e">
        <f>#REF!*#REF!^5/(Conv!$I$5*Conv!$D$46)/10^6 +#REF!</f>
        <v>#REF!</v>
      </c>
      <c r="L846" s="203" t="e">
        <f>#REF!*#REF!^5/(Conv!$I$5*Conv!$D$46)/10^6 +#REF!</f>
        <v>#REF!</v>
      </c>
      <c r="M846" s="203" t="e">
        <f>#REF!*#REF!^5/(Conv!$I$5*Conv!$D$46)/10^6 +#REF!</f>
        <v>#REF!</v>
      </c>
      <c r="N846" s="203" t="e">
        <f>#REF!*#REF!^5/(Conv!$I$5*Conv!$D$46)/10^6 +#REF!</f>
        <v>#REF!</v>
      </c>
      <c r="O846" s="203" t="e">
        <f>#REF!*#REF!^5/(Conv!$I$5*Conv!$D$46)/10^6 +#REF!</f>
        <v>#REF!</v>
      </c>
      <c r="P846" s="203" t="e">
        <f>#REF!*#REF!^5/(Conv!$I$5*Conv!$D$46)/10^6 +#REF!</f>
        <v>#REF!</v>
      </c>
      <c r="Q846" s="203" t="e">
        <f>#REF!*#REF!^5/(Conv!$I$5*Conv!$D$46)/10^6 +#REF!</f>
        <v>#REF!</v>
      </c>
      <c r="S846" s="177"/>
      <c r="T846" s="177"/>
      <c r="U846" s="177"/>
      <c r="V846" s="177"/>
      <c r="W846" s="177"/>
      <c r="X846" s="177"/>
      <c r="Y846" s="177"/>
      <c r="Z846" s="177"/>
      <c r="AA846" s="177"/>
      <c r="AB846" s="177"/>
      <c r="AC846" s="177"/>
    </row>
    <row r="847" spans="2:29">
      <c r="B847" s="158" t="str">
        <f>IF(OR(LEFT(Commodities!B$64,1)="*",LEFT(Technologies!B$512,1)="*"),"*","R1")</f>
        <v>R1</v>
      </c>
      <c r="C847" s="158" t="e">
        <f>Technologies!C$562</f>
        <v>#REF!</v>
      </c>
      <c r="D847" s="158" t="str">
        <f>Technologies!D512</f>
        <v>Delivery of Imported Distillate-Heating Oil No. 2 to the Commercial Sector</v>
      </c>
      <c r="E847" s="197" t="str">
        <f>Commodities!C$90</f>
        <v>DSHP3</v>
      </c>
      <c r="F847" s="197" t="e">
        <f>Commodities!C225</f>
        <v>#REF!</v>
      </c>
      <c r="G847" s="204">
        <v>1</v>
      </c>
      <c r="H847" s="203" t="e">
        <f>#REF!*#REF!^5/(Conv!$I$5*Conv!$D$46)/10^6 +#REF!</f>
        <v>#REF!</v>
      </c>
      <c r="I847" s="203" t="e">
        <f>#REF!*#REF!^5/(Conv!$I$5*Conv!$D$46)/10^6 +#REF!</f>
        <v>#REF!</v>
      </c>
      <c r="J847" s="203" t="e">
        <f>#REF!*#REF!^5/(Conv!$I$5*Conv!$D$46)/10^6 +#REF!</f>
        <v>#REF!</v>
      </c>
      <c r="K847" s="203" t="e">
        <f>#REF!*#REF!^5/(Conv!$I$5*Conv!$D$46)/10^6 +#REF!</f>
        <v>#REF!</v>
      </c>
      <c r="L847" s="203" t="e">
        <f>#REF!*#REF!^5/(Conv!$I$5*Conv!$D$46)/10^6 +#REF!</f>
        <v>#REF!</v>
      </c>
      <c r="M847" s="203" t="e">
        <f>#REF!*#REF!^5/(Conv!$I$5*Conv!$D$46)/10^6 +#REF!</f>
        <v>#REF!</v>
      </c>
      <c r="N847" s="203" t="e">
        <f>#REF!*#REF!^5/(Conv!$I$5*Conv!$D$46)/10^6 +#REF!</f>
        <v>#REF!</v>
      </c>
      <c r="O847" s="203" t="e">
        <f>#REF!*#REF!^5/(Conv!$I$5*Conv!$D$46)/10^6 +#REF!</f>
        <v>#REF!</v>
      </c>
      <c r="P847" s="203" t="e">
        <f>#REF!*#REF!^5/(Conv!$I$5*Conv!$D$46)/10^6 +#REF!</f>
        <v>#REF!</v>
      </c>
      <c r="Q847" s="203" t="e">
        <f>#REF!*#REF!^5/(Conv!$I$5*Conv!$D$46)/10^6 +#REF!</f>
        <v>#REF!</v>
      </c>
      <c r="S847" s="177"/>
      <c r="T847" s="177"/>
      <c r="U847" s="177"/>
      <c r="V847" s="177"/>
      <c r="W847" s="177"/>
      <c r="X847" s="177"/>
      <c r="Y847" s="177"/>
      <c r="Z847" s="177"/>
      <c r="AA847" s="177"/>
      <c r="AB847" s="177"/>
      <c r="AC847" s="177"/>
    </row>
    <row r="848" spans="2:29">
      <c r="B848" s="158" t="str">
        <f>IF(OR(LEFT(Commodities!B$64,1)="*",LEFT(Technologies!B$513,1)="*"),"*","R1")</f>
        <v>*</v>
      </c>
      <c r="C848" s="158" t="e">
        <f>Technologies!C$563</f>
        <v>#REF!</v>
      </c>
      <c r="D848" s="158" t="str">
        <f>Technologies!D513</f>
        <v>Delivery of Imported Distillate-Heating Oil No. 2 to the Indistrial Sector</v>
      </c>
      <c r="E848" s="197" t="str">
        <f>Commodities!C$90</f>
        <v>DSHP3</v>
      </c>
      <c r="F848" s="197" t="e">
        <f>Commodities!C226</f>
        <v>#REF!</v>
      </c>
      <c r="G848" s="204">
        <v>1</v>
      </c>
      <c r="H848" s="203" t="e">
        <f>#REF!*#REF!^5/(Conv!$I$5*Conv!$D$46)/10^6 +#REF!</f>
        <v>#REF!</v>
      </c>
      <c r="I848" s="203" t="e">
        <f>#REF!*#REF!^5/(Conv!$I$5*Conv!$D$46)/10^6 +#REF!</f>
        <v>#REF!</v>
      </c>
      <c r="J848" s="203" t="e">
        <f>#REF!*#REF!^5/(Conv!$I$5*Conv!$D$46)/10^6 +#REF!</f>
        <v>#REF!</v>
      </c>
      <c r="K848" s="203" t="e">
        <f>#REF!*#REF!^5/(Conv!$I$5*Conv!$D$46)/10^6 +#REF!</f>
        <v>#REF!</v>
      </c>
      <c r="L848" s="203" t="e">
        <f>#REF!*#REF!^5/(Conv!$I$5*Conv!$D$46)/10^6 +#REF!</f>
        <v>#REF!</v>
      </c>
      <c r="M848" s="203" t="e">
        <f>#REF!*#REF!^5/(Conv!$I$5*Conv!$D$46)/10^6 +#REF!</f>
        <v>#REF!</v>
      </c>
      <c r="N848" s="203" t="e">
        <f>#REF!*#REF!^5/(Conv!$I$5*Conv!$D$46)/10^6 +#REF!</f>
        <v>#REF!</v>
      </c>
      <c r="O848" s="203" t="e">
        <f>#REF!*#REF!^5/(Conv!$I$5*Conv!$D$46)/10^6 +#REF!</f>
        <v>#REF!</v>
      </c>
      <c r="P848" s="203" t="e">
        <f>#REF!*#REF!^5/(Conv!$I$5*Conv!$D$46)/10^6 +#REF!</f>
        <v>#REF!</v>
      </c>
      <c r="Q848" s="203" t="e">
        <f>#REF!*#REF!^5/(Conv!$I$5*Conv!$D$46)/10^6 +#REF!</f>
        <v>#REF!</v>
      </c>
      <c r="S848" s="177"/>
      <c r="T848" s="177"/>
      <c r="U848" s="177"/>
      <c r="V848" s="177"/>
      <c r="W848" s="177"/>
      <c r="X848" s="177"/>
      <c r="Y848" s="177"/>
      <c r="Z848" s="177"/>
      <c r="AA848" s="177"/>
      <c r="AB848" s="177"/>
      <c r="AC848" s="177"/>
    </row>
    <row r="849" spans="2:29">
      <c r="B849" s="158" t="str">
        <f>IF(OR(LEFT(Commodities!B$64,1)="*",LEFT(Technologies!B$514,1)="*"),"*","R1")</f>
        <v>R1</v>
      </c>
      <c r="C849" s="158" t="e">
        <f>Technologies!C$564</f>
        <v>#REF!</v>
      </c>
      <c r="D849" s="158" t="str">
        <f>Technologies!D514</f>
        <v>Delivery of Imported Distillate-Heating Oil No. 2 to the Electricity Sector</v>
      </c>
      <c r="E849" s="197" t="str">
        <f>Commodities!C$90</f>
        <v>DSHP3</v>
      </c>
      <c r="F849" s="197" t="e">
        <f>Commodities!C227</f>
        <v>#REF!</v>
      </c>
      <c r="G849" s="204">
        <v>1</v>
      </c>
      <c r="H849" s="203" t="e">
        <f>#REF!*#REF!^5/(Conv!$I$5*Conv!$D$46)/10^6 +#REF!</f>
        <v>#REF!</v>
      </c>
      <c r="I849" s="203" t="e">
        <f>#REF!*#REF!^5/(Conv!$I$5*Conv!$D$46)/10^6 +#REF!</f>
        <v>#REF!</v>
      </c>
      <c r="J849" s="203" t="e">
        <f>#REF!*#REF!^5/(Conv!$I$5*Conv!$D$46)/10^6 +#REF!</f>
        <v>#REF!</v>
      </c>
      <c r="K849" s="203" t="e">
        <f>#REF!*#REF!^5/(Conv!$I$5*Conv!$D$46)/10^6 +#REF!</f>
        <v>#REF!</v>
      </c>
      <c r="L849" s="203" t="e">
        <f>#REF!*#REF!^5/(Conv!$I$5*Conv!$D$46)/10^6 +#REF!</f>
        <v>#REF!</v>
      </c>
      <c r="M849" s="203" t="e">
        <f>#REF!*#REF!^5/(Conv!$I$5*Conv!$D$46)/10^6 +#REF!</f>
        <v>#REF!</v>
      </c>
      <c r="N849" s="203" t="e">
        <f>#REF!*#REF!^5/(Conv!$I$5*Conv!$D$46)/10^6 +#REF!</f>
        <v>#REF!</v>
      </c>
      <c r="O849" s="203" t="e">
        <f>#REF!*#REF!^5/(Conv!$I$5*Conv!$D$46)/10^6 +#REF!</f>
        <v>#REF!</v>
      </c>
      <c r="P849" s="203" t="e">
        <f>#REF!*#REF!^5/(Conv!$I$5*Conv!$D$46)/10^6 +#REF!</f>
        <v>#REF!</v>
      </c>
      <c r="Q849" s="203" t="e">
        <f>#REF!*#REF!^5/(Conv!$I$5*Conv!$D$46)/10^6 +#REF!</f>
        <v>#REF!</v>
      </c>
      <c r="S849" s="177"/>
      <c r="T849" s="177"/>
      <c r="U849" s="177"/>
      <c r="V849" s="177"/>
      <c r="W849" s="177"/>
      <c r="X849" s="177"/>
      <c r="Y849" s="177"/>
      <c r="Z849" s="177"/>
      <c r="AA849" s="177"/>
      <c r="AB849" s="177"/>
      <c r="AC849" s="177"/>
    </row>
    <row r="850" spans="2:29">
      <c r="B850" s="158" t="str">
        <f>IF(OR(LEFT(Commodities!B$65,1)="*",LEFT(Technologies!B$515,1)="*"),"*","R1")</f>
        <v>R1</v>
      </c>
      <c r="C850" s="158" t="e">
        <f>Technologies!C$565</f>
        <v>#REF!</v>
      </c>
      <c r="D850" s="158" t="str">
        <f>Technologies!D515</f>
        <v>Delivery of Imported Distillate-Low Sulfur Highway Diesel (500 ppm)</v>
      </c>
      <c r="E850" s="197" t="str">
        <f>Commodities!C$91</f>
        <v>DSLP3</v>
      </c>
      <c r="F850" s="197" t="e">
        <f>Commodities!C228</f>
        <v>#REF!</v>
      </c>
      <c r="G850" s="204">
        <v>1</v>
      </c>
      <c r="H850" s="203" t="e">
        <f>#REF!*#REF!^5/(Conv!$I$5*Conv!$D$46)/10^6 +#REF!</f>
        <v>#REF!</v>
      </c>
      <c r="I850" s="203" t="e">
        <f>#REF!*#REF!^5/(Conv!$I$5*Conv!$D$46)/10^6 +#REF!</f>
        <v>#REF!</v>
      </c>
      <c r="J850" s="203" t="e">
        <f>#REF!*#REF!^5/(Conv!$I$5*Conv!$D$46)/10^6 +#REF!</f>
        <v>#REF!</v>
      </c>
      <c r="K850" s="203" t="e">
        <f>#REF!*#REF!^5/(Conv!$I$5*Conv!$D$46)/10^6 +#REF!</f>
        <v>#REF!</v>
      </c>
      <c r="L850" s="203" t="e">
        <f>#REF!*#REF!^5/(Conv!$I$5*Conv!$D$46)/10^6 +#REF!</f>
        <v>#REF!</v>
      </c>
      <c r="M850" s="203" t="e">
        <f>#REF!*#REF!^5/(Conv!$I$5*Conv!$D$46)/10^6 +#REF!</f>
        <v>#REF!</v>
      </c>
      <c r="N850" s="203" t="e">
        <f>#REF!*#REF!^5/(Conv!$I$5*Conv!$D$46)/10^6 +#REF!</f>
        <v>#REF!</v>
      </c>
      <c r="O850" s="203" t="e">
        <f>#REF!*#REF!^5/(Conv!$I$5*Conv!$D$46)/10^6 +#REF!</f>
        <v>#REF!</v>
      </c>
      <c r="P850" s="203" t="e">
        <f>#REF!*#REF!^5/(Conv!$I$5*Conv!$D$46)/10^6 +#REF!</f>
        <v>#REF!</v>
      </c>
      <c r="Q850" s="203" t="e">
        <f>#REF!*#REF!^5/(Conv!$I$5*Conv!$D$46)/10^6 +#REF!</f>
        <v>#REF!</v>
      </c>
      <c r="S850" s="177"/>
      <c r="T850" s="177"/>
      <c r="U850" s="177"/>
      <c r="V850" s="177"/>
      <c r="W850" s="177"/>
      <c r="X850" s="177"/>
      <c r="Y850" s="177"/>
      <c r="Z850" s="177"/>
      <c r="AA850" s="177"/>
      <c r="AB850" s="177"/>
      <c r="AC850" s="177"/>
    </row>
    <row r="851" spans="2:29">
      <c r="B851" s="158" t="str">
        <f>IF(OR(LEFT(Commodities!B$66,1)="*",LEFT(Technologies!B$516,1)="*"),"*","R1")</f>
        <v>R1</v>
      </c>
      <c r="C851" s="158" t="e">
        <f>Technologies!C$566</f>
        <v>#REF!</v>
      </c>
      <c r="D851" s="158" t="str">
        <f>Technologies!D516</f>
        <v>Delivery of Imported Distillate-Ultralow Sulfur Highway Diesel (15 ppm)</v>
      </c>
      <c r="E851" s="197" t="str">
        <f>Commodities!C$92</f>
        <v>DSUP3</v>
      </c>
      <c r="F851" s="197" t="e">
        <f>Commodities!C229</f>
        <v>#REF!</v>
      </c>
      <c r="G851" s="204">
        <v>1</v>
      </c>
      <c r="H851" s="203" t="e">
        <f>#REF!*#REF!^5/(Conv!$I$5*Conv!$D$46)/10^6 +#REF!</f>
        <v>#REF!</v>
      </c>
      <c r="I851" s="203" t="e">
        <f>#REF!*#REF!^5/(Conv!$I$5*Conv!$D$46)/10^6 +#REF!</f>
        <v>#REF!</v>
      </c>
      <c r="J851" s="203" t="e">
        <f>#REF!*#REF!^5/(Conv!$I$5*Conv!$D$46)/10^6 +#REF!</f>
        <v>#REF!</v>
      </c>
      <c r="K851" s="203" t="e">
        <f>#REF!*#REF!^5/(Conv!$I$5*Conv!$D$46)/10^6 +#REF!</f>
        <v>#REF!</v>
      </c>
      <c r="L851" s="203" t="e">
        <f>#REF!*#REF!^5/(Conv!$I$5*Conv!$D$46)/10^6 +#REF!</f>
        <v>#REF!</v>
      </c>
      <c r="M851" s="203" t="e">
        <f>#REF!*#REF!^5/(Conv!$I$5*Conv!$D$46)/10^6 +#REF!</f>
        <v>#REF!</v>
      </c>
      <c r="N851" s="203" t="e">
        <f>#REF!*#REF!^5/(Conv!$I$5*Conv!$D$46)/10^6 +#REF!</f>
        <v>#REF!</v>
      </c>
      <c r="O851" s="203" t="e">
        <f>#REF!*#REF!^5/(Conv!$I$5*Conv!$D$46)/10^6 +#REF!</f>
        <v>#REF!</v>
      </c>
      <c r="P851" s="203" t="e">
        <f>#REF!*#REF!^5/(Conv!$I$5*Conv!$D$46)/10^6 +#REF!</f>
        <v>#REF!</v>
      </c>
      <c r="Q851" s="203" t="e">
        <f>#REF!*#REF!^5/(Conv!$I$5*Conv!$D$46)/10^6 +#REF!</f>
        <v>#REF!</v>
      </c>
      <c r="S851" s="177"/>
      <c r="T851" s="177"/>
      <c r="U851" s="177"/>
      <c r="V851" s="177"/>
      <c r="W851" s="177"/>
      <c r="X851" s="177"/>
      <c r="Y851" s="177"/>
      <c r="Z851" s="177"/>
      <c r="AA851" s="177"/>
      <c r="AB851" s="177"/>
      <c r="AC851" s="177"/>
    </row>
    <row r="852" spans="2:29">
      <c r="B852" s="158" t="str">
        <f>IF(OR(LEFT(Commodities!B$69,1)="*",LEFT(Technologies!B$517,1)="*"),"*","R1")</f>
        <v>*</v>
      </c>
      <c r="C852" s="158" t="e">
        <f>Technologies!C$567</f>
        <v>#REF!</v>
      </c>
      <c r="D852" s="158" t="str">
        <f>Technologies!D517</f>
        <v>Delivery of Imported Jet Fuel</v>
      </c>
      <c r="E852" s="197" t="str">
        <f>Commodities!C$95</f>
        <v>JTFP3</v>
      </c>
      <c r="F852" s="197" t="e">
        <f>Commodities!C230</f>
        <v>#REF!</v>
      </c>
      <c r="G852" s="204">
        <v>1</v>
      </c>
      <c r="H852" s="203" t="e">
        <f>#REF!*#REF!^5/(Conv!$I$5*Conv!$D$46)/10^6 +#REF!</f>
        <v>#REF!</v>
      </c>
      <c r="I852" s="203" t="e">
        <f>#REF!*#REF!^5/(Conv!$I$5*Conv!$D$46)/10^6 +#REF!</f>
        <v>#REF!</v>
      </c>
      <c r="J852" s="203" t="e">
        <f>#REF!*#REF!^5/(Conv!$I$5*Conv!$D$46)/10^6 +#REF!</f>
        <v>#REF!</v>
      </c>
      <c r="K852" s="203" t="e">
        <f>#REF!*#REF!^5/(Conv!$I$5*Conv!$D$46)/10^6 +#REF!</f>
        <v>#REF!</v>
      </c>
      <c r="L852" s="203" t="e">
        <f>#REF!*#REF!^5/(Conv!$I$5*Conv!$D$46)/10^6 +#REF!</f>
        <v>#REF!</v>
      </c>
      <c r="M852" s="203" t="e">
        <f>#REF!*#REF!^5/(Conv!$I$5*Conv!$D$46)/10^6 +#REF!</f>
        <v>#REF!</v>
      </c>
      <c r="N852" s="203" t="e">
        <f>#REF!*#REF!^5/(Conv!$I$5*Conv!$D$46)/10^6 +#REF!</f>
        <v>#REF!</v>
      </c>
      <c r="O852" s="203" t="e">
        <f>#REF!*#REF!^5/(Conv!$I$5*Conv!$D$46)/10^6 +#REF!</f>
        <v>#REF!</v>
      </c>
      <c r="P852" s="203" t="e">
        <f>#REF!*#REF!^5/(Conv!$I$5*Conv!$D$46)/10^6 +#REF!</f>
        <v>#REF!</v>
      </c>
      <c r="Q852" s="203" t="e">
        <f>#REF!*#REF!^5/(Conv!$I$5*Conv!$D$46)/10^6 +#REF!</f>
        <v>#REF!</v>
      </c>
      <c r="S852" s="177"/>
      <c r="T852" s="177"/>
      <c r="U852" s="177"/>
      <c r="V852" s="177"/>
      <c r="W852" s="177"/>
      <c r="X852" s="177"/>
      <c r="Y852" s="177"/>
      <c r="Z852" s="177"/>
      <c r="AA852" s="177"/>
      <c r="AB852" s="177"/>
      <c r="AC852" s="177"/>
    </row>
    <row r="853" spans="2:29">
      <c r="B853" s="158" t="str">
        <f>IF(OR(LEFT(Commodities!B$70,1)="*",LEFT(Technologies!B$518,1)="*"),"*","R1")</f>
        <v>*</v>
      </c>
      <c r="C853" s="158" t="e">
        <f>Technologies!C$568</f>
        <v>#REF!</v>
      </c>
      <c r="D853" s="158" t="str">
        <f>Technologies!D518</f>
        <v>Delivery of Imported Kerosene and Other Refined Products to the Residential Sector</v>
      </c>
      <c r="E853" s="197" t="str">
        <f>Commodities!C$96</f>
        <v>KERP3</v>
      </c>
      <c r="F853" s="197" t="e">
        <f>Commodities!C231</f>
        <v>#REF!</v>
      </c>
      <c r="G853" s="204">
        <v>1</v>
      </c>
      <c r="H853" s="203" t="e">
        <f>#REF!*#REF!^5/(Conv!$I$5*Conv!$D$46)/10^6 +#REF!</f>
        <v>#REF!</v>
      </c>
      <c r="I853" s="203" t="e">
        <f>#REF!*#REF!^5/(Conv!$I$5*Conv!$D$46)/10^6 +#REF!</f>
        <v>#REF!</v>
      </c>
      <c r="J853" s="203" t="e">
        <f>#REF!*#REF!^5/(Conv!$I$5*Conv!$D$46)/10^6 +#REF!</f>
        <v>#REF!</v>
      </c>
      <c r="K853" s="203" t="e">
        <f>#REF!*#REF!^5/(Conv!$I$5*Conv!$D$46)/10^6 +#REF!</f>
        <v>#REF!</v>
      </c>
      <c r="L853" s="203" t="e">
        <f>#REF!*#REF!^5/(Conv!$I$5*Conv!$D$46)/10^6 +#REF!</f>
        <v>#REF!</v>
      </c>
      <c r="M853" s="203" t="e">
        <f>#REF!*#REF!^5/(Conv!$I$5*Conv!$D$46)/10^6 +#REF!</f>
        <v>#REF!</v>
      </c>
      <c r="N853" s="203" t="e">
        <f>#REF!*#REF!^5/(Conv!$I$5*Conv!$D$46)/10^6 +#REF!</f>
        <v>#REF!</v>
      </c>
      <c r="O853" s="203" t="e">
        <f>#REF!*#REF!^5/(Conv!$I$5*Conv!$D$46)/10^6 +#REF!</f>
        <v>#REF!</v>
      </c>
      <c r="P853" s="203" t="e">
        <f>#REF!*#REF!^5/(Conv!$I$5*Conv!$D$46)/10^6 +#REF!</f>
        <v>#REF!</v>
      </c>
      <c r="Q853" s="203" t="e">
        <f>#REF!*#REF!^5/(Conv!$I$5*Conv!$D$46)/10^6 +#REF!</f>
        <v>#REF!</v>
      </c>
      <c r="S853" s="177"/>
      <c r="T853" s="177"/>
      <c r="U853" s="177"/>
      <c r="V853" s="177"/>
      <c r="W853" s="177"/>
      <c r="X853" s="177"/>
      <c r="Y853" s="177"/>
      <c r="Z853" s="177"/>
      <c r="AA853" s="177"/>
      <c r="AB853" s="177"/>
      <c r="AC853" s="177"/>
    </row>
    <row r="854" spans="2:29">
      <c r="B854" s="158" t="str">
        <f>IF(OR(LEFT(Commodities!B$70,1)="*",LEFT(Technologies!B$519,1)="*"),"*","R1")</f>
        <v>*</v>
      </c>
      <c r="C854" s="158" t="e">
        <f>Technologies!C$569</f>
        <v>#REF!</v>
      </c>
      <c r="D854" s="158" t="str">
        <f>Technologies!D519</f>
        <v>Delivery of Imported Kerosene and Other Refined Products to the Commercial Sector</v>
      </c>
      <c r="E854" s="197" t="str">
        <f>Commodities!C$96</f>
        <v>KERP3</v>
      </c>
      <c r="F854" s="197" t="e">
        <f>Commodities!C232</f>
        <v>#REF!</v>
      </c>
      <c r="G854" s="204">
        <v>1</v>
      </c>
      <c r="H854" s="203" t="e">
        <f>#REF!*#REF!^5/(Conv!$I$5*Conv!$D$46)/10^6 +#REF!</f>
        <v>#REF!</v>
      </c>
      <c r="I854" s="203" t="e">
        <f>#REF!*#REF!^5/(Conv!$I$5*Conv!$D$46)/10^6 +#REF!</f>
        <v>#REF!</v>
      </c>
      <c r="J854" s="203" t="e">
        <f>#REF!*#REF!^5/(Conv!$I$5*Conv!$D$46)/10^6 +#REF!</f>
        <v>#REF!</v>
      </c>
      <c r="K854" s="203" t="e">
        <f>#REF!*#REF!^5/(Conv!$I$5*Conv!$D$46)/10^6 +#REF!</f>
        <v>#REF!</v>
      </c>
      <c r="L854" s="203" t="e">
        <f>#REF!*#REF!^5/(Conv!$I$5*Conv!$D$46)/10^6 +#REF!</f>
        <v>#REF!</v>
      </c>
      <c r="M854" s="203" t="e">
        <f>#REF!*#REF!^5/(Conv!$I$5*Conv!$D$46)/10^6 +#REF!</f>
        <v>#REF!</v>
      </c>
      <c r="N854" s="203" t="e">
        <f>#REF!*#REF!^5/(Conv!$I$5*Conv!$D$46)/10^6 +#REF!</f>
        <v>#REF!</v>
      </c>
      <c r="O854" s="203" t="e">
        <f>#REF!*#REF!^5/(Conv!$I$5*Conv!$D$46)/10^6 +#REF!</f>
        <v>#REF!</v>
      </c>
      <c r="P854" s="203" t="e">
        <f>#REF!*#REF!^5/(Conv!$I$5*Conv!$D$46)/10^6 +#REF!</f>
        <v>#REF!</v>
      </c>
      <c r="Q854" s="203" t="e">
        <f>#REF!*#REF!^5/(Conv!$I$5*Conv!$D$46)/10^6 +#REF!</f>
        <v>#REF!</v>
      </c>
      <c r="S854" s="177"/>
      <c r="T854" s="177"/>
      <c r="U854" s="177"/>
      <c r="V854" s="177"/>
      <c r="W854" s="177"/>
      <c r="X854" s="177"/>
      <c r="Y854" s="177"/>
      <c r="Z854" s="177"/>
      <c r="AA854" s="177"/>
      <c r="AB854" s="177"/>
      <c r="AC854" s="177"/>
    </row>
    <row r="855" spans="2:29">
      <c r="B855" s="158" t="str">
        <f>IF(OR(LEFT(Commodities!B$70,1)="*",LEFT(Technologies!B$520,1)="*"),"*","R1")</f>
        <v>*</v>
      </c>
      <c r="C855" s="158" t="e">
        <f>Technologies!C$570</f>
        <v>#REF!</v>
      </c>
      <c r="D855" s="158" t="str">
        <f>Technologies!D520</f>
        <v>Delivery of Imported Kerosene and Other Refined Products to the Industrial Sector</v>
      </c>
      <c r="E855" s="197" t="str">
        <f>Commodities!C$96</f>
        <v>KERP3</v>
      </c>
      <c r="F855" s="197" t="e">
        <f>Commodities!C233</f>
        <v>#REF!</v>
      </c>
      <c r="G855" s="204">
        <v>1</v>
      </c>
      <c r="H855" s="203" t="e">
        <f>#REF!*#REF!^5/(Conv!$I$5*Conv!$D$46)/10^6 +#REF!</f>
        <v>#REF!</v>
      </c>
      <c r="I855" s="203" t="e">
        <f>#REF!*#REF!^5/(Conv!$I$5*Conv!$D$46)/10^6 +#REF!</f>
        <v>#REF!</v>
      </c>
      <c r="J855" s="203" t="e">
        <f>#REF!*#REF!^5/(Conv!$I$5*Conv!$D$46)/10^6 +#REF!</f>
        <v>#REF!</v>
      </c>
      <c r="K855" s="203" t="e">
        <f>#REF!*#REF!^5/(Conv!$I$5*Conv!$D$46)/10^6 +#REF!</f>
        <v>#REF!</v>
      </c>
      <c r="L855" s="203" t="e">
        <f>#REF!*#REF!^5/(Conv!$I$5*Conv!$D$46)/10^6 +#REF!</f>
        <v>#REF!</v>
      </c>
      <c r="M855" s="203" t="e">
        <f>#REF!*#REF!^5/(Conv!$I$5*Conv!$D$46)/10^6 +#REF!</f>
        <v>#REF!</v>
      </c>
      <c r="N855" s="203" t="e">
        <f>#REF!*#REF!^5/(Conv!$I$5*Conv!$D$46)/10^6 +#REF!</f>
        <v>#REF!</v>
      </c>
      <c r="O855" s="203" t="e">
        <f>#REF!*#REF!^5/(Conv!$I$5*Conv!$D$46)/10^6 +#REF!</f>
        <v>#REF!</v>
      </c>
      <c r="P855" s="203" t="e">
        <f>#REF!*#REF!^5/(Conv!$I$5*Conv!$D$46)/10^6 +#REF!</f>
        <v>#REF!</v>
      </c>
      <c r="Q855" s="203" t="e">
        <f>#REF!*#REF!^5/(Conv!$I$5*Conv!$D$46)/10^6 +#REF!</f>
        <v>#REF!</v>
      </c>
      <c r="S855" s="177"/>
      <c r="T855" s="177"/>
      <c r="U855" s="177"/>
      <c r="V855" s="177"/>
      <c r="W855" s="177"/>
      <c r="X855" s="177"/>
      <c r="Y855" s="177"/>
      <c r="Z855" s="177"/>
      <c r="AA855" s="177"/>
      <c r="AB855" s="177"/>
      <c r="AC855" s="177"/>
    </row>
    <row r="856" spans="2:29">
      <c r="B856" s="158" t="str">
        <f>IF(OR(LEFT(Commodities!B$71,1)="*",LEFT(Technologies!B$521,1)="*"),"*","R1")</f>
        <v>*</v>
      </c>
      <c r="C856" s="158" t="e">
        <f>Technologies!C$571</f>
        <v>#REF!</v>
      </c>
      <c r="D856" s="158" t="str">
        <f>Technologies!D521</f>
        <v>Delivery of Imported LPG to the Residential Sector</v>
      </c>
      <c r="E856" s="197" t="str">
        <f>Commodities!C$97</f>
        <v>LPGP3</v>
      </c>
      <c r="F856" s="197" t="e">
        <f>Commodities!C234</f>
        <v>#REF!</v>
      </c>
      <c r="G856" s="204">
        <v>1</v>
      </c>
      <c r="H856" s="203" t="e">
        <f>#REF!*#REF!^5/(Conv!$I$5*Conv!$D$46)/10^6 +#REF!</f>
        <v>#REF!</v>
      </c>
      <c r="I856" s="203" t="e">
        <f>#REF!*#REF!^5/(Conv!$I$5*Conv!$D$46)/10^6 +#REF!</f>
        <v>#REF!</v>
      </c>
      <c r="J856" s="203" t="e">
        <f>#REF!*#REF!^5/(Conv!$I$5*Conv!$D$46)/10^6 +#REF!</f>
        <v>#REF!</v>
      </c>
      <c r="K856" s="203" t="e">
        <f>#REF!*#REF!^5/(Conv!$I$5*Conv!$D$46)/10^6 +#REF!</f>
        <v>#REF!</v>
      </c>
      <c r="L856" s="203" t="e">
        <f>#REF!*#REF!^5/(Conv!$I$5*Conv!$D$46)/10^6 +#REF!</f>
        <v>#REF!</v>
      </c>
      <c r="M856" s="203" t="e">
        <f>#REF!*#REF!^5/(Conv!$I$5*Conv!$D$46)/10^6 +#REF!</f>
        <v>#REF!</v>
      </c>
      <c r="N856" s="203" t="e">
        <f>#REF!*#REF!^5/(Conv!$I$5*Conv!$D$46)/10^6 +#REF!</f>
        <v>#REF!</v>
      </c>
      <c r="O856" s="203" t="e">
        <f>#REF!*#REF!^5/(Conv!$I$5*Conv!$D$46)/10^6 +#REF!</f>
        <v>#REF!</v>
      </c>
      <c r="P856" s="203" t="e">
        <f>#REF!*#REF!^5/(Conv!$I$5*Conv!$D$46)/10^6 +#REF!</f>
        <v>#REF!</v>
      </c>
      <c r="Q856" s="203" t="e">
        <f>#REF!*#REF!^5/(Conv!$I$5*Conv!$D$46)/10^6 +#REF!</f>
        <v>#REF!</v>
      </c>
      <c r="S856" s="177"/>
      <c r="T856" s="177"/>
      <c r="U856" s="177"/>
      <c r="V856" s="177"/>
      <c r="W856" s="177"/>
      <c r="X856" s="177"/>
      <c r="Y856" s="177"/>
      <c r="Z856" s="177"/>
      <c r="AA856" s="177"/>
      <c r="AB856" s="177"/>
      <c r="AC856" s="177"/>
    </row>
    <row r="857" spans="2:29">
      <c r="B857" s="158" t="str">
        <f>IF(OR(LEFT(Commodities!B$71,1)="*",LEFT(Technologies!B$522,1)="*"),"*","R1")</f>
        <v>*</v>
      </c>
      <c r="C857" s="158" t="e">
        <f>Technologies!C$572</f>
        <v>#REF!</v>
      </c>
      <c r="D857" s="158" t="str">
        <f>Technologies!D522</f>
        <v>Delivery of Imported LPG to the Commercial Sector</v>
      </c>
      <c r="E857" s="197" t="str">
        <f>Commodities!C$97</f>
        <v>LPGP3</v>
      </c>
      <c r="F857" s="197" t="e">
        <f>Commodities!C235</f>
        <v>#REF!</v>
      </c>
      <c r="G857" s="204">
        <v>1</v>
      </c>
      <c r="H857" s="203" t="e">
        <f>#REF!*#REF!^5/(Conv!$I$5*Conv!$D$46)/10^6 +#REF!</f>
        <v>#REF!</v>
      </c>
      <c r="I857" s="203" t="e">
        <f>#REF!*#REF!^5/(Conv!$I$5*Conv!$D$46)/10^6 +#REF!</f>
        <v>#REF!</v>
      </c>
      <c r="J857" s="203" t="e">
        <f>#REF!*#REF!^5/(Conv!$I$5*Conv!$D$46)/10^6 +#REF!</f>
        <v>#REF!</v>
      </c>
      <c r="K857" s="203" t="e">
        <f>#REF!*#REF!^5/(Conv!$I$5*Conv!$D$46)/10^6 +#REF!</f>
        <v>#REF!</v>
      </c>
      <c r="L857" s="203" t="e">
        <f>#REF!*#REF!^5/(Conv!$I$5*Conv!$D$46)/10^6 +#REF!</f>
        <v>#REF!</v>
      </c>
      <c r="M857" s="203" t="e">
        <f>#REF!*#REF!^5/(Conv!$I$5*Conv!$D$46)/10^6 +#REF!</f>
        <v>#REF!</v>
      </c>
      <c r="N857" s="203" t="e">
        <f>#REF!*#REF!^5/(Conv!$I$5*Conv!$D$46)/10^6 +#REF!</f>
        <v>#REF!</v>
      </c>
      <c r="O857" s="203" t="e">
        <f>#REF!*#REF!^5/(Conv!$I$5*Conv!$D$46)/10^6 +#REF!</f>
        <v>#REF!</v>
      </c>
      <c r="P857" s="203" t="e">
        <f>#REF!*#REF!^5/(Conv!$I$5*Conv!$D$46)/10^6 +#REF!</f>
        <v>#REF!</v>
      </c>
      <c r="Q857" s="203" t="e">
        <f>#REF!*#REF!^5/(Conv!$I$5*Conv!$D$46)/10^6 +#REF!</f>
        <v>#REF!</v>
      </c>
      <c r="S857" s="177"/>
      <c r="T857" s="177"/>
      <c r="U857" s="177"/>
      <c r="V857" s="177"/>
      <c r="W857" s="177"/>
      <c r="X857" s="177"/>
      <c r="Y857" s="177"/>
      <c r="Z857" s="177"/>
      <c r="AA857" s="177"/>
      <c r="AB857" s="177"/>
      <c r="AC857" s="177"/>
    </row>
    <row r="858" spans="2:29">
      <c r="B858" s="158" t="str">
        <f>IF(OR(LEFT(Commodities!B$71,1)="*",LEFT(Technologies!B$523,1)="*"),"*","R1")</f>
        <v>*</v>
      </c>
      <c r="C858" s="158" t="e">
        <f>Technologies!C$573</f>
        <v>#REF!</v>
      </c>
      <c r="D858" s="158" t="str">
        <f>Technologies!D523</f>
        <v>Delivery of Imported LPG to the Industrial Sector</v>
      </c>
      <c r="E858" s="197" t="str">
        <f>Commodities!C$97</f>
        <v>LPGP3</v>
      </c>
      <c r="F858" s="197" t="e">
        <f>Commodities!C236</f>
        <v>#REF!</v>
      </c>
      <c r="G858" s="204">
        <v>1</v>
      </c>
      <c r="H858" s="203" t="e">
        <f>#REF!*#REF!^5/(Conv!$I$5*Conv!$D$46)/10^6 +#REF!</f>
        <v>#REF!</v>
      </c>
      <c r="I858" s="203" t="e">
        <f>#REF!*#REF!^5/(Conv!$I$5*Conv!$D$46)/10^6 +#REF!</f>
        <v>#REF!</v>
      </c>
      <c r="J858" s="203" t="e">
        <f>#REF!*#REF!^5/(Conv!$I$5*Conv!$D$46)/10^6 +#REF!</f>
        <v>#REF!</v>
      </c>
      <c r="K858" s="203" t="e">
        <f>#REF!*#REF!^5/(Conv!$I$5*Conv!$D$46)/10^6 +#REF!</f>
        <v>#REF!</v>
      </c>
      <c r="L858" s="203" t="e">
        <f>#REF!*#REF!^5/(Conv!$I$5*Conv!$D$46)/10^6 +#REF!</f>
        <v>#REF!</v>
      </c>
      <c r="M858" s="203" t="e">
        <f>#REF!*#REF!^5/(Conv!$I$5*Conv!$D$46)/10^6 +#REF!</f>
        <v>#REF!</v>
      </c>
      <c r="N858" s="203" t="e">
        <f>#REF!*#REF!^5/(Conv!$I$5*Conv!$D$46)/10^6 +#REF!</f>
        <v>#REF!</v>
      </c>
      <c r="O858" s="203" t="e">
        <f>#REF!*#REF!^5/(Conv!$I$5*Conv!$D$46)/10^6 +#REF!</f>
        <v>#REF!</v>
      </c>
      <c r="P858" s="203" t="e">
        <f>#REF!*#REF!^5/(Conv!$I$5*Conv!$D$46)/10^6 +#REF!</f>
        <v>#REF!</v>
      </c>
      <c r="Q858" s="203" t="e">
        <f>#REF!*#REF!^5/(Conv!$I$5*Conv!$D$46)/10^6 +#REF!</f>
        <v>#REF!</v>
      </c>
      <c r="S858" s="177"/>
      <c r="T858" s="177"/>
      <c r="U858" s="177"/>
      <c r="V858" s="177"/>
      <c r="W858" s="177"/>
      <c r="X858" s="177"/>
      <c r="Y858" s="177"/>
      <c r="Z858" s="177"/>
      <c r="AA858" s="177"/>
      <c r="AB858" s="177"/>
      <c r="AC858" s="177"/>
    </row>
    <row r="859" spans="2:29">
      <c r="B859" s="158" t="str">
        <f>IF(OR(LEFT(Commodities!B$71,1)="*",LEFT(Technologies!B$524,1)="*"),"*","R1")</f>
        <v>*</v>
      </c>
      <c r="C859" s="158" t="e">
        <f>Technologies!C$574</f>
        <v>#REF!</v>
      </c>
      <c r="D859" s="158" t="str">
        <f>Technologies!D524</f>
        <v>Delivery of Imported LPG to the Transportation Sector</v>
      </c>
      <c r="E859" s="197" t="str">
        <f>Commodities!C$97</f>
        <v>LPGP3</v>
      </c>
      <c r="F859" s="197" t="e">
        <f>Commodities!C237</f>
        <v>#REF!</v>
      </c>
      <c r="G859" s="204">
        <v>1</v>
      </c>
      <c r="H859" s="203" t="e">
        <f>#REF!*#REF!^5/(Conv!$I$5*Conv!$D$46)/10^6 +#REF!</f>
        <v>#REF!</v>
      </c>
      <c r="I859" s="203" t="e">
        <f>#REF!*#REF!^5/(Conv!$I$5*Conv!$D$46)/10^6 +#REF!</f>
        <v>#REF!</v>
      </c>
      <c r="J859" s="203" t="e">
        <f>#REF!*#REF!^5/(Conv!$I$5*Conv!$D$46)/10^6 +#REF!</f>
        <v>#REF!</v>
      </c>
      <c r="K859" s="203" t="e">
        <f>#REF!*#REF!^5/(Conv!$I$5*Conv!$D$46)/10^6 +#REF!</f>
        <v>#REF!</v>
      </c>
      <c r="L859" s="203" t="e">
        <f>#REF!*#REF!^5/(Conv!$I$5*Conv!$D$46)/10^6 +#REF!</f>
        <v>#REF!</v>
      </c>
      <c r="M859" s="203" t="e">
        <f>#REF!*#REF!^5/(Conv!$I$5*Conv!$D$46)/10^6 +#REF!</f>
        <v>#REF!</v>
      </c>
      <c r="N859" s="203" t="e">
        <f>#REF!*#REF!^5/(Conv!$I$5*Conv!$D$46)/10^6 +#REF!</f>
        <v>#REF!</v>
      </c>
      <c r="O859" s="203" t="e">
        <f>#REF!*#REF!^5/(Conv!$I$5*Conv!$D$46)/10^6 +#REF!</f>
        <v>#REF!</v>
      </c>
      <c r="P859" s="203" t="e">
        <f>#REF!*#REF!^5/(Conv!$I$5*Conv!$D$46)/10^6 +#REF!</f>
        <v>#REF!</v>
      </c>
      <c r="Q859" s="203" t="e">
        <f>#REF!*#REF!^5/(Conv!$I$5*Conv!$D$46)/10^6 +#REF!</f>
        <v>#REF!</v>
      </c>
      <c r="S859" s="177"/>
      <c r="T859" s="177"/>
      <c r="U859" s="177"/>
      <c r="V859" s="177"/>
      <c r="W859" s="177"/>
      <c r="X859" s="177"/>
      <c r="Y859" s="177"/>
      <c r="Z859" s="177"/>
      <c r="AA859" s="177"/>
      <c r="AB859" s="177"/>
      <c r="AC859" s="177"/>
    </row>
    <row r="860" spans="2:29">
      <c r="B860" s="158" t="str">
        <f>IF(LEFT(Technologies!B$525,1)="*","*","R1")</f>
        <v>*</v>
      </c>
      <c r="C860" s="158" t="e">
        <f>Technologies!C$575</f>
        <v>#REF!</v>
      </c>
      <c r="D860" s="158" t="str">
        <f>Technologies!D525</f>
        <v>Delivery of Imported Methanol</v>
      </c>
      <c r="E860" s="197" t="str">
        <f>Commodities!C$98</f>
        <v>MTHP3</v>
      </c>
      <c r="F860" s="197" t="s">
        <v>270</v>
      </c>
      <c r="G860" s="204">
        <v>1</v>
      </c>
      <c r="H860" s="203" t="e">
        <f>#REF!*#REF!^5/(Conv!$I$5*Conv!$D$46)/10^6 +#REF!</f>
        <v>#REF!</v>
      </c>
      <c r="I860" s="203" t="e">
        <f>#REF!*#REF!^5/(Conv!$I$5*Conv!$D$46)/10^6 +#REF!</f>
        <v>#REF!</v>
      </c>
      <c r="J860" s="203" t="e">
        <f>#REF!*#REF!^5/(Conv!$I$5*Conv!$D$46)/10^6 +#REF!</f>
        <v>#REF!</v>
      </c>
      <c r="K860" s="203" t="e">
        <f>#REF!*#REF!^5/(Conv!$I$5*Conv!$D$46)/10^6 +#REF!</f>
        <v>#REF!</v>
      </c>
      <c r="L860" s="203" t="e">
        <f>#REF!*#REF!^5/(Conv!$I$5*Conv!$D$46)/10^6 +#REF!</f>
        <v>#REF!</v>
      </c>
      <c r="M860" s="203" t="e">
        <f>#REF!*#REF!^5/(Conv!$I$5*Conv!$D$46)/10^6 +#REF!</f>
        <v>#REF!</v>
      </c>
      <c r="N860" s="203" t="e">
        <f>#REF!*#REF!^5/(Conv!$I$5*Conv!$D$46)/10^6 +#REF!</f>
        <v>#REF!</v>
      </c>
      <c r="O860" s="203" t="e">
        <f>#REF!*#REF!^5/(Conv!$I$5*Conv!$D$46)/10^6 +#REF!</f>
        <v>#REF!</v>
      </c>
      <c r="P860" s="203" t="e">
        <f>#REF!*#REF!^5/(Conv!$I$5*Conv!$D$46)/10^6 +#REF!</f>
        <v>#REF!</v>
      </c>
      <c r="Q860" s="203" t="e">
        <f>#REF!*#REF!^5/(Conv!$I$5*Conv!$D$46)/10^6 +#REF!</f>
        <v>#REF!</v>
      </c>
      <c r="S860" s="177"/>
      <c r="T860" s="177"/>
      <c r="U860" s="177"/>
      <c r="V860" s="177"/>
      <c r="W860" s="177"/>
      <c r="X860" s="177"/>
      <c r="Y860" s="177"/>
      <c r="Z860" s="177"/>
      <c r="AA860" s="177"/>
      <c r="AB860" s="177"/>
      <c r="AC860" s="177"/>
    </row>
    <row r="861" spans="2:29">
      <c r="B861" s="158" t="str">
        <f>IF(OR(LEFT(Commodities!B$239,1)="*",LEFT(Technologies!B$526,1)="*"),"*","R1")</f>
        <v>*</v>
      </c>
      <c r="C861" s="158" t="e">
        <f>Technologies!C$576</f>
        <v>#REF!</v>
      </c>
      <c r="D861" s="158" t="str">
        <f>Technologies!D526</f>
        <v>Delivery of Imported Petrochemical Feedstocks</v>
      </c>
      <c r="E861" s="197" t="str">
        <f>Commodities!C$99</f>
        <v>PFSP3</v>
      </c>
      <c r="F861" s="197" t="e">
        <f>Commodities!C239</f>
        <v>#REF!</v>
      </c>
      <c r="G861" s="204">
        <v>1</v>
      </c>
      <c r="H861" s="203" t="e">
        <f>#REF!*#REF!^5/(Conv!$I$5*Conv!$D$46)/10^6 +#REF!</f>
        <v>#REF!</v>
      </c>
      <c r="I861" s="203" t="e">
        <f>#REF!*#REF!^5/(Conv!$I$5*Conv!$D$46)/10^6 +#REF!</f>
        <v>#REF!</v>
      </c>
      <c r="J861" s="203" t="e">
        <f>#REF!*#REF!^5/(Conv!$I$5*Conv!$D$46)/10^6 +#REF!</f>
        <v>#REF!</v>
      </c>
      <c r="K861" s="203" t="e">
        <f>#REF!*#REF!^5/(Conv!$I$5*Conv!$D$46)/10^6 +#REF!</f>
        <v>#REF!</v>
      </c>
      <c r="L861" s="203" t="e">
        <f>#REF!*#REF!^5/(Conv!$I$5*Conv!$D$46)/10^6 +#REF!</f>
        <v>#REF!</v>
      </c>
      <c r="M861" s="203" t="e">
        <f>#REF!*#REF!^5/(Conv!$I$5*Conv!$D$46)/10^6 +#REF!</f>
        <v>#REF!</v>
      </c>
      <c r="N861" s="203" t="e">
        <f>#REF!*#REF!^5/(Conv!$I$5*Conv!$D$46)/10^6 +#REF!</f>
        <v>#REF!</v>
      </c>
      <c r="O861" s="203" t="e">
        <f>#REF!*#REF!^5/(Conv!$I$5*Conv!$D$46)/10^6 +#REF!</f>
        <v>#REF!</v>
      </c>
      <c r="P861" s="203" t="e">
        <f>#REF!*#REF!^5/(Conv!$I$5*Conv!$D$46)/10^6 +#REF!</f>
        <v>#REF!</v>
      </c>
      <c r="Q861" s="203" t="e">
        <f>#REF!*#REF!^5/(Conv!$I$5*Conv!$D$46)/10^6 +#REF!</f>
        <v>#REF!</v>
      </c>
      <c r="S861" s="177"/>
      <c r="T861" s="177"/>
      <c r="U861" s="177"/>
      <c r="V861" s="177"/>
      <c r="W861" s="177"/>
      <c r="X861" s="177"/>
      <c r="Y861" s="177"/>
      <c r="Z861" s="177"/>
      <c r="AA861" s="177"/>
      <c r="AB861" s="177"/>
      <c r="AC861" s="177"/>
    </row>
    <row r="862" spans="2:29">
      <c r="B862" s="158" t="str">
        <f>IF(OR(LEFT(Commodities!B$75,1)="*",LEFT(Technologies!B$527,1)="*"),"*","R1")</f>
        <v>*</v>
      </c>
      <c r="C862" s="158" t="str">
        <f>Technologies!C$577</f>
        <v>XIRESRFLP3</v>
      </c>
      <c r="D862" s="158" t="str">
        <f>D887</f>
        <v>Delivery of Imported Low Sulfur Residual Fuel Oil to Residential Sector</v>
      </c>
      <c r="E862" s="197" t="str">
        <f>Commodities!C$101</f>
        <v>RFLP3</v>
      </c>
      <c r="F862" s="197" t="str">
        <f>F887</f>
        <v>RESRFL</v>
      </c>
      <c r="G862" s="204"/>
      <c r="H862" s="203"/>
      <c r="I862" s="203"/>
      <c r="J862" s="203"/>
      <c r="K862" s="203"/>
      <c r="L862" s="203"/>
      <c r="M862" s="203"/>
      <c r="N862" s="203"/>
      <c r="O862" s="203"/>
      <c r="P862" s="203"/>
      <c r="Q862" s="203"/>
      <c r="S862" s="177"/>
      <c r="T862" s="177"/>
      <c r="U862" s="177"/>
      <c r="V862" s="177"/>
      <c r="W862" s="177"/>
      <c r="X862" s="177"/>
      <c r="Y862" s="177"/>
      <c r="Z862" s="177"/>
      <c r="AA862" s="177"/>
      <c r="AB862" s="177"/>
      <c r="AC862" s="177"/>
    </row>
    <row r="863" spans="2:29">
      <c r="B863" s="158" t="str">
        <f>IF(OR(LEFT(Commodities!B$75,1)="*",LEFT(Technologies!B$528,1)="*"),"*","R1")</f>
        <v>*</v>
      </c>
      <c r="C863" s="158" t="e">
        <f>Technologies!C$578</f>
        <v>#REF!</v>
      </c>
      <c r="D863" s="158" t="str">
        <f>Technologies!D528</f>
        <v>Delivery of Imported Low Sulfur Residual Fuel Oil to Commercial Sector</v>
      </c>
      <c r="E863" s="197" t="str">
        <f>Commodities!C$101</f>
        <v>RFLP3</v>
      </c>
      <c r="F863" s="197" t="e">
        <f>Commodities!C241</f>
        <v>#REF!</v>
      </c>
      <c r="G863" s="204">
        <v>1</v>
      </c>
      <c r="H863" s="203" t="e">
        <f>#REF!*#REF!^5/(Conv!$I$5*Conv!$D$46)/10^6 +#REF!</f>
        <v>#REF!</v>
      </c>
      <c r="I863" s="203" t="e">
        <f>#REF!*#REF!^5/(Conv!$I$5*Conv!$D$46)/10^6 +#REF!</f>
        <v>#REF!</v>
      </c>
      <c r="J863" s="203" t="e">
        <f>#REF!*#REF!^5/(Conv!$I$5*Conv!$D$46)/10^6 +#REF!</f>
        <v>#REF!</v>
      </c>
      <c r="K863" s="203" t="e">
        <f>#REF!*#REF!^5/(Conv!$I$5*Conv!$D$46)/10^6 +#REF!</f>
        <v>#REF!</v>
      </c>
      <c r="L863" s="203" t="e">
        <f>#REF!*#REF!^5/(Conv!$I$5*Conv!$D$46)/10^6 +#REF!</f>
        <v>#REF!</v>
      </c>
      <c r="M863" s="203" t="e">
        <f>#REF!*#REF!^5/(Conv!$I$5*Conv!$D$46)/10^6 +#REF!</f>
        <v>#REF!</v>
      </c>
      <c r="N863" s="203" t="e">
        <f>#REF!*#REF!^5/(Conv!$I$5*Conv!$D$46)/10^6 +#REF!</f>
        <v>#REF!</v>
      </c>
      <c r="O863" s="203" t="e">
        <f>#REF!*#REF!^5/(Conv!$I$5*Conv!$D$46)/10^6 +#REF!</f>
        <v>#REF!</v>
      </c>
      <c r="P863" s="203" t="e">
        <f>#REF!*#REF!^5/(Conv!$I$5*Conv!$D$46)/10^6 +#REF!</f>
        <v>#REF!</v>
      </c>
      <c r="Q863" s="203" t="e">
        <f>#REF!*#REF!^5/(Conv!$I$5*Conv!$D$46)/10^6 +#REF!</f>
        <v>#REF!</v>
      </c>
      <c r="S863" s="177"/>
      <c r="T863" s="177"/>
      <c r="U863" s="177"/>
      <c r="V863" s="177"/>
      <c r="W863" s="177"/>
      <c r="X863" s="177"/>
      <c r="Y863" s="177"/>
      <c r="Z863" s="177"/>
      <c r="AA863" s="177"/>
      <c r="AB863" s="177"/>
      <c r="AC863" s="177"/>
    </row>
    <row r="864" spans="2:29">
      <c r="B864" s="158" t="str">
        <f>IF(OR(LEFT(Commodities!B$75,1)="*",LEFT(Technologies!B$529,1)="*"),"*","R1")</f>
        <v>R1</v>
      </c>
      <c r="C864" s="158" t="e">
        <f>Technologies!C$579</f>
        <v>#REF!</v>
      </c>
      <c r="D864" s="158" t="str">
        <f>Technologies!D529</f>
        <v>Delivery of Imported Low Sulfur Residual Fuel Oil to Industrial Sector</v>
      </c>
      <c r="E864" s="197" t="str">
        <f>Commodities!C$101</f>
        <v>RFLP3</v>
      </c>
      <c r="F864" s="197" t="e">
        <f>Commodities!C242</f>
        <v>#REF!</v>
      </c>
      <c r="G864" s="204">
        <v>1</v>
      </c>
      <c r="H864" s="203" t="e">
        <f>#REF!*#REF!^5/(Conv!$I$5*Conv!$D$46)/10^6 +#REF!</f>
        <v>#REF!</v>
      </c>
      <c r="I864" s="203" t="e">
        <f>#REF!*#REF!^5/(Conv!$I$5*Conv!$D$46)/10^6 +#REF!</f>
        <v>#REF!</v>
      </c>
      <c r="J864" s="203" t="e">
        <f>#REF!*#REF!^5/(Conv!$I$5*Conv!$D$46)/10^6 +#REF!</f>
        <v>#REF!</v>
      </c>
      <c r="K864" s="203" t="e">
        <f>#REF!*#REF!^5/(Conv!$I$5*Conv!$D$46)/10^6 +#REF!</f>
        <v>#REF!</v>
      </c>
      <c r="L864" s="203" t="e">
        <f>#REF!*#REF!^5/(Conv!$I$5*Conv!$D$46)/10^6 +#REF!</f>
        <v>#REF!</v>
      </c>
      <c r="M864" s="203" t="e">
        <f>#REF!*#REF!^5/(Conv!$I$5*Conv!$D$46)/10^6 +#REF!</f>
        <v>#REF!</v>
      </c>
      <c r="N864" s="203" t="e">
        <f>#REF!*#REF!^5/(Conv!$I$5*Conv!$D$46)/10^6 +#REF!</f>
        <v>#REF!</v>
      </c>
      <c r="O864" s="203" t="e">
        <f>#REF!*#REF!^5/(Conv!$I$5*Conv!$D$46)/10^6 +#REF!</f>
        <v>#REF!</v>
      </c>
      <c r="P864" s="203" t="e">
        <f>#REF!*#REF!^5/(Conv!$I$5*Conv!$D$46)/10^6 +#REF!</f>
        <v>#REF!</v>
      </c>
      <c r="Q864" s="203" t="e">
        <f>#REF!*#REF!^5/(Conv!$I$5*Conv!$D$46)/10^6 +#REF!</f>
        <v>#REF!</v>
      </c>
      <c r="S864" s="177"/>
      <c r="T864" s="177"/>
      <c r="U864" s="177"/>
      <c r="V864" s="177"/>
      <c r="W864" s="177"/>
      <c r="X864" s="177"/>
      <c r="Y864" s="177"/>
      <c r="Z864" s="177"/>
      <c r="AA864" s="177"/>
      <c r="AB864" s="177"/>
      <c r="AC864" s="177"/>
    </row>
    <row r="865" spans="2:29">
      <c r="B865" s="158" t="str">
        <f>IF(OR(LEFT(Commodities!B$75,1)="*",LEFT(Technologies!B$530,1)="*"),"*","R1")</f>
        <v>*</v>
      </c>
      <c r="C865" s="158" t="e">
        <f>Technologies!C$580</f>
        <v>#REF!</v>
      </c>
      <c r="D865" s="158" t="str">
        <f>Technologies!D530</f>
        <v>Delivery of Imported Low Sulfur Residual Fuel Oil to Electricity Sector</v>
      </c>
      <c r="E865" s="197" t="str">
        <f>Commodities!C$101</f>
        <v>RFLP3</v>
      </c>
      <c r="F865" s="197" t="e">
        <f>Commodities!C243</f>
        <v>#REF!</v>
      </c>
      <c r="G865" s="204">
        <v>1</v>
      </c>
      <c r="H865" s="203" t="e">
        <f>#REF!*#REF!^5/(Conv!$I$5*Conv!$D$46)/10^6 +#REF!</f>
        <v>#REF!</v>
      </c>
      <c r="I865" s="203" t="e">
        <f>#REF!*#REF!^5/(Conv!$I$5*Conv!$D$46)/10^6 +#REF!</f>
        <v>#REF!</v>
      </c>
      <c r="J865" s="203" t="e">
        <f>#REF!*#REF!^5/(Conv!$I$5*Conv!$D$46)/10^6 +#REF!</f>
        <v>#REF!</v>
      </c>
      <c r="K865" s="203" t="e">
        <f>#REF!*#REF!^5/(Conv!$I$5*Conv!$D$46)/10^6 +#REF!</f>
        <v>#REF!</v>
      </c>
      <c r="L865" s="203" t="e">
        <f>#REF!*#REF!^5/(Conv!$I$5*Conv!$D$46)/10^6 +#REF!</f>
        <v>#REF!</v>
      </c>
      <c r="M865" s="203" t="e">
        <f>#REF!*#REF!^5/(Conv!$I$5*Conv!$D$46)/10^6 +#REF!</f>
        <v>#REF!</v>
      </c>
      <c r="N865" s="203" t="e">
        <f>#REF!*#REF!^5/(Conv!$I$5*Conv!$D$46)/10^6 +#REF!</f>
        <v>#REF!</v>
      </c>
      <c r="O865" s="203" t="e">
        <f>#REF!*#REF!^5/(Conv!$I$5*Conv!$D$46)/10^6 +#REF!</f>
        <v>#REF!</v>
      </c>
      <c r="P865" s="203" t="e">
        <f>#REF!*#REF!^5/(Conv!$I$5*Conv!$D$46)/10^6 +#REF!</f>
        <v>#REF!</v>
      </c>
      <c r="Q865" s="203" t="e">
        <f>#REF!*#REF!^5/(Conv!$I$5*Conv!$D$46)/10^6 +#REF!</f>
        <v>#REF!</v>
      </c>
      <c r="S865" s="177"/>
      <c r="T865" s="177"/>
      <c r="U865" s="177"/>
      <c r="V865" s="177"/>
      <c r="W865" s="177"/>
      <c r="X865" s="177"/>
      <c r="Y865" s="177"/>
      <c r="Z865" s="177"/>
      <c r="AA865" s="177"/>
      <c r="AB865" s="177"/>
      <c r="AC865" s="177"/>
    </row>
    <row r="866" spans="2:29">
      <c r="B866" s="158" t="str">
        <f>IF(OR(LEFT(Commodities!B$74,1)="*",LEFT(Technologies!B$531,1)="*"),"*","R1")</f>
        <v>*</v>
      </c>
      <c r="C866" s="158" t="e">
        <f>Technologies!C$581</f>
        <v>#REF!</v>
      </c>
      <c r="D866" s="158" t="str">
        <f>Technologies!D531</f>
        <v>Delivery of Imported High Sulfur Residual Fuel Oil to Transportation Sector</v>
      </c>
      <c r="E866" s="197" t="str">
        <f>Commodities!C127</f>
        <v>RFLP5</v>
      </c>
      <c r="F866" s="197" t="e">
        <f>Commodities!C244</f>
        <v>#REF!</v>
      </c>
      <c r="G866" s="204">
        <v>1</v>
      </c>
      <c r="H866" s="203" t="e">
        <f>#REF!*#REF!^5/(Conv!$I$5*Conv!$D$46)/10^6 +#REF!</f>
        <v>#REF!</v>
      </c>
      <c r="I866" s="203" t="e">
        <f>#REF!*#REF!^5/(Conv!$I$5*Conv!$D$46)/10^6 +#REF!</f>
        <v>#REF!</v>
      </c>
      <c r="J866" s="203" t="e">
        <f>#REF!*#REF!^5/(Conv!$I$5*Conv!$D$46)/10^6 +#REF!</f>
        <v>#REF!</v>
      </c>
      <c r="K866" s="203" t="e">
        <f>#REF!*#REF!^5/(Conv!$I$5*Conv!$D$46)/10^6 +#REF!</f>
        <v>#REF!</v>
      </c>
      <c r="L866" s="203" t="e">
        <f>#REF!*#REF!^5/(Conv!$I$5*Conv!$D$46)/10^6 +#REF!</f>
        <v>#REF!</v>
      </c>
      <c r="M866" s="203" t="e">
        <f>#REF!*#REF!^5/(Conv!$I$5*Conv!$D$46)/10^6 +#REF!</f>
        <v>#REF!</v>
      </c>
      <c r="N866" s="203" t="e">
        <f>#REF!*#REF!^5/(Conv!$I$5*Conv!$D$46)/10^6 +#REF!</f>
        <v>#REF!</v>
      </c>
      <c r="O866" s="203" t="e">
        <f>#REF!*#REF!^5/(Conv!$I$5*Conv!$D$46)/10^6 +#REF!</f>
        <v>#REF!</v>
      </c>
      <c r="P866" s="203" t="e">
        <f>#REF!*#REF!^5/(Conv!$I$5*Conv!$D$46)/10^6 +#REF!</f>
        <v>#REF!</v>
      </c>
      <c r="Q866" s="203" t="e">
        <f>#REF!*#REF!^5/(Conv!$I$5*Conv!$D$46)/10^6 +#REF!</f>
        <v>#REF!</v>
      </c>
      <c r="S866" s="177"/>
      <c r="T866" s="177"/>
      <c r="U866" s="177"/>
      <c r="V866" s="177"/>
      <c r="W866" s="177"/>
      <c r="X866" s="177"/>
      <c r="Y866" s="177"/>
      <c r="Z866" s="177"/>
      <c r="AA866" s="177"/>
      <c r="AB866" s="177"/>
      <c r="AC866" s="177"/>
    </row>
    <row r="867" spans="2:29">
      <c r="B867" s="158" t="str">
        <f>IF(OR(LEFT(Commodities!B$74,1)="*",LEFT(Technologies!B$532,1)="*"),"*","R1")</f>
        <v>*</v>
      </c>
      <c r="C867" s="158" t="e">
        <f>Technologies!C$582</f>
        <v>#REF!</v>
      </c>
      <c r="D867" s="158" t="str">
        <f>Technologies!D532</f>
        <v>Delivery of Imported High Sulfur Residual Fuel Oil to Electricity Sector</v>
      </c>
      <c r="E867" s="197" t="str">
        <f>Commodities!C128</f>
        <v>ASPP5</v>
      </c>
      <c r="F867" s="197" t="e">
        <f>Commodities!C245</f>
        <v>#REF!</v>
      </c>
      <c r="G867" s="204">
        <v>1</v>
      </c>
      <c r="H867" s="203" t="e">
        <f>#REF!*#REF!^5/(Conv!$I$5*Conv!$D$46)/10^6 +#REF!</f>
        <v>#REF!</v>
      </c>
      <c r="I867" s="203" t="e">
        <f>#REF!*#REF!^5/(Conv!$I$5*Conv!$D$46)/10^6 +#REF!</f>
        <v>#REF!</v>
      </c>
      <c r="J867" s="203" t="e">
        <f>#REF!*#REF!^5/(Conv!$I$5*Conv!$D$46)/10^6 +#REF!</f>
        <v>#REF!</v>
      </c>
      <c r="K867" s="203" t="e">
        <f>#REF!*#REF!^5/(Conv!$I$5*Conv!$D$46)/10^6 +#REF!</f>
        <v>#REF!</v>
      </c>
      <c r="L867" s="203" t="e">
        <f>#REF!*#REF!^5/(Conv!$I$5*Conv!$D$46)/10^6 +#REF!</f>
        <v>#REF!</v>
      </c>
      <c r="M867" s="203" t="e">
        <f>#REF!*#REF!^5/(Conv!$I$5*Conv!$D$46)/10^6 +#REF!</f>
        <v>#REF!</v>
      </c>
      <c r="N867" s="203" t="e">
        <f>#REF!*#REF!^5/(Conv!$I$5*Conv!$D$46)/10^6 +#REF!</f>
        <v>#REF!</v>
      </c>
      <c r="O867" s="203" t="e">
        <f>#REF!*#REF!^5/(Conv!$I$5*Conv!$D$46)/10^6 +#REF!</f>
        <v>#REF!</v>
      </c>
      <c r="P867" s="203" t="e">
        <f>#REF!*#REF!^5/(Conv!$I$5*Conv!$D$46)/10^6 +#REF!</f>
        <v>#REF!</v>
      </c>
      <c r="Q867" s="203" t="e">
        <f>#REF!*#REF!^5/(Conv!$I$5*Conv!$D$46)/10^6 +#REF!</f>
        <v>#REF!</v>
      </c>
      <c r="S867" s="177"/>
      <c r="T867" s="177"/>
      <c r="U867" s="177"/>
      <c r="V867" s="177"/>
      <c r="W867" s="177"/>
      <c r="X867" s="177"/>
      <c r="Y867" s="177"/>
      <c r="Z867" s="177"/>
      <c r="AA867" s="177"/>
      <c r="AB867" s="177"/>
      <c r="AC867" s="177"/>
    </row>
    <row r="868" spans="2:29">
      <c r="B868" s="160" t="s">
        <v>1031</v>
      </c>
      <c r="C868" s="160"/>
      <c r="D868" s="160"/>
      <c r="E868" s="196"/>
      <c r="F868" s="196"/>
      <c r="G868" s="200"/>
      <c r="H868" s="174"/>
      <c r="I868" s="174"/>
      <c r="J868" s="174"/>
      <c r="K868" s="174"/>
      <c r="L868" s="174"/>
      <c r="M868" s="174"/>
      <c r="N868" s="174"/>
      <c r="O868" s="174"/>
      <c r="P868" s="174"/>
      <c r="Q868" s="174"/>
      <c r="S868" s="177"/>
      <c r="T868" s="177"/>
      <c r="U868" s="177"/>
      <c r="V868" s="177"/>
      <c r="W868" s="177"/>
      <c r="X868" s="177"/>
      <c r="Y868" s="177"/>
      <c r="Z868" s="177"/>
      <c r="AA868" s="177"/>
      <c r="AB868" s="177"/>
      <c r="AC868" s="177"/>
    </row>
    <row r="869" spans="2:29">
      <c r="B869" s="158" t="str">
        <f>IF(LEFT(Technologies!B$509,1)="*","*","R2")</f>
        <v>R2</v>
      </c>
      <c r="C869" s="158" t="e">
        <f>Technologies!C$559</f>
        <v>#REF!</v>
      </c>
      <c r="D869" s="158" t="str">
        <f>Technologies!D509</f>
        <v>Delivery of Imported Conventional Gasoline</v>
      </c>
      <c r="E869" s="197" t="str">
        <f>Commodities!C$93</f>
        <v>GSCP3</v>
      </c>
      <c r="F869" s="197" t="e">
        <f>Commodities!C222</f>
        <v>#REF!</v>
      </c>
      <c r="G869" s="204">
        <v>1</v>
      </c>
      <c r="H869" s="203" t="e">
        <f>#REF!*#REF!^5/(Conv!$I$5*Conv!$D$46)/10^6 +#REF!</f>
        <v>#REF!</v>
      </c>
      <c r="I869" s="203" t="e">
        <f>#REF!*#REF!^5/(Conv!$I$5*Conv!$D$46)/10^6 +#REF!</f>
        <v>#REF!</v>
      </c>
      <c r="J869" s="203" t="e">
        <f>#REF!*#REF!^5/(Conv!$I$5*Conv!$D$46)/10^6 +#REF!</f>
        <v>#REF!</v>
      </c>
      <c r="K869" s="203" t="e">
        <f>#REF!*#REF!^5/(Conv!$I$5*Conv!$D$46)/10^6 +#REF!</f>
        <v>#REF!</v>
      </c>
      <c r="L869" s="203" t="e">
        <f>#REF!*#REF!^5/(Conv!$I$5*Conv!$D$46)/10^6 +#REF!</f>
        <v>#REF!</v>
      </c>
      <c r="M869" s="203" t="e">
        <f>#REF!*#REF!^5/(Conv!$I$5*Conv!$D$46)/10^6 +#REF!</f>
        <v>#REF!</v>
      </c>
      <c r="N869" s="203" t="e">
        <f>#REF!*#REF!^5/(Conv!$I$5*Conv!$D$46)/10^6 +#REF!</f>
        <v>#REF!</v>
      </c>
      <c r="O869" s="203" t="e">
        <f>#REF!*#REF!^5/(Conv!$I$5*Conv!$D$46)/10^6 +#REF!</f>
        <v>#REF!</v>
      </c>
      <c r="P869" s="203" t="e">
        <f>#REF!*#REF!^5/(Conv!$I$5*Conv!$D$46)/10^6 +#REF!</f>
        <v>#REF!</v>
      </c>
      <c r="Q869" s="203" t="e">
        <f>#REF!*#REF!^5/(Conv!$I$5*Conv!$D$46)/10^6 +#REF!</f>
        <v>#REF!</v>
      </c>
      <c r="S869" s="177"/>
      <c r="T869" s="177"/>
      <c r="U869" s="177"/>
      <c r="V869" s="177"/>
      <c r="W869" s="177"/>
      <c r="X869" s="177"/>
      <c r="Y869" s="177"/>
      <c r="Z869" s="177"/>
      <c r="AA869" s="177"/>
      <c r="AB869" s="177"/>
      <c r="AC869" s="177"/>
    </row>
    <row r="870" spans="2:29">
      <c r="B870" s="158" t="str">
        <f>IF(LEFT(Technologies!B$510,1)="*","*","R2")</f>
        <v>R2</v>
      </c>
      <c r="C870" s="158" t="e">
        <f>Technologies!C$560</f>
        <v>#REF!</v>
      </c>
      <c r="D870" s="158" t="str">
        <f>Technologies!D510</f>
        <v>Delivery of Imported Reformulated Gasoline</v>
      </c>
      <c r="E870" s="197" t="str">
        <f>Commodities!C$94</f>
        <v>GSRP3</v>
      </c>
      <c r="F870" s="197" t="e">
        <f>Commodities!C223</f>
        <v>#REF!</v>
      </c>
      <c r="G870" s="204">
        <v>1</v>
      </c>
      <c r="H870" s="203" t="e">
        <f>#REF!*#REF!^5/(Conv!$I$5*Conv!$D$46)/10^6 +#REF!</f>
        <v>#REF!</v>
      </c>
      <c r="I870" s="203" t="e">
        <f>#REF!*#REF!^5/(Conv!$I$5*Conv!$D$46)/10^6 +#REF!</f>
        <v>#REF!</v>
      </c>
      <c r="J870" s="203" t="e">
        <f>#REF!*#REF!^5/(Conv!$I$5*Conv!$D$46)/10^6 +#REF!</f>
        <v>#REF!</v>
      </c>
      <c r="K870" s="203" t="e">
        <f>#REF!*#REF!^5/(Conv!$I$5*Conv!$D$46)/10^6 +#REF!</f>
        <v>#REF!</v>
      </c>
      <c r="L870" s="203" t="e">
        <f>#REF!*#REF!^5/(Conv!$I$5*Conv!$D$46)/10^6 +#REF!</f>
        <v>#REF!</v>
      </c>
      <c r="M870" s="203" t="e">
        <f>#REF!*#REF!^5/(Conv!$I$5*Conv!$D$46)/10^6 +#REF!</f>
        <v>#REF!</v>
      </c>
      <c r="N870" s="203" t="e">
        <f>#REF!*#REF!^5/(Conv!$I$5*Conv!$D$46)/10^6 +#REF!</f>
        <v>#REF!</v>
      </c>
      <c r="O870" s="203" t="e">
        <f>#REF!*#REF!^5/(Conv!$I$5*Conv!$D$46)/10^6 +#REF!</f>
        <v>#REF!</v>
      </c>
      <c r="P870" s="203" t="e">
        <f>#REF!*#REF!^5/(Conv!$I$5*Conv!$D$46)/10^6 +#REF!</f>
        <v>#REF!</v>
      </c>
      <c r="Q870" s="203" t="e">
        <f>#REF!*#REF!^5/(Conv!$I$5*Conv!$D$46)/10^6 +#REF!</f>
        <v>#REF!</v>
      </c>
      <c r="S870" s="177"/>
      <c r="T870" s="177"/>
      <c r="U870" s="177"/>
      <c r="V870" s="177"/>
      <c r="W870" s="177"/>
      <c r="X870" s="177"/>
      <c r="Y870" s="177"/>
      <c r="Z870" s="177"/>
      <c r="AA870" s="177"/>
      <c r="AB870" s="177"/>
      <c r="AC870" s="177"/>
    </row>
    <row r="871" spans="2:29">
      <c r="B871" s="158" t="str">
        <f>IF(OR(LEFT(Commodities!B$64,1)="*",LEFT(Technologies!B$511,1)="*"),"*","R2")</f>
        <v>R2</v>
      </c>
      <c r="C871" s="158" t="e">
        <f>Technologies!C$561</f>
        <v>#REF!</v>
      </c>
      <c r="D871" s="158" t="str">
        <f>Technologies!D511</f>
        <v>Delivery of Imported Distillate-Heating Oil No. 2 to the Residential Sector</v>
      </c>
      <c r="E871" s="197" t="str">
        <f>Commodities!C$90</f>
        <v>DSHP3</v>
      </c>
      <c r="F871" s="197" t="e">
        <f>Commodities!C224</f>
        <v>#REF!</v>
      </c>
      <c r="G871" s="204">
        <v>1</v>
      </c>
      <c r="H871" s="203" t="e">
        <f>#REF!*#REF!^5/(Conv!$I$5*Conv!$D$46)/10^6 +#REF!</f>
        <v>#REF!</v>
      </c>
      <c r="I871" s="203" t="e">
        <f>#REF!*#REF!^5/(Conv!$I$5*Conv!$D$46)/10^6 +#REF!</f>
        <v>#REF!</v>
      </c>
      <c r="J871" s="203" t="e">
        <f>#REF!*#REF!^5/(Conv!$I$5*Conv!$D$46)/10^6 +#REF!</f>
        <v>#REF!</v>
      </c>
      <c r="K871" s="203" t="e">
        <f>#REF!*#REF!^5/(Conv!$I$5*Conv!$D$46)/10^6 +#REF!</f>
        <v>#REF!</v>
      </c>
      <c r="L871" s="203" t="e">
        <f>#REF!*#REF!^5/(Conv!$I$5*Conv!$D$46)/10^6 +#REF!</f>
        <v>#REF!</v>
      </c>
      <c r="M871" s="203" t="e">
        <f>#REF!*#REF!^5/(Conv!$I$5*Conv!$D$46)/10^6 +#REF!</f>
        <v>#REF!</v>
      </c>
      <c r="N871" s="203" t="e">
        <f>#REF!*#REF!^5/(Conv!$I$5*Conv!$D$46)/10^6 +#REF!</f>
        <v>#REF!</v>
      </c>
      <c r="O871" s="203" t="e">
        <f>#REF!*#REF!^5/(Conv!$I$5*Conv!$D$46)/10^6 +#REF!</f>
        <v>#REF!</v>
      </c>
      <c r="P871" s="203" t="e">
        <f>#REF!*#REF!^5/(Conv!$I$5*Conv!$D$46)/10^6 +#REF!</f>
        <v>#REF!</v>
      </c>
      <c r="Q871" s="203" t="e">
        <f>#REF!*#REF!^5/(Conv!$I$5*Conv!$D$46)/10^6 +#REF!</f>
        <v>#REF!</v>
      </c>
      <c r="S871" s="177"/>
      <c r="T871" s="177"/>
      <c r="U871" s="177"/>
      <c r="V871" s="177"/>
      <c r="W871" s="177"/>
      <c r="X871" s="177"/>
      <c r="Y871" s="177"/>
      <c r="Z871" s="177"/>
      <c r="AA871" s="177"/>
      <c r="AB871" s="177"/>
      <c r="AC871" s="177"/>
    </row>
    <row r="872" spans="2:29">
      <c r="B872" s="158" t="str">
        <f>IF(OR(LEFT(Commodities!B$64,1)="*",LEFT(Technologies!B$512,1)="*"),"*","R2")</f>
        <v>R2</v>
      </c>
      <c r="C872" s="158" t="e">
        <f>Technologies!C$562</f>
        <v>#REF!</v>
      </c>
      <c r="D872" s="158" t="str">
        <f>Technologies!D512</f>
        <v>Delivery of Imported Distillate-Heating Oil No. 2 to the Commercial Sector</v>
      </c>
      <c r="E872" s="197" t="str">
        <f>Commodities!C$90</f>
        <v>DSHP3</v>
      </c>
      <c r="F872" s="197" t="e">
        <f>Commodities!C225</f>
        <v>#REF!</v>
      </c>
      <c r="G872" s="204">
        <v>1</v>
      </c>
      <c r="H872" s="203" t="e">
        <f>#REF!*#REF!^5/(Conv!$I$5*Conv!$D$46)/10^6 +#REF!</f>
        <v>#REF!</v>
      </c>
      <c r="I872" s="203" t="e">
        <f>#REF!*#REF!^5/(Conv!$I$5*Conv!$D$46)/10^6 +#REF!</f>
        <v>#REF!</v>
      </c>
      <c r="J872" s="203" t="e">
        <f>#REF!*#REF!^5/(Conv!$I$5*Conv!$D$46)/10^6 +#REF!</f>
        <v>#REF!</v>
      </c>
      <c r="K872" s="203" t="e">
        <f>#REF!*#REF!^5/(Conv!$I$5*Conv!$D$46)/10^6 +#REF!</f>
        <v>#REF!</v>
      </c>
      <c r="L872" s="203" t="e">
        <f>#REF!*#REF!^5/(Conv!$I$5*Conv!$D$46)/10^6 +#REF!</f>
        <v>#REF!</v>
      </c>
      <c r="M872" s="203" t="e">
        <f>#REF!*#REF!^5/(Conv!$I$5*Conv!$D$46)/10^6 +#REF!</f>
        <v>#REF!</v>
      </c>
      <c r="N872" s="203" t="e">
        <f>#REF!*#REF!^5/(Conv!$I$5*Conv!$D$46)/10^6 +#REF!</f>
        <v>#REF!</v>
      </c>
      <c r="O872" s="203" t="e">
        <f>#REF!*#REF!^5/(Conv!$I$5*Conv!$D$46)/10^6 +#REF!</f>
        <v>#REF!</v>
      </c>
      <c r="P872" s="203" t="e">
        <f>#REF!*#REF!^5/(Conv!$I$5*Conv!$D$46)/10^6 +#REF!</f>
        <v>#REF!</v>
      </c>
      <c r="Q872" s="203" t="e">
        <f>#REF!*#REF!^5/(Conv!$I$5*Conv!$D$46)/10^6 +#REF!</f>
        <v>#REF!</v>
      </c>
      <c r="S872" s="177"/>
      <c r="T872" s="177"/>
      <c r="U872" s="177"/>
      <c r="V872" s="177"/>
      <c r="W872" s="177"/>
      <c r="X872" s="177"/>
      <c r="Y872" s="177"/>
      <c r="Z872" s="177"/>
      <c r="AA872" s="177"/>
      <c r="AB872" s="177"/>
      <c r="AC872" s="177"/>
    </row>
    <row r="873" spans="2:29">
      <c r="B873" s="158" t="str">
        <f>IF(OR(LEFT(Commodities!B$64,1)="*",LEFT(Technologies!B$513,1)="*"),"*","R2")</f>
        <v>*</v>
      </c>
      <c r="C873" s="158" t="e">
        <f>Technologies!C$563</f>
        <v>#REF!</v>
      </c>
      <c r="D873" s="158" t="str">
        <f>Technologies!D513</f>
        <v>Delivery of Imported Distillate-Heating Oil No. 2 to the Indistrial Sector</v>
      </c>
      <c r="E873" s="197" t="str">
        <f>Commodities!C$90</f>
        <v>DSHP3</v>
      </c>
      <c r="F873" s="197" t="e">
        <f>Commodities!C226</f>
        <v>#REF!</v>
      </c>
      <c r="G873" s="204">
        <v>1</v>
      </c>
      <c r="H873" s="203" t="e">
        <f>#REF!*#REF!^5/(Conv!$I$5*Conv!$D$46)/10^6 +#REF!</f>
        <v>#REF!</v>
      </c>
      <c r="I873" s="203" t="e">
        <f>#REF!*#REF!^5/(Conv!$I$5*Conv!$D$46)/10^6 +#REF!</f>
        <v>#REF!</v>
      </c>
      <c r="J873" s="203" t="e">
        <f>#REF!*#REF!^5/(Conv!$I$5*Conv!$D$46)/10^6 +#REF!</f>
        <v>#REF!</v>
      </c>
      <c r="K873" s="203" t="e">
        <f>#REF!*#REF!^5/(Conv!$I$5*Conv!$D$46)/10^6 +#REF!</f>
        <v>#REF!</v>
      </c>
      <c r="L873" s="203" t="e">
        <f>#REF!*#REF!^5/(Conv!$I$5*Conv!$D$46)/10^6 +#REF!</f>
        <v>#REF!</v>
      </c>
      <c r="M873" s="203" t="e">
        <f>#REF!*#REF!^5/(Conv!$I$5*Conv!$D$46)/10^6 +#REF!</f>
        <v>#REF!</v>
      </c>
      <c r="N873" s="203" t="e">
        <f>#REF!*#REF!^5/(Conv!$I$5*Conv!$D$46)/10^6 +#REF!</f>
        <v>#REF!</v>
      </c>
      <c r="O873" s="203" t="e">
        <f>#REF!*#REF!^5/(Conv!$I$5*Conv!$D$46)/10^6 +#REF!</f>
        <v>#REF!</v>
      </c>
      <c r="P873" s="203" t="e">
        <f>#REF!*#REF!^5/(Conv!$I$5*Conv!$D$46)/10^6 +#REF!</f>
        <v>#REF!</v>
      </c>
      <c r="Q873" s="203" t="e">
        <f>#REF!*#REF!^5/(Conv!$I$5*Conv!$D$46)/10^6 +#REF!</f>
        <v>#REF!</v>
      </c>
      <c r="S873" s="177"/>
      <c r="T873" s="177"/>
      <c r="U873" s="177"/>
      <c r="V873" s="177"/>
      <c r="W873" s="177"/>
      <c r="X873" s="177"/>
      <c r="Y873" s="177"/>
      <c r="Z873" s="177"/>
      <c r="AA873" s="177"/>
      <c r="AB873" s="177"/>
      <c r="AC873" s="177"/>
    </row>
    <row r="874" spans="2:29">
      <c r="B874" s="158" t="str">
        <f>IF(OR(LEFT(Commodities!B$64,1)="*",LEFT(Technologies!B$514,1)="*"),"*","R2")</f>
        <v>R2</v>
      </c>
      <c r="C874" s="158" t="e">
        <f>Technologies!C$564</f>
        <v>#REF!</v>
      </c>
      <c r="D874" s="158" t="str">
        <f>Technologies!D514</f>
        <v>Delivery of Imported Distillate-Heating Oil No. 2 to the Electricity Sector</v>
      </c>
      <c r="E874" s="197" t="str">
        <f>Commodities!C$90</f>
        <v>DSHP3</v>
      </c>
      <c r="F874" s="197" t="e">
        <f>Commodities!C227</f>
        <v>#REF!</v>
      </c>
      <c r="G874" s="204">
        <v>1</v>
      </c>
      <c r="H874" s="203" t="e">
        <f>#REF!*#REF!^5/(Conv!$I$5*Conv!$D$46)/10^6 +#REF!</f>
        <v>#REF!</v>
      </c>
      <c r="I874" s="203" t="e">
        <f>#REF!*#REF!^5/(Conv!$I$5*Conv!$D$46)/10^6 +#REF!</f>
        <v>#REF!</v>
      </c>
      <c r="J874" s="203" t="e">
        <f>#REF!*#REF!^5/(Conv!$I$5*Conv!$D$46)/10^6 +#REF!</f>
        <v>#REF!</v>
      </c>
      <c r="K874" s="203" t="e">
        <f>#REF!*#REF!^5/(Conv!$I$5*Conv!$D$46)/10^6 +#REF!</f>
        <v>#REF!</v>
      </c>
      <c r="L874" s="203" t="e">
        <f>#REF!*#REF!^5/(Conv!$I$5*Conv!$D$46)/10^6 +#REF!</f>
        <v>#REF!</v>
      </c>
      <c r="M874" s="203" t="e">
        <f>#REF!*#REF!^5/(Conv!$I$5*Conv!$D$46)/10^6 +#REF!</f>
        <v>#REF!</v>
      </c>
      <c r="N874" s="203" t="e">
        <f>#REF!*#REF!^5/(Conv!$I$5*Conv!$D$46)/10^6 +#REF!</f>
        <v>#REF!</v>
      </c>
      <c r="O874" s="203" t="e">
        <f>#REF!*#REF!^5/(Conv!$I$5*Conv!$D$46)/10^6 +#REF!</f>
        <v>#REF!</v>
      </c>
      <c r="P874" s="203" t="e">
        <f>#REF!*#REF!^5/(Conv!$I$5*Conv!$D$46)/10^6 +#REF!</f>
        <v>#REF!</v>
      </c>
      <c r="Q874" s="203" t="e">
        <f>#REF!*#REF!^5/(Conv!$I$5*Conv!$D$46)/10^6 +#REF!</f>
        <v>#REF!</v>
      </c>
      <c r="S874" s="177"/>
      <c r="T874" s="177"/>
      <c r="U874" s="177"/>
      <c r="V874" s="177"/>
      <c r="W874" s="177"/>
      <c r="X874" s="177"/>
      <c r="Y874" s="177"/>
      <c r="Z874" s="177"/>
      <c r="AA874" s="177"/>
      <c r="AB874" s="177"/>
      <c r="AC874" s="177"/>
    </row>
    <row r="875" spans="2:29">
      <c r="B875" s="158" t="str">
        <f>IF(OR(LEFT(Commodities!B$65,1)="*",LEFT(Technologies!B$515,1)="*"),"*","R2")</f>
        <v>R2</v>
      </c>
      <c r="C875" s="158" t="e">
        <f>Technologies!C$565</f>
        <v>#REF!</v>
      </c>
      <c r="D875" s="158" t="str">
        <f>Technologies!D515</f>
        <v>Delivery of Imported Distillate-Low Sulfur Highway Diesel (500 ppm)</v>
      </c>
      <c r="E875" s="197" t="str">
        <f>Commodities!C$91</f>
        <v>DSLP3</v>
      </c>
      <c r="F875" s="197" t="e">
        <f>Commodities!C228</f>
        <v>#REF!</v>
      </c>
      <c r="G875" s="204">
        <v>1</v>
      </c>
      <c r="H875" s="203" t="e">
        <f>#REF!*#REF!^5/(Conv!$I$5*Conv!$D$46)/10^6 +#REF!</f>
        <v>#REF!</v>
      </c>
      <c r="I875" s="203" t="e">
        <f>#REF!*#REF!^5/(Conv!$I$5*Conv!$D$46)/10^6 +#REF!</f>
        <v>#REF!</v>
      </c>
      <c r="J875" s="203" t="e">
        <f>#REF!*#REF!^5/(Conv!$I$5*Conv!$D$46)/10^6 +#REF!</f>
        <v>#REF!</v>
      </c>
      <c r="K875" s="203" t="e">
        <f>#REF!*#REF!^5/(Conv!$I$5*Conv!$D$46)/10^6 +#REF!</f>
        <v>#REF!</v>
      </c>
      <c r="L875" s="203" t="e">
        <f>#REF!*#REF!^5/(Conv!$I$5*Conv!$D$46)/10^6 +#REF!</f>
        <v>#REF!</v>
      </c>
      <c r="M875" s="203" t="e">
        <f>#REF!*#REF!^5/(Conv!$I$5*Conv!$D$46)/10^6 +#REF!</f>
        <v>#REF!</v>
      </c>
      <c r="N875" s="203" t="e">
        <f>#REF!*#REF!^5/(Conv!$I$5*Conv!$D$46)/10^6 +#REF!</f>
        <v>#REF!</v>
      </c>
      <c r="O875" s="203" t="e">
        <f>#REF!*#REF!^5/(Conv!$I$5*Conv!$D$46)/10^6 +#REF!</f>
        <v>#REF!</v>
      </c>
      <c r="P875" s="203" t="e">
        <f>#REF!*#REF!^5/(Conv!$I$5*Conv!$D$46)/10^6 +#REF!</f>
        <v>#REF!</v>
      </c>
      <c r="Q875" s="203" t="e">
        <f>#REF!*#REF!^5/(Conv!$I$5*Conv!$D$46)/10^6 +#REF!</f>
        <v>#REF!</v>
      </c>
      <c r="S875" s="177"/>
      <c r="T875" s="177"/>
      <c r="U875" s="177"/>
      <c r="V875" s="177"/>
      <c r="W875" s="177"/>
      <c r="X875" s="177"/>
      <c r="Y875" s="177"/>
      <c r="Z875" s="177"/>
      <c r="AA875" s="177"/>
      <c r="AB875" s="177"/>
      <c r="AC875" s="177"/>
    </row>
    <row r="876" spans="2:29">
      <c r="B876" s="158" t="str">
        <f>IF(OR(LEFT(Commodities!B$66,1)="*",LEFT(Technologies!B$516,1)="*"),"*","R2")</f>
        <v>R2</v>
      </c>
      <c r="C876" s="158" t="e">
        <f>Technologies!C$566</f>
        <v>#REF!</v>
      </c>
      <c r="D876" s="158" t="str">
        <f>Technologies!D516</f>
        <v>Delivery of Imported Distillate-Ultralow Sulfur Highway Diesel (15 ppm)</v>
      </c>
      <c r="E876" s="197" t="str">
        <f>Commodities!C$92</f>
        <v>DSUP3</v>
      </c>
      <c r="F876" s="197" t="e">
        <f>Commodities!C229</f>
        <v>#REF!</v>
      </c>
      <c r="G876" s="204">
        <v>1</v>
      </c>
      <c r="H876" s="203" t="e">
        <f>#REF!*#REF!^5/(Conv!$I$5*Conv!$D$46)/10^6 +#REF!</f>
        <v>#REF!</v>
      </c>
      <c r="I876" s="203" t="e">
        <f>#REF!*#REF!^5/(Conv!$I$5*Conv!$D$46)/10^6 +#REF!</f>
        <v>#REF!</v>
      </c>
      <c r="J876" s="203" t="e">
        <f>#REF!*#REF!^5/(Conv!$I$5*Conv!$D$46)/10^6 +#REF!</f>
        <v>#REF!</v>
      </c>
      <c r="K876" s="203" t="e">
        <f>#REF!*#REF!^5/(Conv!$I$5*Conv!$D$46)/10^6 +#REF!</f>
        <v>#REF!</v>
      </c>
      <c r="L876" s="203" t="e">
        <f>#REF!*#REF!^5/(Conv!$I$5*Conv!$D$46)/10^6 +#REF!</f>
        <v>#REF!</v>
      </c>
      <c r="M876" s="203" t="e">
        <f>#REF!*#REF!^5/(Conv!$I$5*Conv!$D$46)/10^6 +#REF!</f>
        <v>#REF!</v>
      </c>
      <c r="N876" s="203" t="e">
        <f>#REF!*#REF!^5/(Conv!$I$5*Conv!$D$46)/10^6 +#REF!</f>
        <v>#REF!</v>
      </c>
      <c r="O876" s="203" t="e">
        <f>#REF!*#REF!^5/(Conv!$I$5*Conv!$D$46)/10^6 +#REF!</f>
        <v>#REF!</v>
      </c>
      <c r="P876" s="203" t="e">
        <f>#REF!*#REF!^5/(Conv!$I$5*Conv!$D$46)/10^6 +#REF!</f>
        <v>#REF!</v>
      </c>
      <c r="Q876" s="203" t="e">
        <f>#REF!*#REF!^5/(Conv!$I$5*Conv!$D$46)/10^6 +#REF!</f>
        <v>#REF!</v>
      </c>
      <c r="S876" s="177"/>
      <c r="T876" s="177"/>
      <c r="U876" s="177"/>
      <c r="V876" s="177"/>
      <c r="W876" s="177"/>
      <c r="X876" s="177"/>
      <c r="Y876" s="177"/>
      <c r="Z876" s="177"/>
      <c r="AA876" s="177"/>
      <c r="AB876" s="177"/>
      <c r="AC876" s="177"/>
    </row>
    <row r="877" spans="2:29">
      <c r="B877" s="158" t="str">
        <f>IF(OR(LEFT(Commodities!B$69,1)="*",LEFT(Technologies!B$517,1)="*"),"*","R2")</f>
        <v>*</v>
      </c>
      <c r="C877" s="158" t="e">
        <f>Technologies!C$567</f>
        <v>#REF!</v>
      </c>
      <c r="D877" s="158" t="str">
        <f>Technologies!D517</f>
        <v>Delivery of Imported Jet Fuel</v>
      </c>
      <c r="E877" s="197" t="str">
        <f>Commodities!C$95</f>
        <v>JTFP3</v>
      </c>
      <c r="F877" s="197" t="e">
        <f>Commodities!C230</f>
        <v>#REF!</v>
      </c>
      <c r="G877" s="204">
        <v>1</v>
      </c>
      <c r="H877" s="203" t="e">
        <f>#REF!*#REF!^5/(Conv!$I$5*Conv!$D$46)/10^6 +#REF!</f>
        <v>#REF!</v>
      </c>
      <c r="I877" s="203" t="e">
        <f>#REF!*#REF!^5/(Conv!$I$5*Conv!$D$46)/10^6 +#REF!</f>
        <v>#REF!</v>
      </c>
      <c r="J877" s="203" t="e">
        <f>#REF!*#REF!^5/(Conv!$I$5*Conv!$D$46)/10^6 +#REF!</f>
        <v>#REF!</v>
      </c>
      <c r="K877" s="203" t="e">
        <f>#REF!*#REF!^5/(Conv!$I$5*Conv!$D$46)/10^6 +#REF!</f>
        <v>#REF!</v>
      </c>
      <c r="L877" s="203" t="e">
        <f>#REF!*#REF!^5/(Conv!$I$5*Conv!$D$46)/10^6 +#REF!</f>
        <v>#REF!</v>
      </c>
      <c r="M877" s="203" t="e">
        <f>#REF!*#REF!^5/(Conv!$I$5*Conv!$D$46)/10^6 +#REF!</f>
        <v>#REF!</v>
      </c>
      <c r="N877" s="203" t="e">
        <f>#REF!*#REF!^5/(Conv!$I$5*Conv!$D$46)/10^6 +#REF!</f>
        <v>#REF!</v>
      </c>
      <c r="O877" s="203" t="e">
        <f>#REF!*#REF!^5/(Conv!$I$5*Conv!$D$46)/10^6 +#REF!</f>
        <v>#REF!</v>
      </c>
      <c r="P877" s="203" t="e">
        <f>#REF!*#REF!^5/(Conv!$I$5*Conv!$D$46)/10^6 +#REF!</f>
        <v>#REF!</v>
      </c>
      <c r="Q877" s="203" t="e">
        <f>#REF!*#REF!^5/(Conv!$I$5*Conv!$D$46)/10^6 +#REF!</f>
        <v>#REF!</v>
      </c>
      <c r="S877" s="177"/>
      <c r="T877" s="177"/>
      <c r="U877" s="177"/>
      <c r="V877" s="177"/>
      <c r="W877" s="177"/>
      <c r="X877" s="177"/>
      <c r="Y877" s="177"/>
      <c r="Z877" s="177"/>
      <c r="AA877" s="177"/>
      <c r="AB877" s="177"/>
      <c r="AC877" s="177"/>
    </row>
    <row r="878" spans="2:29">
      <c r="B878" s="158" t="str">
        <f>IF(OR(LEFT(Commodities!B$70,1)="*",LEFT(Technologies!B$518,1)="*"),"*","R2")</f>
        <v>*</v>
      </c>
      <c r="C878" s="158" t="e">
        <f>Technologies!C$568</f>
        <v>#REF!</v>
      </c>
      <c r="D878" s="158" t="str">
        <f>Technologies!D518</f>
        <v>Delivery of Imported Kerosene and Other Refined Products to the Residential Sector</v>
      </c>
      <c r="E878" s="197" t="str">
        <f>Commodities!C$96</f>
        <v>KERP3</v>
      </c>
      <c r="F878" s="197" t="e">
        <f>Commodities!C231</f>
        <v>#REF!</v>
      </c>
      <c r="G878" s="204">
        <v>1</v>
      </c>
      <c r="H878" s="203" t="e">
        <f>#REF!*#REF!^5/(Conv!$I$5*Conv!$D$46)/10^6 +#REF!</f>
        <v>#REF!</v>
      </c>
      <c r="I878" s="203" t="e">
        <f>#REF!*#REF!^5/(Conv!$I$5*Conv!$D$46)/10^6 +#REF!</f>
        <v>#REF!</v>
      </c>
      <c r="J878" s="203" t="e">
        <f>#REF!*#REF!^5/(Conv!$I$5*Conv!$D$46)/10^6 +#REF!</f>
        <v>#REF!</v>
      </c>
      <c r="K878" s="203" t="e">
        <f>#REF!*#REF!^5/(Conv!$I$5*Conv!$D$46)/10^6 +#REF!</f>
        <v>#REF!</v>
      </c>
      <c r="L878" s="203" t="e">
        <f>#REF!*#REF!^5/(Conv!$I$5*Conv!$D$46)/10^6 +#REF!</f>
        <v>#REF!</v>
      </c>
      <c r="M878" s="203" t="e">
        <f>#REF!*#REF!^5/(Conv!$I$5*Conv!$D$46)/10^6 +#REF!</f>
        <v>#REF!</v>
      </c>
      <c r="N878" s="203" t="e">
        <f>#REF!*#REF!^5/(Conv!$I$5*Conv!$D$46)/10^6 +#REF!</f>
        <v>#REF!</v>
      </c>
      <c r="O878" s="203" t="e">
        <f>#REF!*#REF!^5/(Conv!$I$5*Conv!$D$46)/10^6 +#REF!</f>
        <v>#REF!</v>
      </c>
      <c r="P878" s="203" t="e">
        <f>#REF!*#REF!^5/(Conv!$I$5*Conv!$D$46)/10^6 +#REF!</f>
        <v>#REF!</v>
      </c>
      <c r="Q878" s="203" t="e">
        <f>#REF!*#REF!^5/(Conv!$I$5*Conv!$D$46)/10^6 +#REF!</f>
        <v>#REF!</v>
      </c>
      <c r="S878" s="177"/>
      <c r="T878" s="177"/>
      <c r="U878" s="177"/>
      <c r="V878" s="177"/>
      <c r="W878" s="177"/>
      <c r="X878" s="177"/>
      <c r="Y878" s="177"/>
      <c r="Z878" s="177"/>
      <c r="AA878" s="177"/>
      <c r="AB878" s="177"/>
      <c r="AC878" s="177"/>
    </row>
    <row r="879" spans="2:29">
      <c r="B879" s="158" t="str">
        <f>IF(OR(LEFT(Commodities!B$70,1)="*",LEFT(Technologies!B$519,1)="*"),"*","R2")</f>
        <v>*</v>
      </c>
      <c r="C879" s="158" t="e">
        <f>Technologies!C$569</f>
        <v>#REF!</v>
      </c>
      <c r="D879" s="158" t="str">
        <f>Technologies!D519</f>
        <v>Delivery of Imported Kerosene and Other Refined Products to the Commercial Sector</v>
      </c>
      <c r="E879" s="197" t="str">
        <f>Commodities!C$96</f>
        <v>KERP3</v>
      </c>
      <c r="F879" s="197" t="e">
        <f>Commodities!C232</f>
        <v>#REF!</v>
      </c>
      <c r="G879" s="204">
        <v>1</v>
      </c>
      <c r="H879" s="203" t="e">
        <f>#REF!*#REF!^5/(Conv!$I$5*Conv!$D$46)/10^6 +#REF!</f>
        <v>#REF!</v>
      </c>
      <c r="I879" s="203" t="e">
        <f>#REF!*#REF!^5/(Conv!$I$5*Conv!$D$46)/10^6 +#REF!</f>
        <v>#REF!</v>
      </c>
      <c r="J879" s="203" t="e">
        <f>#REF!*#REF!^5/(Conv!$I$5*Conv!$D$46)/10^6 +#REF!</f>
        <v>#REF!</v>
      </c>
      <c r="K879" s="203" t="e">
        <f>#REF!*#REF!^5/(Conv!$I$5*Conv!$D$46)/10^6 +#REF!</f>
        <v>#REF!</v>
      </c>
      <c r="L879" s="203" t="e">
        <f>#REF!*#REF!^5/(Conv!$I$5*Conv!$D$46)/10^6 +#REF!</f>
        <v>#REF!</v>
      </c>
      <c r="M879" s="203" t="e">
        <f>#REF!*#REF!^5/(Conv!$I$5*Conv!$D$46)/10^6 +#REF!</f>
        <v>#REF!</v>
      </c>
      <c r="N879" s="203" t="e">
        <f>#REF!*#REF!^5/(Conv!$I$5*Conv!$D$46)/10^6 +#REF!</f>
        <v>#REF!</v>
      </c>
      <c r="O879" s="203" t="e">
        <f>#REF!*#REF!^5/(Conv!$I$5*Conv!$D$46)/10^6 +#REF!</f>
        <v>#REF!</v>
      </c>
      <c r="P879" s="203" t="e">
        <f>#REF!*#REF!^5/(Conv!$I$5*Conv!$D$46)/10^6 +#REF!</f>
        <v>#REF!</v>
      </c>
      <c r="Q879" s="203" t="e">
        <f>#REF!*#REF!^5/(Conv!$I$5*Conv!$D$46)/10^6 +#REF!</f>
        <v>#REF!</v>
      </c>
      <c r="S879" s="177"/>
      <c r="T879" s="177"/>
      <c r="U879" s="177"/>
      <c r="V879" s="177"/>
      <c r="W879" s="177"/>
      <c r="X879" s="177"/>
      <c r="Y879" s="177"/>
      <c r="Z879" s="177"/>
      <c r="AA879" s="177"/>
      <c r="AB879" s="177"/>
      <c r="AC879" s="177"/>
    </row>
    <row r="880" spans="2:29">
      <c r="B880" s="158" t="str">
        <f>IF(OR(LEFT(Commodities!B$70,1)="*",LEFT(Technologies!B$520,1)="*"),"*","R2")</f>
        <v>*</v>
      </c>
      <c r="C880" s="158" t="e">
        <f>Technologies!C$570</f>
        <v>#REF!</v>
      </c>
      <c r="D880" s="158" t="str">
        <f>Technologies!D520</f>
        <v>Delivery of Imported Kerosene and Other Refined Products to the Industrial Sector</v>
      </c>
      <c r="E880" s="197" t="str">
        <f>Commodities!C$96</f>
        <v>KERP3</v>
      </c>
      <c r="F880" s="197" t="e">
        <f>Commodities!C233</f>
        <v>#REF!</v>
      </c>
      <c r="G880" s="204">
        <v>1</v>
      </c>
      <c r="H880" s="203" t="e">
        <f>#REF!*#REF!^5/(Conv!$I$5*Conv!$D$46)/10^6 +#REF!</f>
        <v>#REF!</v>
      </c>
      <c r="I880" s="203" t="e">
        <f>#REF!*#REF!^5/(Conv!$I$5*Conv!$D$46)/10^6 +#REF!</f>
        <v>#REF!</v>
      </c>
      <c r="J880" s="203" t="e">
        <f>#REF!*#REF!^5/(Conv!$I$5*Conv!$D$46)/10^6 +#REF!</f>
        <v>#REF!</v>
      </c>
      <c r="K880" s="203" t="e">
        <f>#REF!*#REF!^5/(Conv!$I$5*Conv!$D$46)/10^6 +#REF!</f>
        <v>#REF!</v>
      </c>
      <c r="L880" s="203" t="e">
        <f>#REF!*#REF!^5/(Conv!$I$5*Conv!$D$46)/10^6 +#REF!</f>
        <v>#REF!</v>
      </c>
      <c r="M880" s="203" t="e">
        <f>#REF!*#REF!^5/(Conv!$I$5*Conv!$D$46)/10^6 +#REF!</f>
        <v>#REF!</v>
      </c>
      <c r="N880" s="203" t="e">
        <f>#REF!*#REF!^5/(Conv!$I$5*Conv!$D$46)/10^6 +#REF!</f>
        <v>#REF!</v>
      </c>
      <c r="O880" s="203" t="e">
        <f>#REF!*#REF!^5/(Conv!$I$5*Conv!$D$46)/10^6 +#REF!</f>
        <v>#REF!</v>
      </c>
      <c r="P880" s="203" t="e">
        <f>#REF!*#REF!^5/(Conv!$I$5*Conv!$D$46)/10^6 +#REF!</f>
        <v>#REF!</v>
      </c>
      <c r="Q880" s="203" t="e">
        <f>#REF!*#REF!^5/(Conv!$I$5*Conv!$D$46)/10^6 +#REF!</f>
        <v>#REF!</v>
      </c>
      <c r="S880" s="177"/>
      <c r="T880" s="177"/>
      <c r="U880" s="177"/>
      <c r="V880" s="177"/>
      <c r="W880" s="177"/>
      <c r="X880" s="177"/>
      <c r="Y880" s="177"/>
      <c r="Z880" s="177"/>
      <c r="AA880" s="177"/>
      <c r="AB880" s="177"/>
      <c r="AC880" s="177"/>
    </row>
    <row r="881" spans="2:29">
      <c r="B881" s="158" t="str">
        <f>IF(OR(LEFT(Commodities!B$71,1)="*",LEFT(Technologies!B$521,1)="*"),"*","R2")</f>
        <v>*</v>
      </c>
      <c r="C881" s="158" t="e">
        <f>Technologies!C$571</f>
        <v>#REF!</v>
      </c>
      <c r="D881" s="158" t="str">
        <f>Technologies!D521</f>
        <v>Delivery of Imported LPG to the Residential Sector</v>
      </c>
      <c r="E881" s="197" t="str">
        <f>Commodities!C$97</f>
        <v>LPGP3</v>
      </c>
      <c r="F881" s="197" t="e">
        <f>Commodities!C234</f>
        <v>#REF!</v>
      </c>
      <c r="G881" s="204">
        <v>1</v>
      </c>
      <c r="H881" s="203" t="e">
        <f>#REF!*#REF!^5/(Conv!$I$5*Conv!$D$46)/10^6 +#REF!</f>
        <v>#REF!</v>
      </c>
      <c r="I881" s="203" t="e">
        <f>#REF!*#REF!^5/(Conv!$I$5*Conv!$D$46)/10^6 +#REF!</f>
        <v>#REF!</v>
      </c>
      <c r="J881" s="203" t="e">
        <f>#REF!*#REF!^5/(Conv!$I$5*Conv!$D$46)/10^6 +#REF!</f>
        <v>#REF!</v>
      </c>
      <c r="K881" s="203" t="e">
        <f>#REF!*#REF!^5/(Conv!$I$5*Conv!$D$46)/10^6 +#REF!</f>
        <v>#REF!</v>
      </c>
      <c r="L881" s="203" t="e">
        <f>#REF!*#REF!^5/(Conv!$I$5*Conv!$D$46)/10^6 +#REF!</f>
        <v>#REF!</v>
      </c>
      <c r="M881" s="203" t="e">
        <f>#REF!*#REF!^5/(Conv!$I$5*Conv!$D$46)/10^6 +#REF!</f>
        <v>#REF!</v>
      </c>
      <c r="N881" s="203" t="e">
        <f>#REF!*#REF!^5/(Conv!$I$5*Conv!$D$46)/10^6 +#REF!</f>
        <v>#REF!</v>
      </c>
      <c r="O881" s="203" t="e">
        <f>#REF!*#REF!^5/(Conv!$I$5*Conv!$D$46)/10^6 +#REF!</f>
        <v>#REF!</v>
      </c>
      <c r="P881" s="203" t="e">
        <f>#REF!*#REF!^5/(Conv!$I$5*Conv!$D$46)/10^6 +#REF!</f>
        <v>#REF!</v>
      </c>
      <c r="Q881" s="203" t="e">
        <f>#REF!*#REF!^5/(Conv!$I$5*Conv!$D$46)/10^6 +#REF!</f>
        <v>#REF!</v>
      </c>
      <c r="S881" s="177"/>
      <c r="T881" s="177"/>
      <c r="U881" s="177"/>
      <c r="V881" s="177"/>
      <c r="W881" s="177"/>
      <c r="X881" s="177"/>
      <c r="Y881" s="177"/>
      <c r="Z881" s="177"/>
      <c r="AA881" s="177"/>
      <c r="AB881" s="177"/>
      <c r="AC881" s="177"/>
    </row>
    <row r="882" spans="2:29">
      <c r="B882" s="158" t="str">
        <f>IF(OR(LEFT(Commodities!B$71,1)="*",LEFT(Technologies!B$522,1)="*"),"*","R2")</f>
        <v>*</v>
      </c>
      <c r="C882" s="158" t="e">
        <f>Technologies!C$572</f>
        <v>#REF!</v>
      </c>
      <c r="D882" s="158" t="str">
        <f>Technologies!D522</f>
        <v>Delivery of Imported LPG to the Commercial Sector</v>
      </c>
      <c r="E882" s="197" t="str">
        <f>Commodities!C$97</f>
        <v>LPGP3</v>
      </c>
      <c r="F882" s="197" t="e">
        <f>Commodities!C235</f>
        <v>#REF!</v>
      </c>
      <c r="G882" s="204">
        <v>1</v>
      </c>
      <c r="H882" s="203" t="e">
        <f>#REF!*#REF!^5/(Conv!$I$5*Conv!$D$46)/10^6 +#REF!</f>
        <v>#REF!</v>
      </c>
      <c r="I882" s="203" t="e">
        <f>#REF!*#REF!^5/(Conv!$I$5*Conv!$D$46)/10^6 +#REF!</f>
        <v>#REF!</v>
      </c>
      <c r="J882" s="203" t="e">
        <f>#REF!*#REF!^5/(Conv!$I$5*Conv!$D$46)/10^6 +#REF!</f>
        <v>#REF!</v>
      </c>
      <c r="K882" s="203" t="e">
        <f>#REF!*#REF!^5/(Conv!$I$5*Conv!$D$46)/10^6 +#REF!</f>
        <v>#REF!</v>
      </c>
      <c r="L882" s="203" t="e">
        <f>#REF!*#REF!^5/(Conv!$I$5*Conv!$D$46)/10^6 +#REF!</f>
        <v>#REF!</v>
      </c>
      <c r="M882" s="203" t="e">
        <f>#REF!*#REF!^5/(Conv!$I$5*Conv!$D$46)/10^6 +#REF!</f>
        <v>#REF!</v>
      </c>
      <c r="N882" s="203" t="e">
        <f>#REF!*#REF!^5/(Conv!$I$5*Conv!$D$46)/10^6 +#REF!</f>
        <v>#REF!</v>
      </c>
      <c r="O882" s="203" t="e">
        <f>#REF!*#REF!^5/(Conv!$I$5*Conv!$D$46)/10^6 +#REF!</f>
        <v>#REF!</v>
      </c>
      <c r="P882" s="203" t="e">
        <f>#REF!*#REF!^5/(Conv!$I$5*Conv!$D$46)/10^6 +#REF!</f>
        <v>#REF!</v>
      </c>
      <c r="Q882" s="203" t="e">
        <f>#REF!*#REF!^5/(Conv!$I$5*Conv!$D$46)/10^6 +#REF!</f>
        <v>#REF!</v>
      </c>
      <c r="S882" s="177"/>
      <c r="T882" s="177"/>
      <c r="U882" s="177"/>
      <c r="V882" s="177"/>
      <c r="W882" s="177"/>
      <c r="X882" s="177"/>
      <c r="Y882" s="177"/>
      <c r="Z882" s="177"/>
      <c r="AA882" s="177"/>
      <c r="AB882" s="177"/>
      <c r="AC882" s="177"/>
    </row>
    <row r="883" spans="2:29">
      <c r="B883" s="158" t="str">
        <f>IF(OR(LEFT(Commodities!B$71,1)="*",LEFT(Technologies!B$523,1)="*"),"*","R2")</f>
        <v>*</v>
      </c>
      <c r="C883" s="158" t="e">
        <f>Technologies!C$573</f>
        <v>#REF!</v>
      </c>
      <c r="D883" s="158" t="str">
        <f>Technologies!D523</f>
        <v>Delivery of Imported LPG to the Industrial Sector</v>
      </c>
      <c r="E883" s="197" t="str">
        <f>Commodities!C$97</f>
        <v>LPGP3</v>
      </c>
      <c r="F883" s="197" t="e">
        <f>Commodities!C236</f>
        <v>#REF!</v>
      </c>
      <c r="G883" s="204">
        <v>1</v>
      </c>
      <c r="H883" s="203" t="e">
        <f>#REF!*#REF!^5/(Conv!$I$5*Conv!$D$46)/10^6 +#REF!</f>
        <v>#REF!</v>
      </c>
      <c r="I883" s="203" t="e">
        <f>#REF!*#REF!^5/(Conv!$I$5*Conv!$D$46)/10^6 +#REF!</f>
        <v>#REF!</v>
      </c>
      <c r="J883" s="203" t="e">
        <f>#REF!*#REF!^5/(Conv!$I$5*Conv!$D$46)/10^6 +#REF!</f>
        <v>#REF!</v>
      </c>
      <c r="K883" s="203" t="e">
        <f>#REF!*#REF!^5/(Conv!$I$5*Conv!$D$46)/10^6 +#REF!</f>
        <v>#REF!</v>
      </c>
      <c r="L883" s="203" t="e">
        <f>#REF!*#REF!^5/(Conv!$I$5*Conv!$D$46)/10^6 +#REF!</f>
        <v>#REF!</v>
      </c>
      <c r="M883" s="203" t="e">
        <f>#REF!*#REF!^5/(Conv!$I$5*Conv!$D$46)/10^6 +#REF!</f>
        <v>#REF!</v>
      </c>
      <c r="N883" s="203" t="e">
        <f>#REF!*#REF!^5/(Conv!$I$5*Conv!$D$46)/10^6 +#REF!</f>
        <v>#REF!</v>
      </c>
      <c r="O883" s="203" t="e">
        <f>#REF!*#REF!^5/(Conv!$I$5*Conv!$D$46)/10^6 +#REF!</f>
        <v>#REF!</v>
      </c>
      <c r="P883" s="203" t="e">
        <f>#REF!*#REF!^5/(Conv!$I$5*Conv!$D$46)/10^6 +#REF!</f>
        <v>#REF!</v>
      </c>
      <c r="Q883" s="203" t="e">
        <f>#REF!*#REF!^5/(Conv!$I$5*Conv!$D$46)/10^6 +#REF!</f>
        <v>#REF!</v>
      </c>
      <c r="S883" s="177"/>
      <c r="T883" s="177"/>
      <c r="U883" s="177"/>
      <c r="V883" s="177"/>
      <c r="W883" s="177"/>
      <c r="X883" s="177"/>
      <c r="Y883" s="177"/>
      <c r="Z883" s="177"/>
      <c r="AA883" s="177"/>
      <c r="AB883" s="177"/>
      <c r="AC883" s="177"/>
    </row>
    <row r="884" spans="2:29">
      <c r="B884" s="158" t="str">
        <f>IF(OR(LEFT(Commodities!B$71,1)="*",LEFT(Technologies!B$524,1)="*"),"*","R2")</f>
        <v>*</v>
      </c>
      <c r="C884" s="158" t="e">
        <f>Technologies!C$574</f>
        <v>#REF!</v>
      </c>
      <c r="D884" s="158" t="str">
        <f>Technologies!D524</f>
        <v>Delivery of Imported LPG to the Transportation Sector</v>
      </c>
      <c r="E884" s="197" t="str">
        <f>Commodities!C$97</f>
        <v>LPGP3</v>
      </c>
      <c r="F884" s="197" t="e">
        <f>Commodities!C237</f>
        <v>#REF!</v>
      </c>
      <c r="G884" s="204">
        <v>1</v>
      </c>
      <c r="H884" s="203" t="e">
        <f>#REF!*#REF!^5/(Conv!$I$5*Conv!$D$46)/10^6 +#REF!</f>
        <v>#REF!</v>
      </c>
      <c r="I884" s="203" t="e">
        <f>#REF!*#REF!^5/(Conv!$I$5*Conv!$D$46)/10^6 +#REF!</f>
        <v>#REF!</v>
      </c>
      <c r="J884" s="203" t="e">
        <f>#REF!*#REF!^5/(Conv!$I$5*Conv!$D$46)/10^6 +#REF!</f>
        <v>#REF!</v>
      </c>
      <c r="K884" s="203" t="e">
        <f>#REF!*#REF!^5/(Conv!$I$5*Conv!$D$46)/10^6 +#REF!</f>
        <v>#REF!</v>
      </c>
      <c r="L884" s="203" t="e">
        <f>#REF!*#REF!^5/(Conv!$I$5*Conv!$D$46)/10^6 +#REF!</f>
        <v>#REF!</v>
      </c>
      <c r="M884" s="203" t="e">
        <f>#REF!*#REF!^5/(Conv!$I$5*Conv!$D$46)/10^6 +#REF!</f>
        <v>#REF!</v>
      </c>
      <c r="N884" s="203" t="e">
        <f>#REF!*#REF!^5/(Conv!$I$5*Conv!$D$46)/10^6 +#REF!</f>
        <v>#REF!</v>
      </c>
      <c r="O884" s="203" t="e">
        <f>#REF!*#REF!^5/(Conv!$I$5*Conv!$D$46)/10^6 +#REF!</f>
        <v>#REF!</v>
      </c>
      <c r="P884" s="203" t="e">
        <f>#REF!*#REF!^5/(Conv!$I$5*Conv!$D$46)/10^6 +#REF!</f>
        <v>#REF!</v>
      </c>
      <c r="Q884" s="203" t="e">
        <f>#REF!*#REF!^5/(Conv!$I$5*Conv!$D$46)/10^6 +#REF!</f>
        <v>#REF!</v>
      </c>
      <c r="S884" s="177"/>
      <c r="T884" s="177"/>
      <c r="U884" s="177"/>
      <c r="V884" s="177"/>
      <c r="W884" s="177"/>
      <c r="X884" s="177"/>
      <c r="Y884" s="177"/>
      <c r="Z884" s="177"/>
      <c r="AA884" s="177"/>
      <c r="AB884" s="177"/>
      <c r="AC884" s="177"/>
    </row>
    <row r="885" spans="2:29">
      <c r="B885" s="158" t="str">
        <f>IF(LEFT(Technologies!B$525,1)="*","*","R2")</f>
        <v>*</v>
      </c>
      <c r="C885" s="158" t="e">
        <f>Technologies!C$575</f>
        <v>#REF!</v>
      </c>
      <c r="D885" s="158" t="str">
        <f>Technologies!D525</f>
        <v>Delivery of Imported Methanol</v>
      </c>
      <c r="E885" s="197" t="str">
        <f>Commodities!C$98</f>
        <v>MTHP3</v>
      </c>
      <c r="F885" s="197" t="e">
        <f>Commodities!C238</f>
        <v>#REF!</v>
      </c>
      <c r="G885" s="204">
        <v>1</v>
      </c>
      <c r="H885" s="203" t="e">
        <f>#REF!*#REF!^5/(Conv!$I$5*Conv!$D$46)/10^6 +#REF!</f>
        <v>#REF!</v>
      </c>
      <c r="I885" s="203" t="e">
        <f>#REF!*#REF!^5/(Conv!$I$5*Conv!$D$46)/10^6 +#REF!</f>
        <v>#REF!</v>
      </c>
      <c r="J885" s="203" t="e">
        <f>#REF!*#REF!^5/(Conv!$I$5*Conv!$D$46)/10^6 +#REF!</f>
        <v>#REF!</v>
      </c>
      <c r="K885" s="203" t="e">
        <f>#REF!*#REF!^5/(Conv!$I$5*Conv!$D$46)/10^6 +#REF!</f>
        <v>#REF!</v>
      </c>
      <c r="L885" s="203" t="e">
        <f>#REF!*#REF!^5/(Conv!$I$5*Conv!$D$46)/10^6 +#REF!</f>
        <v>#REF!</v>
      </c>
      <c r="M885" s="203" t="e">
        <f>#REF!*#REF!^5/(Conv!$I$5*Conv!$D$46)/10^6 +#REF!</f>
        <v>#REF!</v>
      </c>
      <c r="N885" s="203" t="e">
        <f>#REF!*#REF!^5/(Conv!$I$5*Conv!$D$46)/10^6 +#REF!</f>
        <v>#REF!</v>
      </c>
      <c r="O885" s="203" t="e">
        <f>#REF!*#REF!^5/(Conv!$I$5*Conv!$D$46)/10^6 +#REF!</f>
        <v>#REF!</v>
      </c>
      <c r="P885" s="203" t="e">
        <f>#REF!*#REF!^5/(Conv!$I$5*Conv!$D$46)/10^6 +#REF!</f>
        <v>#REF!</v>
      </c>
      <c r="Q885" s="203" t="e">
        <f>#REF!*#REF!^5/(Conv!$I$5*Conv!$D$46)/10^6 +#REF!</f>
        <v>#REF!</v>
      </c>
      <c r="S885" s="177"/>
      <c r="T885" s="177"/>
      <c r="U885" s="177"/>
      <c r="V885" s="177"/>
      <c r="W885" s="177"/>
      <c r="X885" s="177"/>
      <c r="Y885" s="177"/>
      <c r="Z885" s="177"/>
      <c r="AA885" s="177"/>
      <c r="AB885" s="177"/>
      <c r="AC885" s="177"/>
    </row>
    <row r="886" spans="2:29">
      <c r="B886" s="158" t="str">
        <f>IF(OR(LEFT(Commodities!B$239,1)="*",LEFT(Technologies!B$526,1)="*"),"*","R2")</f>
        <v>*</v>
      </c>
      <c r="C886" s="158" t="e">
        <f>Technologies!C$576</f>
        <v>#REF!</v>
      </c>
      <c r="D886" s="158" t="str">
        <f>Technologies!D526</f>
        <v>Delivery of Imported Petrochemical Feedstocks</v>
      </c>
      <c r="E886" s="197" t="str">
        <f>Commodities!C$99</f>
        <v>PFSP3</v>
      </c>
      <c r="F886" s="197" t="e">
        <f>Commodities!C239</f>
        <v>#REF!</v>
      </c>
      <c r="G886" s="204">
        <v>1</v>
      </c>
      <c r="H886" s="203" t="e">
        <f>#REF!*#REF!^5/(Conv!$I$5*Conv!$D$46)/10^6 +#REF!</f>
        <v>#REF!</v>
      </c>
      <c r="I886" s="203" t="e">
        <f>#REF!*#REF!^5/(Conv!$I$5*Conv!$D$46)/10^6 +#REF!</f>
        <v>#REF!</v>
      </c>
      <c r="J886" s="203" t="e">
        <f>#REF!*#REF!^5/(Conv!$I$5*Conv!$D$46)/10^6 +#REF!</f>
        <v>#REF!</v>
      </c>
      <c r="K886" s="203" t="e">
        <f>#REF!*#REF!^5/(Conv!$I$5*Conv!$D$46)/10^6 +#REF!</f>
        <v>#REF!</v>
      </c>
      <c r="L886" s="203" t="e">
        <f>#REF!*#REF!^5/(Conv!$I$5*Conv!$D$46)/10^6 +#REF!</f>
        <v>#REF!</v>
      </c>
      <c r="M886" s="203" t="e">
        <f>#REF!*#REF!^5/(Conv!$I$5*Conv!$D$46)/10^6 +#REF!</f>
        <v>#REF!</v>
      </c>
      <c r="N886" s="203" t="e">
        <f>#REF!*#REF!^5/(Conv!$I$5*Conv!$D$46)/10^6 +#REF!</f>
        <v>#REF!</v>
      </c>
      <c r="O886" s="203" t="e">
        <f>#REF!*#REF!^5/(Conv!$I$5*Conv!$D$46)/10^6 +#REF!</f>
        <v>#REF!</v>
      </c>
      <c r="P886" s="203" t="e">
        <f>#REF!*#REF!^5/(Conv!$I$5*Conv!$D$46)/10^6 +#REF!</f>
        <v>#REF!</v>
      </c>
      <c r="Q886" s="203" t="e">
        <f>#REF!*#REF!^5/(Conv!$I$5*Conv!$D$46)/10^6 +#REF!</f>
        <v>#REF!</v>
      </c>
      <c r="S886" s="177"/>
      <c r="T886" s="177"/>
      <c r="U886" s="177"/>
      <c r="V886" s="177"/>
      <c r="W886" s="177"/>
      <c r="X886" s="177"/>
      <c r="Y886" s="177"/>
      <c r="Z886" s="177"/>
      <c r="AA886" s="177"/>
      <c r="AB886" s="177"/>
      <c r="AC886" s="177"/>
    </row>
    <row r="887" spans="2:29">
      <c r="B887" s="158" t="str">
        <f>IF(OR(LEFT(Commodities!B$75,1)="*",LEFT(Technologies!B$527,1)="*"),"*","R2")</f>
        <v>*</v>
      </c>
      <c r="C887" s="158" t="str">
        <f>Technologies!C$577</f>
        <v>XIRESRFLP3</v>
      </c>
      <c r="D887" s="158" t="str">
        <f>Technologies!D527</f>
        <v>Delivery of Imported Low Sulfur Residual Fuel Oil to Residential Sector</v>
      </c>
      <c r="E887" s="197" t="str">
        <f>Commodities!C$101</f>
        <v>RFLP3</v>
      </c>
      <c r="F887" s="197" t="str">
        <f>Commodities!C240</f>
        <v>RESRFL</v>
      </c>
      <c r="G887" s="204">
        <v>1</v>
      </c>
      <c r="H887" s="203" t="e">
        <f>#REF!*#REF!^5/(Conv!$I$5*Conv!$D$46)/10^6 +#REF!</f>
        <v>#REF!</v>
      </c>
      <c r="I887" s="203" t="e">
        <f>#REF!*#REF!^5/(Conv!$I$5*Conv!$D$46)/10^6 +#REF!</f>
        <v>#REF!</v>
      </c>
      <c r="J887" s="203" t="e">
        <f>#REF!*#REF!^5/(Conv!$I$5*Conv!$D$46)/10^6 +#REF!</f>
        <v>#REF!</v>
      </c>
      <c r="K887" s="203" t="e">
        <f>#REF!*#REF!^5/(Conv!$I$5*Conv!$D$46)/10^6 +#REF!</f>
        <v>#REF!</v>
      </c>
      <c r="L887" s="203" t="e">
        <f>#REF!*#REF!^5/(Conv!$I$5*Conv!$D$46)/10^6 +#REF!</f>
        <v>#REF!</v>
      </c>
      <c r="M887" s="203" t="e">
        <f>#REF!*#REF!^5/(Conv!$I$5*Conv!$D$46)/10^6 +#REF!</f>
        <v>#REF!</v>
      </c>
      <c r="N887" s="203" t="e">
        <f>#REF!*#REF!^5/(Conv!$I$5*Conv!$D$46)/10^6 +#REF!</f>
        <v>#REF!</v>
      </c>
      <c r="O887" s="203" t="e">
        <f>#REF!*#REF!^5/(Conv!$I$5*Conv!$D$46)/10^6 +#REF!</f>
        <v>#REF!</v>
      </c>
      <c r="P887" s="203" t="e">
        <f>#REF!*#REF!^5/(Conv!$I$5*Conv!$D$46)/10^6 +#REF!</f>
        <v>#REF!</v>
      </c>
      <c r="Q887" s="203" t="e">
        <f>#REF!*#REF!^5/(Conv!$I$5*Conv!$D$46)/10^6 +#REF!</f>
        <v>#REF!</v>
      </c>
      <c r="S887" s="177"/>
      <c r="T887" s="177"/>
      <c r="U887" s="177"/>
      <c r="V887" s="177"/>
      <c r="W887" s="177"/>
      <c r="X887" s="177"/>
      <c r="Y887" s="177"/>
      <c r="Z887" s="177"/>
      <c r="AA887" s="177"/>
      <c r="AB887" s="177"/>
      <c r="AC887" s="177"/>
    </row>
    <row r="888" spans="2:29">
      <c r="B888" s="158" t="str">
        <f>IF(OR(LEFT(Commodities!B$75,1)="*",LEFT(Technologies!B$528,1)="*"),"*","R2")</f>
        <v>*</v>
      </c>
      <c r="C888" s="158" t="e">
        <f>Technologies!C$578</f>
        <v>#REF!</v>
      </c>
      <c r="D888" s="158" t="str">
        <f>Technologies!D528</f>
        <v>Delivery of Imported Low Sulfur Residual Fuel Oil to Commercial Sector</v>
      </c>
      <c r="E888" s="197" t="str">
        <f>Commodities!C$101</f>
        <v>RFLP3</v>
      </c>
      <c r="F888" s="197" t="e">
        <f>Commodities!C241</f>
        <v>#REF!</v>
      </c>
      <c r="G888" s="204">
        <v>1</v>
      </c>
      <c r="H888" s="203" t="e">
        <f>#REF!*#REF!^5/(Conv!$I$5*Conv!$D$46)/10^6 +#REF!</f>
        <v>#REF!</v>
      </c>
      <c r="I888" s="203" t="e">
        <f>#REF!*#REF!^5/(Conv!$I$5*Conv!$D$46)/10^6 +#REF!</f>
        <v>#REF!</v>
      </c>
      <c r="J888" s="203" t="e">
        <f>#REF!*#REF!^5/(Conv!$I$5*Conv!$D$46)/10^6 +#REF!</f>
        <v>#REF!</v>
      </c>
      <c r="K888" s="203" t="e">
        <f>#REF!*#REF!^5/(Conv!$I$5*Conv!$D$46)/10^6 +#REF!</f>
        <v>#REF!</v>
      </c>
      <c r="L888" s="203" t="e">
        <f>#REF!*#REF!^5/(Conv!$I$5*Conv!$D$46)/10^6 +#REF!</f>
        <v>#REF!</v>
      </c>
      <c r="M888" s="203" t="e">
        <f>#REF!*#REF!^5/(Conv!$I$5*Conv!$D$46)/10^6 +#REF!</f>
        <v>#REF!</v>
      </c>
      <c r="N888" s="203" t="e">
        <f>#REF!*#REF!^5/(Conv!$I$5*Conv!$D$46)/10^6 +#REF!</f>
        <v>#REF!</v>
      </c>
      <c r="O888" s="203" t="e">
        <f>#REF!*#REF!^5/(Conv!$I$5*Conv!$D$46)/10^6 +#REF!</f>
        <v>#REF!</v>
      </c>
      <c r="P888" s="203" t="e">
        <f>#REF!*#REF!^5/(Conv!$I$5*Conv!$D$46)/10^6 +#REF!</f>
        <v>#REF!</v>
      </c>
      <c r="Q888" s="203" t="e">
        <f>#REF!*#REF!^5/(Conv!$I$5*Conv!$D$46)/10^6 +#REF!</f>
        <v>#REF!</v>
      </c>
      <c r="S888" s="177"/>
      <c r="T888" s="177"/>
      <c r="U888" s="177"/>
      <c r="V888" s="177"/>
      <c r="W888" s="177"/>
      <c r="X888" s="177"/>
      <c r="Y888" s="177"/>
      <c r="Z888" s="177"/>
      <c r="AA888" s="177"/>
      <c r="AB888" s="177"/>
      <c r="AC888" s="177"/>
    </row>
    <row r="889" spans="2:29">
      <c r="B889" s="158" t="str">
        <f>IF(OR(LEFT(Commodities!B$75,1)="*",LEFT(Technologies!B$529,1)="*"),"*","R2")</f>
        <v>R2</v>
      </c>
      <c r="C889" s="158" t="e">
        <f>Technologies!C$579</f>
        <v>#REF!</v>
      </c>
      <c r="D889" s="158" t="str">
        <f>Technologies!D529</f>
        <v>Delivery of Imported Low Sulfur Residual Fuel Oil to Industrial Sector</v>
      </c>
      <c r="E889" s="197" t="str">
        <f>Commodities!C$101</f>
        <v>RFLP3</v>
      </c>
      <c r="F889" s="197" t="e">
        <f>Commodities!C242</f>
        <v>#REF!</v>
      </c>
      <c r="G889" s="204">
        <v>1</v>
      </c>
      <c r="H889" s="203" t="e">
        <f>#REF!*#REF!^5/(Conv!$I$5*Conv!$D$46)/10^6 +#REF!</f>
        <v>#REF!</v>
      </c>
      <c r="I889" s="203" t="e">
        <f>#REF!*#REF!^5/(Conv!$I$5*Conv!$D$46)/10^6 +#REF!</f>
        <v>#REF!</v>
      </c>
      <c r="J889" s="203" t="e">
        <f>#REF!*#REF!^5/(Conv!$I$5*Conv!$D$46)/10^6 +#REF!</f>
        <v>#REF!</v>
      </c>
      <c r="K889" s="203" t="e">
        <f>#REF!*#REF!^5/(Conv!$I$5*Conv!$D$46)/10^6 +#REF!</f>
        <v>#REF!</v>
      </c>
      <c r="L889" s="203" t="e">
        <f>#REF!*#REF!^5/(Conv!$I$5*Conv!$D$46)/10^6 +#REF!</f>
        <v>#REF!</v>
      </c>
      <c r="M889" s="203" t="e">
        <f>#REF!*#REF!^5/(Conv!$I$5*Conv!$D$46)/10^6 +#REF!</f>
        <v>#REF!</v>
      </c>
      <c r="N889" s="203" t="e">
        <f>#REF!*#REF!^5/(Conv!$I$5*Conv!$D$46)/10^6 +#REF!</f>
        <v>#REF!</v>
      </c>
      <c r="O889" s="203" t="e">
        <f>#REF!*#REF!^5/(Conv!$I$5*Conv!$D$46)/10^6 +#REF!</f>
        <v>#REF!</v>
      </c>
      <c r="P889" s="203" t="e">
        <f>#REF!*#REF!^5/(Conv!$I$5*Conv!$D$46)/10^6 +#REF!</f>
        <v>#REF!</v>
      </c>
      <c r="Q889" s="203" t="e">
        <f>#REF!*#REF!^5/(Conv!$I$5*Conv!$D$46)/10^6 +#REF!</f>
        <v>#REF!</v>
      </c>
      <c r="S889" s="177"/>
      <c r="T889" s="177"/>
      <c r="U889" s="177"/>
      <c r="V889" s="177"/>
      <c r="W889" s="177"/>
      <c r="X889" s="177"/>
      <c r="Y889" s="177"/>
      <c r="Z889" s="177"/>
      <c r="AA889" s="177"/>
      <c r="AB889" s="177"/>
      <c r="AC889" s="177"/>
    </row>
    <row r="890" spans="2:29">
      <c r="B890" s="158" t="str">
        <f>IF(OR(LEFT(Commodities!B$75,1)="*",LEFT(Technologies!B$530,1)="*"),"*","R2")</f>
        <v>*</v>
      </c>
      <c r="C890" s="158" t="e">
        <f>Technologies!C$580</f>
        <v>#REF!</v>
      </c>
      <c r="D890" s="158" t="str">
        <f>Technologies!D530</f>
        <v>Delivery of Imported Low Sulfur Residual Fuel Oil to Electricity Sector</v>
      </c>
      <c r="E890" s="197" t="str">
        <f>Commodities!C$101</f>
        <v>RFLP3</v>
      </c>
      <c r="F890" s="197" t="e">
        <f>Commodities!C243</f>
        <v>#REF!</v>
      </c>
      <c r="G890" s="204">
        <v>1</v>
      </c>
      <c r="H890" s="203" t="e">
        <f>#REF!*#REF!^5/(Conv!$I$5*Conv!$D$46)/10^6 +#REF!</f>
        <v>#REF!</v>
      </c>
      <c r="I890" s="203" t="e">
        <f>#REF!*#REF!^5/(Conv!$I$5*Conv!$D$46)/10^6 +#REF!</f>
        <v>#REF!</v>
      </c>
      <c r="J890" s="203" t="e">
        <f>#REF!*#REF!^5/(Conv!$I$5*Conv!$D$46)/10^6 +#REF!</f>
        <v>#REF!</v>
      </c>
      <c r="K890" s="203" t="e">
        <f>#REF!*#REF!^5/(Conv!$I$5*Conv!$D$46)/10^6 +#REF!</f>
        <v>#REF!</v>
      </c>
      <c r="L890" s="203" t="e">
        <f>#REF!*#REF!^5/(Conv!$I$5*Conv!$D$46)/10^6 +#REF!</f>
        <v>#REF!</v>
      </c>
      <c r="M890" s="203" t="e">
        <f>#REF!*#REF!^5/(Conv!$I$5*Conv!$D$46)/10^6 +#REF!</f>
        <v>#REF!</v>
      </c>
      <c r="N890" s="203" t="e">
        <f>#REF!*#REF!^5/(Conv!$I$5*Conv!$D$46)/10^6 +#REF!</f>
        <v>#REF!</v>
      </c>
      <c r="O890" s="203" t="e">
        <f>#REF!*#REF!^5/(Conv!$I$5*Conv!$D$46)/10^6 +#REF!</f>
        <v>#REF!</v>
      </c>
      <c r="P890" s="203" t="e">
        <f>#REF!*#REF!^5/(Conv!$I$5*Conv!$D$46)/10^6 +#REF!</f>
        <v>#REF!</v>
      </c>
      <c r="Q890" s="203" t="e">
        <f>#REF!*#REF!^5/(Conv!$I$5*Conv!$D$46)/10^6 +#REF!</f>
        <v>#REF!</v>
      </c>
      <c r="S890" s="177"/>
      <c r="T890" s="177"/>
      <c r="U890" s="177"/>
      <c r="V890" s="177"/>
      <c r="W890" s="177"/>
      <c r="X890" s="177"/>
      <c r="Y890" s="177"/>
      <c r="Z890" s="177"/>
      <c r="AA890" s="177"/>
      <c r="AB890" s="177"/>
      <c r="AC890" s="177"/>
    </row>
    <row r="891" spans="2:29">
      <c r="B891" s="158" t="str">
        <f>IF(OR(LEFT(Commodities!B$74,1)="*",LEFT(Technologies!B$531,1)="*"),"*","R2")</f>
        <v>*</v>
      </c>
      <c r="C891" s="158" t="e">
        <f>Technologies!C$581</f>
        <v>#REF!</v>
      </c>
      <c r="D891" s="158" t="str">
        <f>Technologies!D531</f>
        <v>Delivery of Imported High Sulfur Residual Fuel Oil to Transportation Sector</v>
      </c>
      <c r="E891" s="197" t="e">
        <f>Commodities!C152</f>
        <v>#REF!</v>
      </c>
      <c r="F891" s="197" t="e">
        <f>Commodities!C244</f>
        <v>#REF!</v>
      </c>
      <c r="G891" s="204">
        <v>1</v>
      </c>
      <c r="H891" s="203" t="e">
        <f>#REF!*#REF!^5/(Conv!$I$5*Conv!$D$46)/10^6 +#REF!</f>
        <v>#REF!</v>
      </c>
      <c r="I891" s="203" t="e">
        <f>#REF!*#REF!^5/(Conv!$I$5*Conv!$D$46)/10^6 +#REF!</f>
        <v>#REF!</v>
      </c>
      <c r="J891" s="203" t="e">
        <f>#REF!*#REF!^5/(Conv!$I$5*Conv!$D$46)/10^6 +#REF!</f>
        <v>#REF!</v>
      </c>
      <c r="K891" s="203" t="e">
        <f>#REF!*#REF!^5/(Conv!$I$5*Conv!$D$46)/10^6 +#REF!</f>
        <v>#REF!</v>
      </c>
      <c r="L891" s="203" t="e">
        <f>#REF!*#REF!^5/(Conv!$I$5*Conv!$D$46)/10^6 +#REF!</f>
        <v>#REF!</v>
      </c>
      <c r="M891" s="203" t="e">
        <f>#REF!*#REF!^5/(Conv!$I$5*Conv!$D$46)/10^6 +#REF!</f>
        <v>#REF!</v>
      </c>
      <c r="N891" s="203" t="e">
        <f>#REF!*#REF!^5/(Conv!$I$5*Conv!$D$46)/10^6 +#REF!</f>
        <v>#REF!</v>
      </c>
      <c r="O891" s="203" t="e">
        <f>#REF!*#REF!^5/(Conv!$I$5*Conv!$D$46)/10^6 +#REF!</f>
        <v>#REF!</v>
      </c>
      <c r="P891" s="203" t="e">
        <f>#REF!*#REF!^5/(Conv!$I$5*Conv!$D$46)/10^6 +#REF!</f>
        <v>#REF!</v>
      </c>
      <c r="Q891" s="203" t="e">
        <f>#REF!*#REF!^5/(Conv!$I$5*Conv!$D$46)/10^6 +#REF!</f>
        <v>#REF!</v>
      </c>
      <c r="S891" s="177"/>
      <c r="T891" s="177"/>
      <c r="U891" s="177"/>
      <c r="V891" s="177"/>
      <c r="W891" s="177"/>
      <c r="X891" s="177"/>
      <c r="Y891" s="177"/>
      <c r="Z891" s="177"/>
      <c r="AA891" s="177"/>
      <c r="AB891" s="177"/>
      <c r="AC891" s="177"/>
    </row>
    <row r="892" spans="2:29">
      <c r="B892" s="158" t="str">
        <f>IF(OR(LEFT(Commodities!B$74,1)="*",LEFT(Technologies!B$532,1)="*"),"*","R2")</f>
        <v>*</v>
      </c>
      <c r="C892" s="158" t="e">
        <f>Technologies!C$582</f>
        <v>#REF!</v>
      </c>
      <c r="D892" s="158" t="str">
        <f>Technologies!D532</f>
        <v>Delivery of Imported High Sulfur Residual Fuel Oil to Electricity Sector</v>
      </c>
      <c r="E892" s="197" t="e">
        <f>Commodities!C153</f>
        <v>#REF!</v>
      </c>
      <c r="F892" s="197" t="e">
        <f>Commodities!C245</f>
        <v>#REF!</v>
      </c>
      <c r="G892" s="204">
        <v>1</v>
      </c>
      <c r="H892" s="203" t="e">
        <f>#REF!*#REF!^5/(Conv!$I$5*Conv!$D$46)/10^6 +#REF!</f>
        <v>#REF!</v>
      </c>
      <c r="I892" s="203" t="e">
        <f>#REF!*#REF!^5/(Conv!$I$5*Conv!$D$46)/10^6 +#REF!</f>
        <v>#REF!</v>
      </c>
      <c r="J892" s="203" t="e">
        <f>#REF!*#REF!^5/(Conv!$I$5*Conv!$D$46)/10^6 +#REF!</f>
        <v>#REF!</v>
      </c>
      <c r="K892" s="203" t="e">
        <f>#REF!*#REF!^5/(Conv!$I$5*Conv!$D$46)/10^6 +#REF!</f>
        <v>#REF!</v>
      </c>
      <c r="L892" s="203" t="e">
        <f>#REF!*#REF!^5/(Conv!$I$5*Conv!$D$46)/10^6 +#REF!</f>
        <v>#REF!</v>
      </c>
      <c r="M892" s="203" t="e">
        <f>#REF!*#REF!^5/(Conv!$I$5*Conv!$D$46)/10^6 +#REF!</f>
        <v>#REF!</v>
      </c>
      <c r="N892" s="203" t="e">
        <f>#REF!*#REF!^5/(Conv!$I$5*Conv!$D$46)/10^6 +#REF!</f>
        <v>#REF!</v>
      </c>
      <c r="O892" s="203" t="e">
        <f>#REF!*#REF!^5/(Conv!$I$5*Conv!$D$46)/10^6 +#REF!</f>
        <v>#REF!</v>
      </c>
      <c r="P892" s="203" t="e">
        <f>#REF!*#REF!^5/(Conv!$I$5*Conv!$D$46)/10^6 +#REF!</f>
        <v>#REF!</v>
      </c>
      <c r="Q892" s="203" t="e">
        <f>#REF!*#REF!^5/(Conv!$I$5*Conv!$D$46)/10^6 +#REF!</f>
        <v>#REF!</v>
      </c>
      <c r="S892" s="177"/>
      <c r="T892" s="177"/>
      <c r="U892" s="177"/>
      <c r="V892" s="177"/>
      <c r="W892" s="177"/>
      <c r="X892" s="177"/>
      <c r="Y892" s="177"/>
      <c r="Z892" s="177"/>
      <c r="AA892" s="177"/>
      <c r="AB892" s="177"/>
      <c r="AC892" s="177"/>
    </row>
    <row r="893" spans="2:29">
      <c r="B893" s="160" t="s">
        <v>1032</v>
      </c>
      <c r="C893" s="160"/>
      <c r="D893" s="160"/>
      <c r="E893" s="196"/>
      <c r="F893" s="196"/>
      <c r="G893" s="200"/>
      <c r="H893" s="174"/>
      <c r="I893" s="174"/>
      <c r="J893" s="174"/>
      <c r="K893" s="174"/>
      <c r="L893" s="174"/>
      <c r="M893" s="174"/>
      <c r="N893" s="174"/>
      <c r="O893" s="174"/>
      <c r="P893" s="174"/>
      <c r="Q893" s="174"/>
    </row>
    <row r="894" spans="2:29">
      <c r="B894" s="158" t="str">
        <f>IF(LEFT(Technologies!B$509,1)="*","*","R3")</f>
        <v>R3</v>
      </c>
      <c r="C894" s="158" t="e">
        <f>Technologies!C$559</f>
        <v>#REF!</v>
      </c>
      <c r="D894" s="158" t="str">
        <f>Technologies!D509</f>
        <v>Delivery of Imported Conventional Gasoline</v>
      </c>
      <c r="E894" s="197" t="str">
        <f>Commodities!C$93</f>
        <v>GSCP3</v>
      </c>
      <c r="F894" s="197" t="e">
        <f>Commodities!C222</f>
        <v>#REF!</v>
      </c>
      <c r="G894" s="204">
        <v>1</v>
      </c>
      <c r="H894" s="203" t="e">
        <f>#REF!*#REF!^5/(Conv!$I$5*Conv!$D$46)/10^6 +#REF!</f>
        <v>#REF!</v>
      </c>
      <c r="I894" s="203" t="e">
        <f>#REF!*#REF!^5/(Conv!$I$5*Conv!$D$46)/10^6 +#REF!</f>
        <v>#REF!</v>
      </c>
      <c r="J894" s="203" t="e">
        <f>#REF!*#REF!^5/(Conv!$I$5*Conv!$D$46)/10^6 +#REF!</f>
        <v>#REF!</v>
      </c>
      <c r="K894" s="203" t="e">
        <f>#REF!*#REF!^5/(Conv!$I$5*Conv!$D$46)/10^6 +#REF!</f>
        <v>#REF!</v>
      </c>
      <c r="L894" s="203" t="e">
        <f>#REF!*#REF!^5/(Conv!$I$5*Conv!$D$46)/10^6 +#REF!</f>
        <v>#REF!</v>
      </c>
      <c r="M894" s="203" t="e">
        <f>#REF!*#REF!^5/(Conv!$I$5*Conv!$D$46)/10^6 +#REF!</f>
        <v>#REF!</v>
      </c>
      <c r="N894" s="203" t="e">
        <f>#REF!*#REF!^5/(Conv!$I$5*Conv!$D$46)/10^6 +#REF!</f>
        <v>#REF!</v>
      </c>
      <c r="O894" s="203" t="e">
        <f>#REF!*#REF!^5/(Conv!$I$5*Conv!$D$46)/10^6 +#REF!</f>
        <v>#REF!</v>
      </c>
      <c r="P894" s="203" t="e">
        <f>#REF!*#REF!^5/(Conv!$I$5*Conv!$D$46)/10^6 +#REF!</f>
        <v>#REF!</v>
      </c>
      <c r="Q894" s="203" t="e">
        <f>#REF!*#REF!^5/(Conv!$I$5*Conv!$D$46)/10^6 +#REF!</f>
        <v>#REF!</v>
      </c>
      <c r="S894" s="177"/>
      <c r="T894" s="177"/>
      <c r="U894" s="177"/>
      <c r="V894" s="177"/>
      <c r="W894" s="177"/>
      <c r="X894" s="177"/>
      <c r="Y894" s="177"/>
      <c r="Z894" s="177"/>
      <c r="AA894" s="177"/>
      <c r="AB894" s="177"/>
      <c r="AC894" s="177"/>
    </row>
    <row r="895" spans="2:29">
      <c r="B895" s="158" t="str">
        <f>IF(LEFT(Technologies!B$510,1)="*","*","R3")</f>
        <v>R3</v>
      </c>
      <c r="C895" s="158" t="e">
        <f>Technologies!C$560</f>
        <v>#REF!</v>
      </c>
      <c r="D895" s="158" t="str">
        <f>Technologies!D510</f>
        <v>Delivery of Imported Reformulated Gasoline</v>
      </c>
      <c r="E895" s="197" t="str">
        <f>Commodities!C$94</f>
        <v>GSRP3</v>
      </c>
      <c r="F895" s="197" t="e">
        <f>Commodities!C223</f>
        <v>#REF!</v>
      </c>
      <c r="G895" s="204">
        <v>1</v>
      </c>
      <c r="H895" s="203" t="e">
        <f>#REF!*#REF!^5/(Conv!$I$5*Conv!$D$46)/10^6 +#REF!</f>
        <v>#REF!</v>
      </c>
      <c r="I895" s="203" t="e">
        <f>#REF!*#REF!^5/(Conv!$I$5*Conv!$D$46)/10^6 +#REF!</f>
        <v>#REF!</v>
      </c>
      <c r="J895" s="203" t="e">
        <f>#REF!*#REF!^5/(Conv!$I$5*Conv!$D$46)/10^6 +#REF!</f>
        <v>#REF!</v>
      </c>
      <c r="K895" s="203" t="e">
        <f>#REF!*#REF!^5/(Conv!$I$5*Conv!$D$46)/10^6 +#REF!</f>
        <v>#REF!</v>
      </c>
      <c r="L895" s="203" t="e">
        <f>#REF!*#REF!^5/(Conv!$I$5*Conv!$D$46)/10^6 +#REF!</f>
        <v>#REF!</v>
      </c>
      <c r="M895" s="203" t="e">
        <f>#REF!*#REF!^5/(Conv!$I$5*Conv!$D$46)/10^6 +#REF!</f>
        <v>#REF!</v>
      </c>
      <c r="N895" s="203" t="e">
        <f>#REF!*#REF!^5/(Conv!$I$5*Conv!$D$46)/10^6 +#REF!</f>
        <v>#REF!</v>
      </c>
      <c r="O895" s="203" t="e">
        <f>#REF!*#REF!^5/(Conv!$I$5*Conv!$D$46)/10^6 +#REF!</f>
        <v>#REF!</v>
      </c>
      <c r="P895" s="203" t="e">
        <f>#REF!*#REF!^5/(Conv!$I$5*Conv!$D$46)/10^6 +#REF!</f>
        <v>#REF!</v>
      </c>
      <c r="Q895" s="203" t="e">
        <f>#REF!*#REF!^5/(Conv!$I$5*Conv!$D$46)/10^6 +#REF!</f>
        <v>#REF!</v>
      </c>
      <c r="S895" s="177"/>
      <c r="T895" s="177"/>
      <c r="U895" s="177"/>
      <c r="V895" s="177"/>
      <c r="W895" s="177"/>
      <c r="X895" s="177"/>
      <c r="Y895" s="177"/>
      <c r="Z895" s="177"/>
      <c r="AA895" s="177"/>
      <c r="AB895" s="177"/>
      <c r="AC895" s="177"/>
    </row>
    <row r="896" spans="2:29">
      <c r="B896" s="158" t="str">
        <f>IF(OR(LEFT(Commodities!B$64,1)="*",LEFT(Technologies!B$511,1)="*"),"*","R3")</f>
        <v>R3</v>
      </c>
      <c r="C896" s="158" t="e">
        <f>Technologies!C$561</f>
        <v>#REF!</v>
      </c>
      <c r="D896" s="158" t="str">
        <f>Technologies!D511</f>
        <v>Delivery of Imported Distillate-Heating Oil No. 2 to the Residential Sector</v>
      </c>
      <c r="E896" s="197" t="str">
        <f>Commodities!C$90</f>
        <v>DSHP3</v>
      </c>
      <c r="F896" s="197" t="e">
        <f>Commodities!C224</f>
        <v>#REF!</v>
      </c>
      <c r="G896" s="204">
        <v>1</v>
      </c>
      <c r="H896" s="203" t="e">
        <f>#REF!*#REF!^5/(Conv!$I$5*Conv!$D$46)/10^6 +#REF!</f>
        <v>#REF!</v>
      </c>
      <c r="I896" s="203" t="e">
        <f>#REF!*#REF!^5/(Conv!$I$5*Conv!$D$46)/10^6 +#REF!</f>
        <v>#REF!</v>
      </c>
      <c r="J896" s="203" t="e">
        <f>#REF!*#REF!^5/(Conv!$I$5*Conv!$D$46)/10^6 +#REF!</f>
        <v>#REF!</v>
      </c>
      <c r="K896" s="203" t="e">
        <f>#REF!*#REF!^5/(Conv!$I$5*Conv!$D$46)/10^6 +#REF!</f>
        <v>#REF!</v>
      </c>
      <c r="L896" s="203" t="e">
        <f>#REF!*#REF!^5/(Conv!$I$5*Conv!$D$46)/10^6 +#REF!</f>
        <v>#REF!</v>
      </c>
      <c r="M896" s="203" t="e">
        <f>#REF!*#REF!^5/(Conv!$I$5*Conv!$D$46)/10^6 +#REF!</f>
        <v>#REF!</v>
      </c>
      <c r="N896" s="203" t="e">
        <f>#REF!*#REF!^5/(Conv!$I$5*Conv!$D$46)/10^6 +#REF!</f>
        <v>#REF!</v>
      </c>
      <c r="O896" s="203" t="e">
        <f>#REF!*#REF!^5/(Conv!$I$5*Conv!$D$46)/10^6 +#REF!</f>
        <v>#REF!</v>
      </c>
      <c r="P896" s="203" t="e">
        <f>#REF!*#REF!^5/(Conv!$I$5*Conv!$D$46)/10^6 +#REF!</f>
        <v>#REF!</v>
      </c>
      <c r="Q896" s="203" t="e">
        <f>#REF!*#REF!^5/(Conv!$I$5*Conv!$D$46)/10^6 +#REF!</f>
        <v>#REF!</v>
      </c>
      <c r="S896" s="177"/>
      <c r="T896" s="177"/>
      <c r="U896" s="177"/>
      <c r="V896" s="177"/>
      <c r="W896" s="177"/>
      <c r="X896" s="177"/>
      <c r="Y896" s="177"/>
      <c r="Z896" s="177"/>
      <c r="AA896" s="177"/>
      <c r="AB896" s="177"/>
      <c r="AC896" s="177"/>
    </row>
    <row r="897" spans="2:29">
      <c r="B897" s="158" t="str">
        <f>IF(OR(LEFT(Commodities!B$64,1)="*",LEFT(Technologies!B$512,1)="*"),"*","R3")</f>
        <v>R3</v>
      </c>
      <c r="C897" s="158" t="e">
        <f>Technologies!C$562</f>
        <v>#REF!</v>
      </c>
      <c r="D897" s="158" t="str">
        <f>Technologies!D512</f>
        <v>Delivery of Imported Distillate-Heating Oil No. 2 to the Commercial Sector</v>
      </c>
      <c r="E897" s="197" t="str">
        <f>Commodities!C$90</f>
        <v>DSHP3</v>
      </c>
      <c r="F897" s="197" t="e">
        <f>Commodities!C225</f>
        <v>#REF!</v>
      </c>
      <c r="G897" s="204">
        <v>1</v>
      </c>
      <c r="H897" s="203" t="e">
        <f>#REF!*#REF!^5/(Conv!$I$5*Conv!$D$46)/10^6 +#REF!</f>
        <v>#REF!</v>
      </c>
      <c r="I897" s="203" t="e">
        <f>#REF!*#REF!^5/(Conv!$I$5*Conv!$D$46)/10^6 +#REF!</f>
        <v>#REF!</v>
      </c>
      <c r="J897" s="203" t="e">
        <f>#REF!*#REF!^5/(Conv!$I$5*Conv!$D$46)/10^6 +#REF!</f>
        <v>#REF!</v>
      </c>
      <c r="K897" s="203" t="e">
        <f>#REF!*#REF!^5/(Conv!$I$5*Conv!$D$46)/10^6 +#REF!</f>
        <v>#REF!</v>
      </c>
      <c r="L897" s="203" t="e">
        <f>#REF!*#REF!^5/(Conv!$I$5*Conv!$D$46)/10^6 +#REF!</f>
        <v>#REF!</v>
      </c>
      <c r="M897" s="203" t="e">
        <f>#REF!*#REF!^5/(Conv!$I$5*Conv!$D$46)/10^6 +#REF!</f>
        <v>#REF!</v>
      </c>
      <c r="N897" s="203" t="e">
        <f>#REF!*#REF!^5/(Conv!$I$5*Conv!$D$46)/10^6 +#REF!</f>
        <v>#REF!</v>
      </c>
      <c r="O897" s="203" t="e">
        <f>#REF!*#REF!^5/(Conv!$I$5*Conv!$D$46)/10^6 +#REF!</f>
        <v>#REF!</v>
      </c>
      <c r="P897" s="203" t="e">
        <f>#REF!*#REF!^5/(Conv!$I$5*Conv!$D$46)/10^6 +#REF!</f>
        <v>#REF!</v>
      </c>
      <c r="Q897" s="203" t="e">
        <f>#REF!*#REF!^5/(Conv!$I$5*Conv!$D$46)/10^6 +#REF!</f>
        <v>#REF!</v>
      </c>
      <c r="S897" s="177"/>
      <c r="T897" s="177"/>
      <c r="U897" s="177"/>
      <c r="V897" s="177"/>
      <c r="W897" s="177"/>
      <c r="X897" s="177"/>
      <c r="Y897" s="177"/>
      <c r="Z897" s="177"/>
      <c r="AA897" s="177"/>
      <c r="AB897" s="177"/>
      <c r="AC897" s="177"/>
    </row>
    <row r="898" spans="2:29">
      <c r="B898" s="158" t="str">
        <f>IF(OR(LEFT(Commodities!B$64,1)="*",LEFT(Technologies!B$513,1)="*"),"*","R3")</f>
        <v>*</v>
      </c>
      <c r="C898" s="158" t="e">
        <f>Technologies!C$563</f>
        <v>#REF!</v>
      </c>
      <c r="D898" s="158" t="str">
        <f>Technologies!D513</f>
        <v>Delivery of Imported Distillate-Heating Oil No. 2 to the Indistrial Sector</v>
      </c>
      <c r="E898" s="197" t="str">
        <f>Commodities!C$90</f>
        <v>DSHP3</v>
      </c>
      <c r="F898" s="197" t="e">
        <f>Commodities!C226</f>
        <v>#REF!</v>
      </c>
      <c r="G898" s="204">
        <v>1</v>
      </c>
      <c r="H898" s="203" t="e">
        <f>#REF!*#REF!^5/(Conv!$I$5*Conv!$D$46)/10^6 +#REF!</f>
        <v>#REF!</v>
      </c>
      <c r="I898" s="203" t="e">
        <f>#REF!*#REF!^5/(Conv!$I$5*Conv!$D$46)/10^6 +#REF!</f>
        <v>#REF!</v>
      </c>
      <c r="J898" s="203" t="e">
        <f>#REF!*#REF!^5/(Conv!$I$5*Conv!$D$46)/10^6 +#REF!</f>
        <v>#REF!</v>
      </c>
      <c r="K898" s="203" t="e">
        <f>#REF!*#REF!^5/(Conv!$I$5*Conv!$D$46)/10^6 +#REF!</f>
        <v>#REF!</v>
      </c>
      <c r="L898" s="203" t="e">
        <f>#REF!*#REF!^5/(Conv!$I$5*Conv!$D$46)/10^6 +#REF!</f>
        <v>#REF!</v>
      </c>
      <c r="M898" s="203" t="e">
        <f>#REF!*#REF!^5/(Conv!$I$5*Conv!$D$46)/10^6 +#REF!</f>
        <v>#REF!</v>
      </c>
      <c r="N898" s="203" t="e">
        <f>#REF!*#REF!^5/(Conv!$I$5*Conv!$D$46)/10^6 +#REF!</f>
        <v>#REF!</v>
      </c>
      <c r="O898" s="203" t="e">
        <f>#REF!*#REF!^5/(Conv!$I$5*Conv!$D$46)/10^6 +#REF!</f>
        <v>#REF!</v>
      </c>
      <c r="P898" s="203" t="e">
        <f>#REF!*#REF!^5/(Conv!$I$5*Conv!$D$46)/10^6 +#REF!</f>
        <v>#REF!</v>
      </c>
      <c r="Q898" s="203" t="e">
        <f>#REF!*#REF!^5/(Conv!$I$5*Conv!$D$46)/10^6 +#REF!</f>
        <v>#REF!</v>
      </c>
      <c r="S898" s="177"/>
      <c r="T898" s="177"/>
      <c r="U898" s="177"/>
      <c r="V898" s="177"/>
      <c r="W898" s="177"/>
      <c r="X898" s="177"/>
      <c r="Y898" s="177"/>
      <c r="Z898" s="177"/>
      <c r="AA898" s="177"/>
      <c r="AB898" s="177"/>
      <c r="AC898" s="177"/>
    </row>
    <row r="899" spans="2:29">
      <c r="B899" s="158" t="str">
        <f>IF(OR(LEFT(Commodities!B$64,1)="*",LEFT(Technologies!B$514,1)="*"),"*","R3")</f>
        <v>R3</v>
      </c>
      <c r="C899" s="158" t="e">
        <f>Technologies!C$564</f>
        <v>#REF!</v>
      </c>
      <c r="D899" s="158" t="str">
        <f>Technologies!D514</f>
        <v>Delivery of Imported Distillate-Heating Oil No. 2 to the Electricity Sector</v>
      </c>
      <c r="E899" s="197" t="str">
        <f>Commodities!C$90</f>
        <v>DSHP3</v>
      </c>
      <c r="F899" s="197" t="e">
        <f>Commodities!C227</f>
        <v>#REF!</v>
      </c>
      <c r="G899" s="204">
        <v>1</v>
      </c>
      <c r="H899" s="203" t="e">
        <f>#REF!*#REF!^5/(Conv!$I$5*Conv!$D$46)/10^6 +#REF!</f>
        <v>#REF!</v>
      </c>
      <c r="I899" s="203" t="e">
        <f>#REF!*#REF!^5/(Conv!$I$5*Conv!$D$46)/10^6 +#REF!</f>
        <v>#REF!</v>
      </c>
      <c r="J899" s="203" t="e">
        <f>#REF!*#REF!^5/(Conv!$I$5*Conv!$D$46)/10^6 +#REF!</f>
        <v>#REF!</v>
      </c>
      <c r="K899" s="203" t="e">
        <f>#REF!*#REF!^5/(Conv!$I$5*Conv!$D$46)/10^6 +#REF!</f>
        <v>#REF!</v>
      </c>
      <c r="L899" s="203" t="e">
        <f>#REF!*#REF!^5/(Conv!$I$5*Conv!$D$46)/10^6 +#REF!</f>
        <v>#REF!</v>
      </c>
      <c r="M899" s="203" t="e">
        <f>#REF!*#REF!^5/(Conv!$I$5*Conv!$D$46)/10^6 +#REF!</f>
        <v>#REF!</v>
      </c>
      <c r="N899" s="203" t="e">
        <f>#REF!*#REF!^5/(Conv!$I$5*Conv!$D$46)/10^6 +#REF!</f>
        <v>#REF!</v>
      </c>
      <c r="O899" s="203" t="e">
        <f>#REF!*#REF!^5/(Conv!$I$5*Conv!$D$46)/10^6 +#REF!</f>
        <v>#REF!</v>
      </c>
      <c r="P899" s="203" t="e">
        <f>#REF!*#REF!^5/(Conv!$I$5*Conv!$D$46)/10^6 +#REF!</f>
        <v>#REF!</v>
      </c>
      <c r="Q899" s="203" t="e">
        <f>#REF!*#REF!^5/(Conv!$I$5*Conv!$D$46)/10^6 +#REF!</f>
        <v>#REF!</v>
      </c>
      <c r="S899" s="177"/>
      <c r="T899" s="177"/>
      <c r="U899" s="177"/>
      <c r="V899" s="177"/>
      <c r="W899" s="177"/>
      <c r="X899" s="177"/>
      <c r="Y899" s="177"/>
      <c r="Z899" s="177"/>
      <c r="AA899" s="177"/>
      <c r="AB899" s="177"/>
      <c r="AC899" s="177"/>
    </row>
    <row r="900" spans="2:29">
      <c r="B900" s="158" t="str">
        <f>IF(OR(LEFT(Commodities!B$65,1)="*",LEFT(Technologies!B$515,1)="*"),"*","R3")</f>
        <v>R3</v>
      </c>
      <c r="C900" s="158" t="e">
        <f>Technologies!C$565</f>
        <v>#REF!</v>
      </c>
      <c r="D900" s="158" t="str">
        <f>Technologies!D515</f>
        <v>Delivery of Imported Distillate-Low Sulfur Highway Diesel (500 ppm)</v>
      </c>
      <c r="E900" s="197" t="str">
        <f>Commodities!C$91</f>
        <v>DSLP3</v>
      </c>
      <c r="F900" s="197" t="e">
        <f>Commodities!C228</f>
        <v>#REF!</v>
      </c>
      <c r="G900" s="204">
        <v>1</v>
      </c>
      <c r="H900" s="203" t="e">
        <f>#REF!*#REF!^5/(Conv!$I$5*Conv!$D$46)/10^6 +#REF!</f>
        <v>#REF!</v>
      </c>
      <c r="I900" s="203" t="e">
        <f>#REF!*#REF!^5/(Conv!$I$5*Conv!$D$46)/10^6 +#REF!</f>
        <v>#REF!</v>
      </c>
      <c r="J900" s="203" t="e">
        <f>#REF!*#REF!^5/(Conv!$I$5*Conv!$D$46)/10^6 +#REF!</f>
        <v>#REF!</v>
      </c>
      <c r="K900" s="203" t="e">
        <f>#REF!*#REF!^5/(Conv!$I$5*Conv!$D$46)/10^6 +#REF!</f>
        <v>#REF!</v>
      </c>
      <c r="L900" s="203" t="e">
        <f>#REF!*#REF!^5/(Conv!$I$5*Conv!$D$46)/10^6 +#REF!</f>
        <v>#REF!</v>
      </c>
      <c r="M900" s="203" t="e">
        <f>#REF!*#REF!^5/(Conv!$I$5*Conv!$D$46)/10^6 +#REF!</f>
        <v>#REF!</v>
      </c>
      <c r="N900" s="203" t="e">
        <f>#REF!*#REF!^5/(Conv!$I$5*Conv!$D$46)/10^6 +#REF!</f>
        <v>#REF!</v>
      </c>
      <c r="O900" s="203" t="e">
        <f>#REF!*#REF!^5/(Conv!$I$5*Conv!$D$46)/10^6 +#REF!</f>
        <v>#REF!</v>
      </c>
      <c r="P900" s="203" t="e">
        <f>#REF!*#REF!^5/(Conv!$I$5*Conv!$D$46)/10^6 +#REF!</f>
        <v>#REF!</v>
      </c>
      <c r="Q900" s="203" t="e">
        <f>#REF!*#REF!^5/(Conv!$I$5*Conv!$D$46)/10^6 +#REF!</f>
        <v>#REF!</v>
      </c>
      <c r="S900" s="177"/>
      <c r="T900" s="177"/>
      <c r="U900" s="177"/>
      <c r="V900" s="177"/>
      <c r="W900" s="177"/>
      <c r="X900" s="177"/>
      <c r="Y900" s="177"/>
      <c r="Z900" s="177"/>
      <c r="AA900" s="177"/>
      <c r="AB900" s="177"/>
      <c r="AC900" s="177"/>
    </row>
    <row r="901" spans="2:29">
      <c r="B901" s="158" t="str">
        <f>IF(OR(LEFT(Commodities!B$66,1)="*",LEFT(Technologies!B$516,1)="*"),"*","R3")</f>
        <v>R3</v>
      </c>
      <c r="C901" s="158" t="e">
        <f>Technologies!C$566</f>
        <v>#REF!</v>
      </c>
      <c r="D901" s="158" t="str">
        <f>Technologies!D516</f>
        <v>Delivery of Imported Distillate-Ultralow Sulfur Highway Diesel (15 ppm)</v>
      </c>
      <c r="E901" s="197" t="str">
        <f>Commodities!C$92</f>
        <v>DSUP3</v>
      </c>
      <c r="F901" s="197" t="e">
        <f>Commodities!C229</f>
        <v>#REF!</v>
      </c>
      <c r="G901" s="204">
        <v>1</v>
      </c>
      <c r="H901" s="203" t="e">
        <f>#REF!*#REF!^5/(Conv!$I$5*Conv!$D$46)/10^6 +#REF!</f>
        <v>#REF!</v>
      </c>
      <c r="I901" s="203" t="e">
        <f>#REF!*#REF!^5/(Conv!$I$5*Conv!$D$46)/10^6 +#REF!</f>
        <v>#REF!</v>
      </c>
      <c r="J901" s="203" t="e">
        <f>#REF!*#REF!^5/(Conv!$I$5*Conv!$D$46)/10^6 +#REF!</f>
        <v>#REF!</v>
      </c>
      <c r="K901" s="203" t="e">
        <f>#REF!*#REF!^5/(Conv!$I$5*Conv!$D$46)/10^6 +#REF!</f>
        <v>#REF!</v>
      </c>
      <c r="L901" s="203" t="e">
        <f>#REF!*#REF!^5/(Conv!$I$5*Conv!$D$46)/10^6 +#REF!</f>
        <v>#REF!</v>
      </c>
      <c r="M901" s="203" t="e">
        <f>#REF!*#REF!^5/(Conv!$I$5*Conv!$D$46)/10^6 +#REF!</f>
        <v>#REF!</v>
      </c>
      <c r="N901" s="203" t="e">
        <f>#REF!*#REF!^5/(Conv!$I$5*Conv!$D$46)/10^6 +#REF!</f>
        <v>#REF!</v>
      </c>
      <c r="O901" s="203" t="e">
        <f>#REF!*#REF!^5/(Conv!$I$5*Conv!$D$46)/10^6 +#REF!</f>
        <v>#REF!</v>
      </c>
      <c r="P901" s="203" t="e">
        <f>#REF!*#REF!^5/(Conv!$I$5*Conv!$D$46)/10^6 +#REF!</f>
        <v>#REF!</v>
      </c>
      <c r="Q901" s="203" t="e">
        <f>#REF!*#REF!^5/(Conv!$I$5*Conv!$D$46)/10^6 +#REF!</f>
        <v>#REF!</v>
      </c>
      <c r="S901" s="177"/>
      <c r="T901" s="177"/>
      <c r="U901" s="177"/>
      <c r="V901" s="177"/>
      <c r="W901" s="177"/>
      <c r="X901" s="177"/>
      <c r="Y901" s="177"/>
      <c r="Z901" s="177"/>
      <c r="AA901" s="177"/>
      <c r="AB901" s="177"/>
      <c r="AC901" s="177"/>
    </row>
    <row r="902" spans="2:29">
      <c r="B902" s="158" t="str">
        <f>IF(OR(LEFT(Commodities!B$69,1)="*",LEFT(Technologies!B$517,1)="*"),"*","R3")</f>
        <v>*</v>
      </c>
      <c r="C902" s="158" t="e">
        <f>Technologies!C$567</f>
        <v>#REF!</v>
      </c>
      <c r="D902" s="158" t="str">
        <f>Technologies!D517</f>
        <v>Delivery of Imported Jet Fuel</v>
      </c>
      <c r="E902" s="197" t="str">
        <f>Commodities!C$95</f>
        <v>JTFP3</v>
      </c>
      <c r="F902" s="197" t="e">
        <f>Commodities!C230</f>
        <v>#REF!</v>
      </c>
      <c r="G902" s="204">
        <v>1</v>
      </c>
      <c r="H902" s="203" t="e">
        <f>#REF!*#REF!^5/(Conv!$I$5*Conv!$D$46)/10^6 +#REF!</f>
        <v>#REF!</v>
      </c>
      <c r="I902" s="203" t="e">
        <f>#REF!*#REF!^5/(Conv!$I$5*Conv!$D$46)/10^6 +#REF!</f>
        <v>#REF!</v>
      </c>
      <c r="J902" s="203" t="e">
        <f>#REF!*#REF!^5/(Conv!$I$5*Conv!$D$46)/10^6 +#REF!</f>
        <v>#REF!</v>
      </c>
      <c r="K902" s="203" t="e">
        <f>#REF!*#REF!^5/(Conv!$I$5*Conv!$D$46)/10^6 +#REF!</f>
        <v>#REF!</v>
      </c>
      <c r="L902" s="203" t="e">
        <f>#REF!*#REF!^5/(Conv!$I$5*Conv!$D$46)/10^6 +#REF!</f>
        <v>#REF!</v>
      </c>
      <c r="M902" s="203" t="e">
        <f>#REF!*#REF!^5/(Conv!$I$5*Conv!$D$46)/10^6 +#REF!</f>
        <v>#REF!</v>
      </c>
      <c r="N902" s="203" t="e">
        <f>#REF!*#REF!^5/(Conv!$I$5*Conv!$D$46)/10^6 +#REF!</f>
        <v>#REF!</v>
      </c>
      <c r="O902" s="203" t="e">
        <f>#REF!*#REF!^5/(Conv!$I$5*Conv!$D$46)/10^6 +#REF!</f>
        <v>#REF!</v>
      </c>
      <c r="P902" s="203" t="e">
        <f>#REF!*#REF!^5/(Conv!$I$5*Conv!$D$46)/10^6 +#REF!</f>
        <v>#REF!</v>
      </c>
      <c r="Q902" s="203" t="e">
        <f>#REF!*#REF!^5/(Conv!$I$5*Conv!$D$46)/10^6 +#REF!</f>
        <v>#REF!</v>
      </c>
      <c r="S902" s="177"/>
      <c r="T902" s="177"/>
      <c r="U902" s="177"/>
      <c r="V902" s="177"/>
      <c r="W902" s="177"/>
      <c r="X902" s="177"/>
      <c r="Y902" s="177"/>
      <c r="Z902" s="177"/>
      <c r="AA902" s="177"/>
      <c r="AB902" s="177"/>
      <c r="AC902" s="177"/>
    </row>
    <row r="903" spans="2:29">
      <c r="B903" s="158" t="str">
        <f>IF(OR(LEFT(Commodities!B$70,1)="*",LEFT(Technologies!B$518,1)="*"),"*","R3")</f>
        <v>*</v>
      </c>
      <c r="C903" s="158" t="e">
        <f>Technologies!C$568</f>
        <v>#REF!</v>
      </c>
      <c r="D903" s="158" t="str">
        <f>Technologies!D518</f>
        <v>Delivery of Imported Kerosene and Other Refined Products to the Residential Sector</v>
      </c>
      <c r="E903" s="197" t="str">
        <f>Commodities!C$96</f>
        <v>KERP3</v>
      </c>
      <c r="F903" s="197" t="e">
        <f>Commodities!C231</f>
        <v>#REF!</v>
      </c>
      <c r="G903" s="204">
        <v>1</v>
      </c>
      <c r="H903" s="203" t="e">
        <f>#REF!*#REF!^5/(Conv!$I$5*Conv!$D$46)/10^6 +#REF!</f>
        <v>#REF!</v>
      </c>
      <c r="I903" s="203" t="e">
        <f>#REF!*#REF!^5/(Conv!$I$5*Conv!$D$46)/10^6 +#REF!</f>
        <v>#REF!</v>
      </c>
      <c r="J903" s="203" t="e">
        <f>#REF!*#REF!^5/(Conv!$I$5*Conv!$D$46)/10^6 +#REF!</f>
        <v>#REF!</v>
      </c>
      <c r="K903" s="203" t="e">
        <f>#REF!*#REF!^5/(Conv!$I$5*Conv!$D$46)/10^6 +#REF!</f>
        <v>#REF!</v>
      </c>
      <c r="L903" s="203" t="e">
        <f>#REF!*#REF!^5/(Conv!$I$5*Conv!$D$46)/10^6 +#REF!</f>
        <v>#REF!</v>
      </c>
      <c r="M903" s="203" t="e">
        <f>#REF!*#REF!^5/(Conv!$I$5*Conv!$D$46)/10^6 +#REF!</f>
        <v>#REF!</v>
      </c>
      <c r="N903" s="203" t="e">
        <f>#REF!*#REF!^5/(Conv!$I$5*Conv!$D$46)/10^6 +#REF!</f>
        <v>#REF!</v>
      </c>
      <c r="O903" s="203" t="e">
        <f>#REF!*#REF!^5/(Conv!$I$5*Conv!$D$46)/10^6 +#REF!</f>
        <v>#REF!</v>
      </c>
      <c r="P903" s="203" t="e">
        <f>#REF!*#REF!^5/(Conv!$I$5*Conv!$D$46)/10^6 +#REF!</f>
        <v>#REF!</v>
      </c>
      <c r="Q903" s="203" t="e">
        <f>#REF!*#REF!^5/(Conv!$I$5*Conv!$D$46)/10^6 +#REF!</f>
        <v>#REF!</v>
      </c>
      <c r="S903" s="177"/>
      <c r="T903" s="177"/>
      <c r="U903" s="177"/>
      <c r="V903" s="177"/>
      <c r="W903" s="177"/>
      <c r="X903" s="177"/>
      <c r="Y903" s="177"/>
      <c r="Z903" s="177"/>
      <c r="AA903" s="177"/>
      <c r="AB903" s="177"/>
      <c r="AC903" s="177"/>
    </row>
    <row r="904" spans="2:29">
      <c r="B904" s="158" t="str">
        <f>IF(OR(LEFT(Commodities!B$70,1)="*",LEFT(Technologies!B$519,1)="*"),"*","R3")</f>
        <v>*</v>
      </c>
      <c r="C904" s="158" t="e">
        <f>Technologies!C$569</f>
        <v>#REF!</v>
      </c>
      <c r="D904" s="158" t="str">
        <f>Technologies!D519</f>
        <v>Delivery of Imported Kerosene and Other Refined Products to the Commercial Sector</v>
      </c>
      <c r="E904" s="197" t="str">
        <f>Commodities!C$96</f>
        <v>KERP3</v>
      </c>
      <c r="F904" s="197" t="e">
        <f>Commodities!C232</f>
        <v>#REF!</v>
      </c>
      <c r="G904" s="204">
        <v>1</v>
      </c>
      <c r="H904" s="203" t="e">
        <f>#REF!*#REF!^5/(Conv!$I$5*Conv!$D$46)/10^6 +#REF!</f>
        <v>#REF!</v>
      </c>
      <c r="I904" s="203" t="e">
        <f>#REF!*#REF!^5/(Conv!$I$5*Conv!$D$46)/10^6 +#REF!</f>
        <v>#REF!</v>
      </c>
      <c r="J904" s="203" t="e">
        <f>#REF!*#REF!^5/(Conv!$I$5*Conv!$D$46)/10^6 +#REF!</f>
        <v>#REF!</v>
      </c>
      <c r="K904" s="203" t="e">
        <f>#REF!*#REF!^5/(Conv!$I$5*Conv!$D$46)/10^6 +#REF!</f>
        <v>#REF!</v>
      </c>
      <c r="L904" s="203" t="e">
        <f>#REF!*#REF!^5/(Conv!$I$5*Conv!$D$46)/10^6 +#REF!</f>
        <v>#REF!</v>
      </c>
      <c r="M904" s="203" t="e">
        <f>#REF!*#REF!^5/(Conv!$I$5*Conv!$D$46)/10^6 +#REF!</f>
        <v>#REF!</v>
      </c>
      <c r="N904" s="203" t="e">
        <f>#REF!*#REF!^5/(Conv!$I$5*Conv!$D$46)/10^6 +#REF!</f>
        <v>#REF!</v>
      </c>
      <c r="O904" s="203" t="e">
        <f>#REF!*#REF!^5/(Conv!$I$5*Conv!$D$46)/10^6 +#REF!</f>
        <v>#REF!</v>
      </c>
      <c r="P904" s="203" t="e">
        <f>#REF!*#REF!^5/(Conv!$I$5*Conv!$D$46)/10^6 +#REF!</f>
        <v>#REF!</v>
      </c>
      <c r="Q904" s="203" t="e">
        <f>#REF!*#REF!^5/(Conv!$I$5*Conv!$D$46)/10^6 +#REF!</f>
        <v>#REF!</v>
      </c>
      <c r="S904" s="177"/>
      <c r="T904" s="177"/>
      <c r="U904" s="177"/>
      <c r="V904" s="177"/>
      <c r="W904" s="177"/>
      <c r="X904" s="177"/>
      <c r="Y904" s="177"/>
      <c r="Z904" s="177"/>
      <c r="AA904" s="177"/>
      <c r="AB904" s="177"/>
      <c r="AC904" s="177"/>
    </row>
    <row r="905" spans="2:29">
      <c r="B905" s="158" t="str">
        <f>IF(OR(LEFT(Commodities!B$70,1)="*",LEFT(Technologies!B$520,1)="*"),"*","R3")</f>
        <v>*</v>
      </c>
      <c r="C905" s="158" t="e">
        <f>Technologies!C$570</f>
        <v>#REF!</v>
      </c>
      <c r="D905" s="158" t="str">
        <f>Technologies!D520</f>
        <v>Delivery of Imported Kerosene and Other Refined Products to the Industrial Sector</v>
      </c>
      <c r="E905" s="197" t="str">
        <f>Commodities!C$96</f>
        <v>KERP3</v>
      </c>
      <c r="F905" s="197" t="e">
        <f>Commodities!C233</f>
        <v>#REF!</v>
      </c>
      <c r="G905" s="204">
        <v>1</v>
      </c>
      <c r="H905" s="203" t="e">
        <f>#REF!*#REF!^5/(Conv!$I$5*Conv!$D$46)/10^6 +#REF!</f>
        <v>#REF!</v>
      </c>
      <c r="I905" s="203" t="e">
        <f>#REF!*#REF!^5/(Conv!$I$5*Conv!$D$46)/10^6 +#REF!</f>
        <v>#REF!</v>
      </c>
      <c r="J905" s="203" t="e">
        <f>#REF!*#REF!^5/(Conv!$I$5*Conv!$D$46)/10^6 +#REF!</f>
        <v>#REF!</v>
      </c>
      <c r="K905" s="203" t="e">
        <f>#REF!*#REF!^5/(Conv!$I$5*Conv!$D$46)/10^6 +#REF!</f>
        <v>#REF!</v>
      </c>
      <c r="L905" s="203" t="e">
        <f>#REF!*#REF!^5/(Conv!$I$5*Conv!$D$46)/10^6 +#REF!</f>
        <v>#REF!</v>
      </c>
      <c r="M905" s="203" t="e">
        <f>#REF!*#REF!^5/(Conv!$I$5*Conv!$D$46)/10^6 +#REF!</f>
        <v>#REF!</v>
      </c>
      <c r="N905" s="203" t="e">
        <f>#REF!*#REF!^5/(Conv!$I$5*Conv!$D$46)/10^6 +#REF!</f>
        <v>#REF!</v>
      </c>
      <c r="O905" s="203" t="e">
        <f>#REF!*#REF!^5/(Conv!$I$5*Conv!$D$46)/10^6 +#REF!</f>
        <v>#REF!</v>
      </c>
      <c r="P905" s="203" t="e">
        <f>#REF!*#REF!^5/(Conv!$I$5*Conv!$D$46)/10^6 +#REF!</f>
        <v>#REF!</v>
      </c>
      <c r="Q905" s="203" t="e">
        <f>#REF!*#REF!^5/(Conv!$I$5*Conv!$D$46)/10^6 +#REF!</f>
        <v>#REF!</v>
      </c>
      <c r="S905" s="177"/>
      <c r="T905" s="177"/>
      <c r="U905" s="177"/>
      <c r="V905" s="177"/>
      <c r="W905" s="177"/>
      <c r="X905" s="177"/>
      <c r="Y905" s="177"/>
      <c r="Z905" s="177"/>
      <c r="AA905" s="177"/>
      <c r="AB905" s="177"/>
      <c r="AC905" s="177"/>
    </row>
    <row r="906" spans="2:29">
      <c r="B906" s="158" t="str">
        <f>IF(OR(LEFT(Commodities!B$71,1)="*",LEFT(Technologies!B$521,1)="*"),"*","R3")</f>
        <v>*</v>
      </c>
      <c r="C906" s="158" t="e">
        <f>Technologies!C$571</f>
        <v>#REF!</v>
      </c>
      <c r="D906" s="158" t="str">
        <f>Technologies!D521</f>
        <v>Delivery of Imported LPG to the Residential Sector</v>
      </c>
      <c r="E906" s="197" t="str">
        <f>Commodities!C$97</f>
        <v>LPGP3</v>
      </c>
      <c r="F906" s="197" t="e">
        <f>Commodities!C234</f>
        <v>#REF!</v>
      </c>
      <c r="G906" s="204">
        <v>1</v>
      </c>
      <c r="H906" s="203" t="e">
        <f>#REF!*#REF!^5/(Conv!$I$5*Conv!$D$46)/10^6 +#REF!</f>
        <v>#REF!</v>
      </c>
      <c r="I906" s="203" t="e">
        <f>#REF!*#REF!^5/(Conv!$I$5*Conv!$D$46)/10^6 +#REF!</f>
        <v>#REF!</v>
      </c>
      <c r="J906" s="203" t="e">
        <f>#REF!*#REF!^5/(Conv!$I$5*Conv!$D$46)/10^6 +#REF!</f>
        <v>#REF!</v>
      </c>
      <c r="K906" s="203" t="e">
        <f>#REF!*#REF!^5/(Conv!$I$5*Conv!$D$46)/10^6 +#REF!</f>
        <v>#REF!</v>
      </c>
      <c r="L906" s="203" t="e">
        <f>#REF!*#REF!^5/(Conv!$I$5*Conv!$D$46)/10^6 +#REF!</f>
        <v>#REF!</v>
      </c>
      <c r="M906" s="203" t="e">
        <f>#REF!*#REF!^5/(Conv!$I$5*Conv!$D$46)/10^6 +#REF!</f>
        <v>#REF!</v>
      </c>
      <c r="N906" s="203" t="e">
        <f>#REF!*#REF!^5/(Conv!$I$5*Conv!$D$46)/10^6 +#REF!</f>
        <v>#REF!</v>
      </c>
      <c r="O906" s="203" t="e">
        <f>#REF!*#REF!^5/(Conv!$I$5*Conv!$D$46)/10^6 +#REF!</f>
        <v>#REF!</v>
      </c>
      <c r="P906" s="203" t="e">
        <f>#REF!*#REF!^5/(Conv!$I$5*Conv!$D$46)/10^6 +#REF!</f>
        <v>#REF!</v>
      </c>
      <c r="Q906" s="203" t="e">
        <f>#REF!*#REF!^5/(Conv!$I$5*Conv!$D$46)/10^6 +#REF!</f>
        <v>#REF!</v>
      </c>
      <c r="S906" s="177"/>
      <c r="T906" s="177"/>
      <c r="U906" s="177"/>
      <c r="V906" s="177"/>
      <c r="W906" s="177"/>
      <c r="X906" s="177"/>
      <c r="Y906" s="177"/>
      <c r="Z906" s="177"/>
      <c r="AA906" s="177"/>
      <c r="AB906" s="177"/>
      <c r="AC906" s="177"/>
    </row>
    <row r="907" spans="2:29">
      <c r="B907" s="158" t="str">
        <f>IF(OR(LEFT(Commodities!B$71,1)="*",LEFT(Technologies!B$522,1)="*"),"*","R3")</f>
        <v>*</v>
      </c>
      <c r="C907" s="158" t="e">
        <f>Technologies!C$572</f>
        <v>#REF!</v>
      </c>
      <c r="D907" s="158" t="str">
        <f>Technologies!D522</f>
        <v>Delivery of Imported LPG to the Commercial Sector</v>
      </c>
      <c r="E907" s="197" t="str">
        <f>Commodities!C$97</f>
        <v>LPGP3</v>
      </c>
      <c r="F907" s="197" t="e">
        <f>Commodities!C235</f>
        <v>#REF!</v>
      </c>
      <c r="G907" s="204">
        <v>1</v>
      </c>
      <c r="H907" s="203" t="e">
        <f>#REF!*#REF!^5/(Conv!$I$5*Conv!$D$46)/10^6 +#REF!</f>
        <v>#REF!</v>
      </c>
      <c r="I907" s="203" t="e">
        <f>#REF!*#REF!^5/(Conv!$I$5*Conv!$D$46)/10^6 +#REF!</f>
        <v>#REF!</v>
      </c>
      <c r="J907" s="203" t="e">
        <f>#REF!*#REF!^5/(Conv!$I$5*Conv!$D$46)/10^6 +#REF!</f>
        <v>#REF!</v>
      </c>
      <c r="K907" s="203" t="e">
        <f>#REF!*#REF!^5/(Conv!$I$5*Conv!$D$46)/10^6 +#REF!</f>
        <v>#REF!</v>
      </c>
      <c r="L907" s="203" t="e">
        <f>#REF!*#REF!^5/(Conv!$I$5*Conv!$D$46)/10^6 +#REF!</f>
        <v>#REF!</v>
      </c>
      <c r="M907" s="203" t="e">
        <f>#REF!*#REF!^5/(Conv!$I$5*Conv!$D$46)/10^6 +#REF!</f>
        <v>#REF!</v>
      </c>
      <c r="N907" s="203" t="e">
        <f>#REF!*#REF!^5/(Conv!$I$5*Conv!$D$46)/10^6 +#REF!</f>
        <v>#REF!</v>
      </c>
      <c r="O907" s="203" t="e">
        <f>#REF!*#REF!^5/(Conv!$I$5*Conv!$D$46)/10^6 +#REF!</f>
        <v>#REF!</v>
      </c>
      <c r="P907" s="203" t="e">
        <f>#REF!*#REF!^5/(Conv!$I$5*Conv!$D$46)/10^6 +#REF!</f>
        <v>#REF!</v>
      </c>
      <c r="Q907" s="203" t="e">
        <f>#REF!*#REF!^5/(Conv!$I$5*Conv!$D$46)/10^6 +#REF!</f>
        <v>#REF!</v>
      </c>
      <c r="S907" s="177"/>
      <c r="T907" s="177"/>
      <c r="U907" s="177"/>
      <c r="V907" s="177"/>
      <c r="W907" s="177"/>
      <c r="X907" s="177"/>
      <c r="Y907" s="177"/>
      <c r="Z907" s="177"/>
      <c r="AA907" s="177"/>
      <c r="AB907" s="177"/>
      <c r="AC907" s="177"/>
    </row>
    <row r="908" spans="2:29">
      <c r="B908" s="158" t="str">
        <f>IF(OR(LEFT(Commodities!B$71,1)="*",LEFT(Technologies!B$523,1)="*"),"*","R3")</f>
        <v>*</v>
      </c>
      <c r="C908" s="158" t="e">
        <f>Technologies!C$573</f>
        <v>#REF!</v>
      </c>
      <c r="D908" s="158" t="str">
        <f>Technologies!D523</f>
        <v>Delivery of Imported LPG to the Industrial Sector</v>
      </c>
      <c r="E908" s="197" t="str">
        <f>Commodities!C$97</f>
        <v>LPGP3</v>
      </c>
      <c r="F908" s="197" t="e">
        <f>Commodities!C236</f>
        <v>#REF!</v>
      </c>
      <c r="G908" s="204">
        <v>1</v>
      </c>
      <c r="H908" s="203" t="e">
        <f>#REF!*#REF!^5/(Conv!$I$5*Conv!$D$46)/10^6 +#REF!</f>
        <v>#REF!</v>
      </c>
      <c r="I908" s="203" t="e">
        <f>#REF!*#REF!^5/(Conv!$I$5*Conv!$D$46)/10^6 +#REF!</f>
        <v>#REF!</v>
      </c>
      <c r="J908" s="203" t="e">
        <f>#REF!*#REF!^5/(Conv!$I$5*Conv!$D$46)/10^6 +#REF!</f>
        <v>#REF!</v>
      </c>
      <c r="K908" s="203" t="e">
        <f>#REF!*#REF!^5/(Conv!$I$5*Conv!$D$46)/10^6 +#REF!</f>
        <v>#REF!</v>
      </c>
      <c r="L908" s="203" t="e">
        <f>#REF!*#REF!^5/(Conv!$I$5*Conv!$D$46)/10^6 +#REF!</f>
        <v>#REF!</v>
      </c>
      <c r="M908" s="203" t="e">
        <f>#REF!*#REF!^5/(Conv!$I$5*Conv!$D$46)/10^6 +#REF!</f>
        <v>#REF!</v>
      </c>
      <c r="N908" s="203" t="e">
        <f>#REF!*#REF!^5/(Conv!$I$5*Conv!$D$46)/10^6 +#REF!</f>
        <v>#REF!</v>
      </c>
      <c r="O908" s="203" t="e">
        <f>#REF!*#REF!^5/(Conv!$I$5*Conv!$D$46)/10^6 +#REF!</f>
        <v>#REF!</v>
      </c>
      <c r="P908" s="203" t="e">
        <f>#REF!*#REF!^5/(Conv!$I$5*Conv!$D$46)/10^6 +#REF!</f>
        <v>#REF!</v>
      </c>
      <c r="Q908" s="203" t="e">
        <f>#REF!*#REF!^5/(Conv!$I$5*Conv!$D$46)/10^6 +#REF!</f>
        <v>#REF!</v>
      </c>
      <c r="S908" s="177"/>
      <c r="T908" s="177"/>
      <c r="U908" s="177"/>
      <c r="V908" s="177"/>
      <c r="W908" s="177"/>
      <c r="X908" s="177"/>
      <c r="Y908" s="177"/>
      <c r="Z908" s="177"/>
      <c r="AA908" s="177"/>
      <c r="AB908" s="177"/>
      <c r="AC908" s="177"/>
    </row>
    <row r="909" spans="2:29">
      <c r="B909" s="158" t="str">
        <f>IF(OR(LEFT(Commodities!B$71,1)="*",LEFT(Technologies!B$524,1)="*"),"*","R3")</f>
        <v>*</v>
      </c>
      <c r="C909" s="158" t="e">
        <f>Technologies!C$574</f>
        <v>#REF!</v>
      </c>
      <c r="D909" s="158" t="str">
        <f>Technologies!D524</f>
        <v>Delivery of Imported LPG to the Transportation Sector</v>
      </c>
      <c r="E909" s="197" t="str">
        <f>Commodities!C$97</f>
        <v>LPGP3</v>
      </c>
      <c r="F909" s="197" t="e">
        <f>Commodities!C237</f>
        <v>#REF!</v>
      </c>
      <c r="G909" s="204">
        <v>1</v>
      </c>
      <c r="H909" s="203" t="e">
        <f>#REF!*#REF!^5/(Conv!$I$5*Conv!$D$46)/10^6 +#REF!</f>
        <v>#REF!</v>
      </c>
      <c r="I909" s="203" t="e">
        <f>#REF!*#REF!^5/(Conv!$I$5*Conv!$D$46)/10^6 +#REF!</f>
        <v>#REF!</v>
      </c>
      <c r="J909" s="203" t="e">
        <f>#REF!*#REF!^5/(Conv!$I$5*Conv!$D$46)/10^6 +#REF!</f>
        <v>#REF!</v>
      </c>
      <c r="K909" s="203" t="e">
        <f>#REF!*#REF!^5/(Conv!$I$5*Conv!$D$46)/10^6 +#REF!</f>
        <v>#REF!</v>
      </c>
      <c r="L909" s="203" t="e">
        <f>#REF!*#REF!^5/(Conv!$I$5*Conv!$D$46)/10^6 +#REF!</f>
        <v>#REF!</v>
      </c>
      <c r="M909" s="203" t="e">
        <f>#REF!*#REF!^5/(Conv!$I$5*Conv!$D$46)/10^6 +#REF!</f>
        <v>#REF!</v>
      </c>
      <c r="N909" s="203" t="e">
        <f>#REF!*#REF!^5/(Conv!$I$5*Conv!$D$46)/10^6 +#REF!</f>
        <v>#REF!</v>
      </c>
      <c r="O909" s="203" t="e">
        <f>#REF!*#REF!^5/(Conv!$I$5*Conv!$D$46)/10^6 +#REF!</f>
        <v>#REF!</v>
      </c>
      <c r="P909" s="203" t="e">
        <f>#REF!*#REF!^5/(Conv!$I$5*Conv!$D$46)/10^6 +#REF!</f>
        <v>#REF!</v>
      </c>
      <c r="Q909" s="203" t="e">
        <f>#REF!*#REF!^5/(Conv!$I$5*Conv!$D$46)/10^6 +#REF!</f>
        <v>#REF!</v>
      </c>
      <c r="S909" s="177"/>
      <c r="T909" s="177"/>
      <c r="U909" s="177"/>
      <c r="V909" s="177"/>
      <c r="W909" s="177"/>
      <c r="X909" s="177"/>
      <c r="Y909" s="177"/>
      <c r="Z909" s="177"/>
      <c r="AA909" s="177"/>
      <c r="AB909" s="177"/>
      <c r="AC909" s="177"/>
    </row>
    <row r="910" spans="2:29">
      <c r="B910" s="158" t="str">
        <f>IF(LEFT(Technologies!B$525,1)="*","*","R3")</f>
        <v>*</v>
      </c>
      <c r="C910" s="158" t="e">
        <f>Technologies!C$575</f>
        <v>#REF!</v>
      </c>
      <c r="D910" s="158" t="str">
        <f>Technologies!D525</f>
        <v>Delivery of Imported Methanol</v>
      </c>
      <c r="E910" s="197" t="str">
        <f>Commodities!C$98</f>
        <v>MTHP3</v>
      </c>
      <c r="F910" s="197" t="e">
        <f>Commodities!C238</f>
        <v>#REF!</v>
      </c>
      <c r="G910" s="204">
        <v>1</v>
      </c>
      <c r="H910" s="203" t="e">
        <f>#REF!*#REF!^5/(Conv!$I$5*Conv!$D$46)/10^6 +#REF!</f>
        <v>#REF!</v>
      </c>
      <c r="I910" s="203" t="e">
        <f>#REF!*#REF!^5/(Conv!$I$5*Conv!$D$46)/10^6 +#REF!</f>
        <v>#REF!</v>
      </c>
      <c r="J910" s="203" t="e">
        <f>#REF!*#REF!^5/(Conv!$I$5*Conv!$D$46)/10^6 +#REF!</f>
        <v>#REF!</v>
      </c>
      <c r="K910" s="203" t="e">
        <f>#REF!*#REF!^5/(Conv!$I$5*Conv!$D$46)/10^6 +#REF!</f>
        <v>#REF!</v>
      </c>
      <c r="L910" s="203" t="e">
        <f>#REF!*#REF!^5/(Conv!$I$5*Conv!$D$46)/10^6 +#REF!</f>
        <v>#REF!</v>
      </c>
      <c r="M910" s="203" t="e">
        <f>#REF!*#REF!^5/(Conv!$I$5*Conv!$D$46)/10^6 +#REF!</f>
        <v>#REF!</v>
      </c>
      <c r="N910" s="203" t="e">
        <f>#REF!*#REF!^5/(Conv!$I$5*Conv!$D$46)/10^6 +#REF!</f>
        <v>#REF!</v>
      </c>
      <c r="O910" s="203" t="e">
        <f>#REF!*#REF!^5/(Conv!$I$5*Conv!$D$46)/10^6 +#REF!</f>
        <v>#REF!</v>
      </c>
      <c r="P910" s="203" t="e">
        <f>#REF!*#REF!^5/(Conv!$I$5*Conv!$D$46)/10^6 +#REF!</f>
        <v>#REF!</v>
      </c>
      <c r="Q910" s="203" t="e">
        <f>#REF!*#REF!^5/(Conv!$I$5*Conv!$D$46)/10^6 +#REF!</f>
        <v>#REF!</v>
      </c>
      <c r="S910" s="177"/>
      <c r="T910" s="177"/>
      <c r="U910" s="177"/>
      <c r="V910" s="177"/>
      <c r="W910" s="177"/>
      <c r="X910" s="177"/>
      <c r="Y910" s="177"/>
      <c r="Z910" s="177"/>
      <c r="AA910" s="177"/>
      <c r="AB910" s="177"/>
      <c r="AC910" s="177"/>
    </row>
    <row r="911" spans="2:29">
      <c r="B911" s="158" t="str">
        <f>IF(OR(LEFT(Commodities!B$239,1)="*",LEFT(Technologies!B$526,1)="*"),"*","R3")</f>
        <v>*</v>
      </c>
      <c r="C911" s="158" t="e">
        <f>Technologies!C$576</f>
        <v>#REF!</v>
      </c>
      <c r="D911" s="158" t="str">
        <f>Technologies!D526</f>
        <v>Delivery of Imported Petrochemical Feedstocks</v>
      </c>
      <c r="E911" s="197" t="str">
        <f>Commodities!C$99</f>
        <v>PFSP3</v>
      </c>
      <c r="F911" s="197" t="e">
        <f>Commodities!C239</f>
        <v>#REF!</v>
      </c>
      <c r="G911" s="204">
        <v>1</v>
      </c>
      <c r="H911" s="203" t="e">
        <f>#REF!*#REF!^5/(Conv!$I$5*Conv!$D$46)/10^6 +#REF!</f>
        <v>#REF!</v>
      </c>
      <c r="I911" s="203" t="e">
        <f>#REF!*#REF!^5/(Conv!$I$5*Conv!$D$46)/10^6 +#REF!</f>
        <v>#REF!</v>
      </c>
      <c r="J911" s="203" t="e">
        <f>#REF!*#REF!^5/(Conv!$I$5*Conv!$D$46)/10^6 +#REF!</f>
        <v>#REF!</v>
      </c>
      <c r="K911" s="203" t="e">
        <f>#REF!*#REF!^5/(Conv!$I$5*Conv!$D$46)/10^6 +#REF!</f>
        <v>#REF!</v>
      </c>
      <c r="L911" s="203" t="e">
        <f>#REF!*#REF!^5/(Conv!$I$5*Conv!$D$46)/10^6 +#REF!</f>
        <v>#REF!</v>
      </c>
      <c r="M911" s="203" t="e">
        <f>#REF!*#REF!^5/(Conv!$I$5*Conv!$D$46)/10^6 +#REF!</f>
        <v>#REF!</v>
      </c>
      <c r="N911" s="203" t="e">
        <f>#REF!*#REF!^5/(Conv!$I$5*Conv!$D$46)/10^6 +#REF!</f>
        <v>#REF!</v>
      </c>
      <c r="O911" s="203" t="e">
        <f>#REF!*#REF!^5/(Conv!$I$5*Conv!$D$46)/10^6 +#REF!</f>
        <v>#REF!</v>
      </c>
      <c r="P911" s="203" t="e">
        <f>#REF!*#REF!^5/(Conv!$I$5*Conv!$D$46)/10^6 +#REF!</f>
        <v>#REF!</v>
      </c>
      <c r="Q911" s="203" t="e">
        <f>#REF!*#REF!^5/(Conv!$I$5*Conv!$D$46)/10^6 +#REF!</f>
        <v>#REF!</v>
      </c>
      <c r="S911" s="177"/>
      <c r="T911" s="177"/>
      <c r="U911" s="177"/>
      <c r="V911" s="177"/>
      <c r="W911" s="177"/>
      <c r="X911" s="177"/>
      <c r="Y911" s="177"/>
      <c r="Z911" s="177"/>
      <c r="AA911" s="177"/>
      <c r="AB911" s="177"/>
      <c r="AC911" s="177"/>
    </row>
    <row r="912" spans="2:29">
      <c r="B912" s="158" t="str">
        <f>IF(OR(LEFT(Commodities!B$75,1)="*",LEFT(Technologies!B$527,1)="*"),"*","R3")</f>
        <v>*</v>
      </c>
      <c r="C912" s="158" t="str">
        <f>Technologies!C$577</f>
        <v>XIRESRFLP3</v>
      </c>
      <c r="D912" s="158" t="str">
        <f>Technologies!D527</f>
        <v>Delivery of Imported Low Sulfur Residual Fuel Oil to Residential Sector</v>
      </c>
      <c r="E912" s="197" t="str">
        <f>Commodities!C$101</f>
        <v>RFLP3</v>
      </c>
      <c r="F912" s="197" t="str">
        <f>Commodities!C240</f>
        <v>RESRFL</v>
      </c>
      <c r="G912" s="204">
        <v>1</v>
      </c>
      <c r="H912" s="203" t="e">
        <f>#REF!*#REF!^5/(Conv!$I$5*Conv!$D$46)/10^6 +#REF!</f>
        <v>#REF!</v>
      </c>
      <c r="I912" s="203" t="e">
        <f>#REF!*#REF!^5/(Conv!$I$5*Conv!$D$46)/10^6 +#REF!</f>
        <v>#REF!</v>
      </c>
      <c r="J912" s="203" t="e">
        <f>#REF!*#REF!^5/(Conv!$I$5*Conv!$D$46)/10^6 +#REF!</f>
        <v>#REF!</v>
      </c>
      <c r="K912" s="203" t="e">
        <f>#REF!*#REF!^5/(Conv!$I$5*Conv!$D$46)/10^6 +#REF!</f>
        <v>#REF!</v>
      </c>
      <c r="L912" s="203" t="e">
        <f>#REF!*#REF!^5/(Conv!$I$5*Conv!$D$46)/10^6 +#REF!</f>
        <v>#REF!</v>
      </c>
      <c r="M912" s="203" t="e">
        <f>#REF!*#REF!^5/(Conv!$I$5*Conv!$D$46)/10^6 +#REF!</f>
        <v>#REF!</v>
      </c>
      <c r="N912" s="203" t="e">
        <f>#REF!*#REF!^5/(Conv!$I$5*Conv!$D$46)/10^6 +#REF!</f>
        <v>#REF!</v>
      </c>
      <c r="O912" s="203" t="e">
        <f>#REF!*#REF!^5/(Conv!$I$5*Conv!$D$46)/10^6 +#REF!</f>
        <v>#REF!</v>
      </c>
      <c r="P912" s="203" t="e">
        <f>#REF!*#REF!^5/(Conv!$I$5*Conv!$D$46)/10^6 +#REF!</f>
        <v>#REF!</v>
      </c>
      <c r="Q912" s="203" t="e">
        <f>#REF!*#REF!^5/(Conv!$I$5*Conv!$D$46)/10^6 +#REF!</f>
        <v>#REF!</v>
      </c>
      <c r="S912" s="177"/>
      <c r="T912" s="177"/>
      <c r="U912" s="177"/>
      <c r="V912" s="177"/>
      <c r="W912" s="177"/>
      <c r="X912" s="177"/>
      <c r="Y912" s="177"/>
      <c r="Z912" s="177"/>
      <c r="AA912" s="177"/>
      <c r="AB912" s="177"/>
      <c r="AC912" s="177"/>
    </row>
    <row r="913" spans="2:29">
      <c r="B913" s="158" t="str">
        <f>IF(OR(LEFT(Commodities!B$75,1)="*",LEFT(Technologies!B$528,1)="*"),"*","R3")</f>
        <v>*</v>
      </c>
      <c r="C913" s="158" t="e">
        <f>Technologies!C$578</f>
        <v>#REF!</v>
      </c>
      <c r="D913" s="158" t="str">
        <f>Technologies!D528</f>
        <v>Delivery of Imported Low Sulfur Residual Fuel Oil to Commercial Sector</v>
      </c>
      <c r="E913" s="197" t="str">
        <f>Commodities!C$101</f>
        <v>RFLP3</v>
      </c>
      <c r="F913" s="197" t="e">
        <f>Commodities!C241</f>
        <v>#REF!</v>
      </c>
      <c r="G913" s="204">
        <v>1</v>
      </c>
      <c r="H913" s="203" t="e">
        <f>#REF!*#REF!^5/(Conv!$I$5*Conv!$D$46)/10^6 +#REF!</f>
        <v>#REF!</v>
      </c>
      <c r="I913" s="203" t="e">
        <f>#REF!*#REF!^5/(Conv!$I$5*Conv!$D$46)/10^6 +#REF!</f>
        <v>#REF!</v>
      </c>
      <c r="J913" s="203" t="e">
        <f>#REF!*#REF!^5/(Conv!$I$5*Conv!$D$46)/10^6 +#REF!</f>
        <v>#REF!</v>
      </c>
      <c r="K913" s="203" t="e">
        <f>#REF!*#REF!^5/(Conv!$I$5*Conv!$D$46)/10^6 +#REF!</f>
        <v>#REF!</v>
      </c>
      <c r="L913" s="203" t="e">
        <f>#REF!*#REF!^5/(Conv!$I$5*Conv!$D$46)/10^6 +#REF!</f>
        <v>#REF!</v>
      </c>
      <c r="M913" s="203" t="e">
        <f>#REF!*#REF!^5/(Conv!$I$5*Conv!$D$46)/10^6 +#REF!</f>
        <v>#REF!</v>
      </c>
      <c r="N913" s="203" t="e">
        <f>#REF!*#REF!^5/(Conv!$I$5*Conv!$D$46)/10^6 +#REF!</f>
        <v>#REF!</v>
      </c>
      <c r="O913" s="203" t="e">
        <f>#REF!*#REF!^5/(Conv!$I$5*Conv!$D$46)/10^6 +#REF!</f>
        <v>#REF!</v>
      </c>
      <c r="P913" s="203" t="e">
        <f>#REF!*#REF!^5/(Conv!$I$5*Conv!$D$46)/10^6 +#REF!</f>
        <v>#REF!</v>
      </c>
      <c r="Q913" s="203" t="e">
        <f>#REF!*#REF!^5/(Conv!$I$5*Conv!$D$46)/10^6 +#REF!</f>
        <v>#REF!</v>
      </c>
      <c r="S913" s="177"/>
      <c r="T913" s="177"/>
      <c r="U913" s="177"/>
      <c r="V913" s="177"/>
      <c r="W913" s="177"/>
      <c r="X913" s="177"/>
      <c r="Y913" s="177"/>
      <c r="Z913" s="177"/>
      <c r="AA913" s="177"/>
      <c r="AB913" s="177"/>
      <c r="AC913" s="177"/>
    </row>
    <row r="914" spans="2:29">
      <c r="B914" s="158" t="str">
        <f>IF(OR(LEFT(Commodities!B$75,1)="*",LEFT(Technologies!B$529,1)="*"),"*","R3")</f>
        <v>R3</v>
      </c>
      <c r="C914" s="158" t="e">
        <f>Technologies!C$579</f>
        <v>#REF!</v>
      </c>
      <c r="D914" s="158" t="str">
        <f>Technologies!D529</f>
        <v>Delivery of Imported Low Sulfur Residual Fuel Oil to Industrial Sector</v>
      </c>
      <c r="E914" s="197" t="str">
        <f>Commodities!C$101</f>
        <v>RFLP3</v>
      </c>
      <c r="F914" s="197" t="e">
        <f>Commodities!C242</f>
        <v>#REF!</v>
      </c>
      <c r="G914" s="204">
        <v>1</v>
      </c>
      <c r="H914" s="203" t="e">
        <f>#REF!*#REF!^5/(Conv!$I$5*Conv!$D$46)/10^6 +#REF!</f>
        <v>#REF!</v>
      </c>
      <c r="I914" s="203" t="e">
        <f>#REF!*#REF!^5/(Conv!$I$5*Conv!$D$46)/10^6 +#REF!</f>
        <v>#REF!</v>
      </c>
      <c r="J914" s="203" t="e">
        <f>#REF!*#REF!^5/(Conv!$I$5*Conv!$D$46)/10^6 +#REF!</f>
        <v>#REF!</v>
      </c>
      <c r="K914" s="203" t="e">
        <f>#REF!*#REF!^5/(Conv!$I$5*Conv!$D$46)/10^6 +#REF!</f>
        <v>#REF!</v>
      </c>
      <c r="L914" s="203" t="e">
        <f>#REF!*#REF!^5/(Conv!$I$5*Conv!$D$46)/10^6 +#REF!</f>
        <v>#REF!</v>
      </c>
      <c r="M914" s="203" t="e">
        <f>#REF!*#REF!^5/(Conv!$I$5*Conv!$D$46)/10^6 +#REF!</f>
        <v>#REF!</v>
      </c>
      <c r="N914" s="203" t="e">
        <f>#REF!*#REF!^5/(Conv!$I$5*Conv!$D$46)/10^6 +#REF!</f>
        <v>#REF!</v>
      </c>
      <c r="O914" s="203" t="e">
        <f>#REF!*#REF!^5/(Conv!$I$5*Conv!$D$46)/10^6 +#REF!</f>
        <v>#REF!</v>
      </c>
      <c r="P914" s="203" t="e">
        <f>#REF!*#REF!^5/(Conv!$I$5*Conv!$D$46)/10^6 +#REF!</f>
        <v>#REF!</v>
      </c>
      <c r="Q914" s="203" t="e">
        <f>#REF!*#REF!^5/(Conv!$I$5*Conv!$D$46)/10^6 +#REF!</f>
        <v>#REF!</v>
      </c>
      <c r="S914" s="177"/>
      <c r="T914" s="177"/>
      <c r="U914" s="177"/>
      <c r="V914" s="177"/>
      <c r="W914" s="177"/>
      <c r="X914" s="177"/>
      <c r="Y914" s="177"/>
      <c r="Z914" s="177"/>
      <c r="AA914" s="177"/>
      <c r="AB914" s="177"/>
      <c r="AC914" s="177"/>
    </row>
    <row r="915" spans="2:29">
      <c r="B915" s="158" t="str">
        <f>IF(OR(LEFT(Commodities!B$75,1)="*",LEFT(Technologies!B$530,1)="*"),"*","R3")</f>
        <v>*</v>
      </c>
      <c r="C915" s="158" t="e">
        <f>Technologies!C$580</f>
        <v>#REF!</v>
      </c>
      <c r="D915" s="158" t="str">
        <f>Technologies!D530</f>
        <v>Delivery of Imported Low Sulfur Residual Fuel Oil to Electricity Sector</v>
      </c>
      <c r="E915" s="197" t="str">
        <f>Commodities!C$101</f>
        <v>RFLP3</v>
      </c>
      <c r="F915" s="197" t="e">
        <f>Commodities!C243</f>
        <v>#REF!</v>
      </c>
      <c r="G915" s="204">
        <v>1</v>
      </c>
      <c r="H915" s="203" t="e">
        <f>#REF!*#REF!^5/(Conv!$I$5*Conv!$D$46)/10^6 +#REF!</f>
        <v>#REF!</v>
      </c>
      <c r="I915" s="203" t="e">
        <f>#REF!*#REF!^5/(Conv!$I$5*Conv!$D$46)/10^6 +#REF!</f>
        <v>#REF!</v>
      </c>
      <c r="J915" s="203" t="e">
        <f>#REF!*#REF!^5/(Conv!$I$5*Conv!$D$46)/10^6 +#REF!</f>
        <v>#REF!</v>
      </c>
      <c r="K915" s="203" t="e">
        <f>#REF!*#REF!^5/(Conv!$I$5*Conv!$D$46)/10^6 +#REF!</f>
        <v>#REF!</v>
      </c>
      <c r="L915" s="203" t="e">
        <f>#REF!*#REF!^5/(Conv!$I$5*Conv!$D$46)/10^6 +#REF!</f>
        <v>#REF!</v>
      </c>
      <c r="M915" s="203" t="e">
        <f>#REF!*#REF!^5/(Conv!$I$5*Conv!$D$46)/10^6 +#REF!</f>
        <v>#REF!</v>
      </c>
      <c r="N915" s="203" t="e">
        <f>#REF!*#REF!^5/(Conv!$I$5*Conv!$D$46)/10^6 +#REF!</f>
        <v>#REF!</v>
      </c>
      <c r="O915" s="203" t="e">
        <f>#REF!*#REF!^5/(Conv!$I$5*Conv!$D$46)/10^6 +#REF!</f>
        <v>#REF!</v>
      </c>
      <c r="P915" s="203" t="e">
        <f>#REF!*#REF!^5/(Conv!$I$5*Conv!$D$46)/10^6 +#REF!</f>
        <v>#REF!</v>
      </c>
      <c r="Q915" s="203" t="e">
        <f>#REF!*#REF!^5/(Conv!$I$5*Conv!$D$46)/10^6 +#REF!</f>
        <v>#REF!</v>
      </c>
      <c r="S915" s="177"/>
      <c r="T915" s="177"/>
      <c r="U915" s="177"/>
      <c r="V915" s="177"/>
      <c r="W915" s="177"/>
      <c r="X915" s="177"/>
      <c r="Y915" s="177"/>
      <c r="Z915" s="177"/>
      <c r="AA915" s="177"/>
      <c r="AB915" s="177"/>
      <c r="AC915" s="177"/>
    </row>
    <row r="916" spans="2:29">
      <c r="B916" s="158" t="str">
        <f>IF(OR(LEFT(Commodities!B$74,1)="*",LEFT(Technologies!B$531,1)="*"),"*","R3")</f>
        <v>*</v>
      </c>
      <c r="C916" s="158" t="e">
        <f>Technologies!C$581</f>
        <v>#REF!</v>
      </c>
      <c r="D916" s="158" t="str">
        <f>Technologies!D531</f>
        <v>Delivery of Imported High Sulfur Residual Fuel Oil to Transportation Sector</v>
      </c>
      <c r="E916" s="197" t="e">
        <f>Commodities!C177</f>
        <v>#REF!</v>
      </c>
      <c r="F916" s="197" t="e">
        <f>Commodities!C244</f>
        <v>#REF!</v>
      </c>
      <c r="G916" s="204">
        <v>1</v>
      </c>
      <c r="H916" s="203" t="e">
        <f>#REF!*#REF!^5/(Conv!$I$5*Conv!$D$46)/10^6 +#REF!</f>
        <v>#REF!</v>
      </c>
      <c r="I916" s="203" t="e">
        <f>#REF!*#REF!^5/(Conv!$I$5*Conv!$D$46)/10^6 +#REF!</f>
        <v>#REF!</v>
      </c>
      <c r="J916" s="203" t="e">
        <f>#REF!*#REF!^5/(Conv!$I$5*Conv!$D$46)/10^6 +#REF!</f>
        <v>#REF!</v>
      </c>
      <c r="K916" s="203" t="e">
        <f>#REF!*#REF!^5/(Conv!$I$5*Conv!$D$46)/10^6 +#REF!</f>
        <v>#REF!</v>
      </c>
      <c r="L916" s="203" t="e">
        <f>#REF!*#REF!^5/(Conv!$I$5*Conv!$D$46)/10^6 +#REF!</f>
        <v>#REF!</v>
      </c>
      <c r="M916" s="203" t="e">
        <f>#REF!*#REF!^5/(Conv!$I$5*Conv!$D$46)/10^6 +#REF!</f>
        <v>#REF!</v>
      </c>
      <c r="N916" s="203" t="e">
        <f>#REF!*#REF!^5/(Conv!$I$5*Conv!$D$46)/10^6 +#REF!</f>
        <v>#REF!</v>
      </c>
      <c r="O916" s="203" t="e">
        <f>#REF!*#REF!^5/(Conv!$I$5*Conv!$D$46)/10^6 +#REF!</f>
        <v>#REF!</v>
      </c>
      <c r="P916" s="203" t="e">
        <f>#REF!*#REF!^5/(Conv!$I$5*Conv!$D$46)/10^6 +#REF!</f>
        <v>#REF!</v>
      </c>
      <c r="Q916" s="203" t="e">
        <f>#REF!*#REF!^5/(Conv!$I$5*Conv!$D$46)/10^6 +#REF!</f>
        <v>#REF!</v>
      </c>
      <c r="S916" s="177"/>
      <c r="T916" s="177"/>
      <c r="U916" s="177"/>
      <c r="V916" s="177"/>
      <c r="W916" s="177"/>
      <c r="X916" s="177"/>
      <c r="Y916" s="177"/>
      <c r="Z916" s="177"/>
      <c r="AA916" s="177"/>
      <c r="AB916" s="177"/>
      <c r="AC916" s="177"/>
    </row>
    <row r="917" spans="2:29">
      <c r="B917" s="158" t="str">
        <f>IF(OR(LEFT(Commodities!B$74,1)="*",LEFT(Technologies!B$532,1)="*"),"*","R3")</f>
        <v>*</v>
      </c>
      <c r="C917" s="158" t="e">
        <f>Technologies!C$582</f>
        <v>#REF!</v>
      </c>
      <c r="D917" s="158" t="str">
        <f>Technologies!D532</f>
        <v>Delivery of Imported High Sulfur Residual Fuel Oil to Electricity Sector</v>
      </c>
      <c r="E917" s="197" t="e">
        <f>Commodities!C178</f>
        <v>#REF!</v>
      </c>
      <c r="F917" s="197" t="e">
        <f>Commodities!C245</f>
        <v>#REF!</v>
      </c>
      <c r="G917" s="204">
        <v>1</v>
      </c>
      <c r="H917" s="203" t="e">
        <f>#REF!*#REF!^5/(Conv!$I$5*Conv!$D$46)/10^6 +#REF!</f>
        <v>#REF!</v>
      </c>
      <c r="I917" s="203" t="e">
        <f>#REF!*#REF!^5/(Conv!$I$5*Conv!$D$46)/10^6 +#REF!</f>
        <v>#REF!</v>
      </c>
      <c r="J917" s="203" t="e">
        <f>#REF!*#REF!^5/(Conv!$I$5*Conv!$D$46)/10^6 +#REF!</f>
        <v>#REF!</v>
      </c>
      <c r="K917" s="203" t="e">
        <f>#REF!*#REF!^5/(Conv!$I$5*Conv!$D$46)/10^6 +#REF!</f>
        <v>#REF!</v>
      </c>
      <c r="L917" s="203" t="e">
        <f>#REF!*#REF!^5/(Conv!$I$5*Conv!$D$46)/10^6 +#REF!</f>
        <v>#REF!</v>
      </c>
      <c r="M917" s="203" t="e">
        <f>#REF!*#REF!^5/(Conv!$I$5*Conv!$D$46)/10^6 +#REF!</f>
        <v>#REF!</v>
      </c>
      <c r="N917" s="203" t="e">
        <f>#REF!*#REF!^5/(Conv!$I$5*Conv!$D$46)/10^6 +#REF!</f>
        <v>#REF!</v>
      </c>
      <c r="O917" s="203" t="e">
        <f>#REF!*#REF!^5/(Conv!$I$5*Conv!$D$46)/10^6 +#REF!</f>
        <v>#REF!</v>
      </c>
      <c r="P917" s="203" t="e">
        <f>#REF!*#REF!^5/(Conv!$I$5*Conv!$D$46)/10^6 +#REF!</f>
        <v>#REF!</v>
      </c>
      <c r="Q917" s="203" t="e">
        <f>#REF!*#REF!^5/(Conv!$I$5*Conv!$D$46)/10^6 +#REF!</f>
        <v>#REF!</v>
      </c>
      <c r="S917" s="177"/>
      <c r="T917" s="177"/>
      <c r="U917" s="177"/>
      <c r="V917" s="177"/>
      <c r="W917" s="177"/>
      <c r="X917" s="177"/>
      <c r="Y917" s="177"/>
      <c r="Z917" s="177"/>
      <c r="AA917" s="177"/>
      <c r="AB917" s="177"/>
      <c r="AC917" s="177"/>
    </row>
    <row r="918" spans="2:29">
      <c r="B918" s="160" t="s">
        <v>1033</v>
      </c>
      <c r="C918" s="160"/>
      <c r="D918" s="160"/>
      <c r="E918" s="196"/>
      <c r="F918" s="196"/>
      <c r="G918" s="200"/>
      <c r="H918" s="174"/>
      <c r="I918" s="174"/>
      <c r="J918" s="174"/>
      <c r="K918" s="174"/>
      <c r="L918" s="174"/>
      <c r="M918" s="174"/>
      <c r="N918" s="174"/>
      <c r="O918" s="174"/>
      <c r="P918" s="174"/>
      <c r="Q918" s="174"/>
    </row>
    <row r="919" spans="2:29">
      <c r="B919" s="158" t="str">
        <f>IF(LEFT(Technologies!B$509,1)="*","*","R4")</f>
        <v>R4</v>
      </c>
      <c r="C919" s="158" t="e">
        <f>Technologies!C$559</f>
        <v>#REF!</v>
      </c>
      <c r="D919" s="158" t="str">
        <f>Technologies!D509</f>
        <v>Delivery of Imported Conventional Gasoline</v>
      </c>
      <c r="E919" s="197" t="str">
        <f>Commodities!C$93</f>
        <v>GSCP3</v>
      </c>
      <c r="F919" s="197" t="e">
        <f>Commodities!C222</f>
        <v>#REF!</v>
      </c>
      <c r="G919" s="204">
        <v>1</v>
      </c>
      <c r="H919" s="203" t="e">
        <f>#REF!*#REF!^5/(Conv!$I$5*Conv!$D$46)/10^6 +#REF!</f>
        <v>#REF!</v>
      </c>
      <c r="I919" s="203" t="e">
        <f>#REF!*#REF!^5/(Conv!$I$5*Conv!$D$46)/10^6 +#REF!</f>
        <v>#REF!</v>
      </c>
      <c r="J919" s="203" t="e">
        <f>#REF!*#REF!^5/(Conv!$I$5*Conv!$D$46)/10^6 +#REF!</f>
        <v>#REF!</v>
      </c>
      <c r="K919" s="203" t="e">
        <f>#REF!*#REF!^5/(Conv!$I$5*Conv!$D$46)/10^6 +#REF!</f>
        <v>#REF!</v>
      </c>
      <c r="L919" s="203" t="e">
        <f>#REF!*#REF!^5/(Conv!$I$5*Conv!$D$46)/10^6 +#REF!</f>
        <v>#REF!</v>
      </c>
      <c r="M919" s="203" t="e">
        <f>#REF!*#REF!^5/(Conv!$I$5*Conv!$D$46)/10^6 +#REF!</f>
        <v>#REF!</v>
      </c>
      <c r="N919" s="203" t="e">
        <f>#REF!*#REF!^5/(Conv!$I$5*Conv!$D$46)/10^6 +#REF!</f>
        <v>#REF!</v>
      </c>
      <c r="O919" s="203" t="e">
        <f>#REF!*#REF!^5/(Conv!$I$5*Conv!$D$46)/10^6 +#REF!</f>
        <v>#REF!</v>
      </c>
      <c r="P919" s="203" t="e">
        <f>#REF!*#REF!^5/(Conv!$I$5*Conv!$D$46)/10^6 +#REF!</f>
        <v>#REF!</v>
      </c>
      <c r="Q919" s="203" t="e">
        <f>#REF!*#REF!^5/(Conv!$I$5*Conv!$D$46)/10^6 +#REF!</f>
        <v>#REF!</v>
      </c>
      <c r="S919" s="177"/>
      <c r="T919" s="177"/>
      <c r="U919" s="177"/>
      <c r="V919" s="177"/>
      <c r="W919" s="177"/>
      <c r="X919" s="177"/>
      <c r="Y919" s="177"/>
      <c r="Z919" s="177"/>
      <c r="AA919" s="177"/>
      <c r="AB919" s="177"/>
      <c r="AC919" s="177"/>
    </row>
    <row r="920" spans="2:29">
      <c r="B920" s="158" t="str">
        <f>IF(LEFT(Technologies!B$510,1)="*","*","R4")</f>
        <v>R4</v>
      </c>
      <c r="C920" s="158" t="e">
        <f>Technologies!C$560</f>
        <v>#REF!</v>
      </c>
      <c r="D920" s="158" t="str">
        <f>Technologies!D510</f>
        <v>Delivery of Imported Reformulated Gasoline</v>
      </c>
      <c r="E920" s="197" t="str">
        <f>Commodities!C$94</f>
        <v>GSRP3</v>
      </c>
      <c r="F920" s="197" t="e">
        <f>Commodities!C223</f>
        <v>#REF!</v>
      </c>
      <c r="G920" s="204">
        <v>1</v>
      </c>
      <c r="H920" s="203" t="e">
        <f>#REF!*#REF!^5/(Conv!$I$5*Conv!$D$46)/10^6 +#REF!</f>
        <v>#REF!</v>
      </c>
      <c r="I920" s="203" t="e">
        <f>#REF!*#REF!^5/(Conv!$I$5*Conv!$D$46)/10^6 +#REF!</f>
        <v>#REF!</v>
      </c>
      <c r="J920" s="203" t="e">
        <f>#REF!*#REF!^5/(Conv!$I$5*Conv!$D$46)/10^6 +#REF!</f>
        <v>#REF!</v>
      </c>
      <c r="K920" s="203" t="e">
        <f>#REF!*#REF!^5/(Conv!$I$5*Conv!$D$46)/10^6 +#REF!</f>
        <v>#REF!</v>
      </c>
      <c r="L920" s="203" t="e">
        <f>#REF!*#REF!^5/(Conv!$I$5*Conv!$D$46)/10^6 +#REF!</f>
        <v>#REF!</v>
      </c>
      <c r="M920" s="203" t="e">
        <f>#REF!*#REF!^5/(Conv!$I$5*Conv!$D$46)/10^6 +#REF!</f>
        <v>#REF!</v>
      </c>
      <c r="N920" s="203" t="e">
        <f>#REF!*#REF!^5/(Conv!$I$5*Conv!$D$46)/10^6 +#REF!</f>
        <v>#REF!</v>
      </c>
      <c r="O920" s="203" t="e">
        <f>#REF!*#REF!^5/(Conv!$I$5*Conv!$D$46)/10^6 +#REF!</f>
        <v>#REF!</v>
      </c>
      <c r="P920" s="203" t="e">
        <f>#REF!*#REF!^5/(Conv!$I$5*Conv!$D$46)/10^6 +#REF!</f>
        <v>#REF!</v>
      </c>
      <c r="Q920" s="203" t="e">
        <f>#REF!*#REF!^5/(Conv!$I$5*Conv!$D$46)/10^6 +#REF!</f>
        <v>#REF!</v>
      </c>
      <c r="S920" s="177"/>
      <c r="T920" s="177"/>
      <c r="U920" s="177"/>
      <c r="V920" s="177"/>
      <c r="W920" s="177"/>
      <c r="X920" s="177"/>
      <c r="Y920" s="177"/>
      <c r="Z920" s="177"/>
      <c r="AA920" s="177"/>
      <c r="AB920" s="177"/>
      <c r="AC920" s="177"/>
    </row>
    <row r="921" spans="2:29">
      <c r="B921" s="158" t="str">
        <f>IF(OR(LEFT(Commodities!B$64,1)="*",LEFT(Technologies!B$511,1)="*"),"*","R4")</f>
        <v>R4</v>
      </c>
      <c r="C921" s="158" t="e">
        <f>Technologies!C$561</f>
        <v>#REF!</v>
      </c>
      <c r="D921" s="158" t="str">
        <f>Technologies!D511</f>
        <v>Delivery of Imported Distillate-Heating Oil No. 2 to the Residential Sector</v>
      </c>
      <c r="E921" s="197" t="str">
        <f>Commodities!C$90</f>
        <v>DSHP3</v>
      </c>
      <c r="F921" s="197" t="e">
        <f>Commodities!C224</f>
        <v>#REF!</v>
      </c>
      <c r="G921" s="204">
        <v>1</v>
      </c>
      <c r="H921" s="203" t="e">
        <f>#REF!*#REF!^5/(Conv!$I$5*Conv!$D$46)/10^6 +#REF!</f>
        <v>#REF!</v>
      </c>
      <c r="I921" s="203" t="e">
        <f>#REF!*#REF!^5/(Conv!$I$5*Conv!$D$46)/10^6 +#REF!</f>
        <v>#REF!</v>
      </c>
      <c r="J921" s="203" t="e">
        <f>#REF!*#REF!^5/(Conv!$I$5*Conv!$D$46)/10^6 +#REF!</f>
        <v>#REF!</v>
      </c>
      <c r="K921" s="203" t="e">
        <f>#REF!*#REF!^5/(Conv!$I$5*Conv!$D$46)/10^6 +#REF!</f>
        <v>#REF!</v>
      </c>
      <c r="L921" s="203" t="e">
        <f>#REF!*#REF!^5/(Conv!$I$5*Conv!$D$46)/10^6 +#REF!</f>
        <v>#REF!</v>
      </c>
      <c r="M921" s="203" t="e">
        <f>#REF!*#REF!^5/(Conv!$I$5*Conv!$D$46)/10^6 +#REF!</f>
        <v>#REF!</v>
      </c>
      <c r="N921" s="203" t="e">
        <f>#REF!*#REF!^5/(Conv!$I$5*Conv!$D$46)/10^6 +#REF!</f>
        <v>#REF!</v>
      </c>
      <c r="O921" s="203" t="e">
        <f>#REF!*#REF!^5/(Conv!$I$5*Conv!$D$46)/10^6 +#REF!</f>
        <v>#REF!</v>
      </c>
      <c r="P921" s="203" t="e">
        <f>#REF!*#REF!^5/(Conv!$I$5*Conv!$D$46)/10^6 +#REF!</f>
        <v>#REF!</v>
      </c>
      <c r="Q921" s="203" t="e">
        <f>#REF!*#REF!^5/(Conv!$I$5*Conv!$D$46)/10^6 +#REF!</f>
        <v>#REF!</v>
      </c>
      <c r="S921" s="177"/>
      <c r="T921" s="177"/>
      <c r="U921" s="177"/>
      <c r="V921" s="177"/>
      <c r="W921" s="177"/>
      <c r="X921" s="177"/>
      <c r="Y921" s="177"/>
      <c r="Z921" s="177"/>
      <c r="AA921" s="177"/>
      <c r="AB921" s="177"/>
      <c r="AC921" s="177"/>
    </row>
    <row r="922" spans="2:29">
      <c r="B922" s="158" t="str">
        <f>IF(OR(LEFT(Commodities!B$64,1)="*",LEFT(Technologies!B$512,1)="*"),"*","R4")</f>
        <v>R4</v>
      </c>
      <c r="C922" s="158" t="e">
        <f>Technologies!C$562</f>
        <v>#REF!</v>
      </c>
      <c r="D922" s="158" t="str">
        <f>Technologies!D512</f>
        <v>Delivery of Imported Distillate-Heating Oil No. 2 to the Commercial Sector</v>
      </c>
      <c r="E922" s="197" t="str">
        <f>Commodities!C$90</f>
        <v>DSHP3</v>
      </c>
      <c r="F922" s="197" t="e">
        <f>Commodities!C225</f>
        <v>#REF!</v>
      </c>
      <c r="G922" s="204">
        <v>1</v>
      </c>
      <c r="H922" s="203" t="e">
        <f>#REF!*#REF!^5/(Conv!$I$5*Conv!$D$46)/10^6 +#REF!</f>
        <v>#REF!</v>
      </c>
      <c r="I922" s="203" t="e">
        <f>#REF!*#REF!^5/(Conv!$I$5*Conv!$D$46)/10^6 +#REF!</f>
        <v>#REF!</v>
      </c>
      <c r="J922" s="203" t="e">
        <f>#REF!*#REF!^5/(Conv!$I$5*Conv!$D$46)/10^6 +#REF!</f>
        <v>#REF!</v>
      </c>
      <c r="K922" s="203" t="e">
        <f>#REF!*#REF!^5/(Conv!$I$5*Conv!$D$46)/10^6 +#REF!</f>
        <v>#REF!</v>
      </c>
      <c r="L922" s="203" t="e">
        <f>#REF!*#REF!^5/(Conv!$I$5*Conv!$D$46)/10^6 +#REF!</f>
        <v>#REF!</v>
      </c>
      <c r="M922" s="203" t="e">
        <f>#REF!*#REF!^5/(Conv!$I$5*Conv!$D$46)/10^6 +#REF!</f>
        <v>#REF!</v>
      </c>
      <c r="N922" s="203" t="e">
        <f>#REF!*#REF!^5/(Conv!$I$5*Conv!$D$46)/10^6 +#REF!</f>
        <v>#REF!</v>
      </c>
      <c r="O922" s="203" t="e">
        <f>#REF!*#REF!^5/(Conv!$I$5*Conv!$D$46)/10^6 +#REF!</f>
        <v>#REF!</v>
      </c>
      <c r="P922" s="203" t="e">
        <f>#REF!*#REF!^5/(Conv!$I$5*Conv!$D$46)/10^6 +#REF!</f>
        <v>#REF!</v>
      </c>
      <c r="Q922" s="203" t="e">
        <f>#REF!*#REF!^5/(Conv!$I$5*Conv!$D$46)/10^6 +#REF!</f>
        <v>#REF!</v>
      </c>
      <c r="S922" s="177"/>
      <c r="T922" s="177"/>
      <c r="U922" s="177"/>
      <c r="V922" s="177"/>
      <c r="W922" s="177"/>
      <c r="X922" s="177"/>
      <c r="Y922" s="177"/>
      <c r="Z922" s="177"/>
      <c r="AA922" s="177"/>
      <c r="AB922" s="177"/>
      <c r="AC922" s="177"/>
    </row>
    <row r="923" spans="2:29">
      <c r="B923" s="158" t="str">
        <f>IF(OR(LEFT(Commodities!B$64,1)="*",LEFT(Technologies!B$513,1)="*"),"*","R4")</f>
        <v>*</v>
      </c>
      <c r="C923" s="158" t="e">
        <f>Technologies!C$563</f>
        <v>#REF!</v>
      </c>
      <c r="D923" s="158" t="str">
        <f>Technologies!D513</f>
        <v>Delivery of Imported Distillate-Heating Oil No. 2 to the Indistrial Sector</v>
      </c>
      <c r="E923" s="197" t="str">
        <f>Commodities!C$90</f>
        <v>DSHP3</v>
      </c>
      <c r="F923" s="197" t="e">
        <f>Commodities!C226</f>
        <v>#REF!</v>
      </c>
      <c r="G923" s="204">
        <v>1</v>
      </c>
      <c r="H923" s="203" t="e">
        <f>#REF!*#REF!^5/(Conv!$I$5*Conv!$D$46)/10^6 +#REF!</f>
        <v>#REF!</v>
      </c>
      <c r="I923" s="203" t="e">
        <f>#REF!*#REF!^5/(Conv!$I$5*Conv!$D$46)/10^6 +#REF!</f>
        <v>#REF!</v>
      </c>
      <c r="J923" s="203" t="e">
        <f>#REF!*#REF!^5/(Conv!$I$5*Conv!$D$46)/10^6 +#REF!</f>
        <v>#REF!</v>
      </c>
      <c r="K923" s="203" t="e">
        <f>#REF!*#REF!^5/(Conv!$I$5*Conv!$D$46)/10^6 +#REF!</f>
        <v>#REF!</v>
      </c>
      <c r="L923" s="203" t="e">
        <f>#REF!*#REF!^5/(Conv!$I$5*Conv!$D$46)/10^6 +#REF!</f>
        <v>#REF!</v>
      </c>
      <c r="M923" s="203" t="e">
        <f>#REF!*#REF!^5/(Conv!$I$5*Conv!$D$46)/10^6 +#REF!</f>
        <v>#REF!</v>
      </c>
      <c r="N923" s="203" t="e">
        <f>#REF!*#REF!^5/(Conv!$I$5*Conv!$D$46)/10^6 +#REF!</f>
        <v>#REF!</v>
      </c>
      <c r="O923" s="203" t="e">
        <f>#REF!*#REF!^5/(Conv!$I$5*Conv!$D$46)/10^6 +#REF!</f>
        <v>#REF!</v>
      </c>
      <c r="P923" s="203" t="e">
        <f>#REF!*#REF!^5/(Conv!$I$5*Conv!$D$46)/10^6 +#REF!</f>
        <v>#REF!</v>
      </c>
      <c r="Q923" s="203" t="e">
        <f>#REF!*#REF!^5/(Conv!$I$5*Conv!$D$46)/10^6 +#REF!</f>
        <v>#REF!</v>
      </c>
      <c r="S923" s="177"/>
      <c r="T923" s="177"/>
      <c r="U923" s="177"/>
      <c r="V923" s="177"/>
      <c r="W923" s="177"/>
      <c r="X923" s="177"/>
      <c r="Y923" s="177"/>
      <c r="Z923" s="177"/>
      <c r="AA923" s="177"/>
      <c r="AB923" s="177"/>
      <c r="AC923" s="177"/>
    </row>
    <row r="924" spans="2:29">
      <c r="B924" s="158" t="str">
        <f>IF(OR(LEFT(Commodities!B$64,1)="*",LEFT(Technologies!B$514,1)="*"),"*","R4")</f>
        <v>R4</v>
      </c>
      <c r="C924" s="158" t="e">
        <f>Technologies!C$564</f>
        <v>#REF!</v>
      </c>
      <c r="D924" s="158" t="str">
        <f>Technologies!D514</f>
        <v>Delivery of Imported Distillate-Heating Oil No. 2 to the Electricity Sector</v>
      </c>
      <c r="E924" s="197" t="str">
        <f>Commodities!C$90</f>
        <v>DSHP3</v>
      </c>
      <c r="F924" s="197" t="e">
        <f>Commodities!C227</f>
        <v>#REF!</v>
      </c>
      <c r="G924" s="204">
        <v>1</v>
      </c>
      <c r="H924" s="203" t="e">
        <f>#REF!*#REF!^5/(Conv!$I$5*Conv!$D$46)/10^6 +#REF!</f>
        <v>#REF!</v>
      </c>
      <c r="I924" s="203" t="e">
        <f>#REF!*#REF!^5/(Conv!$I$5*Conv!$D$46)/10^6 +#REF!</f>
        <v>#REF!</v>
      </c>
      <c r="J924" s="203" t="e">
        <f>#REF!*#REF!^5/(Conv!$I$5*Conv!$D$46)/10^6 +#REF!</f>
        <v>#REF!</v>
      </c>
      <c r="K924" s="203" t="e">
        <f>#REF!*#REF!^5/(Conv!$I$5*Conv!$D$46)/10^6 +#REF!</f>
        <v>#REF!</v>
      </c>
      <c r="L924" s="203" t="e">
        <f>#REF!*#REF!^5/(Conv!$I$5*Conv!$D$46)/10^6 +#REF!</f>
        <v>#REF!</v>
      </c>
      <c r="M924" s="203" t="e">
        <f>#REF!*#REF!^5/(Conv!$I$5*Conv!$D$46)/10^6 +#REF!</f>
        <v>#REF!</v>
      </c>
      <c r="N924" s="203" t="e">
        <f>#REF!*#REF!^5/(Conv!$I$5*Conv!$D$46)/10^6 +#REF!</f>
        <v>#REF!</v>
      </c>
      <c r="O924" s="203" t="e">
        <f>#REF!*#REF!^5/(Conv!$I$5*Conv!$D$46)/10^6 +#REF!</f>
        <v>#REF!</v>
      </c>
      <c r="P924" s="203" t="e">
        <f>#REF!*#REF!^5/(Conv!$I$5*Conv!$D$46)/10^6 +#REF!</f>
        <v>#REF!</v>
      </c>
      <c r="Q924" s="203" t="e">
        <f>#REF!*#REF!^5/(Conv!$I$5*Conv!$D$46)/10^6 +#REF!</f>
        <v>#REF!</v>
      </c>
      <c r="S924" s="177"/>
      <c r="T924" s="177"/>
      <c r="U924" s="177"/>
      <c r="V924" s="177"/>
      <c r="W924" s="177"/>
      <c r="X924" s="177"/>
      <c r="Y924" s="177"/>
      <c r="Z924" s="177"/>
      <c r="AA924" s="177"/>
      <c r="AB924" s="177"/>
      <c r="AC924" s="177"/>
    </row>
    <row r="925" spans="2:29">
      <c r="B925" s="158" t="str">
        <f>IF(OR(LEFT(Commodities!B$65,1)="*",LEFT(Technologies!B$515,1)="*"),"*","R4")</f>
        <v>R4</v>
      </c>
      <c r="C925" s="158" t="e">
        <f>Technologies!C$565</f>
        <v>#REF!</v>
      </c>
      <c r="D925" s="158" t="str">
        <f>Technologies!D515</f>
        <v>Delivery of Imported Distillate-Low Sulfur Highway Diesel (500 ppm)</v>
      </c>
      <c r="E925" s="197" t="str">
        <f>Commodities!C$91</f>
        <v>DSLP3</v>
      </c>
      <c r="F925" s="197" t="e">
        <f>Commodities!C228</f>
        <v>#REF!</v>
      </c>
      <c r="G925" s="204">
        <v>1</v>
      </c>
      <c r="H925" s="203" t="e">
        <f>#REF!*#REF!^5/(Conv!$I$5*Conv!$D$46)/10^6 +#REF!</f>
        <v>#REF!</v>
      </c>
      <c r="I925" s="203" t="e">
        <f>#REF!*#REF!^5/(Conv!$I$5*Conv!$D$46)/10^6 +#REF!</f>
        <v>#REF!</v>
      </c>
      <c r="J925" s="203" t="e">
        <f>#REF!*#REF!^5/(Conv!$I$5*Conv!$D$46)/10^6 +#REF!</f>
        <v>#REF!</v>
      </c>
      <c r="K925" s="203" t="e">
        <f>#REF!*#REF!^5/(Conv!$I$5*Conv!$D$46)/10^6 +#REF!</f>
        <v>#REF!</v>
      </c>
      <c r="L925" s="203" t="e">
        <f>#REF!*#REF!^5/(Conv!$I$5*Conv!$D$46)/10^6 +#REF!</f>
        <v>#REF!</v>
      </c>
      <c r="M925" s="203" t="e">
        <f>#REF!*#REF!^5/(Conv!$I$5*Conv!$D$46)/10^6 +#REF!</f>
        <v>#REF!</v>
      </c>
      <c r="N925" s="203" t="e">
        <f>#REF!*#REF!^5/(Conv!$I$5*Conv!$D$46)/10^6 +#REF!</f>
        <v>#REF!</v>
      </c>
      <c r="O925" s="203" t="e">
        <f>#REF!*#REF!^5/(Conv!$I$5*Conv!$D$46)/10^6 +#REF!</f>
        <v>#REF!</v>
      </c>
      <c r="P925" s="203" t="e">
        <f>#REF!*#REF!^5/(Conv!$I$5*Conv!$D$46)/10^6 +#REF!</f>
        <v>#REF!</v>
      </c>
      <c r="Q925" s="203" t="e">
        <f>#REF!*#REF!^5/(Conv!$I$5*Conv!$D$46)/10^6 +#REF!</f>
        <v>#REF!</v>
      </c>
      <c r="S925" s="177"/>
      <c r="T925" s="177"/>
      <c r="U925" s="177"/>
      <c r="V925" s="177"/>
      <c r="W925" s="177"/>
      <c r="X925" s="177"/>
      <c r="Y925" s="177"/>
      <c r="Z925" s="177"/>
      <c r="AA925" s="177"/>
      <c r="AB925" s="177"/>
      <c r="AC925" s="177"/>
    </row>
    <row r="926" spans="2:29">
      <c r="B926" s="158" t="str">
        <f>IF(OR(LEFT(Commodities!B$66,1)="*",LEFT(Technologies!B$516,1)="*"),"*","R4")</f>
        <v>R4</v>
      </c>
      <c r="C926" s="158" t="e">
        <f>Technologies!C$566</f>
        <v>#REF!</v>
      </c>
      <c r="D926" s="158" t="str">
        <f>Technologies!D516</f>
        <v>Delivery of Imported Distillate-Ultralow Sulfur Highway Diesel (15 ppm)</v>
      </c>
      <c r="E926" s="197" t="str">
        <f>Commodities!C$92</f>
        <v>DSUP3</v>
      </c>
      <c r="F926" s="197" t="e">
        <f>Commodities!C229</f>
        <v>#REF!</v>
      </c>
      <c r="G926" s="204">
        <v>1</v>
      </c>
      <c r="H926" s="203" t="e">
        <f>#REF!*#REF!^5/(Conv!$I$5*Conv!$D$46)/10^6 +#REF!</f>
        <v>#REF!</v>
      </c>
      <c r="I926" s="203" t="e">
        <f>#REF!*#REF!^5/(Conv!$I$5*Conv!$D$46)/10^6 +#REF!</f>
        <v>#REF!</v>
      </c>
      <c r="J926" s="203" t="e">
        <f>#REF!*#REF!^5/(Conv!$I$5*Conv!$D$46)/10^6 +#REF!</f>
        <v>#REF!</v>
      </c>
      <c r="K926" s="203" t="e">
        <f>#REF!*#REF!^5/(Conv!$I$5*Conv!$D$46)/10^6 +#REF!</f>
        <v>#REF!</v>
      </c>
      <c r="L926" s="203" t="e">
        <f>#REF!*#REF!^5/(Conv!$I$5*Conv!$D$46)/10^6 +#REF!</f>
        <v>#REF!</v>
      </c>
      <c r="M926" s="203" t="e">
        <f>#REF!*#REF!^5/(Conv!$I$5*Conv!$D$46)/10^6 +#REF!</f>
        <v>#REF!</v>
      </c>
      <c r="N926" s="203" t="e">
        <f>#REF!*#REF!^5/(Conv!$I$5*Conv!$D$46)/10^6 +#REF!</f>
        <v>#REF!</v>
      </c>
      <c r="O926" s="203" t="e">
        <f>#REF!*#REF!^5/(Conv!$I$5*Conv!$D$46)/10^6 +#REF!</f>
        <v>#REF!</v>
      </c>
      <c r="P926" s="203" t="e">
        <f>#REF!*#REF!^5/(Conv!$I$5*Conv!$D$46)/10^6 +#REF!</f>
        <v>#REF!</v>
      </c>
      <c r="Q926" s="203" t="e">
        <f>#REF!*#REF!^5/(Conv!$I$5*Conv!$D$46)/10^6 +#REF!</f>
        <v>#REF!</v>
      </c>
      <c r="S926" s="177"/>
      <c r="T926" s="177"/>
      <c r="U926" s="177"/>
      <c r="V926" s="177"/>
      <c r="W926" s="177"/>
      <c r="X926" s="177"/>
      <c r="Y926" s="177"/>
      <c r="Z926" s="177"/>
      <c r="AA926" s="177"/>
      <c r="AB926" s="177"/>
      <c r="AC926" s="177"/>
    </row>
    <row r="927" spans="2:29">
      <c r="B927" s="158" t="str">
        <f>IF(OR(LEFT(Commodities!B$69,1)="*",LEFT(Technologies!B$517,1)="*"),"*","R4")</f>
        <v>*</v>
      </c>
      <c r="C927" s="158" t="e">
        <f>Technologies!C$567</f>
        <v>#REF!</v>
      </c>
      <c r="D927" s="158" t="str">
        <f>Technologies!D517</f>
        <v>Delivery of Imported Jet Fuel</v>
      </c>
      <c r="E927" s="197" t="str">
        <f>Commodities!C$95</f>
        <v>JTFP3</v>
      </c>
      <c r="F927" s="197" t="e">
        <f>Commodities!C230</f>
        <v>#REF!</v>
      </c>
      <c r="G927" s="204">
        <v>1</v>
      </c>
      <c r="H927" s="203" t="e">
        <f>#REF!*#REF!^5/(Conv!$I$5*Conv!$D$46)/10^6 +#REF!</f>
        <v>#REF!</v>
      </c>
      <c r="I927" s="203" t="e">
        <f>#REF!*#REF!^5/(Conv!$I$5*Conv!$D$46)/10^6 +#REF!</f>
        <v>#REF!</v>
      </c>
      <c r="J927" s="203" t="e">
        <f>#REF!*#REF!^5/(Conv!$I$5*Conv!$D$46)/10^6 +#REF!</f>
        <v>#REF!</v>
      </c>
      <c r="K927" s="203" t="e">
        <f>#REF!*#REF!^5/(Conv!$I$5*Conv!$D$46)/10^6 +#REF!</f>
        <v>#REF!</v>
      </c>
      <c r="L927" s="203" t="e">
        <f>#REF!*#REF!^5/(Conv!$I$5*Conv!$D$46)/10^6 +#REF!</f>
        <v>#REF!</v>
      </c>
      <c r="M927" s="203" t="e">
        <f>#REF!*#REF!^5/(Conv!$I$5*Conv!$D$46)/10^6 +#REF!</f>
        <v>#REF!</v>
      </c>
      <c r="N927" s="203" t="e">
        <f>#REF!*#REF!^5/(Conv!$I$5*Conv!$D$46)/10^6 +#REF!</f>
        <v>#REF!</v>
      </c>
      <c r="O927" s="203" t="e">
        <f>#REF!*#REF!^5/(Conv!$I$5*Conv!$D$46)/10^6 +#REF!</f>
        <v>#REF!</v>
      </c>
      <c r="P927" s="203" t="e">
        <f>#REF!*#REF!^5/(Conv!$I$5*Conv!$D$46)/10^6 +#REF!</f>
        <v>#REF!</v>
      </c>
      <c r="Q927" s="203" t="e">
        <f>#REF!*#REF!^5/(Conv!$I$5*Conv!$D$46)/10^6 +#REF!</f>
        <v>#REF!</v>
      </c>
      <c r="S927" s="177"/>
      <c r="T927" s="177"/>
      <c r="U927" s="177"/>
      <c r="V927" s="177"/>
      <c r="W927" s="177"/>
      <c r="X927" s="177"/>
      <c r="Y927" s="177"/>
      <c r="Z927" s="177"/>
      <c r="AA927" s="177"/>
      <c r="AB927" s="177"/>
      <c r="AC927" s="177"/>
    </row>
    <row r="928" spans="2:29">
      <c r="B928" s="158" t="str">
        <f>IF(OR(LEFT(Commodities!B$70,1)="*",LEFT(Technologies!B$518,1)="*"),"*","R4")</f>
        <v>*</v>
      </c>
      <c r="C928" s="158" t="e">
        <f>Technologies!C$568</f>
        <v>#REF!</v>
      </c>
      <c r="D928" s="158" t="str">
        <f>Technologies!D518</f>
        <v>Delivery of Imported Kerosene and Other Refined Products to the Residential Sector</v>
      </c>
      <c r="E928" s="197" t="str">
        <f>Commodities!C$96</f>
        <v>KERP3</v>
      </c>
      <c r="F928" s="197" t="e">
        <f>Commodities!C231</f>
        <v>#REF!</v>
      </c>
      <c r="G928" s="204">
        <v>1</v>
      </c>
      <c r="H928" s="203" t="e">
        <f>#REF!*#REF!^5/(Conv!$I$5*Conv!$D$46)/10^6 +#REF!</f>
        <v>#REF!</v>
      </c>
      <c r="I928" s="203" t="e">
        <f>#REF!*#REF!^5/(Conv!$I$5*Conv!$D$46)/10^6 +#REF!</f>
        <v>#REF!</v>
      </c>
      <c r="J928" s="203" t="e">
        <f>#REF!*#REF!^5/(Conv!$I$5*Conv!$D$46)/10^6 +#REF!</f>
        <v>#REF!</v>
      </c>
      <c r="K928" s="203" t="e">
        <f>#REF!*#REF!^5/(Conv!$I$5*Conv!$D$46)/10^6 +#REF!</f>
        <v>#REF!</v>
      </c>
      <c r="L928" s="203" t="e">
        <f>#REF!*#REF!^5/(Conv!$I$5*Conv!$D$46)/10^6 +#REF!</f>
        <v>#REF!</v>
      </c>
      <c r="M928" s="203" t="e">
        <f>#REF!*#REF!^5/(Conv!$I$5*Conv!$D$46)/10^6 +#REF!</f>
        <v>#REF!</v>
      </c>
      <c r="N928" s="203" t="e">
        <f>#REF!*#REF!^5/(Conv!$I$5*Conv!$D$46)/10^6 +#REF!</f>
        <v>#REF!</v>
      </c>
      <c r="O928" s="203" t="e">
        <f>#REF!*#REF!^5/(Conv!$I$5*Conv!$D$46)/10^6 +#REF!</f>
        <v>#REF!</v>
      </c>
      <c r="P928" s="203" t="e">
        <f>#REF!*#REF!^5/(Conv!$I$5*Conv!$D$46)/10^6 +#REF!</f>
        <v>#REF!</v>
      </c>
      <c r="Q928" s="203" t="e">
        <f>#REF!*#REF!^5/(Conv!$I$5*Conv!$D$46)/10^6 +#REF!</f>
        <v>#REF!</v>
      </c>
      <c r="S928" s="177"/>
      <c r="T928" s="177"/>
      <c r="U928" s="177"/>
      <c r="V928" s="177"/>
      <c r="W928" s="177"/>
      <c r="X928" s="177"/>
      <c r="Y928" s="177"/>
      <c r="Z928" s="177"/>
      <c r="AA928" s="177"/>
      <c r="AB928" s="177"/>
      <c r="AC928" s="177"/>
    </row>
    <row r="929" spans="2:29">
      <c r="B929" s="158" t="str">
        <f>IF(OR(LEFT(Commodities!B$70,1)="*",LEFT(Technologies!B$519,1)="*"),"*","R4")</f>
        <v>*</v>
      </c>
      <c r="C929" s="158" t="e">
        <f>Technologies!C$569</f>
        <v>#REF!</v>
      </c>
      <c r="D929" s="158" t="str">
        <f>Technologies!D519</f>
        <v>Delivery of Imported Kerosene and Other Refined Products to the Commercial Sector</v>
      </c>
      <c r="E929" s="197" t="str">
        <f>Commodities!C$96</f>
        <v>KERP3</v>
      </c>
      <c r="F929" s="197" t="e">
        <f>Commodities!C232</f>
        <v>#REF!</v>
      </c>
      <c r="G929" s="204">
        <v>1</v>
      </c>
      <c r="H929" s="203" t="e">
        <f>#REF!*#REF!^5/(Conv!$I$5*Conv!$D$46)/10^6 +#REF!</f>
        <v>#REF!</v>
      </c>
      <c r="I929" s="203" t="e">
        <f>#REF!*#REF!^5/(Conv!$I$5*Conv!$D$46)/10^6 +#REF!</f>
        <v>#REF!</v>
      </c>
      <c r="J929" s="203" t="e">
        <f>#REF!*#REF!^5/(Conv!$I$5*Conv!$D$46)/10^6 +#REF!</f>
        <v>#REF!</v>
      </c>
      <c r="K929" s="203" t="e">
        <f>#REF!*#REF!^5/(Conv!$I$5*Conv!$D$46)/10^6 +#REF!</f>
        <v>#REF!</v>
      </c>
      <c r="L929" s="203" t="e">
        <f>#REF!*#REF!^5/(Conv!$I$5*Conv!$D$46)/10^6 +#REF!</f>
        <v>#REF!</v>
      </c>
      <c r="M929" s="203" t="e">
        <f>#REF!*#REF!^5/(Conv!$I$5*Conv!$D$46)/10^6 +#REF!</f>
        <v>#REF!</v>
      </c>
      <c r="N929" s="203" t="e">
        <f>#REF!*#REF!^5/(Conv!$I$5*Conv!$D$46)/10^6 +#REF!</f>
        <v>#REF!</v>
      </c>
      <c r="O929" s="203" t="e">
        <f>#REF!*#REF!^5/(Conv!$I$5*Conv!$D$46)/10^6 +#REF!</f>
        <v>#REF!</v>
      </c>
      <c r="P929" s="203" t="e">
        <f>#REF!*#REF!^5/(Conv!$I$5*Conv!$D$46)/10^6 +#REF!</f>
        <v>#REF!</v>
      </c>
      <c r="Q929" s="203" t="e">
        <f>#REF!*#REF!^5/(Conv!$I$5*Conv!$D$46)/10^6 +#REF!</f>
        <v>#REF!</v>
      </c>
      <c r="S929" s="177"/>
      <c r="T929" s="177"/>
      <c r="U929" s="177"/>
      <c r="V929" s="177"/>
      <c r="W929" s="177"/>
      <c r="X929" s="177"/>
      <c r="Y929" s="177"/>
      <c r="Z929" s="177"/>
      <c r="AA929" s="177"/>
      <c r="AB929" s="177"/>
      <c r="AC929" s="177"/>
    </row>
    <row r="930" spans="2:29">
      <c r="B930" s="158" t="str">
        <f>IF(OR(LEFT(Commodities!B$70,1)="*",LEFT(Technologies!B$520,1)="*"),"*","R4")</f>
        <v>*</v>
      </c>
      <c r="C930" s="158" t="e">
        <f>Technologies!C$570</f>
        <v>#REF!</v>
      </c>
      <c r="D930" s="158" t="str">
        <f>Technologies!D520</f>
        <v>Delivery of Imported Kerosene and Other Refined Products to the Industrial Sector</v>
      </c>
      <c r="E930" s="197" t="str">
        <f>Commodities!C$96</f>
        <v>KERP3</v>
      </c>
      <c r="F930" s="197" t="e">
        <f>Commodities!C233</f>
        <v>#REF!</v>
      </c>
      <c r="G930" s="204">
        <v>1</v>
      </c>
      <c r="H930" s="203" t="e">
        <f>#REF!*#REF!^5/(Conv!$I$5*Conv!$D$46)/10^6 +#REF!</f>
        <v>#REF!</v>
      </c>
      <c r="I930" s="203" t="e">
        <f>#REF!*#REF!^5/(Conv!$I$5*Conv!$D$46)/10^6 +#REF!</f>
        <v>#REF!</v>
      </c>
      <c r="J930" s="203" t="e">
        <f>#REF!*#REF!^5/(Conv!$I$5*Conv!$D$46)/10^6 +#REF!</f>
        <v>#REF!</v>
      </c>
      <c r="K930" s="203" t="e">
        <f>#REF!*#REF!^5/(Conv!$I$5*Conv!$D$46)/10^6 +#REF!</f>
        <v>#REF!</v>
      </c>
      <c r="L930" s="203" t="e">
        <f>#REF!*#REF!^5/(Conv!$I$5*Conv!$D$46)/10^6 +#REF!</f>
        <v>#REF!</v>
      </c>
      <c r="M930" s="203" t="e">
        <f>#REF!*#REF!^5/(Conv!$I$5*Conv!$D$46)/10^6 +#REF!</f>
        <v>#REF!</v>
      </c>
      <c r="N930" s="203" t="e">
        <f>#REF!*#REF!^5/(Conv!$I$5*Conv!$D$46)/10^6 +#REF!</f>
        <v>#REF!</v>
      </c>
      <c r="O930" s="203" t="e">
        <f>#REF!*#REF!^5/(Conv!$I$5*Conv!$D$46)/10^6 +#REF!</f>
        <v>#REF!</v>
      </c>
      <c r="P930" s="203" t="e">
        <f>#REF!*#REF!^5/(Conv!$I$5*Conv!$D$46)/10^6 +#REF!</f>
        <v>#REF!</v>
      </c>
      <c r="Q930" s="203" t="e">
        <f>#REF!*#REF!^5/(Conv!$I$5*Conv!$D$46)/10^6 +#REF!</f>
        <v>#REF!</v>
      </c>
      <c r="S930" s="177"/>
      <c r="T930" s="177"/>
      <c r="U930" s="177"/>
      <c r="V930" s="177"/>
      <c r="W930" s="177"/>
      <c r="X930" s="177"/>
      <c r="Y930" s="177"/>
      <c r="Z930" s="177"/>
      <c r="AA930" s="177"/>
      <c r="AB930" s="177"/>
      <c r="AC930" s="177"/>
    </row>
    <row r="931" spans="2:29">
      <c r="B931" s="158" t="str">
        <f>IF(OR(LEFT(Commodities!B$71,1)="*",LEFT(Technologies!B$521,1)="*"),"*","R4")</f>
        <v>*</v>
      </c>
      <c r="C931" s="158" t="e">
        <f>Technologies!C$571</f>
        <v>#REF!</v>
      </c>
      <c r="D931" s="158" t="str">
        <f>Technologies!D521</f>
        <v>Delivery of Imported LPG to the Residential Sector</v>
      </c>
      <c r="E931" s="197" t="str">
        <f>Commodities!C$97</f>
        <v>LPGP3</v>
      </c>
      <c r="F931" s="197" t="e">
        <f>Commodities!C234</f>
        <v>#REF!</v>
      </c>
      <c r="G931" s="204">
        <v>1</v>
      </c>
      <c r="H931" s="203" t="e">
        <f>#REF!*#REF!^5/(Conv!$I$5*Conv!$D$46)/10^6 +#REF!</f>
        <v>#REF!</v>
      </c>
      <c r="I931" s="203" t="e">
        <f>#REF!*#REF!^5/(Conv!$I$5*Conv!$D$46)/10^6 +#REF!</f>
        <v>#REF!</v>
      </c>
      <c r="J931" s="203" t="e">
        <f>#REF!*#REF!^5/(Conv!$I$5*Conv!$D$46)/10^6 +#REF!</f>
        <v>#REF!</v>
      </c>
      <c r="K931" s="203" t="e">
        <f>#REF!*#REF!^5/(Conv!$I$5*Conv!$D$46)/10^6 +#REF!</f>
        <v>#REF!</v>
      </c>
      <c r="L931" s="203" t="e">
        <f>#REF!*#REF!^5/(Conv!$I$5*Conv!$D$46)/10^6 +#REF!</f>
        <v>#REF!</v>
      </c>
      <c r="M931" s="203" t="e">
        <f>#REF!*#REF!^5/(Conv!$I$5*Conv!$D$46)/10^6 +#REF!</f>
        <v>#REF!</v>
      </c>
      <c r="N931" s="203" t="e">
        <f>#REF!*#REF!^5/(Conv!$I$5*Conv!$D$46)/10^6 +#REF!</f>
        <v>#REF!</v>
      </c>
      <c r="O931" s="203" t="e">
        <f>#REF!*#REF!^5/(Conv!$I$5*Conv!$D$46)/10^6 +#REF!</f>
        <v>#REF!</v>
      </c>
      <c r="P931" s="203" t="e">
        <f>#REF!*#REF!^5/(Conv!$I$5*Conv!$D$46)/10^6 +#REF!</f>
        <v>#REF!</v>
      </c>
      <c r="Q931" s="203" t="e">
        <f>#REF!*#REF!^5/(Conv!$I$5*Conv!$D$46)/10^6 +#REF!</f>
        <v>#REF!</v>
      </c>
      <c r="S931" s="177"/>
      <c r="T931" s="177"/>
      <c r="U931" s="177"/>
      <c r="V931" s="177"/>
      <c r="W931" s="177"/>
      <c r="X931" s="177"/>
      <c r="Y931" s="177"/>
      <c r="Z931" s="177"/>
      <c r="AA931" s="177"/>
      <c r="AB931" s="177"/>
      <c r="AC931" s="177"/>
    </row>
    <row r="932" spans="2:29">
      <c r="B932" s="158" t="str">
        <f>IF(OR(LEFT(Commodities!B$71,1)="*",LEFT(Technologies!B$522,1)="*"),"*","R4")</f>
        <v>*</v>
      </c>
      <c r="C932" s="158" t="e">
        <f>Technologies!C$572</f>
        <v>#REF!</v>
      </c>
      <c r="D932" s="158" t="str">
        <f>Technologies!D522</f>
        <v>Delivery of Imported LPG to the Commercial Sector</v>
      </c>
      <c r="E932" s="197" t="str">
        <f>Commodities!C$97</f>
        <v>LPGP3</v>
      </c>
      <c r="F932" s="197" t="e">
        <f>Commodities!C235</f>
        <v>#REF!</v>
      </c>
      <c r="G932" s="204">
        <v>1</v>
      </c>
      <c r="H932" s="203" t="e">
        <f>#REF!*#REF!^5/(Conv!$I$5*Conv!$D$46)/10^6 +#REF!</f>
        <v>#REF!</v>
      </c>
      <c r="I932" s="203" t="e">
        <f>#REF!*#REF!^5/(Conv!$I$5*Conv!$D$46)/10^6 +#REF!</f>
        <v>#REF!</v>
      </c>
      <c r="J932" s="203" t="e">
        <f>#REF!*#REF!^5/(Conv!$I$5*Conv!$D$46)/10^6 +#REF!</f>
        <v>#REF!</v>
      </c>
      <c r="K932" s="203" t="e">
        <f>#REF!*#REF!^5/(Conv!$I$5*Conv!$D$46)/10^6 +#REF!</f>
        <v>#REF!</v>
      </c>
      <c r="L932" s="203" t="e">
        <f>#REF!*#REF!^5/(Conv!$I$5*Conv!$D$46)/10^6 +#REF!</f>
        <v>#REF!</v>
      </c>
      <c r="M932" s="203" t="e">
        <f>#REF!*#REF!^5/(Conv!$I$5*Conv!$D$46)/10^6 +#REF!</f>
        <v>#REF!</v>
      </c>
      <c r="N932" s="203" t="e">
        <f>#REF!*#REF!^5/(Conv!$I$5*Conv!$D$46)/10^6 +#REF!</f>
        <v>#REF!</v>
      </c>
      <c r="O932" s="203" t="e">
        <f>#REF!*#REF!^5/(Conv!$I$5*Conv!$D$46)/10^6 +#REF!</f>
        <v>#REF!</v>
      </c>
      <c r="P932" s="203" t="e">
        <f>#REF!*#REF!^5/(Conv!$I$5*Conv!$D$46)/10^6 +#REF!</f>
        <v>#REF!</v>
      </c>
      <c r="Q932" s="203" t="e">
        <f>#REF!*#REF!^5/(Conv!$I$5*Conv!$D$46)/10^6 +#REF!</f>
        <v>#REF!</v>
      </c>
      <c r="S932" s="177"/>
      <c r="T932" s="177"/>
      <c r="U932" s="177"/>
      <c r="V932" s="177"/>
      <c r="W932" s="177"/>
      <c r="X932" s="177"/>
      <c r="Y932" s="177"/>
      <c r="Z932" s="177"/>
      <c r="AA932" s="177"/>
      <c r="AB932" s="177"/>
      <c r="AC932" s="177"/>
    </row>
    <row r="933" spans="2:29">
      <c r="B933" s="158" t="str">
        <f>IF(OR(LEFT(Commodities!B$71,1)="*",LEFT(Technologies!B$523,1)="*"),"*","R4")</f>
        <v>*</v>
      </c>
      <c r="C933" s="158" t="e">
        <f>Technologies!C$573</f>
        <v>#REF!</v>
      </c>
      <c r="D933" s="158" t="str">
        <f>Technologies!D523</f>
        <v>Delivery of Imported LPG to the Industrial Sector</v>
      </c>
      <c r="E933" s="197" t="str">
        <f>Commodities!C$97</f>
        <v>LPGP3</v>
      </c>
      <c r="F933" s="197" t="e">
        <f>Commodities!C236</f>
        <v>#REF!</v>
      </c>
      <c r="G933" s="204">
        <v>1</v>
      </c>
      <c r="H933" s="203" t="e">
        <f>#REF!*#REF!^5/(Conv!$I$5*Conv!$D$46)/10^6 +#REF!</f>
        <v>#REF!</v>
      </c>
      <c r="I933" s="203" t="e">
        <f>#REF!*#REF!^5/(Conv!$I$5*Conv!$D$46)/10^6 +#REF!</f>
        <v>#REF!</v>
      </c>
      <c r="J933" s="203" t="e">
        <f>#REF!*#REF!^5/(Conv!$I$5*Conv!$D$46)/10^6 +#REF!</f>
        <v>#REF!</v>
      </c>
      <c r="K933" s="203" t="e">
        <f>#REF!*#REF!^5/(Conv!$I$5*Conv!$D$46)/10^6 +#REF!</f>
        <v>#REF!</v>
      </c>
      <c r="L933" s="203" t="e">
        <f>#REF!*#REF!^5/(Conv!$I$5*Conv!$D$46)/10^6 +#REF!</f>
        <v>#REF!</v>
      </c>
      <c r="M933" s="203" t="e">
        <f>#REF!*#REF!^5/(Conv!$I$5*Conv!$D$46)/10^6 +#REF!</f>
        <v>#REF!</v>
      </c>
      <c r="N933" s="203" t="e">
        <f>#REF!*#REF!^5/(Conv!$I$5*Conv!$D$46)/10^6 +#REF!</f>
        <v>#REF!</v>
      </c>
      <c r="O933" s="203" t="e">
        <f>#REF!*#REF!^5/(Conv!$I$5*Conv!$D$46)/10^6 +#REF!</f>
        <v>#REF!</v>
      </c>
      <c r="P933" s="203" t="e">
        <f>#REF!*#REF!^5/(Conv!$I$5*Conv!$D$46)/10^6 +#REF!</f>
        <v>#REF!</v>
      </c>
      <c r="Q933" s="203" t="e">
        <f>#REF!*#REF!^5/(Conv!$I$5*Conv!$D$46)/10^6 +#REF!</f>
        <v>#REF!</v>
      </c>
      <c r="S933" s="177"/>
      <c r="T933" s="177"/>
      <c r="U933" s="177"/>
      <c r="V933" s="177"/>
      <c r="W933" s="177"/>
      <c r="X933" s="177"/>
      <c r="Y933" s="177"/>
      <c r="Z933" s="177"/>
      <c r="AA933" s="177"/>
      <c r="AB933" s="177"/>
      <c r="AC933" s="177"/>
    </row>
    <row r="934" spans="2:29">
      <c r="B934" s="158" t="str">
        <f>IF(OR(LEFT(Commodities!B$71,1)="*",LEFT(Technologies!B$524,1)="*"),"*","R4")</f>
        <v>*</v>
      </c>
      <c r="C934" s="158" t="e">
        <f>Technologies!C$574</f>
        <v>#REF!</v>
      </c>
      <c r="D934" s="158" t="str">
        <f>Technologies!D524</f>
        <v>Delivery of Imported LPG to the Transportation Sector</v>
      </c>
      <c r="E934" s="197" t="str">
        <f>Commodities!C$97</f>
        <v>LPGP3</v>
      </c>
      <c r="F934" s="197" t="e">
        <f>Commodities!C237</f>
        <v>#REF!</v>
      </c>
      <c r="G934" s="204">
        <v>1</v>
      </c>
      <c r="H934" s="203" t="e">
        <f>#REF!*#REF!^5/(Conv!$I$5*Conv!$D$46)/10^6 +#REF!</f>
        <v>#REF!</v>
      </c>
      <c r="I934" s="203" t="e">
        <f>#REF!*#REF!^5/(Conv!$I$5*Conv!$D$46)/10^6 +#REF!</f>
        <v>#REF!</v>
      </c>
      <c r="J934" s="203" t="e">
        <f>#REF!*#REF!^5/(Conv!$I$5*Conv!$D$46)/10^6 +#REF!</f>
        <v>#REF!</v>
      </c>
      <c r="K934" s="203" t="e">
        <f>#REF!*#REF!^5/(Conv!$I$5*Conv!$D$46)/10^6 +#REF!</f>
        <v>#REF!</v>
      </c>
      <c r="L934" s="203" t="e">
        <f>#REF!*#REF!^5/(Conv!$I$5*Conv!$D$46)/10^6 +#REF!</f>
        <v>#REF!</v>
      </c>
      <c r="M934" s="203" t="e">
        <f>#REF!*#REF!^5/(Conv!$I$5*Conv!$D$46)/10^6 +#REF!</f>
        <v>#REF!</v>
      </c>
      <c r="N934" s="203" t="e">
        <f>#REF!*#REF!^5/(Conv!$I$5*Conv!$D$46)/10^6 +#REF!</f>
        <v>#REF!</v>
      </c>
      <c r="O934" s="203" t="e">
        <f>#REF!*#REF!^5/(Conv!$I$5*Conv!$D$46)/10^6 +#REF!</f>
        <v>#REF!</v>
      </c>
      <c r="P934" s="203" t="e">
        <f>#REF!*#REF!^5/(Conv!$I$5*Conv!$D$46)/10^6 +#REF!</f>
        <v>#REF!</v>
      </c>
      <c r="Q934" s="203" t="e">
        <f>#REF!*#REF!^5/(Conv!$I$5*Conv!$D$46)/10^6 +#REF!</f>
        <v>#REF!</v>
      </c>
      <c r="S934" s="177"/>
      <c r="T934" s="177"/>
      <c r="U934" s="177"/>
      <c r="V934" s="177"/>
      <c r="W934" s="177"/>
      <c r="X934" s="177"/>
      <c r="Y934" s="177"/>
      <c r="Z934" s="177"/>
      <c r="AA934" s="177"/>
      <c r="AB934" s="177"/>
      <c r="AC934" s="177"/>
    </row>
    <row r="935" spans="2:29">
      <c r="B935" s="158" t="str">
        <f>IF(LEFT(Technologies!B$525,1)="*","*","R4")</f>
        <v>*</v>
      </c>
      <c r="C935" s="158" t="e">
        <f>Technologies!C$575</f>
        <v>#REF!</v>
      </c>
      <c r="D935" s="158" t="str">
        <f>Technologies!D525</f>
        <v>Delivery of Imported Methanol</v>
      </c>
      <c r="E935" s="197" t="str">
        <f>Commodities!C$98</f>
        <v>MTHP3</v>
      </c>
      <c r="F935" s="197" t="e">
        <f>Commodities!C238</f>
        <v>#REF!</v>
      </c>
      <c r="G935" s="204">
        <v>1</v>
      </c>
      <c r="H935" s="203" t="e">
        <f>#REF!*#REF!^5/(Conv!$I$5*Conv!$D$46)/10^6 +#REF!</f>
        <v>#REF!</v>
      </c>
      <c r="I935" s="203" t="e">
        <f>#REF!*#REF!^5/(Conv!$I$5*Conv!$D$46)/10^6 +#REF!</f>
        <v>#REF!</v>
      </c>
      <c r="J935" s="203" t="e">
        <f>#REF!*#REF!^5/(Conv!$I$5*Conv!$D$46)/10^6 +#REF!</f>
        <v>#REF!</v>
      </c>
      <c r="K935" s="203" t="e">
        <f>#REF!*#REF!^5/(Conv!$I$5*Conv!$D$46)/10^6 +#REF!</f>
        <v>#REF!</v>
      </c>
      <c r="L935" s="203" t="e">
        <f>#REF!*#REF!^5/(Conv!$I$5*Conv!$D$46)/10^6 +#REF!</f>
        <v>#REF!</v>
      </c>
      <c r="M935" s="203" t="e">
        <f>#REF!*#REF!^5/(Conv!$I$5*Conv!$D$46)/10^6 +#REF!</f>
        <v>#REF!</v>
      </c>
      <c r="N935" s="203" t="e">
        <f>#REF!*#REF!^5/(Conv!$I$5*Conv!$D$46)/10^6 +#REF!</f>
        <v>#REF!</v>
      </c>
      <c r="O935" s="203" t="e">
        <f>#REF!*#REF!^5/(Conv!$I$5*Conv!$D$46)/10^6 +#REF!</f>
        <v>#REF!</v>
      </c>
      <c r="P935" s="203" t="e">
        <f>#REF!*#REF!^5/(Conv!$I$5*Conv!$D$46)/10^6 +#REF!</f>
        <v>#REF!</v>
      </c>
      <c r="Q935" s="203" t="e">
        <f>#REF!*#REF!^5/(Conv!$I$5*Conv!$D$46)/10^6 +#REF!</f>
        <v>#REF!</v>
      </c>
      <c r="S935" s="177"/>
      <c r="T935" s="177"/>
      <c r="U935" s="177"/>
      <c r="V935" s="177"/>
      <c r="W935" s="177"/>
      <c r="X935" s="177"/>
      <c r="Y935" s="177"/>
      <c r="Z935" s="177"/>
      <c r="AA935" s="177"/>
      <c r="AB935" s="177"/>
      <c r="AC935" s="177"/>
    </row>
    <row r="936" spans="2:29">
      <c r="B936" s="158" t="str">
        <f>IF(OR(LEFT(Commodities!B$239,1)="*",LEFT(Technologies!B$526,1)="*"),"*","R4")</f>
        <v>*</v>
      </c>
      <c r="C936" s="158" t="e">
        <f>Technologies!C$576</f>
        <v>#REF!</v>
      </c>
      <c r="D936" s="158" t="str">
        <f>Technologies!D526</f>
        <v>Delivery of Imported Petrochemical Feedstocks</v>
      </c>
      <c r="E936" s="197" t="str">
        <f>Commodities!C$99</f>
        <v>PFSP3</v>
      </c>
      <c r="F936" s="197" t="e">
        <f>Commodities!C239</f>
        <v>#REF!</v>
      </c>
      <c r="G936" s="204">
        <v>1</v>
      </c>
      <c r="H936" s="203" t="e">
        <f>#REF!*#REF!^5/(Conv!$I$5*Conv!$D$46)/10^6 +#REF!</f>
        <v>#REF!</v>
      </c>
      <c r="I936" s="203" t="e">
        <f>#REF!*#REF!^5/(Conv!$I$5*Conv!$D$46)/10^6 +#REF!</f>
        <v>#REF!</v>
      </c>
      <c r="J936" s="203" t="e">
        <f>#REF!*#REF!^5/(Conv!$I$5*Conv!$D$46)/10^6 +#REF!</f>
        <v>#REF!</v>
      </c>
      <c r="K936" s="203" t="e">
        <f>#REF!*#REF!^5/(Conv!$I$5*Conv!$D$46)/10^6 +#REF!</f>
        <v>#REF!</v>
      </c>
      <c r="L936" s="203" t="e">
        <f>#REF!*#REF!^5/(Conv!$I$5*Conv!$D$46)/10^6 +#REF!</f>
        <v>#REF!</v>
      </c>
      <c r="M936" s="203" t="e">
        <f>#REF!*#REF!^5/(Conv!$I$5*Conv!$D$46)/10^6 +#REF!</f>
        <v>#REF!</v>
      </c>
      <c r="N936" s="203" t="e">
        <f>#REF!*#REF!^5/(Conv!$I$5*Conv!$D$46)/10^6 +#REF!</f>
        <v>#REF!</v>
      </c>
      <c r="O936" s="203" t="e">
        <f>#REF!*#REF!^5/(Conv!$I$5*Conv!$D$46)/10^6 +#REF!</f>
        <v>#REF!</v>
      </c>
      <c r="P936" s="203" t="e">
        <f>#REF!*#REF!^5/(Conv!$I$5*Conv!$D$46)/10^6 +#REF!</f>
        <v>#REF!</v>
      </c>
      <c r="Q936" s="203" t="e">
        <f>#REF!*#REF!^5/(Conv!$I$5*Conv!$D$46)/10^6 +#REF!</f>
        <v>#REF!</v>
      </c>
      <c r="S936" s="177"/>
      <c r="T936" s="177"/>
      <c r="U936" s="177"/>
      <c r="V936" s="177"/>
      <c r="W936" s="177"/>
      <c r="X936" s="177"/>
      <c r="Y936" s="177"/>
      <c r="Z936" s="177"/>
      <c r="AA936" s="177"/>
      <c r="AB936" s="177"/>
      <c r="AC936" s="177"/>
    </row>
    <row r="937" spans="2:29">
      <c r="B937" s="158" t="str">
        <f>IF(OR(LEFT(Commodities!B$75,1)="*",LEFT(Technologies!B$527,1)="*"),"*","R4")</f>
        <v>*</v>
      </c>
      <c r="C937" s="158" t="str">
        <f>Technologies!C$577</f>
        <v>XIRESRFLP3</v>
      </c>
      <c r="D937" s="158" t="str">
        <f>Technologies!D527</f>
        <v>Delivery of Imported Low Sulfur Residual Fuel Oil to Residential Sector</v>
      </c>
      <c r="E937" s="197" t="str">
        <f>Commodities!C$101</f>
        <v>RFLP3</v>
      </c>
      <c r="F937" s="197" t="str">
        <f>Commodities!C240</f>
        <v>RESRFL</v>
      </c>
      <c r="G937" s="204">
        <v>1</v>
      </c>
      <c r="H937" s="203" t="e">
        <f>#REF!*#REF!^5/(Conv!$I$5*Conv!$D$46)/10^6 +#REF!</f>
        <v>#REF!</v>
      </c>
      <c r="I937" s="203" t="e">
        <f>#REF!*#REF!^5/(Conv!$I$5*Conv!$D$46)/10^6 +#REF!</f>
        <v>#REF!</v>
      </c>
      <c r="J937" s="203" t="e">
        <f>#REF!*#REF!^5/(Conv!$I$5*Conv!$D$46)/10^6 +#REF!</f>
        <v>#REF!</v>
      </c>
      <c r="K937" s="203" t="e">
        <f>#REF!*#REF!^5/(Conv!$I$5*Conv!$D$46)/10^6 +#REF!</f>
        <v>#REF!</v>
      </c>
      <c r="L937" s="203" t="e">
        <f>#REF!*#REF!^5/(Conv!$I$5*Conv!$D$46)/10^6 +#REF!</f>
        <v>#REF!</v>
      </c>
      <c r="M937" s="203" t="e">
        <f>#REF!*#REF!^5/(Conv!$I$5*Conv!$D$46)/10^6 +#REF!</f>
        <v>#REF!</v>
      </c>
      <c r="N937" s="203" t="e">
        <f>#REF!*#REF!^5/(Conv!$I$5*Conv!$D$46)/10^6 +#REF!</f>
        <v>#REF!</v>
      </c>
      <c r="O937" s="203" t="e">
        <f>#REF!*#REF!^5/(Conv!$I$5*Conv!$D$46)/10^6 +#REF!</f>
        <v>#REF!</v>
      </c>
      <c r="P937" s="203" t="e">
        <f>#REF!*#REF!^5/(Conv!$I$5*Conv!$D$46)/10^6 +#REF!</f>
        <v>#REF!</v>
      </c>
      <c r="Q937" s="203" t="e">
        <f>#REF!*#REF!^5/(Conv!$I$5*Conv!$D$46)/10^6 +#REF!</f>
        <v>#REF!</v>
      </c>
      <c r="S937" s="177"/>
      <c r="T937" s="177"/>
      <c r="U937" s="177"/>
      <c r="V937" s="177"/>
      <c r="W937" s="177"/>
      <c r="X937" s="177"/>
      <c r="Y937" s="177"/>
      <c r="Z937" s="177"/>
      <c r="AA937" s="177"/>
      <c r="AB937" s="177"/>
      <c r="AC937" s="177"/>
    </row>
    <row r="938" spans="2:29">
      <c r="B938" s="158" t="str">
        <f>IF(OR(LEFT(Commodities!B$75,1)="*",LEFT(Technologies!B$528,1)="*"),"*","R4")</f>
        <v>*</v>
      </c>
      <c r="C938" s="158" t="e">
        <f>Technologies!C$578</f>
        <v>#REF!</v>
      </c>
      <c r="D938" s="158" t="str">
        <f>Technologies!D528</f>
        <v>Delivery of Imported Low Sulfur Residual Fuel Oil to Commercial Sector</v>
      </c>
      <c r="E938" s="197" t="str">
        <f>Commodities!C$101</f>
        <v>RFLP3</v>
      </c>
      <c r="F938" s="197" t="e">
        <f>Commodities!C241</f>
        <v>#REF!</v>
      </c>
      <c r="G938" s="204">
        <v>1</v>
      </c>
      <c r="H938" s="203" t="e">
        <f>#REF!*#REF!^5/(Conv!$I$5*Conv!$D$46)/10^6 +#REF!</f>
        <v>#REF!</v>
      </c>
      <c r="I938" s="203" t="e">
        <f>#REF!*#REF!^5/(Conv!$I$5*Conv!$D$46)/10^6 +#REF!</f>
        <v>#REF!</v>
      </c>
      <c r="J938" s="203" t="e">
        <f>#REF!*#REF!^5/(Conv!$I$5*Conv!$D$46)/10^6 +#REF!</f>
        <v>#REF!</v>
      </c>
      <c r="K938" s="203" t="e">
        <f>#REF!*#REF!^5/(Conv!$I$5*Conv!$D$46)/10^6 +#REF!</f>
        <v>#REF!</v>
      </c>
      <c r="L938" s="203" t="e">
        <f>#REF!*#REF!^5/(Conv!$I$5*Conv!$D$46)/10^6 +#REF!</f>
        <v>#REF!</v>
      </c>
      <c r="M938" s="203" t="e">
        <f>#REF!*#REF!^5/(Conv!$I$5*Conv!$D$46)/10^6 +#REF!</f>
        <v>#REF!</v>
      </c>
      <c r="N938" s="203" t="e">
        <f>#REF!*#REF!^5/(Conv!$I$5*Conv!$D$46)/10^6 +#REF!</f>
        <v>#REF!</v>
      </c>
      <c r="O938" s="203" t="e">
        <f>#REF!*#REF!^5/(Conv!$I$5*Conv!$D$46)/10^6 +#REF!</f>
        <v>#REF!</v>
      </c>
      <c r="P938" s="203" t="e">
        <f>#REF!*#REF!^5/(Conv!$I$5*Conv!$D$46)/10^6 +#REF!</f>
        <v>#REF!</v>
      </c>
      <c r="Q938" s="203" t="e">
        <f>#REF!*#REF!^5/(Conv!$I$5*Conv!$D$46)/10^6 +#REF!</f>
        <v>#REF!</v>
      </c>
      <c r="S938" s="177"/>
      <c r="T938" s="177"/>
      <c r="U938" s="177"/>
      <c r="V938" s="177"/>
      <c r="W938" s="177"/>
      <c r="X938" s="177"/>
      <c r="Y938" s="177"/>
      <c r="Z938" s="177"/>
      <c r="AA938" s="177"/>
      <c r="AB938" s="177"/>
      <c r="AC938" s="177"/>
    </row>
    <row r="939" spans="2:29">
      <c r="B939" s="158" t="str">
        <f>IF(OR(LEFT(Commodities!B$75,1)="*",LEFT(Technologies!B$529,1)="*"),"*","R4")</f>
        <v>R4</v>
      </c>
      <c r="C939" s="158" t="e">
        <f>Technologies!C$579</f>
        <v>#REF!</v>
      </c>
      <c r="D939" s="158" t="str">
        <f>Technologies!D529</f>
        <v>Delivery of Imported Low Sulfur Residual Fuel Oil to Industrial Sector</v>
      </c>
      <c r="E939" s="197" t="str">
        <f>Commodities!C$101</f>
        <v>RFLP3</v>
      </c>
      <c r="F939" s="197" t="e">
        <f>Commodities!C242</f>
        <v>#REF!</v>
      </c>
      <c r="G939" s="204">
        <v>1</v>
      </c>
      <c r="H939" s="203" t="e">
        <f>#REF!*#REF!^5/(Conv!$I$5*Conv!$D$46)/10^6 +#REF!</f>
        <v>#REF!</v>
      </c>
      <c r="I939" s="203" t="e">
        <f>#REF!*#REF!^5/(Conv!$I$5*Conv!$D$46)/10^6 +#REF!</f>
        <v>#REF!</v>
      </c>
      <c r="J939" s="203" t="e">
        <f>#REF!*#REF!^5/(Conv!$I$5*Conv!$D$46)/10^6 +#REF!</f>
        <v>#REF!</v>
      </c>
      <c r="K939" s="203" t="e">
        <f>#REF!*#REF!^5/(Conv!$I$5*Conv!$D$46)/10^6 +#REF!</f>
        <v>#REF!</v>
      </c>
      <c r="L939" s="203" t="e">
        <f>#REF!*#REF!^5/(Conv!$I$5*Conv!$D$46)/10^6 +#REF!</f>
        <v>#REF!</v>
      </c>
      <c r="M939" s="203" t="e">
        <f>#REF!*#REF!^5/(Conv!$I$5*Conv!$D$46)/10^6 +#REF!</f>
        <v>#REF!</v>
      </c>
      <c r="N939" s="203" t="e">
        <f>#REF!*#REF!^5/(Conv!$I$5*Conv!$D$46)/10^6 +#REF!</f>
        <v>#REF!</v>
      </c>
      <c r="O939" s="203" t="e">
        <f>#REF!*#REF!^5/(Conv!$I$5*Conv!$D$46)/10^6 +#REF!</f>
        <v>#REF!</v>
      </c>
      <c r="P939" s="203" t="e">
        <f>#REF!*#REF!^5/(Conv!$I$5*Conv!$D$46)/10^6 +#REF!</f>
        <v>#REF!</v>
      </c>
      <c r="Q939" s="203" t="e">
        <f>#REF!*#REF!^5/(Conv!$I$5*Conv!$D$46)/10^6 +#REF!</f>
        <v>#REF!</v>
      </c>
      <c r="S939" s="177"/>
      <c r="T939" s="177"/>
      <c r="U939" s="177"/>
      <c r="V939" s="177"/>
      <c r="W939" s="177"/>
      <c r="X939" s="177"/>
      <c r="Y939" s="177"/>
      <c r="Z939" s="177"/>
      <c r="AA939" s="177"/>
      <c r="AB939" s="177"/>
      <c r="AC939" s="177"/>
    </row>
    <row r="940" spans="2:29">
      <c r="B940" s="158" t="str">
        <f>IF(OR(LEFT(Commodities!B$75,1)="*",LEFT(Technologies!B$530,1)="*"),"*","R4")</f>
        <v>*</v>
      </c>
      <c r="C940" s="158" t="e">
        <f>Technologies!C$580</f>
        <v>#REF!</v>
      </c>
      <c r="D940" s="158" t="str">
        <f>Technologies!D530</f>
        <v>Delivery of Imported Low Sulfur Residual Fuel Oil to Electricity Sector</v>
      </c>
      <c r="E940" s="197" t="str">
        <f>Commodities!C$101</f>
        <v>RFLP3</v>
      </c>
      <c r="F940" s="197" t="e">
        <f>Commodities!C243</f>
        <v>#REF!</v>
      </c>
      <c r="G940" s="204">
        <v>1</v>
      </c>
      <c r="H940" s="203" t="e">
        <f>#REF!*#REF!^5/(Conv!$I$5*Conv!$D$46)/10^6 +#REF!</f>
        <v>#REF!</v>
      </c>
      <c r="I940" s="203" t="e">
        <f>#REF!*#REF!^5/(Conv!$I$5*Conv!$D$46)/10^6 +#REF!</f>
        <v>#REF!</v>
      </c>
      <c r="J940" s="203" t="e">
        <f>#REF!*#REF!^5/(Conv!$I$5*Conv!$D$46)/10^6 +#REF!</f>
        <v>#REF!</v>
      </c>
      <c r="K940" s="203" t="e">
        <f>#REF!*#REF!^5/(Conv!$I$5*Conv!$D$46)/10^6 +#REF!</f>
        <v>#REF!</v>
      </c>
      <c r="L940" s="203" t="e">
        <f>#REF!*#REF!^5/(Conv!$I$5*Conv!$D$46)/10^6 +#REF!</f>
        <v>#REF!</v>
      </c>
      <c r="M940" s="203" t="e">
        <f>#REF!*#REF!^5/(Conv!$I$5*Conv!$D$46)/10^6 +#REF!</f>
        <v>#REF!</v>
      </c>
      <c r="N940" s="203" t="e">
        <f>#REF!*#REF!^5/(Conv!$I$5*Conv!$D$46)/10^6 +#REF!</f>
        <v>#REF!</v>
      </c>
      <c r="O940" s="203" t="e">
        <f>#REF!*#REF!^5/(Conv!$I$5*Conv!$D$46)/10^6 +#REF!</f>
        <v>#REF!</v>
      </c>
      <c r="P940" s="203" t="e">
        <f>#REF!*#REF!^5/(Conv!$I$5*Conv!$D$46)/10^6 +#REF!</f>
        <v>#REF!</v>
      </c>
      <c r="Q940" s="203" t="e">
        <f>#REF!*#REF!^5/(Conv!$I$5*Conv!$D$46)/10^6 +#REF!</f>
        <v>#REF!</v>
      </c>
      <c r="S940" s="177"/>
      <c r="T940" s="177"/>
      <c r="U940" s="177"/>
      <c r="V940" s="177"/>
      <c r="W940" s="177"/>
      <c r="X940" s="177"/>
      <c r="Y940" s="177"/>
      <c r="Z940" s="177"/>
      <c r="AA940" s="177"/>
      <c r="AB940" s="177"/>
      <c r="AC940" s="177"/>
    </row>
    <row r="941" spans="2:29">
      <c r="B941" s="158" t="str">
        <f>IF(OR(LEFT(Commodities!B$74,1)="*",LEFT(Technologies!B$531,1)="*"),"*","R4")</f>
        <v>*</v>
      </c>
      <c r="C941" s="158" t="e">
        <f>Technologies!C$581</f>
        <v>#REF!</v>
      </c>
      <c r="D941" s="158" t="str">
        <f>Technologies!D531</f>
        <v>Delivery of Imported High Sulfur Residual Fuel Oil to Transportation Sector</v>
      </c>
      <c r="E941" s="197" t="e">
        <f>Commodities!C202</f>
        <v>#REF!</v>
      </c>
      <c r="F941" s="197" t="e">
        <f>Commodities!C244</f>
        <v>#REF!</v>
      </c>
      <c r="G941" s="204">
        <v>1</v>
      </c>
      <c r="H941" s="203" t="e">
        <f>#REF!*#REF!^5/(Conv!$I$5*Conv!$D$46)/10^6 +#REF!</f>
        <v>#REF!</v>
      </c>
      <c r="I941" s="203" t="e">
        <f>#REF!*#REF!^5/(Conv!$I$5*Conv!$D$46)/10^6 +#REF!</f>
        <v>#REF!</v>
      </c>
      <c r="J941" s="203" t="e">
        <f>#REF!*#REF!^5/(Conv!$I$5*Conv!$D$46)/10^6 +#REF!</f>
        <v>#REF!</v>
      </c>
      <c r="K941" s="203" t="e">
        <f>#REF!*#REF!^5/(Conv!$I$5*Conv!$D$46)/10^6 +#REF!</f>
        <v>#REF!</v>
      </c>
      <c r="L941" s="203" t="e">
        <f>#REF!*#REF!^5/(Conv!$I$5*Conv!$D$46)/10^6 +#REF!</f>
        <v>#REF!</v>
      </c>
      <c r="M941" s="203" t="e">
        <f>#REF!*#REF!^5/(Conv!$I$5*Conv!$D$46)/10^6 +#REF!</f>
        <v>#REF!</v>
      </c>
      <c r="N941" s="203" t="e">
        <f>#REF!*#REF!^5/(Conv!$I$5*Conv!$D$46)/10^6 +#REF!</f>
        <v>#REF!</v>
      </c>
      <c r="O941" s="203" t="e">
        <f>#REF!*#REF!^5/(Conv!$I$5*Conv!$D$46)/10^6 +#REF!</f>
        <v>#REF!</v>
      </c>
      <c r="P941" s="203" t="e">
        <f>#REF!*#REF!^5/(Conv!$I$5*Conv!$D$46)/10^6 +#REF!</f>
        <v>#REF!</v>
      </c>
      <c r="Q941" s="203" t="e">
        <f>#REF!*#REF!^5/(Conv!$I$5*Conv!$D$46)/10^6 +#REF!</f>
        <v>#REF!</v>
      </c>
      <c r="S941" s="177"/>
      <c r="T941" s="177"/>
      <c r="U941" s="177"/>
      <c r="V941" s="177"/>
      <c r="W941" s="177"/>
      <c r="X941" s="177"/>
      <c r="Y941" s="177"/>
      <c r="Z941" s="177"/>
      <c r="AA941" s="177"/>
      <c r="AB941" s="177"/>
      <c r="AC941" s="177"/>
    </row>
    <row r="942" spans="2:29">
      <c r="B942" s="158" t="str">
        <f>IF(OR(LEFT(Commodities!B$74,1)="*",LEFT(Technologies!B$532,1)="*"),"*","R4")</f>
        <v>*</v>
      </c>
      <c r="C942" s="158" t="e">
        <f>Technologies!C$582</f>
        <v>#REF!</v>
      </c>
      <c r="D942" s="158" t="str">
        <f>Technologies!D532</f>
        <v>Delivery of Imported High Sulfur Residual Fuel Oil to Electricity Sector</v>
      </c>
      <c r="E942" s="197" t="e">
        <f>Commodities!C203</f>
        <v>#REF!</v>
      </c>
      <c r="F942" s="197" t="e">
        <f>Commodities!C245</f>
        <v>#REF!</v>
      </c>
      <c r="G942" s="204">
        <v>1</v>
      </c>
      <c r="H942" s="203" t="e">
        <f>#REF!*#REF!^5/(Conv!$I$5*Conv!$D$46)/10^6 +#REF!</f>
        <v>#REF!</v>
      </c>
      <c r="I942" s="203" t="e">
        <f>#REF!*#REF!^5/(Conv!$I$5*Conv!$D$46)/10^6 +#REF!</f>
        <v>#REF!</v>
      </c>
      <c r="J942" s="203" t="e">
        <f>#REF!*#REF!^5/(Conv!$I$5*Conv!$D$46)/10^6 +#REF!</f>
        <v>#REF!</v>
      </c>
      <c r="K942" s="203" t="e">
        <f>#REF!*#REF!^5/(Conv!$I$5*Conv!$D$46)/10^6 +#REF!</f>
        <v>#REF!</v>
      </c>
      <c r="L942" s="203" t="e">
        <f>#REF!*#REF!^5/(Conv!$I$5*Conv!$D$46)/10^6 +#REF!</f>
        <v>#REF!</v>
      </c>
      <c r="M942" s="203" t="e">
        <f>#REF!*#REF!^5/(Conv!$I$5*Conv!$D$46)/10^6 +#REF!</f>
        <v>#REF!</v>
      </c>
      <c r="N942" s="203" t="e">
        <f>#REF!*#REF!^5/(Conv!$I$5*Conv!$D$46)/10^6 +#REF!</f>
        <v>#REF!</v>
      </c>
      <c r="O942" s="203" t="e">
        <f>#REF!*#REF!^5/(Conv!$I$5*Conv!$D$46)/10^6 +#REF!</f>
        <v>#REF!</v>
      </c>
      <c r="P942" s="203" t="e">
        <f>#REF!*#REF!^5/(Conv!$I$5*Conv!$D$46)/10^6 +#REF!</f>
        <v>#REF!</v>
      </c>
      <c r="Q942" s="203" t="e">
        <f>#REF!*#REF!^5/(Conv!$I$5*Conv!$D$46)/10^6 +#REF!</f>
        <v>#REF!</v>
      </c>
      <c r="S942" s="177"/>
      <c r="T942" s="177"/>
      <c r="U942" s="177"/>
      <c r="V942" s="177"/>
      <c r="W942" s="177"/>
      <c r="X942" s="177"/>
      <c r="Y942" s="177"/>
      <c r="Z942" s="177"/>
      <c r="AA942" s="177"/>
      <c r="AB942" s="177"/>
      <c r="AC942" s="177"/>
    </row>
    <row r="943" spans="2:29">
      <c r="B943" s="160" t="s">
        <v>1034</v>
      </c>
      <c r="C943" s="160"/>
      <c r="D943" s="160"/>
      <c r="E943" s="196"/>
      <c r="F943" s="196"/>
      <c r="G943" s="200"/>
      <c r="H943" s="174"/>
      <c r="I943" s="174"/>
      <c r="J943" s="174"/>
      <c r="K943" s="174"/>
      <c r="L943" s="174"/>
      <c r="M943" s="174"/>
      <c r="N943" s="174"/>
      <c r="O943" s="174"/>
      <c r="P943" s="174"/>
      <c r="Q943" s="174"/>
    </row>
    <row r="944" spans="2:29">
      <c r="B944" s="158" t="str">
        <f>IF(LEFT(Technologies!B$509,1)="*","*","R5")</f>
        <v>R5</v>
      </c>
      <c r="C944" s="158" t="e">
        <f>Technologies!C$559</f>
        <v>#REF!</v>
      </c>
      <c r="D944" s="158" t="str">
        <f>Technologies!D509</f>
        <v>Delivery of Imported Conventional Gasoline</v>
      </c>
      <c r="E944" s="197" t="str">
        <f>Commodities!C$93</f>
        <v>GSCP3</v>
      </c>
      <c r="F944" s="197" t="e">
        <f>Commodities!C222</f>
        <v>#REF!</v>
      </c>
      <c r="G944" s="204">
        <v>1</v>
      </c>
      <c r="H944" s="203" t="e">
        <f>#REF!*#REF!^5/(Conv!$I$5*Conv!$D$46)/10^6 +#REF!</f>
        <v>#REF!</v>
      </c>
      <c r="I944" s="203" t="e">
        <f>#REF!*#REF!^5/(Conv!$I$5*Conv!$D$46)/10^6 +#REF!</f>
        <v>#REF!</v>
      </c>
      <c r="J944" s="203" t="e">
        <f>#REF!*#REF!^5/(Conv!$I$5*Conv!$D$46)/10^6 +#REF!</f>
        <v>#REF!</v>
      </c>
      <c r="K944" s="203" t="e">
        <f>#REF!*#REF!^5/(Conv!$I$5*Conv!$D$46)/10^6 +#REF!</f>
        <v>#REF!</v>
      </c>
      <c r="L944" s="203" t="e">
        <f>#REF!*#REF!^5/(Conv!$I$5*Conv!$D$46)/10^6 +#REF!</f>
        <v>#REF!</v>
      </c>
      <c r="M944" s="203" t="e">
        <f>#REF!*#REF!^5/(Conv!$I$5*Conv!$D$46)/10^6 +#REF!</f>
        <v>#REF!</v>
      </c>
      <c r="N944" s="203" t="e">
        <f>#REF!*#REF!^5/(Conv!$I$5*Conv!$D$46)/10^6 +#REF!</f>
        <v>#REF!</v>
      </c>
      <c r="O944" s="203" t="e">
        <f>#REF!*#REF!^5/(Conv!$I$5*Conv!$D$46)/10^6 +#REF!</f>
        <v>#REF!</v>
      </c>
      <c r="P944" s="203" t="e">
        <f>#REF!*#REF!^5/(Conv!$I$5*Conv!$D$46)/10^6 +#REF!</f>
        <v>#REF!</v>
      </c>
      <c r="Q944" s="203" t="e">
        <f>#REF!*#REF!^5/(Conv!$I$5*Conv!$D$46)/10^6 +#REF!</f>
        <v>#REF!</v>
      </c>
      <c r="S944" s="177"/>
      <c r="T944" s="177"/>
      <c r="U944" s="177"/>
      <c r="V944" s="177"/>
      <c r="W944" s="177"/>
      <c r="X944" s="177"/>
      <c r="Y944" s="177"/>
      <c r="Z944" s="177"/>
      <c r="AA944" s="177"/>
      <c r="AB944" s="177"/>
      <c r="AC944" s="177"/>
    </row>
    <row r="945" spans="2:29">
      <c r="B945" s="158" t="str">
        <f>IF(LEFT(Technologies!B$510,1)="*","*","R5")</f>
        <v>R5</v>
      </c>
      <c r="C945" s="158" t="e">
        <f>Technologies!C$560</f>
        <v>#REF!</v>
      </c>
      <c r="D945" s="158" t="str">
        <f>Technologies!D510</f>
        <v>Delivery of Imported Reformulated Gasoline</v>
      </c>
      <c r="E945" s="197" t="str">
        <f>Commodities!C$94</f>
        <v>GSRP3</v>
      </c>
      <c r="F945" s="197" t="e">
        <f>Commodities!C223</f>
        <v>#REF!</v>
      </c>
      <c r="G945" s="204">
        <v>1</v>
      </c>
      <c r="H945" s="203" t="e">
        <f>#REF!*#REF!^5/(Conv!$I$5*Conv!$D$46)/10^6 +#REF!</f>
        <v>#REF!</v>
      </c>
      <c r="I945" s="203" t="e">
        <f>#REF!*#REF!^5/(Conv!$I$5*Conv!$D$46)/10^6 +#REF!</f>
        <v>#REF!</v>
      </c>
      <c r="J945" s="203" t="e">
        <f>#REF!*#REF!^5/(Conv!$I$5*Conv!$D$46)/10^6 +#REF!</f>
        <v>#REF!</v>
      </c>
      <c r="K945" s="203" t="e">
        <f>#REF!*#REF!^5/(Conv!$I$5*Conv!$D$46)/10^6 +#REF!</f>
        <v>#REF!</v>
      </c>
      <c r="L945" s="203" t="e">
        <f>#REF!*#REF!^5/(Conv!$I$5*Conv!$D$46)/10^6 +#REF!</f>
        <v>#REF!</v>
      </c>
      <c r="M945" s="203" t="e">
        <f>#REF!*#REF!^5/(Conv!$I$5*Conv!$D$46)/10^6 +#REF!</f>
        <v>#REF!</v>
      </c>
      <c r="N945" s="203" t="e">
        <f>#REF!*#REF!^5/(Conv!$I$5*Conv!$D$46)/10^6 +#REF!</f>
        <v>#REF!</v>
      </c>
      <c r="O945" s="203" t="e">
        <f>#REF!*#REF!^5/(Conv!$I$5*Conv!$D$46)/10^6 +#REF!</f>
        <v>#REF!</v>
      </c>
      <c r="P945" s="203" t="e">
        <f>#REF!*#REF!^5/(Conv!$I$5*Conv!$D$46)/10^6 +#REF!</f>
        <v>#REF!</v>
      </c>
      <c r="Q945" s="203" t="e">
        <f>#REF!*#REF!^5/(Conv!$I$5*Conv!$D$46)/10^6 +#REF!</f>
        <v>#REF!</v>
      </c>
      <c r="S945" s="177"/>
      <c r="T945" s="177"/>
      <c r="U945" s="177"/>
      <c r="V945" s="177"/>
      <c r="W945" s="177"/>
      <c r="X945" s="177"/>
      <c r="Y945" s="177"/>
      <c r="Z945" s="177"/>
      <c r="AA945" s="177"/>
      <c r="AB945" s="177"/>
      <c r="AC945" s="177"/>
    </row>
    <row r="946" spans="2:29">
      <c r="B946" s="158" t="str">
        <f>IF(OR(LEFT(Commodities!B$64,1)="*",LEFT(Technologies!B$511,1)="*"),"*","R5")</f>
        <v>R5</v>
      </c>
      <c r="C946" s="158" t="e">
        <f>Technologies!C$561</f>
        <v>#REF!</v>
      </c>
      <c r="D946" s="158" t="str">
        <f>Technologies!D511</f>
        <v>Delivery of Imported Distillate-Heating Oil No. 2 to the Residential Sector</v>
      </c>
      <c r="E946" s="197" t="str">
        <f>Commodities!C$90</f>
        <v>DSHP3</v>
      </c>
      <c r="F946" s="197" t="e">
        <f>Commodities!C224</f>
        <v>#REF!</v>
      </c>
      <c r="G946" s="204">
        <v>1</v>
      </c>
      <c r="H946" s="203" t="e">
        <f>#REF!*#REF!^5/(Conv!$I$5*Conv!$D$46)/10^6 +#REF!</f>
        <v>#REF!</v>
      </c>
      <c r="I946" s="203" t="e">
        <f>#REF!*#REF!^5/(Conv!$I$5*Conv!$D$46)/10^6 +#REF!</f>
        <v>#REF!</v>
      </c>
      <c r="J946" s="203" t="e">
        <f>#REF!*#REF!^5/(Conv!$I$5*Conv!$D$46)/10^6 +#REF!</f>
        <v>#REF!</v>
      </c>
      <c r="K946" s="203" t="e">
        <f>#REF!*#REF!^5/(Conv!$I$5*Conv!$D$46)/10^6 +#REF!</f>
        <v>#REF!</v>
      </c>
      <c r="L946" s="203" t="e">
        <f>#REF!*#REF!^5/(Conv!$I$5*Conv!$D$46)/10^6 +#REF!</f>
        <v>#REF!</v>
      </c>
      <c r="M946" s="203" t="e">
        <f>#REF!*#REF!^5/(Conv!$I$5*Conv!$D$46)/10^6 +#REF!</f>
        <v>#REF!</v>
      </c>
      <c r="N946" s="203" t="e">
        <f>#REF!*#REF!^5/(Conv!$I$5*Conv!$D$46)/10^6 +#REF!</f>
        <v>#REF!</v>
      </c>
      <c r="O946" s="203" t="e">
        <f>#REF!*#REF!^5/(Conv!$I$5*Conv!$D$46)/10^6 +#REF!</f>
        <v>#REF!</v>
      </c>
      <c r="P946" s="203" t="e">
        <f>#REF!*#REF!^5/(Conv!$I$5*Conv!$D$46)/10^6 +#REF!</f>
        <v>#REF!</v>
      </c>
      <c r="Q946" s="203" t="e">
        <f>#REF!*#REF!^5/(Conv!$I$5*Conv!$D$46)/10^6 +#REF!</f>
        <v>#REF!</v>
      </c>
      <c r="S946" s="177"/>
      <c r="T946" s="177"/>
      <c r="U946" s="177"/>
      <c r="V946" s="177"/>
      <c r="W946" s="177"/>
      <c r="X946" s="177"/>
      <c r="Y946" s="177"/>
      <c r="Z946" s="177"/>
      <c r="AA946" s="177"/>
      <c r="AB946" s="177"/>
      <c r="AC946" s="177"/>
    </row>
    <row r="947" spans="2:29">
      <c r="B947" s="158" t="str">
        <f>IF(OR(LEFT(Commodities!B$64,1)="*",LEFT(Technologies!B$512,1)="*"),"*","R5")</f>
        <v>R5</v>
      </c>
      <c r="C947" s="158" t="e">
        <f>Technologies!C$562</f>
        <v>#REF!</v>
      </c>
      <c r="D947" s="158" t="str">
        <f>Technologies!D512</f>
        <v>Delivery of Imported Distillate-Heating Oil No. 2 to the Commercial Sector</v>
      </c>
      <c r="E947" s="197" t="str">
        <f>Commodities!C$90</f>
        <v>DSHP3</v>
      </c>
      <c r="F947" s="197" t="e">
        <f>Commodities!C225</f>
        <v>#REF!</v>
      </c>
      <c r="G947" s="204">
        <v>1</v>
      </c>
      <c r="H947" s="203" t="e">
        <f>#REF!*#REF!^5/(Conv!$I$5*Conv!$D$46)/10^6 +#REF!</f>
        <v>#REF!</v>
      </c>
      <c r="I947" s="203" t="e">
        <f>#REF!*#REF!^5/(Conv!$I$5*Conv!$D$46)/10^6 +#REF!</f>
        <v>#REF!</v>
      </c>
      <c r="J947" s="203" t="e">
        <f>#REF!*#REF!^5/(Conv!$I$5*Conv!$D$46)/10^6 +#REF!</f>
        <v>#REF!</v>
      </c>
      <c r="K947" s="203" t="e">
        <f>#REF!*#REF!^5/(Conv!$I$5*Conv!$D$46)/10^6 +#REF!</f>
        <v>#REF!</v>
      </c>
      <c r="L947" s="203" t="e">
        <f>#REF!*#REF!^5/(Conv!$I$5*Conv!$D$46)/10^6 +#REF!</f>
        <v>#REF!</v>
      </c>
      <c r="M947" s="203" t="e">
        <f>#REF!*#REF!^5/(Conv!$I$5*Conv!$D$46)/10^6 +#REF!</f>
        <v>#REF!</v>
      </c>
      <c r="N947" s="203" t="e">
        <f>#REF!*#REF!^5/(Conv!$I$5*Conv!$D$46)/10^6 +#REF!</f>
        <v>#REF!</v>
      </c>
      <c r="O947" s="203" t="e">
        <f>#REF!*#REF!^5/(Conv!$I$5*Conv!$D$46)/10^6 +#REF!</f>
        <v>#REF!</v>
      </c>
      <c r="P947" s="203" t="e">
        <f>#REF!*#REF!^5/(Conv!$I$5*Conv!$D$46)/10^6 +#REF!</f>
        <v>#REF!</v>
      </c>
      <c r="Q947" s="203" t="e">
        <f>#REF!*#REF!^5/(Conv!$I$5*Conv!$D$46)/10^6 +#REF!</f>
        <v>#REF!</v>
      </c>
      <c r="S947" s="177"/>
      <c r="T947" s="177"/>
      <c r="U947" s="177"/>
      <c r="V947" s="177"/>
      <c r="W947" s="177"/>
      <c r="X947" s="177"/>
      <c r="Y947" s="177"/>
      <c r="Z947" s="177"/>
      <c r="AA947" s="177"/>
      <c r="AB947" s="177"/>
      <c r="AC947" s="177"/>
    </row>
    <row r="948" spans="2:29">
      <c r="B948" s="158" t="str">
        <f>IF(OR(LEFT(Commodities!B$64,1)="*",LEFT(Technologies!B$513,1)="*"),"*","R5")</f>
        <v>*</v>
      </c>
      <c r="C948" s="158" t="e">
        <f>Technologies!C$563</f>
        <v>#REF!</v>
      </c>
      <c r="D948" s="158" t="str">
        <f>Technologies!D513</f>
        <v>Delivery of Imported Distillate-Heating Oil No. 2 to the Indistrial Sector</v>
      </c>
      <c r="E948" s="197" t="str">
        <f>Commodities!C$90</f>
        <v>DSHP3</v>
      </c>
      <c r="F948" s="197" t="e">
        <f>Commodities!C226</f>
        <v>#REF!</v>
      </c>
      <c r="G948" s="204">
        <v>1</v>
      </c>
      <c r="H948" s="203" t="e">
        <f>#REF!*#REF!^5/(Conv!$I$5*Conv!$D$46)/10^6 +#REF!</f>
        <v>#REF!</v>
      </c>
      <c r="I948" s="203" t="e">
        <f>#REF!*#REF!^5/(Conv!$I$5*Conv!$D$46)/10^6 +#REF!</f>
        <v>#REF!</v>
      </c>
      <c r="J948" s="203" t="e">
        <f>#REF!*#REF!^5/(Conv!$I$5*Conv!$D$46)/10^6 +#REF!</f>
        <v>#REF!</v>
      </c>
      <c r="K948" s="203" t="e">
        <f>#REF!*#REF!^5/(Conv!$I$5*Conv!$D$46)/10^6 +#REF!</f>
        <v>#REF!</v>
      </c>
      <c r="L948" s="203" t="e">
        <f>#REF!*#REF!^5/(Conv!$I$5*Conv!$D$46)/10^6 +#REF!</f>
        <v>#REF!</v>
      </c>
      <c r="M948" s="203" t="e">
        <f>#REF!*#REF!^5/(Conv!$I$5*Conv!$D$46)/10^6 +#REF!</f>
        <v>#REF!</v>
      </c>
      <c r="N948" s="203" t="e">
        <f>#REF!*#REF!^5/(Conv!$I$5*Conv!$D$46)/10^6 +#REF!</f>
        <v>#REF!</v>
      </c>
      <c r="O948" s="203" t="e">
        <f>#REF!*#REF!^5/(Conv!$I$5*Conv!$D$46)/10^6 +#REF!</f>
        <v>#REF!</v>
      </c>
      <c r="P948" s="203" t="e">
        <f>#REF!*#REF!^5/(Conv!$I$5*Conv!$D$46)/10^6 +#REF!</f>
        <v>#REF!</v>
      </c>
      <c r="Q948" s="203" t="e">
        <f>#REF!*#REF!^5/(Conv!$I$5*Conv!$D$46)/10^6 +#REF!</f>
        <v>#REF!</v>
      </c>
      <c r="S948" s="177"/>
      <c r="T948" s="177"/>
      <c r="U948" s="177"/>
      <c r="V948" s="177"/>
      <c r="W948" s="177"/>
      <c r="X948" s="177"/>
      <c r="Y948" s="177"/>
      <c r="Z948" s="177"/>
      <c r="AA948" s="177"/>
      <c r="AB948" s="177"/>
      <c r="AC948" s="177"/>
    </row>
    <row r="949" spans="2:29">
      <c r="B949" s="158" t="str">
        <f>IF(OR(LEFT(Commodities!B$64,1)="*",LEFT(Technologies!B$514,1)="*"),"*","R5")</f>
        <v>R5</v>
      </c>
      <c r="C949" s="158" t="e">
        <f>Technologies!C$564</f>
        <v>#REF!</v>
      </c>
      <c r="D949" s="158" t="str">
        <f>Technologies!D514</f>
        <v>Delivery of Imported Distillate-Heating Oil No. 2 to the Electricity Sector</v>
      </c>
      <c r="E949" s="197" t="str">
        <f>Commodities!C$90</f>
        <v>DSHP3</v>
      </c>
      <c r="F949" s="197" t="e">
        <f>Commodities!C227</f>
        <v>#REF!</v>
      </c>
      <c r="G949" s="204">
        <v>1</v>
      </c>
      <c r="H949" s="203" t="e">
        <f>#REF!*#REF!^5/(Conv!$I$5*Conv!$D$46)/10^6 +#REF!</f>
        <v>#REF!</v>
      </c>
      <c r="I949" s="203" t="e">
        <f>#REF!*#REF!^5/(Conv!$I$5*Conv!$D$46)/10^6 +#REF!</f>
        <v>#REF!</v>
      </c>
      <c r="J949" s="203" t="e">
        <f>#REF!*#REF!^5/(Conv!$I$5*Conv!$D$46)/10^6 +#REF!</f>
        <v>#REF!</v>
      </c>
      <c r="K949" s="203" t="e">
        <f>#REF!*#REF!^5/(Conv!$I$5*Conv!$D$46)/10^6 +#REF!</f>
        <v>#REF!</v>
      </c>
      <c r="L949" s="203" t="e">
        <f>#REF!*#REF!^5/(Conv!$I$5*Conv!$D$46)/10^6 +#REF!</f>
        <v>#REF!</v>
      </c>
      <c r="M949" s="203" t="e">
        <f>#REF!*#REF!^5/(Conv!$I$5*Conv!$D$46)/10^6 +#REF!</f>
        <v>#REF!</v>
      </c>
      <c r="N949" s="203" t="e">
        <f>#REF!*#REF!^5/(Conv!$I$5*Conv!$D$46)/10^6 +#REF!</f>
        <v>#REF!</v>
      </c>
      <c r="O949" s="203" t="e">
        <f>#REF!*#REF!^5/(Conv!$I$5*Conv!$D$46)/10^6 +#REF!</f>
        <v>#REF!</v>
      </c>
      <c r="P949" s="203" t="e">
        <f>#REF!*#REF!^5/(Conv!$I$5*Conv!$D$46)/10^6 +#REF!</f>
        <v>#REF!</v>
      </c>
      <c r="Q949" s="203" t="e">
        <f>#REF!*#REF!^5/(Conv!$I$5*Conv!$D$46)/10^6 +#REF!</f>
        <v>#REF!</v>
      </c>
      <c r="S949" s="177"/>
      <c r="T949" s="177"/>
      <c r="U949" s="177"/>
      <c r="V949" s="177"/>
      <c r="W949" s="177"/>
      <c r="X949" s="177"/>
      <c r="Y949" s="177"/>
      <c r="Z949" s="177"/>
      <c r="AA949" s="177"/>
      <c r="AB949" s="177"/>
      <c r="AC949" s="177"/>
    </row>
    <row r="950" spans="2:29">
      <c r="B950" s="158" t="str">
        <f>IF(OR(LEFT(Commodities!B$65,1)="*",LEFT(Technologies!B$515,1)="*"),"*","R5")</f>
        <v>R5</v>
      </c>
      <c r="C950" s="158" t="e">
        <f>Technologies!C$565</f>
        <v>#REF!</v>
      </c>
      <c r="D950" s="158" t="str">
        <f>Technologies!D515</f>
        <v>Delivery of Imported Distillate-Low Sulfur Highway Diesel (500 ppm)</v>
      </c>
      <c r="E950" s="197" t="str">
        <f>Commodities!C$91</f>
        <v>DSLP3</v>
      </c>
      <c r="F950" s="197" t="e">
        <f>Commodities!C228</f>
        <v>#REF!</v>
      </c>
      <c r="G950" s="204">
        <v>1</v>
      </c>
      <c r="H950" s="203" t="e">
        <f>#REF!*#REF!^5/(Conv!$I$5*Conv!$D$46)/10^6 +#REF!</f>
        <v>#REF!</v>
      </c>
      <c r="I950" s="203" t="e">
        <f>#REF!*#REF!^5/(Conv!$I$5*Conv!$D$46)/10^6 +#REF!</f>
        <v>#REF!</v>
      </c>
      <c r="J950" s="203" t="e">
        <f>#REF!*#REF!^5/(Conv!$I$5*Conv!$D$46)/10^6 +#REF!</f>
        <v>#REF!</v>
      </c>
      <c r="K950" s="203" t="e">
        <f>#REF!*#REF!^5/(Conv!$I$5*Conv!$D$46)/10^6 +#REF!</f>
        <v>#REF!</v>
      </c>
      <c r="L950" s="203" t="e">
        <f>#REF!*#REF!^5/(Conv!$I$5*Conv!$D$46)/10^6 +#REF!</f>
        <v>#REF!</v>
      </c>
      <c r="M950" s="203" t="e">
        <f>#REF!*#REF!^5/(Conv!$I$5*Conv!$D$46)/10^6 +#REF!</f>
        <v>#REF!</v>
      </c>
      <c r="N950" s="203" t="e">
        <f>#REF!*#REF!^5/(Conv!$I$5*Conv!$D$46)/10^6 +#REF!</f>
        <v>#REF!</v>
      </c>
      <c r="O950" s="203" t="e">
        <f>#REF!*#REF!^5/(Conv!$I$5*Conv!$D$46)/10^6 +#REF!</f>
        <v>#REF!</v>
      </c>
      <c r="P950" s="203" t="e">
        <f>#REF!*#REF!^5/(Conv!$I$5*Conv!$D$46)/10^6 +#REF!</f>
        <v>#REF!</v>
      </c>
      <c r="Q950" s="203" t="e">
        <f>#REF!*#REF!^5/(Conv!$I$5*Conv!$D$46)/10^6 +#REF!</f>
        <v>#REF!</v>
      </c>
      <c r="S950" s="177"/>
      <c r="T950" s="177"/>
      <c r="U950" s="177"/>
      <c r="V950" s="177"/>
      <c r="W950" s="177"/>
      <c r="X950" s="177"/>
      <c r="Y950" s="177"/>
      <c r="Z950" s="177"/>
      <c r="AA950" s="177"/>
      <c r="AB950" s="177"/>
      <c r="AC950" s="177"/>
    </row>
    <row r="951" spans="2:29">
      <c r="B951" s="158" t="str">
        <f>IF(OR(LEFT(Commodities!B$66,1)="*",LEFT(Technologies!B$516,1)="*"),"*","R5")</f>
        <v>R5</v>
      </c>
      <c r="C951" s="158" t="e">
        <f>Technologies!C$566</f>
        <v>#REF!</v>
      </c>
      <c r="D951" s="158" t="str">
        <f>Technologies!D516</f>
        <v>Delivery of Imported Distillate-Ultralow Sulfur Highway Diesel (15 ppm)</v>
      </c>
      <c r="E951" s="197" t="str">
        <f>Commodities!C$92</f>
        <v>DSUP3</v>
      </c>
      <c r="F951" s="197" t="e">
        <f>Commodities!C229</f>
        <v>#REF!</v>
      </c>
      <c r="G951" s="204">
        <v>1</v>
      </c>
      <c r="H951" s="203" t="e">
        <f>#REF!*#REF!^5/(Conv!$I$5*Conv!$D$46)/10^6 +#REF!</f>
        <v>#REF!</v>
      </c>
      <c r="I951" s="203" t="e">
        <f>#REF!*#REF!^5/(Conv!$I$5*Conv!$D$46)/10^6 +#REF!</f>
        <v>#REF!</v>
      </c>
      <c r="J951" s="203" t="e">
        <f>#REF!*#REF!^5/(Conv!$I$5*Conv!$D$46)/10^6 +#REF!</f>
        <v>#REF!</v>
      </c>
      <c r="K951" s="203" t="e">
        <f>#REF!*#REF!^5/(Conv!$I$5*Conv!$D$46)/10^6 +#REF!</f>
        <v>#REF!</v>
      </c>
      <c r="L951" s="203" t="e">
        <f>#REF!*#REF!^5/(Conv!$I$5*Conv!$D$46)/10^6 +#REF!</f>
        <v>#REF!</v>
      </c>
      <c r="M951" s="203" t="e">
        <f>#REF!*#REF!^5/(Conv!$I$5*Conv!$D$46)/10^6 +#REF!</f>
        <v>#REF!</v>
      </c>
      <c r="N951" s="203" t="e">
        <f>#REF!*#REF!^5/(Conv!$I$5*Conv!$D$46)/10^6 +#REF!</f>
        <v>#REF!</v>
      </c>
      <c r="O951" s="203" t="e">
        <f>#REF!*#REF!^5/(Conv!$I$5*Conv!$D$46)/10^6 +#REF!</f>
        <v>#REF!</v>
      </c>
      <c r="P951" s="203" t="e">
        <f>#REF!*#REF!^5/(Conv!$I$5*Conv!$D$46)/10^6 +#REF!</f>
        <v>#REF!</v>
      </c>
      <c r="Q951" s="203" t="e">
        <f>#REF!*#REF!^5/(Conv!$I$5*Conv!$D$46)/10^6 +#REF!</f>
        <v>#REF!</v>
      </c>
      <c r="S951" s="177"/>
      <c r="T951" s="177"/>
      <c r="U951" s="177"/>
      <c r="V951" s="177"/>
      <c r="W951" s="177"/>
      <c r="X951" s="177"/>
      <c r="Y951" s="177"/>
      <c r="Z951" s="177"/>
      <c r="AA951" s="177"/>
      <c r="AB951" s="177"/>
      <c r="AC951" s="177"/>
    </row>
    <row r="952" spans="2:29">
      <c r="B952" s="158" t="str">
        <f>IF(OR(LEFT(Commodities!B$69,1)="*",LEFT(Technologies!B$517,1)="*"),"*","R5")</f>
        <v>*</v>
      </c>
      <c r="C952" s="158" t="e">
        <f>Technologies!C$567</f>
        <v>#REF!</v>
      </c>
      <c r="D952" s="158" t="str">
        <f>Technologies!D517</f>
        <v>Delivery of Imported Jet Fuel</v>
      </c>
      <c r="E952" s="197" t="str">
        <f>Commodities!C$95</f>
        <v>JTFP3</v>
      </c>
      <c r="F952" s="197" t="e">
        <f>Commodities!C230</f>
        <v>#REF!</v>
      </c>
      <c r="G952" s="204">
        <v>1</v>
      </c>
      <c r="H952" s="203" t="e">
        <f>#REF!*#REF!^5/(Conv!$I$5*Conv!$D$46)/10^6 +#REF!</f>
        <v>#REF!</v>
      </c>
      <c r="I952" s="203" t="e">
        <f>#REF!*#REF!^5/(Conv!$I$5*Conv!$D$46)/10^6 +#REF!</f>
        <v>#REF!</v>
      </c>
      <c r="J952" s="203" t="e">
        <f>#REF!*#REF!^5/(Conv!$I$5*Conv!$D$46)/10^6 +#REF!</f>
        <v>#REF!</v>
      </c>
      <c r="K952" s="203" t="e">
        <f>#REF!*#REF!^5/(Conv!$I$5*Conv!$D$46)/10^6 +#REF!</f>
        <v>#REF!</v>
      </c>
      <c r="L952" s="203" t="e">
        <f>#REF!*#REF!^5/(Conv!$I$5*Conv!$D$46)/10^6 +#REF!</f>
        <v>#REF!</v>
      </c>
      <c r="M952" s="203" t="e">
        <f>#REF!*#REF!^5/(Conv!$I$5*Conv!$D$46)/10^6 +#REF!</f>
        <v>#REF!</v>
      </c>
      <c r="N952" s="203" t="e">
        <f>#REF!*#REF!^5/(Conv!$I$5*Conv!$D$46)/10^6 +#REF!</f>
        <v>#REF!</v>
      </c>
      <c r="O952" s="203" t="e">
        <f>#REF!*#REF!^5/(Conv!$I$5*Conv!$D$46)/10^6 +#REF!</f>
        <v>#REF!</v>
      </c>
      <c r="P952" s="203" t="e">
        <f>#REF!*#REF!^5/(Conv!$I$5*Conv!$D$46)/10^6 +#REF!</f>
        <v>#REF!</v>
      </c>
      <c r="Q952" s="203" t="e">
        <f>#REF!*#REF!^5/(Conv!$I$5*Conv!$D$46)/10^6 +#REF!</f>
        <v>#REF!</v>
      </c>
      <c r="S952" s="177"/>
      <c r="T952" s="177"/>
      <c r="U952" s="177"/>
      <c r="V952" s="177"/>
      <c r="W952" s="177"/>
      <c r="X952" s="177"/>
      <c r="Y952" s="177"/>
      <c r="Z952" s="177"/>
      <c r="AA952" s="177"/>
      <c r="AB952" s="177"/>
      <c r="AC952" s="177"/>
    </row>
    <row r="953" spans="2:29">
      <c r="B953" s="158" t="str">
        <f>IF(OR(LEFT(Commodities!B$70,1)="*",LEFT(Technologies!B$518,1)="*"),"*","R5")</f>
        <v>*</v>
      </c>
      <c r="C953" s="158" t="e">
        <f>Technologies!C$568</f>
        <v>#REF!</v>
      </c>
      <c r="D953" s="158" t="str">
        <f>Technologies!D518</f>
        <v>Delivery of Imported Kerosene and Other Refined Products to the Residential Sector</v>
      </c>
      <c r="E953" s="197" t="str">
        <f>Commodities!C$96</f>
        <v>KERP3</v>
      </c>
      <c r="F953" s="197" t="e">
        <f>Commodities!C231</f>
        <v>#REF!</v>
      </c>
      <c r="G953" s="204">
        <v>1</v>
      </c>
      <c r="H953" s="203" t="e">
        <f>#REF!*#REF!^5/(Conv!$I$5*Conv!$D$46)/10^6 +#REF!</f>
        <v>#REF!</v>
      </c>
      <c r="I953" s="203" t="e">
        <f>#REF!*#REF!^5/(Conv!$I$5*Conv!$D$46)/10^6 +#REF!</f>
        <v>#REF!</v>
      </c>
      <c r="J953" s="203" t="e">
        <f>#REF!*#REF!^5/(Conv!$I$5*Conv!$D$46)/10^6 +#REF!</f>
        <v>#REF!</v>
      </c>
      <c r="K953" s="203" t="e">
        <f>#REF!*#REF!^5/(Conv!$I$5*Conv!$D$46)/10^6 +#REF!</f>
        <v>#REF!</v>
      </c>
      <c r="L953" s="203" t="e">
        <f>#REF!*#REF!^5/(Conv!$I$5*Conv!$D$46)/10^6 +#REF!</f>
        <v>#REF!</v>
      </c>
      <c r="M953" s="203" t="e">
        <f>#REF!*#REF!^5/(Conv!$I$5*Conv!$D$46)/10^6 +#REF!</f>
        <v>#REF!</v>
      </c>
      <c r="N953" s="203" t="e">
        <f>#REF!*#REF!^5/(Conv!$I$5*Conv!$D$46)/10^6 +#REF!</f>
        <v>#REF!</v>
      </c>
      <c r="O953" s="203" t="e">
        <f>#REF!*#REF!^5/(Conv!$I$5*Conv!$D$46)/10^6 +#REF!</f>
        <v>#REF!</v>
      </c>
      <c r="P953" s="203" t="e">
        <f>#REF!*#REF!^5/(Conv!$I$5*Conv!$D$46)/10^6 +#REF!</f>
        <v>#REF!</v>
      </c>
      <c r="Q953" s="203" t="e">
        <f>#REF!*#REF!^5/(Conv!$I$5*Conv!$D$46)/10^6 +#REF!</f>
        <v>#REF!</v>
      </c>
      <c r="S953" s="177"/>
      <c r="T953" s="177"/>
      <c r="U953" s="177"/>
      <c r="V953" s="177"/>
      <c r="W953" s="177"/>
      <c r="X953" s="177"/>
      <c r="Y953" s="177"/>
      <c r="Z953" s="177"/>
      <c r="AA953" s="177"/>
      <c r="AB953" s="177"/>
      <c r="AC953" s="177"/>
    </row>
    <row r="954" spans="2:29">
      <c r="B954" s="158" t="str">
        <f>IF(OR(LEFT(Commodities!B$70,1)="*",LEFT(Technologies!B$519,1)="*"),"*","R5")</f>
        <v>*</v>
      </c>
      <c r="C954" s="158" t="e">
        <f>Technologies!C$569</f>
        <v>#REF!</v>
      </c>
      <c r="D954" s="158" t="str">
        <f>Technologies!D519</f>
        <v>Delivery of Imported Kerosene and Other Refined Products to the Commercial Sector</v>
      </c>
      <c r="E954" s="197" t="str">
        <f>Commodities!C$96</f>
        <v>KERP3</v>
      </c>
      <c r="F954" s="197" t="e">
        <f>Commodities!C232</f>
        <v>#REF!</v>
      </c>
      <c r="G954" s="204">
        <v>1</v>
      </c>
      <c r="H954" s="203" t="e">
        <f>#REF!*#REF!^5/(Conv!$I$5*Conv!$D$46)/10^6 +#REF!</f>
        <v>#REF!</v>
      </c>
      <c r="I954" s="203" t="e">
        <f>#REF!*#REF!^5/(Conv!$I$5*Conv!$D$46)/10^6 +#REF!</f>
        <v>#REF!</v>
      </c>
      <c r="J954" s="203" t="e">
        <f>#REF!*#REF!^5/(Conv!$I$5*Conv!$D$46)/10^6 +#REF!</f>
        <v>#REF!</v>
      </c>
      <c r="K954" s="203" t="e">
        <f>#REF!*#REF!^5/(Conv!$I$5*Conv!$D$46)/10^6 +#REF!</f>
        <v>#REF!</v>
      </c>
      <c r="L954" s="203" t="e">
        <f>#REF!*#REF!^5/(Conv!$I$5*Conv!$D$46)/10^6 +#REF!</f>
        <v>#REF!</v>
      </c>
      <c r="M954" s="203" t="e">
        <f>#REF!*#REF!^5/(Conv!$I$5*Conv!$D$46)/10^6 +#REF!</f>
        <v>#REF!</v>
      </c>
      <c r="N954" s="203" t="e">
        <f>#REF!*#REF!^5/(Conv!$I$5*Conv!$D$46)/10^6 +#REF!</f>
        <v>#REF!</v>
      </c>
      <c r="O954" s="203" t="e">
        <f>#REF!*#REF!^5/(Conv!$I$5*Conv!$D$46)/10^6 +#REF!</f>
        <v>#REF!</v>
      </c>
      <c r="P954" s="203" t="e">
        <f>#REF!*#REF!^5/(Conv!$I$5*Conv!$D$46)/10^6 +#REF!</f>
        <v>#REF!</v>
      </c>
      <c r="Q954" s="203" t="e">
        <f>#REF!*#REF!^5/(Conv!$I$5*Conv!$D$46)/10^6 +#REF!</f>
        <v>#REF!</v>
      </c>
      <c r="S954" s="177"/>
      <c r="T954" s="177"/>
      <c r="U954" s="177"/>
      <c r="V954" s="177"/>
      <c r="W954" s="177"/>
      <c r="X954" s="177"/>
      <c r="Y954" s="177"/>
      <c r="Z954" s="177"/>
      <c r="AA954" s="177"/>
      <c r="AB954" s="177"/>
      <c r="AC954" s="177"/>
    </row>
    <row r="955" spans="2:29">
      <c r="B955" s="158" t="str">
        <f>IF(OR(LEFT(Commodities!B$70,1)="*",LEFT(Technologies!B$520,1)="*"),"*","R5")</f>
        <v>*</v>
      </c>
      <c r="C955" s="158" t="e">
        <f>Technologies!C$570</f>
        <v>#REF!</v>
      </c>
      <c r="D955" s="158" t="str">
        <f>Technologies!D520</f>
        <v>Delivery of Imported Kerosene and Other Refined Products to the Industrial Sector</v>
      </c>
      <c r="E955" s="197" t="str">
        <f>Commodities!C$96</f>
        <v>KERP3</v>
      </c>
      <c r="F955" s="197" t="e">
        <f>Commodities!C233</f>
        <v>#REF!</v>
      </c>
      <c r="G955" s="204">
        <v>1</v>
      </c>
      <c r="H955" s="203" t="e">
        <f>#REF!*#REF!^5/(Conv!$I$5*Conv!$D$46)/10^6 +#REF!</f>
        <v>#REF!</v>
      </c>
      <c r="I955" s="203" t="e">
        <f>#REF!*#REF!^5/(Conv!$I$5*Conv!$D$46)/10^6 +#REF!</f>
        <v>#REF!</v>
      </c>
      <c r="J955" s="203" t="e">
        <f>#REF!*#REF!^5/(Conv!$I$5*Conv!$D$46)/10^6 +#REF!</f>
        <v>#REF!</v>
      </c>
      <c r="K955" s="203" t="e">
        <f>#REF!*#REF!^5/(Conv!$I$5*Conv!$D$46)/10^6 +#REF!</f>
        <v>#REF!</v>
      </c>
      <c r="L955" s="203" t="e">
        <f>#REF!*#REF!^5/(Conv!$I$5*Conv!$D$46)/10^6 +#REF!</f>
        <v>#REF!</v>
      </c>
      <c r="M955" s="203" t="e">
        <f>#REF!*#REF!^5/(Conv!$I$5*Conv!$D$46)/10^6 +#REF!</f>
        <v>#REF!</v>
      </c>
      <c r="N955" s="203" t="e">
        <f>#REF!*#REF!^5/(Conv!$I$5*Conv!$D$46)/10^6 +#REF!</f>
        <v>#REF!</v>
      </c>
      <c r="O955" s="203" t="e">
        <f>#REF!*#REF!^5/(Conv!$I$5*Conv!$D$46)/10^6 +#REF!</f>
        <v>#REF!</v>
      </c>
      <c r="P955" s="203" t="e">
        <f>#REF!*#REF!^5/(Conv!$I$5*Conv!$D$46)/10^6 +#REF!</f>
        <v>#REF!</v>
      </c>
      <c r="Q955" s="203" t="e">
        <f>#REF!*#REF!^5/(Conv!$I$5*Conv!$D$46)/10^6 +#REF!</f>
        <v>#REF!</v>
      </c>
      <c r="S955" s="177"/>
      <c r="T955" s="177"/>
      <c r="U955" s="177"/>
      <c r="V955" s="177"/>
      <c r="W955" s="177"/>
      <c r="X955" s="177"/>
      <c r="Y955" s="177"/>
      <c r="Z955" s="177"/>
      <c r="AA955" s="177"/>
      <c r="AB955" s="177"/>
      <c r="AC955" s="177"/>
    </row>
    <row r="956" spans="2:29">
      <c r="B956" s="158" t="str">
        <f>IF(OR(LEFT(Commodities!B$71,1)="*",LEFT(Technologies!B$521,1)="*"),"*","R5")</f>
        <v>*</v>
      </c>
      <c r="C956" s="158" t="e">
        <f>Technologies!C$571</f>
        <v>#REF!</v>
      </c>
      <c r="D956" s="158" t="str">
        <f>Technologies!D521</f>
        <v>Delivery of Imported LPG to the Residential Sector</v>
      </c>
      <c r="E956" s="197" t="str">
        <f>Commodities!C$97</f>
        <v>LPGP3</v>
      </c>
      <c r="F956" s="197" t="e">
        <f>Commodities!C234</f>
        <v>#REF!</v>
      </c>
      <c r="G956" s="204">
        <v>1</v>
      </c>
      <c r="H956" s="203" t="e">
        <f>#REF!*#REF!^5/(Conv!$I$5*Conv!$D$46)/10^6 +#REF!</f>
        <v>#REF!</v>
      </c>
      <c r="I956" s="203" t="e">
        <f>#REF!*#REF!^5/(Conv!$I$5*Conv!$D$46)/10^6 +#REF!</f>
        <v>#REF!</v>
      </c>
      <c r="J956" s="203" t="e">
        <f>#REF!*#REF!^5/(Conv!$I$5*Conv!$D$46)/10^6 +#REF!</f>
        <v>#REF!</v>
      </c>
      <c r="K956" s="203" t="e">
        <f>#REF!*#REF!^5/(Conv!$I$5*Conv!$D$46)/10^6 +#REF!</f>
        <v>#REF!</v>
      </c>
      <c r="L956" s="203" t="e">
        <f>#REF!*#REF!^5/(Conv!$I$5*Conv!$D$46)/10^6 +#REF!</f>
        <v>#REF!</v>
      </c>
      <c r="M956" s="203" t="e">
        <f>#REF!*#REF!^5/(Conv!$I$5*Conv!$D$46)/10^6 +#REF!</f>
        <v>#REF!</v>
      </c>
      <c r="N956" s="203" t="e">
        <f>#REF!*#REF!^5/(Conv!$I$5*Conv!$D$46)/10^6 +#REF!</f>
        <v>#REF!</v>
      </c>
      <c r="O956" s="203" t="e">
        <f>#REF!*#REF!^5/(Conv!$I$5*Conv!$D$46)/10^6 +#REF!</f>
        <v>#REF!</v>
      </c>
      <c r="P956" s="203" t="e">
        <f>#REF!*#REF!^5/(Conv!$I$5*Conv!$D$46)/10^6 +#REF!</f>
        <v>#REF!</v>
      </c>
      <c r="Q956" s="203" t="e">
        <f>#REF!*#REF!^5/(Conv!$I$5*Conv!$D$46)/10^6 +#REF!</f>
        <v>#REF!</v>
      </c>
      <c r="S956" s="177"/>
      <c r="T956" s="177"/>
      <c r="U956" s="177"/>
      <c r="V956" s="177"/>
      <c r="W956" s="177"/>
      <c r="X956" s="177"/>
      <c r="Y956" s="177"/>
      <c r="Z956" s="177"/>
      <c r="AA956" s="177"/>
      <c r="AB956" s="177"/>
      <c r="AC956" s="177"/>
    </row>
    <row r="957" spans="2:29">
      <c r="B957" s="158" t="str">
        <f>IF(OR(LEFT(Commodities!B$71,1)="*",LEFT(Technologies!B$522,1)="*"),"*","R5")</f>
        <v>*</v>
      </c>
      <c r="C957" s="158" t="e">
        <f>Technologies!C$572</f>
        <v>#REF!</v>
      </c>
      <c r="D957" s="158" t="str">
        <f>Technologies!D522</f>
        <v>Delivery of Imported LPG to the Commercial Sector</v>
      </c>
      <c r="E957" s="197" t="str">
        <f>Commodities!C$97</f>
        <v>LPGP3</v>
      </c>
      <c r="F957" s="197" t="e">
        <f>Commodities!C235</f>
        <v>#REF!</v>
      </c>
      <c r="G957" s="204">
        <v>1</v>
      </c>
      <c r="H957" s="203" t="e">
        <f>#REF!*#REF!^5/(Conv!$I$5*Conv!$D$46)/10^6 +#REF!</f>
        <v>#REF!</v>
      </c>
      <c r="I957" s="203" t="e">
        <f>#REF!*#REF!^5/(Conv!$I$5*Conv!$D$46)/10^6 +#REF!</f>
        <v>#REF!</v>
      </c>
      <c r="J957" s="203" t="e">
        <f>#REF!*#REF!^5/(Conv!$I$5*Conv!$D$46)/10^6 +#REF!</f>
        <v>#REF!</v>
      </c>
      <c r="K957" s="203" t="e">
        <f>#REF!*#REF!^5/(Conv!$I$5*Conv!$D$46)/10^6 +#REF!</f>
        <v>#REF!</v>
      </c>
      <c r="L957" s="203" t="e">
        <f>#REF!*#REF!^5/(Conv!$I$5*Conv!$D$46)/10^6 +#REF!</f>
        <v>#REF!</v>
      </c>
      <c r="M957" s="203" t="e">
        <f>#REF!*#REF!^5/(Conv!$I$5*Conv!$D$46)/10^6 +#REF!</f>
        <v>#REF!</v>
      </c>
      <c r="N957" s="203" t="e">
        <f>#REF!*#REF!^5/(Conv!$I$5*Conv!$D$46)/10^6 +#REF!</f>
        <v>#REF!</v>
      </c>
      <c r="O957" s="203" t="e">
        <f>#REF!*#REF!^5/(Conv!$I$5*Conv!$D$46)/10^6 +#REF!</f>
        <v>#REF!</v>
      </c>
      <c r="P957" s="203" t="e">
        <f>#REF!*#REF!^5/(Conv!$I$5*Conv!$D$46)/10^6 +#REF!</f>
        <v>#REF!</v>
      </c>
      <c r="Q957" s="203" t="e">
        <f>#REF!*#REF!^5/(Conv!$I$5*Conv!$D$46)/10^6 +#REF!</f>
        <v>#REF!</v>
      </c>
      <c r="S957" s="177"/>
      <c r="T957" s="177"/>
      <c r="U957" s="177"/>
      <c r="V957" s="177"/>
      <c r="W957" s="177"/>
      <c r="X957" s="177"/>
      <c r="Y957" s="177"/>
      <c r="Z957" s="177"/>
      <c r="AA957" s="177"/>
      <c r="AB957" s="177"/>
      <c r="AC957" s="177"/>
    </row>
    <row r="958" spans="2:29">
      <c r="B958" s="158" t="str">
        <f>IF(OR(LEFT(Commodities!B$71,1)="*",LEFT(Technologies!B$523,1)="*"),"*","R5")</f>
        <v>*</v>
      </c>
      <c r="C958" s="158" t="e">
        <f>Technologies!C$573</f>
        <v>#REF!</v>
      </c>
      <c r="D958" s="158" t="str">
        <f>Technologies!D523</f>
        <v>Delivery of Imported LPG to the Industrial Sector</v>
      </c>
      <c r="E958" s="197" t="str">
        <f>Commodities!C$97</f>
        <v>LPGP3</v>
      </c>
      <c r="F958" s="197" t="e">
        <f>Commodities!C236</f>
        <v>#REF!</v>
      </c>
      <c r="G958" s="204">
        <v>1</v>
      </c>
      <c r="H958" s="203" t="e">
        <f>#REF!*#REF!^5/(Conv!$I$5*Conv!$D$46)/10^6 +#REF!</f>
        <v>#REF!</v>
      </c>
      <c r="I958" s="203" t="e">
        <f>#REF!*#REF!^5/(Conv!$I$5*Conv!$D$46)/10^6 +#REF!</f>
        <v>#REF!</v>
      </c>
      <c r="J958" s="203" t="e">
        <f>#REF!*#REF!^5/(Conv!$I$5*Conv!$D$46)/10^6 +#REF!</f>
        <v>#REF!</v>
      </c>
      <c r="K958" s="203" t="e">
        <f>#REF!*#REF!^5/(Conv!$I$5*Conv!$D$46)/10^6 +#REF!</f>
        <v>#REF!</v>
      </c>
      <c r="L958" s="203" t="e">
        <f>#REF!*#REF!^5/(Conv!$I$5*Conv!$D$46)/10^6 +#REF!</f>
        <v>#REF!</v>
      </c>
      <c r="M958" s="203" t="e">
        <f>#REF!*#REF!^5/(Conv!$I$5*Conv!$D$46)/10^6 +#REF!</f>
        <v>#REF!</v>
      </c>
      <c r="N958" s="203" t="e">
        <f>#REF!*#REF!^5/(Conv!$I$5*Conv!$D$46)/10^6 +#REF!</f>
        <v>#REF!</v>
      </c>
      <c r="O958" s="203" t="e">
        <f>#REF!*#REF!^5/(Conv!$I$5*Conv!$D$46)/10^6 +#REF!</f>
        <v>#REF!</v>
      </c>
      <c r="P958" s="203" t="e">
        <f>#REF!*#REF!^5/(Conv!$I$5*Conv!$D$46)/10^6 +#REF!</f>
        <v>#REF!</v>
      </c>
      <c r="Q958" s="203" t="e">
        <f>#REF!*#REF!^5/(Conv!$I$5*Conv!$D$46)/10^6 +#REF!</f>
        <v>#REF!</v>
      </c>
      <c r="S958" s="177"/>
      <c r="T958" s="177"/>
      <c r="U958" s="177"/>
      <c r="V958" s="177"/>
      <c r="W958" s="177"/>
      <c r="X958" s="177"/>
      <c r="Y958" s="177"/>
      <c r="Z958" s="177"/>
      <c r="AA958" s="177"/>
      <c r="AB958" s="177"/>
      <c r="AC958" s="177"/>
    </row>
    <row r="959" spans="2:29">
      <c r="B959" s="158" t="str">
        <f>IF(OR(LEFT(Commodities!B$71,1)="*",LEFT(Technologies!B$524,1)="*"),"*","R5")</f>
        <v>*</v>
      </c>
      <c r="C959" s="158" t="e">
        <f>Technologies!C$574</f>
        <v>#REF!</v>
      </c>
      <c r="D959" s="158" t="str">
        <f>Technologies!D524</f>
        <v>Delivery of Imported LPG to the Transportation Sector</v>
      </c>
      <c r="E959" s="197" t="str">
        <f>Commodities!C$97</f>
        <v>LPGP3</v>
      </c>
      <c r="F959" s="197" t="e">
        <f>Commodities!C237</f>
        <v>#REF!</v>
      </c>
      <c r="G959" s="204">
        <v>1</v>
      </c>
      <c r="H959" s="203" t="e">
        <f>#REF!*#REF!^5/(Conv!$I$5*Conv!$D$46)/10^6 +#REF!</f>
        <v>#REF!</v>
      </c>
      <c r="I959" s="203" t="e">
        <f>#REF!*#REF!^5/(Conv!$I$5*Conv!$D$46)/10^6 +#REF!</f>
        <v>#REF!</v>
      </c>
      <c r="J959" s="203" t="e">
        <f>#REF!*#REF!^5/(Conv!$I$5*Conv!$D$46)/10^6 +#REF!</f>
        <v>#REF!</v>
      </c>
      <c r="K959" s="203" t="e">
        <f>#REF!*#REF!^5/(Conv!$I$5*Conv!$D$46)/10^6 +#REF!</f>
        <v>#REF!</v>
      </c>
      <c r="L959" s="203" t="e">
        <f>#REF!*#REF!^5/(Conv!$I$5*Conv!$D$46)/10^6 +#REF!</f>
        <v>#REF!</v>
      </c>
      <c r="M959" s="203" t="e">
        <f>#REF!*#REF!^5/(Conv!$I$5*Conv!$D$46)/10^6 +#REF!</f>
        <v>#REF!</v>
      </c>
      <c r="N959" s="203" t="e">
        <f>#REF!*#REF!^5/(Conv!$I$5*Conv!$D$46)/10^6 +#REF!</f>
        <v>#REF!</v>
      </c>
      <c r="O959" s="203" t="e">
        <f>#REF!*#REF!^5/(Conv!$I$5*Conv!$D$46)/10^6 +#REF!</f>
        <v>#REF!</v>
      </c>
      <c r="P959" s="203" t="e">
        <f>#REF!*#REF!^5/(Conv!$I$5*Conv!$D$46)/10^6 +#REF!</f>
        <v>#REF!</v>
      </c>
      <c r="Q959" s="203" t="e">
        <f>#REF!*#REF!^5/(Conv!$I$5*Conv!$D$46)/10^6 +#REF!</f>
        <v>#REF!</v>
      </c>
      <c r="S959" s="177"/>
      <c r="T959" s="177"/>
      <c r="U959" s="177"/>
      <c r="V959" s="177"/>
      <c r="W959" s="177"/>
      <c r="X959" s="177"/>
      <c r="Y959" s="177"/>
      <c r="Z959" s="177"/>
      <c r="AA959" s="177"/>
      <c r="AB959" s="177"/>
      <c r="AC959" s="177"/>
    </row>
    <row r="960" spans="2:29">
      <c r="B960" s="158" t="str">
        <f>IF(LEFT(Technologies!B$525,1)="*","*","R5")</f>
        <v>*</v>
      </c>
      <c r="C960" s="158" t="e">
        <f>Technologies!C$575</f>
        <v>#REF!</v>
      </c>
      <c r="D960" s="158" t="str">
        <f>Technologies!D525</f>
        <v>Delivery of Imported Methanol</v>
      </c>
      <c r="E960" s="197" t="str">
        <f>Commodities!C$98</f>
        <v>MTHP3</v>
      </c>
      <c r="F960" s="197" t="e">
        <f>Commodities!C238</f>
        <v>#REF!</v>
      </c>
      <c r="G960" s="204">
        <v>1</v>
      </c>
      <c r="H960" s="203" t="e">
        <f>#REF!*#REF!^5/(Conv!$I$5*Conv!$D$46)/10^6 +#REF!</f>
        <v>#REF!</v>
      </c>
      <c r="I960" s="203" t="e">
        <f>#REF!*#REF!^5/(Conv!$I$5*Conv!$D$46)/10^6 +#REF!</f>
        <v>#REF!</v>
      </c>
      <c r="J960" s="203" t="e">
        <f>#REF!*#REF!^5/(Conv!$I$5*Conv!$D$46)/10^6 +#REF!</f>
        <v>#REF!</v>
      </c>
      <c r="K960" s="203" t="e">
        <f>#REF!*#REF!^5/(Conv!$I$5*Conv!$D$46)/10^6 +#REF!</f>
        <v>#REF!</v>
      </c>
      <c r="L960" s="203" t="e">
        <f>#REF!*#REF!^5/(Conv!$I$5*Conv!$D$46)/10^6 +#REF!</f>
        <v>#REF!</v>
      </c>
      <c r="M960" s="203" t="e">
        <f>#REF!*#REF!^5/(Conv!$I$5*Conv!$D$46)/10^6 +#REF!</f>
        <v>#REF!</v>
      </c>
      <c r="N960" s="203" t="e">
        <f>#REF!*#REF!^5/(Conv!$I$5*Conv!$D$46)/10^6 +#REF!</f>
        <v>#REF!</v>
      </c>
      <c r="O960" s="203" t="e">
        <f>#REF!*#REF!^5/(Conv!$I$5*Conv!$D$46)/10^6 +#REF!</f>
        <v>#REF!</v>
      </c>
      <c r="P960" s="203" t="e">
        <f>#REF!*#REF!^5/(Conv!$I$5*Conv!$D$46)/10^6 +#REF!</f>
        <v>#REF!</v>
      </c>
      <c r="Q960" s="203" t="e">
        <f>#REF!*#REF!^5/(Conv!$I$5*Conv!$D$46)/10^6 +#REF!</f>
        <v>#REF!</v>
      </c>
      <c r="S960" s="177"/>
      <c r="T960" s="177"/>
      <c r="U960" s="177"/>
      <c r="V960" s="177"/>
      <c r="W960" s="177"/>
      <c r="X960" s="177"/>
      <c r="Y960" s="177"/>
      <c r="Z960" s="177"/>
      <c r="AA960" s="177"/>
      <c r="AB960" s="177"/>
      <c r="AC960" s="177"/>
    </row>
    <row r="961" spans="2:29">
      <c r="B961" s="158" t="str">
        <f>IF(OR(LEFT(Commodities!B$239,1)="*",LEFT(Technologies!B$526,1)="*"),"*","R5")</f>
        <v>*</v>
      </c>
      <c r="C961" s="158" t="e">
        <f>Technologies!C$576</f>
        <v>#REF!</v>
      </c>
      <c r="D961" s="158" t="str">
        <f>Technologies!D526</f>
        <v>Delivery of Imported Petrochemical Feedstocks</v>
      </c>
      <c r="E961" s="197" t="str">
        <f>Commodities!C$99</f>
        <v>PFSP3</v>
      </c>
      <c r="F961" s="197" t="e">
        <f>Commodities!C239</f>
        <v>#REF!</v>
      </c>
      <c r="G961" s="204">
        <v>1</v>
      </c>
      <c r="H961" s="203" t="e">
        <f>#REF!*#REF!^5/(Conv!$I$5*Conv!$D$46)/10^6 +#REF!</f>
        <v>#REF!</v>
      </c>
      <c r="I961" s="203" t="e">
        <f>#REF!*#REF!^5/(Conv!$I$5*Conv!$D$46)/10^6 +#REF!</f>
        <v>#REF!</v>
      </c>
      <c r="J961" s="203" t="e">
        <f>#REF!*#REF!^5/(Conv!$I$5*Conv!$D$46)/10^6 +#REF!</f>
        <v>#REF!</v>
      </c>
      <c r="K961" s="203" t="e">
        <f>#REF!*#REF!^5/(Conv!$I$5*Conv!$D$46)/10^6 +#REF!</f>
        <v>#REF!</v>
      </c>
      <c r="L961" s="203" t="e">
        <f>#REF!*#REF!^5/(Conv!$I$5*Conv!$D$46)/10^6 +#REF!</f>
        <v>#REF!</v>
      </c>
      <c r="M961" s="203" t="e">
        <f>#REF!*#REF!^5/(Conv!$I$5*Conv!$D$46)/10^6 +#REF!</f>
        <v>#REF!</v>
      </c>
      <c r="N961" s="203" t="e">
        <f>#REF!*#REF!^5/(Conv!$I$5*Conv!$D$46)/10^6 +#REF!</f>
        <v>#REF!</v>
      </c>
      <c r="O961" s="203" t="e">
        <f>#REF!*#REF!^5/(Conv!$I$5*Conv!$D$46)/10^6 +#REF!</f>
        <v>#REF!</v>
      </c>
      <c r="P961" s="203" t="e">
        <f>#REF!*#REF!^5/(Conv!$I$5*Conv!$D$46)/10^6 +#REF!</f>
        <v>#REF!</v>
      </c>
      <c r="Q961" s="203" t="e">
        <f>#REF!*#REF!^5/(Conv!$I$5*Conv!$D$46)/10^6 +#REF!</f>
        <v>#REF!</v>
      </c>
      <c r="S961" s="177"/>
      <c r="T961" s="177"/>
      <c r="U961" s="177"/>
      <c r="V961" s="177"/>
      <c r="W961" s="177"/>
      <c r="X961" s="177"/>
      <c r="Y961" s="177"/>
      <c r="Z961" s="177"/>
      <c r="AA961" s="177"/>
      <c r="AB961" s="177"/>
      <c r="AC961" s="177"/>
    </row>
    <row r="962" spans="2:29">
      <c r="B962" s="158" t="str">
        <f>IF(OR(LEFT(Commodities!B$75,1)="*",LEFT(Technologies!B$527,1)="*"),"*","R5")</f>
        <v>*</v>
      </c>
      <c r="C962" s="158" t="str">
        <f>Technologies!C$577</f>
        <v>XIRESRFLP3</v>
      </c>
      <c r="D962" s="158" t="str">
        <f>Technologies!D527</f>
        <v>Delivery of Imported Low Sulfur Residual Fuel Oil to Residential Sector</v>
      </c>
      <c r="E962" s="197" t="str">
        <f>Commodities!C$101</f>
        <v>RFLP3</v>
      </c>
      <c r="F962" s="197" t="str">
        <f>Commodities!C240</f>
        <v>RESRFL</v>
      </c>
      <c r="G962" s="204">
        <v>1</v>
      </c>
      <c r="H962" s="203" t="e">
        <f>#REF!*#REF!^5/(Conv!$I$5*Conv!$D$46)/10^6 +#REF!</f>
        <v>#REF!</v>
      </c>
      <c r="I962" s="203" t="e">
        <f>#REF!*#REF!^5/(Conv!$I$5*Conv!$D$46)/10^6 +#REF!</f>
        <v>#REF!</v>
      </c>
      <c r="J962" s="203" t="e">
        <f>#REF!*#REF!^5/(Conv!$I$5*Conv!$D$46)/10^6 +#REF!</f>
        <v>#REF!</v>
      </c>
      <c r="K962" s="203" t="e">
        <f>#REF!*#REF!^5/(Conv!$I$5*Conv!$D$46)/10^6 +#REF!</f>
        <v>#REF!</v>
      </c>
      <c r="L962" s="203" t="e">
        <f>#REF!*#REF!^5/(Conv!$I$5*Conv!$D$46)/10^6 +#REF!</f>
        <v>#REF!</v>
      </c>
      <c r="M962" s="203" t="e">
        <f>#REF!*#REF!^5/(Conv!$I$5*Conv!$D$46)/10^6 +#REF!</f>
        <v>#REF!</v>
      </c>
      <c r="N962" s="203" t="e">
        <f>#REF!*#REF!^5/(Conv!$I$5*Conv!$D$46)/10^6 +#REF!</f>
        <v>#REF!</v>
      </c>
      <c r="O962" s="203" t="e">
        <f>#REF!*#REF!^5/(Conv!$I$5*Conv!$D$46)/10^6 +#REF!</f>
        <v>#REF!</v>
      </c>
      <c r="P962" s="203" t="e">
        <f>#REF!*#REF!^5/(Conv!$I$5*Conv!$D$46)/10^6 +#REF!</f>
        <v>#REF!</v>
      </c>
      <c r="Q962" s="203" t="e">
        <f>#REF!*#REF!^5/(Conv!$I$5*Conv!$D$46)/10^6 +#REF!</f>
        <v>#REF!</v>
      </c>
      <c r="S962" s="177"/>
      <c r="T962" s="177"/>
      <c r="U962" s="177"/>
      <c r="V962" s="177"/>
      <c r="W962" s="177"/>
      <c r="X962" s="177"/>
      <c r="Y962" s="177"/>
      <c r="Z962" s="177"/>
      <c r="AA962" s="177"/>
      <c r="AB962" s="177"/>
      <c r="AC962" s="177"/>
    </row>
    <row r="963" spans="2:29">
      <c r="B963" s="158" t="str">
        <f>IF(OR(LEFT(Commodities!B$75,1)="*",LEFT(Technologies!B$528,1)="*"),"*","R5")</f>
        <v>*</v>
      </c>
      <c r="C963" s="158" t="e">
        <f>Technologies!C$578</f>
        <v>#REF!</v>
      </c>
      <c r="D963" s="158" t="str">
        <f>Technologies!D528</f>
        <v>Delivery of Imported Low Sulfur Residual Fuel Oil to Commercial Sector</v>
      </c>
      <c r="E963" s="197" t="str">
        <f>Commodities!C$101</f>
        <v>RFLP3</v>
      </c>
      <c r="F963" s="197" t="e">
        <f>Commodities!C241</f>
        <v>#REF!</v>
      </c>
      <c r="G963" s="204">
        <v>1</v>
      </c>
      <c r="H963" s="203" t="e">
        <f>#REF!*#REF!^5/(Conv!$I$5*Conv!$D$46)/10^6 +#REF!</f>
        <v>#REF!</v>
      </c>
      <c r="I963" s="203" t="e">
        <f>#REF!*#REF!^5/(Conv!$I$5*Conv!$D$46)/10^6 +#REF!</f>
        <v>#REF!</v>
      </c>
      <c r="J963" s="203" t="e">
        <f>#REF!*#REF!^5/(Conv!$I$5*Conv!$D$46)/10^6 +#REF!</f>
        <v>#REF!</v>
      </c>
      <c r="K963" s="203" t="e">
        <f>#REF!*#REF!^5/(Conv!$I$5*Conv!$D$46)/10^6 +#REF!</f>
        <v>#REF!</v>
      </c>
      <c r="L963" s="203" t="e">
        <f>#REF!*#REF!^5/(Conv!$I$5*Conv!$D$46)/10^6 +#REF!</f>
        <v>#REF!</v>
      </c>
      <c r="M963" s="203" t="e">
        <f>#REF!*#REF!^5/(Conv!$I$5*Conv!$D$46)/10^6 +#REF!</f>
        <v>#REF!</v>
      </c>
      <c r="N963" s="203" t="e">
        <f>#REF!*#REF!^5/(Conv!$I$5*Conv!$D$46)/10^6 +#REF!</f>
        <v>#REF!</v>
      </c>
      <c r="O963" s="203" t="e">
        <f>#REF!*#REF!^5/(Conv!$I$5*Conv!$D$46)/10^6 +#REF!</f>
        <v>#REF!</v>
      </c>
      <c r="P963" s="203" t="e">
        <f>#REF!*#REF!^5/(Conv!$I$5*Conv!$D$46)/10^6 +#REF!</f>
        <v>#REF!</v>
      </c>
      <c r="Q963" s="203" t="e">
        <f>#REF!*#REF!^5/(Conv!$I$5*Conv!$D$46)/10^6 +#REF!</f>
        <v>#REF!</v>
      </c>
      <c r="S963" s="177"/>
      <c r="T963" s="177"/>
      <c r="U963" s="177"/>
      <c r="V963" s="177"/>
      <c r="W963" s="177"/>
      <c r="X963" s="177"/>
      <c r="Y963" s="177"/>
      <c r="Z963" s="177"/>
      <c r="AA963" s="177"/>
      <c r="AB963" s="177"/>
      <c r="AC963" s="177"/>
    </row>
    <row r="964" spans="2:29">
      <c r="B964" s="158" t="str">
        <f>IF(OR(LEFT(Commodities!B$75,1)="*",LEFT(Technologies!B$529,1)="*"),"*","R5")</f>
        <v>R5</v>
      </c>
      <c r="C964" s="158" t="e">
        <f>Technologies!C$579</f>
        <v>#REF!</v>
      </c>
      <c r="D964" s="158" t="str">
        <f>Technologies!D529</f>
        <v>Delivery of Imported Low Sulfur Residual Fuel Oil to Industrial Sector</v>
      </c>
      <c r="E964" s="197" t="str">
        <f>Commodities!C$101</f>
        <v>RFLP3</v>
      </c>
      <c r="F964" s="197" t="e">
        <f>Commodities!C242</f>
        <v>#REF!</v>
      </c>
      <c r="G964" s="204">
        <v>1</v>
      </c>
      <c r="H964" s="203" t="e">
        <f>#REF!*#REF!^5/(Conv!$I$5*Conv!$D$46)/10^6 +#REF!</f>
        <v>#REF!</v>
      </c>
      <c r="I964" s="203" t="e">
        <f>#REF!*#REF!^5/(Conv!$I$5*Conv!$D$46)/10^6 +#REF!</f>
        <v>#REF!</v>
      </c>
      <c r="J964" s="203" t="e">
        <f>#REF!*#REF!^5/(Conv!$I$5*Conv!$D$46)/10^6 +#REF!</f>
        <v>#REF!</v>
      </c>
      <c r="K964" s="203" t="e">
        <f>#REF!*#REF!^5/(Conv!$I$5*Conv!$D$46)/10^6 +#REF!</f>
        <v>#REF!</v>
      </c>
      <c r="L964" s="203" t="e">
        <f>#REF!*#REF!^5/(Conv!$I$5*Conv!$D$46)/10^6 +#REF!</f>
        <v>#REF!</v>
      </c>
      <c r="M964" s="203" t="e">
        <f>#REF!*#REF!^5/(Conv!$I$5*Conv!$D$46)/10^6 +#REF!</f>
        <v>#REF!</v>
      </c>
      <c r="N964" s="203" t="e">
        <f>#REF!*#REF!^5/(Conv!$I$5*Conv!$D$46)/10^6 +#REF!</f>
        <v>#REF!</v>
      </c>
      <c r="O964" s="203" t="e">
        <f>#REF!*#REF!^5/(Conv!$I$5*Conv!$D$46)/10^6 +#REF!</f>
        <v>#REF!</v>
      </c>
      <c r="P964" s="203" t="e">
        <f>#REF!*#REF!^5/(Conv!$I$5*Conv!$D$46)/10^6 +#REF!</f>
        <v>#REF!</v>
      </c>
      <c r="Q964" s="203" t="e">
        <f>#REF!*#REF!^5/(Conv!$I$5*Conv!$D$46)/10^6 +#REF!</f>
        <v>#REF!</v>
      </c>
      <c r="S964" s="177"/>
      <c r="T964" s="177"/>
      <c r="U964" s="177"/>
      <c r="V964" s="177"/>
      <c r="W964" s="177"/>
      <c r="X964" s="177"/>
      <c r="Y964" s="177"/>
      <c r="Z964" s="177"/>
      <c r="AA964" s="177"/>
      <c r="AB964" s="177"/>
      <c r="AC964" s="177"/>
    </row>
    <row r="965" spans="2:29">
      <c r="B965" s="158" t="str">
        <f>IF(OR(LEFT(Commodities!B$75,1)="*",LEFT(Technologies!B$530,1)="*"),"*","R5")</f>
        <v>*</v>
      </c>
      <c r="C965" s="158" t="e">
        <f>Technologies!C$580</f>
        <v>#REF!</v>
      </c>
      <c r="D965" s="158" t="str">
        <f>Technologies!D530</f>
        <v>Delivery of Imported Low Sulfur Residual Fuel Oil to Electricity Sector</v>
      </c>
      <c r="E965" s="197" t="str">
        <f>Commodities!C$101</f>
        <v>RFLP3</v>
      </c>
      <c r="F965" s="197" t="e">
        <f>Commodities!C243</f>
        <v>#REF!</v>
      </c>
      <c r="G965" s="204">
        <v>1</v>
      </c>
      <c r="H965" s="203" t="e">
        <f>#REF!*#REF!^5/(Conv!$I$5*Conv!$D$46)/10^6 +#REF!</f>
        <v>#REF!</v>
      </c>
      <c r="I965" s="203" t="e">
        <f>#REF!*#REF!^5/(Conv!$I$5*Conv!$D$46)/10^6 +#REF!</f>
        <v>#REF!</v>
      </c>
      <c r="J965" s="203" t="e">
        <f>#REF!*#REF!^5/(Conv!$I$5*Conv!$D$46)/10^6 +#REF!</f>
        <v>#REF!</v>
      </c>
      <c r="K965" s="203" t="e">
        <f>#REF!*#REF!^5/(Conv!$I$5*Conv!$D$46)/10^6 +#REF!</f>
        <v>#REF!</v>
      </c>
      <c r="L965" s="203" t="e">
        <f>#REF!*#REF!^5/(Conv!$I$5*Conv!$D$46)/10^6 +#REF!</f>
        <v>#REF!</v>
      </c>
      <c r="M965" s="203" t="e">
        <f>#REF!*#REF!^5/(Conv!$I$5*Conv!$D$46)/10^6 +#REF!</f>
        <v>#REF!</v>
      </c>
      <c r="N965" s="203" t="e">
        <f>#REF!*#REF!^5/(Conv!$I$5*Conv!$D$46)/10^6 +#REF!</f>
        <v>#REF!</v>
      </c>
      <c r="O965" s="203" t="e">
        <f>#REF!*#REF!^5/(Conv!$I$5*Conv!$D$46)/10^6 +#REF!</f>
        <v>#REF!</v>
      </c>
      <c r="P965" s="203" t="e">
        <f>#REF!*#REF!^5/(Conv!$I$5*Conv!$D$46)/10^6 +#REF!</f>
        <v>#REF!</v>
      </c>
      <c r="Q965" s="203" t="e">
        <f>#REF!*#REF!^5/(Conv!$I$5*Conv!$D$46)/10^6 +#REF!</f>
        <v>#REF!</v>
      </c>
      <c r="S965" s="177"/>
      <c r="T965" s="177"/>
      <c r="U965" s="177"/>
      <c r="V965" s="177"/>
      <c r="W965" s="177"/>
      <c r="X965" s="177"/>
      <c r="Y965" s="177"/>
      <c r="Z965" s="177"/>
      <c r="AA965" s="177"/>
      <c r="AB965" s="177"/>
      <c r="AC965" s="177"/>
    </row>
    <row r="966" spans="2:29">
      <c r="B966" s="158" t="str">
        <f>IF(OR(LEFT(Commodities!B$74,1)="*",LEFT(Technologies!B$531,1)="*"),"*","R5")</f>
        <v>*</v>
      </c>
      <c r="C966" s="158" t="e">
        <f>Technologies!C$581</f>
        <v>#REF!</v>
      </c>
      <c r="D966" s="158" t="str">
        <f>Technologies!D531</f>
        <v>Delivery of Imported High Sulfur Residual Fuel Oil to Transportation Sector</v>
      </c>
      <c r="E966" s="197" t="str">
        <f>Commodities!C260</f>
        <v>JTFB</v>
      </c>
      <c r="F966" s="197" t="e">
        <f>Commodities!C244</f>
        <v>#REF!</v>
      </c>
      <c r="G966" s="204">
        <v>1</v>
      </c>
      <c r="H966" s="203" t="e">
        <f>#REF!*#REF!^5/(Conv!$I$5*Conv!$D$46)/10^6 +#REF!</f>
        <v>#REF!</v>
      </c>
      <c r="I966" s="203" t="e">
        <f>#REF!*#REF!^5/(Conv!$I$5*Conv!$D$46)/10^6 +#REF!</f>
        <v>#REF!</v>
      </c>
      <c r="J966" s="203" t="e">
        <f>#REF!*#REF!^5/(Conv!$I$5*Conv!$D$46)/10^6 +#REF!</f>
        <v>#REF!</v>
      </c>
      <c r="K966" s="203" t="e">
        <f>#REF!*#REF!^5/(Conv!$I$5*Conv!$D$46)/10^6 +#REF!</f>
        <v>#REF!</v>
      </c>
      <c r="L966" s="203" t="e">
        <f>#REF!*#REF!^5/(Conv!$I$5*Conv!$D$46)/10^6 +#REF!</f>
        <v>#REF!</v>
      </c>
      <c r="M966" s="203" t="e">
        <f>#REF!*#REF!^5/(Conv!$I$5*Conv!$D$46)/10^6 +#REF!</f>
        <v>#REF!</v>
      </c>
      <c r="N966" s="203" t="e">
        <f>#REF!*#REF!^5/(Conv!$I$5*Conv!$D$46)/10^6 +#REF!</f>
        <v>#REF!</v>
      </c>
      <c r="O966" s="203" t="e">
        <f>#REF!*#REF!^5/(Conv!$I$5*Conv!$D$46)/10^6 +#REF!</f>
        <v>#REF!</v>
      </c>
      <c r="P966" s="203" t="e">
        <f>#REF!*#REF!^5/(Conv!$I$5*Conv!$D$46)/10^6 +#REF!</f>
        <v>#REF!</v>
      </c>
      <c r="Q966" s="203" t="e">
        <f>#REF!*#REF!^5/(Conv!$I$5*Conv!$D$46)/10^6 +#REF!</f>
        <v>#REF!</v>
      </c>
      <c r="S966" s="177"/>
      <c r="T966" s="177"/>
      <c r="U966" s="177"/>
      <c r="V966" s="177"/>
      <c r="W966" s="177"/>
      <c r="X966" s="177"/>
      <c r="Y966" s="177"/>
      <c r="Z966" s="177"/>
      <c r="AA966" s="177"/>
      <c r="AB966" s="177"/>
      <c r="AC966" s="177"/>
    </row>
    <row r="967" spans="2:29">
      <c r="B967" s="158" t="str">
        <f>IF(OR(LEFT(Commodities!B$74,1)="*",LEFT(Technologies!B$532,1)="*"),"*","R5")</f>
        <v>*</v>
      </c>
      <c r="C967" s="158" t="e">
        <f>Technologies!C$582</f>
        <v>#REF!</v>
      </c>
      <c r="D967" s="158" t="str">
        <f>Technologies!D532</f>
        <v>Delivery of Imported High Sulfur Residual Fuel Oil to Electricity Sector</v>
      </c>
      <c r="E967" s="197" t="str">
        <f>Commodities!C261</f>
        <v>KERB</v>
      </c>
      <c r="F967" s="197" t="e">
        <f>Commodities!C245</f>
        <v>#REF!</v>
      </c>
      <c r="G967" s="204">
        <v>1</v>
      </c>
      <c r="H967" s="203" t="e">
        <f>#REF!*#REF!^5/(Conv!$I$5*Conv!$D$46)/10^6 +#REF!</f>
        <v>#REF!</v>
      </c>
      <c r="I967" s="203" t="e">
        <f>#REF!*#REF!^5/(Conv!$I$5*Conv!$D$46)/10^6 +#REF!</f>
        <v>#REF!</v>
      </c>
      <c r="J967" s="203" t="e">
        <f>#REF!*#REF!^5/(Conv!$I$5*Conv!$D$46)/10^6 +#REF!</f>
        <v>#REF!</v>
      </c>
      <c r="K967" s="203" t="e">
        <f>#REF!*#REF!^5/(Conv!$I$5*Conv!$D$46)/10^6 +#REF!</f>
        <v>#REF!</v>
      </c>
      <c r="L967" s="203" t="e">
        <f>#REF!*#REF!^5/(Conv!$I$5*Conv!$D$46)/10^6 +#REF!</f>
        <v>#REF!</v>
      </c>
      <c r="M967" s="203" t="e">
        <f>#REF!*#REF!^5/(Conv!$I$5*Conv!$D$46)/10^6 +#REF!</f>
        <v>#REF!</v>
      </c>
      <c r="N967" s="203" t="e">
        <f>#REF!*#REF!^5/(Conv!$I$5*Conv!$D$46)/10^6 +#REF!</f>
        <v>#REF!</v>
      </c>
      <c r="O967" s="203" t="e">
        <f>#REF!*#REF!^5/(Conv!$I$5*Conv!$D$46)/10^6 +#REF!</f>
        <v>#REF!</v>
      </c>
      <c r="P967" s="203" t="e">
        <f>#REF!*#REF!^5/(Conv!$I$5*Conv!$D$46)/10^6 +#REF!</f>
        <v>#REF!</v>
      </c>
      <c r="Q967" s="203" t="e">
        <f>#REF!*#REF!^5/(Conv!$I$5*Conv!$D$46)/10^6 +#REF!</f>
        <v>#REF!</v>
      </c>
      <c r="S967" s="177"/>
      <c r="T967" s="177"/>
      <c r="U967" s="177"/>
      <c r="V967" s="177"/>
      <c r="W967" s="177"/>
      <c r="X967" s="177"/>
      <c r="Y967" s="177"/>
      <c r="Z967" s="177"/>
      <c r="AA967" s="177"/>
      <c r="AB967" s="177"/>
      <c r="AC967" s="177"/>
    </row>
    <row r="968" spans="2:29">
      <c r="B968" s="160" t="s">
        <v>1035</v>
      </c>
      <c r="C968" s="160"/>
      <c r="D968" s="160"/>
      <c r="E968" s="196"/>
      <c r="F968" s="196"/>
      <c r="G968" s="200"/>
      <c r="H968" s="174"/>
      <c r="I968" s="174"/>
      <c r="J968" s="174"/>
      <c r="K968" s="174"/>
      <c r="L968" s="174"/>
      <c r="M968" s="174"/>
      <c r="N968" s="174"/>
      <c r="O968" s="174"/>
      <c r="P968" s="174"/>
      <c r="Q968" s="174"/>
    </row>
    <row r="969" spans="2:29">
      <c r="B969" s="158" t="str">
        <f>IF(LEFT(Technologies!B$509,1)="*","*","R6")</f>
        <v>R6</v>
      </c>
      <c r="C969" s="158" t="e">
        <f>Technologies!C$559</f>
        <v>#REF!</v>
      </c>
      <c r="D969" s="158" t="str">
        <f>Technologies!D509</f>
        <v>Delivery of Imported Conventional Gasoline</v>
      </c>
      <c r="E969" s="197" t="str">
        <f>Commodities!C$93</f>
        <v>GSCP3</v>
      </c>
      <c r="F969" s="197" t="e">
        <f>Commodities!C222</f>
        <v>#REF!</v>
      </c>
      <c r="G969" s="204">
        <v>1</v>
      </c>
      <c r="H969" s="203" t="e">
        <f>#REF!*#REF!^5/(Conv!$I$5*Conv!$D$46)/10^6 +#REF!</f>
        <v>#REF!</v>
      </c>
      <c r="I969" s="203" t="e">
        <f>#REF!*#REF!^5/(Conv!$I$5*Conv!$D$46)/10^6 +#REF!</f>
        <v>#REF!</v>
      </c>
      <c r="J969" s="203" t="e">
        <f>#REF!*#REF!^5/(Conv!$I$5*Conv!$D$46)/10^6 +#REF!</f>
        <v>#REF!</v>
      </c>
      <c r="K969" s="203" t="e">
        <f>#REF!*#REF!^5/(Conv!$I$5*Conv!$D$46)/10^6 +#REF!</f>
        <v>#REF!</v>
      </c>
      <c r="L969" s="203" t="e">
        <f>#REF!*#REF!^5/(Conv!$I$5*Conv!$D$46)/10^6 +#REF!</f>
        <v>#REF!</v>
      </c>
      <c r="M969" s="203" t="e">
        <f>#REF!*#REF!^5/(Conv!$I$5*Conv!$D$46)/10^6 +#REF!</f>
        <v>#REF!</v>
      </c>
      <c r="N969" s="203" t="e">
        <f>#REF!*#REF!^5/(Conv!$I$5*Conv!$D$46)/10^6 +#REF!</f>
        <v>#REF!</v>
      </c>
      <c r="O969" s="203" t="e">
        <f>#REF!*#REF!^5/(Conv!$I$5*Conv!$D$46)/10^6 +#REF!</f>
        <v>#REF!</v>
      </c>
      <c r="P969" s="203" t="e">
        <f>#REF!*#REF!^5/(Conv!$I$5*Conv!$D$46)/10^6 +#REF!</f>
        <v>#REF!</v>
      </c>
      <c r="Q969" s="203" t="e">
        <f>#REF!*#REF!^5/(Conv!$I$5*Conv!$D$46)/10^6 +#REF!</f>
        <v>#REF!</v>
      </c>
      <c r="S969" s="177"/>
      <c r="T969" s="177"/>
      <c r="U969" s="177"/>
      <c r="V969" s="177"/>
      <c r="W969" s="177"/>
      <c r="X969" s="177"/>
      <c r="Y969" s="177"/>
      <c r="Z969" s="177"/>
      <c r="AA969" s="177"/>
      <c r="AB969" s="177"/>
      <c r="AC969" s="177"/>
    </row>
    <row r="970" spans="2:29">
      <c r="B970" s="158" t="str">
        <f>IF(LEFT(Technologies!B$510,1)="*","*","R6")</f>
        <v>R6</v>
      </c>
      <c r="C970" s="158" t="e">
        <f>Technologies!C$560</f>
        <v>#REF!</v>
      </c>
      <c r="D970" s="158" t="str">
        <f>Technologies!D510</f>
        <v>Delivery of Imported Reformulated Gasoline</v>
      </c>
      <c r="E970" s="197" t="str">
        <f>Commodities!C$94</f>
        <v>GSRP3</v>
      </c>
      <c r="F970" s="197" t="e">
        <f>Commodities!C223</f>
        <v>#REF!</v>
      </c>
      <c r="G970" s="204">
        <v>1</v>
      </c>
      <c r="H970" s="203" t="e">
        <f>#REF!*#REF!^5/(Conv!$I$5*Conv!$D$46)/10^6 +#REF!</f>
        <v>#REF!</v>
      </c>
      <c r="I970" s="203" t="e">
        <f>#REF!*#REF!^5/(Conv!$I$5*Conv!$D$46)/10^6 +#REF!</f>
        <v>#REF!</v>
      </c>
      <c r="J970" s="203" t="e">
        <f>#REF!*#REF!^5/(Conv!$I$5*Conv!$D$46)/10^6 +#REF!</f>
        <v>#REF!</v>
      </c>
      <c r="K970" s="203" t="e">
        <f>#REF!*#REF!^5/(Conv!$I$5*Conv!$D$46)/10^6 +#REF!</f>
        <v>#REF!</v>
      </c>
      <c r="L970" s="203" t="e">
        <f>#REF!*#REF!^5/(Conv!$I$5*Conv!$D$46)/10^6 +#REF!</f>
        <v>#REF!</v>
      </c>
      <c r="M970" s="203" t="e">
        <f>#REF!*#REF!^5/(Conv!$I$5*Conv!$D$46)/10^6 +#REF!</f>
        <v>#REF!</v>
      </c>
      <c r="N970" s="203" t="e">
        <f>#REF!*#REF!^5/(Conv!$I$5*Conv!$D$46)/10^6 +#REF!</f>
        <v>#REF!</v>
      </c>
      <c r="O970" s="203" t="e">
        <f>#REF!*#REF!^5/(Conv!$I$5*Conv!$D$46)/10^6 +#REF!</f>
        <v>#REF!</v>
      </c>
      <c r="P970" s="203" t="e">
        <f>#REF!*#REF!^5/(Conv!$I$5*Conv!$D$46)/10^6 +#REF!</f>
        <v>#REF!</v>
      </c>
      <c r="Q970" s="203" t="e">
        <f>#REF!*#REF!^5/(Conv!$I$5*Conv!$D$46)/10^6 +#REF!</f>
        <v>#REF!</v>
      </c>
      <c r="S970" s="177"/>
      <c r="T970" s="177"/>
      <c r="U970" s="177"/>
      <c r="V970" s="177"/>
      <c r="W970" s="177"/>
      <c r="X970" s="177"/>
      <c r="Y970" s="177"/>
      <c r="Z970" s="177"/>
      <c r="AA970" s="177"/>
      <c r="AB970" s="177"/>
      <c r="AC970" s="177"/>
    </row>
    <row r="971" spans="2:29">
      <c r="B971" s="158" t="str">
        <f>IF(OR(LEFT(Commodities!B$64,1)="*",LEFT(Technologies!B$511,1)="*"),"*","R6")</f>
        <v>R6</v>
      </c>
      <c r="C971" s="158" t="e">
        <f>Technologies!C$561</f>
        <v>#REF!</v>
      </c>
      <c r="D971" s="158" t="str">
        <f>Technologies!D511</f>
        <v>Delivery of Imported Distillate-Heating Oil No. 2 to the Residential Sector</v>
      </c>
      <c r="E971" s="197" t="str">
        <f>Commodities!C$90</f>
        <v>DSHP3</v>
      </c>
      <c r="F971" s="197" t="e">
        <f>Commodities!C224</f>
        <v>#REF!</v>
      </c>
      <c r="G971" s="204">
        <v>1</v>
      </c>
      <c r="H971" s="203" t="e">
        <f>#REF!*#REF!^5/(Conv!$I$5*Conv!$D$46)/10^6 +#REF!</f>
        <v>#REF!</v>
      </c>
      <c r="I971" s="203" t="e">
        <f>#REF!*#REF!^5/(Conv!$I$5*Conv!$D$46)/10^6 +#REF!</f>
        <v>#REF!</v>
      </c>
      <c r="J971" s="203" t="e">
        <f>#REF!*#REF!^5/(Conv!$I$5*Conv!$D$46)/10^6 +#REF!</f>
        <v>#REF!</v>
      </c>
      <c r="K971" s="203" t="e">
        <f>#REF!*#REF!^5/(Conv!$I$5*Conv!$D$46)/10^6 +#REF!</f>
        <v>#REF!</v>
      </c>
      <c r="L971" s="203" t="e">
        <f>#REF!*#REF!^5/(Conv!$I$5*Conv!$D$46)/10^6 +#REF!</f>
        <v>#REF!</v>
      </c>
      <c r="M971" s="203" t="e">
        <f>#REF!*#REF!^5/(Conv!$I$5*Conv!$D$46)/10^6 +#REF!</f>
        <v>#REF!</v>
      </c>
      <c r="N971" s="203" t="e">
        <f>#REF!*#REF!^5/(Conv!$I$5*Conv!$D$46)/10^6 +#REF!</f>
        <v>#REF!</v>
      </c>
      <c r="O971" s="203" t="e">
        <f>#REF!*#REF!^5/(Conv!$I$5*Conv!$D$46)/10^6 +#REF!</f>
        <v>#REF!</v>
      </c>
      <c r="P971" s="203" t="e">
        <f>#REF!*#REF!^5/(Conv!$I$5*Conv!$D$46)/10^6 +#REF!</f>
        <v>#REF!</v>
      </c>
      <c r="Q971" s="203" t="e">
        <f>#REF!*#REF!^5/(Conv!$I$5*Conv!$D$46)/10^6 +#REF!</f>
        <v>#REF!</v>
      </c>
      <c r="S971" s="177"/>
      <c r="T971" s="177"/>
      <c r="U971" s="177"/>
      <c r="V971" s="177"/>
      <c r="W971" s="177"/>
      <c r="X971" s="177"/>
      <c r="Y971" s="177"/>
      <c r="Z971" s="177"/>
      <c r="AA971" s="177"/>
      <c r="AB971" s="177"/>
      <c r="AC971" s="177"/>
    </row>
    <row r="972" spans="2:29">
      <c r="B972" s="158" t="str">
        <f>IF(OR(LEFT(Commodities!B$64,1)="*",LEFT(Technologies!B$512,1)="*"),"*","R6")</f>
        <v>R6</v>
      </c>
      <c r="C972" s="158" t="e">
        <f>Technologies!C$562</f>
        <v>#REF!</v>
      </c>
      <c r="D972" s="158" t="str">
        <f>Technologies!D512</f>
        <v>Delivery of Imported Distillate-Heating Oil No. 2 to the Commercial Sector</v>
      </c>
      <c r="E972" s="197" t="str">
        <f>Commodities!C$90</f>
        <v>DSHP3</v>
      </c>
      <c r="F972" s="197" t="e">
        <f>Commodities!C225</f>
        <v>#REF!</v>
      </c>
      <c r="G972" s="204">
        <v>1</v>
      </c>
      <c r="H972" s="203" t="e">
        <f>#REF!*#REF!^5/(Conv!$I$5*Conv!$D$46)/10^6 +#REF!</f>
        <v>#REF!</v>
      </c>
      <c r="I972" s="203" t="e">
        <f>#REF!*#REF!^5/(Conv!$I$5*Conv!$D$46)/10^6 +#REF!</f>
        <v>#REF!</v>
      </c>
      <c r="J972" s="203" t="e">
        <f>#REF!*#REF!^5/(Conv!$I$5*Conv!$D$46)/10^6 +#REF!</f>
        <v>#REF!</v>
      </c>
      <c r="K972" s="203" t="e">
        <f>#REF!*#REF!^5/(Conv!$I$5*Conv!$D$46)/10^6 +#REF!</f>
        <v>#REF!</v>
      </c>
      <c r="L972" s="203" t="e">
        <f>#REF!*#REF!^5/(Conv!$I$5*Conv!$D$46)/10^6 +#REF!</f>
        <v>#REF!</v>
      </c>
      <c r="M972" s="203" t="e">
        <f>#REF!*#REF!^5/(Conv!$I$5*Conv!$D$46)/10^6 +#REF!</f>
        <v>#REF!</v>
      </c>
      <c r="N972" s="203" t="e">
        <f>#REF!*#REF!^5/(Conv!$I$5*Conv!$D$46)/10^6 +#REF!</f>
        <v>#REF!</v>
      </c>
      <c r="O972" s="203" t="e">
        <f>#REF!*#REF!^5/(Conv!$I$5*Conv!$D$46)/10^6 +#REF!</f>
        <v>#REF!</v>
      </c>
      <c r="P972" s="203" t="e">
        <f>#REF!*#REF!^5/(Conv!$I$5*Conv!$D$46)/10^6 +#REF!</f>
        <v>#REF!</v>
      </c>
      <c r="Q972" s="203" t="e">
        <f>#REF!*#REF!^5/(Conv!$I$5*Conv!$D$46)/10^6 +#REF!</f>
        <v>#REF!</v>
      </c>
      <c r="S972" s="177"/>
      <c r="T972" s="177"/>
      <c r="U972" s="177"/>
      <c r="V972" s="177"/>
      <c r="W972" s="177"/>
      <c r="X972" s="177"/>
      <c r="Y972" s="177"/>
      <c r="Z972" s="177"/>
      <c r="AA972" s="177"/>
      <c r="AB972" s="177"/>
      <c r="AC972" s="177"/>
    </row>
    <row r="973" spans="2:29">
      <c r="B973" s="158" t="str">
        <f>IF(OR(LEFT(Commodities!B$64,1)="*",LEFT(Technologies!B$513,1)="*"),"*","R6")</f>
        <v>*</v>
      </c>
      <c r="C973" s="158" t="e">
        <f>Technologies!C$563</f>
        <v>#REF!</v>
      </c>
      <c r="D973" s="158" t="str">
        <f>Technologies!D513</f>
        <v>Delivery of Imported Distillate-Heating Oil No. 2 to the Indistrial Sector</v>
      </c>
      <c r="E973" s="197" t="str">
        <f>Commodities!C$90</f>
        <v>DSHP3</v>
      </c>
      <c r="F973" s="197" t="e">
        <f>Commodities!C226</f>
        <v>#REF!</v>
      </c>
      <c r="G973" s="204">
        <v>1</v>
      </c>
      <c r="H973" s="203" t="e">
        <f>#REF!*#REF!^5/(Conv!$I$5*Conv!$D$46)/10^6 +#REF!</f>
        <v>#REF!</v>
      </c>
      <c r="I973" s="203" t="e">
        <f>#REF!*#REF!^5/(Conv!$I$5*Conv!$D$46)/10^6 +#REF!</f>
        <v>#REF!</v>
      </c>
      <c r="J973" s="203" t="e">
        <f>#REF!*#REF!^5/(Conv!$I$5*Conv!$D$46)/10^6 +#REF!</f>
        <v>#REF!</v>
      </c>
      <c r="K973" s="203" t="e">
        <f>#REF!*#REF!^5/(Conv!$I$5*Conv!$D$46)/10^6 +#REF!</f>
        <v>#REF!</v>
      </c>
      <c r="L973" s="203" t="e">
        <f>#REF!*#REF!^5/(Conv!$I$5*Conv!$D$46)/10^6 +#REF!</f>
        <v>#REF!</v>
      </c>
      <c r="M973" s="203" t="e">
        <f>#REF!*#REF!^5/(Conv!$I$5*Conv!$D$46)/10^6 +#REF!</f>
        <v>#REF!</v>
      </c>
      <c r="N973" s="203" t="e">
        <f>#REF!*#REF!^5/(Conv!$I$5*Conv!$D$46)/10^6 +#REF!</f>
        <v>#REF!</v>
      </c>
      <c r="O973" s="203" t="e">
        <f>#REF!*#REF!^5/(Conv!$I$5*Conv!$D$46)/10^6 +#REF!</f>
        <v>#REF!</v>
      </c>
      <c r="P973" s="203" t="e">
        <f>#REF!*#REF!^5/(Conv!$I$5*Conv!$D$46)/10^6 +#REF!</f>
        <v>#REF!</v>
      </c>
      <c r="Q973" s="203" t="e">
        <f>#REF!*#REF!^5/(Conv!$I$5*Conv!$D$46)/10^6 +#REF!</f>
        <v>#REF!</v>
      </c>
      <c r="S973" s="177"/>
      <c r="T973" s="177"/>
      <c r="U973" s="177"/>
      <c r="V973" s="177"/>
      <c r="W973" s="177"/>
      <c r="X973" s="177"/>
      <c r="Y973" s="177"/>
      <c r="Z973" s="177"/>
      <c r="AA973" s="177"/>
      <c r="AB973" s="177"/>
      <c r="AC973" s="177"/>
    </row>
    <row r="974" spans="2:29">
      <c r="B974" s="158" t="str">
        <f>IF(OR(LEFT(Commodities!B$64,1)="*",LEFT(Technologies!B$514,1)="*"),"*","R6")</f>
        <v>R6</v>
      </c>
      <c r="C974" s="158" t="e">
        <f>Technologies!C$564</f>
        <v>#REF!</v>
      </c>
      <c r="D974" s="158" t="str">
        <f>Technologies!D514</f>
        <v>Delivery of Imported Distillate-Heating Oil No. 2 to the Electricity Sector</v>
      </c>
      <c r="E974" s="197" t="str">
        <f>Commodities!C$90</f>
        <v>DSHP3</v>
      </c>
      <c r="F974" s="197" t="e">
        <f>Commodities!C227</f>
        <v>#REF!</v>
      </c>
      <c r="G974" s="204">
        <v>1</v>
      </c>
      <c r="H974" s="203" t="e">
        <f>#REF!*#REF!^5/(Conv!$I$5*Conv!$D$46)/10^6 +#REF!</f>
        <v>#REF!</v>
      </c>
      <c r="I974" s="203" t="e">
        <f>#REF!*#REF!^5/(Conv!$I$5*Conv!$D$46)/10^6 +#REF!</f>
        <v>#REF!</v>
      </c>
      <c r="J974" s="203" t="e">
        <f>#REF!*#REF!^5/(Conv!$I$5*Conv!$D$46)/10^6 +#REF!</f>
        <v>#REF!</v>
      </c>
      <c r="K974" s="203" t="e">
        <f>#REF!*#REF!^5/(Conv!$I$5*Conv!$D$46)/10^6 +#REF!</f>
        <v>#REF!</v>
      </c>
      <c r="L974" s="203" t="e">
        <f>#REF!*#REF!^5/(Conv!$I$5*Conv!$D$46)/10^6 +#REF!</f>
        <v>#REF!</v>
      </c>
      <c r="M974" s="203" t="e">
        <f>#REF!*#REF!^5/(Conv!$I$5*Conv!$D$46)/10^6 +#REF!</f>
        <v>#REF!</v>
      </c>
      <c r="N974" s="203" t="e">
        <f>#REF!*#REF!^5/(Conv!$I$5*Conv!$D$46)/10^6 +#REF!</f>
        <v>#REF!</v>
      </c>
      <c r="O974" s="203" t="e">
        <f>#REF!*#REF!^5/(Conv!$I$5*Conv!$D$46)/10^6 +#REF!</f>
        <v>#REF!</v>
      </c>
      <c r="P974" s="203" t="e">
        <f>#REF!*#REF!^5/(Conv!$I$5*Conv!$D$46)/10^6 +#REF!</f>
        <v>#REF!</v>
      </c>
      <c r="Q974" s="203" t="e">
        <f>#REF!*#REF!^5/(Conv!$I$5*Conv!$D$46)/10^6 +#REF!</f>
        <v>#REF!</v>
      </c>
      <c r="S974" s="177"/>
      <c r="T974" s="177"/>
      <c r="U974" s="177"/>
      <c r="V974" s="177"/>
      <c r="W974" s="177"/>
      <c r="X974" s="177"/>
      <c r="Y974" s="177"/>
      <c r="Z974" s="177"/>
      <c r="AA974" s="177"/>
      <c r="AB974" s="177"/>
      <c r="AC974" s="177"/>
    </row>
    <row r="975" spans="2:29">
      <c r="B975" s="158" t="str">
        <f>IF(OR(LEFT(Commodities!B$65,1)="*",LEFT(Technologies!B$515,1)="*"),"*","R6")</f>
        <v>R6</v>
      </c>
      <c r="C975" s="158" t="e">
        <f>Technologies!C$565</f>
        <v>#REF!</v>
      </c>
      <c r="D975" s="158" t="str">
        <f>Technologies!D515</f>
        <v>Delivery of Imported Distillate-Low Sulfur Highway Diesel (500 ppm)</v>
      </c>
      <c r="E975" s="197" t="str">
        <f>Commodities!C$91</f>
        <v>DSLP3</v>
      </c>
      <c r="F975" s="197" t="e">
        <f>Commodities!C228</f>
        <v>#REF!</v>
      </c>
      <c r="G975" s="204">
        <v>1</v>
      </c>
      <c r="H975" s="203" t="e">
        <f>#REF!*#REF!^5/(Conv!$I$5*Conv!$D$46)/10^6 +#REF!</f>
        <v>#REF!</v>
      </c>
      <c r="I975" s="203" t="e">
        <f>#REF!*#REF!^5/(Conv!$I$5*Conv!$D$46)/10^6 +#REF!</f>
        <v>#REF!</v>
      </c>
      <c r="J975" s="203" t="e">
        <f>#REF!*#REF!^5/(Conv!$I$5*Conv!$D$46)/10^6 +#REF!</f>
        <v>#REF!</v>
      </c>
      <c r="K975" s="203" t="e">
        <f>#REF!*#REF!^5/(Conv!$I$5*Conv!$D$46)/10^6 +#REF!</f>
        <v>#REF!</v>
      </c>
      <c r="L975" s="203" t="e">
        <f>#REF!*#REF!^5/(Conv!$I$5*Conv!$D$46)/10^6 +#REF!</f>
        <v>#REF!</v>
      </c>
      <c r="M975" s="203" t="e">
        <f>#REF!*#REF!^5/(Conv!$I$5*Conv!$D$46)/10^6 +#REF!</f>
        <v>#REF!</v>
      </c>
      <c r="N975" s="203" t="e">
        <f>#REF!*#REF!^5/(Conv!$I$5*Conv!$D$46)/10^6 +#REF!</f>
        <v>#REF!</v>
      </c>
      <c r="O975" s="203" t="e">
        <f>#REF!*#REF!^5/(Conv!$I$5*Conv!$D$46)/10^6 +#REF!</f>
        <v>#REF!</v>
      </c>
      <c r="P975" s="203" t="e">
        <f>#REF!*#REF!^5/(Conv!$I$5*Conv!$D$46)/10^6 +#REF!</f>
        <v>#REF!</v>
      </c>
      <c r="Q975" s="203" t="e">
        <f>#REF!*#REF!^5/(Conv!$I$5*Conv!$D$46)/10^6 +#REF!</f>
        <v>#REF!</v>
      </c>
      <c r="S975" s="177"/>
      <c r="T975" s="177"/>
      <c r="U975" s="177"/>
      <c r="V975" s="177"/>
      <c r="W975" s="177"/>
      <c r="X975" s="177"/>
      <c r="Y975" s="177"/>
      <c r="Z975" s="177"/>
      <c r="AA975" s="177"/>
      <c r="AB975" s="177"/>
      <c r="AC975" s="177"/>
    </row>
    <row r="976" spans="2:29">
      <c r="B976" s="158" t="str">
        <f>IF(OR(LEFT(Commodities!B$66,1)="*",LEFT(Technologies!B$516,1)="*"),"*","R6")</f>
        <v>R6</v>
      </c>
      <c r="C976" s="158" t="e">
        <f>Technologies!C$566</f>
        <v>#REF!</v>
      </c>
      <c r="D976" s="158" t="str">
        <f>Technologies!D516</f>
        <v>Delivery of Imported Distillate-Ultralow Sulfur Highway Diesel (15 ppm)</v>
      </c>
      <c r="E976" s="197" t="str">
        <f>Commodities!C$92</f>
        <v>DSUP3</v>
      </c>
      <c r="F976" s="197" t="e">
        <f>Commodities!C229</f>
        <v>#REF!</v>
      </c>
      <c r="G976" s="204">
        <v>1</v>
      </c>
      <c r="H976" s="203" t="e">
        <f>#REF!*#REF!^5/(Conv!$I$5*Conv!$D$46)/10^6 +#REF!</f>
        <v>#REF!</v>
      </c>
      <c r="I976" s="203" t="e">
        <f>#REF!*#REF!^5/(Conv!$I$5*Conv!$D$46)/10^6 +#REF!</f>
        <v>#REF!</v>
      </c>
      <c r="J976" s="203" t="e">
        <f>#REF!*#REF!^5/(Conv!$I$5*Conv!$D$46)/10^6 +#REF!</f>
        <v>#REF!</v>
      </c>
      <c r="K976" s="203" t="e">
        <f>#REF!*#REF!^5/(Conv!$I$5*Conv!$D$46)/10^6 +#REF!</f>
        <v>#REF!</v>
      </c>
      <c r="L976" s="203" t="e">
        <f>#REF!*#REF!^5/(Conv!$I$5*Conv!$D$46)/10^6 +#REF!</f>
        <v>#REF!</v>
      </c>
      <c r="M976" s="203" t="e">
        <f>#REF!*#REF!^5/(Conv!$I$5*Conv!$D$46)/10^6 +#REF!</f>
        <v>#REF!</v>
      </c>
      <c r="N976" s="203" t="e">
        <f>#REF!*#REF!^5/(Conv!$I$5*Conv!$D$46)/10^6 +#REF!</f>
        <v>#REF!</v>
      </c>
      <c r="O976" s="203" t="e">
        <f>#REF!*#REF!^5/(Conv!$I$5*Conv!$D$46)/10^6 +#REF!</f>
        <v>#REF!</v>
      </c>
      <c r="P976" s="203" t="e">
        <f>#REF!*#REF!^5/(Conv!$I$5*Conv!$D$46)/10^6 +#REF!</f>
        <v>#REF!</v>
      </c>
      <c r="Q976" s="203" t="e">
        <f>#REF!*#REF!^5/(Conv!$I$5*Conv!$D$46)/10^6 +#REF!</f>
        <v>#REF!</v>
      </c>
      <c r="S976" s="177"/>
      <c r="T976" s="177"/>
      <c r="U976" s="177"/>
      <c r="V976" s="177"/>
      <c r="W976" s="177"/>
      <c r="X976" s="177"/>
      <c r="Y976" s="177"/>
      <c r="Z976" s="177"/>
      <c r="AA976" s="177"/>
      <c r="AB976" s="177"/>
      <c r="AC976" s="177"/>
    </row>
    <row r="977" spans="2:29">
      <c r="B977" s="158" t="str">
        <f>IF(OR(LEFT(Commodities!B$69,1)="*",LEFT(Technologies!B$517,1)="*"),"*","R6")</f>
        <v>*</v>
      </c>
      <c r="C977" s="158" t="e">
        <f>Technologies!C$567</f>
        <v>#REF!</v>
      </c>
      <c r="D977" s="158" t="str">
        <f>Technologies!D517</f>
        <v>Delivery of Imported Jet Fuel</v>
      </c>
      <c r="E977" s="197" t="str">
        <f>Commodities!C$95</f>
        <v>JTFP3</v>
      </c>
      <c r="F977" s="197" t="e">
        <f>Commodities!C230</f>
        <v>#REF!</v>
      </c>
      <c r="G977" s="204">
        <v>1</v>
      </c>
      <c r="H977" s="203" t="e">
        <f>#REF!*#REF!^5/(Conv!$I$5*Conv!$D$46)/10^6 +#REF!</f>
        <v>#REF!</v>
      </c>
      <c r="I977" s="203" t="e">
        <f>#REF!*#REF!^5/(Conv!$I$5*Conv!$D$46)/10^6 +#REF!</f>
        <v>#REF!</v>
      </c>
      <c r="J977" s="203" t="e">
        <f>#REF!*#REF!^5/(Conv!$I$5*Conv!$D$46)/10^6 +#REF!</f>
        <v>#REF!</v>
      </c>
      <c r="K977" s="203" t="e">
        <f>#REF!*#REF!^5/(Conv!$I$5*Conv!$D$46)/10^6 +#REF!</f>
        <v>#REF!</v>
      </c>
      <c r="L977" s="203" t="e">
        <f>#REF!*#REF!^5/(Conv!$I$5*Conv!$D$46)/10^6 +#REF!</f>
        <v>#REF!</v>
      </c>
      <c r="M977" s="203" t="e">
        <f>#REF!*#REF!^5/(Conv!$I$5*Conv!$D$46)/10^6 +#REF!</f>
        <v>#REF!</v>
      </c>
      <c r="N977" s="203" t="e">
        <f>#REF!*#REF!^5/(Conv!$I$5*Conv!$D$46)/10^6 +#REF!</f>
        <v>#REF!</v>
      </c>
      <c r="O977" s="203" t="e">
        <f>#REF!*#REF!^5/(Conv!$I$5*Conv!$D$46)/10^6 +#REF!</f>
        <v>#REF!</v>
      </c>
      <c r="P977" s="203" t="e">
        <f>#REF!*#REF!^5/(Conv!$I$5*Conv!$D$46)/10^6 +#REF!</f>
        <v>#REF!</v>
      </c>
      <c r="Q977" s="203" t="e">
        <f>#REF!*#REF!^5/(Conv!$I$5*Conv!$D$46)/10^6 +#REF!</f>
        <v>#REF!</v>
      </c>
      <c r="S977" s="177"/>
      <c r="T977" s="177"/>
      <c r="U977" s="177"/>
      <c r="V977" s="177"/>
      <c r="W977" s="177"/>
      <c r="X977" s="177"/>
      <c r="Y977" s="177"/>
      <c r="Z977" s="177"/>
      <c r="AA977" s="177"/>
      <c r="AB977" s="177"/>
      <c r="AC977" s="177"/>
    </row>
    <row r="978" spans="2:29">
      <c r="B978" s="158" t="str">
        <f>IF(OR(LEFT(Commodities!B$70,1)="*",LEFT(Technologies!B$518,1)="*"),"*","R6")</f>
        <v>*</v>
      </c>
      <c r="C978" s="158" t="e">
        <f>Technologies!C$568</f>
        <v>#REF!</v>
      </c>
      <c r="D978" s="158" t="str">
        <f>Technologies!D518</f>
        <v>Delivery of Imported Kerosene and Other Refined Products to the Residential Sector</v>
      </c>
      <c r="E978" s="197" t="str">
        <f>Commodities!C$96</f>
        <v>KERP3</v>
      </c>
      <c r="F978" s="197" t="e">
        <f>Commodities!C231</f>
        <v>#REF!</v>
      </c>
      <c r="G978" s="204">
        <v>1</v>
      </c>
      <c r="H978" s="203" t="e">
        <f>#REF!*#REF!^5/(Conv!$I$5*Conv!$D$46)/10^6 +#REF!</f>
        <v>#REF!</v>
      </c>
      <c r="I978" s="203" t="e">
        <f>#REF!*#REF!^5/(Conv!$I$5*Conv!$D$46)/10^6 +#REF!</f>
        <v>#REF!</v>
      </c>
      <c r="J978" s="203" t="e">
        <f>#REF!*#REF!^5/(Conv!$I$5*Conv!$D$46)/10^6 +#REF!</f>
        <v>#REF!</v>
      </c>
      <c r="K978" s="203" t="e">
        <f>#REF!*#REF!^5/(Conv!$I$5*Conv!$D$46)/10^6 +#REF!</f>
        <v>#REF!</v>
      </c>
      <c r="L978" s="203" t="e">
        <f>#REF!*#REF!^5/(Conv!$I$5*Conv!$D$46)/10^6 +#REF!</f>
        <v>#REF!</v>
      </c>
      <c r="M978" s="203" t="e">
        <f>#REF!*#REF!^5/(Conv!$I$5*Conv!$D$46)/10^6 +#REF!</f>
        <v>#REF!</v>
      </c>
      <c r="N978" s="203" t="e">
        <f>#REF!*#REF!^5/(Conv!$I$5*Conv!$D$46)/10^6 +#REF!</f>
        <v>#REF!</v>
      </c>
      <c r="O978" s="203" t="e">
        <f>#REF!*#REF!^5/(Conv!$I$5*Conv!$D$46)/10^6 +#REF!</f>
        <v>#REF!</v>
      </c>
      <c r="P978" s="203" t="e">
        <f>#REF!*#REF!^5/(Conv!$I$5*Conv!$D$46)/10^6 +#REF!</f>
        <v>#REF!</v>
      </c>
      <c r="Q978" s="203" t="e">
        <f>#REF!*#REF!^5/(Conv!$I$5*Conv!$D$46)/10^6 +#REF!</f>
        <v>#REF!</v>
      </c>
      <c r="S978" s="177"/>
      <c r="T978" s="177"/>
      <c r="U978" s="177"/>
      <c r="V978" s="177"/>
      <c r="W978" s="177"/>
      <c r="X978" s="177"/>
      <c r="Y978" s="177"/>
      <c r="Z978" s="177"/>
      <c r="AA978" s="177"/>
      <c r="AB978" s="177"/>
      <c r="AC978" s="177"/>
    </row>
    <row r="979" spans="2:29">
      <c r="B979" s="158" t="str">
        <f>IF(OR(LEFT(Commodities!B$70,1)="*",LEFT(Technologies!B$519,1)="*"),"*","R6")</f>
        <v>*</v>
      </c>
      <c r="C979" s="158" t="e">
        <f>Technologies!C$569</f>
        <v>#REF!</v>
      </c>
      <c r="D979" s="158" t="str">
        <f>Technologies!D519</f>
        <v>Delivery of Imported Kerosene and Other Refined Products to the Commercial Sector</v>
      </c>
      <c r="E979" s="197" t="str">
        <f>Commodities!C$96</f>
        <v>KERP3</v>
      </c>
      <c r="F979" s="197" t="e">
        <f>Commodities!C232</f>
        <v>#REF!</v>
      </c>
      <c r="G979" s="204">
        <v>1</v>
      </c>
      <c r="H979" s="203" t="e">
        <f>#REF!*#REF!^5/(Conv!$I$5*Conv!$D$46)/10^6 +#REF!</f>
        <v>#REF!</v>
      </c>
      <c r="I979" s="203" t="e">
        <f>#REF!*#REF!^5/(Conv!$I$5*Conv!$D$46)/10^6 +#REF!</f>
        <v>#REF!</v>
      </c>
      <c r="J979" s="203" t="e">
        <f>#REF!*#REF!^5/(Conv!$I$5*Conv!$D$46)/10^6 +#REF!</f>
        <v>#REF!</v>
      </c>
      <c r="K979" s="203" t="e">
        <f>#REF!*#REF!^5/(Conv!$I$5*Conv!$D$46)/10^6 +#REF!</f>
        <v>#REF!</v>
      </c>
      <c r="L979" s="203" t="e">
        <f>#REF!*#REF!^5/(Conv!$I$5*Conv!$D$46)/10^6 +#REF!</f>
        <v>#REF!</v>
      </c>
      <c r="M979" s="203" t="e">
        <f>#REF!*#REF!^5/(Conv!$I$5*Conv!$D$46)/10^6 +#REF!</f>
        <v>#REF!</v>
      </c>
      <c r="N979" s="203" t="e">
        <f>#REF!*#REF!^5/(Conv!$I$5*Conv!$D$46)/10^6 +#REF!</f>
        <v>#REF!</v>
      </c>
      <c r="O979" s="203" t="e">
        <f>#REF!*#REF!^5/(Conv!$I$5*Conv!$D$46)/10^6 +#REF!</f>
        <v>#REF!</v>
      </c>
      <c r="P979" s="203" t="e">
        <f>#REF!*#REF!^5/(Conv!$I$5*Conv!$D$46)/10^6 +#REF!</f>
        <v>#REF!</v>
      </c>
      <c r="Q979" s="203" t="e">
        <f>#REF!*#REF!^5/(Conv!$I$5*Conv!$D$46)/10^6 +#REF!</f>
        <v>#REF!</v>
      </c>
      <c r="S979" s="177"/>
      <c r="T979" s="177"/>
      <c r="U979" s="177"/>
      <c r="V979" s="177"/>
      <c r="W979" s="177"/>
      <c r="X979" s="177"/>
      <c r="Y979" s="177"/>
      <c r="Z979" s="177"/>
      <c r="AA979" s="177"/>
      <c r="AB979" s="177"/>
      <c r="AC979" s="177"/>
    </row>
    <row r="980" spans="2:29">
      <c r="B980" s="158" t="str">
        <f>IF(OR(LEFT(Commodities!B$70,1)="*",LEFT(Technologies!B$520,1)="*"),"*","R6")</f>
        <v>*</v>
      </c>
      <c r="C980" s="158" t="e">
        <f>Technologies!C$570</f>
        <v>#REF!</v>
      </c>
      <c r="D980" s="158" t="str">
        <f>Technologies!D520</f>
        <v>Delivery of Imported Kerosene and Other Refined Products to the Industrial Sector</v>
      </c>
      <c r="E980" s="197" t="str">
        <f>Commodities!C$96</f>
        <v>KERP3</v>
      </c>
      <c r="F980" s="197" t="e">
        <f>Commodities!C233</f>
        <v>#REF!</v>
      </c>
      <c r="G980" s="204">
        <v>1</v>
      </c>
      <c r="H980" s="203" t="e">
        <f>#REF!*#REF!^5/(Conv!$I$5*Conv!$D$46)/10^6 +#REF!</f>
        <v>#REF!</v>
      </c>
      <c r="I980" s="203" t="e">
        <f>#REF!*#REF!^5/(Conv!$I$5*Conv!$D$46)/10^6 +#REF!</f>
        <v>#REF!</v>
      </c>
      <c r="J980" s="203" t="e">
        <f>#REF!*#REF!^5/(Conv!$I$5*Conv!$D$46)/10^6 +#REF!</f>
        <v>#REF!</v>
      </c>
      <c r="K980" s="203" t="e">
        <f>#REF!*#REF!^5/(Conv!$I$5*Conv!$D$46)/10^6 +#REF!</f>
        <v>#REF!</v>
      </c>
      <c r="L980" s="203" t="e">
        <f>#REF!*#REF!^5/(Conv!$I$5*Conv!$D$46)/10^6 +#REF!</f>
        <v>#REF!</v>
      </c>
      <c r="M980" s="203" t="e">
        <f>#REF!*#REF!^5/(Conv!$I$5*Conv!$D$46)/10^6 +#REF!</f>
        <v>#REF!</v>
      </c>
      <c r="N980" s="203" t="e">
        <f>#REF!*#REF!^5/(Conv!$I$5*Conv!$D$46)/10^6 +#REF!</f>
        <v>#REF!</v>
      </c>
      <c r="O980" s="203" t="e">
        <f>#REF!*#REF!^5/(Conv!$I$5*Conv!$D$46)/10^6 +#REF!</f>
        <v>#REF!</v>
      </c>
      <c r="P980" s="203" t="e">
        <f>#REF!*#REF!^5/(Conv!$I$5*Conv!$D$46)/10^6 +#REF!</f>
        <v>#REF!</v>
      </c>
      <c r="Q980" s="203" t="e">
        <f>#REF!*#REF!^5/(Conv!$I$5*Conv!$D$46)/10^6 +#REF!</f>
        <v>#REF!</v>
      </c>
      <c r="S980" s="177"/>
      <c r="T980" s="177"/>
      <c r="U980" s="177"/>
      <c r="V980" s="177"/>
      <c r="W980" s="177"/>
      <c r="X980" s="177"/>
      <c r="Y980" s="177"/>
      <c r="Z980" s="177"/>
      <c r="AA980" s="177"/>
      <c r="AB980" s="177"/>
      <c r="AC980" s="177"/>
    </row>
    <row r="981" spans="2:29">
      <c r="B981" s="158" t="str">
        <f>IF(OR(LEFT(Commodities!B$71,1)="*",LEFT(Technologies!B$521,1)="*"),"*","R6")</f>
        <v>*</v>
      </c>
      <c r="C981" s="158" t="e">
        <f>Technologies!C$571</f>
        <v>#REF!</v>
      </c>
      <c r="D981" s="158" t="str">
        <f>Technologies!D521</f>
        <v>Delivery of Imported LPG to the Residential Sector</v>
      </c>
      <c r="E981" s="197" t="str">
        <f>Commodities!C$97</f>
        <v>LPGP3</v>
      </c>
      <c r="F981" s="197" t="e">
        <f>Commodities!C234</f>
        <v>#REF!</v>
      </c>
      <c r="G981" s="204">
        <v>1</v>
      </c>
      <c r="H981" s="203" t="e">
        <f>#REF!*#REF!^5/(Conv!$I$5*Conv!$D$46)/10^6 +#REF!</f>
        <v>#REF!</v>
      </c>
      <c r="I981" s="203" t="e">
        <f>#REF!*#REF!^5/(Conv!$I$5*Conv!$D$46)/10^6 +#REF!</f>
        <v>#REF!</v>
      </c>
      <c r="J981" s="203" t="e">
        <f>#REF!*#REF!^5/(Conv!$I$5*Conv!$D$46)/10^6 +#REF!</f>
        <v>#REF!</v>
      </c>
      <c r="K981" s="203" t="e">
        <f>#REF!*#REF!^5/(Conv!$I$5*Conv!$D$46)/10^6 +#REF!</f>
        <v>#REF!</v>
      </c>
      <c r="L981" s="203" t="e">
        <f>#REF!*#REF!^5/(Conv!$I$5*Conv!$D$46)/10^6 +#REF!</f>
        <v>#REF!</v>
      </c>
      <c r="M981" s="203" t="e">
        <f>#REF!*#REF!^5/(Conv!$I$5*Conv!$D$46)/10^6 +#REF!</f>
        <v>#REF!</v>
      </c>
      <c r="N981" s="203" t="e">
        <f>#REF!*#REF!^5/(Conv!$I$5*Conv!$D$46)/10^6 +#REF!</f>
        <v>#REF!</v>
      </c>
      <c r="O981" s="203" t="e">
        <f>#REF!*#REF!^5/(Conv!$I$5*Conv!$D$46)/10^6 +#REF!</f>
        <v>#REF!</v>
      </c>
      <c r="P981" s="203" t="e">
        <f>#REF!*#REF!^5/(Conv!$I$5*Conv!$D$46)/10^6 +#REF!</f>
        <v>#REF!</v>
      </c>
      <c r="Q981" s="203" t="e">
        <f>#REF!*#REF!^5/(Conv!$I$5*Conv!$D$46)/10^6 +#REF!</f>
        <v>#REF!</v>
      </c>
      <c r="S981" s="177"/>
      <c r="T981" s="177"/>
      <c r="U981" s="177"/>
      <c r="V981" s="177"/>
      <c r="W981" s="177"/>
      <c r="X981" s="177"/>
      <c r="Y981" s="177"/>
      <c r="Z981" s="177"/>
      <c r="AA981" s="177"/>
      <c r="AB981" s="177"/>
      <c r="AC981" s="177"/>
    </row>
    <row r="982" spans="2:29">
      <c r="B982" s="158" t="str">
        <f>IF(OR(LEFT(Commodities!B$71,1)="*",LEFT(Technologies!B$522,1)="*"),"*","R6")</f>
        <v>*</v>
      </c>
      <c r="C982" s="158" t="e">
        <f>Technologies!C$572</f>
        <v>#REF!</v>
      </c>
      <c r="D982" s="158" t="str">
        <f>Technologies!D522</f>
        <v>Delivery of Imported LPG to the Commercial Sector</v>
      </c>
      <c r="E982" s="197" t="str">
        <f>Commodities!C$97</f>
        <v>LPGP3</v>
      </c>
      <c r="F982" s="197" t="e">
        <f>Commodities!C235</f>
        <v>#REF!</v>
      </c>
      <c r="G982" s="204">
        <v>1</v>
      </c>
      <c r="H982" s="203" t="e">
        <f>#REF!*#REF!^5/(Conv!$I$5*Conv!$D$46)/10^6 +#REF!</f>
        <v>#REF!</v>
      </c>
      <c r="I982" s="203" t="e">
        <f>#REF!*#REF!^5/(Conv!$I$5*Conv!$D$46)/10^6 +#REF!</f>
        <v>#REF!</v>
      </c>
      <c r="J982" s="203" t="e">
        <f>#REF!*#REF!^5/(Conv!$I$5*Conv!$D$46)/10^6 +#REF!</f>
        <v>#REF!</v>
      </c>
      <c r="K982" s="203" t="e">
        <f>#REF!*#REF!^5/(Conv!$I$5*Conv!$D$46)/10^6 +#REF!</f>
        <v>#REF!</v>
      </c>
      <c r="L982" s="203" t="e">
        <f>#REF!*#REF!^5/(Conv!$I$5*Conv!$D$46)/10^6 +#REF!</f>
        <v>#REF!</v>
      </c>
      <c r="M982" s="203" t="e">
        <f>#REF!*#REF!^5/(Conv!$I$5*Conv!$D$46)/10^6 +#REF!</f>
        <v>#REF!</v>
      </c>
      <c r="N982" s="203" t="e">
        <f>#REF!*#REF!^5/(Conv!$I$5*Conv!$D$46)/10^6 +#REF!</f>
        <v>#REF!</v>
      </c>
      <c r="O982" s="203" t="e">
        <f>#REF!*#REF!^5/(Conv!$I$5*Conv!$D$46)/10^6 +#REF!</f>
        <v>#REF!</v>
      </c>
      <c r="P982" s="203" t="e">
        <f>#REF!*#REF!^5/(Conv!$I$5*Conv!$D$46)/10^6 +#REF!</f>
        <v>#REF!</v>
      </c>
      <c r="Q982" s="203" t="e">
        <f>#REF!*#REF!^5/(Conv!$I$5*Conv!$D$46)/10^6 +#REF!</f>
        <v>#REF!</v>
      </c>
      <c r="S982" s="177"/>
      <c r="T982" s="177"/>
      <c r="U982" s="177"/>
      <c r="V982" s="177"/>
      <c r="W982" s="177"/>
      <c r="X982" s="177"/>
      <c r="Y982" s="177"/>
      <c r="Z982" s="177"/>
      <c r="AA982" s="177"/>
      <c r="AB982" s="177"/>
      <c r="AC982" s="177"/>
    </row>
    <row r="983" spans="2:29">
      <c r="B983" s="158" t="str">
        <f>IF(OR(LEFT(Commodities!B$71,1)="*",LEFT(Technologies!B$523,1)="*"),"*","R6")</f>
        <v>*</v>
      </c>
      <c r="C983" s="158" t="e">
        <f>Technologies!C$573</f>
        <v>#REF!</v>
      </c>
      <c r="D983" s="158" t="str">
        <f>Technologies!D523</f>
        <v>Delivery of Imported LPG to the Industrial Sector</v>
      </c>
      <c r="E983" s="197" t="str">
        <f>Commodities!C$97</f>
        <v>LPGP3</v>
      </c>
      <c r="F983" s="197" t="e">
        <f>Commodities!C236</f>
        <v>#REF!</v>
      </c>
      <c r="G983" s="204">
        <v>1</v>
      </c>
      <c r="H983" s="203" t="e">
        <f>#REF!*#REF!^5/(Conv!$I$5*Conv!$D$46)/10^6 +#REF!</f>
        <v>#REF!</v>
      </c>
      <c r="I983" s="203" t="e">
        <f>#REF!*#REF!^5/(Conv!$I$5*Conv!$D$46)/10^6 +#REF!</f>
        <v>#REF!</v>
      </c>
      <c r="J983" s="203" t="e">
        <f>#REF!*#REF!^5/(Conv!$I$5*Conv!$D$46)/10^6 +#REF!</f>
        <v>#REF!</v>
      </c>
      <c r="K983" s="203" t="e">
        <f>#REF!*#REF!^5/(Conv!$I$5*Conv!$D$46)/10^6 +#REF!</f>
        <v>#REF!</v>
      </c>
      <c r="L983" s="203" t="e">
        <f>#REF!*#REF!^5/(Conv!$I$5*Conv!$D$46)/10^6 +#REF!</f>
        <v>#REF!</v>
      </c>
      <c r="M983" s="203" t="e">
        <f>#REF!*#REF!^5/(Conv!$I$5*Conv!$D$46)/10^6 +#REF!</f>
        <v>#REF!</v>
      </c>
      <c r="N983" s="203" t="e">
        <f>#REF!*#REF!^5/(Conv!$I$5*Conv!$D$46)/10^6 +#REF!</f>
        <v>#REF!</v>
      </c>
      <c r="O983" s="203" t="e">
        <f>#REF!*#REF!^5/(Conv!$I$5*Conv!$D$46)/10^6 +#REF!</f>
        <v>#REF!</v>
      </c>
      <c r="P983" s="203" t="e">
        <f>#REF!*#REF!^5/(Conv!$I$5*Conv!$D$46)/10^6 +#REF!</f>
        <v>#REF!</v>
      </c>
      <c r="Q983" s="203" t="e">
        <f>#REF!*#REF!^5/(Conv!$I$5*Conv!$D$46)/10^6 +#REF!</f>
        <v>#REF!</v>
      </c>
      <c r="S983" s="177"/>
      <c r="T983" s="177"/>
      <c r="U983" s="177"/>
      <c r="V983" s="177"/>
      <c r="W983" s="177"/>
      <c r="X983" s="177"/>
      <c r="Y983" s="177"/>
      <c r="Z983" s="177"/>
      <c r="AA983" s="177"/>
      <c r="AB983" s="177"/>
      <c r="AC983" s="177"/>
    </row>
    <row r="984" spans="2:29">
      <c r="B984" s="158" t="str">
        <f>IF(OR(LEFT(Commodities!B$71,1)="*",LEFT(Technologies!B$524,1)="*"),"*","R6")</f>
        <v>*</v>
      </c>
      <c r="C984" s="158" t="e">
        <f>Technologies!C$574</f>
        <v>#REF!</v>
      </c>
      <c r="D984" s="158" t="str">
        <f>Technologies!D524</f>
        <v>Delivery of Imported LPG to the Transportation Sector</v>
      </c>
      <c r="E984" s="197" t="str">
        <f>Commodities!C$97</f>
        <v>LPGP3</v>
      </c>
      <c r="F984" s="197" t="e">
        <f>Commodities!C237</f>
        <v>#REF!</v>
      </c>
      <c r="G984" s="204">
        <v>1</v>
      </c>
      <c r="H984" s="203" t="e">
        <f>#REF!*#REF!^5/(Conv!$I$5*Conv!$D$46)/10^6 +#REF!</f>
        <v>#REF!</v>
      </c>
      <c r="I984" s="203" t="e">
        <f>#REF!*#REF!^5/(Conv!$I$5*Conv!$D$46)/10^6 +#REF!</f>
        <v>#REF!</v>
      </c>
      <c r="J984" s="203" t="e">
        <f>#REF!*#REF!^5/(Conv!$I$5*Conv!$D$46)/10^6 +#REF!</f>
        <v>#REF!</v>
      </c>
      <c r="K984" s="203" t="e">
        <f>#REF!*#REF!^5/(Conv!$I$5*Conv!$D$46)/10^6 +#REF!</f>
        <v>#REF!</v>
      </c>
      <c r="L984" s="203" t="e">
        <f>#REF!*#REF!^5/(Conv!$I$5*Conv!$D$46)/10^6 +#REF!</f>
        <v>#REF!</v>
      </c>
      <c r="M984" s="203" t="e">
        <f>#REF!*#REF!^5/(Conv!$I$5*Conv!$D$46)/10^6 +#REF!</f>
        <v>#REF!</v>
      </c>
      <c r="N984" s="203" t="e">
        <f>#REF!*#REF!^5/(Conv!$I$5*Conv!$D$46)/10^6 +#REF!</f>
        <v>#REF!</v>
      </c>
      <c r="O984" s="203" t="e">
        <f>#REF!*#REF!^5/(Conv!$I$5*Conv!$D$46)/10^6 +#REF!</f>
        <v>#REF!</v>
      </c>
      <c r="P984" s="203" t="e">
        <f>#REF!*#REF!^5/(Conv!$I$5*Conv!$D$46)/10^6 +#REF!</f>
        <v>#REF!</v>
      </c>
      <c r="Q984" s="203" t="e">
        <f>#REF!*#REF!^5/(Conv!$I$5*Conv!$D$46)/10^6 +#REF!</f>
        <v>#REF!</v>
      </c>
      <c r="S984" s="177"/>
      <c r="T984" s="177"/>
      <c r="U984" s="177"/>
      <c r="V984" s="177"/>
      <c r="W984" s="177"/>
      <c r="X984" s="177"/>
      <c r="Y984" s="177"/>
      <c r="Z984" s="177"/>
      <c r="AA984" s="177"/>
      <c r="AB984" s="177"/>
      <c r="AC984" s="177"/>
    </row>
    <row r="985" spans="2:29">
      <c r="B985" s="158" t="str">
        <f>IF(LEFT(Technologies!B$525,1)="*","*","R6")</f>
        <v>*</v>
      </c>
      <c r="C985" s="158" t="e">
        <f>Technologies!C$575</f>
        <v>#REF!</v>
      </c>
      <c r="D985" s="158" t="str">
        <f>Technologies!D525</f>
        <v>Delivery of Imported Methanol</v>
      </c>
      <c r="E985" s="197" t="str">
        <f>Commodities!C$98</f>
        <v>MTHP3</v>
      </c>
      <c r="F985" s="197" t="e">
        <f>Commodities!C238</f>
        <v>#REF!</v>
      </c>
      <c r="G985" s="204">
        <v>1</v>
      </c>
      <c r="H985" s="203" t="e">
        <f>#REF!*#REF!^5/(Conv!$I$5*Conv!$D$46)/10^6 +#REF!</f>
        <v>#REF!</v>
      </c>
      <c r="I985" s="203" t="e">
        <f>#REF!*#REF!^5/(Conv!$I$5*Conv!$D$46)/10^6 +#REF!</f>
        <v>#REF!</v>
      </c>
      <c r="J985" s="203" t="e">
        <f>#REF!*#REF!^5/(Conv!$I$5*Conv!$D$46)/10^6 +#REF!</f>
        <v>#REF!</v>
      </c>
      <c r="K985" s="203" t="e">
        <f>#REF!*#REF!^5/(Conv!$I$5*Conv!$D$46)/10^6 +#REF!</f>
        <v>#REF!</v>
      </c>
      <c r="L985" s="203" t="e">
        <f>#REF!*#REF!^5/(Conv!$I$5*Conv!$D$46)/10^6 +#REF!</f>
        <v>#REF!</v>
      </c>
      <c r="M985" s="203" t="e">
        <f>#REF!*#REF!^5/(Conv!$I$5*Conv!$D$46)/10^6 +#REF!</f>
        <v>#REF!</v>
      </c>
      <c r="N985" s="203" t="e">
        <f>#REF!*#REF!^5/(Conv!$I$5*Conv!$D$46)/10^6 +#REF!</f>
        <v>#REF!</v>
      </c>
      <c r="O985" s="203" t="e">
        <f>#REF!*#REF!^5/(Conv!$I$5*Conv!$D$46)/10^6 +#REF!</f>
        <v>#REF!</v>
      </c>
      <c r="P985" s="203" t="e">
        <f>#REF!*#REF!^5/(Conv!$I$5*Conv!$D$46)/10^6 +#REF!</f>
        <v>#REF!</v>
      </c>
      <c r="Q985" s="203" t="e">
        <f>#REF!*#REF!^5/(Conv!$I$5*Conv!$D$46)/10^6 +#REF!</f>
        <v>#REF!</v>
      </c>
      <c r="S985" s="177"/>
      <c r="T985" s="177"/>
      <c r="U985" s="177"/>
      <c r="V985" s="177"/>
      <c r="W985" s="177"/>
      <c r="X985" s="177"/>
      <c r="Y985" s="177"/>
      <c r="Z985" s="177"/>
      <c r="AA985" s="177"/>
      <c r="AB985" s="177"/>
      <c r="AC985" s="177"/>
    </row>
    <row r="986" spans="2:29">
      <c r="B986" s="158" t="str">
        <f>IF(OR(LEFT(Commodities!B$239,1)="*",LEFT(Technologies!B$526,1)="*"),"*","R6")</f>
        <v>*</v>
      </c>
      <c r="C986" s="158" t="e">
        <f>Technologies!C$576</f>
        <v>#REF!</v>
      </c>
      <c r="D986" s="158" t="str">
        <f>Technologies!D526</f>
        <v>Delivery of Imported Petrochemical Feedstocks</v>
      </c>
      <c r="E986" s="197" t="str">
        <f>Commodities!C$99</f>
        <v>PFSP3</v>
      </c>
      <c r="F986" s="197" t="e">
        <f>Commodities!C239</f>
        <v>#REF!</v>
      </c>
      <c r="G986" s="204">
        <v>1</v>
      </c>
      <c r="H986" s="203" t="e">
        <f>#REF!*#REF!^5/(Conv!$I$5*Conv!$D$46)/10^6 +#REF!</f>
        <v>#REF!</v>
      </c>
      <c r="I986" s="203" t="e">
        <f>#REF!*#REF!^5/(Conv!$I$5*Conv!$D$46)/10^6 +#REF!</f>
        <v>#REF!</v>
      </c>
      <c r="J986" s="203" t="e">
        <f>#REF!*#REF!^5/(Conv!$I$5*Conv!$D$46)/10^6 +#REF!</f>
        <v>#REF!</v>
      </c>
      <c r="K986" s="203" t="e">
        <f>#REF!*#REF!^5/(Conv!$I$5*Conv!$D$46)/10^6 +#REF!</f>
        <v>#REF!</v>
      </c>
      <c r="L986" s="203" t="e">
        <f>#REF!*#REF!^5/(Conv!$I$5*Conv!$D$46)/10^6 +#REF!</f>
        <v>#REF!</v>
      </c>
      <c r="M986" s="203" t="e">
        <f>#REF!*#REF!^5/(Conv!$I$5*Conv!$D$46)/10^6 +#REF!</f>
        <v>#REF!</v>
      </c>
      <c r="N986" s="203" t="e">
        <f>#REF!*#REF!^5/(Conv!$I$5*Conv!$D$46)/10^6 +#REF!</f>
        <v>#REF!</v>
      </c>
      <c r="O986" s="203" t="e">
        <f>#REF!*#REF!^5/(Conv!$I$5*Conv!$D$46)/10^6 +#REF!</f>
        <v>#REF!</v>
      </c>
      <c r="P986" s="203" t="e">
        <f>#REF!*#REF!^5/(Conv!$I$5*Conv!$D$46)/10^6 +#REF!</f>
        <v>#REF!</v>
      </c>
      <c r="Q986" s="203" t="e">
        <f>#REF!*#REF!^5/(Conv!$I$5*Conv!$D$46)/10^6 +#REF!</f>
        <v>#REF!</v>
      </c>
      <c r="S986" s="177"/>
      <c r="T986" s="177"/>
      <c r="U986" s="177"/>
      <c r="V986" s="177"/>
      <c r="W986" s="177"/>
      <c r="X986" s="177"/>
      <c r="Y986" s="177"/>
      <c r="Z986" s="177"/>
      <c r="AA986" s="177"/>
      <c r="AB986" s="177"/>
      <c r="AC986" s="177"/>
    </row>
    <row r="987" spans="2:29">
      <c r="B987" s="158" t="str">
        <f>IF(OR(LEFT(Commodities!B$75,1)="*",LEFT(Technologies!B$527,1)="*"),"*","R6")</f>
        <v>*</v>
      </c>
      <c r="C987" s="158" t="str">
        <f>Technologies!C$577</f>
        <v>XIRESRFLP3</v>
      </c>
      <c r="D987" s="158" t="str">
        <f>Technologies!D527</f>
        <v>Delivery of Imported Low Sulfur Residual Fuel Oil to Residential Sector</v>
      </c>
      <c r="E987" s="197" t="str">
        <f>Commodities!C$101</f>
        <v>RFLP3</v>
      </c>
      <c r="F987" s="197" t="str">
        <f>Commodities!C240</f>
        <v>RESRFL</v>
      </c>
      <c r="G987" s="204">
        <v>1</v>
      </c>
      <c r="H987" s="203" t="e">
        <f>#REF!*#REF!^5/(Conv!$I$5*Conv!$D$46)/10^6 +#REF!</f>
        <v>#REF!</v>
      </c>
      <c r="I987" s="203" t="e">
        <f>#REF!*#REF!^5/(Conv!$I$5*Conv!$D$46)/10^6 +#REF!</f>
        <v>#REF!</v>
      </c>
      <c r="J987" s="203" t="e">
        <f>#REF!*#REF!^5/(Conv!$I$5*Conv!$D$46)/10^6 +#REF!</f>
        <v>#REF!</v>
      </c>
      <c r="K987" s="203" t="e">
        <f>#REF!*#REF!^5/(Conv!$I$5*Conv!$D$46)/10^6 +#REF!</f>
        <v>#REF!</v>
      </c>
      <c r="L987" s="203" t="e">
        <f>#REF!*#REF!^5/(Conv!$I$5*Conv!$D$46)/10^6 +#REF!</f>
        <v>#REF!</v>
      </c>
      <c r="M987" s="203" t="e">
        <f>#REF!*#REF!^5/(Conv!$I$5*Conv!$D$46)/10^6 +#REF!</f>
        <v>#REF!</v>
      </c>
      <c r="N987" s="203" t="e">
        <f>#REF!*#REF!^5/(Conv!$I$5*Conv!$D$46)/10^6 +#REF!</f>
        <v>#REF!</v>
      </c>
      <c r="O987" s="203" t="e">
        <f>#REF!*#REF!^5/(Conv!$I$5*Conv!$D$46)/10^6 +#REF!</f>
        <v>#REF!</v>
      </c>
      <c r="P987" s="203" t="e">
        <f>#REF!*#REF!^5/(Conv!$I$5*Conv!$D$46)/10^6 +#REF!</f>
        <v>#REF!</v>
      </c>
      <c r="Q987" s="203" t="e">
        <f>#REF!*#REF!^5/(Conv!$I$5*Conv!$D$46)/10^6 +#REF!</f>
        <v>#REF!</v>
      </c>
      <c r="S987" s="177"/>
      <c r="T987" s="177"/>
      <c r="U987" s="177"/>
      <c r="V987" s="177"/>
      <c r="W987" s="177"/>
      <c r="X987" s="177"/>
      <c r="Y987" s="177"/>
      <c r="Z987" s="177"/>
      <c r="AA987" s="177"/>
      <c r="AB987" s="177"/>
      <c r="AC987" s="177"/>
    </row>
    <row r="988" spans="2:29">
      <c r="B988" s="158" t="str">
        <f>IF(OR(LEFT(Commodities!B$75,1)="*",LEFT(Technologies!B$528,1)="*"),"*","R6")</f>
        <v>*</v>
      </c>
      <c r="C988" s="158" t="e">
        <f>Technologies!C$578</f>
        <v>#REF!</v>
      </c>
      <c r="D988" s="158" t="str">
        <f>Technologies!D528</f>
        <v>Delivery of Imported Low Sulfur Residual Fuel Oil to Commercial Sector</v>
      </c>
      <c r="E988" s="197" t="str">
        <f>Commodities!C$101</f>
        <v>RFLP3</v>
      </c>
      <c r="F988" s="197" t="e">
        <f>Commodities!C241</f>
        <v>#REF!</v>
      </c>
      <c r="G988" s="204">
        <v>1</v>
      </c>
      <c r="H988" s="203" t="e">
        <f>#REF!*#REF!^5/(Conv!$I$5*Conv!$D$46)/10^6 +#REF!</f>
        <v>#REF!</v>
      </c>
      <c r="I988" s="203" t="e">
        <f>#REF!*#REF!^5/(Conv!$I$5*Conv!$D$46)/10^6 +#REF!</f>
        <v>#REF!</v>
      </c>
      <c r="J988" s="203" t="e">
        <f>#REF!*#REF!^5/(Conv!$I$5*Conv!$D$46)/10^6 +#REF!</f>
        <v>#REF!</v>
      </c>
      <c r="K988" s="203" t="e">
        <f>#REF!*#REF!^5/(Conv!$I$5*Conv!$D$46)/10^6 +#REF!</f>
        <v>#REF!</v>
      </c>
      <c r="L988" s="203" t="e">
        <f>#REF!*#REF!^5/(Conv!$I$5*Conv!$D$46)/10^6 +#REF!</f>
        <v>#REF!</v>
      </c>
      <c r="M988" s="203" t="e">
        <f>#REF!*#REF!^5/(Conv!$I$5*Conv!$D$46)/10^6 +#REF!</f>
        <v>#REF!</v>
      </c>
      <c r="N988" s="203" t="e">
        <f>#REF!*#REF!^5/(Conv!$I$5*Conv!$D$46)/10^6 +#REF!</f>
        <v>#REF!</v>
      </c>
      <c r="O988" s="203" t="e">
        <f>#REF!*#REF!^5/(Conv!$I$5*Conv!$D$46)/10^6 +#REF!</f>
        <v>#REF!</v>
      </c>
      <c r="P988" s="203" t="e">
        <f>#REF!*#REF!^5/(Conv!$I$5*Conv!$D$46)/10^6 +#REF!</f>
        <v>#REF!</v>
      </c>
      <c r="Q988" s="203" t="e">
        <f>#REF!*#REF!^5/(Conv!$I$5*Conv!$D$46)/10^6 +#REF!</f>
        <v>#REF!</v>
      </c>
      <c r="S988" s="177"/>
      <c r="T988" s="177"/>
      <c r="U988" s="177"/>
      <c r="V988" s="177"/>
      <c r="W988" s="177"/>
      <c r="X988" s="177"/>
      <c r="Y988" s="177"/>
      <c r="Z988" s="177"/>
      <c r="AA988" s="177"/>
      <c r="AB988" s="177"/>
      <c r="AC988" s="177"/>
    </row>
    <row r="989" spans="2:29">
      <c r="B989" s="158" t="str">
        <f>IF(OR(LEFT(Commodities!B$75,1)="*",LEFT(Technologies!B$529,1)="*"),"*","R6")</f>
        <v>R6</v>
      </c>
      <c r="C989" s="158" t="e">
        <f>Technologies!C$579</f>
        <v>#REF!</v>
      </c>
      <c r="D989" s="158" t="str">
        <f>Technologies!D529</f>
        <v>Delivery of Imported Low Sulfur Residual Fuel Oil to Industrial Sector</v>
      </c>
      <c r="E989" s="197" t="str">
        <f>Commodities!C$101</f>
        <v>RFLP3</v>
      </c>
      <c r="F989" s="197" t="e">
        <f>Commodities!C242</f>
        <v>#REF!</v>
      </c>
      <c r="G989" s="204">
        <v>1</v>
      </c>
      <c r="H989" s="203" t="e">
        <f>#REF!*#REF!^5/(Conv!$I$5*Conv!$D$46)/10^6 +#REF!</f>
        <v>#REF!</v>
      </c>
      <c r="I989" s="203" t="e">
        <f>#REF!*#REF!^5/(Conv!$I$5*Conv!$D$46)/10^6 +#REF!</f>
        <v>#REF!</v>
      </c>
      <c r="J989" s="203" t="e">
        <f>#REF!*#REF!^5/(Conv!$I$5*Conv!$D$46)/10^6 +#REF!</f>
        <v>#REF!</v>
      </c>
      <c r="K989" s="203" t="e">
        <f>#REF!*#REF!^5/(Conv!$I$5*Conv!$D$46)/10^6 +#REF!</f>
        <v>#REF!</v>
      </c>
      <c r="L989" s="203" t="e">
        <f>#REF!*#REF!^5/(Conv!$I$5*Conv!$D$46)/10^6 +#REF!</f>
        <v>#REF!</v>
      </c>
      <c r="M989" s="203" t="e">
        <f>#REF!*#REF!^5/(Conv!$I$5*Conv!$D$46)/10^6 +#REF!</f>
        <v>#REF!</v>
      </c>
      <c r="N989" s="203" t="e">
        <f>#REF!*#REF!^5/(Conv!$I$5*Conv!$D$46)/10^6 +#REF!</f>
        <v>#REF!</v>
      </c>
      <c r="O989" s="203" t="e">
        <f>#REF!*#REF!^5/(Conv!$I$5*Conv!$D$46)/10^6 +#REF!</f>
        <v>#REF!</v>
      </c>
      <c r="P989" s="203" t="e">
        <f>#REF!*#REF!^5/(Conv!$I$5*Conv!$D$46)/10^6 +#REF!</f>
        <v>#REF!</v>
      </c>
      <c r="Q989" s="203" t="e">
        <f>#REF!*#REF!^5/(Conv!$I$5*Conv!$D$46)/10^6 +#REF!</f>
        <v>#REF!</v>
      </c>
      <c r="S989" s="177"/>
      <c r="T989" s="177"/>
      <c r="U989" s="177"/>
      <c r="V989" s="177"/>
      <c r="W989" s="177"/>
      <c r="X989" s="177"/>
      <c r="Y989" s="177"/>
      <c r="Z989" s="177"/>
      <c r="AA989" s="177"/>
      <c r="AB989" s="177"/>
      <c r="AC989" s="177"/>
    </row>
    <row r="990" spans="2:29">
      <c r="B990" s="158" t="str">
        <f>IF(OR(LEFT(Commodities!B$75,1)="*",LEFT(Technologies!B$530,1)="*"),"*","R6")</f>
        <v>*</v>
      </c>
      <c r="C990" s="158" t="e">
        <f>Technologies!C$580</f>
        <v>#REF!</v>
      </c>
      <c r="D990" s="158" t="str">
        <f>Technologies!D530</f>
        <v>Delivery of Imported Low Sulfur Residual Fuel Oil to Electricity Sector</v>
      </c>
      <c r="E990" s="197" t="str">
        <f>Commodities!C$101</f>
        <v>RFLP3</v>
      </c>
      <c r="F990" s="197" t="e">
        <f>Commodities!C243</f>
        <v>#REF!</v>
      </c>
      <c r="G990" s="204">
        <v>1</v>
      </c>
      <c r="H990" s="203" t="e">
        <f>#REF!*#REF!^5/(Conv!$I$5*Conv!$D$46)/10^6 +#REF!</f>
        <v>#REF!</v>
      </c>
      <c r="I990" s="203" t="e">
        <f>#REF!*#REF!^5/(Conv!$I$5*Conv!$D$46)/10^6 +#REF!</f>
        <v>#REF!</v>
      </c>
      <c r="J990" s="203" t="e">
        <f>#REF!*#REF!^5/(Conv!$I$5*Conv!$D$46)/10^6 +#REF!</f>
        <v>#REF!</v>
      </c>
      <c r="K990" s="203" t="e">
        <f>#REF!*#REF!^5/(Conv!$I$5*Conv!$D$46)/10^6 +#REF!</f>
        <v>#REF!</v>
      </c>
      <c r="L990" s="203" t="e">
        <f>#REF!*#REF!^5/(Conv!$I$5*Conv!$D$46)/10^6 +#REF!</f>
        <v>#REF!</v>
      </c>
      <c r="M990" s="203" t="e">
        <f>#REF!*#REF!^5/(Conv!$I$5*Conv!$D$46)/10^6 +#REF!</f>
        <v>#REF!</v>
      </c>
      <c r="N990" s="203" t="e">
        <f>#REF!*#REF!^5/(Conv!$I$5*Conv!$D$46)/10^6 +#REF!</f>
        <v>#REF!</v>
      </c>
      <c r="O990" s="203" t="e">
        <f>#REF!*#REF!^5/(Conv!$I$5*Conv!$D$46)/10^6 +#REF!</f>
        <v>#REF!</v>
      </c>
      <c r="P990" s="203" t="e">
        <f>#REF!*#REF!^5/(Conv!$I$5*Conv!$D$46)/10^6 +#REF!</f>
        <v>#REF!</v>
      </c>
      <c r="Q990" s="203" t="e">
        <f>#REF!*#REF!^5/(Conv!$I$5*Conv!$D$46)/10^6 +#REF!</f>
        <v>#REF!</v>
      </c>
      <c r="S990" s="177"/>
      <c r="T990" s="177"/>
      <c r="U990" s="177"/>
      <c r="V990" s="177"/>
      <c r="W990" s="177"/>
      <c r="X990" s="177"/>
      <c r="Y990" s="177"/>
      <c r="Z990" s="177"/>
      <c r="AA990" s="177"/>
      <c r="AB990" s="177"/>
      <c r="AC990" s="177"/>
    </row>
    <row r="991" spans="2:29">
      <c r="B991" s="158" t="str">
        <f>IF(OR(LEFT(Commodities!B$74,1)="*",LEFT(Technologies!B$531,1)="*"),"*","R6")</f>
        <v>*</v>
      </c>
      <c r="C991" s="158" t="e">
        <f>Technologies!C$581</f>
        <v>#REF!</v>
      </c>
      <c r="D991" s="158" t="str">
        <f>Technologies!D531</f>
        <v>Delivery of Imported High Sulfur Residual Fuel Oil to Transportation Sector</v>
      </c>
      <c r="E991" s="197" t="e">
        <f>Commodities!C285</f>
        <v>#REF!</v>
      </c>
      <c r="F991" s="197" t="e">
        <f>Commodities!C244</f>
        <v>#REF!</v>
      </c>
      <c r="G991" s="204">
        <v>1</v>
      </c>
      <c r="H991" s="203" t="e">
        <f>#REF!*#REF!^5/(Conv!$I$5*Conv!$D$46)/10^6 +#REF!</f>
        <v>#REF!</v>
      </c>
      <c r="I991" s="203" t="e">
        <f>#REF!*#REF!^5/(Conv!$I$5*Conv!$D$46)/10^6 +#REF!</f>
        <v>#REF!</v>
      </c>
      <c r="J991" s="203" t="e">
        <f>#REF!*#REF!^5/(Conv!$I$5*Conv!$D$46)/10^6 +#REF!</f>
        <v>#REF!</v>
      </c>
      <c r="K991" s="203" t="e">
        <f>#REF!*#REF!^5/(Conv!$I$5*Conv!$D$46)/10^6 +#REF!</f>
        <v>#REF!</v>
      </c>
      <c r="L991" s="203" t="e">
        <f>#REF!*#REF!^5/(Conv!$I$5*Conv!$D$46)/10^6 +#REF!</f>
        <v>#REF!</v>
      </c>
      <c r="M991" s="203" t="e">
        <f>#REF!*#REF!^5/(Conv!$I$5*Conv!$D$46)/10^6 +#REF!</f>
        <v>#REF!</v>
      </c>
      <c r="N991" s="203" t="e">
        <f>#REF!*#REF!^5/(Conv!$I$5*Conv!$D$46)/10^6 +#REF!</f>
        <v>#REF!</v>
      </c>
      <c r="O991" s="203" t="e">
        <f>#REF!*#REF!^5/(Conv!$I$5*Conv!$D$46)/10^6 +#REF!</f>
        <v>#REF!</v>
      </c>
      <c r="P991" s="203" t="e">
        <f>#REF!*#REF!^5/(Conv!$I$5*Conv!$D$46)/10^6 +#REF!</f>
        <v>#REF!</v>
      </c>
      <c r="Q991" s="203" t="e">
        <f>#REF!*#REF!^5/(Conv!$I$5*Conv!$D$46)/10^6 +#REF!</f>
        <v>#REF!</v>
      </c>
      <c r="S991" s="177"/>
      <c r="T991" s="177"/>
      <c r="U991" s="177"/>
      <c r="V991" s="177"/>
      <c r="W991" s="177"/>
      <c r="X991" s="177"/>
      <c r="Y991" s="177"/>
      <c r="Z991" s="177"/>
      <c r="AA991" s="177"/>
      <c r="AB991" s="177"/>
      <c r="AC991" s="177"/>
    </row>
    <row r="992" spans="2:29">
      <c r="B992" s="158" t="str">
        <f>IF(OR(LEFT(Commodities!B$74,1)="*",LEFT(Technologies!B$532,1)="*"),"*","R6")</f>
        <v>*</v>
      </c>
      <c r="C992" s="158" t="e">
        <f>Technologies!C$582</f>
        <v>#REF!</v>
      </c>
      <c r="D992" s="158" t="str">
        <f>Technologies!D532</f>
        <v>Delivery of Imported High Sulfur Residual Fuel Oil to Electricity Sector</v>
      </c>
      <c r="E992" s="197" t="e">
        <f>Commodities!C286</f>
        <v>#REF!</v>
      </c>
      <c r="F992" s="197" t="e">
        <f>Commodities!C245</f>
        <v>#REF!</v>
      </c>
      <c r="G992" s="204">
        <v>1</v>
      </c>
      <c r="H992" s="203" t="e">
        <f>#REF!*#REF!^5/(Conv!$I$5*Conv!$D$46)/10^6 +#REF!</f>
        <v>#REF!</v>
      </c>
      <c r="I992" s="203" t="e">
        <f>#REF!*#REF!^5/(Conv!$I$5*Conv!$D$46)/10^6 +#REF!</f>
        <v>#REF!</v>
      </c>
      <c r="J992" s="203" t="e">
        <f>#REF!*#REF!^5/(Conv!$I$5*Conv!$D$46)/10^6 +#REF!</f>
        <v>#REF!</v>
      </c>
      <c r="K992" s="203" t="e">
        <f>#REF!*#REF!^5/(Conv!$I$5*Conv!$D$46)/10^6 +#REF!</f>
        <v>#REF!</v>
      </c>
      <c r="L992" s="203" t="e">
        <f>#REF!*#REF!^5/(Conv!$I$5*Conv!$D$46)/10^6 +#REF!</f>
        <v>#REF!</v>
      </c>
      <c r="M992" s="203" t="e">
        <f>#REF!*#REF!^5/(Conv!$I$5*Conv!$D$46)/10^6 +#REF!</f>
        <v>#REF!</v>
      </c>
      <c r="N992" s="203" t="e">
        <f>#REF!*#REF!^5/(Conv!$I$5*Conv!$D$46)/10^6 +#REF!</f>
        <v>#REF!</v>
      </c>
      <c r="O992" s="203" t="e">
        <f>#REF!*#REF!^5/(Conv!$I$5*Conv!$D$46)/10^6 +#REF!</f>
        <v>#REF!</v>
      </c>
      <c r="P992" s="203" t="e">
        <f>#REF!*#REF!^5/(Conv!$I$5*Conv!$D$46)/10^6 +#REF!</f>
        <v>#REF!</v>
      </c>
      <c r="Q992" s="203" t="e">
        <f>#REF!*#REF!^5/(Conv!$I$5*Conv!$D$46)/10^6 +#REF!</f>
        <v>#REF!</v>
      </c>
      <c r="S992" s="177"/>
      <c r="T992" s="177"/>
      <c r="U992" s="177"/>
      <c r="V992" s="177"/>
      <c r="W992" s="177"/>
      <c r="X992" s="177"/>
      <c r="Y992" s="177"/>
      <c r="Z992" s="177"/>
      <c r="AA992" s="177"/>
      <c r="AB992" s="177"/>
      <c r="AC992" s="177"/>
    </row>
    <row r="993" spans="2:17">
      <c r="B993" s="160" t="str">
        <f>IF(LEFT(Technologies!B$532,1)="*","*","R6")</f>
        <v>*</v>
      </c>
      <c r="C993" s="160"/>
      <c r="D993" s="160"/>
      <c r="E993" s="196"/>
      <c r="F993" s="196"/>
      <c r="G993" s="200"/>
      <c r="H993" s="174"/>
      <c r="I993" s="174"/>
      <c r="J993" s="174"/>
      <c r="K993" s="174"/>
      <c r="L993" s="174"/>
      <c r="M993" s="174"/>
      <c r="N993" s="174"/>
      <c r="O993" s="174"/>
      <c r="P993" s="174"/>
      <c r="Q993" s="174"/>
    </row>
    <row r="994" spans="2:17">
      <c r="H994" s="191"/>
      <c r="I994" s="191"/>
    </row>
    <row r="995" spans="2:17">
      <c r="H995" s="191"/>
      <c r="I995" s="191"/>
    </row>
    <row r="996" spans="2:17">
      <c r="H996" s="191"/>
      <c r="I996" s="191"/>
    </row>
    <row r="997" spans="2:17">
      <c r="H997" s="191"/>
      <c r="I997" s="191"/>
    </row>
    <row r="998" spans="2:17">
      <c r="H998" s="191"/>
      <c r="I998" s="191"/>
    </row>
    <row r="999" spans="2:17">
      <c r="H999" s="191"/>
      <c r="I999" s="191"/>
    </row>
    <row r="1000" spans="2:17">
      <c r="H1000" s="191"/>
      <c r="I1000" s="191"/>
    </row>
    <row r="1001" spans="2:17">
      <c r="H1001" s="191"/>
      <c r="I1001" s="191"/>
    </row>
    <row r="1002" spans="2:17">
      <c r="H1002" s="191"/>
      <c r="I1002" s="191"/>
    </row>
    <row r="1003" spans="2:17">
      <c r="H1003" s="191"/>
      <c r="I1003" s="191"/>
    </row>
    <row r="1004" spans="2:17">
      <c r="H1004" s="191"/>
      <c r="I1004" s="191"/>
    </row>
    <row r="1005" spans="2:17">
      <c r="H1005" s="191"/>
      <c r="I1005" s="191"/>
    </row>
    <row r="1006" spans="2:17">
      <c r="H1006" s="191"/>
      <c r="I1006" s="191"/>
    </row>
    <row r="1007" spans="2:17">
      <c r="H1007" s="191"/>
      <c r="I1007" s="191"/>
    </row>
  </sheetData>
  <phoneticPr fontId="13" type="noConversion"/>
  <pageMargins left="0.75" right="0.75" top="1" bottom="1" header="0.5" footer="0.5"/>
  <pageSetup paperSize="9" orientation="landscape" horizont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dimension ref="A1:AW35"/>
  <sheetViews>
    <sheetView tabSelected="1" zoomScale="80" zoomScaleNormal="80" workbookViewId="0">
      <selection activeCell="E12" sqref="E12"/>
    </sheetView>
  </sheetViews>
  <sheetFormatPr defaultColWidth="9.140625" defaultRowHeight="12.75"/>
  <cols>
    <col min="1" max="1" width="15.140625" style="1" customWidth="1"/>
    <col min="2" max="5" width="19" style="1" customWidth="1"/>
    <col min="6" max="10" width="19" style="1" hidden="1" customWidth="1"/>
    <col min="11" max="12" width="19" style="1" customWidth="1"/>
    <col min="13" max="24" width="19" style="1" hidden="1" customWidth="1"/>
    <col min="25" max="26" width="19" style="1" customWidth="1"/>
    <col min="27" max="33" width="19" style="1" hidden="1" customWidth="1"/>
    <col min="34" max="35" width="19" style="1" customWidth="1"/>
    <col min="36" max="39" width="19" style="1" hidden="1" customWidth="1"/>
    <col min="40" max="41" width="19" style="1" customWidth="1"/>
    <col min="42" max="48" width="19" style="1" hidden="1" customWidth="1"/>
    <col min="49" max="49" width="19" style="1" customWidth="1"/>
    <col min="50" max="261" width="9.140625" style="1"/>
    <col min="262" max="262" width="15.140625" style="1" customWidth="1"/>
    <col min="263" max="305" width="19" style="1" customWidth="1"/>
    <col min="306" max="517" width="9.140625" style="1"/>
    <col min="518" max="518" width="15.140625" style="1" customWidth="1"/>
    <col min="519" max="561" width="19" style="1" customWidth="1"/>
    <col min="562" max="773" width="9.140625" style="1"/>
    <col min="774" max="774" width="15.140625" style="1" customWidth="1"/>
    <col min="775" max="817" width="19" style="1" customWidth="1"/>
    <col min="818" max="1029" width="9.140625" style="1"/>
    <col min="1030" max="1030" width="15.140625" style="1" customWidth="1"/>
    <col min="1031" max="1073" width="19" style="1" customWidth="1"/>
    <col min="1074" max="1285" width="9.140625" style="1"/>
    <col min="1286" max="1286" width="15.140625" style="1" customWidth="1"/>
    <col min="1287" max="1329" width="19" style="1" customWidth="1"/>
    <col min="1330" max="1541" width="9.140625" style="1"/>
    <col min="1542" max="1542" width="15.140625" style="1" customWidth="1"/>
    <col min="1543" max="1585" width="19" style="1" customWidth="1"/>
    <col min="1586" max="1797" width="9.140625" style="1"/>
    <col min="1798" max="1798" width="15.140625" style="1" customWidth="1"/>
    <col min="1799" max="1841" width="19" style="1" customWidth="1"/>
    <col min="1842" max="2053" width="9.140625" style="1"/>
    <col min="2054" max="2054" width="15.140625" style="1" customWidth="1"/>
    <col min="2055" max="2097" width="19" style="1" customWidth="1"/>
    <col min="2098" max="2309" width="9.140625" style="1"/>
    <col min="2310" max="2310" width="15.140625" style="1" customWidth="1"/>
    <col min="2311" max="2353" width="19" style="1" customWidth="1"/>
    <col min="2354" max="2565" width="9.140625" style="1"/>
    <col min="2566" max="2566" width="15.140625" style="1" customWidth="1"/>
    <col min="2567" max="2609" width="19" style="1" customWidth="1"/>
    <col min="2610" max="2821" width="9.140625" style="1"/>
    <col min="2822" max="2822" width="15.140625" style="1" customWidth="1"/>
    <col min="2823" max="2865" width="19" style="1" customWidth="1"/>
    <col min="2866" max="3077" width="9.140625" style="1"/>
    <col min="3078" max="3078" width="15.140625" style="1" customWidth="1"/>
    <col min="3079" max="3121" width="19" style="1" customWidth="1"/>
    <col min="3122" max="3333" width="9.140625" style="1"/>
    <col min="3334" max="3334" width="15.140625" style="1" customWidth="1"/>
    <col min="3335" max="3377" width="19" style="1" customWidth="1"/>
    <col min="3378" max="3589" width="9.140625" style="1"/>
    <col min="3590" max="3590" width="15.140625" style="1" customWidth="1"/>
    <col min="3591" max="3633" width="19" style="1" customWidth="1"/>
    <col min="3634" max="3845" width="9.140625" style="1"/>
    <col min="3846" max="3846" width="15.140625" style="1" customWidth="1"/>
    <col min="3847" max="3889" width="19" style="1" customWidth="1"/>
    <col min="3890" max="4101" width="9.140625" style="1"/>
    <col min="4102" max="4102" width="15.140625" style="1" customWidth="1"/>
    <col min="4103" max="4145" width="19" style="1" customWidth="1"/>
    <col min="4146" max="4357" width="9.140625" style="1"/>
    <col min="4358" max="4358" width="15.140625" style="1" customWidth="1"/>
    <col min="4359" max="4401" width="19" style="1" customWidth="1"/>
    <col min="4402" max="4613" width="9.140625" style="1"/>
    <col min="4614" max="4614" width="15.140625" style="1" customWidth="1"/>
    <col min="4615" max="4657" width="19" style="1" customWidth="1"/>
    <col min="4658" max="4869" width="9.140625" style="1"/>
    <col min="4870" max="4870" width="15.140625" style="1" customWidth="1"/>
    <col min="4871" max="4913" width="19" style="1" customWidth="1"/>
    <col min="4914" max="5125" width="9.140625" style="1"/>
    <col min="5126" max="5126" width="15.140625" style="1" customWidth="1"/>
    <col min="5127" max="5169" width="19" style="1" customWidth="1"/>
    <col min="5170" max="5381" width="9.140625" style="1"/>
    <col min="5382" max="5382" width="15.140625" style="1" customWidth="1"/>
    <col min="5383" max="5425" width="19" style="1" customWidth="1"/>
    <col min="5426" max="5637" width="9.140625" style="1"/>
    <col min="5638" max="5638" width="15.140625" style="1" customWidth="1"/>
    <col min="5639" max="5681" width="19" style="1" customWidth="1"/>
    <col min="5682" max="5893" width="9.140625" style="1"/>
    <col min="5894" max="5894" width="15.140625" style="1" customWidth="1"/>
    <col min="5895" max="5937" width="19" style="1" customWidth="1"/>
    <col min="5938" max="6149" width="9.140625" style="1"/>
    <col min="6150" max="6150" width="15.140625" style="1" customWidth="1"/>
    <col min="6151" max="6193" width="19" style="1" customWidth="1"/>
    <col min="6194" max="6405" width="9.140625" style="1"/>
    <col min="6406" max="6406" width="15.140625" style="1" customWidth="1"/>
    <col min="6407" max="6449" width="19" style="1" customWidth="1"/>
    <col min="6450" max="6661" width="9.140625" style="1"/>
    <col min="6662" max="6662" width="15.140625" style="1" customWidth="1"/>
    <col min="6663" max="6705" width="19" style="1" customWidth="1"/>
    <col min="6706" max="6917" width="9.140625" style="1"/>
    <col min="6918" max="6918" width="15.140625" style="1" customWidth="1"/>
    <col min="6919" max="6961" width="19" style="1" customWidth="1"/>
    <col min="6962" max="7173" width="9.140625" style="1"/>
    <col min="7174" max="7174" width="15.140625" style="1" customWidth="1"/>
    <col min="7175" max="7217" width="19" style="1" customWidth="1"/>
    <col min="7218" max="7429" width="9.140625" style="1"/>
    <col min="7430" max="7430" width="15.140625" style="1" customWidth="1"/>
    <col min="7431" max="7473" width="19" style="1" customWidth="1"/>
    <col min="7474" max="7685" width="9.140625" style="1"/>
    <col min="7686" max="7686" width="15.140625" style="1" customWidth="1"/>
    <col min="7687" max="7729" width="19" style="1" customWidth="1"/>
    <col min="7730" max="7941" width="9.140625" style="1"/>
    <col min="7942" max="7942" width="15.140625" style="1" customWidth="1"/>
    <col min="7943" max="7985" width="19" style="1" customWidth="1"/>
    <col min="7986" max="8197" width="9.140625" style="1"/>
    <col min="8198" max="8198" width="15.140625" style="1" customWidth="1"/>
    <col min="8199" max="8241" width="19" style="1" customWidth="1"/>
    <col min="8242" max="8453" width="9.140625" style="1"/>
    <col min="8454" max="8454" width="15.140625" style="1" customWidth="1"/>
    <col min="8455" max="8497" width="19" style="1" customWidth="1"/>
    <col min="8498" max="8709" width="9.140625" style="1"/>
    <col min="8710" max="8710" width="15.140625" style="1" customWidth="1"/>
    <col min="8711" max="8753" width="19" style="1" customWidth="1"/>
    <col min="8754" max="8965" width="9.140625" style="1"/>
    <col min="8966" max="8966" width="15.140625" style="1" customWidth="1"/>
    <col min="8967" max="9009" width="19" style="1" customWidth="1"/>
    <col min="9010" max="9221" width="9.140625" style="1"/>
    <col min="9222" max="9222" width="15.140625" style="1" customWidth="1"/>
    <col min="9223" max="9265" width="19" style="1" customWidth="1"/>
    <col min="9266" max="9477" width="9.140625" style="1"/>
    <col min="9478" max="9478" width="15.140625" style="1" customWidth="1"/>
    <col min="9479" max="9521" width="19" style="1" customWidth="1"/>
    <col min="9522" max="9733" width="9.140625" style="1"/>
    <col min="9734" max="9734" width="15.140625" style="1" customWidth="1"/>
    <col min="9735" max="9777" width="19" style="1" customWidth="1"/>
    <col min="9778" max="9989" width="9.140625" style="1"/>
    <col min="9990" max="9990" width="15.140625" style="1" customWidth="1"/>
    <col min="9991" max="10033" width="19" style="1" customWidth="1"/>
    <col min="10034" max="10245" width="9.140625" style="1"/>
    <col min="10246" max="10246" width="15.140625" style="1" customWidth="1"/>
    <col min="10247" max="10289" width="19" style="1" customWidth="1"/>
    <col min="10290" max="10501" width="9.140625" style="1"/>
    <col min="10502" max="10502" width="15.140625" style="1" customWidth="1"/>
    <col min="10503" max="10545" width="19" style="1" customWidth="1"/>
    <col min="10546" max="10757" width="9.140625" style="1"/>
    <col min="10758" max="10758" width="15.140625" style="1" customWidth="1"/>
    <col min="10759" max="10801" width="19" style="1" customWidth="1"/>
    <col min="10802" max="11013" width="9.140625" style="1"/>
    <col min="11014" max="11014" width="15.140625" style="1" customWidth="1"/>
    <col min="11015" max="11057" width="19" style="1" customWidth="1"/>
    <col min="11058" max="11269" width="9.140625" style="1"/>
    <col min="11270" max="11270" width="15.140625" style="1" customWidth="1"/>
    <col min="11271" max="11313" width="19" style="1" customWidth="1"/>
    <col min="11314" max="11525" width="9.140625" style="1"/>
    <col min="11526" max="11526" width="15.140625" style="1" customWidth="1"/>
    <col min="11527" max="11569" width="19" style="1" customWidth="1"/>
    <col min="11570" max="11781" width="9.140625" style="1"/>
    <col min="11782" max="11782" width="15.140625" style="1" customWidth="1"/>
    <col min="11783" max="11825" width="19" style="1" customWidth="1"/>
    <col min="11826" max="12037" width="9.140625" style="1"/>
    <col min="12038" max="12038" width="15.140625" style="1" customWidth="1"/>
    <col min="12039" max="12081" width="19" style="1" customWidth="1"/>
    <col min="12082" max="12293" width="9.140625" style="1"/>
    <col min="12294" max="12294" width="15.140625" style="1" customWidth="1"/>
    <col min="12295" max="12337" width="19" style="1" customWidth="1"/>
    <col min="12338" max="12549" width="9.140625" style="1"/>
    <col min="12550" max="12550" width="15.140625" style="1" customWidth="1"/>
    <col min="12551" max="12593" width="19" style="1" customWidth="1"/>
    <col min="12594" max="12805" width="9.140625" style="1"/>
    <col min="12806" max="12806" width="15.140625" style="1" customWidth="1"/>
    <col min="12807" max="12849" width="19" style="1" customWidth="1"/>
    <col min="12850" max="13061" width="9.140625" style="1"/>
    <col min="13062" max="13062" width="15.140625" style="1" customWidth="1"/>
    <col min="13063" max="13105" width="19" style="1" customWidth="1"/>
    <col min="13106" max="13317" width="9.140625" style="1"/>
    <col min="13318" max="13318" width="15.140625" style="1" customWidth="1"/>
    <col min="13319" max="13361" width="19" style="1" customWidth="1"/>
    <col min="13362" max="13573" width="9.140625" style="1"/>
    <col min="13574" max="13574" width="15.140625" style="1" customWidth="1"/>
    <col min="13575" max="13617" width="19" style="1" customWidth="1"/>
    <col min="13618" max="13829" width="9.140625" style="1"/>
    <col min="13830" max="13830" width="15.140625" style="1" customWidth="1"/>
    <col min="13831" max="13873" width="19" style="1" customWidth="1"/>
    <col min="13874" max="14085" width="9.140625" style="1"/>
    <col min="14086" max="14086" width="15.140625" style="1" customWidth="1"/>
    <col min="14087" max="14129" width="19" style="1" customWidth="1"/>
    <col min="14130" max="14341" width="9.140625" style="1"/>
    <col min="14342" max="14342" width="15.140625" style="1" customWidth="1"/>
    <col min="14343" max="14385" width="19" style="1" customWidth="1"/>
    <col min="14386" max="14597" width="9.140625" style="1"/>
    <col min="14598" max="14598" width="15.140625" style="1" customWidth="1"/>
    <col min="14599" max="14641" width="19" style="1" customWidth="1"/>
    <col min="14642" max="14853" width="9.140625" style="1"/>
    <col min="14854" max="14854" width="15.140625" style="1" customWidth="1"/>
    <col min="14855" max="14897" width="19" style="1" customWidth="1"/>
    <col min="14898" max="15109" width="9.140625" style="1"/>
    <col min="15110" max="15110" width="15.140625" style="1" customWidth="1"/>
    <col min="15111" max="15153" width="19" style="1" customWidth="1"/>
    <col min="15154" max="15365" width="9.140625" style="1"/>
    <col min="15366" max="15366" width="15.140625" style="1" customWidth="1"/>
    <col min="15367" max="15409" width="19" style="1" customWidth="1"/>
    <col min="15410" max="15621" width="9.140625" style="1"/>
    <col min="15622" max="15622" width="15.140625" style="1" customWidth="1"/>
    <col min="15623" max="15665" width="19" style="1" customWidth="1"/>
    <col min="15666" max="15877" width="9.140625" style="1"/>
    <col min="15878" max="15878" width="15.140625" style="1" customWidth="1"/>
    <col min="15879" max="15921" width="19" style="1" customWidth="1"/>
    <col min="15922" max="16133" width="9.140625" style="1"/>
    <col min="16134" max="16134" width="15.140625" style="1" customWidth="1"/>
    <col min="16135" max="16177" width="19" style="1" customWidth="1"/>
    <col min="16178" max="16384" width="9.140625" style="1"/>
  </cols>
  <sheetData>
    <row r="1" spans="1:49" ht="15.75">
      <c r="A1" s="14" t="s">
        <v>583</v>
      </c>
      <c r="B1" s="15" t="s">
        <v>584</v>
      </c>
      <c r="C1" s="15"/>
      <c r="L1" s="15"/>
      <c r="Z1" s="15"/>
      <c r="AI1" s="15"/>
      <c r="AO1" s="15"/>
    </row>
    <row r="2" spans="1:49">
      <c r="A2" s="16" t="s">
        <v>585</v>
      </c>
      <c r="B2" s="17" t="s">
        <v>586</v>
      </c>
      <c r="C2" s="17"/>
      <c r="D2" s="17" t="s">
        <v>587</v>
      </c>
      <c r="E2" s="17"/>
      <c r="F2" s="17" t="s">
        <v>588</v>
      </c>
      <c r="G2" s="17" t="s">
        <v>589</v>
      </c>
      <c r="H2" s="17" t="s">
        <v>590</v>
      </c>
      <c r="I2" s="17" t="s">
        <v>591</v>
      </c>
      <c r="J2" s="17" t="s">
        <v>592</v>
      </c>
      <c r="K2" s="17" t="s">
        <v>593</v>
      </c>
      <c r="L2" s="17"/>
      <c r="M2" s="17" t="s">
        <v>594</v>
      </c>
      <c r="N2" s="17" t="s">
        <v>595</v>
      </c>
      <c r="O2" s="17" t="s">
        <v>596</v>
      </c>
      <c r="P2" s="17" t="s">
        <v>597</v>
      </c>
      <c r="Q2" s="17" t="s">
        <v>598</v>
      </c>
      <c r="R2" s="17" t="s">
        <v>599</v>
      </c>
      <c r="S2" s="17" t="s">
        <v>600</v>
      </c>
      <c r="T2" s="17" t="s">
        <v>601</v>
      </c>
      <c r="U2" s="17" t="s">
        <v>602</v>
      </c>
      <c r="V2" s="17" t="s">
        <v>603</v>
      </c>
      <c r="W2" s="17" t="s">
        <v>604</v>
      </c>
      <c r="X2" s="17" t="s">
        <v>605</v>
      </c>
      <c r="Y2" s="17" t="s">
        <v>606</v>
      </c>
      <c r="Z2" s="17"/>
      <c r="AA2" s="17" t="s">
        <v>607</v>
      </c>
      <c r="AB2" s="17" t="s">
        <v>608</v>
      </c>
      <c r="AC2" s="17" t="s">
        <v>609</v>
      </c>
      <c r="AD2" s="17" t="s">
        <v>610</v>
      </c>
      <c r="AE2" s="17" t="s">
        <v>611</v>
      </c>
      <c r="AF2" s="17" t="s">
        <v>612</v>
      </c>
      <c r="AG2" s="17" t="s">
        <v>613</v>
      </c>
      <c r="AH2" s="17" t="s">
        <v>614</v>
      </c>
      <c r="AI2" s="17"/>
      <c r="AJ2" s="17" t="s">
        <v>615</v>
      </c>
      <c r="AK2" s="17" t="s">
        <v>616</v>
      </c>
      <c r="AL2" s="17" t="s">
        <v>617</v>
      </c>
      <c r="AM2" s="17" t="s">
        <v>618</v>
      </c>
      <c r="AN2" s="17" t="s">
        <v>619</v>
      </c>
      <c r="AO2" s="17"/>
      <c r="AP2" s="17" t="s">
        <v>620</v>
      </c>
      <c r="AQ2" s="17" t="s">
        <v>621</v>
      </c>
      <c r="AR2" s="17" t="s">
        <v>622</v>
      </c>
      <c r="AS2" s="17" t="s">
        <v>623</v>
      </c>
      <c r="AT2" s="17" t="s">
        <v>624</v>
      </c>
      <c r="AU2" s="17" t="s">
        <v>625</v>
      </c>
      <c r="AV2" s="17" t="s">
        <v>626</v>
      </c>
      <c r="AW2" s="17"/>
    </row>
    <row r="3" spans="1:49" ht="63.75">
      <c r="A3" s="18" t="s">
        <v>627</v>
      </c>
      <c r="B3" s="19" t="s">
        <v>628</v>
      </c>
      <c r="C3" s="19"/>
      <c r="D3" s="19" t="s">
        <v>629</v>
      </c>
      <c r="E3" s="19"/>
      <c r="F3" s="19" t="s">
        <v>630</v>
      </c>
      <c r="G3" s="19" t="s">
        <v>631</v>
      </c>
      <c r="H3" s="19" t="s">
        <v>632</v>
      </c>
      <c r="I3" s="19" t="s">
        <v>633</v>
      </c>
      <c r="J3" s="19" t="s">
        <v>634</v>
      </c>
      <c r="K3" s="19" t="s">
        <v>635</v>
      </c>
      <c r="L3" s="19"/>
      <c r="M3" s="19" t="s">
        <v>636</v>
      </c>
      <c r="N3" s="19" t="s">
        <v>637</v>
      </c>
      <c r="O3" s="19" t="s">
        <v>638</v>
      </c>
      <c r="P3" s="19" t="s">
        <v>639</v>
      </c>
      <c r="Q3" s="19" t="s">
        <v>640</v>
      </c>
      <c r="R3" s="19" t="s">
        <v>641</v>
      </c>
      <c r="S3" s="19" t="s">
        <v>642</v>
      </c>
      <c r="T3" s="19" t="s">
        <v>643</v>
      </c>
      <c r="U3" s="19" t="s">
        <v>644</v>
      </c>
      <c r="V3" s="19" t="s">
        <v>645</v>
      </c>
      <c r="W3" s="19" t="s">
        <v>646</v>
      </c>
      <c r="X3" s="19" t="s">
        <v>647</v>
      </c>
      <c r="Y3" s="19" t="s">
        <v>648</v>
      </c>
      <c r="Z3" s="19"/>
      <c r="AA3" s="19" t="s">
        <v>649</v>
      </c>
      <c r="AB3" s="19" t="s">
        <v>650</v>
      </c>
      <c r="AC3" s="19" t="s">
        <v>651</v>
      </c>
      <c r="AD3" s="19" t="s">
        <v>652</v>
      </c>
      <c r="AE3" s="19" t="s">
        <v>653</v>
      </c>
      <c r="AF3" s="19" t="s">
        <v>654</v>
      </c>
      <c r="AG3" s="19" t="s">
        <v>655</v>
      </c>
      <c r="AH3" s="19" t="s">
        <v>656</v>
      </c>
      <c r="AI3" s="19"/>
      <c r="AJ3" s="19" t="s">
        <v>657</v>
      </c>
      <c r="AK3" s="19" t="s">
        <v>658</v>
      </c>
      <c r="AL3" s="19" t="s">
        <v>659</v>
      </c>
      <c r="AM3" s="19" t="s">
        <v>660</v>
      </c>
      <c r="AN3" s="19" t="s">
        <v>661</v>
      </c>
      <c r="AO3" s="19"/>
      <c r="AP3" s="19" t="s">
        <v>662</v>
      </c>
      <c r="AQ3" s="19" t="s">
        <v>663</v>
      </c>
      <c r="AR3" s="19" t="s">
        <v>664</v>
      </c>
      <c r="AS3" s="19" t="s">
        <v>665</v>
      </c>
      <c r="AT3" s="19" t="s">
        <v>666</v>
      </c>
      <c r="AU3" s="19" t="s">
        <v>667</v>
      </c>
      <c r="AV3" s="19" t="s">
        <v>668</v>
      </c>
      <c r="AW3" s="19"/>
    </row>
    <row r="4" spans="1:49">
      <c r="A4" s="20">
        <v>29767</v>
      </c>
      <c r="B4" s="1">
        <v>3128624</v>
      </c>
      <c r="C4" s="21"/>
      <c r="D4" s="1">
        <v>42829</v>
      </c>
      <c r="F4" s="1">
        <v>34773</v>
      </c>
      <c r="G4" s="1">
        <v>841</v>
      </c>
      <c r="H4" s="1">
        <v>3729</v>
      </c>
      <c r="I4" s="1">
        <v>13</v>
      </c>
      <c r="J4" s="1">
        <v>3473</v>
      </c>
      <c r="K4" s="1">
        <v>355653</v>
      </c>
      <c r="L4" s="21"/>
      <c r="M4" s="1">
        <v>24090</v>
      </c>
      <c r="N4" s="1">
        <v>4721</v>
      </c>
      <c r="O4" s="1">
        <v>65810</v>
      </c>
      <c r="P4" s="1">
        <v>6548</v>
      </c>
      <c r="Q4" s="1">
        <v>32665</v>
      </c>
      <c r="R4" s="1">
        <v>226</v>
      </c>
      <c r="S4" s="1">
        <v>6671</v>
      </c>
      <c r="T4" s="1">
        <v>45424</v>
      </c>
      <c r="U4" s="1">
        <v>13551</v>
      </c>
      <c r="V4" s="1">
        <v>154056</v>
      </c>
      <c r="W4" s="1">
        <v>973</v>
      </c>
      <c r="X4" s="1">
        <v>918</v>
      </c>
      <c r="Y4" s="1">
        <v>1539251</v>
      </c>
      <c r="Z4" s="21"/>
      <c r="AA4" s="1">
        <v>20680</v>
      </c>
      <c r="AB4" s="1">
        <v>18352</v>
      </c>
      <c r="AC4" s="1">
        <v>199579</v>
      </c>
      <c r="AD4" s="1">
        <v>34204</v>
      </c>
      <c r="AE4" s="1">
        <v>71568</v>
      </c>
      <c r="AF4" s="1">
        <v>932350</v>
      </c>
      <c r="AG4" s="1">
        <v>262518</v>
      </c>
      <c r="AH4" s="1">
        <v>217539</v>
      </c>
      <c r="AI4" s="21"/>
      <c r="AJ4" s="1">
        <v>30303</v>
      </c>
      <c r="AK4" s="1">
        <v>30813</v>
      </c>
      <c r="AL4" s="1">
        <v>25860</v>
      </c>
      <c r="AM4" s="1">
        <v>130563</v>
      </c>
      <c r="AN4" s="1">
        <v>973352</v>
      </c>
      <c r="AO4" s="21"/>
      <c r="AP4" s="1">
        <v>587337</v>
      </c>
      <c r="AQ4" s="1">
        <v>31072</v>
      </c>
      <c r="AR4" s="1">
        <v>556265</v>
      </c>
      <c r="AS4" s="1">
        <v>357</v>
      </c>
      <c r="AT4" s="1">
        <v>365370</v>
      </c>
      <c r="AU4" s="1">
        <v>700</v>
      </c>
      <c r="AV4" s="1">
        <v>19588</v>
      </c>
    </row>
    <row r="5" spans="1:49">
      <c r="A5" s="20">
        <v>30132</v>
      </c>
      <c r="B5" s="1">
        <v>3156715</v>
      </c>
      <c r="C5" s="21">
        <f t="shared" ref="C5:E34" si="0">(B5-B4)/B4</f>
        <v>8.9787075724024369E-3</v>
      </c>
      <c r="D5" s="1">
        <v>34018</v>
      </c>
      <c r="E5" s="21">
        <f t="shared" si="0"/>
        <v>-0.20572509281094586</v>
      </c>
      <c r="F5" s="1">
        <v>25626</v>
      </c>
      <c r="G5" s="1">
        <v>834</v>
      </c>
      <c r="H5" s="1">
        <v>4282</v>
      </c>
      <c r="I5" s="1">
        <v>49</v>
      </c>
      <c r="J5" s="1">
        <v>3227</v>
      </c>
      <c r="K5" s="1">
        <v>372436</v>
      </c>
      <c r="L5" s="21">
        <f t="shared" ref="L5" si="1">(K5-K4)/K4</f>
        <v>4.7189254694885184E-2</v>
      </c>
      <c r="M5" s="1">
        <v>27710</v>
      </c>
      <c r="N5" s="1">
        <v>5563</v>
      </c>
      <c r="O5" s="1">
        <v>70525</v>
      </c>
      <c r="P5" s="1">
        <v>7349</v>
      </c>
      <c r="Q5" s="1">
        <v>31462</v>
      </c>
      <c r="R5" s="1">
        <v>202</v>
      </c>
      <c r="S5" s="1">
        <v>6872</v>
      </c>
      <c r="T5" s="1">
        <v>47271</v>
      </c>
      <c r="U5" s="1">
        <v>14571</v>
      </c>
      <c r="V5" s="1">
        <v>158621</v>
      </c>
      <c r="W5" s="1">
        <v>1158</v>
      </c>
      <c r="X5" s="1">
        <v>1132</v>
      </c>
      <c r="Y5" s="1">
        <v>1526625</v>
      </c>
      <c r="Z5" s="21">
        <f t="shared" ref="Z5:Z34" si="2">(Y5-Y4)/Y4</f>
        <v>-8.2026907892215114E-3</v>
      </c>
      <c r="AA5" s="1">
        <v>20014</v>
      </c>
      <c r="AB5" s="1">
        <v>18849</v>
      </c>
      <c r="AC5" s="1">
        <v>188749</v>
      </c>
      <c r="AD5" s="1">
        <v>33047</v>
      </c>
      <c r="AE5" s="1">
        <v>71024</v>
      </c>
      <c r="AF5" s="1">
        <v>908217</v>
      </c>
      <c r="AG5" s="1">
        <v>286725</v>
      </c>
      <c r="AH5" s="1">
        <v>202206</v>
      </c>
      <c r="AI5" s="21">
        <f t="shared" ref="AI5:AI34" si="3">(AH5-AH4)/AH4</f>
        <v>-7.0483913229351977E-2</v>
      </c>
      <c r="AJ5" s="1">
        <v>30545</v>
      </c>
      <c r="AK5" s="1">
        <v>30921</v>
      </c>
      <c r="AL5" s="1">
        <v>22440</v>
      </c>
      <c r="AM5" s="1">
        <v>118300</v>
      </c>
      <c r="AN5" s="1">
        <v>1021430</v>
      </c>
      <c r="AO5" s="21">
        <f t="shared" ref="AO5:AO34" si="4">(AN5-AN4)/AN4</f>
        <v>4.9394258192308638E-2</v>
      </c>
      <c r="AP5" s="1">
        <v>618910</v>
      </c>
      <c r="AQ5" s="1">
        <v>27404</v>
      </c>
      <c r="AR5" s="1">
        <v>591506</v>
      </c>
      <c r="AS5" s="1">
        <v>335</v>
      </c>
      <c r="AT5" s="1">
        <v>373176</v>
      </c>
      <c r="AU5" s="1">
        <v>613</v>
      </c>
      <c r="AV5" s="1">
        <v>28396</v>
      </c>
    </row>
    <row r="6" spans="1:49">
      <c r="A6" s="20">
        <v>30497</v>
      </c>
      <c r="B6" s="1">
        <v>3170999</v>
      </c>
      <c r="C6" s="21">
        <f t="shared" si="0"/>
        <v>4.524957115228964E-3</v>
      </c>
      <c r="D6" s="1">
        <v>28282</v>
      </c>
      <c r="E6" s="21">
        <f t="shared" si="0"/>
        <v>-0.16861661473337644</v>
      </c>
      <c r="F6" s="1">
        <v>19476</v>
      </c>
      <c r="G6" s="1">
        <v>831</v>
      </c>
      <c r="H6" s="1">
        <v>4282</v>
      </c>
      <c r="I6" s="1">
        <v>65</v>
      </c>
      <c r="J6" s="1">
        <v>3628</v>
      </c>
      <c r="K6" s="1">
        <v>378879</v>
      </c>
      <c r="L6" s="21">
        <f t="shared" ref="L6" si="5">(K6-K5)/K5</f>
        <v>1.7299616578418841E-2</v>
      </c>
      <c r="M6" s="1">
        <v>29200</v>
      </c>
      <c r="N6" s="1">
        <v>5321</v>
      </c>
      <c r="O6" s="1">
        <v>71594</v>
      </c>
      <c r="P6" s="1">
        <v>7886</v>
      </c>
      <c r="Q6" s="1">
        <v>31736</v>
      </c>
      <c r="R6" s="1">
        <v>269</v>
      </c>
      <c r="S6" s="1">
        <v>6380</v>
      </c>
      <c r="T6" s="1">
        <v>50690</v>
      </c>
      <c r="U6" s="1">
        <v>14971</v>
      </c>
      <c r="V6" s="1">
        <v>158604</v>
      </c>
      <c r="W6" s="1">
        <v>1172</v>
      </c>
      <c r="X6" s="1">
        <v>1056</v>
      </c>
      <c r="Y6" s="1">
        <v>1526464</v>
      </c>
      <c r="Z6" s="21">
        <f t="shared" si="2"/>
        <v>-1.0546139359698682E-4</v>
      </c>
      <c r="AA6" s="1">
        <v>18746</v>
      </c>
      <c r="AB6" s="1">
        <v>18849</v>
      </c>
      <c r="AC6" s="1">
        <v>179617</v>
      </c>
      <c r="AD6" s="1">
        <v>31455</v>
      </c>
      <c r="AE6" s="1">
        <v>75169</v>
      </c>
      <c r="AF6" s="1">
        <v>882911</v>
      </c>
      <c r="AG6" s="1">
        <v>319717</v>
      </c>
      <c r="AH6" s="1">
        <v>206112</v>
      </c>
      <c r="AI6" s="21">
        <f t="shared" si="3"/>
        <v>1.9316934215601912E-2</v>
      </c>
      <c r="AJ6" s="1">
        <v>29050</v>
      </c>
      <c r="AK6" s="1">
        <v>29225</v>
      </c>
      <c r="AL6" s="1">
        <v>29534</v>
      </c>
      <c r="AM6" s="1">
        <v>118303</v>
      </c>
      <c r="AN6" s="1">
        <v>1031262</v>
      </c>
      <c r="AO6" s="21">
        <f t="shared" si="4"/>
        <v>9.6257208031876873E-3</v>
      </c>
      <c r="AP6" s="1">
        <v>625527</v>
      </c>
      <c r="AQ6" s="1">
        <v>24769</v>
      </c>
      <c r="AR6" s="1">
        <v>600758</v>
      </c>
      <c r="AS6" s="1">
        <v>237</v>
      </c>
      <c r="AT6" s="1">
        <v>374161</v>
      </c>
      <c r="AU6" s="1">
        <v>810</v>
      </c>
      <c r="AV6" s="1">
        <v>30527</v>
      </c>
    </row>
    <row r="7" spans="1:49">
      <c r="A7" s="20">
        <v>30863</v>
      </c>
      <c r="B7" s="1">
        <v>3249696</v>
      </c>
      <c r="C7" s="21">
        <f t="shared" si="0"/>
        <v>2.4817730942204651E-2</v>
      </c>
      <c r="D7" s="1">
        <v>23142</v>
      </c>
      <c r="E7" s="21">
        <f t="shared" si="0"/>
        <v>-0.18174103670178912</v>
      </c>
      <c r="F7" s="1">
        <v>14462</v>
      </c>
      <c r="G7" s="1">
        <v>840</v>
      </c>
      <c r="H7" s="1">
        <v>4284</v>
      </c>
      <c r="I7" s="1">
        <v>32</v>
      </c>
      <c r="J7" s="1">
        <v>3524</v>
      </c>
      <c r="K7" s="1">
        <v>393759</v>
      </c>
      <c r="L7" s="21">
        <f t="shared" ref="L7" si="6">(K7-K6)/K6</f>
        <v>3.9273752306145236E-2</v>
      </c>
      <c r="M7" s="1">
        <v>28868</v>
      </c>
      <c r="N7" s="1">
        <v>5526</v>
      </c>
      <c r="O7" s="1">
        <v>75729</v>
      </c>
      <c r="P7" s="1">
        <v>7777</v>
      </c>
      <c r="Q7" s="1">
        <v>30554</v>
      </c>
      <c r="R7" s="1">
        <v>285</v>
      </c>
      <c r="S7" s="1">
        <v>6452</v>
      </c>
      <c r="T7" s="1">
        <v>52652</v>
      </c>
      <c r="U7" s="1">
        <v>15271</v>
      </c>
      <c r="V7" s="1">
        <v>168385</v>
      </c>
      <c r="W7" s="1">
        <v>1340</v>
      </c>
      <c r="X7" s="1">
        <v>920</v>
      </c>
      <c r="Y7" s="1">
        <v>1570688</v>
      </c>
      <c r="Z7" s="21">
        <f t="shared" si="2"/>
        <v>2.8971531591966793E-2</v>
      </c>
      <c r="AA7" s="1">
        <v>19804</v>
      </c>
      <c r="AB7" s="1">
        <v>18730</v>
      </c>
      <c r="AC7" s="1">
        <v>187011</v>
      </c>
      <c r="AD7" s="1">
        <v>32776</v>
      </c>
      <c r="AE7" s="1">
        <v>79336</v>
      </c>
      <c r="AF7" s="1">
        <v>883174</v>
      </c>
      <c r="AG7" s="1">
        <v>349857</v>
      </c>
      <c r="AH7" s="1">
        <v>217564</v>
      </c>
      <c r="AI7" s="21">
        <f t="shared" si="3"/>
        <v>5.556202453035243E-2</v>
      </c>
      <c r="AJ7" s="1">
        <v>28845</v>
      </c>
      <c r="AK7" s="1">
        <v>29761</v>
      </c>
      <c r="AL7" s="1">
        <v>34689</v>
      </c>
      <c r="AM7" s="1">
        <v>124269</v>
      </c>
      <c r="AN7" s="1">
        <v>1044543</v>
      </c>
      <c r="AO7" s="21">
        <f t="shared" si="4"/>
        <v>1.2878395596851236E-2</v>
      </c>
      <c r="AP7" s="1">
        <v>630401</v>
      </c>
      <c r="AQ7" s="1">
        <v>21983</v>
      </c>
      <c r="AR7" s="1">
        <v>608418</v>
      </c>
      <c r="AS7" s="1">
        <v>215</v>
      </c>
      <c r="AT7" s="1">
        <v>381621</v>
      </c>
      <c r="AU7" s="1">
        <v>1907</v>
      </c>
      <c r="AV7" s="1">
        <v>30399</v>
      </c>
    </row>
    <row r="8" spans="1:49">
      <c r="A8" s="20">
        <v>31228</v>
      </c>
      <c r="B8" s="1">
        <v>3274553</v>
      </c>
      <c r="C8" s="21">
        <f t="shared" si="0"/>
        <v>7.6490231701673017E-3</v>
      </c>
      <c r="D8" s="1">
        <v>20961</v>
      </c>
      <c r="E8" s="21">
        <f t="shared" si="0"/>
        <v>-9.4244231267824732E-2</v>
      </c>
      <c r="F8" s="1">
        <v>11458</v>
      </c>
      <c r="G8" s="1">
        <v>1071</v>
      </c>
      <c r="H8" s="1">
        <v>4851</v>
      </c>
      <c r="I8" s="1">
        <v>26</v>
      </c>
      <c r="J8" s="1">
        <v>3555</v>
      </c>
      <c r="K8" s="1">
        <v>384082</v>
      </c>
      <c r="L8" s="21">
        <f t="shared" ref="L8" si="7">(K8-K7)/K7</f>
        <v>-2.4575946200594782E-2</v>
      </c>
      <c r="M8" s="1">
        <v>30265</v>
      </c>
      <c r="N8" s="1">
        <v>5168</v>
      </c>
      <c r="O8" s="1">
        <v>75407</v>
      </c>
      <c r="P8" s="1">
        <v>7790</v>
      </c>
      <c r="Q8" s="1">
        <v>27300</v>
      </c>
      <c r="R8" s="1">
        <v>243</v>
      </c>
      <c r="S8" s="1">
        <v>6943</v>
      </c>
      <c r="T8" s="1">
        <v>50857</v>
      </c>
      <c r="U8" s="1">
        <v>14988</v>
      </c>
      <c r="V8" s="1">
        <v>162739</v>
      </c>
      <c r="W8" s="1">
        <v>1596</v>
      </c>
      <c r="X8" s="1">
        <v>786</v>
      </c>
      <c r="Y8" s="1">
        <v>1546866</v>
      </c>
      <c r="Z8" s="21">
        <f t="shared" si="2"/>
        <v>-1.5166602151413903E-2</v>
      </c>
      <c r="AA8" s="1">
        <v>21581</v>
      </c>
      <c r="AB8" s="1">
        <v>19044</v>
      </c>
      <c r="AC8" s="1">
        <v>184409</v>
      </c>
      <c r="AD8" s="1">
        <v>30641</v>
      </c>
      <c r="AE8" s="1">
        <v>78530</v>
      </c>
      <c r="AF8" s="1">
        <v>869218</v>
      </c>
      <c r="AG8" s="1">
        <v>343443</v>
      </c>
      <c r="AH8" s="1">
        <v>229320</v>
      </c>
      <c r="AI8" s="21">
        <f t="shared" si="3"/>
        <v>5.403467485429575E-2</v>
      </c>
      <c r="AJ8" s="1">
        <v>30246</v>
      </c>
      <c r="AK8" s="1">
        <v>29768</v>
      </c>
      <c r="AL8" s="1">
        <v>40792</v>
      </c>
      <c r="AM8" s="1">
        <v>128514</v>
      </c>
      <c r="AN8" s="1">
        <v>1093324</v>
      </c>
      <c r="AO8" s="21">
        <f t="shared" si="4"/>
        <v>4.6700805998412705E-2</v>
      </c>
      <c r="AP8" s="1">
        <v>666233</v>
      </c>
      <c r="AQ8" s="1">
        <v>16946</v>
      </c>
      <c r="AR8" s="1">
        <v>649287</v>
      </c>
      <c r="AS8" s="1">
        <v>175</v>
      </c>
      <c r="AT8" s="1">
        <v>394002</v>
      </c>
      <c r="AU8" s="1">
        <v>3039</v>
      </c>
      <c r="AV8" s="1">
        <v>29875</v>
      </c>
    </row>
    <row r="9" spans="1:49">
      <c r="A9" s="20">
        <v>31593</v>
      </c>
      <c r="B9" s="1">
        <v>3168252</v>
      </c>
      <c r="C9" s="21">
        <f t="shared" si="0"/>
        <v>-3.2462751404542849E-2</v>
      </c>
      <c r="D9" s="1">
        <v>17182</v>
      </c>
      <c r="E9" s="21">
        <f t="shared" si="0"/>
        <v>-0.18028720003816612</v>
      </c>
      <c r="F9" s="1">
        <v>9383</v>
      </c>
      <c r="G9" s="1">
        <v>853</v>
      </c>
      <c r="H9" s="1">
        <v>3783</v>
      </c>
      <c r="I9" s="1">
        <v>18</v>
      </c>
      <c r="J9" s="1">
        <v>3145</v>
      </c>
      <c r="K9" s="1">
        <v>348814</v>
      </c>
      <c r="L9" s="21">
        <f t="shared" ref="L9" si="8">(K9-K8)/K8</f>
        <v>-9.1824141719736935E-2</v>
      </c>
      <c r="M9" s="1">
        <v>27245</v>
      </c>
      <c r="N9" s="1">
        <v>4759</v>
      </c>
      <c r="O9" s="1">
        <v>67034</v>
      </c>
      <c r="P9" s="1">
        <v>6475</v>
      </c>
      <c r="Q9" s="1">
        <v>25688</v>
      </c>
      <c r="R9" s="1">
        <v>110</v>
      </c>
      <c r="S9" s="1">
        <v>7098</v>
      </c>
      <c r="T9" s="1">
        <v>45628</v>
      </c>
      <c r="U9" s="1">
        <v>13442</v>
      </c>
      <c r="V9" s="1">
        <v>149105</v>
      </c>
      <c r="W9" s="1">
        <v>1586</v>
      </c>
      <c r="X9" s="1">
        <v>644</v>
      </c>
      <c r="Y9" s="1">
        <v>1494323</v>
      </c>
      <c r="Z9" s="21">
        <f t="shared" si="2"/>
        <v>-3.3967389547640198E-2</v>
      </c>
      <c r="AA9" s="1">
        <v>21122</v>
      </c>
      <c r="AB9" s="1">
        <v>15778</v>
      </c>
      <c r="AC9" s="1">
        <v>181791</v>
      </c>
      <c r="AD9" s="1">
        <v>29997</v>
      </c>
      <c r="AE9" s="1">
        <v>75712</v>
      </c>
      <c r="AF9" s="1">
        <v>819595</v>
      </c>
      <c r="AG9" s="1">
        <v>350328</v>
      </c>
      <c r="AH9" s="1">
        <v>216888</v>
      </c>
      <c r="AI9" s="21">
        <f t="shared" si="3"/>
        <v>-5.4212454212454214E-2</v>
      </c>
      <c r="AJ9" s="1">
        <v>29309</v>
      </c>
      <c r="AK9" s="1">
        <v>27072</v>
      </c>
      <c r="AL9" s="1">
        <v>39172</v>
      </c>
      <c r="AM9" s="1">
        <v>121337</v>
      </c>
      <c r="AN9" s="1">
        <v>1091043</v>
      </c>
      <c r="AO9" s="21">
        <f t="shared" si="4"/>
        <v>-2.0862982976683946E-3</v>
      </c>
      <c r="AP9" s="1">
        <v>681310</v>
      </c>
      <c r="AQ9" s="1">
        <v>17574</v>
      </c>
      <c r="AR9" s="1">
        <v>663736</v>
      </c>
      <c r="AS9" s="1">
        <v>161</v>
      </c>
      <c r="AT9" s="1">
        <v>378059</v>
      </c>
      <c r="AU9" s="1">
        <v>2907</v>
      </c>
      <c r="AV9" s="1">
        <v>28606</v>
      </c>
    </row>
    <row r="10" spans="1:49">
      <c r="A10" s="20">
        <v>31958</v>
      </c>
      <c r="B10" s="1">
        <v>3047378</v>
      </c>
      <c r="C10" s="21">
        <f t="shared" si="0"/>
        <v>-3.8151636927870637E-2</v>
      </c>
      <c r="D10" s="1">
        <v>15134</v>
      </c>
      <c r="E10" s="21">
        <f t="shared" si="0"/>
        <v>-0.11919450587824468</v>
      </c>
      <c r="F10" s="1">
        <v>8270</v>
      </c>
      <c r="G10" s="1">
        <v>710</v>
      </c>
      <c r="H10" s="1">
        <v>3302</v>
      </c>
      <c r="I10" s="1">
        <v>17</v>
      </c>
      <c r="J10" s="1">
        <v>2835</v>
      </c>
      <c r="K10" s="1">
        <v>315661</v>
      </c>
      <c r="L10" s="21">
        <f t="shared" ref="L10" si="9">(K10-K9)/K9</f>
        <v>-9.5044923655587213E-2</v>
      </c>
      <c r="M10" s="1">
        <v>23980</v>
      </c>
      <c r="N10" s="1">
        <v>3738</v>
      </c>
      <c r="O10" s="1">
        <v>59884</v>
      </c>
      <c r="P10" s="1">
        <v>5743</v>
      </c>
      <c r="Q10" s="1">
        <v>25972</v>
      </c>
      <c r="R10" s="1">
        <v>110</v>
      </c>
      <c r="S10" s="1">
        <v>6091</v>
      </c>
      <c r="T10" s="1">
        <v>41351</v>
      </c>
      <c r="U10" s="1">
        <v>12153</v>
      </c>
      <c r="V10" s="1">
        <v>134378</v>
      </c>
      <c r="W10" s="1">
        <v>1644</v>
      </c>
      <c r="X10" s="1">
        <v>614</v>
      </c>
      <c r="Y10" s="1">
        <v>1396774</v>
      </c>
      <c r="Z10" s="21">
        <f t="shared" si="2"/>
        <v>-6.5279728679810189E-2</v>
      </c>
      <c r="AA10" s="1">
        <v>20607</v>
      </c>
      <c r="AB10" s="1">
        <v>14230</v>
      </c>
      <c r="AC10" s="1">
        <v>175027</v>
      </c>
      <c r="AD10" s="1">
        <v>28103</v>
      </c>
      <c r="AE10" s="1">
        <v>72328</v>
      </c>
      <c r="AF10" s="1">
        <v>760962</v>
      </c>
      <c r="AG10" s="1">
        <v>325517</v>
      </c>
      <c r="AH10" s="1">
        <v>204915</v>
      </c>
      <c r="AI10" s="21">
        <f t="shared" si="3"/>
        <v>-5.5203607391833574E-2</v>
      </c>
      <c r="AJ10" s="1">
        <v>28802</v>
      </c>
      <c r="AK10" s="1">
        <v>25059</v>
      </c>
      <c r="AL10" s="1">
        <v>35788</v>
      </c>
      <c r="AM10" s="1">
        <v>115267</v>
      </c>
      <c r="AN10" s="1">
        <v>1114892</v>
      </c>
      <c r="AO10" s="21">
        <f t="shared" si="4"/>
        <v>2.1858900153339512E-2</v>
      </c>
      <c r="AP10" s="1">
        <v>715955</v>
      </c>
      <c r="AQ10" s="1">
        <v>16150</v>
      </c>
      <c r="AR10" s="1">
        <v>699807</v>
      </c>
      <c r="AS10" s="1">
        <v>131</v>
      </c>
      <c r="AT10" s="1">
        <v>364608</v>
      </c>
      <c r="AU10" s="1">
        <v>3112</v>
      </c>
      <c r="AV10" s="1">
        <v>31090</v>
      </c>
    </row>
    <row r="11" spans="1:49">
      <c r="A11" s="20">
        <v>32324</v>
      </c>
      <c r="B11" s="1">
        <v>2979123</v>
      </c>
      <c r="C11" s="21">
        <f t="shared" si="0"/>
        <v>-2.2397943412336769E-2</v>
      </c>
      <c r="D11" s="1">
        <v>13788</v>
      </c>
      <c r="E11" s="21">
        <f t="shared" si="0"/>
        <v>-8.8938813268137962E-2</v>
      </c>
      <c r="F11" s="1">
        <v>7746</v>
      </c>
      <c r="G11" s="1">
        <v>566</v>
      </c>
      <c r="H11" s="1">
        <v>2830</v>
      </c>
      <c r="I11" s="1">
        <v>25</v>
      </c>
      <c r="J11" s="1">
        <v>2621</v>
      </c>
      <c r="K11" s="1">
        <v>301994</v>
      </c>
      <c r="L11" s="21">
        <f t="shared" ref="L11" si="10">(K11-K10)/K10</f>
        <v>-4.3296447771501705E-2</v>
      </c>
      <c r="M11" s="1">
        <v>22476</v>
      </c>
      <c r="N11" s="1">
        <v>3665</v>
      </c>
      <c r="O11" s="1">
        <v>58824</v>
      </c>
      <c r="P11" s="1">
        <v>5458</v>
      </c>
      <c r="Q11" s="1">
        <v>23250</v>
      </c>
      <c r="R11" s="1">
        <v>156</v>
      </c>
      <c r="S11" s="1">
        <v>5978</v>
      </c>
      <c r="T11" s="1">
        <v>39343</v>
      </c>
      <c r="U11" s="1">
        <v>11711</v>
      </c>
      <c r="V11" s="1">
        <v>128874</v>
      </c>
      <c r="W11" s="1">
        <v>1657</v>
      </c>
      <c r="X11" s="1">
        <v>601</v>
      </c>
      <c r="Y11" s="1">
        <v>1333151</v>
      </c>
      <c r="Z11" s="21">
        <f t="shared" si="2"/>
        <v>-4.5549960122396323E-2</v>
      </c>
      <c r="AA11" s="1">
        <v>20797</v>
      </c>
      <c r="AB11" s="1">
        <v>13606</v>
      </c>
      <c r="AC11" s="1">
        <v>165006</v>
      </c>
      <c r="AD11" s="1">
        <v>27553</v>
      </c>
      <c r="AE11" s="1">
        <v>71235</v>
      </c>
      <c r="AF11" s="1">
        <v>735495</v>
      </c>
      <c r="AG11" s="1">
        <v>299460</v>
      </c>
      <c r="AH11" s="1">
        <v>202694</v>
      </c>
      <c r="AI11" s="21">
        <f t="shared" si="3"/>
        <v>-1.0838640411878096E-2</v>
      </c>
      <c r="AJ11" s="1">
        <v>32352</v>
      </c>
      <c r="AK11" s="1">
        <v>23338</v>
      </c>
      <c r="AL11" s="1">
        <v>33018</v>
      </c>
      <c r="AM11" s="1">
        <v>113985</v>
      </c>
      <c r="AN11" s="1">
        <v>1127500</v>
      </c>
      <c r="AO11" s="21">
        <f t="shared" si="4"/>
        <v>1.1308718692034744E-2</v>
      </c>
      <c r="AP11" s="1">
        <v>738143</v>
      </c>
      <c r="AQ11" s="1">
        <v>15697</v>
      </c>
      <c r="AR11" s="1">
        <v>722447</v>
      </c>
      <c r="AS11" s="1">
        <v>113</v>
      </c>
      <c r="AT11" s="1">
        <v>354730</v>
      </c>
      <c r="AU11" s="1">
        <v>3230</v>
      </c>
      <c r="AV11" s="1">
        <v>31284</v>
      </c>
    </row>
    <row r="12" spans="1:49">
      <c r="A12" s="20">
        <v>32689</v>
      </c>
      <c r="B12" s="1">
        <v>2778773</v>
      </c>
      <c r="C12" s="21">
        <f t="shared" si="0"/>
        <v>-6.7251335376216428E-2</v>
      </c>
      <c r="D12" s="1">
        <v>12751</v>
      </c>
      <c r="E12" s="21">
        <f t="shared" si="0"/>
        <v>-7.5210327821293874E-2</v>
      </c>
      <c r="F12" s="1">
        <v>7289</v>
      </c>
      <c r="G12" s="1">
        <v>498</v>
      </c>
      <c r="H12" s="1">
        <v>2698</v>
      </c>
      <c r="I12" s="1">
        <v>23</v>
      </c>
      <c r="J12" s="1">
        <v>2243</v>
      </c>
      <c r="K12" s="1">
        <v>279117</v>
      </c>
      <c r="L12" s="21">
        <f t="shared" ref="L12" si="11">(K12-K11)/K11</f>
        <v>-7.5753160658821039E-2</v>
      </c>
      <c r="M12" s="1">
        <v>20378</v>
      </c>
      <c r="N12" s="1">
        <v>3311</v>
      </c>
      <c r="O12" s="1">
        <v>55485</v>
      </c>
      <c r="P12" s="1">
        <v>5414</v>
      </c>
      <c r="Q12" s="1">
        <v>21568</v>
      </c>
      <c r="R12" s="1">
        <v>133</v>
      </c>
      <c r="S12" s="1">
        <v>6230</v>
      </c>
      <c r="T12" s="1">
        <v>36744</v>
      </c>
      <c r="U12" s="1">
        <v>10215</v>
      </c>
      <c r="V12" s="1">
        <v>117493</v>
      </c>
      <c r="W12" s="1">
        <v>1612</v>
      </c>
      <c r="X12" s="1">
        <v>532</v>
      </c>
      <c r="Y12" s="1">
        <v>1247579</v>
      </c>
      <c r="Z12" s="21">
        <f t="shared" si="2"/>
        <v>-6.4187777678597555E-2</v>
      </c>
      <c r="AA12" s="1">
        <v>19813</v>
      </c>
      <c r="AB12" s="1">
        <v>11261</v>
      </c>
      <c r="AC12" s="1">
        <v>153295</v>
      </c>
      <c r="AD12" s="1">
        <v>27403</v>
      </c>
      <c r="AE12" s="1">
        <v>68714</v>
      </c>
      <c r="AF12" s="1">
        <v>688169</v>
      </c>
      <c r="AG12" s="1">
        <v>278927</v>
      </c>
      <c r="AH12" s="1">
        <v>187739</v>
      </c>
      <c r="AI12" s="21">
        <f t="shared" si="3"/>
        <v>-7.3781167671465364E-2</v>
      </c>
      <c r="AJ12" s="1">
        <v>30655</v>
      </c>
      <c r="AK12" s="1">
        <v>20956</v>
      </c>
      <c r="AL12" s="1">
        <v>28415</v>
      </c>
      <c r="AM12" s="1">
        <v>107715</v>
      </c>
      <c r="AN12" s="1">
        <v>1051585</v>
      </c>
      <c r="AO12" s="21">
        <f t="shared" si="4"/>
        <v>-6.7330376940133038E-2</v>
      </c>
      <c r="AP12" s="1">
        <v>683979</v>
      </c>
      <c r="AQ12" s="1">
        <v>15370</v>
      </c>
      <c r="AR12" s="1">
        <v>668612</v>
      </c>
      <c r="AS12" s="1">
        <v>137</v>
      </c>
      <c r="AT12" s="1">
        <v>331174</v>
      </c>
      <c r="AU12" s="1">
        <v>3216</v>
      </c>
      <c r="AV12" s="1">
        <v>33076</v>
      </c>
    </row>
    <row r="13" spans="1:49">
      <c r="A13" s="20">
        <v>33054</v>
      </c>
      <c r="B13" s="1">
        <v>2684687</v>
      </c>
      <c r="C13" s="21">
        <f t="shared" si="0"/>
        <v>-3.3858829058724838E-2</v>
      </c>
      <c r="D13" s="1">
        <v>10894</v>
      </c>
      <c r="E13" s="21">
        <f t="shared" si="0"/>
        <v>-0.1456356364206729</v>
      </c>
      <c r="F13" s="1">
        <v>5675</v>
      </c>
      <c r="G13" s="1">
        <v>415</v>
      </c>
      <c r="H13" s="1">
        <v>2641</v>
      </c>
      <c r="I13" s="1">
        <v>16</v>
      </c>
      <c r="J13" s="1">
        <v>2143</v>
      </c>
      <c r="K13" s="1">
        <v>270657</v>
      </c>
      <c r="L13" s="21">
        <f t="shared" ref="L13" si="12">(K13-K12)/K12</f>
        <v>-3.0309870054493277E-2</v>
      </c>
      <c r="M13" s="1">
        <v>19954</v>
      </c>
      <c r="N13" s="1">
        <v>3000</v>
      </c>
      <c r="O13" s="1">
        <v>55428</v>
      </c>
      <c r="P13" s="1">
        <v>5409</v>
      </c>
      <c r="Q13" s="1">
        <v>19676</v>
      </c>
      <c r="R13" s="1">
        <v>146</v>
      </c>
      <c r="S13" s="1">
        <v>5889</v>
      </c>
      <c r="T13" s="1">
        <v>36717</v>
      </c>
      <c r="U13" s="1">
        <v>10008</v>
      </c>
      <c r="V13" s="1">
        <v>112273</v>
      </c>
      <c r="W13" s="1">
        <v>1648</v>
      </c>
      <c r="X13" s="1">
        <v>506</v>
      </c>
      <c r="Y13" s="1">
        <v>1219071</v>
      </c>
      <c r="Z13" s="21">
        <f t="shared" si="2"/>
        <v>-2.2850657152773492E-2</v>
      </c>
      <c r="AA13" s="1">
        <v>18538</v>
      </c>
      <c r="AB13" s="1">
        <v>10386</v>
      </c>
      <c r="AC13" s="1">
        <v>147582</v>
      </c>
      <c r="AD13" s="1">
        <v>27034</v>
      </c>
      <c r="AE13" s="1">
        <v>67250</v>
      </c>
      <c r="AF13" s="1">
        <v>678478</v>
      </c>
      <c r="AG13" s="1">
        <v>269804</v>
      </c>
      <c r="AH13" s="1">
        <v>181723</v>
      </c>
      <c r="AI13" s="21">
        <f t="shared" si="3"/>
        <v>-3.204448729352985E-2</v>
      </c>
      <c r="AJ13" s="1">
        <v>30453</v>
      </c>
      <c r="AK13" s="1">
        <v>19810</v>
      </c>
      <c r="AL13" s="1">
        <v>27604</v>
      </c>
      <c r="AM13" s="1">
        <v>103856</v>
      </c>
      <c r="AN13" s="1">
        <v>1002344</v>
      </c>
      <c r="AO13" s="21">
        <f t="shared" si="4"/>
        <v>-4.6825506259598609E-2</v>
      </c>
      <c r="AP13" s="1">
        <v>647309</v>
      </c>
      <c r="AQ13" s="1">
        <v>11147</v>
      </c>
      <c r="AR13" s="1">
        <v>636165</v>
      </c>
      <c r="AS13" s="1">
        <v>121</v>
      </c>
      <c r="AT13" s="1">
        <v>320868</v>
      </c>
      <c r="AU13" s="1">
        <v>4011</v>
      </c>
      <c r="AV13" s="1">
        <v>30031</v>
      </c>
    </row>
    <row r="14" spans="1:49">
      <c r="A14" s="20">
        <v>33419</v>
      </c>
      <c r="B14" s="1">
        <v>2707039</v>
      </c>
      <c r="C14" s="21">
        <f t="shared" si="0"/>
        <v>8.3257377861925795E-3</v>
      </c>
      <c r="D14" s="1">
        <v>9661</v>
      </c>
      <c r="E14" s="21">
        <f t="shared" si="0"/>
        <v>-0.11318156783550579</v>
      </c>
      <c r="F14" s="1">
        <v>4725</v>
      </c>
      <c r="G14" s="1">
        <v>427</v>
      </c>
      <c r="H14" s="1">
        <v>2531</v>
      </c>
      <c r="I14" s="1">
        <v>13</v>
      </c>
      <c r="J14" s="1">
        <v>1963</v>
      </c>
      <c r="K14" s="1">
        <v>263286</v>
      </c>
      <c r="L14" s="21">
        <f t="shared" ref="L14" si="13">(K14-K13)/K13</f>
        <v>-2.7233731253948724E-2</v>
      </c>
      <c r="M14" s="1">
        <v>19068</v>
      </c>
      <c r="N14" s="1">
        <v>3014</v>
      </c>
      <c r="O14" s="1">
        <v>56928</v>
      </c>
      <c r="P14" s="1">
        <v>5485</v>
      </c>
      <c r="Q14" s="1">
        <v>17520</v>
      </c>
      <c r="R14" s="1">
        <v>149</v>
      </c>
      <c r="S14" s="1">
        <v>5832</v>
      </c>
      <c r="T14" s="1">
        <v>35891</v>
      </c>
      <c r="U14" s="1">
        <v>9156</v>
      </c>
      <c r="V14" s="1">
        <v>108094</v>
      </c>
      <c r="W14" s="1">
        <v>1662</v>
      </c>
      <c r="X14" s="1">
        <v>485</v>
      </c>
      <c r="Y14" s="1">
        <v>1247848</v>
      </c>
      <c r="Z14" s="21">
        <f t="shared" si="2"/>
        <v>2.360568006293317E-2</v>
      </c>
      <c r="AA14" s="1">
        <v>18637</v>
      </c>
      <c r="AB14" s="1">
        <v>10305</v>
      </c>
      <c r="AC14" s="1">
        <v>147070</v>
      </c>
      <c r="AD14" s="1">
        <v>27055</v>
      </c>
      <c r="AE14" s="1">
        <v>70417</v>
      </c>
      <c r="AF14" s="1">
        <v>682616</v>
      </c>
      <c r="AG14" s="1">
        <v>291755</v>
      </c>
      <c r="AH14" s="1">
        <v>175356</v>
      </c>
      <c r="AI14" s="21">
        <f t="shared" si="3"/>
        <v>-3.5036841786675321E-2</v>
      </c>
      <c r="AJ14" s="1">
        <v>31382</v>
      </c>
      <c r="AK14" s="1">
        <v>19579</v>
      </c>
      <c r="AL14" s="1">
        <v>24467</v>
      </c>
      <c r="AM14" s="1">
        <v>99928</v>
      </c>
      <c r="AN14" s="1">
        <v>1010886</v>
      </c>
      <c r="AO14" s="21">
        <f t="shared" si="4"/>
        <v>8.5220243748653154E-3</v>
      </c>
      <c r="AP14" s="1">
        <v>656349</v>
      </c>
      <c r="AQ14" s="1">
        <v>15338</v>
      </c>
      <c r="AR14" s="1">
        <v>641007</v>
      </c>
      <c r="AS14" s="1">
        <v>111</v>
      </c>
      <c r="AT14" s="1">
        <v>319497</v>
      </c>
      <c r="AU14" s="1">
        <v>3413</v>
      </c>
      <c r="AV14" s="1">
        <v>31519</v>
      </c>
    </row>
    <row r="15" spans="1:49">
      <c r="A15" s="20">
        <v>33785</v>
      </c>
      <c r="B15" s="1">
        <v>2624632</v>
      </c>
      <c r="C15" s="21">
        <f t="shared" si="0"/>
        <v>-3.0441748345701704E-2</v>
      </c>
      <c r="D15" s="1">
        <v>10043</v>
      </c>
      <c r="E15" s="21">
        <f t="shared" si="0"/>
        <v>3.9540420246351307E-2</v>
      </c>
      <c r="F15" s="1">
        <v>5425</v>
      </c>
      <c r="G15" s="1">
        <v>404</v>
      </c>
      <c r="H15" s="1">
        <v>2137</v>
      </c>
      <c r="I15" s="1">
        <v>12</v>
      </c>
      <c r="J15" s="1">
        <v>2068</v>
      </c>
      <c r="K15" s="1">
        <v>248565</v>
      </c>
      <c r="L15" s="21">
        <f t="shared" ref="L15" si="14">(K15-K14)/K14</f>
        <v>-5.5912581755201571E-2</v>
      </c>
      <c r="M15" s="1">
        <v>19303</v>
      </c>
      <c r="N15" s="1">
        <v>3016</v>
      </c>
      <c r="O15" s="1">
        <v>53613</v>
      </c>
      <c r="P15" s="1">
        <v>5479</v>
      </c>
      <c r="Q15" s="1">
        <v>15579</v>
      </c>
      <c r="R15" s="1">
        <v>143</v>
      </c>
      <c r="S15" s="1">
        <v>5474</v>
      </c>
      <c r="T15" s="1">
        <v>32894</v>
      </c>
      <c r="U15" s="1">
        <v>9197</v>
      </c>
      <c r="V15" s="1">
        <v>101807</v>
      </c>
      <c r="W15" s="1">
        <v>1557</v>
      </c>
      <c r="X15" s="1">
        <v>501</v>
      </c>
      <c r="Y15" s="1">
        <v>1219046</v>
      </c>
      <c r="Z15" s="21">
        <f t="shared" si="2"/>
        <v>-2.3081336829485641E-2</v>
      </c>
      <c r="AA15" s="1">
        <v>19025</v>
      </c>
      <c r="AB15" s="1">
        <v>10260</v>
      </c>
      <c r="AC15" s="1">
        <v>143075</v>
      </c>
      <c r="AD15" s="1">
        <v>25182</v>
      </c>
      <c r="AE15" s="1">
        <v>69972</v>
      </c>
      <c r="AF15" s="1">
        <v>650623</v>
      </c>
      <c r="AG15" s="1">
        <v>300909</v>
      </c>
      <c r="AH15" s="1">
        <v>167799</v>
      </c>
      <c r="AI15" s="21">
        <f t="shared" si="3"/>
        <v>-4.3095189215082458E-2</v>
      </c>
      <c r="AJ15" s="1">
        <v>29787</v>
      </c>
      <c r="AK15" s="1">
        <v>18482</v>
      </c>
      <c r="AL15" s="1">
        <v>22720</v>
      </c>
      <c r="AM15" s="1">
        <v>96810</v>
      </c>
      <c r="AN15" s="1">
        <v>979179</v>
      </c>
      <c r="AO15" s="21">
        <f t="shared" si="4"/>
        <v>-3.1365554572919202E-2</v>
      </c>
      <c r="AP15" s="1">
        <v>627322</v>
      </c>
      <c r="AQ15" s="1">
        <v>15204</v>
      </c>
      <c r="AR15" s="1">
        <v>612119</v>
      </c>
      <c r="AS15" s="1">
        <v>94</v>
      </c>
      <c r="AT15" s="1">
        <v>305488</v>
      </c>
      <c r="AU15" s="1">
        <v>3721</v>
      </c>
      <c r="AV15" s="1">
        <v>42552</v>
      </c>
    </row>
    <row r="16" spans="1:49">
      <c r="A16" s="20">
        <v>34150</v>
      </c>
      <c r="B16" s="1">
        <v>2499033</v>
      </c>
      <c r="C16" s="21">
        <f t="shared" si="0"/>
        <v>-4.7853946762822369E-2</v>
      </c>
      <c r="D16" s="1">
        <v>10032</v>
      </c>
      <c r="E16" s="21">
        <f t="shared" si="0"/>
        <v>-1.0952902519167579E-3</v>
      </c>
      <c r="F16" s="1">
        <v>5604</v>
      </c>
      <c r="G16" s="1">
        <v>335</v>
      </c>
      <c r="H16" s="1">
        <v>2036</v>
      </c>
      <c r="I16" s="1">
        <v>12</v>
      </c>
      <c r="J16" s="1">
        <v>2048</v>
      </c>
      <c r="K16" s="1">
        <v>230927</v>
      </c>
      <c r="L16" s="21">
        <f t="shared" ref="L16" si="15">(K16-K15)/K15</f>
        <v>-7.0959306418844167E-2</v>
      </c>
      <c r="M16" s="1">
        <v>17406</v>
      </c>
      <c r="N16" s="1">
        <v>2761</v>
      </c>
      <c r="O16" s="1">
        <v>49625</v>
      </c>
      <c r="P16" s="1">
        <v>4595</v>
      </c>
      <c r="Q16" s="1">
        <v>13799</v>
      </c>
      <c r="R16" s="1">
        <v>135</v>
      </c>
      <c r="S16" s="1">
        <v>4868</v>
      </c>
      <c r="T16" s="1">
        <v>30915</v>
      </c>
      <c r="U16" s="1">
        <v>8282</v>
      </c>
      <c r="V16" s="1">
        <v>96625</v>
      </c>
      <c r="W16" s="1">
        <v>1500</v>
      </c>
      <c r="X16" s="1">
        <v>419</v>
      </c>
      <c r="Y16" s="1">
        <v>1178566</v>
      </c>
      <c r="Z16" s="21">
        <f t="shared" si="2"/>
        <v>-3.3206294102109353E-2</v>
      </c>
      <c r="AA16" s="1">
        <v>18677</v>
      </c>
      <c r="AB16" s="1">
        <v>9975</v>
      </c>
      <c r="AC16" s="1">
        <v>138673</v>
      </c>
      <c r="AD16" s="1">
        <v>22613</v>
      </c>
      <c r="AE16" s="1">
        <v>68422</v>
      </c>
      <c r="AF16" s="1">
        <v>619090</v>
      </c>
      <c r="AG16" s="1">
        <v>301118</v>
      </c>
      <c r="AH16" s="1">
        <v>156332</v>
      </c>
      <c r="AI16" s="21">
        <f t="shared" si="3"/>
        <v>-6.8337713573978387E-2</v>
      </c>
      <c r="AJ16" s="1">
        <v>29398</v>
      </c>
      <c r="AK16" s="1">
        <v>17448</v>
      </c>
      <c r="AL16" s="1">
        <v>21821</v>
      </c>
      <c r="AM16" s="1">
        <v>87667</v>
      </c>
      <c r="AN16" s="1">
        <v>923174</v>
      </c>
      <c r="AO16" s="21">
        <f t="shared" si="4"/>
        <v>-5.7195875320038524E-2</v>
      </c>
      <c r="AP16" s="1">
        <v>577495</v>
      </c>
      <c r="AQ16" s="1">
        <v>13849</v>
      </c>
      <c r="AR16" s="1">
        <v>563647</v>
      </c>
      <c r="AS16" s="1">
        <v>73</v>
      </c>
      <c r="AT16" s="1">
        <v>293090</v>
      </c>
      <c r="AU16" s="1">
        <v>1880</v>
      </c>
      <c r="AV16" s="1">
        <v>50639</v>
      </c>
    </row>
    <row r="17" spans="1:48">
      <c r="A17" s="20">
        <v>34515</v>
      </c>
      <c r="B17" s="1">
        <v>2431476</v>
      </c>
      <c r="C17" s="21">
        <f t="shared" si="0"/>
        <v>-2.7033256463600122E-2</v>
      </c>
      <c r="D17" s="1">
        <v>10837</v>
      </c>
      <c r="E17" s="21">
        <f t="shared" si="0"/>
        <v>8.0243221690590116E-2</v>
      </c>
      <c r="F17" s="1">
        <v>6093</v>
      </c>
      <c r="G17" s="1">
        <v>299</v>
      </c>
      <c r="H17" s="1">
        <v>2518</v>
      </c>
      <c r="I17" s="1">
        <v>11</v>
      </c>
      <c r="J17" s="1">
        <v>1918</v>
      </c>
      <c r="K17" s="1">
        <v>216110</v>
      </c>
      <c r="L17" s="21">
        <f t="shared" ref="L17" si="16">(K17-K16)/K16</f>
        <v>-6.4163133804189199E-2</v>
      </c>
      <c r="M17" s="1">
        <v>17148</v>
      </c>
      <c r="N17" s="1">
        <v>2492</v>
      </c>
      <c r="O17" s="1">
        <v>46732</v>
      </c>
      <c r="P17" s="1">
        <v>4013</v>
      </c>
      <c r="Q17" s="1">
        <v>12207</v>
      </c>
      <c r="R17" s="1">
        <v>123</v>
      </c>
      <c r="S17" s="1">
        <v>4216</v>
      </c>
      <c r="T17" s="1">
        <v>27575</v>
      </c>
      <c r="U17" s="1">
        <v>8758</v>
      </c>
      <c r="V17" s="1">
        <v>90973</v>
      </c>
      <c r="W17" s="1">
        <v>1453</v>
      </c>
      <c r="X17" s="1">
        <v>417</v>
      </c>
      <c r="Y17" s="1">
        <v>1144925</v>
      </c>
      <c r="Z17" s="21">
        <f t="shared" si="2"/>
        <v>-2.8544010263319999E-2</v>
      </c>
      <c r="AA17" s="1">
        <v>18345</v>
      </c>
      <c r="AB17" s="1">
        <v>9568</v>
      </c>
      <c r="AC17" s="1">
        <v>126484</v>
      </c>
      <c r="AD17" s="1">
        <v>20124</v>
      </c>
      <c r="AE17" s="1">
        <v>65846</v>
      </c>
      <c r="AF17" s="1">
        <v>590735</v>
      </c>
      <c r="AG17" s="1">
        <v>313822</v>
      </c>
      <c r="AH17" s="1">
        <v>145330</v>
      </c>
      <c r="AI17" s="21">
        <f t="shared" si="3"/>
        <v>-7.037586674513216E-2</v>
      </c>
      <c r="AJ17" s="1">
        <v>28613</v>
      </c>
      <c r="AK17" s="1">
        <v>16528</v>
      </c>
      <c r="AL17" s="1">
        <v>20661</v>
      </c>
      <c r="AM17" s="1">
        <v>79528</v>
      </c>
      <c r="AN17" s="1">
        <v>914276</v>
      </c>
      <c r="AO17" s="21">
        <f t="shared" si="4"/>
        <v>-9.6384863525185941E-3</v>
      </c>
      <c r="AP17" s="1">
        <v>568951</v>
      </c>
      <c r="AQ17" s="1">
        <v>15543</v>
      </c>
      <c r="AR17" s="1">
        <v>553406</v>
      </c>
      <c r="AS17" s="1">
        <v>65</v>
      </c>
      <c r="AT17" s="1">
        <v>286060</v>
      </c>
      <c r="AU17" s="1">
        <v>1698</v>
      </c>
      <c r="AV17" s="1">
        <v>57509</v>
      </c>
    </row>
    <row r="18" spans="1:48">
      <c r="A18" s="20">
        <v>34880</v>
      </c>
      <c r="B18" s="1">
        <v>2394268</v>
      </c>
      <c r="C18" s="21">
        <f t="shared" si="0"/>
        <v>-1.5302639219963513E-2</v>
      </c>
      <c r="D18" s="1">
        <v>9895</v>
      </c>
      <c r="E18" s="21">
        <f t="shared" si="0"/>
        <v>-8.6924425579034792E-2</v>
      </c>
      <c r="F18" s="1">
        <v>5693</v>
      </c>
      <c r="G18" s="1">
        <v>304</v>
      </c>
      <c r="H18" s="1">
        <v>1939</v>
      </c>
      <c r="I18" s="1">
        <v>11</v>
      </c>
      <c r="J18" s="1">
        <v>1948</v>
      </c>
      <c r="K18" s="1">
        <v>208333</v>
      </c>
      <c r="L18" s="21">
        <f t="shared" ref="L18" si="17">(K18-K17)/K17</f>
        <v>-3.5986303271482119E-2</v>
      </c>
      <c r="M18" s="1">
        <v>16190</v>
      </c>
      <c r="N18" s="1">
        <v>2778</v>
      </c>
      <c r="O18" s="1">
        <v>43767</v>
      </c>
      <c r="P18" s="1">
        <v>3492</v>
      </c>
      <c r="Q18" s="1">
        <v>11383</v>
      </c>
      <c r="R18" s="1">
        <v>120</v>
      </c>
      <c r="S18" s="1">
        <v>3793</v>
      </c>
      <c r="T18" s="1">
        <v>29335</v>
      </c>
      <c r="U18" s="1">
        <v>8258</v>
      </c>
      <c r="V18" s="1">
        <v>87490</v>
      </c>
      <c r="W18" s="1">
        <v>1344</v>
      </c>
      <c r="X18" s="1">
        <v>383</v>
      </c>
      <c r="Y18" s="1">
        <v>1138908</v>
      </c>
      <c r="Z18" s="21">
        <f t="shared" si="2"/>
        <v>-5.2553660720134508E-3</v>
      </c>
      <c r="AA18" s="1">
        <v>18731</v>
      </c>
      <c r="AB18" s="1">
        <v>8910</v>
      </c>
      <c r="AC18" s="1">
        <v>122885</v>
      </c>
      <c r="AD18" s="1">
        <v>19910</v>
      </c>
      <c r="AE18" s="1">
        <v>64508</v>
      </c>
      <c r="AF18" s="1">
        <v>559646</v>
      </c>
      <c r="AG18" s="1">
        <v>344318</v>
      </c>
      <c r="AH18" s="1">
        <v>143378</v>
      </c>
      <c r="AI18" s="21">
        <f t="shared" si="3"/>
        <v>-1.3431500722493635E-2</v>
      </c>
      <c r="AJ18" s="1">
        <v>27977</v>
      </c>
      <c r="AK18" s="1">
        <v>16530</v>
      </c>
      <c r="AL18" s="1">
        <v>19988</v>
      </c>
      <c r="AM18" s="1">
        <v>78884</v>
      </c>
      <c r="AN18" s="1">
        <v>893753</v>
      </c>
      <c r="AO18" s="21">
        <f t="shared" si="4"/>
        <v>-2.2447269752241119E-2</v>
      </c>
      <c r="AP18" s="1">
        <v>541654</v>
      </c>
      <c r="AQ18" s="1">
        <v>15514</v>
      </c>
      <c r="AR18" s="1">
        <v>526139</v>
      </c>
      <c r="AS18" s="1">
        <v>71</v>
      </c>
      <c r="AT18" s="1">
        <v>278977</v>
      </c>
      <c r="AU18" s="1">
        <v>1342</v>
      </c>
      <c r="AV18" s="1">
        <v>71709</v>
      </c>
    </row>
    <row r="19" spans="1:48">
      <c r="A19" s="20">
        <v>35246</v>
      </c>
      <c r="B19" s="1">
        <v>2366017</v>
      </c>
      <c r="C19" s="21">
        <f t="shared" si="0"/>
        <v>-1.1799430974310311E-2</v>
      </c>
      <c r="D19" s="1">
        <v>9984</v>
      </c>
      <c r="E19" s="21">
        <f t="shared" si="0"/>
        <v>8.9944416371905006E-3</v>
      </c>
      <c r="F19" s="1">
        <v>6292</v>
      </c>
      <c r="G19" s="1">
        <v>309</v>
      </c>
      <c r="H19" s="1">
        <v>1692</v>
      </c>
      <c r="I19" s="1">
        <v>13</v>
      </c>
      <c r="J19" s="1">
        <v>1680</v>
      </c>
      <c r="K19" s="1">
        <v>205620</v>
      </c>
      <c r="L19" s="21">
        <f t="shared" ref="L19" si="18">(K19-K18)/K18</f>
        <v>-1.3022420835873337E-2</v>
      </c>
      <c r="M19" s="1">
        <v>15575</v>
      </c>
      <c r="N19" s="1">
        <v>2523</v>
      </c>
      <c r="O19" s="1">
        <v>41789</v>
      </c>
      <c r="P19" s="1">
        <v>3602</v>
      </c>
      <c r="Q19" s="1">
        <v>10837</v>
      </c>
      <c r="R19" s="1">
        <v>115</v>
      </c>
      <c r="S19" s="1">
        <v>3541</v>
      </c>
      <c r="T19" s="1">
        <v>32317</v>
      </c>
      <c r="U19" s="1">
        <v>8305</v>
      </c>
      <c r="V19" s="1">
        <v>85379</v>
      </c>
      <c r="W19" s="1">
        <v>1257</v>
      </c>
      <c r="X19" s="1">
        <v>381</v>
      </c>
      <c r="Y19" s="1">
        <v>1158802</v>
      </c>
      <c r="Z19" s="21">
        <f t="shared" si="2"/>
        <v>1.7467609324019147E-2</v>
      </c>
      <c r="AA19" s="1">
        <v>16868</v>
      </c>
      <c r="AB19" s="1">
        <v>8814</v>
      </c>
      <c r="AC19" s="1">
        <v>132151</v>
      </c>
      <c r="AD19" s="1">
        <v>19509</v>
      </c>
      <c r="AE19" s="1">
        <v>64479</v>
      </c>
      <c r="AF19" s="1">
        <v>543342</v>
      </c>
      <c r="AG19" s="1">
        <v>373644</v>
      </c>
      <c r="AH19" s="1">
        <v>133637</v>
      </c>
      <c r="AI19" s="21">
        <f t="shared" si="3"/>
        <v>-6.7939293336495135E-2</v>
      </c>
      <c r="AJ19" s="1">
        <v>24953</v>
      </c>
      <c r="AK19" s="1">
        <v>15919</v>
      </c>
      <c r="AL19" s="1">
        <v>19401</v>
      </c>
      <c r="AM19" s="1">
        <v>73365</v>
      </c>
      <c r="AN19" s="1">
        <v>857970</v>
      </c>
      <c r="AO19" s="21">
        <f t="shared" si="4"/>
        <v>-4.0036788687702309E-2</v>
      </c>
      <c r="AP19" s="1">
        <v>509999</v>
      </c>
      <c r="AQ19" s="1">
        <v>14584</v>
      </c>
      <c r="AR19" s="1">
        <v>495416</v>
      </c>
      <c r="AS19" s="1">
        <v>84</v>
      </c>
      <c r="AT19" s="1">
        <v>282409</v>
      </c>
      <c r="AU19" s="1">
        <v>1058</v>
      </c>
      <c r="AV19" s="1">
        <v>64419</v>
      </c>
    </row>
    <row r="20" spans="1:48">
      <c r="A20" s="20">
        <v>35611</v>
      </c>
      <c r="B20" s="1">
        <v>2354831</v>
      </c>
      <c r="C20" s="21">
        <f t="shared" si="0"/>
        <v>-4.7277766812326366E-3</v>
      </c>
      <c r="D20" s="1">
        <v>9494</v>
      </c>
      <c r="E20" s="21">
        <f t="shared" si="0"/>
        <v>-4.907852564102564E-2</v>
      </c>
      <c r="F20" s="1">
        <v>6381</v>
      </c>
      <c r="G20" s="1">
        <v>276</v>
      </c>
      <c r="H20" s="1">
        <v>1321</v>
      </c>
      <c r="I20" s="1">
        <v>10</v>
      </c>
      <c r="J20" s="1">
        <v>1509</v>
      </c>
      <c r="K20" s="1">
        <v>204363</v>
      </c>
      <c r="L20" s="21">
        <f t="shared" ref="L20" si="19">(K20-K19)/K19</f>
        <v>-6.113218558505982E-3</v>
      </c>
      <c r="M20" s="1">
        <v>16115</v>
      </c>
      <c r="N20" s="1">
        <v>2430</v>
      </c>
      <c r="O20" s="1">
        <v>39835</v>
      </c>
      <c r="P20" s="1">
        <v>2988</v>
      </c>
      <c r="Q20" s="1">
        <v>10053</v>
      </c>
      <c r="R20" s="1">
        <v>114</v>
      </c>
      <c r="S20" s="1">
        <v>3337</v>
      </c>
      <c r="T20" s="1">
        <v>35832</v>
      </c>
      <c r="U20" s="1">
        <v>8593</v>
      </c>
      <c r="V20" s="1">
        <v>83364</v>
      </c>
      <c r="W20" s="1">
        <v>1335</v>
      </c>
      <c r="X20" s="1">
        <v>367</v>
      </c>
      <c r="Y20" s="1">
        <v>1197018</v>
      </c>
      <c r="Z20" s="21">
        <f t="shared" si="2"/>
        <v>3.2978886815866734E-2</v>
      </c>
      <c r="AA20" s="1">
        <v>14832</v>
      </c>
      <c r="AB20" s="1">
        <v>8429</v>
      </c>
      <c r="AC20" s="1">
        <v>134134</v>
      </c>
      <c r="AD20" s="1">
        <v>21037</v>
      </c>
      <c r="AE20" s="1">
        <v>69834</v>
      </c>
      <c r="AF20" s="1">
        <v>536584</v>
      </c>
      <c r="AG20" s="1">
        <v>412168</v>
      </c>
      <c r="AH20" s="1">
        <v>130636</v>
      </c>
      <c r="AI20" s="21">
        <f t="shared" si="3"/>
        <v>-2.2456355650007108E-2</v>
      </c>
      <c r="AJ20" s="1">
        <v>25617</v>
      </c>
      <c r="AK20" s="1">
        <v>15526</v>
      </c>
      <c r="AL20" s="1">
        <v>19317</v>
      </c>
      <c r="AM20" s="1">
        <v>70176</v>
      </c>
      <c r="AN20" s="1">
        <v>813318</v>
      </c>
      <c r="AO20" s="21">
        <f t="shared" si="4"/>
        <v>-5.204377775446694E-2</v>
      </c>
      <c r="AP20" s="1">
        <v>472949</v>
      </c>
      <c r="AQ20" s="1">
        <v>12234</v>
      </c>
      <c r="AR20" s="1">
        <v>460715</v>
      </c>
      <c r="AS20" s="1">
        <v>82</v>
      </c>
      <c r="AT20" s="1">
        <v>285172</v>
      </c>
      <c r="AU20" s="1">
        <v>980</v>
      </c>
      <c r="AV20" s="1">
        <v>54135</v>
      </c>
    </row>
    <row r="21" spans="1:48">
      <c r="A21" s="20">
        <v>35976</v>
      </c>
      <c r="B21" s="1">
        <v>2281919</v>
      </c>
      <c r="C21" s="21">
        <f t="shared" si="0"/>
        <v>-3.0962731508120966E-2</v>
      </c>
      <c r="D21" s="1">
        <v>9642</v>
      </c>
      <c r="E21" s="21">
        <f t="shared" si="0"/>
        <v>1.5588792921845377E-2</v>
      </c>
      <c r="F21" s="1">
        <v>5971</v>
      </c>
      <c r="G21" s="1">
        <v>217</v>
      </c>
      <c r="H21" s="1">
        <v>1980</v>
      </c>
      <c r="I21" s="1">
        <v>5</v>
      </c>
      <c r="J21" s="1">
        <v>1471</v>
      </c>
      <c r="K21" s="1">
        <v>187838</v>
      </c>
      <c r="L21" s="21">
        <f t="shared" ref="L21" si="20">(K21-K20)/K20</f>
        <v>-8.086101691597794E-2</v>
      </c>
      <c r="M21" s="1">
        <v>13732</v>
      </c>
      <c r="N21" s="1">
        <v>2208</v>
      </c>
      <c r="O21" s="1">
        <v>35541</v>
      </c>
      <c r="P21" s="1">
        <v>2921</v>
      </c>
      <c r="Q21" s="1">
        <v>8994</v>
      </c>
      <c r="R21" s="1">
        <v>93</v>
      </c>
      <c r="S21" s="1">
        <v>3174</v>
      </c>
      <c r="T21" s="1">
        <v>35562</v>
      </c>
      <c r="U21" s="1">
        <v>6541</v>
      </c>
      <c r="V21" s="1">
        <v>77578</v>
      </c>
      <c r="W21" s="1">
        <v>1206</v>
      </c>
      <c r="X21" s="1">
        <v>287</v>
      </c>
      <c r="Y21" s="1">
        <v>1202022</v>
      </c>
      <c r="Z21" s="21">
        <f t="shared" si="2"/>
        <v>4.1803882648381229E-3</v>
      </c>
      <c r="AA21" s="1">
        <v>12398</v>
      </c>
      <c r="AB21" s="1">
        <v>7998</v>
      </c>
      <c r="AC21" s="1">
        <v>134220</v>
      </c>
      <c r="AD21" s="1">
        <v>22031</v>
      </c>
      <c r="AE21" s="1">
        <v>72328</v>
      </c>
      <c r="AF21" s="1">
        <v>504662</v>
      </c>
      <c r="AG21" s="1">
        <v>448388</v>
      </c>
      <c r="AH21" s="1">
        <v>122828</v>
      </c>
      <c r="AI21" s="21">
        <f t="shared" si="3"/>
        <v>-5.9769129489574087E-2</v>
      </c>
      <c r="AJ21" s="1">
        <v>22364</v>
      </c>
      <c r="AK21" s="1">
        <v>16483</v>
      </c>
      <c r="AL21" s="1">
        <v>19199</v>
      </c>
      <c r="AM21" s="1">
        <v>64782</v>
      </c>
      <c r="AN21" s="1">
        <v>759587</v>
      </c>
      <c r="AO21" s="21">
        <f t="shared" si="4"/>
        <v>-6.6063950385949893E-2</v>
      </c>
      <c r="AP21" s="1">
        <v>428850</v>
      </c>
      <c r="AQ21" s="1">
        <v>11802</v>
      </c>
      <c r="AR21" s="1">
        <v>417050</v>
      </c>
      <c r="AS21" s="1">
        <v>78</v>
      </c>
      <c r="AT21" s="1">
        <v>283627</v>
      </c>
      <c r="AU21" s="1">
        <v>799</v>
      </c>
      <c r="AV21" s="1">
        <v>46233</v>
      </c>
    </row>
    <row r="22" spans="1:48">
      <c r="A22" s="20">
        <v>36341</v>
      </c>
      <c r="B22" s="1">
        <v>2146732</v>
      </c>
      <c r="C22" s="21">
        <f t="shared" si="0"/>
        <v>-5.9242681269580558E-2</v>
      </c>
      <c r="D22" s="1">
        <v>8048</v>
      </c>
      <c r="E22" s="21">
        <f t="shared" si="0"/>
        <v>-0.16531839867247458</v>
      </c>
      <c r="F22" s="1">
        <v>4895</v>
      </c>
      <c r="G22" s="1">
        <v>206</v>
      </c>
      <c r="H22" s="1">
        <v>1471</v>
      </c>
      <c r="I22" s="1">
        <v>8</v>
      </c>
      <c r="J22" s="1">
        <v>1471</v>
      </c>
      <c r="K22" s="1">
        <v>167295</v>
      </c>
      <c r="L22" s="21">
        <f t="shared" ref="L22" si="21">(K22-K21)/K21</f>
        <v>-0.10936551709451761</v>
      </c>
      <c r="M22" s="1">
        <v>12065</v>
      </c>
      <c r="N22" s="1">
        <v>1964</v>
      </c>
      <c r="O22" s="1">
        <v>29046</v>
      </c>
      <c r="P22" s="1">
        <v>2777</v>
      </c>
      <c r="Q22" s="1">
        <v>7836</v>
      </c>
      <c r="R22" s="1">
        <v>92</v>
      </c>
      <c r="S22" s="1">
        <v>2663</v>
      </c>
      <c r="T22" s="1">
        <v>32882</v>
      </c>
      <c r="U22" s="1">
        <v>5970</v>
      </c>
      <c r="V22" s="1">
        <v>70556</v>
      </c>
      <c r="W22" s="1">
        <v>1100</v>
      </c>
      <c r="X22" s="1">
        <v>344</v>
      </c>
      <c r="Y22" s="1">
        <v>1163910</v>
      </c>
      <c r="Z22" s="21">
        <f t="shared" si="2"/>
        <v>-3.1706574422098767E-2</v>
      </c>
      <c r="AA22" s="1">
        <v>11123</v>
      </c>
      <c r="AB22" s="1">
        <v>7150</v>
      </c>
      <c r="AC22" s="1">
        <v>120008</v>
      </c>
      <c r="AD22" s="1">
        <v>17951</v>
      </c>
      <c r="AE22" s="1">
        <v>64376</v>
      </c>
      <c r="AF22" s="1">
        <v>449233</v>
      </c>
      <c r="AG22" s="1">
        <v>494064</v>
      </c>
      <c r="AH22" s="1">
        <v>110786</v>
      </c>
      <c r="AI22" s="21">
        <f t="shared" si="3"/>
        <v>-9.8039534959455499E-2</v>
      </c>
      <c r="AJ22" s="1">
        <v>18469</v>
      </c>
      <c r="AK22" s="1">
        <v>14937</v>
      </c>
      <c r="AL22" s="1">
        <v>16253</v>
      </c>
      <c r="AM22" s="1">
        <v>61126</v>
      </c>
      <c r="AN22" s="1">
        <v>696692</v>
      </c>
      <c r="AO22" s="21">
        <f t="shared" si="4"/>
        <v>-8.2801575066450583E-2</v>
      </c>
      <c r="AP22" s="1">
        <v>383199</v>
      </c>
      <c r="AQ22" s="1">
        <v>10917</v>
      </c>
      <c r="AR22" s="1">
        <v>372281</v>
      </c>
      <c r="AS22" s="1">
        <v>66</v>
      </c>
      <c r="AT22" s="1">
        <v>273017</v>
      </c>
      <c r="AU22" s="1">
        <v>706</v>
      </c>
      <c r="AV22" s="1">
        <v>39702</v>
      </c>
    </row>
    <row r="23" spans="1:48">
      <c r="A23" s="20">
        <v>36707</v>
      </c>
      <c r="B23" s="1">
        <v>2130707</v>
      </c>
      <c r="C23" s="21">
        <f t="shared" si="0"/>
        <v>-7.4648349211732063E-3</v>
      </c>
      <c r="D23" s="1">
        <v>7744</v>
      </c>
      <c r="E23" s="21">
        <f t="shared" si="0"/>
        <v>-3.7773359840954271E-2</v>
      </c>
      <c r="F23" s="1">
        <v>4626</v>
      </c>
      <c r="G23" s="1">
        <v>210</v>
      </c>
      <c r="H23" s="1">
        <v>1500</v>
      </c>
      <c r="I23" s="1">
        <v>9</v>
      </c>
      <c r="J23" s="1">
        <v>1400</v>
      </c>
      <c r="K23" s="1">
        <v>173975</v>
      </c>
      <c r="L23" s="21">
        <f t="shared" ref="L23" si="22">(K23-K22)/K22</f>
        <v>3.9929465913506081E-2</v>
      </c>
      <c r="M23" s="1">
        <v>12206</v>
      </c>
      <c r="N23" s="1">
        <v>2098</v>
      </c>
      <c r="O23" s="1">
        <v>34463</v>
      </c>
      <c r="P23" s="1">
        <v>3465</v>
      </c>
      <c r="Q23" s="1">
        <v>7907</v>
      </c>
      <c r="R23" s="1">
        <v>94</v>
      </c>
      <c r="S23" s="1">
        <v>2957</v>
      </c>
      <c r="T23" s="1">
        <v>32719</v>
      </c>
      <c r="U23" s="1">
        <v>6575</v>
      </c>
      <c r="V23" s="1">
        <v>69976</v>
      </c>
      <c r="W23" s="1">
        <v>1170</v>
      </c>
      <c r="X23" s="1">
        <v>346</v>
      </c>
      <c r="Y23" s="1">
        <v>1176723</v>
      </c>
      <c r="Z23" s="21">
        <f t="shared" si="2"/>
        <v>1.1008583137871486E-2</v>
      </c>
      <c r="AA23" s="1">
        <v>10457</v>
      </c>
      <c r="AB23" s="1">
        <v>7154</v>
      </c>
      <c r="AC23" s="1">
        <v>105425</v>
      </c>
      <c r="AD23" s="1">
        <v>19844</v>
      </c>
      <c r="AE23" s="1">
        <v>67198</v>
      </c>
      <c r="AF23" s="1">
        <v>443397</v>
      </c>
      <c r="AG23" s="1">
        <v>523250</v>
      </c>
      <c r="AH23" s="1">
        <v>110266</v>
      </c>
      <c r="AI23" s="21">
        <f t="shared" si="3"/>
        <v>-4.6937338652898383E-3</v>
      </c>
      <c r="AJ23" s="1">
        <v>18481</v>
      </c>
      <c r="AK23" s="1">
        <v>15428</v>
      </c>
      <c r="AL23" s="1">
        <v>15636</v>
      </c>
      <c r="AM23" s="1">
        <v>60726</v>
      </c>
      <c r="AN23" s="1">
        <v>661998</v>
      </c>
      <c r="AO23" s="21">
        <f t="shared" si="4"/>
        <v>-4.9798189156757933E-2</v>
      </c>
      <c r="AP23" s="1">
        <v>355199</v>
      </c>
      <c r="AQ23" s="1">
        <v>10590</v>
      </c>
      <c r="AR23" s="1">
        <v>344605</v>
      </c>
      <c r="AS23" s="1">
        <v>59</v>
      </c>
      <c r="AT23" s="1">
        <v>271132</v>
      </c>
      <c r="AU23" s="1">
        <v>621</v>
      </c>
      <c r="AV23" s="1">
        <v>34992</v>
      </c>
    </row>
    <row r="24" spans="1:48">
      <c r="A24" s="20">
        <v>37072</v>
      </c>
      <c r="B24" s="1">
        <v>2117511</v>
      </c>
      <c r="C24" s="21">
        <f t="shared" si="0"/>
        <v>-6.1932494707155885E-3</v>
      </c>
      <c r="D24" s="1">
        <v>7449</v>
      </c>
      <c r="E24" s="21">
        <f t="shared" si="0"/>
        <v>-3.8094008264462811E-2</v>
      </c>
      <c r="F24" s="1">
        <v>4426</v>
      </c>
      <c r="G24" s="1">
        <v>166</v>
      </c>
      <c r="H24" s="1">
        <v>1620</v>
      </c>
      <c r="I24" s="1">
        <v>11</v>
      </c>
      <c r="J24" s="1">
        <v>1226</v>
      </c>
      <c r="K24" s="1">
        <v>167288</v>
      </c>
      <c r="L24" s="21">
        <f t="shared" ref="L24" si="23">(K24-K23)/K23</f>
        <v>-3.8436556976577094E-2</v>
      </c>
      <c r="M24" s="1">
        <v>10092</v>
      </c>
      <c r="N24" s="1">
        <v>2022</v>
      </c>
      <c r="O24" s="1">
        <v>33942</v>
      </c>
      <c r="P24" s="1">
        <v>2969</v>
      </c>
      <c r="Q24" s="1">
        <v>7375</v>
      </c>
      <c r="R24" s="1">
        <v>91</v>
      </c>
      <c r="S24" s="1">
        <v>2922</v>
      </c>
      <c r="T24" s="1">
        <v>31691</v>
      </c>
      <c r="U24" s="1">
        <v>6051</v>
      </c>
      <c r="V24" s="1">
        <v>68531</v>
      </c>
      <c r="W24" s="1">
        <v>1255</v>
      </c>
      <c r="X24" s="1">
        <v>351</v>
      </c>
      <c r="Y24" s="1">
        <v>1193844</v>
      </c>
      <c r="Z24" s="21">
        <f t="shared" si="2"/>
        <v>1.4549728355781267E-2</v>
      </c>
      <c r="AA24" s="1">
        <v>9334</v>
      </c>
      <c r="AB24" s="1">
        <v>7592</v>
      </c>
      <c r="AC24" s="1">
        <v>104610</v>
      </c>
      <c r="AD24" s="1">
        <v>19528</v>
      </c>
      <c r="AE24" s="1">
        <v>68001</v>
      </c>
      <c r="AF24" s="1">
        <v>424297</v>
      </c>
      <c r="AG24" s="1">
        <v>560485</v>
      </c>
      <c r="AH24" s="1">
        <v>105119</v>
      </c>
      <c r="AI24" s="21">
        <f t="shared" si="3"/>
        <v>-4.6678033119910034E-2</v>
      </c>
      <c r="AJ24" s="1">
        <v>16520</v>
      </c>
      <c r="AK24" s="1">
        <v>15920</v>
      </c>
      <c r="AL24" s="1">
        <v>15252</v>
      </c>
      <c r="AM24" s="1">
        <v>57433</v>
      </c>
      <c r="AN24" s="1">
        <v>643809</v>
      </c>
      <c r="AO24" s="21">
        <f t="shared" si="4"/>
        <v>-2.7475913824513067E-2</v>
      </c>
      <c r="AP24" s="1">
        <v>351411</v>
      </c>
      <c r="AQ24" s="1">
        <v>11500</v>
      </c>
      <c r="AR24" s="1">
        <v>339914</v>
      </c>
      <c r="AS24" s="1">
        <v>59</v>
      </c>
      <c r="AT24" s="1">
        <v>260663</v>
      </c>
      <c r="AU24" s="1">
        <v>572</v>
      </c>
      <c r="AV24" s="1">
        <v>31103</v>
      </c>
    </row>
    <row r="25" spans="1:48">
      <c r="A25" s="20">
        <v>37437</v>
      </c>
      <c r="B25" s="1">
        <v>2097124</v>
      </c>
      <c r="C25" s="21">
        <f t="shared" si="0"/>
        <v>-9.6278130314317138E-3</v>
      </c>
      <c r="D25" s="1">
        <v>7458</v>
      </c>
      <c r="E25" s="21">
        <f t="shared" si="0"/>
        <v>1.2082158679017317E-3</v>
      </c>
      <c r="F25" s="1">
        <v>3656</v>
      </c>
      <c r="G25" s="1">
        <v>165</v>
      </c>
      <c r="H25" s="1">
        <v>2233</v>
      </c>
      <c r="I25" s="1">
        <v>22</v>
      </c>
      <c r="J25" s="1">
        <v>1382</v>
      </c>
      <c r="K25" s="1">
        <v>164635</v>
      </c>
      <c r="L25" s="21">
        <f t="shared" ref="L25" si="24">(K25-K24)/K24</f>
        <v>-1.5858878102434127E-2</v>
      </c>
      <c r="M25" s="1">
        <v>12051</v>
      </c>
      <c r="N25" s="1">
        <v>1962</v>
      </c>
      <c r="O25" s="1">
        <v>32721</v>
      </c>
      <c r="P25" s="1">
        <v>2679</v>
      </c>
      <c r="Q25" s="1">
        <v>7219</v>
      </c>
      <c r="R25" s="1">
        <v>95</v>
      </c>
      <c r="S25" s="1">
        <v>2779</v>
      </c>
      <c r="T25" s="1">
        <v>30993</v>
      </c>
      <c r="U25" s="1">
        <v>6004</v>
      </c>
      <c r="V25" s="1">
        <v>66642</v>
      </c>
      <c r="W25" s="1">
        <v>1214</v>
      </c>
      <c r="X25" s="1">
        <v>275</v>
      </c>
      <c r="Y25" s="1">
        <v>1174305</v>
      </c>
      <c r="Z25" s="21">
        <f t="shared" si="2"/>
        <v>-1.6366459939489583E-2</v>
      </c>
      <c r="AA25" s="1">
        <v>8631</v>
      </c>
      <c r="AB25" s="1">
        <v>7344</v>
      </c>
      <c r="AC25" s="1">
        <v>93477</v>
      </c>
      <c r="AD25" s="1">
        <v>18015</v>
      </c>
      <c r="AE25" s="1">
        <v>67041</v>
      </c>
      <c r="AF25" s="1">
        <v>411985</v>
      </c>
      <c r="AG25" s="1">
        <v>567810</v>
      </c>
      <c r="AH25" s="1">
        <v>102982</v>
      </c>
      <c r="AI25" s="21">
        <f t="shared" si="3"/>
        <v>-2.0329341032544069E-2</v>
      </c>
      <c r="AJ25" s="1">
        <v>17734</v>
      </c>
      <c r="AK25" s="1">
        <v>16855</v>
      </c>
      <c r="AL25" s="1">
        <v>13676</v>
      </c>
      <c r="AM25" s="1">
        <v>54717</v>
      </c>
      <c r="AN25" s="1">
        <v>647745</v>
      </c>
      <c r="AO25" s="21">
        <f t="shared" si="4"/>
        <v>6.1136144415502112E-3</v>
      </c>
      <c r="AP25" s="1">
        <v>359335</v>
      </c>
      <c r="AQ25" s="1">
        <v>11302</v>
      </c>
      <c r="AR25" s="1">
        <v>348034</v>
      </c>
      <c r="AS25" s="1">
        <v>63</v>
      </c>
      <c r="AT25" s="1">
        <v>258010</v>
      </c>
      <c r="AU25" s="1">
        <v>553</v>
      </c>
      <c r="AV25" s="1">
        <v>29783</v>
      </c>
    </row>
    <row r="26" spans="1:48">
      <c r="A26" s="20">
        <v>37802</v>
      </c>
      <c r="B26" s="1">
        <v>2073453</v>
      </c>
      <c r="C26" s="21">
        <f t="shared" si="0"/>
        <v>-1.1287363074381867E-2</v>
      </c>
      <c r="D26" s="1">
        <v>7170</v>
      </c>
      <c r="E26" s="21">
        <f t="shared" si="0"/>
        <v>-3.8616251005631534E-2</v>
      </c>
      <c r="F26" s="1">
        <v>3262</v>
      </c>
      <c r="G26" s="1">
        <v>144</v>
      </c>
      <c r="H26" s="1">
        <v>2425</v>
      </c>
      <c r="I26" s="1">
        <v>5</v>
      </c>
      <c r="J26" s="1">
        <v>1334</v>
      </c>
      <c r="K26" s="1">
        <v>161360</v>
      </c>
      <c r="L26" s="21">
        <f t="shared" ref="L26" si="25">(K26-K25)/K25</f>
        <v>-1.9892489446351018E-2</v>
      </c>
      <c r="M26" s="1">
        <v>11696</v>
      </c>
      <c r="N26" s="1">
        <v>1865</v>
      </c>
      <c r="O26" s="1">
        <v>33944</v>
      </c>
      <c r="P26" s="1">
        <v>2538</v>
      </c>
      <c r="Q26" s="1">
        <v>6524</v>
      </c>
      <c r="R26" s="1">
        <v>82</v>
      </c>
      <c r="S26" s="1">
        <v>2755</v>
      </c>
      <c r="T26" s="1">
        <v>29406</v>
      </c>
      <c r="U26" s="1">
        <v>5647</v>
      </c>
      <c r="V26" s="1">
        <v>65356</v>
      </c>
      <c r="W26" s="1">
        <v>1237</v>
      </c>
      <c r="X26" s="1">
        <v>311</v>
      </c>
      <c r="Y26" s="1">
        <v>1162869</v>
      </c>
      <c r="Z26" s="21">
        <f t="shared" si="2"/>
        <v>-9.7385261920880858E-3</v>
      </c>
      <c r="AA26" s="1">
        <v>7877</v>
      </c>
      <c r="AB26" s="1">
        <v>7226</v>
      </c>
      <c r="AC26" s="1">
        <v>90111</v>
      </c>
      <c r="AD26" s="1">
        <v>16593</v>
      </c>
      <c r="AE26" s="1">
        <v>66130</v>
      </c>
      <c r="AF26" s="1">
        <v>405801</v>
      </c>
      <c r="AG26" s="1">
        <v>569131</v>
      </c>
      <c r="AH26" s="1">
        <v>105931</v>
      </c>
      <c r="AI26" s="21">
        <f t="shared" si="3"/>
        <v>2.8636072323318638E-2</v>
      </c>
      <c r="AJ26" s="1">
        <v>21109</v>
      </c>
      <c r="AK26" s="1">
        <v>19320</v>
      </c>
      <c r="AL26" s="1">
        <v>13096</v>
      </c>
      <c r="AM26" s="1">
        <v>52407</v>
      </c>
      <c r="AN26" s="1">
        <v>636123</v>
      </c>
      <c r="AO26" s="21">
        <f t="shared" si="4"/>
        <v>-1.7942245791167821E-2</v>
      </c>
      <c r="AP26" s="1">
        <v>355582</v>
      </c>
      <c r="AQ26" s="1">
        <v>10056</v>
      </c>
      <c r="AR26" s="1">
        <v>345526</v>
      </c>
      <c r="AS26" s="1">
        <v>47</v>
      </c>
      <c r="AT26" s="1">
        <v>250000</v>
      </c>
      <c r="AU26" s="1">
        <v>493</v>
      </c>
      <c r="AV26" s="1">
        <v>30000</v>
      </c>
    </row>
    <row r="27" spans="1:48">
      <c r="A27" s="20">
        <v>38168</v>
      </c>
      <c r="B27" s="1">
        <v>1983302</v>
      </c>
      <c r="C27" s="21">
        <f t="shared" si="0"/>
        <v>-4.3478680249805515E-2</v>
      </c>
      <c r="D27" s="1">
        <v>6941</v>
      </c>
      <c r="E27" s="21">
        <f t="shared" si="0"/>
        <v>-3.1938633193863322E-2</v>
      </c>
      <c r="F27" s="1">
        <v>2875</v>
      </c>
      <c r="G27" s="1">
        <v>170</v>
      </c>
      <c r="H27" s="1">
        <v>2538</v>
      </c>
      <c r="I27" s="1">
        <v>19</v>
      </c>
      <c r="J27" s="1">
        <v>1339</v>
      </c>
      <c r="K27" s="1">
        <v>159309</v>
      </c>
      <c r="L27" s="21">
        <f t="shared" ref="L27" si="26">(K27-K26)/K26</f>
        <v>-1.2710708973723351E-2</v>
      </c>
      <c r="M27" s="1">
        <v>10984</v>
      </c>
      <c r="N27" s="1">
        <v>1755</v>
      </c>
      <c r="O27" s="1">
        <v>33858</v>
      </c>
      <c r="P27" s="1">
        <v>2548</v>
      </c>
      <c r="Q27" s="1">
        <v>6409</v>
      </c>
      <c r="R27" s="1">
        <v>88</v>
      </c>
      <c r="S27" s="1">
        <v>2507</v>
      </c>
      <c r="T27" s="1">
        <v>31154</v>
      </c>
      <c r="U27" s="1">
        <v>5785</v>
      </c>
      <c r="V27" s="1">
        <v>62502</v>
      </c>
      <c r="W27" s="1">
        <v>1357</v>
      </c>
      <c r="X27" s="1">
        <v>361</v>
      </c>
      <c r="Y27" s="1">
        <v>1103743</v>
      </c>
      <c r="Z27" s="21">
        <f t="shared" si="2"/>
        <v>-5.0844936102002893E-2</v>
      </c>
      <c r="AA27" s="1">
        <v>7443</v>
      </c>
      <c r="AB27" s="1">
        <v>6732</v>
      </c>
      <c r="AC27" s="1">
        <v>83411</v>
      </c>
      <c r="AD27" s="1">
        <v>17153</v>
      </c>
      <c r="AE27" s="1">
        <v>64236</v>
      </c>
      <c r="AF27" s="1">
        <v>392867</v>
      </c>
      <c r="AG27" s="1">
        <v>531900</v>
      </c>
      <c r="AH27" s="1">
        <v>113069</v>
      </c>
      <c r="AI27" s="21">
        <f t="shared" si="3"/>
        <v>6.7383485476395014E-2</v>
      </c>
      <c r="AJ27" s="1">
        <v>22097</v>
      </c>
      <c r="AK27" s="1">
        <v>24724</v>
      </c>
      <c r="AL27" s="1">
        <v>14629</v>
      </c>
      <c r="AM27" s="1">
        <v>51619</v>
      </c>
      <c r="AN27" s="1">
        <v>600239</v>
      </c>
      <c r="AO27" s="21">
        <f t="shared" si="4"/>
        <v>-5.6410474074982356E-2</v>
      </c>
      <c r="AP27" s="1">
        <v>332465</v>
      </c>
      <c r="AQ27" s="1">
        <v>8225</v>
      </c>
      <c r="AR27" s="1">
        <v>324241</v>
      </c>
      <c r="AS27" s="1">
        <v>52</v>
      </c>
      <c r="AT27" s="1">
        <v>240206</v>
      </c>
      <c r="AU27" s="1">
        <v>463</v>
      </c>
      <c r="AV27" s="1">
        <v>27054</v>
      </c>
    </row>
    <row r="28" spans="1:48">
      <c r="A28" s="20">
        <v>38533</v>
      </c>
      <c r="B28" s="1">
        <v>1890106</v>
      </c>
      <c r="C28" s="21">
        <f t="shared" si="0"/>
        <v>-4.6990322200048201E-2</v>
      </c>
      <c r="D28" s="1">
        <v>8299</v>
      </c>
      <c r="E28" s="21">
        <f t="shared" si="0"/>
        <v>0.19564904192479471</v>
      </c>
      <c r="F28" s="1">
        <v>2585</v>
      </c>
      <c r="G28" s="1">
        <v>197</v>
      </c>
      <c r="H28" s="1">
        <v>3947</v>
      </c>
      <c r="I28" s="1">
        <v>8</v>
      </c>
      <c r="J28" s="1">
        <v>1563</v>
      </c>
      <c r="K28" s="1">
        <v>161587</v>
      </c>
      <c r="L28" s="21">
        <f t="shared" ref="L28" si="27">(K28-K27)/K27</f>
        <v>1.4299254907130169E-2</v>
      </c>
      <c r="M28" s="1">
        <v>10207</v>
      </c>
      <c r="N28" s="1">
        <v>1727</v>
      </c>
      <c r="O28" s="1">
        <v>33823</v>
      </c>
      <c r="P28" s="1">
        <v>2535</v>
      </c>
      <c r="Q28" s="1">
        <v>5549</v>
      </c>
      <c r="R28" s="1">
        <v>85</v>
      </c>
      <c r="S28" s="1">
        <v>2413</v>
      </c>
      <c r="T28" s="1">
        <v>35660</v>
      </c>
      <c r="U28" s="1">
        <v>5652</v>
      </c>
      <c r="V28" s="1">
        <v>62142</v>
      </c>
      <c r="W28" s="1">
        <v>1469</v>
      </c>
      <c r="X28" s="1">
        <v>324</v>
      </c>
      <c r="Y28" s="1">
        <v>1023499</v>
      </c>
      <c r="Z28" s="21">
        <f t="shared" si="2"/>
        <v>-7.270170682849178E-2</v>
      </c>
      <c r="AA28" s="1">
        <v>7861</v>
      </c>
      <c r="AB28" s="1">
        <v>6344</v>
      </c>
      <c r="AC28" s="1">
        <v>75483</v>
      </c>
      <c r="AD28" s="1">
        <v>17695</v>
      </c>
      <c r="AE28" s="1">
        <v>60660</v>
      </c>
      <c r="AF28" s="1">
        <v>387680</v>
      </c>
      <c r="AG28" s="1">
        <v>467776</v>
      </c>
      <c r="AH28" s="1">
        <v>123956</v>
      </c>
      <c r="AI28" s="21">
        <f t="shared" si="3"/>
        <v>9.6286338430515886E-2</v>
      </c>
      <c r="AJ28" s="1">
        <v>22823</v>
      </c>
      <c r="AK28" s="1">
        <v>32855</v>
      </c>
      <c r="AL28" s="1">
        <v>16651</v>
      </c>
      <c r="AM28" s="1">
        <v>51626</v>
      </c>
      <c r="AN28" s="1">
        <v>572765</v>
      </c>
      <c r="AO28" s="21">
        <f t="shared" si="4"/>
        <v>-4.5771767579247599E-2</v>
      </c>
      <c r="AP28" s="1">
        <v>315420</v>
      </c>
      <c r="AQ28" s="1">
        <v>7110</v>
      </c>
      <c r="AR28" s="1">
        <v>308311</v>
      </c>
      <c r="AS28" s="1">
        <v>50</v>
      </c>
      <c r="AT28" s="1">
        <v>230294</v>
      </c>
      <c r="AU28" s="1">
        <v>447</v>
      </c>
      <c r="AV28" s="1">
        <v>26554</v>
      </c>
    </row>
    <row r="29" spans="1:48">
      <c r="A29" s="20">
        <v>38898</v>
      </c>
      <c r="B29" s="1">
        <v>1862259</v>
      </c>
      <c r="C29" s="21">
        <f t="shared" si="0"/>
        <v>-1.473303613659763E-2</v>
      </c>
      <c r="D29" s="1">
        <v>8062</v>
      </c>
      <c r="E29" s="21">
        <f t="shared" si="0"/>
        <v>-2.8557657549102302E-2</v>
      </c>
      <c r="F29" s="1">
        <v>2360</v>
      </c>
      <c r="G29" s="1">
        <v>319</v>
      </c>
      <c r="H29" s="1">
        <v>3626</v>
      </c>
      <c r="I29" s="1">
        <v>7</v>
      </c>
      <c r="J29" s="1">
        <v>1749</v>
      </c>
      <c r="K29" s="1">
        <v>167298</v>
      </c>
      <c r="L29" s="21">
        <f t="shared" ref="L29" si="28">(K29-K28)/K28</f>
        <v>3.5343189736798133E-2</v>
      </c>
      <c r="M29" s="1">
        <v>10323</v>
      </c>
      <c r="N29" s="1">
        <v>1731</v>
      </c>
      <c r="O29" s="1">
        <v>35651</v>
      </c>
      <c r="P29" s="1">
        <v>2340</v>
      </c>
      <c r="Q29" s="1">
        <v>5093</v>
      </c>
      <c r="R29" s="1">
        <v>87</v>
      </c>
      <c r="S29" s="1">
        <v>2313</v>
      </c>
      <c r="T29" s="1">
        <v>39911</v>
      </c>
      <c r="U29" s="1">
        <v>5422</v>
      </c>
      <c r="V29" s="1">
        <v>62841</v>
      </c>
      <c r="W29" s="1">
        <v>1394</v>
      </c>
      <c r="X29" s="1">
        <v>192</v>
      </c>
      <c r="Y29" s="1">
        <v>1035904</v>
      </c>
      <c r="Z29" s="21">
        <f t="shared" si="2"/>
        <v>1.2120187709025607E-2</v>
      </c>
      <c r="AA29" s="1">
        <v>7531</v>
      </c>
      <c r="AB29" s="1">
        <v>6104</v>
      </c>
      <c r="AC29" s="1">
        <v>73876</v>
      </c>
      <c r="AD29" s="1">
        <v>17356</v>
      </c>
      <c r="AE29" s="1">
        <v>59818</v>
      </c>
      <c r="AF29" s="1">
        <v>397220</v>
      </c>
      <c r="AG29" s="1">
        <v>474000</v>
      </c>
      <c r="AH29" s="1">
        <v>130466</v>
      </c>
      <c r="AI29" s="21">
        <f t="shared" si="3"/>
        <v>5.2518635644906254E-2</v>
      </c>
      <c r="AJ29" s="1">
        <v>23390</v>
      </c>
      <c r="AK29" s="1">
        <v>36262</v>
      </c>
      <c r="AL29" s="1">
        <v>17910</v>
      </c>
      <c r="AM29" s="1">
        <v>52904</v>
      </c>
      <c r="AN29" s="1">
        <v>520529</v>
      </c>
      <c r="AO29" s="21">
        <f t="shared" si="4"/>
        <v>-9.1199706685988147E-2</v>
      </c>
      <c r="AP29" s="1">
        <v>270486</v>
      </c>
      <c r="AQ29" s="1">
        <v>6231</v>
      </c>
      <c r="AR29" s="1">
        <v>264255</v>
      </c>
      <c r="AS29" s="1">
        <v>55</v>
      </c>
      <c r="AT29" s="1">
        <v>223449</v>
      </c>
      <c r="AU29" s="1">
        <v>426</v>
      </c>
      <c r="AV29" s="1">
        <v>26113</v>
      </c>
    </row>
    <row r="30" spans="1:48">
      <c r="A30" s="20">
        <v>39263</v>
      </c>
      <c r="B30" s="1">
        <v>1848450</v>
      </c>
      <c r="C30" s="21">
        <f t="shared" si="0"/>
        <v>-7.4151876833458722E-3</v>
      </c>
      <c r="D30" s="1">
        <v>7703</v>
      </c>
      <c r="E30" s="21">
        <f t="shared" si="0"/>
        <v>-4.4529893326717938E-2</v>
      </c>
      <c r="F30" s="1">
        <v>2078</v>
      </c>
      <c r="G30" s="1">
        <v>380</v>
      </c>
      <c r="H30" s="1">
        <v>3653</v>
      </c>
      <c r="I30" s="1">
        <v>18</v>
      </c>
      <c r="J30" s="1">
        <v>1574</v>
      </c>
      <c r="K30" s="1">
        <v>171521</v>
      </c>
      <c r="L30" s="21">
        <f t="shared" ref="L30" si="29">(K30-K29)/K29</f>
        <v>2.5242381857523699E-2</v>
      </c>
      <c r="M30" s="1">
        <v>9609</v>
      </c>
      <c r="N30" s="1">
        <v>1727</v>
      </c>
      <c r="O30" s="1">
        <v>36490</v>
      </c>
      <c r="P30" s="1">
        <v>2666</v>
      </c>
      <c r="Q30" s="1">
        <v>5201</v>
      </c>
      <c r="R30" s="1">
        <v>80</v>
      </c>
      <c r="S30" s="1">
        <v>2334</v>
      </c>
      <c r="T30" s="1">
        <v>45058</v>
      </c>
      <c r="U30" s="1">
        <v>5455</v>
      </c>
      <c r="V30" s="1">
        <v>60952</v>
      </c>
      <c r="W30" s="1">
        <v>1665</v>
      </c>
      <c r="X30" s="1">
        <v>284</v>
      </c>
      <c r="Y30" s="1">
        <v>1032088</v>
      </c>
      <c r="Z30" s="21">
        <f t="shared" si="2"/>
        <v>-3.6837390337328556E-3</v>
      </c>
      <c r="AA30" s="1">
        <v>7173</v>
      </c>
      <c r="AB30" s="1">
        <v>6031</v>
      </c>
      <c r="AC30" s="1">
        <v>76651</v>
      </c>
      <c r="AD30" s="1">
        <v>20396</v>
      </c>
      <c r="AE30" s="1">
        <v>58831</v>
      </c>
      <c r="AF30" s="1">
        <v>396894</v>
      </c>
      <c r="AG30" s="1">
        <v>466112</v>
      </c>
      <c r="AH30" s="1">
        <v>131716</v>
      </c>
      <c r="AI30" s="21">
        <f t="shared" si="3"/>
        <v>9.5810402710284678E-3</v>
      </c>
      <c r="AJ30" s="1">
        <v>23237</v>
      </c>
      <c r="AK30" s="1">
        <v>34829</v>
      </c>
      <c r="AL30" s="1">
        <v>19520</v>
      </c>
      <c r="AM30" s="1">
        <v>54130</v>
      </c>
      <c r="AN30" s="1">
        <v>505423</v>
      </c>
      <c r="AO30" s="21">
        <f t="shared" si="4"/>
        <v>-2.9020477245263954E-2</v>
      </c>
      <c r="AP30" s="1">
        <v>263595</v>
      </c>
      <c r="AQ30" s="1">
        <v>5488</v>
      </c>
      <c r="AR30" s="1">
        <v>258107</v>
      </c>
      <c r="AS30" s="1">
        <v>43</v>
      </c>
      <c r="AT30" s="1">
        <v>216778</v>
      </c>
      <c r="AU30" s="1">
        <v>408</v>
      </c>
      <c r="AV30" s="1">
        <v>24600</v>
      </c>
    </row>
    <row r="31" spans="1:48">
      <c r="A31" s="20">
        <v>39629</v>
      </c>
      <c r="B31" s="1">
        <v>1811817</v>
      </c>
      <c r="C31" s="21">
        <f t="shared" si="0"/>
        <v>-1.9818226081311369E-2</v>
      </c>
      <c r="D31" s="1">
        <v>7553</v>
      </c>
      <c r="E31" s="21">
        <f t="shared" si="0"/>
        <v>-1.9472932623653121E-2</v>
      </c>
      <c r="F31" s="1">
        <v>1956</v>
      </c>
      <c r="G31" s="1">
        <v>386</v>
      </c>
      <c r="H31" s="1">
        <v>3611</v>
      </c>
      <c r="I31" s="1">
        <v>7</v>
      </c>
      <c r="J31" s="1">
        <v>1593</v>
      </c>
      <c r="K31" s="1">
        <v>196819</v>
      </c>
      <c r="L31" s="21">
        <f t="shared" ref="L31" si="30">(K31-K30)/K30</f>
        <v>0.14749214381912418</v>
      </c>
      <c r="M31" s="1">
        <v>9423</v>
      </c>
      <c r="N31" s="1">
        <v>1858</v>
      </c>
      <c r="O31" s="1">
        <v>39582</v>
      </c>
      <c r="P31" s="1">
        <v>2645</v>
      </c>
      <c r="Q31" s="1">
        <v>6223</v>
      </c>
      <c r="R31" s="1">
        <v>99</v>
      </c>
      <c r="S31" s="1">
        <v>2394</v>
      </c>
      <c r="T31" s="1">
        <v>62776</v>
      </c>
      <c r="U31" s="1">
        <v>5715</v>
      </c>
      <c r="V31" s="1">
        <v>64065</v>
      </c>
      <c r="W31" s="1">
        <v>1697</v>
      </c>
      <c r="X31" s="1">
        <v>344</v>
      </c>
      <c r="Y31" s="1">
        <v>987852</v>
      </c>
      <c r="Z31" s="21">
        <f t="shared" si="2"/>
        <v>-4.2860686298067607E-2</v>
      </c>
      <c r="AA31" s="1">
        <v>7546</v>
      </c>
      <c r="AB31" s="1">
        <v>6079</v>
      </c>
      <c r="AC31" s="1">
        <v>73011</v>
      </c>
      <c r="AD31" s="1">
        <v>22102</v>
      </c>
      <c r="AE31" s="1">
        <v>59403</v>
      </c>
      <c r="AF31" s="1">
        <v>398014</v>
      </c>
      <c r="AG31" s="1">
        <v>421697</v>
      </c>
      <c r="AH31" s="1">
        <v>130540</v>
      </c>
      <c r="AI31" s="21">
        <f t="shared" si="3"/>
        <v>-8.9283002824258259E-3</v>
      </c>
      <c r="AJ31" s="1">
        <v>24054</v>
      </c>
      <c r="AK31" s="1">
        <v>31545</v>
      </c>
      <c r="AL31" s="1">
        <v>21998</v>
      </c>
      <c r="AM31" s="1">
        <v>52943</v>
      </c>
      <c r="AN31" s="1">
        <v>489053</v>
      </c>
      <c r="AO31" s="21">
        <f t="shared" si="4"/>
        <v>-3.2388712029329886E-2</v>
      </c>
      <c r="AP31" s="1">
        <v>249874</v>
      </c>
      <c r="AQ31" s="1">
        <v>4770</v>
      </c>
      <c r="AR31" s="1">
        <v>245104</v>
      </c>
      <c r="AS31" s="1">
        <v>52</v>
      </c>
      <c r="AT31" s="1">
        <v>214544</v>
      </c>
      <c r="AU31" s="1">
        <v>436</v>
      </c>
      <c r="AV31" s="1">
        <v>24147</v>
      </c>
    </row>
    <row r="32" spans="1:48">
      <c r="A32" s="20">
        <v>39994</v>
      </c>
      <c r="B32" s="1">
        <v>1956596</v>
      </c>
      <c r="C32" s="21">
        <f t="shared" si="0"/>
        <v>7.9908180572320492E-2</v>
      </c>
      <c r="D32" s="1">
        <v>6454</v>
      </c>
      <c r="E32" s="21">
        <f t="shared" si="0"/>
        <v>-0.14550509731232622</v>
      </c>
      <c r="F32" s="1">
        <v>696</v>
      </c>
      <c r="G32" s="1">
        <v>339</v>
      </c>
      <c r="H32" s="1">
        <v>3541</v>
      </c>
      <c r="I32" s="1">
        <v>14</v>
      </c>
      <c r="J32" s="1">
        <v>1864</v>
      </c>
      <c r="K32" s="1">
        <v>215723</v>
      </c>
      <c r="L32" s="21">
        <f t="shared" ref="L32" si="31">(K32-K31)/K31</f>
        <v>9.604763767725677E-2</v>
      </c>
      <c r="M32" s="1">
        <v>9099</v>
      </c>
      <c r="N32" s="1">
        <v>1804</v>
      </c>
      <c r="O32" s="1">
        <v>39464</v>
      </c>
      <c r="P32" s="1">
        <v>2609</v>
      </c>
      <c r="Q32" s="1">
        <v>5900</v>
      </c>
      <c r="R32" s="1">
        <v>94</v>
      </c>
      <c r="S32" s="1">
        <v>2239</v>
      </c>
      <c r="T32" s="1">
        <v>79736</v>
      </c>
      <c r="U32" s="1">
        <v>5834</v>
      </c>
      <c r="V32" s="1">
        <v>67018</v>
      </c>
      <c r="W32" s="1">
        <v>1658</v>
      </c>
      <c r="X32" s="1">
        <v>268</v>
      </c>
      <c r="Y32" s="1">
        <v>1139148</v>
      </c>
      <c r="Z32" s="21">
        <f t="shared" si="2"/>
        <v>0.15315654571737466</v>
      </c>
      <c r="AA32" s="1">
        <v>7189</v>
      </c>
      <c r="AB32" s="1">
        <v>5781</v>
      </c>
      <c r="AC32" s="1">
        <v>69002</v>
      </c>
      <c r="AD32" s="1">
        <v>23232</v>
      </c>
      <c r="AE32" s="1">
        <v>61146</v>
      </c>
      <c r="AF32" s="1">
        <v>403797</v>
      </c>
      <c r="AG32" s="1">
        <v>569002</v>
      </c>
      <c r="AH32" s="1">
        <v>130276</v>
      </c>
      <c r="AI32" s="21">
        <f t="shared" si="3"/>
        <v>-2.0223686226444001E-3</v>
      </c>
      <c r="AJ32" s="1">
        <v>28324</v>
      </c>
      <c r="AK32" s="1">
        <v>27692</v>
      </c>
      <c r="AL32" s="1">
        <v>22927</v>
      </c>
      <c r="AM32" s="1">
        <v>51333</v>
      </c>
      <c r="AN32" s="1">
        <v>464995</v>
      </c>
      <c r="AO32" s="21">
        <f t="shared" si="4"/>
        <v>-4.919303224803856E-2</v>
      </c>
      <c r="AP32" s="1">
        <v>235500</v>
      </c>
      <c r="AQ32" s="1">
        <v>2751</v>
      </c>
      <c r="AR32" s="1">
        <v>232749</v>
      </c>
      <c r="AS32" s="1">
        <v>46</v>
      </c>
      <c r="AT32" s="1">
        <v>207094</v>
      </c>
      <c r="AU32" s="1">
        <v>455</v>
      </c>
      <c r="AV32" s="1">
        <v>21900</v>
      </c>
    </row>
    <row r="33" spans="1:48">
      <c r="A33" s="20">
        <v>40359</v>
      </c>
      <c r="B33" s="1">
        <v>2001082</v>
      </c>
      <c r="C33" s="21">
        <f t="shared" si="0"/>
        <v>2.2736425915211928E-2</v>
      </c>
      <c r="D33" s="1">
        <v>7115</v>
      </c>
      <c r="E33" s="21">
        <f t="shared" si="0"/>
        <v>0.10241710567090177</v>
      </c>
      <c r="F33" s="1">
        <v>1664</v>
      </c>
      <c r="G33" s="1">
        <v>378</v>
      </c>
      <c r="H33" s="1">
        <v>3220</v>
      </c>
      <c r="I33" s="1">
        <v>12</v>
      </c>
      <c r="J33" s="1">
        <v>1842</v>
      </c>
      <c r="K33" s="1">
        <v>250557</v>
      </c>
      <c r="L33" s="21">
        <f t="shared" ref="L33" si="32">(K33-K32)/K32</f>
        <v>0.16147559601896877</v>
      </c>
      <c r="M33" s="1">
        <v>9067</v>
      </c>
      <c r="N33" s="1">
        <v>1835</v>
      </c>
      <c r="O33" s="1">
        <v>40467</v>
      </c>
      <c r="P33" s="1">
        <v>2519</v>
      </c>
      <c r="Q33" s="1">
        <v>6784</v>
      </c>
      <c r="R33" s="1">
        <v>146</v>
      </c>
      <c r="S33" s="1">
        <v>2327</v>
      </c>
      <c r="T33" s="1">
        <v>113064</v>
      </c>
      <c r="U33" s="1">
        <v>4753</v>
      </c>
      <c r="V33" s="1">
        <v>67730</v>
      </c>
      <c r="W33" s="1">
        <v>1606</v>
      </c>
      <c r="X33" s="1">
        <v>257</v>
      </c>
      <c r="Y33" s="1">
        <v>1164499</v>
      </c>
      <c r="Z33" s="21">
        <f t="shared" si="2"/>
        <v>2.2254351497786064E-2</v>
      </c>
      <c r="AA33" s="1">
        <v>7102</v>
      </c>
      <c r="AB33" s="1">
        <v>5733</v>
      </c>
      <c r="AC33" s="1">
        <v>67372</v>
      </c>
      <c r="AD33" s="1">
        <v>23642</v>
      </c>
      <c r="AE33" s="1">
        <v>65389</v>
      </c>
      <c r="AF33" s="1">
        <v>429286</v>
      </c>
      <c r="AG33" s="1">
        <v>565975</v>
      </c>
      <c r="AH33" s="1">
        <v>135823</v>
      </c>
      <c r="AI33" s="21">
        <f t="shared" si="3"/>
        <v>4.2578832632257667E-2</v>
      </c>
      <c r="AJ33" s="1">
        <v>32574</v>
      </c>
      <c r="AK33" s="1">
        <v>25333</v>
      </c>
      <c r="AL33" s="1">
        <v>24660</v>
      </c>
      <c r="AM33" s="1">
        <v>53256</v>
      </c>
      <c r="AN33" s="1">
        <v>443089</v>
      </c>
      <c r="AO33" s="21">
        <f t="shared" si="4"/>
        <v>-4.7110183980472911E-2</v>
      </c>
      <c r="AP33" s="1">
        <v>219536</v>
      </c>
      <c r="AQ33" s="1">
        <v>3766</v>
      </c>
      <c r="AR33" s="1">
        <v>215770</v>
      </c>
      <c r="AS33" s="1">
        <v>40</v>
      </c>
      <c r="AT33" s="1">
        <v>201385</v>
      </c>
      <c r="AU33" s="1">
        <v>426</v>
      </c>
      <c r="AV33" s="1">
        <v>21702</v>
      </c>
    </row>
    <row r="34" spans="1:48">
      <c r="A34" s="20">
        <v>40724</v>
      </c>
      <c r="B34" s="1">
        <v>2078479</v>
      </c>
      <c r="C34" s="21">
        <f t="shared" si="0"/>
        <v>3.8677575431691452E-2</v>
      </c>
      <c r="D34" s="1">
        <v>8002</v>
      </c>
      <c r="E34" s="21">
        <f t="shared" si="0"/>
        <v>0.12466619817287421</v>
      </c>
      <c r="F34" s="1">
        <v>2015</v>
      </c>
      <c r="G34" s="1">
        <v>370</v>
      </c>
      <c r="H34" s="1">
        <v>3460</v>
      </c>
      <c r="I34" s="1">
        <v>10</v>
      </c>
      <c r="J34" s="1">
        <v>2146</v>
      </c>
      <c r="K34" s="1">
        <v>298264</v>
      </c>
      <c r="L34" s="21">
        <f t="shared" ref="L34" si="33">(K34-K33)/K33</f>
        <v>0.19040378037731934</v>
      </c>
      <c r="M34" s="1">
        <v>9239</v>
      </c>
      <c r="N34" s="1">
        <v>1987</v>
      </c>
      <c r="O34" s="1">
        <v>41486</v>
      </c>
      <c r="P34" s="1">
        <v>2323</v>
      </c>
      <c r="Q34" s="1">
        <v>6554</v>
      </c>
      <c r="R34" s="1">
        <v>118</v>
      </c>
      <c r="S34" s="1">
        <v>2504</v>
      </c>
      <c r="T34" s="1">
        <v>152985</v>
      </c>
      <c r="U34" s="1">
        <v>4891</v>
      </c>
      <c r="V34" s="1">
        <v>74319</v>
      </c>
      <c r="W34" s="1">
        <v>1613</v>
      </c>
      <c r="X34" s="1">
        <v>246</v>
      </c>
      <c r="Y34" s="1">
        <v>1202930</v>
      </c>
      <c r="Z34" s="21">
        <f t="shared" si="2"/>
        <v>3.3002175184349662E-2</v>
      </c>
      <c r="AA34" s="1">
        <v>8374</v>
      </c>
      <c r="AB34" s="1">
        <v>5877</v>
      </c>
      <c r="AC34" s="1">
        <v>68952</v>
      </c>
      <c r="AD34" s="1">
        <v>23329</v>
      </c>
      <c r="AE34" s="1">
        <v>71454</v>
      </c>
      <c r="AF34" s="1">
        <v>544155</v>
      </c>
      <c r="AG34" s="1">
        <v>480788</v>
      </c>
      <c r="AH34" s="1">
        <v>144083</v>
      </c>
      <c r="AI34" s="21">
        <f t="shared" si="3"/>
        <v>6.0814442325673852E-2</v>
      </c>
      <c r="AJ34" s="1">
        <v>38996</v>
      </c>
      <c r="AK34" s="1">
        <v>24149</v>
      </c>
      <c r="AL34" s="1">
        <v>26251</v>
      </c>
      <c r="AM34" s="1">
        <v>54687</v>
      </c>
      <c r="AN34" s="1">
        <v>425199</v>
      </c>
      <c r="AO34" s="21">
        <f t="shared" si="4"/>
        <v>-4.0375635594654798E-2</v>
      </c>
      <c r="AP34" s="1">
        <v>208749</v>
      </c>
      <c r="AQ34" s="1">
        <v>3691</v>
      </c>
      <c r="AR34" s="1">
        <v>205058</v>
      </c>
      <c r="AS34" s="1">
        <v>37</v>
      </c>
      <c r="AT34" s="1">
        <v>196189</v>
      </c>
      <c r="AU34" s="1">
        <v>408</v>
      </c>
      <c r="AV34" s="1">
        <v>19817</v>
      </c>
    </row>
    <row r="35" spans="1:48">
      <c r="A35" s="20"/>
    </row>
  </sheetData>
  <hyperlinks>
    <hyperlink ref="A1" location="Contents!A1" display="Back to Contents" xr:uid="{00000000-0004-0000-0C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
  <dimension ref="A1:J39"/>
  <sheetViews>
    <sheetView workbookViewId="0">
      <selection activeCell="N14" sqref="N14"/>
    </sheetView>
  </sheetViews>
  <sheetFormatPr defaultColWidth="9.140625" defaultRowHeight="12.75"/>
  <cols>
    <col min="1" max="1" width="22.5703125" style="1" customWidth="1"/>
    <col min="2" max="2" width="10.7109375" style="1" customWidth="1"/>
    <col min="3" max="3" width="16.28515625" style="1" customWidth="1"/>
    <col min="4" max="6" width="9.140625" style="1"/>
    <col min="7" max="7" width="10.5703125" style="1" customWidth="1"/>
    <col min="8" max="9" width="9.140625" style="1"/>
    <col min="10" max="10" width="12.42578125" style="1" bestFit="1" customWidth="1"/>
    <col min="11" max="16384" width="9.140625" style="1"/>
  </cols>
  <sheetData>
    <row r="1" spans="1:10" ht="15">
      <c r="A1" s="24" t="s">
        <v>933</v>
      </c>
    </row>
    <row r="2" spans="1:10">
      <c r="A2" s="1" t="s">
        <v>934</v>
      </c>
    </row>
    <row r="3" spans="1:10">
      <c r="A3" s="25" t="s">
        <v>935</v>
      </c>
    </row>
    <row r="5" spans="1:10">
      <c r="C5" s="22" t="s">
        <v>821</v>
      </c>
      <c r="F5" s="10" t="s">
        <v>1006</v>
      </c>
    </row>
    <row r="6" spans="1:10" s="27" customFormat="1" ht="25.5">
      <c r="A6" s="26" t="s">
        <v>793</v>
      </c>
      <c r="B6" s="26" t="s">
        <v>794</v>
      </c>
      <c r="C6" s="26" t="s">
        <v>936</v>
      </c>
      <c r="F6" s="28" t="s">
        <v>541</v>
      </c>
      <c r="G6" s="26" t="s">
        <v>819</v>
      </c>
      <c r="J6" s="26" t="s">
        <v>820</v>
      </c>
    </row>
    <row r="7" spans="1:10">
      <c r="A7" s="9" t="s">
        <v>810</v>
      </c>
      <c r="B7" s="1">
        <v>2</v>
      </c>
      <c r="C7" s="1">
        <v>24</v>
      </c>
      <c r="D7" s="23">
        <f t="shared" ref="D7:D34" si="0">C7/$C$35</f>
        <v>9.0415913200723324E-4</v>
      </c>
      <c r="F7" s="9" t="s">
        <v>253</v>
      </c>
      <c r="G7" s="1">
        <f>C7</f>
        <v>24</v>
      </c>
      <c r="H7" s="23">
        <f>G7/$C$35</f>
        <v>9.0415913200723324E-4</v>
      </c>
      <c r="J7" s="29">
        <f>G7*Conv!$I$4*Conv!$D$46/Conv!$I$5/1000000*20</f>
        <v>2656.3295976706459</v>
      </c>
    </row>
    <row r="8" spans="1:10">
      <c r="A8" s="9" t="s">
        <v>822</v>
      </c>
      <c r="B8" s="1">
        <v>3</v>
      </c>
      <c r="C8" s="1">
        <v>54</v>
      </c>
      <c r="D8" s="23">
        <f t="shared" si="0"/>
        <v>2.034358047016275E-3</v>
      </c>
      <c r="F8" s="9" t="s">
        <v>252</v>
      </c>
      <c r="G8" s="1">
        <f>SUM(C8:C11)</f>
        <v>146</v>
      </c>
      <c r="H8" s="23">
        <f t="shared" ref="H8:H14" si="1">G8/$C$35</f>
        <v>5.5003013863773355E-3</v>
      </c>
      <c r="J8" s="29">
        <f>G8*Conv!$I$4*Conv!$D$46/Conv!$I$5/1000000*20</f>
        <v>16159.338385829758</v>
      </c>
    </row>
    <row r="9" spans="1:10">
      <c r="A9" s="9" t="s">
        <v>823</v>
      </c>
      <c r="B9" s="1">
        <v>3</v>
      </c>
      <c r="C9" s="1">
        <v>7</v>
      </c>
      <c r="D9" s="23">
        <f t="shared" si="0"/>
        <v>2.6371308016877635E-4</v>
      </c>
      <c r="F9" s="9" t="s">
        <v>331</v>
      </c>
      <c r="G9" s="1">
        <f>SUM(C12:C14)</f>
        <v>3006</v>
      </c>
      <c r="H9" s="23">
        <f t="shared" si="1"/>
        <v>0.11324593128390596</v>
      </c>
      <c r="J9" s="29">
        <f>G9*Conv!$I$4*Conv!$D$46/Conv!$I$5/1000000*20</f>
        <v>332705.28210824827</v>
      </c>
    </row>
    <row r="10" spans="1:10">
      <c r="A10" s="9" t="s">
        <v>803</v>
      </c>
      <c r="B10" s="1">
        <v>3</v>
      </c>
      <c r="C10" s="1">
        <v>44</v>
      </c>
      <c r="D10" s="23">
        <f t="shared" si="0"/>
        <v>1.6576250753465944E-3</v>
      </c>
      <c r="F10" s="9" t="s">
        <v>330</v>
      </c>
      <c r="G10" s="1">
        <f>SUM(C15:C16)</f>
        <v>43</v>
      </c>
      <c r="H10" s="23">
        <f t="shared" si="1"/>
        <v>1.6199517781796263E-3</v>
      </c>
      <c r="J10" s="29">
        <f>G10*Conv!$I$4*Conv!$D$46/Conv!$I$5/1000000*20</f>
        <v>4759.2571958265726</v>
      </c>
    </row>
    <row r="11" spans="1:10">
      <c r="A11" s="9" t="s">
        <v>808</v>
      </c>
      <c r="B11" s="1">
        <v>3</v>
      </c>
      <c r="C11" s="1">
        <v>41</v>
      </c>
      <c r="D11" s="23">
        <f t="shared" si="0"/>
        <v>1.5446051838456901E-3</v>
      </c>
      <c r="F11" s="9" t="s">
        <v>332</v>
      </c>
      <c r="G11" s="1">
        <f>SUM(C17:C19)</f>
        <v>301</v>
      </c>
      <c r="H11" s="23">
        <f t="shared" si="1"/>
        <v>1.1339662447257384E-2</v>
      </c>
      <c r="J11" s="29">
        <f>G11*Conv!$I$4*Conv!$D$46/Conv!$I$5/1000000*20</f>
        <v>33314.800370786012</v>
      </c>
    </row>
    <row r="12" spans="1:10">
      <c r="A12" s="9" t="s">
        <v>800</v>
      </c>
      <c r="B12" s="1">
        <v>4</v>
      </c>
      <c r="C12" s="1">
        <v>343</v>
      </c>
      <c r="D12" s="23">
        <f t="shared" si="0"/>
        <v>1.2921940928270042E-2</v>
      </c>
      <c r="F12" s="9" t="s">
        <v>333</v>
      </c>
      <c r="G12" s="1">
        <f>SUM(C20:C25)</f>
        <v>12974</v>
      </c>
      <c r="H12" s="23">
        <f t="shared" si="1"/>
        <v>0.48877335744424349</v>
      </c>
      <c r="J12" s="29">
        <f>G12*Conv!$I$4*Conv!$D$46/Conv!$I$5/1000000*20</f>
        <v>1435967.5083407895</v>
      </c>
    </row>
    <row r="13" spans="1:10">
      <c r="A13" s="9" t="s">
        <v>824</v>
      </c>
      <c r="B13" s="1">
        <v>4</v>
      </c>
      <c r="C13" s="1">
        <v>14</v>
      </c>
      <c r="D13" s="23">
        <f t="shared" si="0"/>
        <v>5.274261603375527E-4</v>
      </c>
      <c r="F13" s="9" t="s">
        <v>334</v>
      </c>
      <c r="G13" s="1">
        <f>SUM(C26:C30)</f>
        <v>2837</v>
      </c>
      <c r="H13" s="23">
        <f t="shared" si="1"/>
        <v>0.10687914406268836</v>
      </c>
      <c r="J13" s="29">
        <f>G13*Conv!$I$4*Conv!$D$46/Conv!$I$5/1000000*20</f>
        <v>314000.29452465085</v>
      </c>
    </row>
    <row r="14" spans="1:10">
      <c r="A14" s="9" t="s">
        <v>807</v>
      </c>
      <c r="B14" s="1">
        <v>4</v>
      </c>
      <c r="C14" s="1">
        <v>2649</v>
      </c>
      <c r="D14" s="23">
        <f t="shared" si="0"/>
        <v>9.9796564195298379E-2</v>
      </c>
      <c r="F14" s="9" t="s">
        <v>335</v>
      </c>
      <c r="G14" s="1">
        <f>SUM(C31:C33)</f>
        <v>7171</v>
      </c>
      <c r="H14" s="23">
        <f t="shared" si="1"/>
        <v>0.2701552139843279</v>
      </c>
      <c r="J14" s="29">
        <f>G14*Conv!$I$4*Conv!$D$46/Conv!$I$5/1000000*20</f>
        <v>793689.14770400827</v>
      </c>
    </row>
    <row r="15" spans="1:10">
      <c r="A15" s="9" t="s">
        <v>799</v>
      </c>
      <c r="B15" s="1">
        <v>5</v>
      </c>
      <c r="C15" s="1">
        <v>22</v>
      </c>
      <c r="D15" s="23">
        <f t="shared" si="0"/>
        <v>8.2881253767329722E-4</v>
      </c>
      <c r="H15" s="30">
        <f>SUM(H7:H14)</f>
        <v>0.99841772151898733</v>
      </c>
      <c r="J15" s="29">
        <f>SUM(J7:J14)</f>
        <v>2933251.9582278095</v>
      </c>
    </row>
    <row r="16" spans="1:10">
      <c r="A16" s="9" t="s">
        <v>813</v>
      </c>
      <c r="B16" s="1">
        <v>5</v>
      </c>
      <c r="C16" s="1">
        <v>21</v>
      </c>
      <c r="D16" s="23">
        <f t="shared" si="0"/>
        <v>7.911392405063291E-4</v>
      </c>
    </row>
    <row r="17" spans="1:10">
      <c r="A17" s="9" t="s">
        <v>795</v>
      </c>
      <c r="B17" s="1">
        <v>6</v>
      </c>
      <c r="C17" s="1">
        <v>46</v>
      </c>
      <c r="D17" s="23">
        <f t="shared" si="0"/>
        <v>1.7329716696805305E-3</v>
      </c>
      <c r="F17" s="10" t="s">
        <v>1007</v>
      </c>
    </row>
    <row r="18" spans="1:10" ht="25.5">
      <c r="A18" s="9" t="s">
        <v>801</v>
      </c>
      <c r="B18" s="1">
        <v>6</v>
      </c>
      <c r="C18" s="1">
        <v>17</v>
      </c>
      <c r="D18" s="23">
        <f t="shared" si="0"/>
        <v>6.4044605183845695E-4</v>
      </c>
      <c r="F18" s="28" t="s">
        <v>541</v>
      </c>
      <c r="G18" s="26" t="s">
        <v>819</v>
      </c>
      <c r="H18" s="27"/>
      <c r="I18" s="27"/>
      <c r="J18" s="26" t="s">
        <v>820</v>
      </c>
    </row>
    <row r="19" spans="1:10">
      <c r="A19" s="9" t="s">
        <v>804</v>
      </c>
      <c r="B19" s="1">
        <v>6</v>
      </c>
      <c r="C19" s="1">
        <v>238</v>
      </c>
      <c r="D19" s="23">
        <f t="shared" si="0"/>
        <v>8.9662447257383964E-3</v>
      </c>
      <c r="F19" s="9" t="s">
        <v>251</v>
      </c>
      <c r="G19" s="1">
        <f>C19</f>
        <v>238</v>
      </c>
      <c r="H19" s="23">
        <f>G19/$C$35</f>
        <v>8.9662447257383964E-3</v>
      </c>
      <c r="J19" s="29">
        <f>J7</f>
        <v>2656.3295976706459</v>
      </c>
    </row>
    <row r="20" spans="1:10">
      <c r="A20" s="9" t="s">
        <v>796</v>
      </c>
      <c r="B20" s="1">
        <v>7</v>
      </c>
      <c r="C20" s="1">
        <v>38</v>
      </c>
      <c r="D20" s="23">
        <f t="shared" si="0"/>
        <v>1.4315852923447859E-3</v>
      </c>
      <c r="F20" s="9" t="s">
        <v>253</v>
      </c>
      <c r="G20" s="1">
        <f>SUM(C20:C23)</f>
        <v>8348</v>
      </c>
      <c r="H20" s="23">
        <f t="shared" ref="H20:H26" si="2">G20/$C$35</f>
        <v>0.31449668474984932</v>
      </c>
      <c r="J20" s="29"/>
    </row>
    <row r="21" spans="1:10">
      <c r="A21" s="9" t="s">
        <v>802</v>
      </c>
      <c r="B21" s="1">
        <v>7</v>
      </c>
      <c r="C21" s="1">
        <v>417</v>
      </c>
      <c r="D21" s="23">
        <f t="shared" si="0"/>
        <v>1.5709764918625677E-2</v>
      </c>
      <c r="F21" s="9" t="s">
        <v>252</v>
      </c>
      <c r="G21" s="1">
        <f>SUM(C24:C26)</f>
        <v>5049</v>
      </c>
      <c r="H21" s="23">
        <f t="shared" si="2"/>
        <v>0.19021247739602171</v>
      </c>
      <c r="J21" s="29"/>
    </row>
    <row r="22" spans="1:10">
      <c r="A22" s="9" t="s">
        <v>809</v>
      </c>
      <c r="B22" s="1">
        <v>7</v>
      </c>
      <c r="C22" s="1">
        <v>879</v>
      </c>
      <c r="D22" s="23">
        <f t="shared" si="0"/>
        <v>3.311482820976492E-2</v>
      </c>
      <c r="F22" s="9" t="s">
        <v>331</v>
      </c>
      <c r="G22" s="1">
        <f>SUM(C27:C28)</f>
        <v>1250</v>
      </c>
      <c r="H22" s="23">
        <f t="shared" si="2"/>
        <v>4.7091621458710063E-2</v>
      </c>
      <c r="J22" s="29"/>
    </row>
    <row r="23" spans="1:10">
      <c r="A23" s="9" t="s">
        <v>811</v>
      </c>
      <c r="B23" s="1">
        <v>7</v>
      </c>
      <c r="C23" s="1">
        <v>7014</v>
      </c>
      <c r="D23" s="23">
        <f t="shared" si="0"/>
        <v>0.26424050632911394</v>
      </c>
      <c r="F23" s="9" t="s">
        <v>330</v>
      </c>
      <c r="G23" s="1">
        <f>SUM(C29:C31)</f>
        <v>4980</v>
      </c>
      <c r="H23" s="23">
        <f t="shared" si="2"/>
        <v>0.18761301989150089</v>
      </c>
      <c r="J23" s="29"/>
    </row>
    <row r="24" spans="1:10">
      <c r="A24" s="9" t="s">
        <v>817</v>
      </c>
      <c r="B24" s="1">
        <v>7</v>
      </c>
      <c r="C24" s="1">
        <v>4438</v>
      </c>
      <c r="D24" s="23">
        <f t="shared" si="0"/>
        <v>0.16719409282700423</v>
      </c>
      <c r="F24" s="9" t="s">
        <v>332</v>
      </c>
      <c r="G24" s="1">
        <f>SUM(C32:C37)</f>
        <v>29941</v>
      </c>
      <c r="H24" s="23">
        <f t="shared" si="2"/>
        <v>1.1279761904761905</v>
      </c>
      <c r="J24" s="29"/>
    </row>
    <row r="25" spans="1:10">
      <c r="A25" s="9" t="s">
        <v>818</v>
      </c>
      <c r="B25" s="1">
        <v>7</v>
      </c>
      <c r="C25" s="1">
        <v>188</v>
      </c>
      <c r="D25" s="23">
        <f t="shared" si="0"/>
        <v>7.0825798673899943E-3</v>
      </c>
      <c r="F25" s="9" t="s">
        <v>1008</v>
      </c>
      <c r="G25" s="1">
        <f>SUM(C38:C42)</f>
        <v>0</v>
      </c>
      <c r="H25" s="23">
        <f t="shared" si="2"/>
        <v>0</v>
      </c>
      <c r="J25" s="29"/>
    </row>
    <row r="26" spans="1:10">
      <c r="A26" s="9" t="s">
        <v>798</v>
      </c>
      <c r="B26" s="1">
        <v>8</v>
      </c>
      <c r="C26" s="1">
        <v>423</v>
      </c>
      <c r="D26" s="23">
        <f t="shared" si="0"/>
        <v>1.5935804701627487E-2</v>
      </c>
      <c r="F26" s="9" t="s">
        <v>1008</v>
      </c>
      <c r="G26" s="1">
        <f>SUM(C43:C45)</f>
        <v>0</v>
      </c>
      <c r="H26" s="23">
        <f t="shared" si="2"/>
        <v>0</v>
      </c>
      <c r="J26" s="29"/>
    </row>
    <row r="27" spans="1:10">
      <c r="A27" s="9" t="s">
        <v>805</v>
      </c>
      <c r="B27" s="1">
        <v>8</v>
      </c>
      <c r="C27" s="1">
        <v>384</v>
      </c>
      <c r="D27" s="23">
        <f t="shared" si="0"/>
        <v>1.4466546112115732E-2</v>
      </c>
      <c r="F27" s="9" t="s">
        <v>973</v>
      </c>
      <c r="H27" s="30">
        <f>SUM(H19:H26)</f>
        <v>1.8763562386980108</v>
      </c>
      <c r="J27" s="29">
        <f>SUM(J19:J26)</f>
        <v>2656.3295976706459</v>
      </c>
    </row>
    <row r="28" spans="1:10">
      <c r="A28" s="9" t="s">
        <v>806</v>
      </c>
      <c r="B28" s="1">
        <v>8</v>
      </c>
      <c r="C28" s="1">
        <v>866</v>
      </c>
      <c r="D28" s="23">
        <f t="shared" si="0"/>
        <v>3.2625075346594333E-2</v>
      </c>
      <c r="F28" s="31" t="s">
        <v>1009</v>
      </c>
    </row>
    <row r="29" spans="1:10">
      <c r="A29" s="9" t="s">
        <v>812</v>
      </c>
      <c r="B29" s="1">
        <v>8</v>
      </c>
      <c r="C29" s="1">
        <v>504</v>
      </c>
      <c r="D29" s="23">
        <f t="shared" si="0"/>
        <v>1.8987341772151899E-2</v>
      </c>
    </row>
    <row r="30" spans="1:10">
      <c r="A30" s="9" t="s">
        <v>814</v>
      </c>
      <c r="B30" s="1">
        <v>8</v>
      </c>
      <c r="C30" s="1">
        <v>660</v>
      </c>
      <c r="D30" s="23">
        <f t="shared" si="0"/>
        <v>2.4864376130198915E-2</v>
      </c>
    </row>
    <row r="31" spans="1:10">
      <c r="A31" s="9" t="s">
        <v>55</v>
      </c>
      <c r="B31" s="1">
        <v>9</v>
      </c>
      <c r="C31" s="1">
        <v>3816</v>
      </c>
      <c r="D31" s="23">
        <f t="shared" si="0"/>
        <v>0.1437613019891501</v>
      </c>
    </row>
    <row r="32" spans="1:10">
      <c r="A32" s="9" t="s">
        <v>797</v>
      </c>
      <c r="B32" s="1">
        <v>9</v>
      </c>
      <c r="C32" s="1">
        <v>3005</v>
      </c>
      <c r="D32" s="23">
        <f t="shared" si="0"/>
        <v>0.113208257986739</v>
      </c>
    </row>
    <row r="33" spans="1:4">
      <c r="A33" s="9" t="s">
        <v>816</v>
      </c>
      <c r="B33" s="1">
        <v>9</v>
      </c>
      <c r="C33" s="1">
        <v>350</v>
      </c>
      <c r="D33" s="23">
        <f t="shared" si="0"/>
        <v>1.3185654008438819E-2</v>
      </c>
    </row>
    <row r="34" spans="1:4">
      <c r="A34" s="9" t="s">
        <v>815</v>
      </c>
      <c r="C34" s="1">
        <v>42</v>
      </c>
      <c r="D34" s="23">
        <f t="shared" si="0"/>
        <v>1.5822784810126582E-3</v>
      </c>
    </row>
    <row r="35" spans="1:4">
      <c r="A35" s="9"/>
      <c r="C35" s="1">
        <f>SUM(C7:C34)</f>
        <v>26544</v>
      </c>
      <c r="D35" s="30">
        <f>SUM(D7:D34)</f>
        <v>1</v>
      </c>
    </row>
    <row r="36" spans="1:4">
      <c r="A36" s="9"/>
    </row>
    <row r="37" spans="1:4">
      <c r="A37" s="9"/>
    </row>
    <row r="39" spans="1:4">
      <c r="A39" s="9" t="s">
        <v>825</v>
      </c>
    </row>
  </sheetData>
  <sortState xmlns:xlrd2="http://schemas.microsoft.com/office/spreadsheetml/2017/richdata2" ref="A6:D32">
    <sortCondition ref="A6:A32"/>
  </sortState>
  <hyperlinks>
    <hyperlink ref="A3" r:id="rId1" xr:uid="{00000000-0004-0000-0D00-000000000000}"/>
  </hyperlink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dimension ref="A1:V75"/>
  <sheetViews>
    <sheetView zoomScale="80" zoomScaleNormal="80" workbookViewId="0">
      <pane ySplit="4" topLeftCell="A5" activePane="bottomLeft" state="frozen"/>
      <selection pane="bottomLeft" sqref="A1:XFD1048576"/>
    </sheetView>
  </sheetViews>
  <sheetFormatPr defaultColWidth="9.140625" defaultRowHeight="12.75"/>
  <cols>
    <col min="1" max="1" width="36.5703125" style="9" bestFit="1" customWidth="1"/>
    <col min="2" max="3" width="11.85546875" style="9" customWidth="1"/>
    <col min="4" max="9" width="13.7109375" style="9" customWidth="1"/>
    <col min="10" max="12" width="9.140625" style="9"/>
    <col min="13" max="13" width="12.42578125" style="9" bestFit="1" customWidth="1"/>
    <col min="14" max="18" width="9.140625" style="9"/>
    <col min="19" max="19" width="12.5703125" style="37" customWidth="1"/>
    <col min="20" max="20" width="13.28515625" style="9" customWidth="1"/>
    <col min="21" max="16384" width="9.140625" style="9"/>
  </cols>
  <sheetData>
    <row r="1" spans="1:19" ht="18" customHeight="1">
      <c r="A1" s="251" t="s">
        <v>930</v>
      </c>
      <c r="B1" s="251"/>
      <c r="C1" s="251"/>
      <c r="D1" s="251"/>
      <c r="E1" s="251"/>
      <c r="F1" s="251"/>
      <c r="G1" s="251"/>
      <c r="H1" s="251"/>
      <c r="I1" s="251"/>
      <c r="J1" s="251"/>
    </row>
    <row r="2" spans="1:19">
      <c r="A2" s="43"/>
      <c r="B2" s="43"/>
      <c r="C2" s="43"/>
      <c r="D2" s="43"/>
      <c r="E2" s="43"/>
      <c r="F2" s="43"/>
      <c r="G2" s="43"/>
      <c r="H2" s="43"/>
      <c r="I2" s="44"/>
    </row>
    <row r="3" spans="1:19">
      <c r="A3" s="43"/>
      <c r="B3" s="43"/>
      <c r="C3" s="43"/>
      <c r="D3" s="43"/>
      <c r="E3" s="43"/>
      <c r="F3" s="43"/>
      <c r="G3" s="43"/>
      <c r="H3" s="43"/>
      <c r="I3" s="44"/>
    </row>
    <row r="4" spans="1:19">
      <c r="A4" s="45" t="s">
        <v>541</v>
      </c>
      <c r="B4" s="46">
        <v>2005</v>
      </c>
      <c r="C4" s="46">
        <v>2010</v>
      </c>
      <c r="D4" s="46">
        <v>2015</v>
      </c>
      <c r="E4" s="46">
        <v>2020</v>
      </c>
      <c r="F4" s="46">
        <v>2025</v>
      </c>
      <c r="G4" s="46">
        <v>2030</v>
      </c>
      <c r="H4" s="46">
        <v>2035</v>
      </c>
      <c r="I4" s="46">
        <v>2040</v>
      </c>
    </row>
    <row r="5" spans="1:19">
      <c r="A5" s="38"/>
    </row>
    <row r="6" spans="1:19">
      <c r="A6" s="45" t="s">
        <v>566</v>
      </c>
    </row>
    <row r="7" spans="1:19">
      <c r="A7" s="45" t="s">
        <v>567</v>
      </c>
    </row>
    <row r="8" spans="1:19">
      <c r="A8" s="45" t="s">
        <v>561</v>
      </c>
      <c r="B8" s="47">
        <v>4.3269996643066397</v>
      </c>
      <c r="C8" s="47">
        <v>4.9000000000000004</v>
      </c>
      <c r="D8" s="47">
        <v>8.5749659999999999</v>
      </c>
      <c r="E8" s="47">
        <v>9.1153980000000008</v>
      </c>
      <c r="F8" s="47">
        <v>8.6775140000000004</v>
      </c>
      <c r="G8" s="47">
        <v>8.0643429999999992</v>
      </c>
      <c r="H8" s="47">
        <v>7.4941009999999997</v>
      </c>
      <c r="I8" s="47">
        <v>7.2201810000000002</v>
      </c>
    </row>
    <row r="9" spans="1:19">
      <c r="A9" s="38"/>
      <c r="B9" s="39"/>
      <c r="C9" s="39"/>
      <c r="D9" s="39"/>
      <c r="E9" s="39"/>
      <c r="F9" s="39"/>
      <c r="G9" s="39"/>
      <c r="H9" s="39"/>
      <c r="I9" s="39"/>
      <c r="L9" s="46"/>
      <c r="M9" s="46"/>
      <c r="N9" s="46"/>
      <c r="O9" s="46"/>
      <c r="P9" s="46"/>
      <c r="Q9" s="46"/>
      <c r="R9" s="46"/>
      <c r="S9" s="22"/>
    </row>
    <row r="10" spans="1:19">
      <c r="A10" s="45" t="s">
        <v>543</v>
      </c>
      <c r="B10" s="47"/>
      <c r="C10" s="47"/>
      <c r="D10" s="47">
        <v>6.9437699999999998</v>
      </c>
      <c r="E10" s="47">
        <v>7.2120749999999996</v>
      </c>
      <c r="F10" s="47">
        <v>7.0403339999999996</v>
      </c>
      <c r="G10" s="47">
        <v>6.3834770000000001</v>
      </c>
      <c r="H10" s="47">
        <v>5.7911619999999999</v>
      </c>
      <c r="I10" s="47">
        <v>5.2314550000000004</v>
      </c>
      <c r="L10" s="39"/>
      <c r="M10" s="39"/>
      <c r="N10" s="39"/>
      <c r="O10" s="39"/>
      <c r="P10" s="39"/>
      <c r="Q10" s="39"/>
      <c r="R10" s="39"/>
      <c r="S10" s="40"/>
    </row>
    <row r="11" spans="1:19">
      <c r="A11" s="38" t="s">
        <v>544</v>
      </c>
      <c r="B11" s="41">
        <v>8.5000000894069699E-2</v>
      </c>
      <c r="C11" s="41">
        <v>8.5000000000000006E-2</v>
      </c>
      <c r="D11" s="41">
        <v>5.2457999999999998E-2</v>
      </c>
      <c r="E11" s="41">
        <v>3.7770999999999999E-2</v>
      </c>
      <c r="F11" s="41">
        <v>3.0844E-2</v>
      </c>
      <c r="G11" s="41">
        <v>2.2286E-2</v>
      </c>
      <c r="H11" s="41">
        <v>1.9099999999999999E-2</v>
      </c>
      <c r="I11" s="41">
        <v>2.9055999999999998E-2</v>
      </c>
      <c r="L11" s="39"/>
      <c r="M11" s="39"/>
      <c r="N11" s="39"/>
      <c r="O11" s="39"/>
      <c r="P11" s="39"/>
      <c r="Q11" s="39"/>
      <c r="R11" s="39"/>
      <c r="S11" s="40"/>
    </row>
    <row r="12" spans="1:19">
      <c r="A12" s="38" t="s">
        <v>545</v>
      </c>
      <c r="B12" s="41">
        <v>0.53700000047683705</v>
      </c>
      <c r="C12" s="41">
        <v>0.52700000000000002</v>
      </c>
      <c r="D12" s="41">
        <v>2.4234650000000002</v>
      </c>
      <c r="E12" s="41">
        <v>2.5104129999999998</v>
      </c>
      <c r="F12" s="41">
        <v>2.2241209999999998</v>
      </c>
      <c r="G12" s="41">
        <v>2.0732499999999998</v>
      </c>
      <c r="H12" s="41">
        <v>1.8437490000000001</v>
      </c>
      <c r="I12" s="41">
        <v>1.572722</v>
      </c>
      <c r="L12" s="39"/>
      <c r="M12" s="39"/>
      <c r="N12" s="39"/>
      <c r="O12" s="39"/>
      <c r="P12" s="39"/>
      <c r="Q12" s="39"/>
      <c r="R12" s="39"/>
      <c r="S12" s="40"/>
    </row>
    <row r="13" spans="1:19">
      <c r="A13" s="38" t="s">
        <v>546</v>
      </c>
      <c r="B13" s="41">
        <v>0.307000011205673</v>
      </c>
      <c r="C13" s="41">
        <v>0.34399999999999997</v>
      </c>
      <c r="D13" s="41">
        <v>0.39403700000000003</v>
      </c>
      <c r="E13" s="41">
        <v>0.38030999999999998</v>
      </c>
      <c r="F13" s="41">
        <v>0.46188000000000001</v>
      </c>
      <c r="G13" s="41">
        <v>0.36359000000000002</v>
      </c>
      <c r="H13" s="41">
        <v>0.31827899999999998</v>
      </c>
      <c r="I13" s="41">
        <v>0.29789199999999999</v>
      </c>
      <c r="L13" s="39"/>
      <c r="M13" s="39"/>
      <c r="N13" s="39"/>
      <c r="O13" s="39"/>
      <c r="P13" s="39"/>
      <c r="Q13" s="39"/>
      <c r="R13" s="39"/>
      <c r="S13" s="40"/>
    </row>
    <row r="14" spans="1:19">
      <c r="A14" s="38" t="s">
        <v>547</v>
      </c>
      <c r="B14" s="41">
        <v>0.94599997997283902</v>
      </c>
      <c r="C14" s="41">
        <v>0.94</v>
      </c>
      <c r="D14" s="41">
        <v>1.826651</v>
      </c>
      <c r="E14" s="41">
        <v>1.9822519999999999</v>
      </c>
      <c r="F14" s="41">
        <v>1.9663200000000001</v>
      </c>
      <c r="G14" s="41">
        <v>1.7227730000000001</v>
      </c>
      <c r="H14" s="41">
        <v>1.6050199999999999</v>
      </c>
      <c r="I14" s="41">
        <v>1.539118</v>
      </c>
      <c r="L14" s="39"/>
      <c r="M14" s="39"/>
      <c r="N14" s="39"/>
      <c r="O14" s="39"/>
      <c r="P14" s="39"/>
      <c r="Q14" s="39"/>
      <c r="R14" s="39"/>
      <c r="S14" s="40"/>
    </row>
    <row r="15" spans="1:19">
      <c r="A15" s="38" t="s">
        <v>548</v>
      </c>
      <c r="B15" s="41">
        <v>0.45100000500678999</v>
      </c>
      <c r="C15" s="41">
        <v>0.68500000000000005</v>
      </c>
      <c r="D15" s="41">
        <v>1.705978</v>
      </c>
      <c r="E15" s="41">
        <v>1.7950649999999999</v>
      </c>
      <c r="F15" s="41">
        <v>1.841</v>
      </c>
      <c r="G15" s="41">
        <v>1.6894739999999999</v>
      </c>
      <c r="H15" s="41">
        <v>1.4902820000000001</v>
      </c>
      <c r="I15" s="41">
        <v>1.286249</v>
      </c>
      <c r="L15" s="39"/>
      <c r="M15" s="39"/>
      <c r="N15" s="39"/>
      <c r="O15" s="39"/>
      <c r="P15" s="39"/>
      <c r="Q15" s="39"/>
      <c r="R15" s="39"/>
      <c r="S15" s="40"/>
    </row>
    <row r="16" spans="1:19">
      <c r="A16" s="38" t="s">
        <v>549</v>
      </c>
      <c r="B16" s="41">
        <v>0.58600002527236905</v>
      </c>
      <c r="C16" s="41">
        <v>0.53</v>
      </c>
      <c r="D16" s="41">
        <v>0.54118100000000002</v>
      </c>
      <c r="E16" s="41">
        <v>0.50626400000000005</v>
      </c>
      <c r="F16" s="41">
        <v>0.51617000000000002</v>
      </c>
      <c r="G16" s="41">
        <v>0.51210199999999995</v>
      </c>
      <c r="H16" s="41">
        <v>0.51473199999999997</v>
      </c>
      <c r="I16" s="41">
        <v>0.50641800000000003</v>
      </c>
      <c r="L16" s="39"/>
      <c r="M16" s="39"/>
      <c r="N16" s="39"/>
      <c r="O16" s="39"/>
      <c r="P16" s="39"/>
      <c r="Q16" s="39"/>
      <c r="R16" s="39"/>
      <c r="S16" s="40"/>
    </row>
    <row r="17" spans="1:22">
      <c r="A17" s="38"/>
      <c r="B17" s="39"/>
      <c r="C17" s="39"/>
      <c r="D17" s="39"/>
      <c r="E17" s="39"/>
      <c r="F17" s="39"/>
      <c r="G17" s="39"/>
      <c r="H17" s="39"/>
      <c r="I17" s="39"/>
      <c r="L17" s="39"/>
      <c r="M17" s="39"/>
      <c r="N17" s="39"/>
      <c r="O17" s="39"/>
      <c r="P17" s="39"/>
      <c r="Q17" s="39"/>
      <c r="R17" s="39"/>
      <c r="S17" s="40"/>
    </row>
    <row r="18" spans="1:22">
      <c r="A18" s="45" t="s">
        <v>550</v>
      </c>
      <c r="B18" s="47"/>
      <c r="C18" s="47"/>
      <c r="D18" s="47">
        <v>1.6311960000000001</v>
      </c>
      <c r="E18" s="47">
        <v>1.903324</v>
      </c>
      <c r="F18" s="47">
        <v>1.6371800000000001</v>
      </c>
      <c r="G18" s="47">
        <v>1.680866</v>
      </c>
      <c r="H18" s="47">
        <v>1.702939</v>
      </c>
      <c r="I18" s="47">
        <v>1.9887250000000001</v>
      </c>
      <c r="L18" s="39"/>
      <c r="M18" s="39"/>
      <c r="N18" s="39"/>
      <c r="O18" s="39"/>
      <c r="P18" s="39"/>
      <c r="Q18" s="39"/>
      <c r="R18" s="39"/>
      <c r="S18" s="40"/>
    </row>
    <row r="19" spans="1:22">
      <c r="A19" s="38" t="s">
        <v>551</v>
      </c>
      <c r="B19" s="41">
        <v>1.29999995231628</v>
      </c>
      <c r="C19" s="41">
        <v>1.698</v>
      </c>
      <c r="D19" s="41">
        <v>1.5718570000000001</v>
      </c>
      <c r="E19" s="41">
        <v>1.853971</v>
      </c>
      <c r="F19" s="41">
        <v>1.5938399999999999</v>
      </c>
      <c r="G19" s="41">
        <v>1.5848249999999999</v>
      </c>
      <c r="H19" s="41">
        <v>1.54986</v>
      </c>
      <c r="I19" s="41">
        <v>1.6986790000000001</v>
      </c>
    </row>
    <row r="20" spans="1:22">
      <c r="A20" s="38" t="s">
        <v>562</v>
      </c>
      <c r="B20" s="41">
        <v>0.33033040165901201</v>
      </c>
      <c r="C20" s="41">
        <v>0.323602</v>
      </c>
      <c r="D20" s="41">
        <v>0.14426900000000001</v>
      </c>
      <c r="E20" s="41">
        <v>0.131409</v>
      </c>
      <c r="F20" s="41">
        <v>0.144515</v>
      </c>
      <c r="G20" s="41">
        <v>0.14392099999999999</v>
      </c>
      <c r="H20" s="41">
        <v>0.13370000000000001</v>
      </c>
      <c r="I20" s="41">
        <v>0.119727</v>
      </c>
    </row>
    <row r="21" spans="1:22">
      <c r="A21" s="38" t="s">
        <v>563</v>
      </c>
      <c r="B21" s="41">
        <v>0.96966952085494995</v>
      </c>
      <c r="C21" s="41">
        <v>1.374398</v>
      </c>
      <c r="D21" s="41">
        <v>1.4275880000000001</v>
      </c>
      <c r="E21" s="41">
        <v>1.7225619999999999</v>
      </c>
      <c r="F21" s="41">
        <v>1.4493240000000001</v>
      </c>
      <c r="G21" s="41">
        <v>1.440904</v>
      </c>
      <c r="H21" s="41">
        <v>1.4161589999999999</v>
      </c>
      <c r="I21" s="41">
        <v>1.5789530000000001</v>
      </c>
    </row>
    <row r="22" spans="1:22">
      <c r="A22" s="38" t="s">
        <v>552</v>
      </c>
      <c r="B22" s="41">
        <v>0.115000002086163</v>
      </c>
      <c r="C22" s="41">
        <v>9.0999999999999998E-2</v>
      </c>
      <c r="D22" s="41">
        <v>5.9339000000000003E-2</v>
      </c>
      <c r="E22" s="41">
        <v>4.9353000000000001E-2</v>
      </c>
      <c r="F22" s="41">
        <v>4.3339999999999997E-2</v>
      </c>
      <c r="G22" s="41">
        <v>7.0795999999999998E-2</v>
      </c>
      <c r="H22" s="41">
        <v>0.13628100000000001</v>
      </c>
      <c r="I22" s="41">
        <v>0.17583799999999999</v>
      </c>
    </row>
    <row r="23" spans="1:22">
      <c r="A23" s="38" t="s">
        <v>553</v>
      </c>
      <c r="B23" s="41">
        <v>0</v>
      </c>
      <c r="C23" s="41">
        <v>0</v>
      </c>
      <c r="D23" s="41">
        <v>0</v>
      </c>
      <c r="E23" s="41">
        <v>0</v>
      </c>
      <c r="F23" s="41">
        <v>0</v>
      </c>
      <c r="G23" s="41">
        <v>2.5246000000000001E-2</v>
      </c>
      <c r="H23" s="41">
        <v>1.6798E-2</v>
      </c>
      <c r="I23" s="41">
        <v>0.114207</v>
      </c>
    </row>
    <row r="24" spans="1:22">
      <c r="A24" s="38"/>
      <c r="B24" s="39"/>
      <c r="C24" s="39"/>
      <c r="D24" s="39"/>
      <c r="E24" s="39"/>
      <c r="F24" s="39"/>
      <c r="G24" s="39"/>
      <c r="H24" s="39"/>
      <c r="I24" s="39"/>
    </row>
    <row r="25" spans="1:22" ht="25.5">
      <c r="A25" s="45" t="s">
        <v>929</v>
      </c>
      <c r="B25" s="39"/>
      <c r="C25" s="39"/>
      <c r="D25" s="39"/>
      <c r="E25" s="39"/>
      <c r="F25" s="39"/>
      <c r="G25" s="39"/>
      <c r="H25" s="39"/>
      <c r="I25" s="39"/>
    </row>
    <row r="26" spans="1:22">
      <c r="A26" s="38"/>
      <c r="B26" s="39"/>
      <c r="C26" s="39"/>
      <c r="D26" s="39"/>
      <c r="E26" s="39"/>
      <c r="F26" s="39"/>
      <c r="G26" s="39"/>
      <c r="H26" s="39"/>
      <c r="I26" s="39"/>
    </row>
    <row r="27" spans="1:22">
      <c r="A27" s="45" t="s">
        <v>542</v>
      </c>
      <c r="B27" s="47">
        <v>52.372932434082003</v>
      </c>
      <c r="C27" s="47">
        <v>78.62236</v>
      </c>
      <c r="D27" s="47">
        <v>93.152596000000003</v>
      </c>
      <c r="E27" s="47">
        <v>92.930710000000005</v>
      </c>
      <c r="F27" s="47">
        <v>104.900368</v>
      </c>
      <c r="G27" s="47">
        <v>114.693359</v>
      </c>
      <c r="H27" s="47">
        <v>125.590073</v>
      </c>
      <c r="I27" s="47">
        <v>137.62721300000001</v>
      </c>
      <c r="L27" s="33">
        <f>B27/Conv!$C$46/Conv!$I$5/1000000*Conv!$J$39</f>
        <v>8.2483996202620862</v>
      </c>
      <c r="M27" s="33">
        <f>C27/Conv!$C$46/Conv!$I$5/1000000*Conv!$J$42</f>
        <v>11.740853487455322</v>
      </c>
      <c r="N27" s="33">
        <f>D27/Conv!$C$46/Conv!$I$5/1000000*Conv!$J$45</f>
        <v>13.248020268749181</v>
      </c>
      <c r="O27" s="33">
        <f>E27/Conv!$C$46/Conv!$I$5/1000000*Conv!$J$45</f>
        <v>13.216463979911543</v>
      </c>
      <c r="P27" s="33">
        <f>F27/Conv!$C$46/Conv!$I$5/1000000*Conv!$J$45</f>
        <v>14.918770502791439</v>
      </c>
      <c r="Q27" s="33">
        <f>G27/Conv!$C$46/Conv!$I$5/1000000*Conv!$J$45</f>
        <v>16.311514761466508</v>
      </c>
      <c r="R27" s="33">
        <f>H27/Conv!$C$46/Conv!$I$5/1000000*Conv!$J$45</f>
        <v>17.86122882348538</v>
      </c>
      <c r="S27" s="33">
        <f>I27/Conv!$C$46/Conv!$I$5/1000000*Conv!$J$45</f>
        <v>19.57313253358458</v>
      </c>
    </row>
    <row r="28" spans="1:22">
      <c r="A28" s="38"/>
      <c r="B28" s="39"/>
      <c r="C28" s="39"/>
      <c r="D28" s="39"/>
      <c r="E28" s="39"/>
      <c r="F28" s="39"/>
      <c r="G28" s="39"/>
      <c r="H28" s="39"/>
      <c r="I28" s="39"/>
    </row>
    <row r="29" spans="1:22">
      <c r="A29" s="45" t="s">
        <v>543</v>
      </c>
      <c r="B29" s="39"/>
      <c r="C29" s="39"/>
      <c r="D29" s="39"/>
      <c r="E29" s="39"/>
      <c r="F29" s="39"/>
      <c r="G29" s="39"/>
      <c r="H29" s="39"/>
      <c r="I29" s="39"/>
      <c r="L29" s="46">
        <v>2005</v>
      </c>
      <c r="M29" s="46">
        <v>2010</v>
      </c>
      <c r="N29" s="46">
        <v>2015</v>
      </c>
      <c r="O29" s="46">
        <v>2020</v>
      </c>
      <c r="P29" s="46">
        <v>2025</v>
      </c>
      <c r="Q29" s="46">
        <v>2030</v>
      </c>
      <c r="R29" s="46">
        <v>2035</v>
      </c>
      <c r="S29" s="46">
        <v>2040</v>
      </c>
      <c r="T29" s="22" t="s">
        <v>932</v>
      </c>
    </row>
    <row r="30" spans="1:22">
      <c r="A30" s="38" t="s">
        <v>544</v>
      </c>
      <c r="B30" s="41">
        <v>54.113807678222699</v>
      </c>
      <c r="C30" s="41">
        <v>77.842354</v>
      </c>
      <c r="D30" s="41">
        <v>89.464995999999999</v>
      </c>
      <c r="E30" s="41">
        <v>89.111496000000002</v>
      </c>
      <c r="F30" s="41">
        <v>101.577057</v>
      </c>
      <c r="G30" s="41">
        <v>110.88205000000001</v>
      </c>
      <c r="H30" s="41">
        <v>121.450577</v>
      </c>
      <c r="I30" s="41">
        <v>132.91270399999999</v>
      </c>
      <c r="K30" s="9" t="s">
        <v>251</v>
      </c>
      <c r="L30" s="39">
        <f>B30/Conv!$C$46/Conv!$I$5/1000000*Conv!$J$39</f>
        <v>8.5225762614262397</v>
      </c>
      <c r="M30" s="39">
        <f>C30/Conv!$C$46/Conv!$I$5/1000000*Conv!$J$42</f>
        <v>11.624373440744231</v>
      </c>
      <c r="N30" s="39">
        <f>D30/Conv!$C$46/Conv!$I$5/1000000*Conv!$J$45</f>
        <v>12.723575415456638</v>
      </c>
      <c r="O30" s="39">
        <f>E30/Conv!$C$46/Conv!$I$5/1000000*Conv!$J$45</f>
        <v>12.67330118407609</v>
      </c>
      <c r="P30" s="39">
        <f>F30/Conv!$C$46/Conv!$I$5/1000000*Conv!$J$45</f>
        <v>14.446134276020508</v>
      </c>
      <c r="Q30" s="39">
        <f>G30/Conv!$C$46/Conv!$I$5/1000000*Conv!$J$45</f>
        <v>15.769476202686397</v>
      </c>
      <c r="R30" s="39">
        <f>H30/Conv!$C$46/Conv!$I$5/1000000*Conv!$J$45</f>
        <v>17.272516009615909</v>
      </c>
      <c r="S30" s="39">
        <f>I30/Conv!$C$46/Conv!$I$5/1000000*Conv!$J$45</f>
        <v>18.902642246988588</v>
      </c>
      <c r="T30" s="40">
        <f>1+(S30-R30)/R30</f>
        <v>1.0943768838578676</v>
      </c>
      <c r="U30" s="42"/>
      <c r="V30" s="42"/>
    </row>
    <row r="31" spans="1:22">
      <c r="A31" s="38" t="s">
        <v>545</v>
      </c>
      <c r="B31" s="41">
        <v>54.577995300292997</v>
      </c>
      <c r="C31" s="41">
        <v>77.609558000000007</v>
      </c>
      <c r="D31" s="41">
        <v>96.386139</v>
      </c>
      <c r="E31" s="41">
        <v>96.451652999999993</v>
      </c>
      <c r="F31" s="41">
        <v>108.727554</v>
      </c>
      <c r="G31" s="41">
        <v>118.380623</v>
      </c>
      <c r="H31" s="41">
        <v>129.07098400000001</v>
      </c>
      <c r="I31" s="41">
        <v>140.403458</v>
      </c>
      <c r="K31" s="9" t="s">
        <v>253</v>
      </c>
      <c r="L31" s="39">
        <f>B30/Conv!$C$46/Conv!$I$5/1000000*Conv!$J$39</f>
        <v>8.5225762614262397</v>
      </c>
      <c r="M31" s="39">
        <f>C30/Conv!$C$46/Conv!$I$5/1000000*Conv!$J$42</f>
        <v>11.624373440744231</v>
      </c>
      <c r="N31" s="39">
        <f>D30/Conv!$C$46/Conv!$I$5/1000000*Conv!$J$45</f>
        <v>12.723575415456638</v>
      </c>
      <c r="O31" s="39">
        <f>E30/Conv!$C$46/Conv!$I$5/1000000*Conv!$J$45</f>
        <v>12.67330118407609</v>
      </c>
      <c r="P31" s="39">
        <f>F30/Conv!$C$46/Conv!$I$5/1000000*Conv!$J$45</f>
        <v>14.446134276020508</v>
      </c>
      <c r="Q31" s="39">
        <f>G30/Conv!$C$46/Conv!$I$5/1000000*Conv!$J$45</f>
        <v>15.769476202686397</v>
      </c>
      <c r="R31" s="39">
        <f>H30/Conv!$C$46/Conv!$I$5/1000000*Conv!$J$45</f>
        <v>17.272516009615909</v>
      </c>
      <c r="S31" s="39">
        <f>I30/Conv!$C$46/Conv!$I$5/1000000*Conv!$J$45</f>
        <v>18.902642246988588</v>
      </c>
      <c r="T31" s="40">
        <f t="shared" ref="T31:T38" si="0">1+(S31-R31)/R31</f>
        <v>1.0943768838578676</v>
      </c>
      <c r="V31" s="42"/>
    </row>
    <row r="32" spans="1:22">
      <c r="A32" s="38" t="s">
        <v>546</v>
      </c>
      <c r="B32" s="41">
        <v>55.465110778808601</v>
      </c>
      <c r="C32" s="41">
        <v>74.928939999999997</v>
      </c>
      <c r="D32" s="41">
        <v>90.162102000000004</v>
      </c>
      <c r="E32" s="41">
        <v>89.530051999999998</v>
      </c>
      <c r="F32" s="41">
        <v>101.84438299999999</v>
      </c>
      <c r="G32" s="41">
        <v>111.839012</v>
      </c>
      <c r="H32" s="41">
        <v>124.45079800000001</v>
      </c>
      <c r="I32" s="41">
        <v>137.415436</v>
      </c>
      <c r="K32" s="9" t="s">
        <v>252</v>
      </c>
      <c r="L32" s="39">
        <f>B32/Conv!$C$46/Conv!$I$5/1000000*Conv!$J$39</f>
        <v>8.7353977985009603</v>
      </c>
      <c r="M32" s="39">
        <f>C32/Conv!$C$46/Conv!$I$5/1000000*Conv!$J$42</f>
        <v>11.189306788938039</v>
      </c>
      <c r="N32" s="39">
        <f>D32/Conv!$C$46/Conv!$I$5/1000000*Conv!$J$45</f>
        <v>12.822716768612986</v>
      </c>
      <c r="O32" s="39">
        <f>E32/Conv!$C$46/Conv!$I$5/1000000*Conv!$J$45</f>
        <v>12.732827580652375</v>
      </c>
      <c r="P32" s="39">
        <f>F32/Conv!$C$46/Conv!$I$5/1000000*Conv!$J$45</f>
        <v>14.484152972422306</v>
      </c>
      <c r="Q32" s="39">
        <f>G32/Conv!$C$46/Conv!$I$5/1000000*Conv!$J$45</f>
        <v>15.905573880226406</v>
      </c>
      <c r="R32" s="39">
        <f>H32/Conv!$C$46/Conv!$I$5/1000000*Conv!$J$45</f>
        <v>17.699202868871307</v>
      </c>
      <c r="S32" s="39">
        <f>I32/Conv!$C$46/Conv!$I$5/1000000*Conv!$J$45</f>
        <v>19.543013931324104</v>
      </c>
      <c r="T32" s="40">
        <f t="shared" si="0"/>
        <v>1.1041748081036815</v>
      </c>
      <c r="V32" s="42"/>
    </row>
    <row r="33" spans="1:22">
      <c r="A33" s="38" t="s">
        <v>547</v>
      </c>
      <c r="B33" s="41">
        <v>54.309799194335902</v>
      </c>
      <c r="C33" s="41">
        <v>75.461890999999994</v>
      </c>
      <c r="D33" s="41">
        <v>92.778983999999994</v>
      </c>
      <c r="E33" s="41">
        <v>91.732101</v>
      </c>
      <c r="F33" s="41">
        <v>103.954224</v>
      </c>
      <c r="G33" s="41">
        <v>113.66377300000001</v>
      </c>
      <c r="H33" s="41">
        <v>124.925697</v>
      </c>
      <c r="I33" s="41">
        <v>137.87936400000001</v>
      </c>
      <c r="K33" s="9" t="s">
        <v>331</v>
      </c>
      <c r="L33" s="39">
        <f>B32/Conv!$C$46/Conv!$I$5/1000000*Conv!$J$39</f>
        <v>8.7353977985009603</v>
      </c>
      <c r="M33" s="39">
        <f>C32/Conv!$C$46/Conv!$I$5/1000000*Conv!$J$42</f>
        <v>11.189306788938039</v>
      </c>
      <c r="N33" s="39">
        <f>D32/Conv!$C$46/Conv!$I$5/1000000*Conv!$J$45</f>
        <v>12.822716768612986</v>
      </c>
      <c r="O33" s="39">
        <f>E32/Conv!$C$46/Conv!$I$5/1000000*Conv!$J$45</f>
        <v>12.732827580652375</v>
      </c>
      <c r="P33" s="39">
        <f>F32/Conv!$C$46/Conv!$I$5/1000000*Conv!$J$45</f>
        <v>14.484152972422306</v>
      </c>
      <c r="Q33" s="39">
        <f>G32/Conv!$C$46/Conv!$I$5/1000000*Conv!$J$45</f>
        <v>15.905573880226406</v>
      </c>
      <c r="R33" s="39">
        <f>H32/Conv!$C$46/Conv!$I$5/1000000*Conv!$J$45</f>
        <v>17.699202868871307</v>
      </c>
      <c r="S33" s="39">
        <f>I32/Conv!$C$46/Conv!$I$5/1000000*Conv!$J$45</f>
        <v>19.543013931324104</v>
      </c>
      <c r="T33" s="40">
        <f t="shared" si="0"/>
        <v>1.1041748081036815</v>
      </c>
      <c r="V33" s="42"/>
    </row>
    <row r="34" spans="1:22">
      <c r="A34" s="38" t="s">
        <v>548</v>
      </c>
      <c r="B34" s="41">
        <v>52.484001159667997</v>
      </c>
      <c r="C34" s="41">
        <v>83.080177000000006</v>
      </c>
      <c r="D34" s="41">
        <v>86.387298999999999</v>
      </c>
      <c r="E34" s="41">
        <v>85.805869999999999</v>
      </c>
      <c r="F34" s="41">
        <v>97.814186000000007</v>
      </c>
      <c r="G34" s="41">
        <v>107.201324</v>
      </c>
      <c r="H34" s="41">
        <v>117.59626799999999</v>
      </c>
      <c r="I34" s="41">
        <v>129.98876999999999</v>
      </c>
      <c r="K34" s="9" t="s">
        <v>330</v>
      </c>
      <c r="L34" s="39">
        <f>B30/Conv!$C$46/Conv!$I$5/1000000*Conv!$J$39</f>
        <v>8.5225762614262397</v>
      </c>
      <c r="M34" s="39">
        <f>C30/Conv!$C$46/Conv!$I$5/1000000*Conv!$J$42</f>
        <v>11.624373440744231</v>
      </c>
      <c r="N34" s="39">
        <f>D30/Conv!$C$46/Conv!$I$5/1000000*Conv!$J$45</f>
        <v>12.723575415456638</v>
      </c>
      <c r="O34" s="39">
        <f>E30/Conv!$C$46/Conv!$I$5/1000000*Conv!$J$45</f>
        <v>12.67330118407609</v>
      </c>
      <c r="P34" s="39">
        <f>F30/Conv!$C$46/Conv!$I$5/1000000*Conv!$J$45</f>
        <v>14.446134276020508</v>
      </c>
      <c r="Q34" s="39">
        <f>G30/Conv!$C$46/Conv!$I$5/1000000*Conv!$J$45</f>
        <v>15.769476202686397</v>
      </c>
      <c r="R34" s="39">
        <f>H30/Conv!$C$46/Conv!$I$5/1000000*Conv!$J$45</f>
        <v>17.272516009615909</v>
      </c>
      <c r="S34" s="39">
        <f>I30/Conv!$C$46/Conv!$I$5/1000000*Conv!$J$45</f>
        <v>18.902642246988588</v>
      </c>
      <c r="T34" s="40">
        <f t="shared" si="0"/>
        <v>1.0943768838578676</v>
      </c>
      <c r="V34" s="42"/>
    </row>
    <row r="35" spans="1:22">
      <c r="A35" s="38" t="s">
        <v>549</v>
      </c>
      <c r="B35" s="41">
        <v>48.564205169677699</v>
      </c>
      <c r="C35" s="41">
        <v>76.567749000000006</v>
      </c>
      <c r="D35" s="41">
        <v>94.279510000000002</v>
      </c>
      <c r="E35" s="41">
        <v>95.155799999999999</v>
      </c>
      <c r="F35" s="41">
        <v>108.131889</v>
      </c>
      <c r="G35" s="41">
        <v>118.079697</v>
      </c>
      <c r="H35" s="41">
        <v>127.975883</v>
      </c>
      <c r="I35" s="41">
        <v>137.89520300000001</v>
      </c>
      <c r="K35" s="9" t="s">
        <v>332</v>
      </c>
      <c r="L35" s="39">
        <f>B33/Conv!$C$46/Conv!$I$5/1000000*Conv!$J$39</f>
        <v>8.5534436631917874</v>
      </c>
      <c r="M35" s="39">
        <f>C33/Conv!$C$46/Conv!$I$5/1000000*Conv!$J$42</f>
        <v>11.268893557981766</v>
      </c>
      <c r="N35" s="39">
        <f>D33/Conv!$C$46/Conv!$I$5/1000000*Conv!$J$45</f>
        <v>13.194885739372799</v>
      </c>
      <c r="O35" s="39">
        <f>E33/Conv!$C$46/Conv!$I$5/1000000*Conv!$J$45</f>
        <v>13.045999634223257</v>
      </c>
      <c r="P35" s="39">
        <f>F33/Conv!$C$46/Conv!$I$5/1000000*Conv!$J$45</f>
        <v>14.784211344728302</v>
      </c>
      <c r="Q35" s="39">
        <f>G33/Conv!$C$46/Conv!$I$5/1000000*Conv!$J$45</f>
        <v>16.165088609301947</v>
      </c>
      <c r="R35" s="39">
        <f>H33/Conv!$C$46/Conv!$I$5/1000000*Conv!$J$45</f>
        <v>17.76674228105912</v>
      </c>
      <c r="S35" s="39">
        <f>I33/Conv!$C$46/Conv!$I$5/1000000*Conv!$J$45</f>
        <v>19.60899306460816</v>
      </c>
      <c r="T35" s="40">
        <f t="shared" si="0"/>
        <v>1.1036909724025794</v>
      </c>
      <c r="V35" s="42"/>
    </row>
    <row r="36" spans="1:22">
      <c r="A36" s="38"/>
      <c r="B36" s="39"/>
      <c r="C36" s="39"/>
      <c r="D36" s="39"/>
      <c r="E36" s="39"/>
      <c r="F36" s="39"/>
      <c r="G36" s="39"/>
      <c r="H36" s="39"/>
      <c r="I36" s="39"/>
      <c r="K36" s="9" t="s">
        <v>333</v>
      </c>
      <c r="L36" s="39">
        <f>AVERAGE((B33*B14+B38*B19)/(B14+B19))/Conv!$C$46/Conv!$I$5/1000000*Conv!$J$39</f>
        <v>8.2910939410441777</v>
      </c>
      <c r="M36" s="39">
        <f>AVERAGE((C33*C14+C38*C19)/(C14+C19))/Conv!$C$46/Conv!$I$5/1000000*Conv!$J$42</f>
        <v>11.773723291287878</v>
      </c>
      <c r="N36" s="39">
        <f>AVERAGE((D33*D14+D38*D19)/(D14+D19))/Conv!$C$46/Conv!$I$5/1000000*Conv!$J$45</f>
        <v>13.432157232244336</v>
      </c>
      <c r="O36" s="39">
        <f>AVERAGE((E33*E14+E38*E19)/(E14+E19))/Conv!$C$46/Conv!$I$5/1000000*Conv!$J$45</f>
        <v>13.370380993062023</v>
      </c>
      <c r="P36" s="39">
        <f>AVERAGE((F33*F14+F38*F19)/(F14+F19))/Conv!$C$46/Conv!$I$5/1000000*Conv!$J$45</f>
        <v>15.088126730585756</v>
      </c>
      <c r="Q36" s="39">
        <f>AVERAGE((G33*G14+G38*G19)/(G14+G19))/Conv!$C$46/Conv!$I$5/1000000*Conv!$J$45</f>
        <v>16.486511409084219</v>
      </c>
      <c r="R36" s="39">
        <f>AVERAGE((H33*H14+H38*H19)/(H14+H19))/Conv!$C$46/Conv!$I$5/1000000*Conv!$J$45</f>
        <v>18.056356747078727</v>
      </c>
      <c r="S36" s="39">
        <f>AVERAGE((I33*I14+I38*I19)/(I14+I19))/Conv!$C$46/Conv!$I$5/1000000*Conv!$J$45</f>
        <v>19.797324686896786</v>
      </c>
      <c r="T36" s="40">
        <f t="shared" si="0"/>
        <v>1.0964185612969639</v>
      </c>
      <c r="V36" s="42"/>
    </row>
    <row r="37" spans="1:22">
      <c r="A37" s="45" t="s">
        <v>550</v>
      </c>
      <c r="B37" s="39"/>
      <c r="C37" s="39"/>
      <c r="D37" s="39"/>
      <c r="E37" s="39"/>
      <c r="F37" s="39"/>
      <c r="G37" s="39"/>
      <c r="H37" s="39"/>
      <c r="I37" s="39"/>
      <c r="K37" s="9" t="s">
        <v>334</v>
      </c>
      <c r="L37" s="39">
        <f>B34/Conv!$C$46/Conv!$I$5/1000000*Conv!$J$39</f>
        <v>8.2658922293517065</v>
      </c>
      <c r="M37" s="39">
        <f>C34/Conv!$C$46/Conv!$I$5/1000000*Conv!$J$42</f>
        <v>12.406549305679141</v>
      </c>
      <c r="N37" s="39">
        <f>D34/Conv!$C$46/Conv!$I$5/1000000*Conv!$J$45</f>
        <v>12.285870037529556</v>
      </c>
      <c r="O37" s="39">
        <f>E34/Conv!$C$46/Conv!$I$5/1000000*Conv!$J$45</f>
        <v>12.203180091058945</v>
      </c>
      <c r="P37" s="39">
        <f>F34/Conv!$C$46/Conv!$I$5/1000000*Conv!$J$45</f>
        <v>13.910984495796578</v>
      </c>
      <c r="Q37" s="39">
        <f>G34/Conv!$C$46/Conv!$I$5/1000000*Conv!$J$45</f>
        <v>15.246008959200106</v>
      </c>
      <c r="R37" s="39">
        <f>H34/Conv!$C$46/Conv!$I$5/1000000*Conv!$J$45</f>
        <v>16.724362056353858</v>
      </c>
      <c r="S37" s="39">
        <f>I34/Conv!$C$46/Conv!$I$5/1000000*Conv!$J$45</f>
        <v>18.486804808636521</v>
      </c>
      <c r="T37" s="40">
        <f t="shared" si="0"/>
        <v>1.1053817626253244</v>
      </c>
      <c r="V37" s="42"/>
    </row>
    <row r="38" spans="1:22">
      <c r="A38" s="38" t="s">
        <v>551</v>
      </c>
      <c r="B38" s="41">
        <v>51.431842803955099</v>
      </c>
      <c r="C38" s="41">
        <v>80.713936000000004</v>
      </c>
      <c r="D38" s="41">
        <v>96.386139</v>
      </c>
      <c r="E38" s="41">
        <v>96.451652999999993</v>
      </c>
      <c r="F38" s="41">
        <v>108.727554</v>
      </c>
      <c r="G38" s="41">
        <v>118.380623</v>
      </c>
      <c r="H38" s="41">
        <v>129.07098400000001</v>
      </c>
      <c r="I38" s="41">
        <v>140.403458</v>
      </c>
      <c r="K38" s="9" t="s">
        <v>335</v>
      </c>
      <c r="L38" s="39">
        <f>AVERAGE((B35*B16+B39*B22+B71*B62)/(B16+B22+B71))/Conv!$C$46/Conv!$I$5/1000000*Conv!$J$39</f>
        <v>8.2247108630953996</v>
      </c>
      <c r="M38" s="39">
        <f>AVERAGE((C35*C16+C39*C22+C71*C62)/(C16+C22+C71))/Conv!$C$46/Conv!$I$5/1000000*Conv!$J$42</f>
        <v>11.726426344757739</v>
      </c>
      <c r="N38" s="39">
        <f>AVERAGE((D35*D16+D39*D22+D71*D62)/(D16+D22+D71))/Conv!$C$46/Conv!$I$5/1000000*Conv!$J$45</f>
        <v>13.338530149807523</v>
      </c>
      <c r="O38" s="39">
        <f>AVERAGE((E35*E16+E39*E22+E71*E62)/(E16+E22+E71))/Conv!$C$46/Conv!$I$5/1000000*Conv!$J$45</f>
        <v>13.39357080416667</v>
      </c>
      <c r="P38" s="39">
        <f>AVERAGE((F35*F16+F39*F22+F71*F62)/(F16+F22+F71))/Conv!$C$46/Conv!$I$5/1000000*Conv!$J$45</f>
        <v>15.208938426887851</v>
      </c>
      <c r="Q38" s="39">
        <f>AVERAGE((G35*G16+G39*G22+G71*G62)/(G16+G22+G71))/Conv!$C$46/Conv!$I$5/1000000*Conv!$J$45</f>
        <v>16.652501216808165</v>
      </c>
      <c r="R38" s="39">
        <f>AVERAGE((H35*H16+H39*H22+H71*H62)/(H16+H22+H71))/Conv!$C$46/Conv!$I$5/1000000*Conv!$J$45</f>
        <v>18.075858503000987</v>
      </c>
      <c r="S38" s="39">
        <f>AVERAGE((I35*I16+I39*I22+I71*I62)/(I16+I22+I71))/Conv!$C$46/Conv!$I$5/1000000*Conv!$J$45</f>
        <v>19.600729354425635</v>
      </c>
      <c r="T38" s="40">
        <f t="shared" si="0"/>
        <v>1.0843595257824952</v>
      </c>
      <c r="V38" s="42"/>
    </row>
    <row r="39" spans="1:22">
      <c r="A39" s="38" t="s">
        <v>552</v>
      </c>
      <c r="B39" s="41">
        <v>46.212326049804702</v>
      </c>
      <c r="C39" s="41">
        <v>71.208015000000003</v>
      </c>
      <c r="D39" s="41">
        <v>94.279510000000002</v>
      </c>
      <c r="E39" s="41">
        <v>95.155799999999999</v>
      </c>
      <c r="F39" s="41">
        <v>108.131889</v>
      </c>
      <c r="G39" s="41">
        <v>118.079697</v>
      </c>
      <c r="H39" s="41">
        <v>127.975883</v>
      </c>
      <c r="I39" s="41">
        <v>137.89520300000001</v>
      </c>
    </row>
    <row r="40" spans="1:22">
      <c r="A40" s="38" t="s">
        <v>553</v>
      </c>
      <c r="B40" s="41" t="s">
        <v>928</v>
      </c>
      <c r="C40" s="41">
        <v>77.842354</v>
      </c>
      <c r="D40" s="41">
        <v>96.192085000000006</v>
      </c>
      <c r="E40" s="41">
        <v>95.612594999999999</v>
      </c>
      <c r="F40" s="41">
        <v>107.33659400000001</v>
      </c>
      <c r="G40" s="41">
        <v>118.33994300000001</v>
      </c>
      <c r="H40" s="41">
        <v>128.86077900000001</v>
      </c>
      <c r="I40" s="41">
        <v>140.88420099999999</v>
      </c>
    </row>
    <row r="41" spans="1:22">
      <c r="A41" s="38"/>
    </row>
    <row r="42" spans="1:22" ht="15" customHeight="1">
      <c r="A42" s="38" t="s">
        <v>568</v>
      </c>
      <c r="B42" s="38"/>
      <c r="C42" s="38"/>
      <c r="D42" s="38"/>
      <c r="E42" s="38"/>
      <c r="F42" s="38"/>
      <c r="G42" s="38"/>
      <c r="H42" s="38"/>
      <c r="I42" s="38"/>
    </row>
    <row r="43" spans="1:22" ht="15" customHeight="1">
      <c r="A43" s="38" t="s">
        <v>564</v>
      </c>
      <c r="B43" s="38"/>
      <c r="C43" s="38"/>
      <c r="D43" s="38"/>
      <c r="E43" s="38"/>
      <c r="F43" s="38"/>
      <c r="G43" s="38"/>
      <c r="H43" s="38"/>
      <c r="I43" s="38"/>
    </row>
    <row r="44" spans="1:22" ht="15" customHeight="1">
      <c r="A44" s="38" t="s">
        <v>565</v>
      </c>
      <c r="B44" s="38"/>
      <c r="C44" s="38"/>
      <c r="D44" s="38"/>
      <c r="E44" s="38"/>
      <c r="F44" s="38"/>
      <c r="G44" s="38"/>
      <c r="H44" s="38"/>
      <c r="I44" s="38"/>
    </row>
    <row r="45" spans="1:22" ht="15" customHeight="1">
      <c r="A45" s="38" t="s">
        <v>569</v>
      </c>
      <c r="B45" s="38"/>
      <c r="C45" s="38"/>
      <c r="D45" s="38"/>
      <c r="E45" s="38"/>
      <c r="F45" s="38"/>
      <c r="G45" s="38"/>
      <c r="H45" s="38"/>
      <c r="I45" s="38"/>
    </row>
    <row r="46" spans="1:22" ht="15" customHeight="1">
      <c r="A46" s="38" t="s">
        <v>570</v>
      </c>
      <c r="B46" s="38"/>
      <c r="C46" s="38"/>
      <c r="D46" s="38"/>
      <c r="E46" s="38"/>
      <c r="F46" s="38"/>
      <c r="G46" s="38"/>
      <c r="H46" s="38"/>
      <c r="I46" s="38"/>
    </row>
    <row r="47" spans="1:22" ht="15" customHeight="1">
      <c r="A47" s="38" t="s">
        <v>571</v>
      </c>
      <c r="B47" s="38"/>
      <c r="C47" s="38"/>
      <c r="D47" s="38"/>
      <c r="E47" s="38"/>
      <c r="F47" s="38"/>
      <c r="G47" s="38"/>
      <c r="H47" s="38"/>
      <c r="I47" s="38"/>
    </row>
    <row r="48" spans="1:22" ht="15" customHeight="1">
      <c r="A48" s="38" t="s">
        <v>572</v>
      </c>
      <c r="B48" s="38"/>
      <c r="C48" s="38"/>
      <c r="D48" s="38"/>
      <c r="E48" s="38"/>
      <c r="F48" s="38"/>
      <c r="G48" s="38"/>
      <c r="H48" s="38"/>
      <c r="I48" s="38"/>
    </row>
    <row r="49" spans="1:9" ht="30" customHeight="1">
      <c r="A49" s="38" t="s">
        <v>573</v>
      </c>
      <c r="B49" s="38"/>
      <c r="C49" s="38"/>
      <c r="D49" s="38"/>
      <c r="E49" s="38"/>
      <c r="F49" s="38"/>
      <c r="G49" s="38"/>
      <c r="H49" s="38"/>
      <c r="I49" s="38"/>
    </row>
    <row r="50" spans="1:9" ht="15" customHeight="1">
      <c r="A50" s="38" t="s">
        <v>574</v>
      </c>
      <c r="B50" s="38"/>
      <c r="C50" s="38"/>
      <c r="D50" s="38"/>
      <c r="E50" s="38"/>
      <c r="F50" s="38"/>
      <c r="G50" s="38"/>
      <c r="H50" s="38"/>
      <c r="I50" s="38"/>
    </row>
    <row r="55" spans="1:9" ht="18" customHeight="1">
      <c r="A55" s="251" t="s">
        <v>931</v>
      </c>
      <c r="B55" s="251"/>
      <c r="C55" s="251"/>
      <c r="D55" s="251"/>
      <c r="E55" s="251"/>
      <c r="F55" s="251"/>
      <c r="G55" s="251"/>
      <c r="H55" s="251"/>
      <c r="I55" s="251"/>
    </row>
    <row r="56" spans="1:9">
      <c r="A56" s="43"/>
      <c r="B56" s="43"/>
      <c r="C56" s="43"/>
      <c r="D56" s="43"/>
      <c r="E56" s="43"/>
      <c r="F56" s="43"/>
      <c r="G56" s="43"/>
      <c r="H56" s="43"/>
      <c r="I56" s="44"/>
    </row>
    <row r="57" spans="1:9">
      <c r="A57" s="45" t="s">
        <v>576</v>
      </c>
      <c r="B57" s="46">
        <v>2005</v>
      </c>
      <c r="C57" s="46">
        <v>2010</v>
      </c>
      <c r="D57" s="46">
        <v>2015</v>
      </c>
      <c r="E57" s="46">
        <v>2020</v>
      </c>
      <c r="F57" s="46">
        <v>2025</v>
      </c>
      <c r="G57" s="46">
        <v>2030</v>
      </c>
      <c r="H57" s="46">
        <v>2035</v>
      </c>
      <c r="I57" s="46">
        <v>2040</v>
      </c>
    </row>
    <row r="58" spans="1:9">
      <c r="A58" s="38"/>
    </row>
    <row r="59" spans="1:9">
      <c r="A59" s="45" t="s">
        <v>577</v>
      </c>
    </row>
    <row r="60" spans="1:9">
      <c r="A60" s="38"/>
    </row>
    <row r="61" spans="1:9">
      <c r="A61" s="45" t="s">
        <v>578</v>
      </c>
    </row>
    <row r="62" spans="1:9">
      <c r="A62" s="45" t="s">
        <v>579</v>
      </c>
      <c r="B62" s="47">
        <v>52.372932434082003</v>
      </c>
      <c r="C62" s="47">
        <v>78.62236</v>
      </c>
      <c r="D62" s="47">
        <v>93.152596000000003</v>
      </c>
      <c r="E62" s="47">
        <v>92.930710000000005</v>
      </c>
      <c r="F62" s="47">
        <v>104.900368</v>
      </c>
      <c r="G62" s="47">
        <v>114.693359</v>
      </c>
      <c r="H62" s="47">
        <v>125.590073</v>
      </c>
      <c r="I62" s="47">
        <v>137.62721300000001</v>
      </c>
    </row>
    <row r="63" spans="1:9">
      <c r="A63" s="38"/>
      <c r="B63" s="39"/>
      <c r="C63" s="39"/>
      <c r="D63" s="39"/>
      <c r="E63" s="39"/>
      <c r="F63" s="39"/>
      <c r="G63" s="39"/>
      <c r="H63" s="39"/>
      <c r="I63" s="39"/>
    </row>
    <row r="64" spans="1:9">
      <c r="A64" s="45" t="s">
        <v>580</v>
      </c>
      <c r="B64" s="39"/>
      <c r="C64" s="39"/>
      <c r="D64" s="39"/>
      <c r="E64" s="39"/>
      <c r="F64" s="39"/>
      <c r="G64" s="39"/>
      <c r="H64" s="39"/>
      <c r="I64" s="39"/>
    </row>
    <row r="65" spans="1:9">
      <c r="A65" s="38" t="s">
        <v>554</v>
      </c>
      <c r="B65" s="41">
        <v>5.19099998474121</v>
      </c>
      <c r="C65" s="41">
        <v>5.51</v>
      </c>
      <c r="D65" s="41">
        <v>9.0378019999999992</v>
      </c>
      <c r="E65" s="41">
        <v>9.5525409999999997</v>
      </c>
      <c r="F65" s="41">
        <v>9.0041829999999994</v>
      </c>
      <c r="G65" s="41">
        <v>8.3047149999999998</v>
      </c>
      <c r="H65" s="41">
        <v>7.8722690000000002</v>
      </c>
      <c r="I65" s="41">
        <v>7.4801679999999999</v>
      </c>
    </row>
    <row r="66" spans="1:9">
      <c r="A66" s="38" t="s">
        <v>555</v>
      </c>
      <c r="B66" s="41">
        <v>2.9119999408721902</v>
      </c>
      <c r="C66" s="41">
        <v>3.1110000000000002</v>
      </c>
      <c r="D66" s="41">
        <v>6.9437699999999998</v>
      </c>
      <c r="E66" s="41">
        <v>7.2120749999999996</v>
      </c>
      <c r="F66" s="41">
        <v>7.0403339999999996</v>
      </c>
      <c r="G66" s="41">
        <v>6.3834780000000002</v>
      </c>
      <c r="H66" s="41">
        <v>5.7911619999999999</v>
      </c>
      <c r="I66" s="41">
        <v>5.2314559999999997</v>
      </c>
    </row>
    <row r="67" spans="1:9">
      <c r="A67" s="38" t="s">
        <v>556</v>
      </c>
      <c r="B67" s="41">
        <v>1.41499996185303</v>
      </c>
      <c r="C67" s="41">
        <v>1.7889999999999999</v>
      </c>
      <c r="D67" s="41">
        <v>4.4944300000000004</v>
      </c>
      <c r="E67" s="41">
        <v>4.7887130000000004</v>
      </c>
      <c r="F67" s="41">
        <v>4.5417620000000003</v>
      </c>
      <c r="G67" s="41">
        <v>4.1680419999999998</v>
      </c>
      <c r="H67" s="41">
        <v>3.6882419999999998</v>
      </c>
      <c r="I67" s="41">
        <v>3.1964769999999998</v>
      </c>
    </row>
    <row r="68" spans="1:9" ht="25.5">
      <c r="A68" s="38" t="s">
        <v>557</v>
      </c>
      <c r="B68" s="41">
        <v>0.86400002241134599</v>
      </c>
      <c r="C68" s="41">
        <v>0.61</v>
      </c>
      <c r="D68" s="41">
        <v>0.28528599999999998</v>
      </c>
      <c r="E68" s="41">
        <v>0.363147</v>
      </c>
      <c r="F68" s="41">
        <v>0.47158899999999998</v>
      </c>
      <c r="G68" s="41">
        <v>0.580677</v>
      </c>
      <c r="H68" s="41">
        <v>0.66123399999999999</v>
      </c>
      <c r="I68" s="41">
        <v>0.740367</v>
      </c>
    </row>
    <row r="69" spans="1:9">
      <c r="A69" s="38" t="s">
        <v>558</v>
      </c>
      <c r="B69" s="41"/>
      <c r="C69" s="41"/>
      <c r="D69" s="41">
        <v>2.1640540000000001</v>
      </c>
      <c r="E69" s="41">
        <v>2.060216</v>
      </c>
      <c r="F69" s="41">
        <v>2.0269840000000001</v>
      </c>
      <c r="G69" s="41">
        <v>1.63476</v>
      </c>
      <c r="H69" s="41">
        <v>1.441686</v>
      </c>
      <c r="I69" s="41">
        <v>1.2946120000000001</v>
      </c>
    </row>
    <row r="70" spans="1:9">
      <c r="A70" s="38" t="s">
        <v>559</v>
      </c>
      <c r="B70" s="41"/>
      <c r="C70" s="41"/>
      <c r="D70" s="41">
        <v>1.6311960000000001</v>
      </c>
      <c r="E70" s="41">
        <v>1.903324</v>
      </c>
      <c r="F70" s="41">
        <v>1.6371800000000001</v>
      </c>
      <c r="G70" s="41">
        <v>1.680866</v>
      </c>
      <c r="H70" s="41">
        <v>1.702939</v>
      </c>
      <c r="I70" s="41">
        <v>1.9887250000000001</v>
      </c>
    </row>
    <row r="71" spans="1:9">
      <c r="A71" s="35" t="s">
        <v>560</v>
      </c>
      <c r="B71" s="36">
        <v>18.8480014801025</v>
      </c>
      <c r="C71" s="36">
        <v>17.634153000000001</v>
      </c>
      <c r="D71" s="36">
        <v>0.462835</v>
      </c>
      <c r="E71" s="36">
        <v>0.43714199999999998</v>
      </c>
      <c r="F71" s="36">
        <v>0.32666899999999999</v>
      </c>
      <c r="G71" s="36">
        <v>0.240371</v>
      </c>
      <c r="H71" s="36">
        <v>0.378168</v>
      </c>
      <c r="I71" s="36">
        <v>0.25998700000000002</v>
      </c>
    </row>
    <row r="72" spans="1:9">
      <c r="A72" s="38"/>
    </row>
    <row r="73" spans="1:9">
      <c r="A73" s="45" t="s">
        <v>581</v>
      </c>
    </row>
    <row r="74" spans="1:9">
      <c r="A74" s="45" t="s">
        <v>582</v>
      </c>
      <c r="B74" s="45">
        <v>18.75</v>
      </c>
      <c r="C74" s="45">
        <v>18.329999999999998</v>
      </c>
      <c r="D74" s="47">
        <v>28.010019</v>
      </c>
      <c r="E74" s="47">
        <v>31.779066</v>
      </c>
      <c r="F74" s="47">
        <v>33.012752999999996</v>
      </c>
      <c r="G74" s="47">
        <v>34.422798</v>
      </c>
      <c r="H74" s="47">
        <v>34.579945000000002</v>
      </c>
      <c r="I74" s="47">
        <v>35.445549</v>
      </c>
    </row>
    <row r="75" spans="1:9">
      <c r="A75" s="38"/>
    </row>
  </sheetData>
  <mergeCells count="2">
    <mergeCell ref="A1:J1"/>
    <mergeCell ref="A55:I55"/>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5"/>
  <dimension ref="A1:AQ66"/>
  <sheetViews>
    <sheetView zoomScale="80" zoomScaleNormal="80" workbookViewId="0">
      <selection activeCell="A22" sqref="A1:XFD1048576"/>
    </sheetView>
  </sheetViews>
  <sheetFormatPr defaultColWidth="9.140625" defaultRowHeight="12.75"/>
  <cols>
    <col min="1" max="1" width="27.140625" style="9" customWidth="1"/>
    <col min="2" max="43" width="19" style="9" customWidth="1"/>
    <col min="44" max="256" width="9.140625" style="9"/>
    <col min="257" max="257" width="15.140625" style="9" customWidth="1"/>
    <col min="258" max="299" width="19" style="9" customWidth="1"/>
    <col min="300" max="512" width="9.140625" style="9"/>
    <col min="513" max="513" width="15.140625" style="9" customWidth="1"/>
    <col min="514" max="555" width="19" style="9" customWidth="1"/>
    <col min="556" max="768" width="9.140625" style="9"/>
    <col min="769" max="769" width="15.140625" style="9" customWidth="1"/>
    <col min="770" max="811" width="19" style="9" customWidth="1"/>
    <col min="812" max="1024" width="9.140625" style="9"/>
    <col min="1025" max="1025" width="15.140625" style="9" customWidth="1"/>
    <col min="1026" max="1067" width="19" style="9" customWidth="1"/>
    <col min="1068" max="1280" width="9.140625" style="9"/>
    <col min="1281" max="1281" width="15.140625" style="9" customWidth="1"/>
    <col min="1282" max="1323" width="19" style="9" customWidth="1"/>
    <col min="1324" max="1536" width="9.140625" style="9"/>
    <col min="1537" max="1537" width="15.140625" style="9" customWidth="1"/>
    <col min="1538" max="1579" width="19" style="9" customWidth="1"/>
    <col min="1580" max="1792" width="9.140625" style="9"/>
    <col min="1793" max="1793" width="15.140625" style="9" customWidth="1"/>
    <col min="1794" max="1835" width="19" style="9" customWidth="1"/>
    <col min="1836" max="2048" width="9.140625" style="9"/>
    <col min="2049" max="2049" width="15.140625" style="9" customWidth="1"/>
    <col min="2050" max="2091" width="19" style="9" customWidth="1"/>
    <col min="2092" max="2304" width="9.140625" style="9"/>
    <col min="2305" max="2305" width="15.140625" style="9" customWidth="1"/>
    <col min="2306" max="2347" width="19" style="9" customWidth="1"/>
    <col min="2348" max="2560" width="9.140625" style="9"/>
    <col min="2561" max="2561" width="15.140625" style="9" customWidth="1"/>
    <col min="2562" max="2603" width="19" style="9" customWidth="1"/>
    <col min="2604" max="2816" width="9.140625" style="9"/>
    <col min="2817" max="2817" width="15.140625" style="9" customWidth="1"/>
    <col min="2818" max="2859" width="19" style="9" customWidth="1"/>
    <col min="2860" max="3072" width="9.140625" style="9"/>
    <col min="3073" max="3073" width="15.140625" style="9" customWidth="1"/>
    <col min="3074" max="3115" width="19" style="9" customWidth="1"/>
    <col min="3116" max="3328" width="9.140625" style="9"/>
    <col min="3329" max="3329" width="15.140625" style="9" customWidth="1"/>
    <col min="3330" max="3371" width="19" style="9" customWidth="1"/>
    <col min="3372" max="3584" width="9.140625" style="9"/>
    <col min="3585" max="3585" width="15.140625" style="9" customWidth="1"/>
    <col min="3586" max="3627" width="19" style="9" customWidth="1"/>
    <col min="3628" max="3840" width="9.140625" style="9"/>
    <col min="3841" max="3841" width="15.140625" style="9" customWidth="1"/>
    <col min="3842" max="3883" width="19" style="9" customWidth="1"/>
    <col min="3884" max="4096" width="9.140625" style="9"/>
    <col min="4097" max="4097" width="15.140625" style="9" customWidth="1"/>
    <col min="4098" max="4139" width="19" style="9" customWidth="1"/>
    <col min="4140" max="4352" width="9.140625" style="9"/>
    <col min="4353" max="4353" width="15.140625" style="9" customWidth="1"/>
    <col min="4354" max="4395" width="19" style="9" customWidth="1"/>
    <col min="4396" max="4608" width="9.140625" style="9"/>
    <col min="4609" max="4609" width="15.140625" style="9" customWidth="1"/>
    <col min="4610" max="4651" width="19" style="9" customWidth="1"/>
    <col min="4652" max="4864" width="9.140625" style="9"/>
    <col min="4865" max="4865" width="15.140625" style="9" customWidth="1"/>
    <col min="4866" max="4907" width="19" style="9" customWidth="1"/>
    <col min="4908" max="5120" width="9.140625" style="9"/>
    <col min="5121" max="5121" width="15.140625" style="9" customWidth="1"/>
    <col min="5122" max="5163" width="19" style="9" customWidth="1"/>
    <col min="5164" max="5376" width="9.140625" style="9"/>
    <col min="5377" max="5377" width="15.140625" style="9" customWidth="1"/>
    <col min="5378" max="5419" width="19" style="9" customWidth="1"/>
    <col min="5420" max="5632" width="9.140625" style="9"/>
    <col min="5633" max="5633" width="15.140625" style="9" customWidth="1"/>
    <col min="5634" max="5675" width="19" style="9" customWidth="1"/>
    <col min="5676" max="5888" width="9.140625" style="9"/>
    <col min="5889" max="5889" width="15.140625" style="9" customWidth="1"/>
    <col min="5890" max="5931" width="19" style="9" customWidth="1"/>
    <col min="5932" max="6144" width="9.140625" style="9"/>
    <col min="6145" max="6145" width="15.140625" style="9" customWidth="1"/>
    <col min="6146" max="6187" width="19" style="9" customWidth="1"/>
    <col min="6188" max="6400" width="9.140625" style="9"/>
    <col min="6401" max="6401" width="15.140625" style="9" customWidth="1"/>
    <col min="6402" max="6443" width="19" style="9" customWidth="1"/>
    <col min="6444" max="6656" width="9.140625" style="9"/>
    <col min="6657" max="6657" width="15.140625" style="9" customWidth="1"/>
    <col min="6658" max="6699" width="19" style="9" customWidth="1"/>
    <col min="6700" max="6912" width="9.140625" style="9"/>
    <col min="6913" max="6913" width="15.140625" style="9" customWidth="1"/>
    <col min="6914" max="6955" width="19" style="9" customWidth="1"/>
    <col min="6956" max="7168" width="9.140625" style="9"/>
    <col min="7169" max="7169" width="15.140625" style="9" customWidth="1"/>
    <col min="7170" max="7211" width="19" style="9" customWidth="1"/>
    <col min="7212" max="7424" width="9.140625" style="9"/>
    <col min="7425" max="7425" width="15.140625" style="9" customWidth="1"/>
    <col min="7426" max="7467" width="19" style="9" customWidth="1"/>
    <col min="7468" max="7680" width="9.140625" style="9"/>
    <col min="7681" max="7681" width="15.140625" style="9" customWidth="1"/>
    <col min="7682" max="7723" width="19" style="9" customWidth="1"/>
    <col min="7724" max="7936" width="9.140625" style="9"/>
    <col min="7937" max="7937" width="15.140625" style="9" customWidth="1"/>
    <col min="7938" max="7979" width="19" style="9" customWidth="1"/>
    <col min="7980" max="8192" width="9.140625" style="9"/>
    <col min="8193" max="8193" width="15.140625" style="9" customWidth="1"/>
    <col min="8194" max="8235" width="19" style="9" customWidth="1"/>
    <col min="8236" max="8448" width="9.140625" style="9"/>
    <col min="8449" max="8449" width="15.140625" style="9" customWidth="1"/>
    <col min="8450" max="8491" width="19" style="9" customWidth="1"/>
    <col min="8492" max="8704" width="9.140625" style="9"/>
    <col min="8705" max="8705" width="15.140625" style="9" customWidth="1"/>
    <col min="8706" max="8747" width="19" style="9" customWidth="1"/>
    <col min="8748" max="8960" width="9.140625" style="9"/>
    <col min="8961" max="8961" width="15.140625" style="9" customWidth="1"/>
    <col min="8962" max="9003" width="19" style="9" customWidth="1"/>
    <col min="9004" max="9216" width="9.140625" style="9"/>
    <col min="9217" max="9217" width="15.140625" style="9" customWidth="1"/>
    <col min="9218" max="9259" width="19" style="9" customWidth="1"/>
    <col min="9260" max="9472" width="9.140625" style="9"/>
    <col min="9473" max="9473" width="15.140625" style="9" customWidth="1"/>
    <col min="9474" max="9515" width="19" style="9" customWidth="1"/>
    <col min="9516" max="9728" width="9.140625" style="9"/>
    <col min="9729" max="9729" width="15.140625" style="9" customWidth="1"/>
    <col min="9730" max="9771" width="19" style="9" customWidth="1"/>
    <col min="9772" max="9984" width="9.140625" style="9"/>
    <col min="9985" max="9985" width="15.140625" style="9" customWidth="1"/>
    <col min="9986" max="10027" width="19" style="9" customWidth="1"/>
    <col min="10028" max="10240" width="9.140625" style="9"/>
    <col min="10241" max="10241" width="15.140625" style="9" customWidth="1"/>
    <col min="10242" max="10283" width="19" style="9" customWidth="1"/>
    <col min="10284" max="10496" width="9.140625" style="9"/>
    <col min="10497" max="10497" width="15.140625" style="9" customWidth="1"/>
    <col min="10498" max="10539" width="19" style="9" customWidth="1"/>
    <col min="10540" max="10752" width="9.140625" style="9"/>
    <col min="10753" max="10753" width="15.140625" style="9" customWidth="1"/>
    <col min="10754" max="10795" width="19" style="9" customWidth="1"/>
    <col min="10796" max="11008" width="9.140625" style="9"/>
    <col min="11009" max="11009" width="15.140625" style="9" customWidth="1"/>
    <col min="11010" max="11051" width="19" style="9" customWidth="1"/>
    <col min="11052" max="11264" width="9.140625" style="9"/>
    <col min="11265" max="11265" width="15.140625" style="9" customWidth="1"/>
    <col min="11266" max="11307" width="19" style="9" customWidth="1"/>
    <col min="11308" max="11520" width="9.140625" style="9"/>
    <col min="11521" max="11521" width="15.140625" style="9" customWidth="1"/>
    <col min="11522" max="11563" width="19" style="9" customWidth="1"/>
    <col min="11564" max="11776" width="9.140625" style="9"/>
    <col min="11777" max="11777" width="15.140625" style="9" customWidth="1"/>
    <col min="11778" max="11819" width="19" style="9" customWidth="1"/>
    <col min="11820" max="12032" width="9.140625" style="9"/>
    <col min="12033" max="12033" width="15.140625" style="9" customWidth="1"/>
    <col min="12034" max="12075" width="19" style="9" customWidth="1"/>
    <col min="12076" max="12288" width="9.140625" style="9"/>
    <col min="12289" max="12289" width="15.140625" style="9" customWidth="1"/>
    <col min="12290" max="12331" width="19" style="9" customWidth="1"/>
    <col min="12332" max="12544" width="9.140625" style="9"/>
    <col min="12545" max="12545" width="15.140625" style="9" customWidth="1"/>
    <col min="12546" max="12587" width="19" style="9" customWidth="1"/>
    <col min="12588" max="12800" width="9.140625" style="9"/>
    <col min="12801" max="12801" width="15.140625" style="9" customWidth="1"/>
    <col min="12802" max="12843" width="19" style="9" customWidth="1"/>
    <col min="12844" max="13056" width="9.140625" style="9"/>
    <col min="13057" max="13057" width="15.140625" style="9" customWidth="1"/>
    <col min="13058" max="13099" width="19" style="9" customWidth="1"/>
    <col min="13100" max="13312" width="9.140625" style="9"/>
    <col min="13313" max="13313" width="15.140625" style="9" customWidth="1"/>
    <col min="13314" max="13355" width="19" style="9" customWidth="1"/>
    <col min="13356" max="13568" width="9.140625" style="9"/>
    <col min="13569" max="13569" width="15.140625" style="9" customWidth="1"/>
    <col min="13570" max="13611" width="19" style="9" customWidth="1"/>
    <col min="13612" max="13824" width="9.140625" style="9"/>
    <col min="13825" max="13825" width="15.140625" style="9" customWidth="1"/>
    <col min="13826" max="13867" width="19" style="9" customWidth="1"/>
    <col min="13868" max="14080" width="9.140625" style="9"/>
    <col min="14081" max="14081" width="15.140625" style="9" customWidth="1"/>
    <col min="14082" max="14123" width="19" style="9" customWidth="1"/>
    <col min="14124" max="14336" width="9.140625" style="9"/>
    <col min="14337" max="14337" width="15.140625" style="9" customWidth="1"/>
    <col min="14338" max="14379" width="19" style="9" customWidth="1"/>
    <col min="14380" max="14592" width="9.140625" style="9"/>
    <col min="14593" max="14593" width="15.140625" style="9" customWidth="1"/>
    <col min="14594" max="14635" width="19" style="9" customWidth="1"/>
    <col min="14636" max="14848" width="9.140625" style="9"/>
    <col min="14849" max="14849" width="15.140625" style="9" customWidth="1"/>
    <col min="14850" max="14891" width="19" style="9" customWidth="1"/>
    <col min="14892" max="15104" width="9.140625" style="9"/>
    <col min="15105" max="15105" width="15.140625" style="9" customWidth="1"/>
    <col min="15106" max="15147" width="19" style="9" customWidth="1"/>
    <col min="15148" max="15360" width="9.140625" style="9"/>
    <col min="15361" max="15361" width="15.140625" style="9" customWidth="1"/>
    <col min="15362" max="15403" width="19" style="9" customWidth="1"/>
    <col min="15404" max="15616" width="9.140625" style="9"/>
    <col min="15617" max="15617" width="15.140625" style="9" customWidth="1"/>
    <col min="15618" max="15659" width="19" style="9" customWidth="1"/>
    <col min="15660" max="15872" width="9.140625" style="9"/>
    <col min="15873" max="15873" width="15.140625" style="9" customWidth="1"/>
    <col min="15874" max="15915" width="19" style="9" customWidth="1"/>
    <col min="15916" max="16128" width="9.140625" style="9"/>
    <col min="16129" max="16129" width="15.140625" style="9" customWidth="1"/>
    <col min="16130" max="16171" width="19" style="9" customWidth="1"/>
    <col min="16172" max="16384" width="9.140625" style="9"/>
  </cols>
  <sheetData>
    <row r="1" spans="1:43">
      <c r="A1" s="52" t="s">
        <v>583</v>
      </c>
      <c r="B1" s="53" t="s">
        <v>584</v>
      </c>
    </row>
    <row r="2" spans="1:43">
      <c r="A2" s="48" t="s">
        <v>585</v>
      </c>
      <c r="B2" s="38" t="s">
        <v>586</v>
      </c>
      <c r="C2" s="38" t="s">
        <v>587</v>
      </c>
      <c r="D2" s="38" t="s">
        <v>588</v>
      </c>
      <c r="E2" s="38" t="s">
        <v>589</v>
      </c>
      <c r="F2" s="38" t="s">
        <v>590</v>
      </c>
      <c r="G2" s="38" t="s">
        <v>591</v>
      </c>
      <c r="H2" s="38" t="s">
        <v>592</v>
      </c>
      <c r="I2" s="38" t="s">
        <v>593</v>
      </c>
      <c r="J2" s="38" t="s">
        <v>594</v>
      </c>
      <c r="K2" s="38" t="s">
        <v>595</v>
      </c>
      <c r="L2" s="38" t="s">
        <v>596</v>
      </c>
      <c r="M2" s="38" t="s">
        <v>597</v>
      </c>
      <c r="N2" s="38" t="s">
        <v>598</v>
      </c>
      <c r="O2" s="38" t="s">
        <v>599</v>
      </c>
      <c r="P2" s="38" t="s">
        <v>600</v>
      </c>
      <c r="Q2" s="38" t="s">
        <v>601</v>
      </c>
      <c r="R2" s="38" t="s">
        <v>602</v>
      </c>
      <c r="S2" s="38" t="s">
        <v>603</v>
      </c>
      <c r="T2" s="38" t="s">
        <v>604</v>
      </c>
      <c r="U2" s="38" t="s">
        <v>605</v>
      </c>
      <c r="V2" s="38" t="s">
        <v>606</v>
      </c>
      <c r="W2" s="38" t="s">
        <v>607</v>
      </c>
      <c r="X2" s="38" t="s">
        <v>608</v>
      </c>
      <c r="Y2" s="38" t="s">
        <v>609</v>
      </c>
      <c r="Z2" s="38" t="s">
        <v>610</v>
      </c>
      <c r="AA2" s="38" t="s">
        <v>611</v>
      </c>
      <c r="AB2" s="38" t="s">
        <v>612</v>
      </c>
      <c r="AC2" s="38" t="s">
        <v>613</v>
      </c>
      <c r="AD2" s="38" t="s">
        <v>614</v>
      </c>
      <c r="AE2" s="38" t="s">
        <v>615</v>
      </c>
      <c r="AF2" s="38" t="s">
        <v>616</v>
      </c>
      <c r="AG2" s="38" t="s">
        <v>617</v>
      </c>
      <c r="AH2" s="38" t="s">
        <v>618</v>
      </c>
      <c r="AI2" s="38" t="s">
        <v>619</v>
      </c>
      <c r="AJ2" s="38" t="s">
        <v>620</v>
      </c>
      <c r="AK2" s="38" t="s">
        <v>621</v>
      </c>
      <c r="AL2" s="38" t="s">
        <v>622</v>
      </c>
      <c r="AM2" s="38" t="s">
        <v>623</v>
      </c>
      <c r="AN2" s="38" t="s">
        <v>624</v>
      </c>
      <c r="AO2" s="38" t="s">
        <v>625</v>
      </c>
      <c r="AP2" s="38" t="s">
        <v>626</v>
      </c>
      <c r="AQ2" s="38"/>
    </row>
    <row r="3" spans="1:43" ht="63.75">
      <c r="A3" s="48" t="s">
        <v>627</v>
      </c>
      <c r="B3" s="49" t="s">
        <v>628</v>
      </c>
      <c r="C3" s="49" t="s">
        <v>629</v>
      </c>
      <c r="D3" s="49" t="s">
        <v>630</v>
      </c>
      <c r="E3" s="49" t="s">
        <v>631</v>
      </c>
      <c r="F3" s="49" t="s">
        <v>632</v>
      </c>
      <c r="G3" s="49" t="s">
        <v>633</v>
      </c>
      <c r="H3" s="49" t="s">
        <v>634</v>
      </c>
      <c r="I3" s="49" t="s">
        <v>635</v>
      </c>
      <c r="J3" s="49" t="s">
        <v>636</v>
      </c>
      <c r="K3" s="49" t="s">
        <v>637</v>
      </c>
      <c r="L3" s="49" t="s">
        <v>638</v>
      </c>
      <c r="M3" s="49" t="s">
        <v>639</v>
      </c>
      <c r="N3" s="49" t="s">
        <v>640</v>
      </c>
      <c r="O3" s="49" t="s">
        <v>641</v>
      </c>
      <c r="P3" s="49" t="s">
        <v>642</v>
      </c>
      <c r="Q3" s="49" t="s">
        <v>643</v>
      </c>
      <c r="R3" s="49" t="s">
        <v>644</v>
      </c>
      <c r="S3" s="49" t="s">
        <v>645</v>
      </c>
      <c r="T3" s="49" t="s">
        <v>646</v>
      </c>
      <c r="U3" s="49" t="s">
        <v>647</v>
      </c>
      <c r="V3" s="49" t="s">
        <v>648</v>
      </c>
      <c r="W3" s="49" t="s">
        <v>649</v>
      </c>
      <c r="X3" s="49" t="s">
        <v>650</v>
      </c>
      <c r="Y3" s="49" t="s">
        <v>651</v>
      </c>
      <c r="Z3" s="49" t="s">
        <v>652</v>
      </c>
      <c r="AA3" s="49" t="s">
        <v>653</v>
      </c>
      <c r="AB3" s="49" t="s">
        <v>654</v>
      </c>
      <c r="AC3" s="49" t="s">
        <v>655</v>
      </c>
      <c r="AD3" s="49" t="s">
        <v>656</v>
      </c>
      <c r="AE3" s="49" t="s">
        <v>657</v>
      </c>
      <c r="AF3" s="49" t="s">
        <v>658</v>
      </c>
      <c r="AG3" s="49" t="s">
        <v>659</v>
      </c>
      <c r="AH3" s="49" t="s">
        <v>660</v>
      </c>
      <c r="AI3" s="49" t="s">
        <v>661</v>
      </c>
      <c r="AJ3" s="49" t="s">
        <v>662</v>
      </c>
      <c r="AK3" s="49" t="s">
        <v>663</v>
      </c>
      <c r="AL3" s="49" t="s">
        <v>664</v>
      </c>
      <c r="AM3" s="49" t="s">
        <v>665</v>
      </c>
      <c r="AN3" s="49" t="s">
        <v>666</v>
      </c>
      <c r="AO3" s="49" t="s">
        <v>667</v>
      </c>
      <c r="AP3" s="49" t="s">
        <v>668</v>
      </c>
      <c r="AQ3" s="49"/>
    </row>
    <row r="4" spans="1:43">
      <c r="A4" s="48"/>
      <c r="B4" s="49"/>
      <c r="C4" s="49"/>
      <c r="D4" s="49">
        <v>5</v>
      </c>
      <c r="E4" s="49">
        <v>2</v>
      </c>
      <c r="F4" s="49">
        <v>2</v>
      </c>
      <c r="G4" s="49">
        <v>5</v>
      </c>
      <c r="H4" s="49">
        <v>5</v>
      </c>
      <c r="I4" s="49"/>
      <c r="J4" s="49">
        <v>3</v>
      </c>
      <c r="K4" s="49">
        <v>3</v>
      </c>
      <c r="L4" s="49">
        <v>4</v>
      </c>
      <c r="M4" s="49">
        <v>6</v>
      </c>
      <c r="N4" s="49">
        <v>3</v>
      </c>
      <c r="O4" s="49">
        <v>4</v>
      </c>
      <c r="P4" s="49">
        <v>4</v>
      </c>
      <c r="Q4" s="49">
        <v>4</v>
      </c>
      <c r="R4" s="49">
        <v>3</v>
      </c>
      <c r="S4" s="49">
        <v>7</v>
      </c>
      <c r="T4" s="49">
        <v>4</v>
      </c>
      <c r="U4" s="49">
        <v>6</v>
      </c>
      <c r="V4" s="49"/>
      <c r="W4" s="49">
        <v>6</v>
      </c>
      <c r="X4" s="49">
        <v>7</v>
      </c>
      <c r="Y4" s="49">
        <v>7</v>
      </c>
      <c r="Z4" s="49">
        <v>6</v>
      </c>
      <c r="AA4" s="49">
        <v>8</v>
      </c>
      <c r="AB4" s="49">
        <v>7</v>
      </c>
      <c r="AC4" s="49">
        <v>7</v>
      </c>
      <c r="AD4" s="49"/>
      <c r="AE4" s="49">
        <v>8</v>
      </c>
      <c r="AF4" s="49">
        <v>8</v>
      </c>
      <c r="AG4" s="49">
        <v>8</v>
      </c>
      <c r="AH4" s="49">
        <v>8</v>
      </c>
      <c r="AI4" s="49"/>
      <c r="AJ4" s="49">
        <v>9</v>
      </c>
      <c r="AK4" s="49"/>
      <c r="AL4" s="49"/>
      <c r="AM4" s="49">
        <v>8</v>
      </c>
      <c r="AN4" s="49">
        <v>9</v>
      </c>
      <c r="AO4" s="49">
        <v>8</v>
      </c>
      <c r="AP4" s="49">
        <v>9</v>
      </c>
      <c r="AQ4" s="49"/>
    </row>
    <row r="5" spans="1:43">
      <c r="A5" s="54">
        <v>37437</v>
      </c>
      <c r="B5" s="9">
        <v>2097124</v>
      </c>
      <c r="C5" s="9">
        <v>7458</v>
      </c>
      <c r="D5" s="9">
        <v>3656</v>
      </c>
      <c r="E5" s="9">
        <v>165</v>
      </c>
      <c r="F5" s="9">
        <v>2233</v>
      </c>
      <c r="G5" s="9">
        <v>22</v>
      </c>
      <c r="H5" s="9">
        <v>1382</v>
      </c>
      <c r="I5" s="9">
        <v>164635</v>
      </c>
      <c r="J5" s="9">
        <v>12051</v>
      </c>
      <c r="K5" s="9">
        <v>1962</v>
      </c>
      <c r="L5" s="9">
        <v>32721</v>
      </c>
      <c r="M5" s="9">
        <v>2679</v>
      </c>
      <c r="N5" s="9">
        <v>7219</v>
      </c>
      <c r="O5" s="9">
        <v>95</v>
      </c>
      <c r="P5" s="9">
        <v>2779</v>
      </c>
      <c r="Q5" s="9">
        <v>30993</v>
      </c>
      <c r="R5" s="9">
        <v>6004</v>
      </c>
      <c r="S5" s="9">
        <v>66642</v>
      </c>
      <c r="T5" s="9">
        <v>1214</v>
      </c>
      <c r="U5" s="9">
        <v>275</v>
      </c>
      <c r="V5" s="9">
        <v>1174305</v>
      </c>
      <c r="W5" s="9">
        <v>8631</v>
      </c>
      <c r="X5" s="9">
        <v>7344</v>
      </c>
      <c r="Y5" s="9">
        <v>93477</v>
      </c>
      <c r="Z5" s="9">
        <v>18015</v>
      </c>
      <c r="AA5" s="9">
        <v>67041</v>
      </c>
      <c r="AB5" s="9">
        <v>411985</v>
      </c>
      <c r="AC5" s="9">
        <v>567810</v>
      </c>
      <c r="AD5" s="9">
        <v>102982</v>
      </c>
      <c r="AE5" s="9">
        <v>17734</v>
      </c>
      <c r="AF5" s="9">
        <v>16855</v>
      </c>
      <c r="AG5" s="9">
        <v>13676</v>
      </c>
      <c r="AH5" s="9">
        <v>54717</v>
      </c>
      <c r="AI5" s="9">
        <v>647745</v>
      </c>
      <c r="AJ5" s="9">
        <v>359335</v>
      </c>
      <c r="AK5" s="9">
        <v>11302</v>
      </c>
      <c r="AL5" s="9">
        <v>348034</v>
      </c>
      <c r="AM5" s="9">
        <v>63</v>
      </c>
      <c r="AN5" s="9">
        <v>258010</v>
      </c>
      <c r="AO5" s="9">
        <v>553</v>
      </c>
      <c r="AP5" s="9">
        <v>29783</v>
      </c>
    </row>
    <row r="6" spans="1:43">
      <c r="A6" s="54">
        <v>37802</v>
      </c>
      <c r="B6" s="9">
        <v>2073453</v>
      </c>
      <c r="C6" s="9">
        <v>7170</v>
      </c>
      <c r="D6" s="9">
        <v>3262</v>
      </c>
      <c r="E6" s="9">
        <v>144</v>
      </c>
      <c r="F6" s="9">
        <v>2425</v>
      </c>
      <c r="G6" s="9">
        <v>5</v>
      </c>
      <c r="H6" s="9">
        <v>1334</v>
      </c>
      <c r="I6" s="9">
        <v>161360</v>
      </c>
      <c r="J6" s="9">
        <v>11696</v>
      </c>
      <c r="K6" s="9">
        <v>1865</v>
      </c>
      <c r="L6" s="9">
        <v>33944</v>
      </c>
      <c r="M6" s="9">
        <v>2538</v>
      </c>
      <c r="N6" s="9">
        <v>6524</v>
      </c>
      <c r="O6" s="9">
        <v>82</v>
      </c>
      <c r="P6" s="9">
        <v>2755</v>
      </c>
      <c r="Q6" s="9">
        <v>29406</v>
      </c>
      <c r="R6" s="9">
        <v>5647</v>
      </c>
      <c r="S6" s="9">
        <v>65356</v>
      </c>
      <c r="T6" s="9">
        <v>1237</v>
      </c>
      <c r="U6" s="9">
        <v>311</v>
      </c>
      <c r="V6" s="9">
        <v>1162869</v>
      </c>
      <c r="W6" s="9">
        <v>7877</v>
      </c>
      <c r="X6" s="9">
        <v>7226</v>
      </c>
      <c r="Y6" s="9">
        <v>90111</v>
      </c>
      <c r="Z6" s="9">
        <v>16593</v>
      </c>
      <c r="AA6" s="9">
        <v>66130</v>
      </c>
      <c r="AB6" s="9">
        <v>405801</v>
      </c>
      <c r="AC6" s="9">
        <v>569131</v>
      </c>
      <c r="AD6" s="9">
        <v>105931</v>
      </c>
      <c r="AE6" s="9">
        <v>21109</v>
      </c>
      <c r="AF6" s="9">
        <v>19320</v>
      </c>
      <c r="AG6" s="9">
        <v>13096</v>
      </c>
      <c r="AH6" s="9">
        <v>52407</v>
      </c>
      <c r="AI6" s="9">
        <v>636123</v>
      </c>
      <c r="AJ6" s="9">
        <v>355582</v>
      </c>
      <c r="AK6" s="9">
        <v>10056</v>
      </c>
      <c r="AL6" s="9">
        <v>345526</v>
      </c>
      <c r="AM6" s="9">
        <v>47</v>
      </c>
      <c r="AN6" s="9">
        <v>250000</v>
      </c>
      <c r="AO6" s="9">
        <v>493</v>
      </c>
      <c r="AP6" s="9">
        <v>30000</v>
      </c>
    </row>
    <row r="7" spans="1:43">
      <c r="A7" s="54">
        <v>38168</v>
      </c>
      <c r="B7" s="9">
        <v>1983302</v>
      </c>
      <c r="C7" s="9">
        <v>6941</v>
      </c>
      <c r="D7" s="9">
        <v>2875</v>
      </c>
      <c r="E7" s="9">
        <v>170</v>
      </c>
      <c r="F7" s="9">
        <v>2538</v>
      </c>
      <c r="G7" s="9">
        <v>19</v>
      </c>
      <c r="H7" s="9">
        <v>1339</v>
      </c>
      <c r="I7" s="9">
        <v>159309</v>
      </c>
      <c r="J7" s="9">
        <v>10984</v>
      </c>
      <c r="K7" s="9">
        <v>1755</v>
      </c>
      <c r="L7" s="9">
        <v>33858</v>
      </c>
      <c r="M7" s="9">
        <v>2548</v>
      </c>
      <c r="N7" s="9">
        <v>6409</v>
      </c>
      <c r="O7" s="9">
        <v>88</v>
      </c>
      <c r="P7" s="9">
        <v>2507</v>
      </c>
      <c r="Q7" s="9">
        <v>31154</v>
      </c>
      <c r="R7" s="9">
        <v>5785</v>
      </c>
      <c r="S7" s="9">
        <v>62502</v>
      </c>
      <c r="T7" s="9">
        <v>1357</v>
      </c>
      <c r="U7" s="9">
        <v>361</v>
      </c>
      <c r="V7" s="9">
        <v>1103743</v>
      </c>
      <c r="W7" s="9">
        <v>7443</v>
      </c>
      <c r="X7" s="9">
        <v>6732</v>
      </c>
      <c r="Y7" s="9">
        <v>83411</v>
      </c>
      <c r="Z7" s="9">
        <v>17153</v>
      </c>
      <c r="AA7" s="9">
        <v>64236</v>
      </c>
      <c r="AB7" s="9">
        <v>392867</v>
      </c>
      <c r="AC7" s="9">
        <v>531900</v>
      </c>
      <c r="AD7" s="9">
        <v>113069</v>
      </c>
      <c r="AE7" s="9">
        <v>22097</v>
      </c>
      <c r="AF7" s="9">
        <v>24724</v>
      </c>
      <c r="AG7" s="9">
        <v>14629</v>
      </c>
      <c r="AH7" s="9">
        <v>51619</v>
      </c>
      <c r="AI7" s="9">
        <v>600239</v>
      </c>
      <c r="AJ7" s="9">
        <v>332465</v>
      </c>
      <c r="AK7" s="9">
        <v>8225</v>
      </c>
      <c r="AL7" s="9">
        <v>324241</v>
      </c>
      <c r="AM7" s="9">
        <v>52</v>
      </c>
      <c r="AN7" s="9">
        <v>240206</v>
      </c>
      <c r="AO7" s="9">
        <v>463</v>
      </c>
      <c r="AP7" s="9">
        <v>27054</v>
      </c>
    </row>
    <row r="8" spans="1:43">
      <c r="A8" s="54">
        <v>38533</v>
      </c>
      <c r="B8" s="9">
        <v>1890106</v>
      </c>
      <c r="C8" s="9">
        <v>8299</v>
      </c>
      <c r="D8" s="9">
        <v>2585</v>
      </c>
      <c r="E8" s="9">
        <v>197</v>
      </c>
      <c r="F8" s="9">
        <v>3947</v>
      </c>
      <c r="G8" s="9">
        <v>8</v>
      </c>
      <c r="H8" s="9">
        <v>1563</v>
      </c>
      <c r="I8" s="9">
        <v>161587</v>
      </c>
      <c r="J8" s="9">
        <v>10207</v>
      </c>
      <c r="K8" s="9">
        <v>1727</v>
      </c>
      <c r="L8" s="9">
        <v>33823</v>
      </c>
      <c r="M8" s="9">
        <v>2535</v>
      </c>
      <c r="N8" s="9">
        <v>5549</v>
      </c>
      <c r="O8" s="9">
        <v>85</v>
      </c>
      <c r="P8" s="9">
        <v>2413</v>
      </c>
      <c r="Q8" s="9">
        <v>35660</v>
      </c>
      <c r="R8" s="9">
        <v>5652</v>
      </c>
      <c r="S8" s="9">
        <v>62142</v>
      </c>
      <c r="T8" s="9">
        <v>1469</v>
      </c>
      <c r="U8" s="9">
        <v>324</v>
      </c>
      <c r="V8" s="9">
        <v>1023499</v>
      </c>
      <c r="W8" s="9">
        <v>7861</v>
      </c>
      <c r="X8" s="9">
        <v>6344</v>
      </c>
      <c r="Y8" s="9">
        <v>75483</v>
      </c>
      <c r="Z8" s="9">
        <v>17695</v>
      </c>
      <c r="AA8" s="9">
        <v>60660</v>
      </c>
      <c r="AB8" s="9">
        <v>387680</v>
      </c>
      <c r="AC8" s="9">
        <v>467776</v>
      </c>
      <c r="AD8" s="9">
        <v>123956</v>
      </c>
      <c r="AE8" s="9">
        <v>22823</v>
      </c>
      <c r="AF8" s="9">
        <v>32855</v>
      </c>
      <c r="AG8" s="9">
        <v>16651</v>
      </c>
      <c r="AH8" s="9">
        <v>51626</v>
      </c>
      <c r="AI8" s="9">
        <v>572765</v>
      </c>
      <c r="AJ8" s="9">
        <v>315420</v>
      </c>
      <c r="AK8" s="9">
        <v>7110</v>
      </c>
      <c r="AL8" s="9">
        <v>308311</v>
      </c>
      <c r="AM8" s="9">
        <v>50</v>
      </c>
      <c r="AN8" s="9">
        <v>230294</v>
      </c>
      <c r="AO8" s="9">
        <v>447</v>
      </c>
      <c r="AP8" s="9">
        <v>26554</v>
      </c>
    </row>
    <row r="9" spans="1:43">
      <c r="A9" s="54">
        <v>38898</v>
      </c>
      <c r="B9" s="9">
        <v>1862259</v>
      </c>
      <c r="C9" s="9">
        <v>8062</v>
      </c>
      <c r="D9" s="9">
        <v>2360</v>
      </c>
      <c r="E9" s="9">
        <v>319</v>
      </c>
      <c r="F9" s="9">
        <v>3626</v>
      </c>
      <c r="G9" s="9">
        <v>7</v>
      </c>
      <c r="H9" s="9">
        <v>1749</v>
      </c>
      <c r="I9" s="9">
        <v>167298</v>
      </c>
      <c r="J9" s="9">
        <v>10323</v>
      </c>
      <c r="K9" s="9">
        <v>1731</v>
      </c>
      <c r="L9" s="9">
        <v>35651</v>
      </c>
      <c r="M9" s="9">
        <v>2340</v>
      </c>
      <c r="N9" s="9">
        <v>5093</v>
      </c>
      <c r="O9" s="9">
        <v>87</v>
      </c>
      <c r="P9" s="9">
        <v>2313</v>
      </c>
      <c r="Q9" s="9">
        <v>39911</v>
      </c>
      <c r="R9" s="9">
        <v>5422</v>
      </c>
      <c r="S9" s="9">
        <v>62841</v>
      </c>
      <c r="T9" s="9">
        <v>1394</v>
      </c>
      <c r="U9" s="9">
        <v>192</v>
      </c>
      <c r="V9" s="9">
        <v>1035904</v>
      </c>
      <c r="W9" s="9">
        <v>7531</v>
      </c>
      <c r="X9" s="9">
        <v>6104</v>
      </c>
      <c r="Y9" s="9">
        <v>73876</v>
      </c>
      <c r="Z9" s="9">
        <v>17356</v>
      </c>
      <c r="AA9" s="9">
        <v>59818</v>
      </c>
      <c r="AB9" s="9">
        <v>397220</v>
      </c>
      <c r="AC9" s="9">
        <v>474000</v>
      </c>
      <c r="AD9" s="9">
        <v>130466</v>
      </c>
      <c r="AE9" s="9">
        <v>23390</v>
      </c>
      <c r="AF9" s="9">
        <v>36262</v>
      </c>
      <c r="AG9" s="9">
        <v>17910</v>
      </c>
      <c r="AH9" s="9">
        <v>52904</v>
      </c>
      <c r="AI9" s="9">
        <v>520529</v>
      </c>
      <c r="AJ9" s="9">
        <v>270486</v>
      </c>
      <c r="AK9" s="9">
        <v>6231</v>
      </c>
      <c r="AL9" s="9">
        <v>264255</v>
      </c>
      <c r="AM9" s="9">
        <v>55</v>
      </c>
      <c r="AN9" s="9">
        <v>223449</v>
      </c>
      <c r="AO9" s="9">
        <v>426</v>
      </c>
      <c r="AP9" s="9">
        <v>26113</v>
      </c>
    </row>
    <row r="10" spans="1:43">
      <c r="A10" s="54">
        <v>39263</v>
      </c>
      <c r="B10" s="9">
        <v>1848450</v>
      </c>
      <c r="C10" s="9">
        <v>7703</v>
      </c>
      <c r="D10" s="9">
        <v>2078</v>
      </c>
      <c r="E10" s="9">
        <v>380</v>
      </c>
      <c r="F10" s="9">
        <v>3653</v>
      </c>
      <c r="G10" s="9">
        <v>18</v>
      </c>
      <c r="H10" s="9">
        <v>1574</v>
      </c>
      <c r="I10" s="9">
        <v>171521</v>
      </c>
      <c r="J10" s="9">
        <v>9609</v>
      </c>
      <c r="K10" s="9">
        <v>1727</v>
      </c>
      <c r="L10" s="9">
        <v>36490</v>
      </c>
      <c r="M10" s="9">
        <v>2666</v>
      </c>
      <c r="N10" s="9">
        <v>5201</v>
      </c>
      <c r="O10" s="9">
        <v>80</v>
      </c>
      <c r="P10" s="9">
        <v>2334</v>
      </c>
      <c r="Q10" s="9">
        <v>45058</v>
      </c>
      <c r="R10" s="9">
        <v>5455</v>
      </c>
      <c r="S10" s="9">
        <v>60952</v>
      </c>
      <c r="T10" s="9">
        <v>1665</v>
      </c>
      <c r="U10" s="9">
        <v>284</v>
      </c>
      <c r="V10" s="9">
        <v>1032088</v>
      </c>
      <c r="W10" s="9">
        <v>7173</v>
      </c>
      <c r="X10" s="9">
        <v>6031</v>
      </c>
      <c r="Y10" s="9">
        <v>76651</v>
      </c>
      <c r="Z10" s="9">
        <v>20396</v>
      </c>
      <c r="AA10" s="9">
        <v>58831</v>
      </c>
      <c r="AB10" s="9">
        <v>396894</v>
      </c>
      <c r="AC10" s="9">
        <v>466112</v>
      </c>
      <c r="AD10" s="9">
        <v>131716</v>
      </c>
      <c r="AE10" s="9">
        <v>23237</v>
      </c>
      <c r="AF10" s="9">
        <v>34829</v>
      </c>
      <c r="AG10" s="9">
        <v>19520</v>
      </c>
      <c r="AH10" s="9">
        <v>54130</v>
      </c>
      <c r="AI10" s="9">
        <v>505423</v>
      </c>
      <c r="AJ10" s="9">
        <v>263595</v>
      </c>
      <c r="AK10" s="9">
        <v>5488</v>
      </c>
      <c r="AL10" s="9">
        <v>258107</v>
      </c>
      <c r="AM10" s="9">
        <v>43</v>
      </c>
      <c r="AN10" s="9">
        <v>216778</v>
      </c>
      <c r="AO10" s="9">
        <v>408</v>
      </c>
      <c r="AP10" s="9">
        <v>24600</v>
      </c>
    </row>
    <row r="11" spans="1:43">
      <c r="A11" s="54">
        <v>39629</v>
      </c>
      <c r="B11" s="9">
        <v>1811817</v>
      </c>
      <c r="C11" s="9">
        <v>7553</v>
      </c>
      <c r="D11" s="9">
        <v>1956</v>
      </c>
      <c r="E11" s="9">
        <v>386</v>
      </c>
      <c r="F11" s="9">
        <v>3611</v>
      </c>
      <c r="G11" s="9">
        <v>7</v>
      </c>
      <c r="H11" s="9">
        <v>1593</v>
      </c>
      <c r="I11" s="9">
        <v>196819</v>
      </c>
      <c r="J11" s="9">
        <v>9423</v>
      </c>
      <c r="K11" s="9">
        <v>1858</v>
      </c>
      <c r="L11" s="9">
        <v>39582</v>
      </c>
      <c r="M11" s="9">
        <v>2645</v>
      </c>
      <c r="N11" s="9">
        <v>6223</v>
      </c>
      <c r="O11" s="9">
        <v>99</v>
      </c>
      <c r="P11" s="9">
        <v>2394</v>
      </c>
      <c r="Q11" s="9">
        <v>62776</v>
      </c>
      <c r="R11" s="9">
        <v>5715</v>
      </c>
      <c r="S11" s="9">
        <v>64065</v>
      </c>
      <c r="T11" s="9">
        <v>1697</v>
      </c>
      <c r="U11" s="9">
        <v>344</v>
      </c>
      <c r="V11" s="9">
        <v>987852</v>
      </c>
      <c r="W11" s="9">
        <v>7546</v>
      </c>
      <c r="X11" s="9">
        <v>6079</v>
      </c>
      <c r="Y11" s="9">
        <v>73011</v>
      </c>
      <c r="Z11" s="9">
        <v>22102</v>
      </c>
      <c r="AA11" s="9">
        <v>59403</v>
      </c>
      <c r="AB11" s="9">
        <v>398014</v>
      </c>
      <c r="AC11" s="9">
        <v>421697</v>
      </c>
      <c r="AD11" s="9">
        <v>130540</v>
      </c>
      <c r="AE11" s="9">
        <v>24054</v>
      </c>
      <c r="AF11" s="9">
        <v>31545</v>
      </c>
      <c r="AG11" s="9">
        <v>21998</v>
      </c>
      <c r="AH11" s="9">
        <v>52943</v>
      </c>
      <c r="AI11" s="9">
        <v>489053</v>
      </c>
      <c r="AJ11" s="9">
        <v>249874</v>
      </c>
      <c r="AK11" s="9">
        <v>4770</v>
      </c>
      <c r="AL11" s="9">
        <v>245104</v>
      </c>
      <c r="AM11" s="9">
        <v>52</v>
      </c>
      <c r="AN11" s="9">
        <v>214544</v>
      </c>
      <c r="AO11" s="9">
        <v>436</v>
      </c>
      <c r="AP11" s="9">
        <v>24147</v>
      </c>
    </row>
    <row r="12" spans="1:43">
      <c r="A12" s="54">
        <v>39994</v>
      </c>
      <c r="B12" s="9">
        <v>1956596</v>
      </c>
      <c r="C12" s="9">
        <v>6454</v>
      </c>
      <c r="D12" s="9">
        <v>696</v>
      </c>
      <c r="E12" s="9">
        <v>339</v>
      </c>
      <c r="F12" s="9">
        <v>3541</v>
      </c>
      <c r="G12" s="9">
        <v>14</v>
      </c>
      <c r="H12" s="9">
        <v>1864</v>
      </c>
      <c r="I12" s="9">
        <v>215723</v>
      </c>
      <c r="J12" s="9">
        <v>9099</v>
      </c>
      <c r="K12" s="9">
        <v>1804</v>
      </c>
      <c r="L12" s="9">
        <v>39464</v>
      </c>
      <c r="M12" s="9">
        <v>2609</v>
      </c>
      <c r="N12" s="9">
        <v>5900</v>
      </c>
      <c r="O12" s="9">
        <v>94</v>
      </c>
      <c r="P12" s="9">
        <v>2239</v>
      </c>
      <c r="Q12" s="9">
        <v>79736</v>
      </c>
      <c r="R12" s="9">
        <v>5834</v>
      </c>
      <c r="S12" s="9">
        <v>67018</v>
      </c>
      <c r="T12" s="9">
        <v>1658</v>
      </c>
      <c r="U12" s="9">
        <v>268</v>
      </c>
      <c r="V12" s="9">
        <v>1139148</v>
      </c>
      <c r="W12" s="9">
        <v>7189</v>
      </c>
      <c r="X12" s="9">
        <v>5781</v>
      </c>
      <c r="Y12" s="9">
        <v>69002</v>
      </c>
      <c r="Z12" s="9">
        <v>23232</v>
      </c>
      <c r="AA12" s="9">
        <v>61146</v>
      </c>
      <c r="AB12" s="9">
        <v>403797</v>
      </c>
      <c r="AC12" s="9">
        <v>569002</v>
      </c>
      <c r="AD12" s="9">
        <v>130276</v>
      </c>
      <c r="AE12" s="9">
        <v>28324</v>
      </c>
      <c r="AF12" s="9">
        <v>27692</v>
      </c>
      <c r="AG12" s="9">
        <v>22927</v>
      </c>
      <c r="AH12" s="9">
        <v>51333</v>
      </c>
      <c r="AI12" s="9">
        <v>464995</v>
      </c>
      <c r="AJ12" s="9">
        <v>235500</v>
      </c>
      <c r="AK12" s="9">
        <v>2751</v>
      </c>
      <c r="AL12" s="9">
        <v>232749</v>
      </c>
      <c r="AM12" s="9">
        <v>46</v>
      </c>
      <c r="AN12" s="9">
        <v>207094</v>
      </c>
      <c r="AO12" s="9">
        <v>455</v>
      </c>
      <c r="AP12" s="9">
        <v>21900</v>
      </c>
    </row>
    <row r="13" spans="1:43">
      <c r="A13" s="54">
        <v>40359</v>
      </c>
      <c r="B13" s="9">
        <v>2001082</v>
      </c>
      <c r="C13" s="9">
        <v>7115</v>
      </c>
      <c r="D13" s="9">
        <v>1664</v>
      </c>
      <c r="E13" s="9">
        <v>378</v>
      </c>
      <c r="F13" s="9">
        <v>3220</v>
      </c>
      <c r="G13" s="9">
        <v>12</v>
      </c>
      <c r="H13" s="9">
        <v>1842</v>
      </c>
      <c r="I13" s="9">
        <v>250557</v>
      </c>
      <c r="J13" s="9">
        <v>9067</v>
      </c>
      <c r="K13" s="9">
        <v>1835</v>
      </c>
      <c r="L13" s="9">
        <v>40467</v>
      </c>
      <c r="M13" s="9">
        <v>2519</v>
      </c>
      <c r="N13" s="9">
        <v>6784</v>
      </c>
      <c r="O13" s="9">
        <v>146</v>
      </c>
      <c r="P13" s="9">
        <v>2327</v>
      </c>
      <c r="Q13" s="9">
        <v>113064</v>
      </c>
      <c r="R13" s="9">
        <v>4753</v>
      </c>
      <c r="S13" s="9">
        <v>67730</v>
      </c>
      <c r="T13" s="9">
        <v>1606</v>
      </c>
      <c r="U13" s="9">
        <v>257</v>
      </c>
      <c r="V13" s="9">
        <v>1164499</v>
      </c>
      <c r="W13" s="9">
        <v>7102</v>
      </c>
      <c r="X13" s="9">
        <v>5733</v>
      </c>
      <c r="Y13" s="9">
        <v>67372</v>
      </c>
      <c r="Z13" s="9">
        <v>23642</v>
      </c>
      <c r="AA13" s="9">
        <v>65389</v>
      </c>
      <c r="AB13" s="9">
        <v>429286</v>
      </c>
      <c r="AC13" s="9">
        <v>565975</v>
      </c>
      <c r="AD13" s="9">
        <v>135823</v>
      </c>
      <c r="AE13" s="9">
        <v>32574</v>
      </c>
      <c r="AF13" s="9">
        <v>25333</v>
      </c>
      <c r="AG13" s="9">
        <v>24660</v>
      </c>
      <c r="AH13" s="9">
        <v>53256</v>
      </c>
      <c r="AI13" s="9">
        <v>443089</v>
      </c>
      <c r="AJ13" s="9">
        <v>219536</v>
      </c>
      <c r="AK13" s="9">
        <v>3766</v>
      </c>
      <c r="AL13" s="9">
        <v>215770</v>
      </c>
      <c r="AM13" s="9">
        <v>40</v>
      </c>
      <c r="AN13" s="9">
        <v>201385</v>
      </c>
      <c r="AO13" s="9">
        <v>426</v>
      </c>
      <c r="AP13" s="9">
        <v>21702</v>
      </c>
    </row>
    <row r="14" spans="1:43">
      <c r="A14" s="54">
        <v>40724</v>
      </c>
      <c r="B14" s="9">
        <v>2078479</v>
      </c>
      <c r="C14" s="9">
        <v>8002</v>
      </c>
      <c r="D14" s="9">
        <v>2015</v>
      </c>
      <c r="E14" s="9">
        <v>370</v>
      </c>
      <c r="F14" s="9">
        <v>3460</v>
      </c>
      <c r="G14" s="9">
        <v>10</v>
      </c>
      <c r="H14" s="9">
        <v>2146</v>
      </c>
      <c r="I14" s="9">
        <v>298264</v>
      </c>
      <c r="J14" s="9">
        <v>9239</v>
      </c>
      <c r="K14" s="9">
        <v>1987</v>
      </c>
      <c r="L14" s="9">
        <v>41486</v>
      </c>
      <c r="M14" s="9">
        <v>2323</v>
      </c>
      <c r="N14" s="9">
        <v>6554</v>
      </c>
      <c r="O14" s="9">
        <v>118</v>
      </c>
      <c r="P14" s="9">
        <v>2504</v>
      </c>
      <c r="Q14" s="9">
        <v>152985</v>
      </c>
      <c r="R14" s="9">
        <v>4891</v>
      </c>
      <c r="S14" s="9">
        <v>74319</v>
      </c>
      <c r="T14" s="9">
        <v>1613</v>
      </c>
      <c r="U14" s="9">
        <v>246</v>
      </c>
      <c r="V14" s="9">
        <v>1202930</v>
      </c>
      <c r="W14" s="9">
        <v>8374</v>
      </c>
      <c r="X14" s="9">
        <v>5877</v>
      </c>
      <c r="Y14" s="9">
        <v>68952</v>
      </c>
      <c r="Z14" s="9">
        <v>23329</v>
      </c>
      <c r="AA14" s="9">
        <v>71454</v>
      </c>
      <c r="AB14" s="9">
        <v>544155</v>
      </c>
      <c r="AC14" s="9">
        <v>480788</v>
      </c>
      <c r="AD14" s="9">
        <v>144083</v>
      </c>
      <c r="AE14" s="9">
        <v>38996</v>
      </c>
      <c r="AF14" s="9">
        <v>24149</v>
      </c>
      <c r="AG14" s="9">
        <v>26251</v>
      </c>
      <c r="AH14" s="9">
        <v>54687</v>
      </c>
      <c r="AI14" s="9">
        <v>425199</v>
      </c>
      <c r="AJ14" s="9">
        <v>208749</v>
      </c>
      <c r="AK14" s="9">
        <v>3691</v>
      </c>
      <c r="AL14" s="9">
        <v>205058</v>
      </c>
      <c r="AM14" s="9">
        <v>37</v>
      </c>
      <c r="AN14" s="9">
        <v>196189</v>
      </c>
      <c r="AO14" s="9">
        <v>408</v>
      </c>
      <c r="AP14" s="9">
        <v>19817</v>
      </c>
    </row>
    <row r="15" spans="1:43">
      <c r="A15" s="54">
        <v>41090</v>
      </c>
      <c r="B15" s="9">
        <v>2374537</v>
      </c>
      <c r="C15" s="9">
        <v>9418</v>
      </c>
      <c r="D15" s="9">
        <v>2135</v>
      </c>
      <c r="E15" s="9">
        <v>353</v>
      </c>
      <c r="F15" s="9">
        <v>4348</v>
      </c>
      <c r="G15" s="9">
        <v>9</v>
      </c>
      <c r="H15" s="9">
        <v>2573</v>
      </c>
      <c r="I15" s="9">
        <v>408058</v>
      </c>
      <c r="J15" s="9">
        <v>9760</v>
      </c>
      <c r="K15" s="9">
        <v>2350</v>
      </c>
      <c r="L15" s="9">
        <v>43683</v>
      </c>
      <c r="M15" s="9">
        <v>3198</v>
      </c>
      <c r="N15" s="9">
        <v>7397</v>
      </c>
      <c r="O15" s="9">
        <v>173</v>
      </c>
      <c r="P15" s="9">
        <v>3023</v>
      </c>
      <c r="Q15" s="9">
        <v>242486</v>
      </c>
      <c r="R15" s="9">
        <v>4877</v>
      </c>
      <c r="S15" s="9">
        <v>89053</v>
      </c>
      <c r="T15" s="9">
        <v>1754</v>
      </c>
      <c r="U15" s="9">
        <v>305</v>
      </c>
      <c r="V15" s="9">
        <v>1385608</v>
      </c>
      <c r="W15" s="9">
        <v>9525</v>
      </c>
      <c r="X15" s="9">
        <v>6536</v>
      </c>
      <c r="Y15" s="9">
        <v>70684</v>
      </c>
      <c r="Z15" s="9">
        <v>24154</v>
      </c>
      <c r="AA15" s="9">
        <v>85207</v>
      </c>
      <c r="AB15" s="9">
        <v>726234</v>
      </c>
      <c r="AC15" s="9">
        <v>463268</v>
      </c>
      <c r="AD15" s="9">
        <v>163775</v>
      </c>
      <c r="AE15" s="9">
        <v>49248</v>
      </c>
      <c r="AF15" s="9">
        <v>26495</v>
      </c>
      <c r="AG15" s="9">
        <v>30266</v>
      </c>
      <c r="AH15" s="9">
        <v>57765</v>
      </c>
      <c r="AI15" s="9">
        <v>407678</v>
      </c>
      <c r="AJ15" s="9">
        <v>192368</v>
      </c>
      <c r="AK15" s="9">
        <v>4034</v>
      </c>
      <c r="AL15" s="9">
        <v>188334</v>
      </c>
      <c r="AM15" s="9">
        <v>52</v>
      </c>
      <c r="AN15" s="9">
        <v>197211</v>
      </c>
      <c r="AO15" s="9">
        <v>368</v>
      </c>
      <c r="AP15" s="9">
        <v>17679</v>
      </c>
    </row>
    <row r="16" spans="1:43">
      <c r="A16" s="54"/>
    </row>
    <row r="18" spans="1:10">
      <c r="A18" s="3" t="s">
        <v>429</v>
      </c>
      <c r="B18" s="3" t="s">
        <v>253</v>
      </c>
      <c r="C18" s="3" t="s">
        <v>252</v>
      </c>
      <c r="D18" s="3" t="s">
        <v>331</v>
      </c>
      <c r="E18" s="3" t="s">
        <v>330</v>
      </c>
      <c r="F18" s="3" t="s">
        <v>332</v>
      </c>
      <c r="G18" s="3" t="s">
        <v>333</v>
      </c>
      <c r="H18" s="3" t="s">
        <v>334</v>
      </c>
      <c r="I18" s="3" t="s">
        <v>335</v>
      </c>
      <c r="J18" s="3" t="s">
        <v>973</v>
      </c>
    </row>
    <row r="19" spans="1:10">
      <c r="A19" s="55">
        <v>37437</v>
      </c>
      <c r="B19" s="56">
        <f t="shared" ref="B19:B29" si="0">E5+F5</f>
        <v>2398</v>
      </c>
      <c r="C19" s="56">
        <f t="shared" ref="C19:C29" si="1">J5+K5+N5+R5</f>
        <v>27236</v>
      </c>
      <c r="D19" s="56">
        <f t="shared" ref="D19:D29" si="2">L5+O5+P5+Q5+T5</f>
        <v>67802</v>
      </c>
      <c r="E19" s="56">
        <f t="shared" ref="E19:E29" si="3">D5+G5+H5</f>
        <v>5060</v>
      </c>
      <c r="F19" s="56">
        <f t="shared" ref="F19:F29" si="4">M5+U5+W5+Z5</f>
        <v>29600</v>
      </c>
      <c r="G19" s="56">
        <f t="shared" ref="G19:G29" si="5">S5+X5+Y5+AB5+AC5</f>
        <v>1147258</v>
      </c>
      <c r="H19" s="56">
        <f t="shared" ref="H19:H29" si="6">AA5+AE5+AF5+AG5+AH5+AM5+AO5</f>
        <v>170639</v>
      </c>
      <c r="I19" s="56">
        <f t="shared" ref="I19:I29" si="7">AJ5+AN5+AP5</f>
        <v>647128</v>
      </c>
      <c r="J19" s="56">
        <f>SUM(B19:I19)</f>
        <v>2097121</v>
      </c>
    </row>
    <row r="20" spans="1:10">
      <c r="A20" s="55">
        <v>37802</v>
      </c>
      <c r="B20" s="56">
        <f t="shared" si="0"/>
        <v>2569</v>
      </c>
      <c r="C20" s="56">
        <f t="shared" si="1"/>
        <v>25732</v>
      </c>
      <c r="D20" s="56">
        <f t="shared" si="2"/>
        <v>67424</v>
      </c>
      <c r="E20" s="56">
        <f t="shared" si="3"/>
        <v>4601</v>
      </c>
      <c r="F20" s="56">
        <f t="shared" si="4"/>
        <v>27319</v>
      </c>
      <c r="G20" s="56">
        <f t="shared" si="5"/>
        <v>1137625</v>
      </c>
      <c r="H20" s="56">
        <f t="shared" si="6"/>
        <v>172602</v>
      </c>
      <c r="I20" s="56">
        <f t="shared" si="7"/>
        <v>635582</v>
      </c>
      <c r="J20" s="56">
        <f t="shared" ref="J20:J28" si="8">SUM(B20:I20)</f>
        <v>2073454</v>
      </c>
    </row>
    <row r="21" spans="1:10">
      <c r="A21" s="55">
        <v>38168</v>
      </c>
      <c r="B21" s="56">
        <f t="shared" si="0"/>
        <v>2708</v>
      </c>
      <c r="C21" s="56">
        <f t="shared" si="1"/>
        <v>24933</v>
      </c>
      <c r="D21" s="56">
        <f t="shared" si="2"/>
        <v>68964</v>
      </c>
      <c r="E21" s="56">
        <f t="shared" si="3"/>
        <v>4233</v>
      </c>
      <c r="F21" s="56">
        <f t="shared" si="4"/>
        <v>27505</v>
      </c>
      <c r="G21" s="56">
        <f t="shared" si="5"/>
        <v>1077412</v>
      </c>
      <c r="H21" s="56">
        <f t="shared" si="6"/>
        <v>177820</v>
      </c>
      <c r="I21" s="56">
        <f t="shared" si="7"/>
        <v>599725</v>
      </c>
      <c r="J21" s="56">
        <f t="shared" si="8"/>
        <v>1983300</v>
      </c>
    </row>
    <row r="22" spans="1:10">
      <c r="A22" s="55">
        <v>38533</v>
      </c>
      <c r="B22" s="56">
        <f t="shared" si="0"/>
        <v>4144</v>
      </c>
      <c r="C22" s="56">
        <f t="shared" si="1"/>
        <v>23135</v>
      </c>
      <c r="D22" s="56">
        <f t="shared" si="2"/>
        <v>73450</v>
      </c>
      <c r="E22" s="56">
        <f t="shared" si="3"/>
        <v>4156</v>
      </c>
      <c r="F22" s="56">
        <f t="shared" si="4"/>
        <v>28415</v>
      </c>
      <c r="G22" s="56">
        <f t="shared" si="5"/>
        <v>999425</v>
      </c>
      <c r="H22" s="56">
        <f t="shared" si="6"/>
        <v>185112</v>
      </c>
      <c r="I22" s="56">
        <f t="shared" si="7"/>
        <v>572268</v>
      </c>
      <c r="J22" s="56">
        <f t="shared" si="8"/>
        <v>1890105</v>
      </c>
    </row>
    <row r="23" spans="1:10">
      <c r="A23" s="55">
        <v>38898</v>
      </c>
      <c r="B23" s="56">
        <f t="shared" si="0"/>
        <v>3945</v>
      </c>
      <c r="C23" s="56">
        <f t="shared" si="1"/>
        <v>22569</v>
      </c>
      <c r="D23" s="56">
        <f t="shared" si="2"/>
        <v>79356</v>
      </c>
      <c r="E23" s="56">
        <f t="shared" si="3"/>
        <v>4116</v>
      </c>
      <c r="F23" s="56">
        <f t="shared" si="4"/>
        <v>27419</v>
      </c>
      <c r="G23" s="56">
        <f t="shared" si="5"/>
        <v>1014041</v>
      </c>
      <c r="H23" s="56">
        <f t="shared" si="6"/>
        <v>190765</v>
      </c>
      <c r="I23" s="56">
        <f t="shared" si="7"/>
        <v>520048</v>
      </c>
      <c r="J23" s="56">
        <f t="shared" si="8"/>
        <v>1862259</v>
      </c>
    </row>
    <row r="24" spans="1:10">
      <c r="A24" s="55">
        <v>39263</v>
      </c>
      <c r="B24" s="56">
        <f t="shared" si="0"/>
        <v>4033</v>
      </c>
      <c r="C24" s="56">
        <f t="shared" si="1"/>
        <v>21992</v>
      </c>
      <c r="D24" s="56">
        <f t="shared" si="2"/>
        <v>85627</v>
      </c>
      <c r="E24" s="56">
        <f t="shared" si="3"/>
        <v>3670</v>
      </c>
      <c r="F24" s="56">
        <f t="shared" si="4"/>
        <v>30519</v>
      </c>
      <c r="G24" s="56">
        <f t="shared" si="5"/>
        <v>1006640</v>
      </c>
      <c r="H24" s="56">
        <f t="shared" si="6"/>
        <v>190998</v>
      </c>
      <c r="I24" s="56">
        <f t="shared" si="7"/>
        <v>504973</v>
      </c>
      <c r="J24" s="56">
        <f t="shared" si="8"/>
        <v>1848452</v>
      </c>
    </row>
    <row r="25" spans="1:10">
      <c r="A25" s="55">
        <v>39629</v>
      </c>
      <c r="B25" s="56">
        <f t="shared" si="0"/>
        <v>3997</v>
      </c>
      <c r="C25" s="56">
        <f t="shared" si="1"/>
        <v>23219</v>
      </c>
      <c r="D25" s="56">
        <f t="shared" si="2"/>
        <v>106548</v>
      </c>
      <c r="E25" s="56">
        <f t="shared" si="3"/>
        <v>3556</v>
      </c>
      <c r="F25" s="56">
        <f t="shared" si="4"/>
        <v>32637</v>
      </c>
      <c r="G25" s="56">
        <f t="shared" si="5"/>
        <v>962866</v>
      </c>
      <c r="H25" s="56">
        <f t="shared" si="6"/>
        <v>190431</v>
      </c>
      <c r="I25" s="56">
        <f t="shared" si="7"/>
        <v>488565</v>
      </c>
      <c r="J25" s="56">
        <f t="shared" si="8"/>
        <v>1811819</v>
      </c>
    </row>
    <row r="26" spans="1:10">
      <c r="A26" s="55">
        <v>39994</v>
      </c>
      <c r="B26" s="56">
        <f t="shared" si="0"/>
        <v>3880</v>
      </c>
      <c r="C26" s="56">
        <f t="shared" si="1"/>
        <v>22637</v>
      </c>
      <c r="D26" s="56">
        <f t="shared" si="2"/>
        <v>123191</v>
      </c>
      <c r="E26" s="56">
        <f t="shared" si="3"/>
        <v>2574</v>
      </c>
      <c r="F26" s="56">
        <f t="shared" si="4"/>
        <v>33298</v>
      </c>
      <c r="G26" s="56">
        <f t="shared" si="5"/>
        <v>1114600</v>
      </c>
      <c r="H26" s="56">
        <f t="shared" si="6"/>
        <v>191923</v>
      </c>
      <c r="I26" s="56">
        <f t="shared" si="7"/>
        <v>464494</v>
      </c>
      <c r="J26" s="56">
        <f t="shared" si="8"/>
        <v>1956597</v>
      </c>
    </row>
    <row r="27" spans="1:10">
      <c r="A27" s="55">
        <v>40359</v>
      </c>
      <c r="B27" s="56">
        <f t="shared" si="0"/>
        <v>3598</v>
      </c>
      <c r="C27" s="56">
        <f t="shared" si="1"/>
        <v>22439</v>
      </c>
      <c r="D27" s="56">
        <f t="shared" si="2"/>
        <v>157610</v>
      </c>
      <c r="E27" s="56">
        <f t="shared" si="3"/>
        <v>3518</v>
      </c>
      <c r="F27" s="56">
        <f t="shared" si="4"/>
        <v>33520</v>
      </c>
      <c r="G27" s="56">
        <f t="shared" si="5"/>
        <v>1136096</v>
      </c>
      <c r="H27" s="56">
        <f t="shared" si="6"/>
        <v>201678</v>
      </c>
      <c r="I27" s="56">
        <f t="shared" si="7"/>
        <v>442623</v>
      </c>
      <c r="J27" s="56">
        <f t="shared" si="8"/>
        <v>2001082</v>
      </c>
    </row>
    <row r="28" spans="1:10">
      <c r="A28" s="55">
        <v>40724</v>
      </c>
      <c r="B28" s="56">
        <f t="shared" si="0"/>
        <v>3830</v>
      </c>
      <c r="C28" s="56">
        <f t="shared" si="1"/>
        <v>22671</v>
      </c>
      <c r="D28" s="56">
        <f t="shared" si="2"/>
        <v>198706</v>
      </c>
      <c r="E28" s="56">
        <f t="shared" si="3"/>
        <v>4171</v>
      </c>
      <c r="F28" s="56">
        <f t="shared" si="4"/>
        <v>34272</v>
      </c>
      <c r="G28" s="56">
        <f t="shared" si="5"/>
        <v>1174091</v>
      </c>
      <c r="H28" s="56">
        <f t="shared" si="6"/>
        <v>215982</v>
      </c>
      <c r="I28" s="56">
        <f t="shared" si="7"/>
        <v>424755</v>
      </c>
      <c r="J28" s="56">
        <f t="shared" si="8"/>
        <v>2078478</v>
      </c>
    </row>
    <row r="29" spans="1:10">
      <c r="A29" s="55">
        <v>41090</v>
      </c>
      <c r="B29" s="56">
        <f t="shared" si="0"/>
        <v>4701</v>
      </c>
      <c r="C29" s="56">
        <f t="shared" si="1"/>
        <v>24384</v>
      </c>
      <c r="D29" s="56">
        <f t="shared" si="2"/>
        <v>291119</v>
      </c>
      <c r="E29" s="56">
        <f t="shared" si="3"/>
        <v>4717</v>
      </c>
      <c r="F29" s="56">
        <f t="shared" si="4"/>
        <v>37182</v>
      </c>
      <c r="G29" s="56">
        <f t="shared" si="5"/>
        <v>1355775</v>
      </c>
      <c r="H29" s="56">
        <f t="shared" si="6"/>
        <v>249401</v>
      </c>
      <c r="I29" s="56">
        <f t="shared" si="7"/>
        <v>407258</v>
      </c>
      <c r="J29" s="56">
        <f t="shared" ref="J29" si="9">SUM(B29:I29)</f>
        <v>2374537</v>
      </c>
    </row>
    <row r="30" spans="1:10">
      <c r="A30" s="2"/>
      <c r="B30" s="56"/>
      <c r="C30" s="56"/>
      <c r="D30" s="56"/>
      <c r="E30" s="56"/>
      <c r="F30" s="56"/>
      <c r="G30" s="56"/>
      <c r="H30" s="56"/>
      <c r="I30" s="56"/>
      <c r="J30" s="56"/>
    </row>
    <row r="31" spans="1:10">
      <c r="A31" s="55">
        <v>38533</v>
      </c>
      <c r="B31" s="56">
        <f>AVERAGE(B20:B24)</f>
        <v>3479.8</v>
      </c>
      <c r="C31" s="56">
        <f t="shared" ref="C31:I31" si="10">AVERAGE(C20:C24)</f>
        <v>23672.2</v>
      </c>
      <c r="D31" s="56">
        <f t="shared" si="10"/>
        <v>74964.2</v>
      </c>
      <c r="E31" s="56">
        <f t="shared" si="10"/>
        <v>4155.2</v>
      </c>
      <c r="F31" s="56">
        <f t="shared" si="10"/>
        <v>28235.4</v>
      </c>
      <c r="G31" s="56">
        <f t="shared" si="10"/>
        <v>1047028.6</v>
      </c>
      <c r="H31" s="56">
        <f t="shared" si="10"/>
        <v>183459.4</v>
      </c>
      <c r="I31" s="56">
        <f t="shared" si="10"/>
        <v>566519.19999999995</v>
      </c>
      <c r="J31" s="56">
        <f t="shared" ref="J31" si="11">SUM(B31:I31)</f>
        <v>1931513.9999999998</v>
      </c>
    </row>
    <row r="32" spans="1:10">
      <c r="A32" s="55">
        <v>40359</v>
      </c>
      <c r="B32" s="56">
        <f>AVERAGE(B25:B29)</f>
        <v>4001.2</v>
      </c>
      <c r="C32" s="56">
        <f t="shared" ref="C32:J32" si="12">AVERAGE(C25:C29)</f>
        <v>23070</v>
      </c>
      <c r="D32" s="56">
        <f t="shared" si="12"/>
        <v>175434.8</v>
      </c>
      <c r="E32" s="56">
        <f t="shared" si="12"/>
        <v>3707.2</v>
      </c>
      <c r="F32" s="56">
        <f t="shared" si="12"/>
        <v>34181.800000000003</v>
      </c>
      <c r="G32" s="56">
        <f t="shared" si="12"/>
        <v>1148685.6000000001</v>
      </c>
      <c r="H32" s="56">
        <f t="shared" si="12"/>
        <v>209883</v>
      </c>
      <c r="I32" s="56">
        <f t="shared" si="12"/>
        <v>445539</v>
      </c>
      <c r="J32" s="56">
        <f t="shared" si="12"/>
        <v>2044502.6</v>
      </c>
    </row>
    <row r="33" spans="1:10">
      <c r="A33" s="2"/>
      <c r="B33" s="2"/>
      <c r="C33" s="2"/>
      <c r="D33" s="2"/>
      <c r="E33" s="2"/>
      <c r="F33" s="2"/>
      <c r="G33" s="2"/>
      <c r="H33" s="2"/>
      <c r="I33" s="2"/>
      <c r="J33" s="2"/>
    </row>
    <row r="34" spans="1:10">
      <c r="A34" s="2"/>
      <c r="B34" s="57">
        <f>B31/$J$31</f>
        <v>1.801591911837036E-3</v>
      </c>
      <c r="C34" s="57">
        <f t="shared" ref="C34:I34" si="13">C31/$J$31</f>
        <v>1.2255774485714317E-2</v>
      </c>
      <c r="D34" s="57">
        <f t="shared" si="13"/>
        <v>3.8811108798590122E-2</v>
      </c>
      <c r="E34" s="57">
        <f t="shared" si="13"/>
        <v>2.1512657946046471E-3</v>
      </c>
      <c r="F34" s="57">
        <f t="shared" si="13"/>
        <v>1.461827354085966E-2</v>
      </c>
      <c r="G34" s="57">
        <f t="shared" si="13"/>
        <v>0.54207663004254703</v>
      </c>
      <c r="H34" s="57">
        <f t="shared" si="13"/>
        <v>9.4982174604998984E-2</v>
      </c>
      <c r="I34" s="57">
        <f t="shared" si="13"/>
        <v>0.29330318082084833</v>
      </c>
      <c r="J34" s="2"/>
    </row>
    <row r="35" spans="1:10">
      <c r="A35" s="2"/>
      <c r="B35" s="57">
        <f>B32/$J$32</f>
        <v>1.9570530260025103E-3</v>
      </c>
      <c r="C35" s="57">
        <f t="shared" ref="C35:I35" si="14">C32/$J$32</f>
        <v>1.1283918152023871E-2</v>
      </c>
      <c r="D35" s="57">
        <f t="shared" si="14"/>
        <v>8.5808059133796147E-2</v>
      </c>
      <c r="E35" s="57">
        <f t="shared" si="14"/>
        <v>1.8132527686685258E-3</v>
      </c>
      <c r="F35" s="57">
        <f t="shared" si="14"/>
        <v>1.6718883116118317E-2</v>
      </c>
      <c r="G35" s="57">
        <f t="shared" si="14"/>
        <v>0.56184110501987139</v>
      </c>
      <c r="H35" s="57">
        <f t="shared" si="14"/>
        <v>0.10265724289125384</v>
      </c>
      <c r="I35" s="57">
        <f t="shared" si="14"/>
        <v>0.21792048589226543</v>
      </c>
      <c r="J35" s="2"/>
    </row>
    <row r="38" spans="1:10">
      <c r="B38" s="3" t="s">
        <v>253</v>
      </c>
      <c r="C38" s="3" t="s">
        <v>252</v>
      </c>
      <c r="D38" s="3" t="s">
        <v>331</v>
      </c>
      <c r="E38" s="3" t="s">
        <v>330</v>
      </c>
      <c r="F38" s="3" t="s">
        <v>332</v>
      </c>
      <c r="G38" s="3" t="s">
        <v>333</v>
      </c>
      <c r="H38" s="3" t="s">
        <v>334</v>
      </c>
      <c r="I38" s="3" t="s">
        <v>335</v>
      </c>
    </row>
    <row r="39" spans="1:10">
      <c r="A39" s="50">
        <v>2005</v>
      </c>
      <c r="B39" s="2"/>
      <c r="C39" s="2"/>
      <c r="D39" s="2"/>
      <c r="E39" s="2"/>
      <c r="F39" s="2"/>
      <c r="G39" s="2"/>
      <c r="H39" s="2"/>
      <c r="I39" s="2"/>
    </row>
    <row r="40" spans="1:10">
      <c r="A40" s="51" t="s">
        <v>319</v>
      </c>
      <c r="B40" s="7">
        <f>B42*'Imp Crude'!$E$5</f>
        <v>2.1943304557264169</v>
      </c>
      <c r="C40" s="7">
        <f>C42*'Imp Crude'!$E$5</f>
        <v>14.927475548608218</v>
      </c>
      <c r="D40" s="7">
        <f>D42*'Imp Crude'!$E$5</f>
        <v>47.271747557091281</v>
      </c>
      <c r="E40" s="7">
        <f>E42*'Imp Crude'!$E$5</f>
        <v>2.6202315965384235</v>
      </c>
      <c r="F40" s="7">
        <f>F42*'Imp Crude'!$E$5</f>
        <v>17.804988260709717</v>
      </c>
      <c r="G40" s="7">
        <f>G42*'Imp Crude'!$E$5</f>
        <v>660.24677998637617</v>
      </c>
      <c r="H40" s="7">
        <f>H42*'Imp Crude'!$E$5</f>
        <v>115.68784091306826</v>
      </c>
      <c r="I40" s="7">
        <f>I42*'Imp Crude'!$E$5</f>
        <v>357.2418915781841</v>
      </c>
      <c r="J40" s="39"/>
    </row>
    <row r="41" spans="1:10">
      <c r="A41" s="51" t="s">
        <v>320</v>
      </c>
      <c r="B41" s="7">
        <f>B42*'Imp Crude'!$E$6</f>
        <v>4.3886609114528339</v>
      </c>
      <c r="C41" s="7">
        <f>C42*'Imp Crude'!$E$6</f>
        <v>29.854951097216436</v>
      </c>
      <c r="D41" s="7">
        <f>D42*'Imp Crude'!$E$6</f>
        <v>94.543495114182562</v>
      </c>
      <c r="E41" s="7">
        <f>E42*'Imp Crude'!$E$6</f>
        <v>5.240463193076847</v>
      </c>
      <c r="F41" s="7">
        <f>F42*'Imp Crude'!$E$6</f>
        <v>35.609976521419433</v>
      </c>
      <c r="G41" s="7">
        <f>G42*'Imp Crude'!$E$6</f>
        <v>1320.4935599727523</v>
      </c>
      <c r="H41" s="7">
        <f>H42*'Imp Crude'!$E$6</f>
        <v>231.37568182613651</v>
      </c>
      <c r="I41" s="7">
        <f>I42*'Imp Crude'!$E$6</f>
        <v>714.48378315636819</v>
      </c>
      <c r="J41" s="39"/>
    </row>
    <row r="42" spans="1:10">
      <c r="A42" s="51" t="s">
        <v>321</v>
      </c>
      <c r="B42" s="7">
        <f>B31*Conv!$C$48*Conv!$I$5*1000</f>
        <v>21.943304557264167</v>
      </c>
      <c r="C42" s="7">
        <f>C31*Conv!$C$48*Conv!$I$5*1000</f>
        <v>149.27475548608217</v>
      </c>
      <c r="D42" s="7">
        <f>D31*Conv!$C$48*Conv!$I$5*1000</f>
        <v>472.71747557091277</v>
      </c>
      <c r="E42" s="7">
        <f>E31*Conv!$C$48*Conv!$I$5*1000</f>
        <v>26.202315965384233</v>
      </c>
      <c r="F42" s="7">
        <f>F31*Conv!$C$48*Conv!$I$5*1000</f>
        <v>178.04988260709715</v>
      </c>
      <c r="G42" s="7">
        <f>G31*Conv!$C$48*Conv!$I$5*1000</f>
        <v>6602.4677998637617</v>
      </c>
      <c r="H42" s="7">
        <f>H31*Conv!$C$48*Conv!$I$5*1000</f>
        <v>1156.8784091306825</v>
      </c>
      <c r="I42" s="7">
        <f>I31*Conv!$C$48*Conv!$I$5*1000</f>
        <v>3572.4189157818405</v>
      </c>
      <c r="J42" s="39">
        <f>SUM(B42:I42)</f>
        <v>12179.952858963024</v>
      </c>
    </row>
    <row r="43" spans="1:10">
      <c r="A43" s="51" t="s">
        <v>322</v>
      </c>
      <c r="B43" s="7">
        <f>B42*'Imp Crude'!$E$8</f>
        <v>26.331965468716998</v>
      </c>
      <c r="C43" s="7">
        <f>C42*'Imp Crude'!$E$8</f>
        <v>179.1297065832986</v>
      </c>
      <c r="D43" s="7">
        <f>D42*'Imp Crude'!$E$8</f>
        <v>567.26097068509534</v>
      </c>
      <c r="E43" s="7">
        <f>E42*'Imp Crude'!$E$8</f>
        <v>31.442779158461079</v>
      </c>
      <c r="F43" s="7">
        <f>F42*'Imp Crude'!$E$8</f>
        <v>213.65985912851656</v>
      </c>
      <c r="G43" s="7">
        <f>G42*'Imp Crude'!$E$8</f>
        <v>7922.961359836514</v>
      </c>
      <c r="H43" s="7">
        <f>H42*'Imp Crude'!$E$8</f>
        <v>1388.254090956819</v>
      </c>
      <c r="I43" s="7">
        <f>I42*'Imp Crude'!$E$8</f>
        <v>4286.9026989382082</v>
      </c>
      <c r="J43" s="39"/>
    </row>
    <row r="44" spans="1:10">
      <c r="A44" s="51" t="s">
        <v>323</v>
      </c>
      <c r="B44" s="7">
        <f>B42*'Imp Crude'!$E$9</f>
        <v>28.526295924443417</v>
      </c>
      <c r="C44" s="7">
        <f>C42*'Imp Crude'!$E$9</f>
        <v>194.05718213190684</v>
      </c>
      <c r="D44" s="7">
        <f>D42*'Imp Crude'!$E$9</f>
        <v>614.53271824218666</v>
      </c>
      <c r="E44" s="7">
        <f>E42*'Imp Crude'!$E$9</f>
        <v>34.063010754999503</v>
      </c>
      <c r="F44" s="7">
        <f>F42*'Imp Crude'!$E$9</f>
        <v>231.46484738922629</v>
      </c>
      <c r="G44" s="7">
        <f>G42*'Imp Crude'!$E$9</f>
        <v>8583.2081398228911</v>
      </c>
      <c r="H44" s="7">
        <f>H42*'Imp Crude'!$E$9</f>
        <v>1503.9419318698872</v>
      </c>
      <c r="I44" s="7">
        <f>I42*'Imp Crude'!$E$9</f>
        <v>4644.1445905163928</v>
      </c>
      <c r="J44" s="39"/>
    </row>
    <row r="45" spans="1:10">
      <c r="B45" s="7"/>
      <c r="C45" s="7"/>
      <c r="D45" s="7"/>
      <c r="E45" s="7"/>
      <c r="F45" s="7"/>
      <c r="G45" s="7"/>
      <c r="H45" s="7"/>
      <c r="I45" s="7"/>
      <c r="J45" s="39"/>
    </row>
    <row r="46" spans="1:10">
      <c r="A46" s="51" t="s">
        <v>525</v>
      </c>
      <c r="B46" s="7"/>
      <c r="C46" s="7"/>
      <c r="D46" s="7"/>
      <c r="E46" s="7"/>
      <c r="F46" s="7"/>
      <c r="G46" s="7"/>
      <c r="H46" s="7"/>
      <c r="I46" s="7"/>
      <c r="J46" s="39"/>
    </row>
    <row r="47" spans="1:10">
      <c r="A47" s="51" t="s">
        <v>319</v>
      </c>
      <c r="B47" s="7">
        <f>B40</f>
        <v>2.1943304557264169</v>
      </c>
      <c r="C47" s="7">
        <f t="shared" ref="C47:I47" si="15">C40</f>
        <v>14.927475548608218</v>
      </c>
      <c r="D47" s="7">
        <f t="shared" si="15"/>
        <v>47.271747557091281</v>
      </c>
      <c r="E47" s="7">
        <f t="shared" si="15"/>
        <v>2.6202315965384235</v>
      </c>
      <c r="F47" s="7">
        <f t="shared" si="15"/>
        <v>17.804988260709717</v>
      </c>
      <c r="G47" s="7">
        <f t="shared" si="15"/>
        <v>660.24677998637617</v>
      </c>
      <c r="H47" s="7">
        <f t="shared" si="15"/>
        <v>115.68784091306826</v>
      </c>
      <c r="I47" s="7">
        <f t="shared" si="15"/>
        <v>357.2418915781841</v>
      </c>
      <c r="J47" s="39"/>
    </row>
    <row r="48" spans="1:10">
      <c r="A48" s="51" t="s">
        <v>320</v>
      </c>
      <c r="B48" s="7">
        <f>B41-B40</f>
        <v>2.1943304557264169</v>
      </c>
      <c r="C48" s="7">
        <f t="shared" ref="C48:I50" si="16">C41-C40</f>
        <v>14.927475548608218</v>
      </c>
      <c r="D48" s="7">
        <f t="shared" si="16"/>
        <v>47.271747557091281</v>
      </c>
      <c r="E48" s="7">
        <f t="shared" si="16"/>
        <v>2.6202315965384235</v>
      </c>
      <c r="F48" s="7">
        <f t="shared" si="16"/>
        <v>17.804988260709717</v>
      </c>
      <c r="G48" s="7">
        <f t="shared" si="16"/>
        <v>660.24677998637617</v>
      </c>
      <c r="H48" s="7">
        <f t="shared" si="16"/>
        <v>115.68784091306826</v>
      </c>
      <c r="I48" s="7">
        <f t="shared" si="16"/>
        <v>357.2418915781841</v>
      </c>
      <c r="J48" s="39"/>
    </row>
    <row r="49" spans="1:10">
      <c r="A49" s="51" t="s">
        <v>321</v>
      </c>
      <c r="B49" s="7">
        <f>B42-B41</f>
        <v>17.554643645811332</v>
      </c>
      <c r="C49" s="7">
        <f t="shared" si="16"/>
        <v>119.41980438886574</v>
      </c>
      <c r="D49" s="7">
        <f t="shared" si="16"/>
        <v>378.17398045673019</v>
      </c>
      <c r="E49" s="7">
        <f t="shared" si="16"/>
        <v>20.961852772307388</v>
      </c>
      <c r="F49" s="7">
        <f t="shared" si="16"/>
        <v>142.43990608567771</v>
      </c>
      <c r="G49" s="7">
        <f t="shared" si="16"/>
        <v>5281.9742398910093</v>
      </c>
      <c r="H49" s="7">
        <f t="shared" si="16"/>
        <v>925.50272730454594</v>
      </c>
      <c r="I49" s="7">
        <f t="shared" si="16"/>
        <v>2857.9351326254723</v>
      </c>
      <c r="J49" s="39"/>
    </row>
    <row r="50" spans="1:10">
      <c r="A50" s="51" t="s">
        <v>322</v>
      </c>
      <c r="B50" s="7">
        <f>B43-B42</f>
        <v>4.3886609114528312</v>
      </c>
      <c r="C50" s="7">
        <f t="shared" si="16"/>
        <v>29.854951097216428</v>
      </c>
      <c r="D50" s="7">
        <f t="shared" si="16"/>
        <v>94.543495114182576</v>
      </c>
      <c r="E50" s="7">
        <f t="shared" si="16"/>
        <v>5.2404631930768453</v>
      </c>
      <c r="F50" s="7">
        <f t="shared" si="16"/>
        <v>35.609976521419412</v>
      </c>
      <c r="G50" s="7">
        <f t="shared" si="16"/>
        <v>1320.4935599727523</v>
      </c>
      <c r="H50" s="7">
        <f t="shared" si="16"/>
        <v>231.37568182613654</v>
      </c>
      <c r="I50" s="7">
        <f t="shared" si="16"/>
        <v>714.48378315636774</v>
      </c>
      <c r="J50" s="39"/>
    </row>
    <row r="51" spans="1:10">
      <c r="A51" s="51" t="s">
        <v>323</v>
      </c>
      <c r="B51" s="7">
        <f>B44-B42</f>
        <v>6.5829913671792504</v>
      </c>
      <c r="C51" s="7">
        <f t="shared" ref="C51:I51" si="17">C44-C42</f>
        <v>44.782426645824671</v>
      </c>
      <c r="D51" s="7">
        <f t="shared" si="17"/>
        <v>141.81524267127389</v>
      </c>
      <c r="E51" s="7">
        <f t="shared" si="17"/>
        <v>7.8606947896152697</v>
      </c>
      <c r="F51" s="7">
        <f t="shared" si="17"/>
        <v>53.414964782129147</v>
      </c>
      <c r="G51" s="7">
        <f t="shared" si="17"/>
        <v>1980.7403399591294</v>
      </c>
      <c r="H51" s="7">
        <f t="shared" si="17"/>
        <v>347.0635227392047</v>
      </c>
      <c r="I51" s="7">
        <f t="shared" si="17"/>
        <v>1071.7256747345523</v>
      </c>
      <c r="J51" s="39"/>
    </row>
    <row r="52" spans="1:10">
      <c r="B52" s="7"/>
      <c r="C52" s="7"/>
      <c r="D52" s="7"/>
      <c r="E52" s="7"/>
      <c r="F52" s="7"/>
      <c r="G52" s="7"/>
      <c r="H52" s="7"/>
      <c r="I52" s="7"/>
      <c r="J52" s="39"/>
    </row>
    <row r="53" spans="1:10">
      <c r="B53" s="2"/>
      <c r="C53" s="2"/>
      <c r="D53" s="2"/>
      <c r="E53" s="2"/>
      <c r="F53" s="2"/>
      <c r="G53" s="2"/>
      <c r="H53" s="2"/>
      <c r="I53" s="2"/>
    </row>
    <row r="54" spans="1:10">
      <c r="A54" s="50">
        <v>2010</v>
      </c>
      <c r="B54" s="2"/>
      <c r="C54" s="2"/>
      <c r="D54" s="2"/>
      <c r="E54" s="2"/>
      <c r="F54" s="2"/>
      <c r="G54" s="2"/>
      <c r="H54" s="2"/>
      <c r="I54" s="2"/>
    </row>
    <row r="55" spans="1:10">
      <c r="A55" s="51" t="s">
        <v>319</v>
      </c>
      <c r="B55" s="7">
        <f>B57*'Imp Crude'!$E$5</f>
        <v>2.523120587232754</v>
      </c>
      <c r="C55" s="7">
        <f>C57*'Imp Crude'!$E$5</f>
        <v>14.547733666764879</v>
      </c>
      <c r="D55" s="7">
        <f>D57*'Imp Crude'!$E$5</f>
        <v>110.62760061907946</v>
      </c>
      <c r="E55" s="7">
        <f>E57*'Imp Crude'!$E$5</f>
        <v>2.337726842194658</v>
      </c>
      <c r="F55" s="7">
        <f>F57*'Imp Crude'!$E$5</f>
        <v>21.554734401847586</v>
      </c>
      <c r="G55" s="7">
        <f>G57*'Imp Crude'!$E$5</f>
        <v>724.35076617459981</v>
      </c>
      <c r="H55" s="7">
        <f>H57*'Imp Crude'!$E$5</f>
        <v>132.35032445520648</v>
      </c>
      <c r="I55" s="7">
        <f>I57*'Imp Crude'!$E$5</f>
        <v>280.95286996778316</v>
      </c>
      <c r="J55" s="39"/>
    </row>
    <row r="56" spans="1:10">
      <c r="A56" s="51" t="s">
        <v>320</v>
      </c>
      <c r="B56" s="7">
        <f>B57*'Imp Crude'!$E$6</f>
        <v>5.046241174465508</v>
      </c>
      <c r="C56" s="7">
        <f>C57*'Imp Crude'!$E$6</f>
        <v>29.095467333529758</v>
      </c>
      <c r="D56" s="7">
        <f>D57*'Imp Crude'!$E$6</f>
        <v>221.25520123815892</v>
      </c>
      <c r="E56" s="7">
        <f>E57*'Imp Crude'!$E$6</f>
        <v>4.675453684389316</v>
      </c>
      <c r="F56" s="7">
        <f>F57*'Imp Crude'!$E$6</f>
        <v>43.109468803695172</v>
      </c>
      <c r="G56" s="7">
        <f>G57*'Imp Crude'!$E$6</f>
        <v>1448.7015323491996</v>
      </c>
      <c r="H56" s="7">
        <f>H57*'Imp Crude'!$E$6</f>
        <v>264.70064891041295</v>
      </c>
      <c r="I56" s="7">
        <f>I57*'Imp Crude'!$E$6</f>
        <v>561.90573993556632</v>
      </c>
      <c r="J56" s="39"/>
    </row>
    <row r="57" spans="1:10">
      <c r="A57" s="51" t="s">
        <v>321</v>
      </c>
      <c r="B57" s="7">
        <f>B32*Conv!$C$48*Conv!$I$5*1000</f>
        <v>25.231205872327539</v>
      </c>
      <c r="C57" s="7">
        <f>C32*Conv!$C$48*Conv!$I$5*1000</f>
        <v>145.47733666764879</v>
      </c>
      <c r="D57" s="7">
        <f>D32*Conv!$C$48*Conv!$I$5*1000</f>
        <v>1106.2760061907945</v>
      </c>
      <c r="E57" s="7">
        <f>E32*Conv!$C$48*Conv!$I$5*1000</f>
        <v>23.377268421946578</v>
      </c>
      <c r="F57" s="7">
        <f>F32*Conv!$C$48*Conv!$I$5*1000</f>
        <v>215.54734401847585</v>
      </c>
      <c r="G57" s="7">
        <f>G32*Conv!$C$48*Conv!$I$5*1000</f>
        <v>7243.5076617459981</v>
      </c>
      <c r="H57" s="7">
        <f>H32*Conv!$C$48*Conv!$I$5*1000</f>
        <v>1323.5032445520646</v>
      </c>
      <c r="I57" s="7">
        <f>I32*Conv!$C$48*Conv!$I$5*1000</f>
        <v>2809.5286996778314</v>
      </c>
      <c r="J57" s="39">
        <f>SUM(B57:I57)</f>
        <v>12892.448767147089</v>
      </c>
    </row>
    <row r="58" spans="1:10">
      <c r="A58" s="51" t="s">
        <v>322</v>
      </c>
      <c r="B58" s="7">
        <f>B57*'Imp Crude'!$E$8</f>
        <v>30.277447046793046</v>
      </c>
      <c r="C58" s="7">
        <f>C57*'Imp Crude'!$E$8</f>
        <v>174.57280400117853</v>
      </c>
      <c r="D58" s="7">
        <f>D57*'Imp Crude'!$E$8</f>
        <v>1327.5312074289534</v>
      </c>
      <c r="E58" s="7">
        <f>E57*'Imp Crude'!$E$8</f>
        <v>28.052722106335892</v>
      </c>
      <c r="F58" s="7">
        <f>F57*'Imp Crude'!$E$8</f>
        <v>258.65681282217099</v>
      </c>
      <c r="G58" s="7">
        <f>G57*'Imp Crude'!$E$8</f>
        <v>8692.2091940951977</v>
      </c>
      <c r="H58" s="7">
        <f>H57*'Imp Crude'!$E$8</f>
        <v>1588.2038934624775</v>
      </c>
      <c r="I58" s="7">
        <f>I57*'Imp Crude'!$E$8</f>
        <v>3371.4344396133974</v>
      </c>
      <c r="J58" s="39"/>
    </row>
    <row r="59" spans="1:10">
      <c r="A59" s="51" t="s">
        <v>323</v>
      </c>
      <c r="B59" s="7">
        <f>B57*'Imp Crude'!$E$9</f>
        <v>32.800567634025803</v>
      </c>
      <c r="C59" s="7">
        <f>C57*'Imp Crude'!$E$9</f>
        <v>189.12053766794344</v>
      </c>
      <c r="D59" s="7">
        <f>D57*'Imp Crude'!$E$9</f>
        <v>1438.1588080480331</v>
      </c>
      <c r="E59" s="7">
        <f>E57*'Imp Crude'!$E$9</f>
        <v>30.390448948530551</v>
      </c>
      <c r="F59" s="7">
        <f>F57*'Imp Crude'!$E$9</f>
        <v>280.2115472240186</v>
      </c>
      <c r="G59" s="7">
        <f>G57*'Imp Crude'!$E$9</f>
        <v>9416.5599602697985</v>
      </c>
      <c r="H59" s="7">
        <f>H57*'Imp Crude'!$E$9</f>
        <v>1720.5542179176841</v>
      </c>
      <c r="I59" s="7">
        <f>I57*'Imp Crude'!$E$9</f>
        <v>3652.3873095811809</v>
      </c>
      <c r="J59" s="39"/>
    </row>
    <row r="60" spans="1:10">
      <c r="B60" s="7"/>
      <c r="C60" s="7"/>
      <c r="D60" s="7"/>
      <c r="E60" s="7"/>
      <c r="F60" s="7"/>
      <c r="G60" s="7"/>
      <c r="H60" s="7"/>
      <c r="I60" s="7"/>
      <c r="J60" s="39"/>
    </row>
    <row r="61" spans="1:10">
      <c r="A61" s="51" t="s">
        <v>525</v>
      </c>
      <c r="B61" s="7"/>
      <c r="C61" s="7"/>
      <c r="D61" s="7"/>
      <c r="E61" s="7"/>
      <c r="F61" s="7"/>
      <c r="G61" s="7"/>
      <c r="H61" s="7"/>
      <c r="I61" s="7"/>
      <c r="J61" s="39"/>
    </row>
    <row r="62" spans="1:10">
      <c r="A62" s="51" t="s">
        <v>319</v>
      </c>
      <c r="B62" s="7">
        <f>B55</f>
        <v>2.523120587232754</v>
      </c>
      <c r="C62" s="7">
        <f t="shared" ref="C62:I62" si="18">C55</f>
        <v>14.547733666764879</v>
      </c>
      <c r="D62" s="7">
        <f t="shared" si="18"/>
        <v>110.62760061907946</v>
      </c>
      <c r="E62" s="7">
        <f t="shared" si="18"/>
        <v>2.337726842194658</v>
      </c>
      <c r="F62" s="7">
        <f t="shared" si="18"/>
        <v>21.554734401847586</v>
      </c>
      <c r="G62" s="7">
        <f t="shared" si="18"/>
        <v>724.35076617459981</v>
      </c>
      <c r="H62" s="7">
        <f t="shared" si="18"/>
        <v>132.35032445520648</v>
      </c>
      <c r="I62" s="7">
        <f t="shared" si="18"/>
        <v>280.95286996778316</v>
      </c>
      <c r="J62" s="39"/>
    </row>
    <row r="63" spans="1:10">
      <c r="A63" s="51" t="s">
        <v>320</v>
      </c>
      <c r="B63" s="7">
        <f>B56-B55</f>
        <v>2.523120587232754</v>
      </c>
      <c r="C63" s="7">
        <f t="shared" ref="C63:I63" si="19">C56-C55</f>
        <v>14.547733666764879</v>
      </c>
      <c r="D63" s="7">
        <f t="shared" si="19"/>
        <v>110.62760061907946</v>
      </c>
      <c r="E63" s="7">
        <f t="shared" si="19"/>
        <v>2.337726842194658</v>
      </c>
      <c r="F63" s="7">
        <f t="shared" si="19"/>
        <v>21.554734401847586</v>
      </c>
      <c r="G63" s="7">
        <f t="shared" si="19"/>
        <v>724.35076617459981</v>
      </c>
      <c r="H63" s="7">
        <f t="shared" si="19"/>
        <v>132.35032445520648</v>
      </c>
      <c r="I63" s="7">
        <f t="shared" si="19"/>
        <v>280.95286996778316</v>
      </c>
      <c r="J63" s="39"/>
    </row>
    <row r="64" spans="1:10">
      <c r="A64" s="51" t="s">
        <v>321</v>
      </c>
      <c r="B64" s="7">
        <f>B57-B56</f>
        <v>20.184964697862032</v>
      </c>
      <c r="C64" s="7">
        <f t="shared" ref="C64:I64" si="20">C57-C56</f>
        <v>116.38186933411903</v>
      </c>
      <c r="D64" s="7">
        <f t="shared" si="20"/>
        <v>885.02080495263567</v>
      </c>
      <c r="E64" s="7">
        <f t="shared" si="20"/>
        <v>18.701814737557264</v>
      </c>
      <c r="F64" s="7">
        <f t="shared" si="20"/>
        <v>172.43787521478069</v>
      </c>
      <c r="G64" s="7">
        <f t="shared" si="20"/>
        <v>5794.8061293967985</v>
      </c>
      <c r="H64" s="7">
        <f t="shared" si="20"/>
        <v>1058.8025956416518</v>
      </c>
      <c r="I64" s="7">
        <f t="shared" si="20"/>
        <v>2247.6229597422653</v>
      </c>
      <c r="J64" s="39"/>
    </row>
    <row r="65" spans="1:10">
      <c r="A65" s="51" t="s">
        <v>322</v>
      </c>
      <c r="B65" s="7">
        <f>B58-B57</f>
        <v>5.0462411744655071</v>
      </c>
      <c r="C65" s="7">
        <f t="shared" ref="C65:I65" si="21">C58-C57</f>
        <v>29.09546733352974</v>
      </c>
      <c r="D65" s="7">
        <f t="shared" si="21"/>
        <v>221.25520123815886</v>
      </c>
      <c r="E65" s="7">
        <f t="shared" si="21"/>
        <v>4.6754536843893142</v>
      </c>
      <c r="F65" s="7">
        <f t="shared" si="21"/>
        <v>43.109468803695137</v>
      </c>
      <c r="G65" s="7">
        <f t="shared" si="21"/>
        <v>1448.7015323491996</v>
      </c>
      <c r="H65" s="7">
        <f t="shared" si="21"/>
        <v>264.70064891041284</v>
      </c>
      <c r="I65" s="7">
        <f t="shared" si="21"/>
        <v>561.90573993556609</v>
      </c>
      <c r="J65" s="39"/>
    </row>
    <row r="66" spans="1:10">
      <c r="A66" s="51" t="s">
        <v>323</v>
      </c>
      <c r="B66" s="7">
        <f>B59-B57</f>
        <v>7.5693617616982642</v>
      </c>
      <c r="C66" s="7">
        <f t="shared" ref="C66:I66" si="22">C59-C57</f>
        <v>43.643201000294653</v>
      </c>
      <c r="D66" s="7">
        <f t="shared" si="22"/>
        <v>331.88280185723852</v>
      </c>
      <c r="E66" s="7">
        <f t="shared" si="22"/>
        <v>7.0131805265839731</v>
      </c>
      <c r="F66" s="7">
        <f t="shared" si="22"/>
        <v>64.664203205542748</v>
      </c>
      <c r="G66" s="7">
        <f t="shared" si="22"/>
        <v>2173.0522985238003</v>
      </c>
      <c r="H66" s="7">
        <f t="shared" si="22"/>
        <v>397.05097336561948</v>
      </c>
      <c r="I66" s="7">
        <f t="shared" si="22"/>
        <v>842.85860990334959</v>
      </c>
      <c r="J66" s="39"/>
    </row>
  </sheetData>
  <hyperlinks>
    <hyperlink ref="A1" location="Contents!A1" display="Back to Contents" xr:uid="{00000000-0004-0000-0F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dimension ref="A21:AK1201"/>
  <sheetViews>
    <sheetView zoomScale="80" zoomScaleNormal="80" workbookViewId="0">
      <selection sqref="A1:XFD1048576"/>
    </sheetView>
  </sheetViews>
  <sheetFormatPr defaultColWidth="9.140625" defaultRowHeight="12.75"/>
  <cols>
    <col min="1" max="1" width="15.140625" style="1" customWidth="1"/>
    <col min="2" max="37" width="19" style="1" customWidth="1"/>
    <col min="38" max="257" width="9.140625" style="1"/>
    <col min="258" max="258" width="15.140625" style="1" customWidth="1"/>
    <col min="259" max="293" width="19" style="1" customWidth="1"/>
    <col min="294" max="513" width="9.140625" style="1"/>
    <col min="514" max="514" width="15.140625" style="1" customWidth="1"/>
    <col min="515" max="549" width="19" style="1" customWidth="1"/>
    <col min="550" max="769" width="9.140625" style="1"/>
    <col min="770" max="770" width="15.140625" style="1" customWidth="1"/>
    <col min="771" max="805" width="19" style="1" customWidth="1"/>
    <col min="806" max="1025" width="9.140625" style="1"/>
    <col min="1026" max="1026" width="15.140625" style="1" customWidth="1"/>
    <col min="1027" max="1061" width="19" style="1" customWidth="1"/>
    <col min="1062" max="1281" width="9.140625" style="1"/>
    <col min="1282" max="1282" width="15.140625" style="1" customWidth="1"/>
    <col min="1283" max="1317" width="19" style="1" customWidth="1"/>
    <col min="1318" max="1537" width="9.140625" style="1"/>
    <col min="1538" max="1538" width="15.140625" style="1" customWidth="1"/>
    <col min="1539" max="1573" width="19" style="1" customWidth="1"/>
    <col min="1574" max="1793" width="9.140625" style="1"/>
    <col min="1794" max="1794" width="15.140625" style="1" customWidth="1"/>
    <col min="1795" max="1829" width="19" style="1" customWidth="1"/>
    <col min="1830" max="2049" width="9.140625" style="1"/>
    <col min="2050" max="2050" width="15.140625" style="1" customWidth="1"/>
    <col min="2051" max="2085" width="19" style="1" customWidth="1"/>
    <col min="2086" max="2305" width="9.140625" style="1"/>
    <col min="2306" max="2306" width="15.140625" style="1" customWidth="1"/>
    <col min="2307" max="2341" width="19" style="1" customWidth="1"/>
    <col min="2342" max="2561" width="9.140625" style="1"/>
    <col min="2562" max="2562" width="15.140625" style="1" customWidth="1"/>
    <col min="2563" max="2597" width="19" style="1" customWidth="1"/>
    <col min="2598" max="2817" width="9.140625" style="1"/>
    <col min="2818" max="2818" width="15.140625" style="1" customWidth="1"/>
    <col min="2819" max="2853" width="19" style="1" customWidth="1"/>
    <col min="2854" max="3073" width="9.140625" style="1"/>
    <col min="3074" max="3074" width="15.140625" style="1" customWidth="1"/>
    <col min="3075" max="3109" width="19" style="1" customWidth="1"/>
    <col min="3110" max="3329" width="9.140625" style="1"/>
    <col min="3330" max="3330" width="15.140625" style="1" customWidth="1"/>
    <col min="3331" max="3365" width="19" style="1" customWidth="1"/>
    <col min="3366" max="3585" width="9.140625" style="1"/>
    <col min="3586" max="3586" width="15.140625" style="1" customWidth="1"/>
    <col min="3587" max="3621" width="19" style="1" customWidth="1"/>
    <col min="3622" max="3841" width="9.140625" style="1"/>
    <col min="3842" max="3842" width="15.140625" style="1" customWidth="1"/>
    <col min="3843" max="3877" width="19" style="1" customWidth="1"/>
    <col min="3878" max="4097" width="9.140625" style="1"/>
    <col min="4098" max="4098" width="15.140625" style="1" customWidth="1"/>
    <col min="4099" max="4133" width="19" style="1" customWidth="1"/>
    <col min="4134" max="4353" width="9.140625" style="1"/>
    <col min="4354" max="4354" width="15.140625" style="1" customWidth="1"/>
    <col min="4355" max="4389" width="19" style="1" customWidth="1"/>
    <col min="4390" max="4609" width="9.140625" style="1"/>
    <col min="4610" max="4610" width="15.140625" style="1" customWidth="1"/>
    <col min="4611" max="4645" width="19" style="1" customWidth="1"/>
    <col min="4646" max="4865" width="9.140625" style="1"/>
    <col min="4866" max="4866" width="15.140625" style="1" customWidth="1"/>
    <col min="4867" max="4901" width="19" style="1" customWidth="1"/>
    <col min="4902" max="5121" width="9.140625" style="1"/>
    <col min="5122" max="5122" width="15.140625" style="1" customWidth="1"/>
    <col min="5123" max="5157" width="19" style="1" customWidth="1"/>
    <col min="5158" max="5377" width="9.140625" style="1"/>
    <col min="5378" max="5378" width="15.140625" style="1" customWidth="1"/>
    <col min="5379" max="5413" width="19" style="1" customWidth="1"/>
    <col min="5414" max="5633" width="9.140625" style="1"/>
    <col min="5634" max="5634" width="15.140625" style="1" customWidth="1"/>
    <col min="5635" max="5669" width="19" style="1" customWidth="1"/>
    <col min="5670" max="5889" width="9.140625" style="1"/>
    <col min="5890" max="5890" width="15.140625" style="1" customWidth="1"/>
    <col min="5891" max="5925" width="19" style="1" customWidth="1"/>
    <col min="5926" max="6145" width="9.140625" style="1"/>
    <col min="6146" max="6146" width="15.140625" style="1" customWidth="1"/>
    <col min="6147" max="6181" width="19" style="1" customWidth="1"/>
    <col min="6182" max="6401" width="9.140625" style="1"/>
    <col min="6402" max="6402" width="15.140625" style="1" customWidth="1"/>
    <col min="6403" max="6437" width="19" style="1" customWidth="1"/>
    <col min="6438" max="6657" width="9.140625" style="1"/>
    <col min="6658" max="6658" width="15.140625" style="1" customWidth="1"/>
    <col min="6659" max="6693" width="19" style="1" customWidth="1"/>
    <col min="6694" max="6913" width="9.140625" style="1"/>
    <col min="6914" max="6914" width="15.140625" style="1" customWidth="1"/>
    <col min="6915" max="6949" width="19" style="1" customWidth="1"/>
    <col min="6950" max="7169" width="9.140625" style="1"/>
    <col min="7170" max="7170" width="15.140625" style="1" customWidth="1"/>
    <col min="7171" max="7205" width="19" style="1" customWidth="1"/>
    <col min="7206" max="7425" width="9.140625" style="1"/>
    <col min="7426" max="7426" width="15.140625" style="1" customWidth="1"/>
    <col min="7427" max="7461" width="19" style="1" customWidth="1"/>
    <col min="7462" max="7681" width="9.140625" style="1"/>
    <col min="7682" max="7682" width="15.140625" style="1" customWidth="1"/>
    <col min="7683" max="7717" width="19" style="1" customWidth="1"/>
    <col min="7718" max="7937" width="9.140625" style="1"/>
    <col min="7938" max="7938" width="15.140625" style="1" customWidth="1"/>
    <col min="7939" max="7973" width="19" style="1" customWidth="1"/>
    <col min="7974" max="8193" width="9.140625" style="1"/>
    <col min="8194" max="8194" width="15.140625" style="1" customWidth="1"/>
    <col min="8195" max="8229" width="19" style="1" customWidth="1"/>
    <col min="8230" max="8449" width="9.140625" style="1"/>
    <col min="8450" max="8450" width="15.140625" style="1" customWidth="1"/>
    <col min="8451" max="8485" width="19" style="1" customWidth="1"/>
    <col min="8486" max="8705" width="9.140625" style="1"/>
    <col min="8706" max="8706" width="15.140625" style="1" customWidth="1"/>
    <col min="8707" max="8741" width="19" style="1" customWidth="1"/>
    <col min="8742" max="8961" width="9.140625" style="1"/>
    <col min="8962" max="8962" width="15.140625" style="1" customWidth="1"/>
    <col min="8963" max="8997" width="19" style="1" customWidth="1"/>
    <col min="8998" max="9217" width="9.140625" style="1"/>
    <col min="9218" max="9218" width="15.140625" style="1" customWidth="1"/>
    <col min="9219" max="9253" width="19" style="1" customWidth="1"/>
    <col min="9254" max="9473" width="9.140625" style="1"/>
    <col min="9474" max="9474" width="15.140625" style="1" customWidth="1"/>
    <col min="9475" max="9509" width="19" style="1" customWidth="1"/>
    <col min="9510" max="9729" width="9.140625" style="1"/>
    <col min="9730" max="9730" width="15.140625" style="1" customWidth="1"/>
    <col min="9731" max="9765" width="19" style="1" customWidth="1"/>
    <col min="9766" max="9985" width="9.140625" style="1"/>
    <col min="9986" max="9986" width="15.140625" style="1" customWidth="1"/>
    <col min="9987" max="10021" width="19" style="1" customWidth="1"/>
    <col min="10022" max="10241" width="9.140625" style="1"/>
    <col min="10242" max="10242" width="15.140625" style="1" customWidth="1"/>
    <col min="10243" max="10277" width="19" style="1" customWidth="1"/>
    <col min="10278" max="10497" width="9.140625" style="1"/>
    <col min="10498" max="10498" width="15.140625" style="1" customWidth="1"/>
    <col min="10499" max="10533" width="19" style="1" customWidth="1"/>
    <col min="10534" max="10753" width="9.140625" style="1"/>
    <col min="10754" max="10754" width="15.140625" style="1" customWidth="1"/>
    <col min="10755" max="10789" width="19" style="1" customWidth="1"/>
    <col min="10790" max="11009" width="9.140625" style="1"/>
    <col min="11010" max="11010" width="15.140625" style="1" customWidth="1"/>
    <col min="11011" max="11045" width="19" style="1" customWidth="1"/>
    <col min="11046" max="11265" width="9.140625" style="1"/>
    <col min="11266" max="11266" width="15.140625" style="1" customWidth="1"/>
    <col min="11267" max="11301" width="19" style="1" customWidth="1"/>
    <col min="11302" max="11521" width="9.140625" style="1"/>
    <col min="11522" max="11522" width="15.140625" style="1" customWidth="1"/>
    <col min="11523" max="11557" width="19" style="1" customWidth="1"/>
    <col min="11558" max="11777" width="9.140625" style="1"/>
    <col min="11778" max="11778" width="15.140625" style="1" customWidth="1"/>
    <col min="11779" max="11813" width="19" style="1" customWidth="1"/>
    <col min="11814" max="12033" width="9.140625" style="1"/>
    <col min="12034" max="12034" width="15.140625" style="1" customWidth="1"/>
    <col min="12035" max="12069" width="19" style="1" customWidth="1"/>
    <col min="12070" max="12289" width="9.140625" style="1"/>
    <col min="12290" max="12290" width="15.140625" style="1" customWidth="1"/>
    <col min="12291" max="12325" width="19" style="1" customWidth="1"/>
    <col min="12326" max="12545" width="9.140625" style="1"/>
    <col min="12546" max="12546" width="15.140625" style="1" customWidth="1"/>
    <col min="12547" max="12581" width="19" style="1" customWidth="1"/>
    <col min="12582" max="12801" width="9.140625" style="1"/>
    <col min="12802" max="12802" width="15.140625" style="1" customWidth="1"/>
    <col min="12803" max="12837" width="19" style="1" customWidth="1"/>
    <col min="12838" max="13057" width="9.140625" style="1"/>
    <col min="13058" max="13058" width="15.140625" style="1" customWidth="1"/>
    <col min="13059" max="13093" width="19" style="1" customWidth="1"/>
    <col min="13094" max="13313" width="9.140625" style="1"/>
    <col min="13314" max="13314" width="15.140625" style="1" customWidth="1"/>
    <col min="13315" max="13349" width="19" style="1" customWidth="1"/>
    <col min="13350" max="13569" width="9.140625" style="1"/>
    <col min="13570" max="13570" width="15.140625" style="1" customWidth="1"/>
    <col min="13571" max="13605" width="19" style="1" customWidth="1"/>
    <col min="13606" max="13825" width="9.140625" style="1"/>
    <col min="13826" max="13826" width="15.140625" style="1" customWidth="1"/>
    <col min="13827" max="13861" width="19" style="1" customWidth="1"/>
    <col min="13862" max="14081" width="9.140625" style="1"/>
    <col min="14082" max="14082" width="15.140625" style="1" customWidth="1"/>
    <col min="14083" max="14117" width="19" style="1" customWidth="1"/>
    <col min="14118" max="14337" width="9.140625" style="1"/>
    <col min="14338" max="14338" width="15.140625" style="1" customWidth="1"/>
    <col min="14339" max="14373" width="19" style="1" customWidth="1"/>
    <col min="14374" max="14593" width="9.140625" style="1"/>
    <col min="14594" max="14594" width="15.140625" style="1" customWidth="1"/>
    <col min="14595" max="14629" width="19" style="1" customWidth="1"/>
    <col min="14630" max="14849" width="9.140625" style="1"/>
    <col min="14850" max="14850" width="15.140625" style="1" customWidth="1"/>
    <col min="14851" max="14885" width="19" style="1" customWidth="1"/>
    <col min="14886" max="15105" width="9.140625" style="1"/>
    <col min="15106" max="15106" width="15.140625" style="1" customWidth="1"/>
    <col min="15107" max="15141" width="19" style="1" customWidth="1"/>
    <col min="15142" max="15361" width="9.140625" style="1"/>
    <col min="15362" max="15362" width="15.140625" style="1" customWidth="1"/>
    <col min="15363" max="15397" width="19" style="1" customWidth="1"/>
    <col min="15398" max="15617" width="9.140625" style="1"/>
    <col min="15618" max="15618" width="15.140625" style="1" customWidth="1"/>
    <col min="15619" max="15653" width="19" style="1" customWidth="1"/>
    <col min="15654" max="15873" width="9.140625" style="1"/>
    <col min="15874" max="15874" width="15.140625" style="1" customWidth="1"/>
    <col min="15875" max="15909" width="19" style="1" customWidth="1"/>
    <col min="15910" max="16129" width="9.140625" style="1"/>
    <col min="16130" max="16130" width="15.140625" style="1" customWidth="1"/>
    <col min="16131" max="16165" width="19" style="1" customWidth="1"/>
    <col min="16166" max="16384" width="9.140625" style="1"/>
  </cols>
  <sheetData>
    <row r="21" spans="1:37" ht="15.75">
      <c r="A21" s="14" t="s">
        <v>583</v>
      </c>
      <c r="B21" s="15" t="s">
        <v>826</v>
      </c>
    </row>
    <row r="22" spans="1:37" ht="24">
      <c r="A22" s="16" t="s">
        <v>585</v>
      </c>
      <c r="B22" s="17" t="s">
        <v>827</v>
      </c>
      <c r="C22" s="17" t="s">
        <v>828</v>
      </c>
      <c r="D22" s="17"/>
      <c r="E22" s="17" t="s">
        <v>829</v>
      </c>
      <c r="F22" s="17" t="s">
        <v>830</v>
      </c>
      <c r="G22" s="17" t="s">
        <v>831</v>
      </c>
      <c r="H22" s="17" t="s">
        <v>832</v>
      </c>
      <c r="I22" s="17"/>
      <c r="J22" s="17" t="s">
        <v>833</v>
      </c>
      <c r="K22" s="17" t="s">
        <v>834</v>
      </c>
      <c r="L22" s="17" t="s">
        <v>835</v>
      </c>
      <c r="M22" s="17" t="s">
        <v>836</v>
      </c>
      <c r="N22" s="17" t="s">
        <v>837</v>
      </c>
      <c r="O22" s="17" t="s">
        <v>838</v>
      </c>
      <c r="P22" s="17" t="s">
        <v>839</v>
      </c>
      <c r="Q22" s="17" t="s">
        <v>840</v>
      </c>
      <c r="R22" s="17" t="s">
        <v>841</v>
      </c>
      <c r="S22" s="17" t="s">
        <v>842</v>
      </c>
      <c r="T22" s="17" t="s">
        <v>843</v>
      </c>
      <c r="U22" s="17" t="s">
        <v>844</v>
      </c>
      <c r="V22" s="17" t="s">
        <v>845</v>
      </c>
      <c r="W22" s="17" t="s">
        <v>846</v>
      </c>
      <c r="X22" s="17" t="s">
        <v>847</v>
      </c>
      <c r="Y22" s="17" t="s">
        <v>848</v>
      </c>
      <c r="Z22" s="17" t="s">
        <v>849</v>
      </c>
      <c r="AA22" s="17" t="s">
        <v>850</v>
      </c>
      <c r="AB22" s="17" t="s">
        <v>851</v>
      </c>
      <c r="AC22" s="17" t="s">
        <v>852</v>
      </c>
      <c r="AD22" s="17" t="s">
        <v>853</v>
      </c>
      <c r="AE22" s="17" t="s">
        <v>854</v>
      </c>
      <c r="AF22" s="17" t="s">
        <v>855</v>
      </c>
      <c r="AG22" s="17" t="s">
        <v>856</v>
      </c>
      <c r="AH22" s="17" t="s">
        <v>857</v>
      </c>
      <c r="AI22" s="17" t="s">
        <v>858</v>
      </c>
      <c r="AJ22" s="17" t="s">
        <v>859</v>
      </c>
      <c r="AK22" s="17"/>
    </row>
    <row r="23" spans="1:37" ht="102">
      <c r="A23" s="18" t="s">
        <v>627</v>
      </c>
      <c r="B23" s="19" t="s">
        <v>860</v>
      </c>
      <c r="C23" s="19" t="s">
        <v>861</v>
      </c>
      <c r="D23" s="19"/>
      <c r="E23" s="19" t="s">
        <v>862</v>
      </c>
      <c r="F23" s="19" t="s">
        <v>863</v>
      </c>
      <c r="G23" s="19" t="s">
        <v>864</v>
      </c>
      <c r="H23" s="19" t="s">
        <v>865</v>
      </c>
      <c r="I23" s="19"/>
      <c r="J23" s="19" t="s">
        <v>866</v>
      </c>
      <c r="K23" s="19" t="s">
        <v>867</v>
      </c>
      <c r="L23" s="19" t="s">
        <v>868</v>
      </c>
      <c r="M23" s="19" t="s">
        <v>869</v>
      </c>
      <c r="N23" s="19" t="s">
        <v>870</v>
      </c>
      <c r="O23" s="19" t="s">
        <v>871</v>
      </c>
      <c r="P23" s="19" t="s">
        <v>872</v>
      </c>
      <c r="Q23" s="19" t="s">
        <v>873</v>
      </c>
      <c r="R23" s="19" t="s">
        <v>874</v>
      </c>
      <c r="S23" s="19" t="s">
        <v>875</v>
      </c>
      <c r="T23" s="19" t="s">
        <v>876</v>
      </c>
      <c r="U23" s="19" t="s">
        <v>877</v>
      </c>
      <c r="V23" s="19" t="s">
        <v>878</v>
      </c>
      <c r="W23" s="19" t="s">
        <v>879</v>
      </c>
      <c r="X23" s="19" t="s">
        <v>880</v>
      </c>
      <c r="Y23" s="19" t="s">
        <v>881</v>
      </c>
      <c r="Z23" s="19" t="s">
        <v>882</v>
      </c>
      <c r="AA23" s="19" t="s">
        <v>883</v>
      </c>
      <c r="AB23" s="19" t="s">
        <v>884</v>
      </c>
      <c r="AC23" s="19" t="s">
        <v>885</v>
      </c>
      <c r="AD23" s="19" t="s">
        <v>886</v>
      </c>
      <c r="AE23" s="19" t="s">
        <v>887</v>
      </c>
      <c r="AF23" s="19" t="s">
        <v>888</v>
      </c>
      <c r="AG23" s="19" t="s">
        <v>889</v>
      </c>
      <c r="AH23" s="19" t="s">
        <v>890</v>
      </c>
      <c r="AI23" s="19" t="s">
        <v>891</v>
      </c>
      <c r="AJ23" s="19" t="s">
        <v>892</v>
      </c>
      <c r="AK23" s="19"/>
    </row>
    <row r="24" spans="1:37">
      <c r="A24" s="58">
        <v>32906</v>
      </c>
      <c r="C24" s="1">
        <v>6503</v>
      </c>
      <c r="D24" s="21"/>
      <c r="E24" s="1">
        <v>6477</v>
      </c>
      <c r="F24" s="1">
        <v>27</v>
      </c>
      <c r="H24" s="1">
        <v>2606</v>
      </c>
      <c r="I24" s="21"/>
      <c r="J24" s="1">
        <v>547</v>
      </c>
      <c r="T24" s="1">
        <v>42</v>
      </c>
      <c r="Z24" s="1">
        <v>121</v>
      </c>
      <c r="AA24" s="1">
        <v>494</v>
      </c>
      <c r="AF24" s="1">
        <v>632</v>
      </c>
    </row>
    <row r="25" spans="1:37">
      <c r="A25" s="58">
        <v>32913</v>
      </c>
      <c r="C25" s="1">
        <v>6226</v>
      </c>
      <c r="D25" s="21">
        <f>(C25-C24)/C24</f>
        <v>-4.2595725049976933E-2</v>
      </c>
      <c r="E25" s="1">
        <v>6201</v>
      </c>
      <c r="F25" s="1">
        <v>25</v>
      </c>
      <c r="H25" s="1">
        <v>2687</v>
      </c>
      <c r="I25" s="21">
        <f>(H25-H24)/H24</f>
        <v>3.108211818879509E-2</v>
      </c>
      <c r="J25" s="1">
        <v>474</v>
      </c>
      <c r="T25" s="1">
        <v>45</v>
      </c>
      <c r="Z25" s="1">
        <v>132</v>
      </c>
      <c r="AA25" s="1">
        <v>511</v>
      </c>
      <c r="AF25" s="1">
        <v>713</v>
      </c>
    </row>
    <row r="26" spans="1:37">
      <c r="A26" s="58">
        <v>32920</v>
      </c>
      <c r="C26" s="1">
        <v>5980</v>
      </c>
      <c r="D26" s="21">
        <f t="shared" ref="D26:D28" si="0">(C26-C25)/C25</f>
        <v>-3.9511725024092517E-2</v>
      </c>
      <c r="E26" s="1">
        <v>5955</v>
      </c>
      <c r="F26" s="1">
        <v>25</v>
      </c>
      <c r="H26" s="1">
        <v>2465</v>
      </c>
      <c r="I26" s="21">
        <f t="shared" ref="I26:I89" si="1">(H26-H25)/H25</f>
        <v>-8.2620022329735768E-2</v>
      </c>
      <c r="J26" s="1">
        <v>451</v>
      </c>
      <c r="T26" s="1">
        <v>33</v>
      </c>
      <c r="Z26" s="1">
        <v>103</v>
      </c>
      <c r="AA26" s="1">
        <v>448</v>
      </c>
      <c r="AF26" s="1">
        <v>645</v>
      </c>
    </row>
    <row r="27" spans="1:37">
      <c r="A27" s="58">
        <v>32927</v>
      </c>
      <c r="C27" s="1">
        <v>5936</v>
      </c>
      <c r="D27" s="21">
        <f t="shared" si="0"/>
        <v>-7.3578595317725752E-3</v>
      </c>
      <c r="E27" s="1">
        <v>5911</v>
      </c>
      <c r="F27" s="1">
        <v>25</v>
      </c>
      <c r="H27" s="1">
        <v>2583</v>
      </c>
      <c r="I27" s="21">
        <f t="shared" si="1"/>
        <v>4.7870182555780932E-2</v>
      </c>
      <c r="J27" s="1">
        <v>468</v>
      </c>
      <c r="T27" s="1">
        <v>42</v>
      </c>
      <c r="Z27" s="1">
        <v>117</v>
      </c>
      <c r="AA27" s="1">
        <v>415</v>
      </c>
      <c r="AF27" s="1">
        <v>695</v>
      </c>
    </row>
    <row r="28" spans="1:37">
      <c r="A28" s="58">
        <v>32934</v>
      </c>
      <c r="C28" s="1">
        <v>5772</v>
      </c>
      <c r="D28" s="21">
        <f t="shared" si="0"/>
        <v>-2.7628032345013476E-2</v>
      </c>
      <c r="E28" s="1">
        <v>5761</v>
      </c>
      <c r="F28" s="1">
        <v>12</v>
      </c>
      <c r="H28" s="1">
        <v>2096</v>
      </c>
      <c r="I28" s="21">
        <f t="shared" si="1"/>
        <v>-0.18854045683313975</v>
      </c>
      <c r="J28" s="1">
        <v>320</v>
      </c>
      <c r="T28" s="1">
        <v>41</v>
      </c>
      <c r="Z28" s="1">
        <v>101</v>
      </c>
      <c r="AA28" s="1">
        <v>321</v>
      </c>
      <c r="AF28" s="1">
        <v>530</v>
      </c>
    </row>
    <row r="29" spans="1:37">
      <c r="A29" s="58">
        <v>32941</v>
      </c>
      <c r="C29" s="1">
        <v>5965</v>
      </c>
      <c r="D29" s="21">
        <f t="shared" ref="D29:D92" si="2">(C29-C28)/C28</f>
        <v>3.3437283437283437E-2</v>
      </c>
      <c r="E29" s="1">
        <v>5947</v>
      </c>
      <c r="F29" s="1">
        <v>18</v>
      </c>
      <c r="H29" s="1">
        <v>1860</v>
      </c>
      <c r="I29" s="21">
        <f t="shared" si="1"/>
        <v>-0.11259541984732824</v>
      </c>
      <c r="J29" s="1">
        <v>346</v>
      </c>
      <c r="T29" s="1">
        <v>24</v>
      </c>
      <c r="Z29" s="1">
        <v>82</v>
      </c>
      <c r="AA29" s="1">
        <v>312</v>
      </c>
      <c r="AF29" s="1">
        <v>389</v>
      </c>
    </row>
    <row r="30" spans="1:37">
      <c r="A30" s="58">
        <v>32948</v>
      </c>
      <c r="C30" s="1">
        <v>6127</v>
      </c>
      <c r="D30" s="21">
        <f t="shared" si="2"/>
        <v>2.7158424140821459E-2</v>
      </c>
      <c r="E30" s="1">
        <v>6110</v>
      </c>
      <c r="F30" s="1">
        <v>18</v>
      </c>
      <c r="H30" s="1">
        <v>1920</v>
      </c>
      <c r="I30" s="21">
        <f t="shared" si="1"/>
        <v>3.2258064516129031E-2</v>
      </c>
      <c r="J30" s="1">
        <v>341</v>
      </c>
      <c r="T30" s="1">
        <v>37</v>
      </c>
      <c r="Z30" s="1">
        <v>98</v>
      </c>
      <c r="AA30" s="1">
        <v>318</v>
      </c>
      <c r="AF30" s="1">
        <v>379</v>
      </c>
    </row>
    <row r="31" spans="1:37">
      <c r="A31" s="58">
        <v>32955</v>
      </c>
      <c r="C31" s="1">
        <v>6214</v>
      </c>
      <c r="D31" s="21">
        <f t="shared" si="2"/>
        <v>1.4199445079157826E-2</v>
      </c>
      <c r="E31" s="1">
        <v>6197</v>
      </c>
      <c r="F31" s="1">
        <v>18</v>
      </c>
      <c r="H31" s="1">
        <v>1696</v>
      </c>
      <c r="I31" s="21">
        <f t="shared" si="1"/>
        <v>-0.11666666666666667</v>
      </c>
      <c r="J31" s="1">
        <v>291</v>
      </c>
      <c r="T31" s="1">
        <v>29</v>
      </c>
      <c r="Z31" s="1">
        <v>81</v>
      </c>
      <c r="AA31" s="1">
        <v>286</v>
      </c>
      <c r="AF31" s="1">
        <v>332</v>
      </c>
    </row>
    <row r="32" spans="1:37">
      <c r="A32" s="58">
        <v>32962</v>
      </c>
      <c r="C32" s="1">
        <v>6193</v>
      </c>
      <c r="D32" s="21">
        <f t="shared" si="2"/>
        <v>-3.3794657225619568E-3</v>
      </c>
      <c r="E32" s="1">
        <v>6175</v>
      </c>
      <c r="F32" s="1">
        <v>18</v>
      </c>
      <c r="H32" s="1">
        <v>1863</v>
      </c>
      <c r="I32" s="21">
        <f t="shared" si="1"/>
        <v>9.8466981132075471E-2</v>
      </c>
      <c r="J32" s="1">
        <v>325</v>
      </c>
      <c r="T32" s="1">
        <v>54</v>
      </c>
      <c r="Z32" s="1">
        <v>110</v>
      </c>
      <c r="AA32" s="1">
        <v>325</v>
      </c>
      <c r="AF32" s="1">
        <v>340</v>
      </c>
    </row>
    <row r="33" spans="1:32">
      <c r="A33" s="58">
        <v>32969</v>
      </c>
      <c r="C33" s="1">
        <v>6209</v>
      </c>
      <c r="D33" s="21">
        <f t="shared" si="2"/>
        <v>2.5835620862263847E-3</v>
      </c>
      <c r="E33" s="1">
        <v>6178</v>
      </c>
      <c r="F33" s="1">
        <v>31</v>
      </c>
      <c r="H33" s="1">
        <v>1849</v>
      </c>
      <c r="I33" s="21">
        <f t="shared" si="1"/>
        <v>-7.5147611379495442E-3</v>
      </c>
      <c r="J33" s="1">
        <v>308</v>
      </c>
      <c r="T33" s="1">
        <v>54</v>
      </c>
      <c r="Z33" s="1">
        <v>118</v>
      </c>
      <c r="AA33" s="1">
        <v>272</v>
      </c>
      <c r="AF33" s="1">
        <v>408</v>
      </c>
    </row>
    <row r="34" spans="1:32">
      <c r="A34" s="58">
        <v>32976</v>
      </c>
      <c r="C34" s="1">
        <v>6191</v>
      </c>
      <c r="D34" s="21">
        <f t="shared" si="2"/>
        <v>-2.8990175551618616E-3</v>
      </c>
      <c r="E34" s="1">
        <v>6160</v>
      </c>
      <c r="F34" s="1">
        <v>31</v>
      </c>
      <c r="H34" s="1">
        <v>1690</v>
      </c>
      <c r="I34" s="21">
        <f t="shared" si="1"/>
        <v>-8.5992428339643046E-2</v>
      </c>
      <c r="J34" s="1">
        <v>281</v>
      </c>
      <c r="T34" s="1">
        <v>60</v>
      </c>
      <c r="Z34" s="1">
        <v>129</v>
      </c>
      <c r="AA34" s="1">
        <v>240</v>
      </c>
      <c r="AF34" s="1">
        <v>393</v>
      </c>
    </row>
    <row r="35" spans="1:32">
      <c r="A35" s="58">
        <v>32983</v>
      </c>
      <c r="C35" s="1">
        <v>6041</v>
      </c>
      <c r="D35" s="21">
        <f t="shared" si="2"/>
        <v>-2.4228719108383139E-2</v>
      </c>
      <c r="E35" s="1">
        <v>6010</v>
      </c>
      <c r="F35" s="1">
        <v>31</v>
      </c>
      <c r="H35" s="1">
        <v>1838</v>
      </c>
      <c r="I35" s="21">
        <f t="shared" si="1"/>
        <v>8.7573964497041426E-2</v>
      </c>
      <c r="J35" s="1">
        <v>296</v>
      </c>
      <c r="T35" s="1">
        <v>59</v>
      </c>
      <c r="Z35" s="1">
        <v>125</v>
      </c>
      <c r="AA35" s="1">
        <v>272</v>
      </c>
      <c r="AF35" s="1">
        <v>436</v>
      </c>
    </row>
    <row r="36" spans="1:32">
      <c r="A36" s="58">
        <v>32990</v>
      </c>
      <c r="C36" s="1">
        <v>6218</v>
      </c>
      <c r="D36" s="21">
        <f t="shared" si="2"/>
        <v>2.9299784803840424E-2</v>
      </c>
      <c r="E36" s="1">
        <v>6167</v>
      </c>
      <c r="F36" s="1">
        <v>52</v>
      </c>
      <c r="H36" s="1">
        <v>1781</v>
      </c>
      <c r="I36" s="21">
        <f t="shared" si="1"/>
        <v>-3.1011969532100107E-2</v>
      </c>
      <c r="J36" s="1">
        <v>335</v>
      </c>
      <c r="T36" s="1">
        <v>32</v>
      </c>
      <c r="Z36" s="1">
        <v>101</v>
      </c>
      <c r="AA36" s="1">
        <v>250</v>
      </c>
      <c r="AF36" s="1">
        <v>479</v>
      </c>
    </row>
    <row r="37" spans="1:32">
      <c r="A37" s="58">
        <v>32997</v>
      </c>
      <c r="C37" s="1">
        <v>6197</v>
      </c>
      <c r="D37" s="21">
        <f t="shared" si="2"/>
        <v>-3.3772917336764231E-3</v>
      </c>
      <c r="E37" s="1">
        <v>6149</v>
      </c>
      <c r="F37" s="1">
        <v>48</v>
      </c>
      <c r="H37" s="1">
        <v>1842</v>
      </c>
      <c r="I37" s="21">
        <f t="shared" si="1"/>
        <v>3.4250421111734979E-2</v>
      </c>
      <c r="J37" s="1">
        <v>369</v>
      </c>
      <c r="T37" s="1">
        <v>49</v>
      </c>
      <c r="Z37" s="1">
        <v>111</v>
      </c>
      <c r="AA37" s="1">
        <v>278</v>
      </c>
      <c r="AF37" s="1">
        <v>427</v>
      </c>
    </row>
    <row r="38" spans="1:32">
      <c r="A38" s="58">
        <v>33004</v>
      </c>
      <c r="C38" s="1">
        <v>6249</v>
      </c>
      <c r="D38" s="21">
        <f t="shared" si="2"/>
        <v>8.3911570114571562E-3</v>
      </c>
      <c r="E38" s="1">
        <v>6169</v>
      </c>
      <c r="F38" s="1">
        <v>80</v>
      </c>
      <c r="H38" s="1">
        <v>2074</v>
      </c>
      <c r="I38" s="21">
        <f t="shared" si="1"/>
        <v>0.1259500542888165</v>
      </c>
      <c r="J38" s="1">
        <v>467</v>
      </c>
      <c r="T38" s="1">
        <v>43</v>
      </c>
      <c r="Z38" s="1">
        <v>102</v>
      </c>
      <c r="AA38" s="1">
        <v>294</v>
      </c>
      <c r="AF38" s="1">
        <v>454</v>
      </c>
    </row>
    <row r="39" spans="1:32">
      <c r="A39" s="58">
        <v>33011</v>
      </c>
      <c r="C39" s="1">
        <v>6333</v>
      </c>
      <c r="D39" s="21">
        <f t="shared" si="2"/>
        <v>1.344215074411906E-2</v>
      </c>
      <c r="E39" s="1">
        <v>6222</v>
      </c>
      <c r="F39" s="1">
        <v>111</v>
      </c>
      <c r="H39" s="1">
        <v>1920</v>
      </c>
      <c r="I39" s="21">
        <f t="shared" si="1"/>
        <v>-7.4252651880424306E-2</v>
      </c>
      <c r="J39" s="1">
        <v>473</v>
      </c>
      <c r="T39" s="1">
        <v>35</v>
      </c>
      <c r="Z39" s="1">
        <v>110</v>
      </c>
      <c r="AA39" s="1">
        <v>232</v>
      </c>
      <c r="AF39" s="1">
        <v>372</v>
      </c>
    </row>
    <row r="40" spans="1:32">
      <c r="A40" s="58">
        <v>33018</v>
      </c>
      <c r="C40" s="1">
        <v>6362</v>
      </c>
      <c r="D40" s="21">
        <f t="shared" si="2"/>
        <v>4.5791883783357018E-3</v>
      </c>
      <c r="E40" s="1">
        <v>6236</v>
      </c>
      <c r="F40" s="1">
        <v>126</v>
      </c>
      <c r="H40" s="1">
        <v>2166</v>
      </c>
      <c r="I40" s="21">
        <f t="shared" si="1"/>
        <v>0.12812499999999999</v>
      </c>
      <c r="J40" s="1">
        <v>530</v>
      </c>
      <c r="T40" s="1">
        <v>40</v>
      </c>
      <c r="Z40" s="1">
        <v>108</v>
      </c>
      <c r="AA40" s="1">
        <v>210</v>
      </c>
      <c r="AF40" s="1">
        <v>449</v>
      </c>
    </row>
    <row r="41" spans="1:32">
      <c r="A41" s="58">
        <v>33025</v>
      </c>
      <c r="C41" s="1">
        <v>6392</v>
      </c>
      <c r="D41" s="21">
        <f t="shared" si="2"/>
        <v>4.7154982709839673E-3</v>
      </c>
      <c r="E41" s="1">
        <v>6293</v>
      </c>
      <c r="F41" s="1">
        <v>99</v>
      </c>
      <c r="H41" s="1">
        <v>2234</v>
      </c>
      <c r="I41" s="21">
        <f t="shared" si="1"/>
        <v>3.139427516158818E-2</v>
      </c>
      <c r="J41" s="1">
        <v>541</v>
      </c>
      <c r="T41" s="1">
        <v>35</v>
      </c>
      <c r="Z41" s="1">
        <v>112</v>
      </c>
      <c r="AA41" s="1">
        <v>207</v>
      </c>
      <c r="AF41" s="1">
        <v>492</v>
      </c>
    </row>
    <row r="42" spans="1:32">
      <c r="A42" s="58">
        <v>33032</v>
      </c>
      <c r="C42" s="1">
        <v>6371</v>
      </c>
      <c r="D42" s="21">
        <f t="shared" si="2"/>
        <v>-3.2853566958698371E-3</v>
      </c>
      <c r="E42" s="1">
        <v>6304</v>
      </c>
      <c r="F42" s="1">
        <v>67</v>
      </c>
      <c r="H42" s="1">
        <v>2240</v>
      </c>
      <c r="I42" s="21">
        <f t="shared" si="1"/>
        <v>2.6857654431512983E-3</v>
      </c>
      <c r="J42" s="1">
        <v>511</v>
      </c>
      <c r="T42" s="1">
        <v>53</v>
      </c>
      <c r="Z42" s="1">
        <v>111</v>
      </c>
      <c r="AA42" s="1">
        <v>199</v>
      </c>
      <c r="AF42" s="1">
        <v>536</v>
      </c>
    </row>
    <row r="43" spans="1:32">
      <c r="A43" s="58">
        <v>33039</v>
      </c>
      <c r="C43" s="1">
        <v>6730</v>
      </c>
      <c r="D43" s="21">
        <f t="shared" si="2"/>
        <v>5.6349081776801133E-2</v>
      </c>
      <c r="E43" s="1">
        <v>6694</v>
      </c>
      <c r="F43" s="1">
        <v>36</v>
      </c>
      <c r="H43" s="1">
        <v>2460</v>
      </c>
      <c r="I43" s="21">
        <f t="shared" si="1"/>
        <v>9.8214285714285712E-2</v>
      </c>
      <c r="J43" s="1">
        <v>523</v>
      </c>
      <c r="T43" s="1">
        <v>68</v>
      </c>
      <c r="Z43" s="1">
        <v>99</v>
      </c>
      <c r="AA43" s="1">
        <v>245</v>
      </c>
      <c r="AF43" s="1">
        <v>625</v>
      </c>
    </row>
    <row r="44" spans="1:32">
      <c r="A44" s="58">
        <v>33046</v>
      </c>
      <c r="C44" s="1">
        <v>6917</v>
      </c>
      <c r="D44" s="21">
        <f t="shared" si="2"/>
        <v>2.7786032689450221E-2</v>
      </c>
      <c r="E44" s="1">
        <v>6917</v>
      </c>
      <c r="F44" s="1">
        <v>0</v>
      </c>
      <c r="H44" s="1">
        <v>2348</v>
      </c>
      <c r="I44" s="21">
        <f t="shared" si="1"/>
        <v>-4.5528455284552849E-2</v>
      </c>
      <c r="J44" s="1">
        <v>490</v>
      </c>
      <c r="T44" s="1">
        <v>111</v>
      </c>
      <c r="Z44" s="1">
        <v>108</v>
      </c>
      <c r="AA44" s="1">
        <v>241</v>
      </c>
      <c r="AF44" s="1">
        <v>551</v>
      </c>
    </row>
    <row r="45" spans="1:32">
      <c r="A45" s="58">
        <v>33053</v>
      </c>
      <c r="C45" s="1">
        <v>6780</v>
      </c>
      <c r="D45" s="21">
        <f t="shared" si="2"/>
        <v>-1.9806274396414629E-2</v>
      </c>
      <c r="E45" s="1">
        <v>6780</v>
      </c>
      <c r="F45" s="1">
        <v>0</v>
      </c>
      <c r="H45" s="1">
        <v>2347</v>
      </c>
      <c r="I45" s="21">
        <f t="shared" si="1"/>
        <v>-4.2589437819420784E-4</v>
      </c>
      <c r="J45" s="1">
        <v>437</v>
      </c>
      <c r="T45" s="1">
        <v>106</v>
      </c>
      <c r="Z45" s="1">
        <v>100</v>
      </c>
      <c r="AA45" s="1">
        <v>261</v>
      </c>
      <c r="AF45" s="1">
        <v>525</v>
      </c>
    </row>
    <row r="46" spans="1:32">
      <c r="A46" s="58">
        <v>33060</v>
      </c>
      <c r="C46" s="1">
        <v>6812</v>
      </c>
      <c r="D46" s="21">
        <f t="shared" si="2"/>
        <v>4.71976401179941E-3</v>
      </c>
      <c r="E46" s="1">
        <v>6812</v>
      </c>
      <c r="F46" s="1">
        <v>0</v>
      </c>
      <c r="H46" s="1">
        <v>2262</v>
      </c>
      <c r="I46" s="21">
        <f t="shared" si="1"/>
        <v>-3.6216446527481891E-2</v>
      </c>
      <c r="J46" s="1">
        <v>427</v>
      </c>
      <c r="T46" s="1">
        <v>77</v>
      </c>
      <c r="Z46" s="1">
        <v>101</v>
      </c>
      <c r="AA46" s="1">
        <v>273</v>
      </c>
      <c r="AF46" s="1">
        <v>478</v>
      </c>
    </row>
    <row r="47" spans="1:32">
      <c r="A47" s="58">
        <v>33067</v>
      </c>
      <c r="C47" s="1">
        <v>6708</v>
      </c>
      <c r="D47" s="21">
        <f t="shared" si="2"/>
        <v>-1.5267175572519083E-2</v>
      </c>
      <c r="E47" s="1">
        <v>6708</v>
      </c>
      <c r="F47" s="1">
        <v>0</v>
      </c>
      <c r="H47" s="1">
        <v>2160</v>
      </c>
      <c r="I47" s="21">
        <f t="shared" si="1"/>
        <v>-4.5092838196286469E-2</v>
      </c>
      <c r="J47" s="1">
        <v>439</v>
      </c>
      <c r="T47" s="1">
        <v>68</v>
      </c>
      <c r="Z47" s="1">
        <v>86</v>
      </c>
      <c r="AA47" s="1">
        <v>270</v>
      </c>
      <c r="AF47" s="1">
        <v>415</v>
      </c>
    </row>
    <row r="48" spans="1:32">
      <c r="A48" s="58">
        <v>33074</v>
      </c>
      <c r="C48" s="1">
        <v>6645</v>
      </c>
      <c r="D48" s="21">
        <f t="shared" si="2"/>
        <v>-9.3917710196779972E-3</v>
      </c>
      <c r="E48" s="1">
        <v>6645</v>
      </c>
      <c r="F48" s="1">
        <v>0</v>
      </c>
      <c r="H48" s="1">
        <v>2114</v>
      </c>
      <c r="I48" s="21">
        <f t="shared" si="1"/>
        <v>-2.1296296296296296E-2</v>
      </c>
      <c r="J48" s="1">
        <v>413</v>
      </c>
      <c r="T48" s="1">
        <v>37</v>
      </c>
      <c r="Z48" s="1">
        <v>83</v>
      </c>
      <c r="AA48" s="1">
        <v>289</v>
      </c>
      <c r="AF48" s="1">
        <v>456</v>
      </c>
    </row>
    <row r="49" spans="1:32">
      <c r="A49" s="58">
        <v>33081</v>
      </c>
      <c r="C49" s="1">
        <v>7007</v>
      </c>
      <c r="D49" s="21">
        <f t="shared" si="2"/>
        <v>5.4477050413844999E-2</v>
      </c>
      <c r="E49" s="1">
        <v>7007</v>
      </c>
      <c r="F49" s="1">
        <v>0</v>
      </c>
      <c r="H49" s="1">
        <v>2144</v>
      </c>
      <c r="I49" s="21">
        <f t="shared" si="1"/>
        <v>1.4191106906338695E-2</v>
      </c>
      <c r="J49" s="1">
        <v>421</v>
      </c>
      <c r="T49" s="1">
        <v>38</v>
      </c>
      <c r="Z49" s="1">
        <v>70</v>
      </c>
      <c r="AA49" s="1">
        <v>231</v>
      </c>
      <c r="AF49" s="1">
        <v>577</v>
      </c>
    </row>
    <row r="50" spans="1:32">
      <c r="A50" s="58">
        <v>33088</v>
      </c>
      <c r="C50" s="1">
        <v>7106</v>
      </c>
      <c r="D50" s="21">
        <f t="shared" si="2"/>
        <v>1.4128728414442701E-2</v>
      </c>
      <c r="E50" s="1">
        <v>7106</v>
      </c>
      <c r="F50" s="1">
        <v>0</v>
      </c>
      <c r="H50" s="1">
        <v>2149</v>
      </c>
      <c r="I50" s="21">
        <f t="shared" si="1"/>
        <v>2.3320895522388058E-3</v>
      </c>
      <c r="J50" s="1">
        <v>423</v>
      </c>
      <c r="T50" s="1">
        <v>54</v>
      </c>
      <c r="Z50" s="1">
        <v>74</v>
      </c>
      <c r="AA50" s="1">
        <v>249</v>
      </c>
      <c r="AF50" s="1">
        <v>562</v>
      </c>
    </row>
    <row r="51" spans="1:32">
      <c r="A51" s="58">
        <v>33095</v>
      </c>
      <c r="C51" s="1">
        <v>6797</v>
      </c>
      <c r="D51" s="21">
        <f t="shared" si="2"/>
        <v>-4.3484379397692091E-2</v>
      </c>
      <c r="E51" s="1">
        <v>6797</v>
      </c>
      <c r="F51" s="1">
        <v>0</v>
      </c>
      <c r="H51" s="1">
        <v>2152</v>
      </c>
      <c r="I51" s="21">
        <f t="shared" si="1"/>
        <v>1.3959981386691485E-3</v>
      </c>
      <c r="J51" s="1">
        <v>432</v>
      </c>
      <c r="T51" s="1">
        <v>65</v>
      </c>
      <c r="Z51" s="1">
        <v>104</v>
      </c>
      <c r="AA51" s="1">
        <v>227</v>
      </c>
      <c r="AF51" s="1">
        <v>593</v>
      </c>
    </row>
    <row r="52" spans="1:32">
      <c r="A52" s="58">
        <v>33102</v>
      </c>
      <c r="C52" s="1">
        <v>6766</v>
      </c>
      <c r="D52" s="21">
        <f t="shared" si="2"/>
        <v>-4.5608356627924087E-3</v>
      </c>
      <c r="E52" s="1">
        <v>6747</v>
      </c>
      <c r="F52" s="1">
        <v>19</v>
      </c>
      <c r="H52" s="1">
        <v>2340</v>
      </c>
      <c r="I52" s="21">
        <f t="shared" si="1"/>
        <v>8.7360594795539037E-2</v>
      </c>
      <c r="J52" s="1">
        <v>452</v>
      </c>
      <c r="T52" s="1">
        <v>68</v>
      </c>
      <c r="Z52" s="1">
        <v>95</v>
      </c>
      <c r="AA52" s="1">
        <v>238</v>
      </c>
      <c r="AF52" s="1">
        <v>550</v>
      </c>
    </row>
    <row r="53" spans="1:32">
      <c r="A53" s="58">
        <v>33109</v>
      </c>
      <c r="C53" s="1">
        <v>6632</v>
      </c>
      <c r="D53" s="21">
        <f t="shared" si="2"/>
        <v>-1.9804906887378067E-2</v>
      </c>
      <c r="E53" s="1">
        <v>6560</v>
      </c>
      <c r="F53" s="1">
        <v>72</v>
      </c>
      <c r="H53" s="1">
        <v>2272</v>
      </c>
      <c r="I53" s="21">
        <f t="shared" si="1"/>
        <v>-2.9059829059829061E-2</v>
      </c>
      <c r="J53" s="1">
        <v>429</v>
      </c>
      <c r="T53" s="1">
        <v>57</v>
      </c>
      <c r="Z53" s="1">
        <v>84</v>
      </c>
      <c r="AA53" s="1">
        <v>273</v>
      </c>
      <c r="AF53" s="1">
        <v>536</v>
      </c>
    </row>
    <row r="54" spans="1:32">
      <c r="A54" s="58">
        <v>33116</v>
      </c>
      <c r="C54" s="1">
        <v>6713</v>
      </c>
      <c r="D54" s="21">
        <f t="shared" si="2"/>
        <v>1.2213510253317249E-2</v>
      </c>
      <c r="E54" s="1">
        <v>6608</v>
      </c>
      <c r="F54" s="1">
        <v>105</v>
      </c>
      <c r="H54" s="1">
        <v>2197</v>
      </c>
      <c r="I54" s="21">
        <f t="shared" si="1"/>
        <v>-3.3010563380281688E-2</v>
      </c>
      <c r="J54" s="1">
        <v>386</v>
      </c>
      <c r="T54" s="1">
        <v>51</v>
      </c>
      <c r="Z54" s="1">
        <v>74</v>
      </c>
      <c r="AA54" s="1">
        <v>267</v>
      </c>
      <c r="AF54" s="1">
        <v>546</v>
      </c>
    </row>
    <row r="55" spans="1:32">
      <c r="A55" s="58">
        <v>33123</v>
      </c>
      <c r="C55" s="1">
        <v>6966</v>
      </c>
      <c r="D55" s="21">
        <f t="shared" si="2"/>
        <v>3.7688067927901088E-2</v>
      </c>
      <c r="E55" s="1">
        <v>6861</v>
      </c>
      <c r="F55" s="1">
        <v>105</v>
      </c>
      <c r="H55" s="1">
        <v>2129</v>
      </c>
      <c r="I55" s="21">
        <f t="shared" si="1"/>
        <v>-3.0951297223486572E-2</v>
      </c>
      <c r="J55" s="1">
        <v>318</v>
      </c>
      <c r="T55" s="1">
        <v>36</v>
      </c>
      <c r="Z55" s="1">
        <v>48</v>
      </c>
      <c r="AA55" s="1">
        <v>273</v>
      </c>
      <c r="AF55" s="1">
        <v>536</v>
      </c>
    </row>
    <row r="56" spans="1:32">
      <c r="A56" s="58">
        <v>33130</v>
      </c>
      <c r="C56" s="1">
        <v>6614</v>
      </c>
      <c r="D56" s="21">
        <f t="shared" si="2"/>
        <v>-5.0531151306345105E-2</v>
      </c>
      <c r="E56" s="1">
        <v>6527</v>
      </c>
      <c r="F56" s="1">
        <v>87</v>
      </c>
      <c r="H56" s="1">
        <v>1978</v>
      </c>
      <c r="I56" s="21">
        <f t="shared" si="1"/>
        <v>-7.0925317050258341E-2</v>
      </c>
      <c r="J56" s="1">
        <v>270</v>
      </c>
      <c r="T56" s="1">
        <v>35</v>
      </c>
      <c r="Z56" s="1">
        <v>41</v>
      </c>
      <c r="AA56" s="1">
        <v>275</v>
      </c>
      <c r="AF56" s="1">
        <v>518</v>
      </c>
    </row>
    <row r="57" spans="1:32">
      <c r="A57" s="58">
        <v>33137</v>
      </c>
      <c r="C57" s="1">
        <v>6473</v>
      </c>
      <c r="D57" s="21">
        <f t="shared" si="2"/>
        <v>-2.1318415482310251E-2</v>
      </c>
      <c r="E57" s="1">
        <v>6439</v>
      </c>
      <c r="F57" s="1">
        <v>33</v>
      </c>
      <c r="H57" s="1">
        <v>1860</v>
      </c>
      <c r="I57" s="21">
        <f t="shared" si="1"/>
        <v>-5.9656218402426693E-2</v>
      </c>
      <c r="J57" s="1">
        <v>302</v>
      </c>
      <c r="T57" s="1">
        <v>44</v>
      </c>
      <c r="Z57" s="1">
        <v>46</v>
      </c>
      <c r="AA57" s="1">
        <v>259</v>
      </c>
      <c r="AF57" s="1">
        <v>401</v>
      </c>
    </row>
    <row r="58" spans="1:32">
      <c r="A58" s="58">
        <v>33144</v>
      </c>
      <c r="C58" s="1">
        <v>6029</v>
      </c>
      <c r="D58" s="21">
        <f t="shared" si="2"/>
        <v>-6.8592615479684843E-2</v>
      </c>
      <c r="E58" s="1">
        <v>6029</v>
      </c>
      <c r="F58" s="1">
        <v>0</v>
      </c>
      <c r="H58" s="1">
        <v>1890</v>
      </c>
      <c r="I58" s="21">
        <f t="shared" si="1"/>
        <v>1.6129032258064516E-2</v>
      </c>
      <c r="J58" s="1">
        <v>345</v>
      </c>
      <c r="T58" s="1">
        <v>44</v>
      </c>
      <c r="Z58" s="1">
        <v>58</v>
      </c>
      <c r="AA58" s="1">
        <v>253</v>
      </c>
      <c r="AF58" s="1">
        <v>323</v>
      </c>
    </row>
    <row r="59" spans="1:32">
      <c r="A59" s="58">
        <v>33151</v>
      </c>
      <c r="C59" s="1">
        <v>5610</v>
      </c>
      <c r="D59" s="21">
        <f t="shared" si="2"/>
        <v>-6.9497429092718527E-2</v>
      </c>
      <c r="E59" s="1">
        <v>5610</v>
      </c>
      <c r="F59" s="1">
        <v>0</v>
      </c>
      <c r="H59" s="1">
        <v>1768</v>
      </c>
      <c r="I59" s="21">
        <f t="shared" si="1"/>
        <v>-6.4550264550264552E-2</v>
      </c>
      <c r="J59" s="1">
        <v>353</v>
      </c>
      <c r="T59" s="1">
        <v>41</v>
      </c>
      <c r="Z59" s="1">
        <v>56</v>
      </c>
      <c r="AA59" s="1">
        <v>229</v>
      </c>
      <c r="AF59" s="1">
        <v>276</v>
      </c>
    </row>
    <row r="60" spans="1:32">
      <c r="A60" s="58">
        <v>33158</v>
      </c>
      <c r="C60" s="1">
        <v>5450</v>
      </c>
      <c r="D60" s="21">
        <f t="shared" si="2"/>
        <v>-2.8520499108734401E-2</v>
      </c>
      <c r="E60" s="1">
        <v>5450</v>
      </c>
      <c r="F60" s="1">
        <v>0</v>
      </c>
      <c r="H60" s="1">
        <v>1612</v>
      </c>
      <c r="I60" s="21">
        <f t="shared" si="1"/>
        <v>-8.8235294117647065E-2</v>
      </c>
      <c r="J60" s="1">
        <v>318</v>
      </c>
      <c r="T60" s="1">
        <v>49</v>
      </c>
      <c r="Z60" s="1">
        <v>54</v>
      </c>
      <c r="AA60" s="1">
        <v>168</v>
      </c>
      <c r="AF60" s="1">
        <v>273</v>
      </c>
    </row>
    <row r="61" spans="1:32">
      <c r="A61" s="58">
        <v>33165</v>
      </c>
      <c r="C61" s="1">
        <v>5110</v>
      </c>
      <c r="D61" s="21">
        <f t="shared" si="2"/>
        <v>-6.2385321100917435E-2</v>
      </c>
      <c r="E61" s="1">
        <v>5110</v>
      </c>
      <c r="F61" s="1">
        <v>0</v>
      </c>
      <c r="H61" s="1">
        <v>1597</v>
      </c>
      <c r="I61" s="21">
        <f t="shared" si="1"/>
        <v>-9.3052109181141433E-3</v>
      </c>
      <c r="J61" s="1">
        <v>264</v>
      </c>
      <c r="T61" s="1">
        <v>46</v>
      </c>
      <c r="Z61" s="1">
        <v>47</v>
      </c>
      <c r="AA61" s="1">
        <v>186</v>
      </c>
      <c r="AF61" s="1">
        <v>269</v>
      </c>
    </row>
    <row r="62" spans="1:32">
      <c r="A62" s="58">
        <v>33172</v>
      </c>
      <c r="C62" s="1">
        <v>5079</v>
      </c>
      <c r="D62" s="21">
        <f t="shared" si="2"/>
        <v>-6.0665362035225052E-3</v>
      </c>
      <c r="E62" s="1">
        <v>5079</v>
      </c>
      <c r="F62" s="1">
        <v>0</v>
      </c>
      <c r="H62" s="1">
        <v>1553</v>
      </c>
      <c r="I62" s="21">
        <f t="shared" si="1"/>
        <v>-2.7551659361302442E-2</v>
      </c>
      <c r="J62" s="1">
        <v>238</v>
      </c>
      <c r="T62" s="1">
        <v>35</v>
      </c>
      <c r="Z62" s="1">
        <v>27</v>
      </c>
      <c r="AA62" s="1">
        <v>190</v>
      </c>
      <c r="AF62" s="1">
        <v>339</v>
      </c>
    </row>
    <row r="63" spans="1:32">
      <c r="A63" s="58">
        <v>33179</v>
      </c>
      <c r="C63" s="1">
        <v>5018</v>
      </c>
      <c r="D63" s="21">
        <f t="shared" si="2"/>
        <v>-1.2010238235873204E-2</v>
      </c>
      <c r="E63" s="1">
        <v>5018</v>
      </c>
      <c r="F63" s="1">
        <v>0</v>
      </c>
      <c r="H63" s="1">
        <v>1649</v>
      </c>
      <c r="I63" s="21">
        <f t="shared" si="1"/>
        <v>6.1815840309079204E-2</v>
      </c>
      <c r="J63" s="1">
        <v>215</v>
      </c>
      <c r="T63" s="1">
        <v>41</v>
      </c>
      <c r="Z63" s="1">
        <v>31</v>
      </c>
      <c r="AA63" s="1">
        <v>221</v>
      </c>
      <c r="AF63" s="1">
        <v>363</v>
      </c>
    </row>
    <row r="64" spans="1:32">
      <c r="A64" s="58">
        <v>33186</v>
      </c>
      <c r="C64" s="1">
        <v>4830</v>
      </c>
      <c r="D64" s="21">
        <f t="shared" si="2"/>
        <v>-3.7465125548027105E-2</v>
      </c>
      <c r="E64" s="1">
        <v>4830</v>
      </c>
      <c r="F64" s="1">
        <v>0</v>
      </c>
      <c r="H64" s="1">
        <v>1692</v>
      </c>
      <c r="I64" s="21">
        <f t="shared" si="1"/>
        <v>2.6076409945421469E-2</v>
      </c>
      <c r="J64" s="1">
        <v>271</v>
      </c>
      <c r="T64" s="1">
        <v>20</v>
      </c>
      <c r="Z64" s="1">
        <v>35</v>
      </c>
      <c r="AA64" s="1">
        <v>256</v>
      </c>
      <c r="AF64" s="1">
        <v>329</v>
      </c>
    </row>
    <row r="65" spans="1:32">
      <c r="A65" s="58">
        <v>33193</v>
      </c>
      <c r="C65" s="1">
        <v>5026</v>
      </c>
      <c r="D65" s="21">
        <f t="shared" si="2"/>
        <v>4.0579710144927533E-2</v>
      </c>
      <c r="E65" s="1">
        <v>5026</v>
      </c>
      <c r="F65" s="1">
        <v>0</v>
      </c>
      <c r="H65" s="1">
        <v>1745</v>
      </c>
      <c r="I65" s="21">
        <f t="shared" si="1"/>
        <v>3.1323877068557916E-2</v>
      </c>
      <c r="J65" s="1">
        <v>291</v>
      </c>
      <c r="T65" s="1">
        <v>23</v>
      </c>
      <c r="Z65" s="1">
        <v>36</v>
      </c>
      <c r="AA65" s="1">
        <v>236</v>
      </c>
      <c r="AF65" s="1">
        <v>380</v>
      </c>
    </row>
    <row r="66" spans="1:32">
      <c r="A66" s="58">
        <v>33200</v>
      </c>
      <c r="C66" s="1">
        <v>5146</v>
      </c>
      <c r="D66" s="21">
        <f t="shared" si="2"/>
        <v>2.3875845602865101E-2</v>
      </c>
      <c r="E66" s="1">
        <v>5146</v>
      </c>
      <c r="F66" s="1">
        <v>0</v>
      </c>
      <c r="H66" s="1">
        <v>1777</v>
      </c>
      <c r="I66" s="21">
        <f t="shared" si="1"/>
        <v>1.8338108882521489E-2</v>
      </c>
      <c r="J66" s="1">
        <v>283</v>
      </c>
      <c r="T66" s="1">
        <v>30</v>
      </c>
      <c r="Z66" s="1">
        <v>52</v>
      </c>
      <c r="AA66" s="1">
        <v>223</v>
      </c>
      <c r="AF66" s="1">
        <v>337</v>
      </c>
    </row>
    <row r="67" spans="1:32">
      <c r="A67" s="58">
        <v>33207</v>
      </c>
      <c r="C67" s="1">
        <v>5050</v>
      </c>
      <c r="D67" s="21">
        <f t="shared" si="2"/>
        <v>-1.8655266226195105E-2</v>
      </c>
      <c r="E67" s="1">
        <v>5050</v>
      </c>
      <c r="F67" s="1">
        <v>0</v>
      </c>
      <c r="H67" s="1">
        <v>1878</v>
      </c>
      <c r="I67" s="21">
        <f t="shared" si="1"/>
        <v>5.6837366347777155E-2</v>
      </c>
      <c r="J67" s="1">
        <v>362</v>
      </c>
      <c r="T67" s="1">
        <v>52</v>
      </c>
      <c r="Z67" s="1">
        <v>50</v>
      </c>
      <c r="AA67" s="1">
        <v>218</v>
      </c>
      <c r="AF67" s="1">
        <v>340</v>
      </c>
    </row>
    <row r="68" spans="1:32">
      <c r="A68" s="58">
        <v>33214</v>
      </c>
      <c r="C68" s="1">
        <v>5197</v>
      </c>
      <c r="D68" s="21">
        <f t="shared" si="2"/>
        <v>2.910891089108911E-2</v>
      </c>
      <c r="E68" s="1">
        <v>5197</v>
      </c>
      <c r="F68" s="1">
        <v>0</v>
      </c>
      <c r="H68" s="1">
        <v>1882</v>
      </c>
      <c r="I68" s="21">
        <f t="shared" si="1"/>
        <v>2.1299254526091589E-3</v>
      </c>
      <c r="J68" s="1">
        <v>351</v>
      </c>
      <c r="T68" s="1">
        <v>52</v>
      </c>
      <c r="Z68" s="1">
        <v>60</v>
      </c>
      <c r="AA68" s="1">
        <v>212</v>
      </c>
      <c r="AF68" s="1">
        <v>378</v>
      </c>
    </row>
    <row r="69" spans="1:32">
      <c r="A69" s="58">
        <v>33221</v>
      </c>
      <c r="C69" s="1">
        <v>5096</v>
      </c>
      <c r="D69" s="21">
        <f t="shared" si="2"/>
        <v>-1.9434289012892052E-2</v>
      </c>
      <c r="E69" s="1">
        <v>5096</v>
      </c>
      <c r="F69" s="1">
        <v>0</v>
      </c>
      <c r="H69" s="1">
        <v>2008</v>
      </c>
      <c r="I69" s="21">
        <f t="shared" si="1"/>
        <v>6.69500531349628E-2</v>
      </c>
      <c r="J69" s="1">
        <v>372</v>
      </c>
      <c r="T69" s="1">
        <v>43</v>
      </c>
      <c r="Z69" s="1">
        <v>82</v>
      </c>
      <c r="AA69" s="1">
        <v>187</v>
      </c>
      <c r="AF69" s="1">
        <v>368</v>
      </c>
    </row>
    <row r="70" spans="1:32">
      <c r="A70" s="58">
        <v>33228</v>
      </c>
      <c r="C70" s="1">
        <v>5055</v>
      </c>
      <c r="D70" s="21">
        <f t="shared" si="2"/>
        <v>-8.0455259026687605E-3</v>
      </c>
      <c r="E70" s="1">
        <v>5055</v>
      </c>
      <c r="F70" s="1">
        <v>0</v>
      </c>
      <c r="H70" s="1">
        <v>1937</v>
      </c>
      <c r="I70" s="21">
        <f t="shared" si="1"/>
        <v>-3.5358565737051796E-2</v>
      </c>
      <c r="J70" s="1">
        <v>339</v>
      </c>
      <c r="T70" s="1">
        <v>37</v>
      </c>
      <c r="Z70" s="1">
        <v>67</v>
      </c>
      <c r="AA70" s="1">
        <v>229</v>
      </c>
      <c r="AF70" s="1">
        <v>357</v>
      </c>
    </row>
    <row r="71" spans="1:32">
      <c r="A71" s="58">
        <v>33235</v>
      </c>
      <c r="C71" s="1">
        <v>5039</v>
      </c>
      <c r="D71" s="21">
        <f t="shared" si="2"/>
        <v>-3.165182987141444E-3</v>
      </c>
      <c r="E71" s="1">
        <v>5039</v>
      </c>
      <c r="F71" s="1">
        <v>0</v>
      </c>
      <c r="H71" s="1">
        <v>1889</v>
      </c>
      <c r="I71" s="21">
        <f t="shared" si="1"/>
        <v>-2.4780588538977799E-2</v>
      </c>
      <c r="J71" s="1">
        <v>301</v>
      </c>
      <c r="T71" s="1">
        <v>16</v>
      </c>
      <c r="Z71" s="1">
        <v>71</v>
      </c>
      <c r="AA71" s="1">
        <v>234</v>
      </c>
      <c r="AF71" s="1">
        <v>410</v>
      </c>
    </row>
    <row r="72" spans="1:32">
      <c r="A72" s="58">
        <v>33242</v>
      </c>
      <c r="C72" s="1">
        <v>5171</v>
      </c>
      <c r="D72" s="21">
        <f t="shared" si="2"/>
        <v>2.6195673744790635E-2</v>
      </c>
      <c r="E72" s="1">
        <v>5171</v>
      </c>
      <c r="F72" s="1">
        <v>0</v>
      </c>
      <c r="H72" s="1">
        <v>1785</v>
      </c>
      <c r="I72" s="21">
        <f t="shared" si="1"/>
        <v>-5.5055584965590258E-2</v>
      </c>
      <c r="J72" s="1">
        <v>255</v>
      </c>
      <c r="T72" s="1">
        <v>14</v>
      </c>
      <c r="Z72" s="1">
        <v>60</v>
      </c>
      <c r="AA72" s="1">
        <v>235</v>
      </c>
      <c r="AF72" s="1">
        <v>382</v>
      </c>
    </row>
    <row r="73" spans="1:32">
      <c r="A73" s="58">
        <v>33249</v>
      </c>
      <c r="C73" s="1">
        <v>5079</v>
      </c>
      <c r="D73" s="21">
        <f t="shared" si="2"/>
        <v>-1.7791529684780507E-2</v>
      </c>
      <c r="E73" s="1">
        <v>5079</v>
      </c>
      <c r="F73" s="1">
        <v>0</v>
      </c>
      <c r="H73" s="1">
        <v>1751</v>
      </c>
      <c r="I73" s="21">
        <f t="shared" si="1"/>
        <v>-1.9047619047619049E-2</v>
      </c>
      <c r="J73" s="1">
        <v>301</v>
      </c>
      <c r="T73" s="1">
        <v>39</v>
      </c>
      <c r="Z73" s="1">
        <v>47</v>
      </c>
      <c r="AA73" s="1">
        <v>263</v>
      </c>
      <c r="AF73" s="1">
        <v>379</v>
      </c>
    </row>
    <row r="74" spans="1:32">
      <c r="A74" s="58">
        <v>33256</v>
      </c>
      <c r="C74" s="1">
        <v>4981</v>
      </c>
      <c r="D74" s="21">
        <f t="shared" si="2"/>
        <v>-1.929513683796023E-2</v>
      </c>
      <c r="E74" s="1">
        <v>4981</v>
      </c>
      <c r="F74" s="1">
        <v>0</v>
      </c>
      <c r="H74" s="1">
        <v>1713</v>
      </c>
      <c r="I74" s="21">
        <f t="shared" si="1"/>
        <v>-2.1701884637350087E-2</v>
      </c>
      <c r="J74" s="1">
        <v>321</v>
      </c>
      <c r="T74" s="1">
        <v>59</v>
      </c>
      <c r="Z74" s="1">
        <v>48</v>
      </c>
      <c r="AA74" s="1">
        <v>201</v>
      </c>
      <c r="AF74" s="1">
        <v>418</v>
      </c>
    </row>
    <row r="75" spans="1:32">
      <c r="A75" s="58">
        <v>33263</v>
      </c>
      <c r="C75" s="1">
        <v>5144</v>
      </c>
      <c r="D75" s="21">
        <f t="shared" si="2"/>
        <v>3.272435253965067E-2</v>
      </c>
      <c r="E75" s="1">
        <v>5144</v>
      </c>
      <c r="F75" s="1">
        <v>0</v>
      </c>
      <c r="H75" s="1">
        <v>1653</v>
      </c>
      <c r="I75" s="21">
        <f t="shared" si="1"/>
        <v>-3.5026269702276708E-2</v>
      </c>
      <c r="J75" s="1">
        <v>303</v>
      </c>
      <c r="T75" s="1">
        <v>61</v>
      </c>
      <c r="Z75" s="1">
        <v>39</v>
      </c>
      <c r="AA75" s="1">
        <v>182</v>
      </c>
      <c r="AF75" s="1">
        <v>361</v>
      </c>
    </row>
    <row r="76" spans="1:32">
      <c r="A76" s="58">
        <v>33270</v>
      </c>
      <c r="C76" s="1">
        <v>5313</v>
      </c>
      <c r="D76" s="21">
        <f t="shared" si="2"/>
        <v>3.2853810264385691E-2</v>
      </c>
      <c r="E76" s="1">
        <v>5313</v>
      </c>
      <c r="F76" s="1">
        <v>0</v>
      </c>
      <c r="H76" s="1">
        <v>1711</v>
      </c>
      <c r="I76" s="21">
        <f t="shared" si="1"/>
        <v>3.5087719298245612E-2</v>
      </c>
      <c r="J76" s="1">
        <v>307</v>
      </c>
      <c r="T76" s="1">
        <v>66</v>
      </c>
      <c r="Z76" s="1">
        <v>45</v>
      </c>
      <c r="AA76" s="1">
        <v>148</v>
      </c>
      <c r="AF76" s="1">
        <v>395</v>
      </c>
    </row>
    <row r="77" spans="1:32">
      <c r="A77" s="58">
        <v>33277</v>
      </c>
      <c r="C77" s="1">
        <v>5482</v>
      </c>
      <c r="D77" s="21">
        <f t="shared" si="2"/>
        <v>3.180877093920572E-2</v>
      </c>
      <c r="E77" s="1">
        <v>5482</v>
      </c>
      <c r="F77" s="1">
        <v>0</v>
      </c>
      <c r="H77" s="1">
        <v>1528</v>
      </c>
      <c r="I77" s="21">
        <f t="shared" si="1"/>
        <v>-0.10695499707773232</v>
      </c>
      <c r="J77" s="1">
        <v>210</v>
      </c>
      <c r="T77" s="1">
        <v>42</v>
      </c>
      <c r="Z77" s="1">
        <v>38</v>
      </c>
      <c r="AA77" s="1">
        <v>150</v>
      </c>
      <c r="AF77" s="1">
        <v>363</v>
      </c>
    </row>
    <row r="78" spans="1:32">
      <c r="A78" s="58">
        <v>33284</v>
      </c>
      <c r="C78" s="1">
        <v>5601</v>
      </c>
      <c r="D78" s="21">
        <f t="shared" si="2"/>
        <v>2.1707406056183876E-2</v>
      </c>
      <c r="E78" s="1">
        <v>5601</v>
      </c>
      <c r="F78" s="1">
        <v>0</v>
      </c>
      <c r="H78" s="1">
        <v>1432</v>
      </c>
      <c r="I78" s="21">
        <f t="shared" si="1"/>
        <v>-6.2827225130890049E-2</v>
      </c>
      <c r="J78" s="1">
        <v>196</v>
      </c>
      <c r="T78" s="1">
        <v>38</v>
      </c>
      <c r="Z78" s="1">
        <v>36</v>
      </c>
      <c r="AA78" s="1">
        <v>117</v>
      </c>
      <c r="AF78" s="1">
        <v>337</v>
      </c>
    </row>
    <row r="79" spans="1:32">
      <c r="A79" s="58">
        <v>33291</v>
      </c>
      <c r="C79" s="1">
        <v>5554</v>
      </c>
      <c r="D79" s="21">
        <f t="shared" si="2"/>
        <v>-8.3913586859489381E-3</v>
      </c>
      <c r="E79" s="1">
        <v>5554</v>
      </c>
      <c r="F79" s="1">
        <v>0</v>
      </c>
      <c r="H79" s="1">
        <v>1319</v>
      </c>
      <c r="I79" s="21">
        <f t="shared" si="1"/>
        <v>-7.8910614525139658E-2</v>
      </c>
      <c r="J79" s="1">
        <v>157</v>
      </c>
      <c r="T79" s="1">
        <v>40</v>
      </c>
      <c r="Z79" s="1">
        <v>40</v>
      </c>
      <c r="AA79" s="1">
        <v>104</v>
      </c>
      <c r="AF79" s="1">
        <v>349</v>
      </c>
    </row>
    <row r="80" spans="1:32">
      <c r="A80" s="58">
        <v>33298</v>
      </c>
      <c r="C80" s="1">
        <v>5247</v>
      </c>
      <c r="D80" s="21">
        <f t="shared" si="2"/>
        <v>-5.5275477133597407E-2</v>
      </c>
      <c r="E80" s="1">
        <v>5247</v>
      </c>
      <c r="F80" s="1">
        <v>0</v>
      </c>
      <c r="H80" s="1">
        <v>1218</v>
      </c>
      <c r="I80" s="21">
        <f t="shared" si="1"/>
        <v>-7.657316148597422E-2</v>
      </c>
      <c r="J80" s="1">
        <v>148</v>
      </c>
      <c r="T80" s="1">
        <v>43</v>
      </c>
      <c r="Z80" s="1">
        <v>29</v>
      </c>
      <c r="AA80" s="1">
        <v>119</v>
      </c>
      <c r="AF80" s="1">
        <v>309</v>
      </c>
    </row>
    <row r="81" spans="1:32">
      <c r="A81" s="58">
        <v>33305</v>
      </c>
      <c r="C81" s="1">
        <v>5219</v>
      </c>
      <c r="D81" s="21">
        <f t="shared" si="2"/>
        <v>-5.3363826948732611E-3</v>
      </c>
      <c r="E81" s="1">
        <v>5219</v>
      </c>
      <c r="F81" s="1">
        <v>0</v>
      </c>
      <c r="H81" s="1">
        <v>1309</v>
      </c>
      <c r="I81" s="21">
        <f t="shared" si="1"/>
        <v>7.4712643678160925E-2</v>
      </c>
      <c r="J81" s="1">
        <v>177</v>
      </c>
      <c r="T81" s="1">
        <v>50</v>
      </c>
      <c r="Z81" s="1">
        <v>31</v>
      </c>
      <c r="AA81" s="1">
        <v>123</v>
      </c>
      <c r="AF81" s="1">
        <v>297</v>
      </c>
    </row>
    <row r="82" spans="1:32">
      <c r="A82" s="58">
        <v>33312</v>
      </c>
      <c r="C82" s="1">
        <v>5065</v>
      </c>
      <c r="D82" s="21">
        <f t="shared" si="2"/>
        <v>-2.9507568499712589E-2</v>
      </c>
      <c r="E82" s="1">
        <v>5065</v>
      </c>
      <c r="F82" s="1">
        <v>0</v>
      </c>
      <c r="H82" s="1">
        <v>1330</v>
      </c>
      <c r="I82" s="21">
        <f t="shared" si="1"/>
        <v>1.6042780748663103E-2</v>
      </c>
      <c r="J82" s="1">
        <v>151</v>
      </c>
      <c r="T82" s="1">
        <v>33</v>
      </c>
      <c r="Z82" s="1">
        <v>37</v>
      </c>
      <c r="AA82" s="1">
        <v>175</v>
      </c>
      <c r="AF82" s="1">
        <v>318</v>
      </c>
    </row>
    <row r="83" spans="1:32">
      <c r="A83" s="58">
        <v>33319</v>
      </c>
      <c r="C83" s="1">
        <v>5178</v>
      </c>
      <c r="D83" s="21">
        <f t="shared" si="2"/>
        <v>2.2309970384995065E-2</v>
      </c>
      <c r="E83" s="1">
        <v>5178</v>
      </c>
      <c r="F83" s="1">
        <v>0</v>
      </c>
      <c r="H83" s="1">
        <v>1346</v>
      </c>
      <c r="I83" s="21">
        <f t="shared" si="1"/>
        <v>1.2030075187969926E-2</v>
      </c>
      <c r="J83" s="1">
        <v>194</v>
      </c>
      <c r="T83" s="1">
        <v>45</v>
      </c>
      <c r="Z83" s="1">
        <v>40</v>
      </c>
      <c r="AA83" s="1">
        <v>204</v>
      </c>
      <c r="AF83" s="1">
        <v>297</v>
      </c>
    </row>
    <row r="84" spans="1:32">
      <c r="A84" s="58">
        <v>33326</v>
      </c>
      <c r="C84" s="1">
        <v>5252</v>
      </c>
      <c r="D84" s="21">
        <f t="shared" si="2"/>
        <v>1.4291232135959829E-2</v>
      </c>
      <c r="E84" s="1">
        <v>5252</v>
      </c>
      <c r="F84" s="1">
        <v>0</v>
      </c>
      <c r="H84" s="1">
        <v>1408</v>
      </c>
      <c r="I84" s="21">
        <f t="shared" si="1"/>
        <v>4.6062407132243688E-2</v>
      </c>
      <c r="J84" s="1">
        <v>260</v>
      </c>
      <c r="T84" s="1">
        <v>50</v>
      </c>
      <c r="Z84" s="1">
        <v>50</v>
      </c>
      <c r="AA84" s="1">
        <v>229</v>
      </c>
      <c r="AF84" s="1">
        <v>277</v>
      </c>
    </row>
    <row r="85" spans="1:32">
      <c r="A85" s="58">
        <v>33333</v>
      </c>
      <c r="C85" s="1">
        <v>5258</v>
      </c>
      <c r="D85" s="21">
        <f t="shared" si="2"/>
        <v>1.1424219345011425E-3</v>
      </c>
      <c r="E85" s="1">
        <v>5258</v>
      </c>
      <c r="F85" s="1">
        <v>0</v>
      </c>
      <c r="H85" s="1">
        <v>1442</v>
      </c>
      <c r="I85" s="21">
        <f t="shared" si="1"/>
        <v>2.4147727272727272E-2</v>
      </c>
      <c r="J85" s="1">
        <v>301</v>
      </c>
      <c r="T85" s="1">
        <v>55</v>
      </c>
      <c r="Z85" s="1">
        <v>53</v>
      </c>
      <c r="AA85" s="1">
        <v>244</v>
      </c>
      <c r="AF85" s="1">
        <v>330</v>
      </c>
    </row>
    <row r="86" spans="1:32">
      <c r="A86" s="58">
        <v>33340</v>
      </c>
      <c r="C86" s="1">
        <v>5603</v>
      </c>
      <c r="D86" s="21">
        <f t="shared" si="2"/>
        <v>6.5614302015975651E-2</v>
      </c>
      <c r="E86" s="1">
        <v>5603</v>
      </c>
      <c r="F86" s="1">
        <v>0</v>
      </c>
      <c r="H86" s="1">
        <v>1474</v>
      </c>
      <c r="I86" s="21">
        <f t="shared" si="1"/>
        <v>2.2191400832177532E-2</v>
      </c>
      <c r="J86" s="1">
        <v>334</v>
      </c>
      <c r="T86" s="1">
        <v>67</v>
      </c>
      <c r="Z86" s="1">
        <v>51</v>
      </c>
      <c r="AA86" s="1">
        <v>226</v>
      </c>
      <c r="AF86" s="1">
        <v>315</v>
      </c>
    </row>
    <row r="87" spans="1:32">
      <c r="A87" s="58">
        <v>33347</v>
      </c>
      <c r="C87" s="1">
        <v>5422</v>
      </c>
      <c r="D87" s="21">
        <f t="shared" si="2"/>
        <v>-3.2304122791361772E-2</v>
      </c>
      <c r="E87" s="1">
        <v>5422</v>
      </c>
      <c r="F87" s="1">
        <v>0</v>
      </c>
      <c r="H87" s="1">
        <v>1596</v>
      </c>
      <c r="I87" s="21">
        <f t="shared" si="1"/>
        <v>8.2767978290366348E-2</v>
      </c>
      <c r="J87" s="1">
        <v>378</v>
      </c>
      <c r="T87" s="1">
        <v>40</v>
      </c>
      <c r="Z87" s="1">
        <v>49</v>
      </c>
      <c r="AA87" s="1">
        <v>228</v>
      </c>
      <c r="AF87" s="1">
        <v>346</v>
      </c>
    </row>
    <row r="88" spans="1:32">
      <c r="A88" s="58">
        <v>33354</v>
      </c>
      <c r="C88" s="1">
        <v>5456</v>
      </c>
      <c r="D88" s="21">
        <f t="shared" si="2"/>
        <v>6.270748801180376E-3</v>
      </c>
      <c r="E88" s="1">
        <v>5456</v>
      </c>
      <c r="F88" s="1">
        <v>0</v>
      </c>
      <c r="H88" s="1">
        <v>1712</v>
      </c>
      <c r="I88" s="21">
        <f t="shared" si="1"/>
        <v>7.2681704260651625E-2</v>
      </c>
      <c r="J88" s="1">
        <v>379</v>
      </c>
      <c r="T88" s="1">
        <v>48</v>
      </c>
      <c r="Z88" s="1">
        <v>52</v>
      </c>
      <c r="AA88" s="1">
        <v>213</v>
      </c>
      <c r="AF88" s="1">
        <v>364</v>
      </c>
    </row>
    <row r="89" spans="1:32">
      <c r="A89" s="58">
        <v>33361</v>
      </c>
      <c r="C89" s="1">
        <v>5416</v>
      </c>
      <c r="D89" s="21">
        <f t="shared" si="2"/>
        <v>-7.331378299120235E-3</v>
      </c>
      <c r="E89" s="1">
        <v>5416</v>
      </c>
      <c r="F89" s="1">
        <v>0</v>
      </c>
      <c r="H89" s="1">
        <v>1703</v>
      </c>
      <c r="I89" s="21">
        <f t="shared" si="1"/>
        <v>-5.2570093457943922E-3</v>
      </c>
      <c r="J89" s="1">
        <v>417</v>
      </c>
      <c r="T89" s="1">
        <v>72</v>
      </c>
      <c r="Z89" s="1">
        <v>54</v>
      </c>
      <c r="AA89" s="1">
        <v>193</v>
      </c>
      <c r="AF89" s="1">
        <v>282</v>
      </c>
    </row>
    <row r="90" spans="1:32">
      <c r="A90" s="58">
        <v>33368</v>
      </c>
      <c r="C90" s="1">
        <v>5462</v>
      </c>
      <c r="D90" s="21">
        <f t="shared" si="2"/>
        <v>8.4933530280649934E-3</v>
      </c>
      <c r="E90" s="1">
        <v>5462</v>
      </c>
      <c r="F90" s="1">
        <v>0</v>
      </c>
      <c r="H90" s="1">
        <v>1882</v>
      </c>
      <c r="I90" s="21">
        <f t="shared" ref="I90:I153" si="3">(H90-H89)/H89</f>
        <v>0.10510863182618908</v>
      </c>
      <c r="J90" s="1">
        <v>474</v>
      </c>
      <c r="T90" s="1">
        <v>72</v>
      </c>
      <c r="Z90" s="1">
        <v>64</v>
      </c>
      <c r="AA90" s="1">
        <v>224</v>
      </c>
      <c r="AF90" s="1">
        <v>293</v>
      </c>
    </row>
    <row r="91" spans="1:32">
      <c r="A91" s="58">
        <v>33375</v>
      </c>
      <c r="C91" s="1">
        <v>5770</v>
      </c>
      <c r="D91" s="21">
        <f t="shared" si="2"/>
        <v>5.6389600878798976E-2</v>
      </c>
      <c r="E91" s="1">
        <v>5770</v>
      </c>
      <c r="F91" s="1">
        <v>0</v>
      </c>
      <c r="H91" s="1">
        <v>1815</v>
      </c>
      <c r="I91" s="21">
        <f t="shared" si="3"/>
        <v>-3.5600425079702444E-2</v>
      </c>
      <c r="J91" s="1">
        <v>428</v>
      </c>
      <c r="T91" s="1">
        <v>82</v>
      </c>
      <c r="Z91" s="1">
        <v>58</v>
      </c>
      <c r="AA91" s="1">
        <v>173</v>
      </c>
      <c r="AF91" s="1">
        <v>290</v>
      </c>
    </row>
    <row r="92" spans="1:32">
      <c r="A92" s="58">
        <v>33382</v>
      </c>
      <c r="C92" s="1">
        <v>5959</v>
      </c>
      <c r="D92" s="21">
        <f t="shared" si="2"/>
        <v>3.2755632582322357E-2</v>
      </c>
      <c r="E92" s="1">
        <v>5959</v>
      </c>
      <c r="F92" s="1">
        <v>0</v>
      </c>
      <c r="H92" s="1">
        <v>1783</v>
      </c>
      <c r="I92" s="21">
        <f t="shared" si="3"/>
        <v>-1.7630853994490357E-2</v>
      </c>
      <c r="J92" s="1">
        <v>452</v>
      </c>
      <c r="T92" s="1">
        <v>62</v>
      </c>
      <c r="Z92" s="1">
        <v>61</v>
      </c>
      <c r="AA92" s="1">
        <v>158</v>
      </c>
      <c r="AF92" s="1">
        <v>336</v>
      </c>
    </row>
    <row r="93" spans="1:32">
      <c r="A93" s="58">
        <v>33389</v>
      </c>
      <c r="C93" s="1">
        <v>6294</v>
      </c>
      <c r="D93" s="21">
        <f t="shared" ref="D93:D156" si="4">(C93-C92)/C92</f>
        <v>5.6217486155395201E-2</v>
      </c>
      <c r="E93" s="1">
        <v>6294</v>
      </c>
      <c r="F93" s="1">
        <v>0</v>
      </c>
      <c r="H93" s="1">
        <v>1878</v>
      </c>
      <c r="I93" s="21">
        <f t="shared" si="3"/>
        <v>5.3280987100392599E-2</v>
      </c>
      <c r="J93" s="1">
        <v>429</v>
      </c>
      <c r="T93" s="1">
        <v>26</v>
      </c>
      <c r="Z93" s="1">
        <v>63</v>
      </c>
      <c r="AA93" s="1">
        <v>143</v>
      </c>
      <c r="AF93" s="1">
        <v>415</v>
      </c>
    </row>
    <row r="94" spans="1:32">
      <c r="A94" s="58">
        <v>33396</v>
      </c>
      <c r="C94" s="1">
        <v>6416</v>
      </c>
      <c r="D94" s="21">
        <f t="shared" si="4"/>
        <v>1.9383539879250081E-2</v>
      </c>
      <c r="E94" s="1">
        <v>6416</v>
      </c>
      <c r="F94" s="1">
        <v>0</v>
      </c>
      <c r="H94" s="1">
        <v>1753</v>
      </c>
      <c r="I94" s="21">
        <f t="shared" si="3"/>
        <v>-6.6560170394036208E-2</v>
      </c>
      <c r="J94" s="1">
        <v>384</v>
      </c>
      <c r="T94" s="1">
        <v>18</v>
      </c>
      <c r="Z94" s="1">
        <v>71</v>
      </c>
      <c r="AA94" s="1">
        <v>110</v>
      </c>
      <c r="AF94" s="1">
        <v>421</v>
      </c>
    </row>
    <row r="95" spans="1:32">
      <c r="A95" s="58">
        <v>33403</v>
      </c>
      <c r="C95" s="1">
        <v>6465</v>
      </c>
      <c r="D95" s="21">
        <f t="shared" si="4"/>
        <v>7.6371571072319198E-3</v>
      </c>
      <c r="E95" s="1">
        <v>6465</v>
      </c>
      <c r="F95" s="1">
        <v>0</v>
      </c>
      <c r="H95" s="1">
        <v>1833</v>
      </c>
      <c r="I95" s="21">
        <f t="shared" si="3"/>
        <v>4.5636052481460354E-2</v>
      </c>
      <c r="J95" s="1">
        <v>479</v>
      </c>
      <c r="T95" s="1">
        <v>11</v>
      </c>
      <c r="Z95" s="1">
        <v>73</v>
      </c>
      <c r="AA95" s="1">
        <v>160</v>
      </c>
      <c r="AF95" s="1">
        <v>413</v>
      </c>
    </row>
    <row r="96" spans="1:32">
      <c r="A96" s="58">
        <v>33410</v>
      </c>
      <c r="C96" s="1">
        <v>6405</v>
      </c>
      <c r="D96" s="21">
        <f t="shared" si="4"/>
        <v>-9.2807424593967514E-3</v>
      </c>
      <c r="E96" s="1">
        <v>6405</v>
      </c>
      <c r="F96" s="1">
        <v>0</v>
      </c>
      <c r="H96" s="1">
        <v>1805</v>
      </c>
      <c r="I96" s="21">
        <f t="shared" si="3"/>
        <v>-1.5275504637206765E-2</v>
      </c>
      <c r="J96" s="1">
        <v>449</v>
      </c>
      <c r="T96" s="1">
        <v>28</v>
      </c>
      <c r="Z96" s="1">
        <v>68</v>
      </c>
      <c r="AA96" s="1">
        <v>176</v>
      </c>
      <c r="AF96" s="1">
        <v>418</v>
      </c>
    </row>
    <row r="97" spans="1:32">
      <c r="A97" s="58">
        <v>33417</v>
      </c>
      <c r="C97" s="1">
        <v>6529</v>
      </c>
      <c r="D97" s="21">
        <f t="shared" si="4"/>
        <v>1.9359875097580016E-2</v>
      </c>
      <c r="E97" s="1">
        <v>6529</v>
      </c>
      <c r="F97" s="1">
        <v>0</v>
      </c>
      <c r="H97" s="1">
        <v>1753</v>
      </c>
      <c r="I97" s="21">
        <f t="shared" si="3"/>
        <v>-2.8808864265927978E-2</v>
      </c>
      <c r="J97" s="1">
        <v>408</v>
      </c>
      <c r="T97" s="1">
        <v>29</v>
      </c>
      <c r="Z97" s="1">
        <v>60</v>
      </c>
      <c r="AA97" s="1">
        <v>188</v>
      </c>
      <c r="AF97" s="1">
        <v>455</v>
      </c>
    </row>
    <row r="98" spans="1:32">
      <c r="A98" s="58">
        <v>33424</v>
      </c>
      <c r="C98" s="1">
        <v>6016</v>
      </c>
      <c r="D98" s="21">
        <f t="shared" si="4"/>
        <v>-7.8572522591514773E-2</v>
      </c>
      <c r="E98" s="1">
        <v>6016</v>
      </c>
      <c r="F98" s="1">
        <v>0</v>
      </c>
      <c r="H98" s="1">
        <v>1796</v>
      </c>
      <c r="I98" s="21">
        <f t="shared" si="3"/>
        <v>2.4529378208784942E-2</v>
      </c>
      <c r="J98" s="1">
        <v>416</v>
      </c>
      <c r="T98" s="1">
        <v>29</v>
      </c>
      <c r="Z98" s="1">
        <v>45</v>
      </c>
      <c r="AA98" s="1">
        <v>176</v>
      </c>
      <c r="AF98" s="1">
        <v>440</v>
      </c>
    </row>
    <row r="99" spans="1:32">
      <c r="A99" s="58">
        <v>33431</v>
      </c>
      <c r="C99" s="1">
        <v>5988</v>
      </c>
      <c r="D99" s="21">
        <f t="shared" si="4"/>
        <v>-4.6542553191489359E-3</v>
      </c>
      <c r="E99" s="1">
        <v>5988</v>
      </c>
      <c r="F99" s="1">
        <v>0</v>
      </c>
      <c r="H99" s="1">
        <v>1645</v>
      </c>
      <c r="I99" s="21">
        <f t="shared" si="3"/>
        <v>-8.4075723830734972E-2</v>
      </c>
      <c r="J99" s="1">
        <v>287</v>
      </c>
      <c r="T99" s="1">
        <v>28</v>
      </c>
      <c r="Z99" s="1">
        <v>62</v>
      </c>
      <c r="AA99" s="1">
        <v>143</v>
      </c>
      <c r="AF99" s="1">
        <v>443</v>
      </c>
    </row>
    <row r="100" spans="1:32">
      <c r="A100" s="58">
        <v>33438</v>
      </c>
      <c r="C100" s="1">
        <v>6151</v>
      </c>
      <c r="D100" s="21">
        <f t="shared" si="4"/>
        <v>2.7221108884435536E-2</v>
      </c>
      <c r="E100" s="1">
        <v>6151</v>
      </c>
      <c r="F100" s="1">
        <v>0</v>
      </c>
      <c r="H100" s="1">
        <v>1698</v>
      </c>
      <c r="I100" s="21">
        <f t="shared" si="3"/>
        <v>3.2218844984802431E-2</v>
      </c>
      <c r="J100" s="1">
        <v>262</v>
      </c>
      <c r="T100" s="1">
        <v>9</v>
      </c>
      <c r="Z100" s="1">
        <v>59</v>
      </c>
      <c r="AA100" s="1">
        <v>134</v>
      </c>
      <c r="AF100" s="1">
        <v>443</v>
      </c>
    </row>
    <row r="101" spans="1:32">
      <c r="A101" s="58">
        <v>33445</v>
      </c>
      <c r="C101" s="1">
        <v>5813</v>
      </c>
      <c r="D101" s="21">
        <f t="shared" si="4"/>
        <v>-5.4950414566737119E-2</v>
      </c>
      <c r="E101" s="1">
        <v>5813</v>
      </c>
      <c r="F101" s="1">
        <v>0</v>
      </c>
      <c r="H101" s="1">
        <v>1552</v>
      </c>
      <c r="I101" s="21">
        <f t="shared" si="3"/>
        <v>-8.5983510011778563E-2</v>
      </c>
      <c r="J101" s="1">
        <v>211</v>
      </c>
      <c r="T101" s="1">
        <v>19</v>
      </c>
      <c r="Z101" s="1">
        <v>57</v>
      </c>
      <c r="AA101" s="1">
        <v>113</v>
      </c>
      <c r="AF101" s="1">
        <v>364</v>
      </c>
    </row>
    <row r="102" spans="1:32">
      <c r="A102" s="58">
        <v>33452</v>
      </c>
      <c r="C102" s="1">
        <v>6032</v>
      </c>
      <c r="D102" s="21">
        <f t="shared" si="4"/>
        <v>3.7674178565284704E-2</v>
      </c>
      <c r="E102" s="1">
        <v>6032</v>
      </c>
      <c r="F102" s="1">
        <v>0</v>
      </c>
      <c r="H102" s="1">
        <v>1579</v>
      </c>
      <c r="I102" s="21">
        <f t="shared" si="3"/>
        <v>1.7396907216494846E-2</v>
      </c>
      <c r="J102" s="1">
        <v>186</v>
      </c>
      <c r="T102" s="1">
        <v>27</v>
      </c>
      <c r="Z102" s="1">
        <v>63</v>
      </c>
      <c r="AA102" s="1">
        <v>150</v>
      </c>
      <c r="AF102" s="1">
        <v>332</v>
      </c>
    </row>
    <row r="103" spans="1:32">
      <c r="A103" s="58">
        <v>33459</v>
      </c>
      <c r="C103" s="1">
        <v>6208</v>
      </c>
      <c r="D103" s="21">
        <f t="shared" si="4"/>
        <v>2.9177718832891247E-2</v>
      </c>
      <c r="E103" s="1">
        <v>6208</v>
      </c>
      <c r="F103" s="1">
        <v>0</v>
      </c>
      <c r="H103" s="1">
        <v>1602</v>
      </c>
      <c r="I103" s="21">
        <f t="shared" si="3"/>
        <v>1.4566181127295756E-2</v>
      </c>
      <c r="J103" s="1">
        <v>216</v>
      </c>
      <c r="T103" s="1">
        <v>36</v>
      </c>
      <c r="Z103" s="1">
        <v>68</v>
      </c>
      <c r="AA103" s="1">
        <v>139</v>
      </c>
      <c r="AF103" s="1">
        <v>334</v>
      </c>
    </row>
    <row r="104" spans="1:32">
      <c r="A104" s="58">
        <v>33466</v>
      </c>
      <c r="C104" s="1">
        <v>6378</v>
      </c>
      <c r="D104" s="21">
        <f t="shared" si="4"/>
        <v>2.7384020618556701E-2</v>
      </c>
      <c r="E104" s="1">
        <v>6378</v>
      </c>
      <c r="F104" s="1">
        <v>0</v>
      </c>
      <c r="H104" s="1">
        <v>1601</v>
      </c>
      <c r="I104" s="21">
        <f t="shared" si="3"/>
        <v>-6.2421972534332086E-4</v>
      </c>
      <c r="J104" s="1">
        <v>204</v>
      </c>
      <c r="T104" s="1">
        <v>37</v>
      </c>
      <c r="Z104" s="1">
        <v>90</v>
      </c>
      <c r="AA104" s="1">
        <v>133</v>
      </c>
      <c r="AF104" s="1">
        <v>351</v>
      </c>
    </row>
    <row r="105" spans="1:32">
      <c r="A105" s="58">
        <v>33473</v>
      </c>
      <c r="C105" s="1">
        <v>6543</v>
      </c>
      <c r="D105" s="21">
        <f t="shared" si="4"/>
        <v>2.5870178739416744E-2</v>
      </c>
      <c r="E105" s="1">
        <v>6543</v>
      </c>
      <c r="F105" s="1">
        <v>0</v>
      </c>
      <c r="H105" s="1">
        <v>1751</v>
      </c>
      <c r="I105" s="21">
        <f t="shared" si="3"/>
        <v>9.3691442848219869E-2</v>
      </c>
      <c r="J105" s="1">
        <v>307</v>
      </c>
      <c r="T105" s="1">
        <v>28</v>
      </c>
      <c r="Z105" s="1">
        <v>96</v>
      </c>
      <c r="AA105" s="1">
        <v>150</v>
      </c>
      <c r="AF105" s="1">
        <v>410</v>
      </c>
    </row>
    <row r="106" spans="1:32">
      <c r="A106" s="58">
        <v>33480</v>
      </c>
      <c r="C106" s="1">
        <v>6634</v>
      </c>
      <c r="D106" s="21">
        <f t="shared" si="4"/>
        <v>1.3907993275255999E-2</v>
      </c>
      <c r="E106" s="1">
        <v>6634</v>
      </c>
      <c r="F106" s="1">
        <v>0</v>
      </c>
      <c r="H106" s="1">
        <v>1753</v>
      </c>
      <c r="I106" s="21">
        <f t="shared" si="3"/>
        <v>1.1422044545973729E-3</v>
      </c>
      <c r="J106" s="1">
        <v>332</v>
      </c>
      <c r="T106" s="1">
        <v>18</v>
      </c>
      <c r="Z106" s="1">
        <v>82</v>
      </c>
      <c r="AA106" s="1">
        <v>119</v>
      </c>
      <c r="AF106" s="1">
        <v>465</v>
      </c>
    </row>
    <row r="107" spans="1:32">
      <c r="A107" s="58">
        <v>33487</v>
      </c>
      <c r="C107" s="1">
        <v>6589</v>
      </c>
      <c r="D107" s="21">
        <f t="shared" si="4"/>
        <v>-6.7832378655411519E-3</v>
      </c>
      <c r="E107" s="1">
        <v>6589</v>
      </c>
      <c r="F107" s="1">
        <v>0</v>
      </c>
      <c r="H107" s="1">
        <v>1878</v>
      </c>
      <c r="I107" s="21">
        <f t="shared" si="3"/>
        <v>7.13063320022818E-2</v>
      </c>
      <c r="J107" s="1">
        <v>348</v>
      </c>
      <c r="T107" s="1">
        <v>8</v>
      </c>
      <c r="Z107" s="1">
        <v>80</v>
      </c>
      <c r="AA107" s="1">
        <v>148</v>
      </c>
      <c r="AF107" s="1">
        <v>480</v>
      </c>
    </row>
    <row r="108" spans="1:32">
      <c r="A108" s="58">
        <v>33494</v>
      </c>
      <c r="C108" s="1">
        <v>6226</v>
      </c>
      <c r="D108" s="21">
        <f t="shared" si="4"/>
        <v>-5.5091819699499167E-2</v>
      </c>
      <c r="E108" s="1">
        <v>6226</v>
      </c>
      <c r="F108" s="1">
        <v>0</v>
      </c>
      <c r="H108" s="1">
        <v>1798</v>
      </c>
      <c r="I108" s="21">
        <f t="shared" si="3"/>
        <v>-4.2598509052183174E-2</v>
      </c>
      <c r="J108" s="1">
        <v>368</v>
      </c>
      <c r="T108" s="1">
        <v>7</v>
      </c>
      <c r="Z108" s="1">
        <v>64</v>
      </c>
      <c r="AA108" s="1">
        <v>178</v>
      </c>
      <c r="AF108" s="1">
        <v>402</v>
      </c>
    </row>
    <row r="109" spans="1:32">
      <c r="A109" s="58">
        <v>33501</v>
      </c>
      <c r="C109" s="1">
        <v>6288</v>
      </c>
      <c r="D109" s="21">
        <f t="shared" si="4"/>
        <v>9.958239640218438E-3</v>
      </c>
      <c r="E109" s="1">
        <v>6288</v>
      </c>
      <c r="F109" s="1">
        <v>0</v>
      </c>
      <c r="H109" s="1">
        <v>1905</v>
      </c>
      <c r="I109" s="21">
        <f t="shared" si="3"/>
        <v>5.9510567296996664E-2</v>
      </c>
      <c r="J109" s="1">
        <v>331</v>
      </c>
      <c r="T109" s="1">
        <v>15</v>
      </c>
      <c r="Z109" s="1">
        <v>68</v>
      </c>
      <c r="AA109" s="1">
        <v>265</v>
      </c>
      <c r="AF109" s="1">
        <v>438</v>
      </c>
    </row>
    <row r="110" spans="1:32">
      <c r="A110" s="58">
        <v>33508</v>
      </c>
      <c r="C110" s="1">
        <v>6382</v>
      </c>
      <c r="D110" s="21">
        <f t="shared" si="4"/>
        <v>1.494910941475827E-2</v>
      </c>
      <c r="E110" s="1">
        <v>6382</v>
      </c>
      <c r="F110" s="1">
        <v>0</v>
      </c>
      <c r="H110" s="1">
        <v>1770</v>
      </c>
      <c r="I110" s="21">
        <f t="shared" si="3"/>
        <v>-7.0866141732283464E-2</v>
      </c>
      <c r="J110" s="1">
        <v>298</v>
      </c>
      <c r="T110" s="1">
        <v>13</v>
      </c>
      <c r="Z110" s="1">
        <v>70</v>
      </c>
      <c r="AA110" s="1">
        <v>266</v>
      </c>
      <c r="AF110" s="1">
        <v>395</v>
      </c>
    </row>
    <row r="111" spans="1:32">
      <c r="A111" s="58">
        <v>33515</v>
      </c>
      <c r="C111" s="1">
        <v>5957</v>
      </c>
      <c r="D111" s="21">
        <f t="shared" si="4"/>
        <v>-6.6593544343465996E-2</v>
      </c>
      <c r="E111" s="1">
        <v>5957</v>
      </c>
      <c r="F111" s="1">
        <v>0</v>
      </c>
      <c r="H111" s="1">
        <v>1832</v>
      </c>
      <c r="I111" s="21">
        <f t="shared" si="3"/>
        <v>3.5028248587570622E-2</v>
      </c>
      <c r="J111" s="1">
        <v>281</v>
      </c>
      <c r="T111" s="1">
        <v>14</v>
      </c>
      <c r="Z111" s="1">
        <v>70</v>
      </c>
      <c r="AA111" s="1">
        <v>270</v>
      </c>
      <c r="AF111" s="1">
        <v>416</v>
      </c>
    </row>
    <row r="112" spans="1:32">
      <c r="A112" s="58">
        <v>33522</v>
      </c>
      <c r="C112" s="1">
        <v>5900</v>
      </c>
      <c r="D112" s="21">
        <f t="shared" si="4"/>
        <v>-9.5685747859660907E-3</v>
      </c>
      <c r="E112" s="1">
        <v>5900</v>
      </c>
      <c r="F112" s="1">
        <v>0</v>
      </c>
      <c r="H112" s="1">
        <v>1876</v>
      </c>
      <c r="I112" s="21">
        <f t="shared" si="3"/>
        <v>2.4017467248908297E-2</v>
      </c>
      <c r="J112" s="1">
        <v>281</v>
      </c>
      <c r="T112" s="1">
        <v>16</v>
      </c>
      <c r="Z112" s="1">
        <v>62</v>
      </c>
      <c r="AA112" s="1">
        <v>255</v>
      </c>
      <c r="AF112" s="1">
        <v>462</v>
      </c>
    </row>
    <row r="113" spans="1:32">
      <c r="A113" s="58">
        <v>33529</v>
      </c>
      <c r="C113" s="1">
        <v>5693</v>
      </c>
      <c r="D113" s="21">
        <f t="shared" si="4"/>
        <v>-3.5084745762711866E-2</v>
      </c>
      <c r="E113" s="1">
        <v>5693</v>
      </c>
      <c r="F113" s="1">
        <v>0</v>
      </c>
      <c r="H113" s="1">
        <v>1696</v>
      </c>
      <c r="I113" s="21">
        <f t="shared" si="3"/>
        <v>-9.5948827292110878E-2</v>
      </c>
      <c r="J113" s="1">
        <v>241</v>
      </c>
      <c r="T113" s="1">
        <v>15</v>
      </c>
      <c r="Z113" s="1">
        <v>60</v>
      </c>
      <c r="AA113" s="1">
        <v>163</v>
      </c>
      <c r="AF113" s="1">
        <v>400</v>
      </c>
    </row>
    <row r="114" spans="1:32">
      <c r="A114" s="58">
        <v>33536</v>
      </c>
      <c r="C114" s="1">
        <v>5509</v>
      </c>
      <c r="D114" s="21">
        <f t="shared" si="4"/>
        <v>-3.2320393465659583E-2</v>
      </c>
      <c r="E114" s="1">
        <v>5509</v>
      </c>
      <c r="F114" s="1">
        <v>0</v>
      </c>
      <c r="H114" s="1">
        <v>1723</v>
      </c>
      <c r="I114" s="21">
        <f t="shared" si="3"/>
        <v>1.5919811320754717E-2</v>
      </c>
      <c r="J114" s="1">
        <v>219</v>
      </c>
      <c r="T114" s="1">
        <v>15</v>
      </c>
      <c r="Z114" s="1">
        <v>63</v>
      </c>
      <c r="AA114" s="1">
        <v>169</v>
      </c>
      <c r="AF114" s="1">
        <v>406</v>
      </c>
    </row>
    <row r="115" spans="1:32">
      <c r="A115" s="58">
        <v>33543</v>
      </c>
      <c r="C115" s="1">
        <v>5562</v>
      </c>
      <c r="D115" s="21">
        <f t="shared" si="4"/>
        <v>9.6206208023234714E-3</v>
      </c>
      <c r="E115" s="1">
        <v>5562</v>
      </c>
      <c r="F115" s="1">
        <v>0</v>
      </c>
      <c r="H115" s="1">
        <v>1614</v>
      </c>
      <c r="I115" s="21">
        <f t="shared" si="3"/>
        <v>-6.32617527568195E-2</v>
      </c>
      <c r="J115" s="1">
        <v>207</v>
      </c>
      <c r="T115" s="1">
        <v>13</v>
      </c>
      <c r="Z115" s="1">
        <v>57</v>
      </c>
      <c r="AA115" s="1">
        <v>176</v>
      </c>
      <c r="AF115" s="1">
        <v>379</v>
      </c>
    </row>
    <row r="116" spans="1:32">
      <c r="A116" s="58">
        <v>33550</v>
      </c>
      <c r="C116" s="1">
        <v>5634</v>
      </c>
      <c r="D116" s="21">
        <f t="shared" si="4"/>
        <v>1.2944983818770227E-2</v>
      </c>
      <c r="E116" s="1">
        <v>5634</v>
      </c>
      <c r="F116" s="1">
        <v>0</v>
      </c>
      <c r="H116" s="1">
        <v>1649</v>
      </c>
      <c r="I116" s="21">
        <f t="shared" si="3"/>
        <v>2.1685254027261461E-2</v>
      </c>
      <c r="J116" s="1">
        <v>210</v>
      </c>
      <c r="T116" s="1">
        <v>45</v>
      </c>
      <c r="Z116" s="1">
        <v>65</v>
      </c>
      <c r="AA116" s="1">
        <v>202</v>
      </c>
      <c r="AF116" s="1">
        <v>369</v>
      </c>
    </row>
    <row r="117" spans="1:32">
      <c r="A117" s="58">
        <v>33557</v>
      </c>
      <c r="C117" s="1">
        <v>5668</v>
      </c>
      <c r="D117" s="21">
        <f t="shared" si="4"/>
        <v>6.0347887823926161E-3</v>
      </c>
      <c r="E117" s="1">
        <v>5668</v>
      </c>
      <c r="F117" s="1">
        <v>0</v>
      </c>
      <c r="H117" s="1">
        <v>1786</v>
      </c>
      <c r="I117" s="21">
        <f t="shared" si="3"/>
        <v>8.3080654942389323E-2</v>
      </c>
      <c r="J117" s="1">
        <v>246</v>
      </c>
      <c r="T117" s="1">
        <v>37</v>
      </c>
      <c r="Z117" s="1">
        <v>74</v>
      </c>
      <c r="AA117" s="1">
        <v>224</v>
      </c>
      <c r="AF117" s="1">
        <v>382</v>
      </c>
    </row>
    <row r="118" spans="1:32">
      <c r="A118" s="58">
        <v>33564</v>
      </c>
      <c r="C118" s="1">
        <v>5703</v>
      </c>
      <c r="D118" s="21">
        <f t="shared" si="4"/>
        <v>6.1750176429075515E-3</v>
      </c>
      <c r="E118" s="1">
        <v>5703</v>
      </c>
      <c r="F118" s="1">
        <v>0</v>
      </c>
      <c r="H118" s="1">
        <v>1880</v>
      </c>
      <c r="I118" s="21">
        <f t="shared" si="3"/>
        <v>5.2631578947368418E-2</v>
      </c>
      <c r="J118" s="1">
        <v>287</v>
      </c>
      <c r="T118" s="1">
        <v>37</v>
      </c>
      <c r="Z118" s="1">
        <v>84</v>
      </c>
      <c r="AA118" s="1">
        <v>248</v>
      </c>
      <c r="AF118" s="1">
        <v>434</v>
      </c>
    </row>
    <row r="119" spans="1:32">
      <c r="A119" s="58">
        <v>33571</v>
      </c>
      <c r="C119" s="1">
        <v>5548</v>
      </c>
      <c r="D119" s="21">
        <f t="shared" si="4"/>
        <v>-2.7178677888830442E-2</v>
      </c>
      <c r="E119" s="1">
        <v>5548</v>
      </c>
      <c r="F119" s="1">
        <v>0</v>
      </c>
      <c r="H119" s="1">
        <v>1952</v>
      </c>
      <c r="I119" s="21">
        <f t="shared" si="3"/>
        <v>3.8297872340425532E-2</v>
      </c>
      <c r="J119" s="1">
        <v>319</v>
      </c>
      <c r="T119" s="1">
        <v>41</v>
      </c>
      <c r="Z119" s="1">
        <v>85</v>
      </c>
      <c r="AA119" s="1">
        <v>229</v>
      </c>
      <c r="AF119" s="1">
        <v>453</v>
      </c>
    </row>
    <row r="120" spans="1:32">
      <c r="A120" s="58">
        <v>33578</v>
      </c>
      <c r="C120" s="1">
        <v>5763</v>
      </c>
      <c r="D120" s="21">
        <f t="shared" si="4"/>
        <v>3.8752703677000719E-2</v>
      </c>
      <c r="E120" s="1">
        <v>5763</v>
      </c>
      <c r="F120" s="1">
        <v>0</v>
      </c>
      <c r="H120" s="1">
        <v>1913</v>
      </c>
      <c r="I120" s="21">
        <f t="shared" si="3"/>
        <v>-1.9979508196721313E-2</v>
      </c>
      <c r="J120" s="1">
        <v>295</v>
      </c>
      <c r="T120" s="1">
        <v>28</v>
      </c>
      <c r="Z120" s="1">
        <v>76</v>
      </c>
      <c r="AA120" s="1">
        <v>200</v>
      </c>
      <c r="AF120" s="1">
        <v>511</v>
      </c>
    </row>
    <row r="121" spans="1:32">
      <c r="A121" s="58">
        <v>33585</v>
      </c>
      <c r="C121" s="1">
        <v>5791</v>
      </c>
      <c r="D121" s="21">
        <f t="shared" si="4"/>
        <v>4.8585806003817456E-3</v>
      </c>
      <c r="E121" s="1">
        <v>5791</v>
      </c>
      <c r="F121" s="1">
        <v>0</v>
      </c>
      <c r="H121" s="1">
        <v>1818</v>
      </c>
      <c r="I121" s="21">
        <f t="shared" si="3"/>
        <v>-4.9660219550444328E-2</v>
      </c>
      <c r="J121" s="1">
        <v>308</v>
      </c>
      <c r="T121" s="1">
        <v>25</v>
      </c>
      <c r="Z121" s="1">
        <v>76</v>
      </c>
      <c r="AA121" s="1">
        <v>229</v>
      </c>
      <c r="AF121" s="1">
        <v>476</v>
      </c>
    </row>
    <row r="122" spans="1:32">
      <c r="A122" s="58">
        <v>33592</v>
      </c>
      <c r="C122" s="1">
        <v>5660</v>
      </c>
      <c r="D122" s="21">
        <f t="shared" si="4"/>
        <v>-2.2621308927646348E-2</v>
      </c>
      <c r="E122" s="1">
        <v>5660</v>
      </c>
      <c r="F122" s="1">
        <v>0</v>
      </c>
      <c r="H122" s="1">
        <v>1870</v>
      </c>
      <c r="I122" s="21">
        <f t="shared" si="3"/>
        <v>2.8602860286028604E-2</v>
      </c>
      <c r="J122" s="1">
        <v>295</v>
      </c>
      <c r="T122" s="1">
        <v>27</v>
      </c>
      <c r="Z122" s="1">
        <v>87</v>
      </c>
      <c r="AA122" s="1">
        <v>223</v>
      </c>
      <c r="AF122" s="1">
        <v>536</v>
      </c>
    </row>
    <row r="123" spans="1:32">
      <c r="A123" s="58">
        <v>33599</v>
      </c>
      <c r="C123" s="1">
        <v>5962</v>
      </c>
      <c r="D123" s="21">
        <f t="shared" si="4"/>
        <v>5.3356890459363961E-2</v>
      </c>
      <c r="E123" s="1">
        <v>5962</v>
      </c>
      <c r="F123" s="1">
        <v>0</v>
      </c>
      <c r="H123" s="1">
        <v>1900</v>
      </c>
      <c r="I123" s="21">
        <f t="shared" si="3"/>
        <v>1.6042780748663103E-2</v>
      </c>
      <c r="J123" s="1">
        <v>273</v>
      </c>
      <c r="T123" s="1">
        <v>47</v>
      </c>
      <c r="Z123" s="1">
        <v>80</v>
      </c>
      <c r="AA123" s="1">
        <v>264</v>
      </c>
      <c r="AF123" s="1">
        <v>557</v>
      </c>
    </row>
    <row r="124" spans="1:32">
      <c r="A124" s="58">
        <v>33606</v>
      </c>
      <c r="C124" s="1">
        <v>5387</v>
      </c>
      <c r="D124" s="21">
        <f t="shared" si="4"/>
        <v>-9.6444146259644412E-2</v>
      </c>
      <c r="E124" s="1">
        <v>5387</v>
      </c>
      <c r="F124" s="1">
        <v>0</v>
      </c>
      <c r="H124" s="1">
        <v>1899</v>
      </c>
      <c r="I124" s="21">
        <f t="shared" si="3"/>
        <v>-5.263157894736842E-4</v>
      </c>
      <c r="J124" s="1">
        <v>280</v>
      </c>
      <c r="T124" s="1">
        <v>30</v>
      </c>
      <c r="Z124" s="1">
        <v>94</v>
      </c>
      <c r="AA124" s="1">
        <v>309</v>
      </c>
      <c r="AF124" s="1">
        <v>501</v>
      </c>
    </row>
    <row r="125" spans="1:32">
      <c r="A125" s="58">
        <v>33613</v>
      </c>
      <c r="C125" s="1">
        <v>5558</v>
      </c>
      <c r="D125" s="21">
        <f t="shared" si="4"/>
        <v>3.1743085205123443E-2</v>
      </c>
      <c r="E125" s="1">
        <v>5558</v>
      </c>
      <c r="F125" s="1">
        <v>0</v>
      </c>
      <c r="H125" s="1">
        <v>1755</v>
      </c>
      <c r="I125" s="21">
        <f t="shared" si="3"/>
        <v>-7.582938388625593E-2</v>
      </c>
      <c r="J125" s="1">
        <v>193</v>
      </c>
      <c r="T125" s="1">
        <v>28</v>
      </c>
      <c r="Z125" s="1">
        <v>81</v>
      </c>
      <c r="AA125" s="1">
        <v>266</v>
      </c>
      <c r="AF125" s="1">
        <v>476</v>
      </c>
    </row>
    <row r="126" spans="1:32">
      <c r="A126" s="58">
        <v>33620</v>
      </c>
      <c r="C126" s="1">
        <v>5698</v>
      </c>
      <c r="D126" s="21">
        <f t="shared" si="4"/>
        <v>2.5188916876574308E-2</v>
      </c>
      <c r="E126" s="1">
        <v>5698</v>
      </c>
      <c r="F126" s="1">
        <v>0</v>
      </c>
      <c r="H126" s="1">
        <v>1655</v>
      </c>
      <c r="I126" s="21">
        <f t="shared" si="3"/>
        <v>-5.6980056980056981E-2</v>
      </c>
      <c r="J126" s="1">
        <v>196</v>
      </c>
      <c r="T126" s="1">
        <v>39</v>
      </c>
      <c r="Z126" s="1">
        <v>64</v>
      </c>
      <c r="AA126" s="1">
        <v>280</v>
      </c>
      <c r="AF126" s="1">
        <v>384</v>
      </c>
    </row>
    <row r="127" spans="1:32">
      <c r="A127" s="58">
        <v>33627</v>
      </c>
      <c r="C127" s="1">
        <v>5607</v>
      </c>
      <c r="D127" s="21">
        <f t="shared" si="4"/>
        <v>-1.5970515970515971E-2</v>
      </c>
      <c r="E127" s="1">
        <v>5607</v>
      </c>
      <c r="F127" s="1">
        <v>0</v>
      </c>
      <c r="H127" s="1">
        <v>1517</v>
      </c>
      <c r="I127" s="21">
        <f t="shared" si="3"/>
        <v>-8.3383685800604235E-2</v>
      </c>
      <c r="J127" s="1">
        <v>195</v>
      </c>
      <c r="T127" s="1">
        <v>16</v>
      </c>
      <c r="Z127" s="1">
        <v>59</v>
      </c>
      <c r="AA127" s="1">
        <v>247</v>
      </c>
      <c r="AF127" s="1">
        <v>335</v>
      </c>
    </row>
    <row r="128" spans="1:32">
      <c r="A128" s="58">
        <v>33634</v>
      </c>
      <c r="C128" s="1">
        <v>5953</v>
      </c>
      <c r="D128" s="21">
        <f t="shared" si="4"/>
        <v>6.1708578562511149E-2</v>
      </c>
      <c r="E128" s="1">
        <v>5953</v>
      </c>
      <c r="F128" s="1">
        <v>0</v>
      </c>
      <c r="H128" s="1">
        <v>1561</v>
      </c>
      <c r="I128" s="21">
        <f t="shared" si="3"/>
        <v>2.9004614370468029E-2</v>
      </c>
      <c r="J128" s="1">
        <v>202</v>
      </c>
      <c r="T128" s="1">
        <v>24</v>
      </c>
      <c r="Z128" s="1">
        <v>55</v>
      </c>
      <c r="AA128" s="1">
        <v>243</v>
      </c>
      <c r="AF128" s="1">
        <v>311</v>
      </c>
    </row>
    <row r="129" spans="1:32">
      <c r="A129" s="58">
        <v>33641</v>
      </c>
      <c r="C129" s="1">
        <v>5335</v>
      </c>
      <c r="D129" s="21">
        <f t="shared" si="4"/>
        <v>-0.10381320342684361</v>
      </c>
      <c r="E129" s="1">
        <v>5335</v>
      </c>
      <c r="F129" s="1">
        <v>0</v>
      </c>
      <c r="H129" s="1">
        <v>1607</v>
      </c>
      <c r="I129" s="21">
        <f t="shared" si="3"/>
        <v>2.9468289557975657E-2</v>
      </c>
      <c r="J129" s="1">
        <v>241</v>
      </c>
      <c r="T129" s="1">
        <v>34</v>
      </c>
      <c r="Z129" s="1">
        <v>46</v>
      </c>
      <c r="AA129" s="1">
        <v>237</v>
      </c>
      <c r="AF129" s="1">
        <v>364</v>
      </c>
    </row>
    <row r="130" spans="1:32">
      <c r="A130" s="58">
        <v>33648</v>
      </c>
      <c r="C130" s="1">
        <v>5417</v>
      </c>
      <c r="D130" s="21">
        <f t="shared" si="4"/>
        <v>1.5370196813495782E-2</v>
      </c>
      <c r="E130" s="1">
        <v>5417</v>
      </c>
      <c r="F130" s="1">
        <v>0</v>
      </c>
      <c r="H130" s="1">
        <v>1638</v>
      </c>
      <c r="I130" s="21">
        <f t="shared" si="3"/>
        <v>1.9290603609209707E-2</v>
      </c>
      <c r="J130" s="1">
        <v>241</v>
      </c>
      <c r="T130" s="1">
        <v>37</v>
      </c>
      <c r="Z130" s="1">
        <v>49</v>
      </c>
      <c r="AA130" s="1">
        <v>205</v>
      </c>
      <c r="AF130" s="1">
        <v>396</v>
      </c>
    </row>
    <row r="131" spans="1:32">
      <c r="A131" s="58">
        <v>33655</v>
      </c>
      <c r="C131" s="1">
        <v>5173</v>
      </c>
      <c r="D131" s="21">
        <f t="shared" si="4"/>
        <v>-4.5043381945726414E-2</v>
      </c>
      <c r="E131" s="1">
        <v>5173</v>
      </c>
      <c r="F131" s="1">
        <v>0</v>
      </c>
      <c r="H131" s="1">
        <v>1661</v>
      </c>
      <c r="I131" s="21">
        <f t="shared" si="3"/>
        <v>1.4041514041514042E-2</v>
      </c>
      <c r="J131" s="1">
        <v>257</v>
      </c>
      <c r="T131" s="1">
        <v>45</v>
      </c>
      <c r="Z131" s="1">
        <v>46</v>
      </c>
      <c r="AA131" s="1">
        <v>209</v>
      </c>
      <c r="AF131" s="1">
        <v>391</v>
      </c>
    </row>
    <row r="132" spans="1:32">
      <c r="A132" s="58">
        <v>33662</v>
      </c>
      <c r="C132" s="1">
        <v>5278</v>
      </c>
      <c r="D132" s="21">
        <f t="shared" si="4"/>
        <v>2.0297699594046009E-2</v>
      </c>
      <c r="E132" s="1">
        <v>5278</v>
      </c>
      <c r="F132" s="1">
        <v>0</v>
      </c>
      <c r="H132" s="1">
        <v>1693</v>
      </c>
      <c r="I132" s="21">
        <f t="shared" si="3"/>
        <v>1.9265502709211318E-2</v>
      </c>
      <c r="J132" s="1">
        <v>260</v>
      </c>
      <c r="T132" s="1">
        <v>47</v>
      </c>
      <c r="Z132" s="1">
        <v>54</v>
      </c>
      <c r="AA132" s="1">
        <v>212</v>
      </c>
      <c r="AF132" s="1">
        <v>477</v>
      </c>
    </row>
    <row r="133" spans="1:32">
      <c r="A133" s="58">
        <v>33669</v>
      </c>
      <c r="C133" s="1">
        <v>5489</v>
      </c>
      <c r="D133" s="21">
        <f t="shared" si="4"/>
        <v>3.997726411519515E-2</v>
      </c>
      <c r="E133" s="1">
        <v>5489</v>
      </c>
      <c r="F133" s="1">
        <v>0</v>
      </c>
      <c r="H133" s="1">
        <v>1686</v>
      </c>
      <c r="I133" s="21">
        <f t="shared" si="3"/>
        <v>-4.134672179562906E-3</v>
      </c>
      <c r="J133" s="1">
        <v>274</v>
      </c>
      <c r="T133" s="1">
        <v>51</v>
      </c>
      <c r="Z133" s="1">
        <v>66</v>
      </c>
      <c r="AA133" s="1">
        <v>207</v>
      </c>
      <c r="AF133" s="1">
        <v>452</v>
      </c>
    </row>
    <row r="134" spans="1:32">
      <c r="A134" s="58">
        <v>33676</v>
      </c>
      <c r="C134" s="1">
        <v>5274</v>
      </c>
      <c r="D134" s="21">
        <f t="shared" si="4"/>
        <v>-3.916924758608125E-2</v>
      </c>
      <c r="E134" s="1">
        <v>5274</v>
      </c>
      <c r="F134" s="1">
        <v>0</v>
      </c>
      <c r="H134" s="1">
        <v>1728</v>
      </c>
      <c r="I134" s="21">
        <f t="shared" si="3"/>
        <v>2.491103202846975E-2</v>
      </c>
      <c r="J134" s="1">
        <v>281</v>
      </c>
      <c r="T134" s="1">
        <v>38</v>
      </c>
      <c r="Z134" s="1">
        <v>59</v>
      </c>
      <c r="AA134" s="1">
        <v>223</v>
      </c>
      <c r="AF134" s="1">
        <v>411</v>
      </c>
    </row>
    <row r="135" spans="1:32">
      <c r="A135" s="58">
        <v>33683</v>
      </c>
      <c r="C135" s="1">
        <v>5611</v>
      </c>
      <c r="D135" s="21">
        <f t="shared" si="4"/>
        <v>6.3898369359120216E-2</v>
      </c>
      <c r="E135" s="1">
        <v>5611</v>
      </c>
      <c r="F135" s="1">
        <v>0</v>
      </c>
      <c r="H135" s="1">
        <v>1613</v>
      </c>
      <c r="I135" s="21">
        <f t="shared" si="3"/>
        <v>-6.655092592592593E-2</v>
      </c>
      <c r="J135" s="1">
        <v>223</v>
      </c>
      <c r="T135" s="1">
        <v>32</v>
      </c>
      <c r="Z135" s="1">
        <v>64</v>
      </c>
      <c r="AA135" s="1">
        <v>203</v>
      </c>
      <c r="AF135" s="1">
        <v>420</v>
      </c>
    </row>
    <row r="136" spans="1:32">
      <c r="A136" s="58">
        <v>33690</v>
      </c>
      <c r="C136" s="1">
        <v>5340</v>
      </c>
      <c r="D136" s="21">
        <f t="shared" si="4"/>
        <v>-4.8297986098734626E-2</v>
      </c>
      <c r="E136" s="1">
        <v>5340</v>
      </c>
      <c r="F136" s="1">
        <v>0</v>
      </c>
      <c r="H136" s="1">
        <v>1588</v>
      </c>
      <c r="I136" s="21">
        <f t="shared" si="3"/>
        <v>-1.5499070055796652E-2</v>
      </c>
      <c r="J136" s="1">
        <v>264</v>
      </c>
      <c r="T136" s="1">
        <v>20</v>
      </c>
      <c r="Z136" s="1">
        <v>53</v>
      </c>
      <c r="AA136" s="1">
        <v>210</v>
      </c>
      <c r="AF136" s="1">
        <v>323</v>
      </c>
    </row>
    <row r="137" spans="1:32">
      <c r="A137" s="58">
        <v>33697</v>
      </c>
      <c r="C137" s="1">
        <v>5430</v>
      </c>
      <c r="D137" s="21">
        <f t="shared" si="4"/>
        <v>1.6853932584269662E-2</v>
      </c>
      <c r="E137" s="1">
        <v>5430</v>
      </c>
      <c r="F137" s="1">
        <v>0</v>
      </c>
      <c r="H137" s="1">
        <v>1599</v>
      </c>
      <c r="I137" s="21">
        <f t="shared" si="3"/>
        <v>6.9269521410579345E-3</v>
      </c>
      <c r="J137" s="1">
        <v>275</v>
      </c>
      <c r="T137" s="1">
        <v>39</v>
      </c>
      <c r="Z137" s="1">
        <v>50</v>
      </c>
      <c r="AA137" s="1">
        <v>215</v>
      </c>
      <c r="AF137" s="1">
        <v>287</v>
      </c>
    </row>
    <row r="138" spans="1:32">
      <c r="A138" s="58">
        <v>33704</v>
      </c>
      <c r="C138" s="1">
        <v>5769</v>
      </c>
      <c r="D138" s="21">
        <f t="shared" si="4"/>
        <v>6.2430939226519336E-2</v>
      </c>
      <c r="E138" s="1">
        <v>5769</v>
      </c>
      <c r="F138" s="1">
        <v>0</v>
      </c>
      <c r="H138" s="1">
        <v>1551</v>
      </c>
      <c r="I138" s="21">
        <f t="shared" si="3"/>
        <v>-3.0018761726078799E-2</v>
      </c>
      <c r="J138" s="1">
        <v>327</v>
      </c>
      <c r="T138" s="1">
        <v>39</v>
      </c>
      <c r="Z138" s="1">
        <v>51</v>
      </c>
      <c r="AA138" s="1">
        <v>229</v>
      </c>
      <c r="AF138" s="1">
        <v>297</v>
      </c>
    </row>
    <row r="139" spans="1:32">
      <c r="A139" s="58">
        <v>33711</v>
      </c>
      <c r="C139" s="1">
        <v>5862</v>
      </c>
      <c r="D139" s="21">
        <f t="shared" si="4"/>
        <v>1.6120644825793031E-2</v>
      </c>
      <c r="E139" s="1">
        <v>5862</v>
      </c>
      <c r="F139" s="1">
        <v>0</v>
      </c>
      <c r="H139" s="1">
        <v>1705</v>
      </c>
      <c r="I139" s="21">
        <f t="shared" si="3"/>
        <v>9.9290780141843976E-2</v>
      </c>
      <c r="J139" s="1">
        <v>430</v>
      </c>
      <c r="T139" s="1">
        <v>57</v>
      </c>
      <c r="Z139" s="1">
        <v>58</v>
      </c>
      <c r="AA139" s="1">
        <v>249</v>
      </c>
      <c r="AF139" s="1">
        <v>304</v>
      </c>
    </row>
    <row r="140" spans="1:32">
      <c r="A140" s="58">
        <v>33718</v>
      </c>
      <c r="C140" s="1">
        <v>5973</v>
      </c>
      <c r="D140" s="21">
        <f t="shared" si="4"/>
        <v>1.8935516888433982E-2</v>
      </c>
      <c r="E140" s="1">
        <v>5973</v>
      </c>
      <c r="F140" s="1">
        <v>0</v>
      </c>
      <c r="H140" s="1">
        <v>1656</v>
      </c>
      <c r="I140" s="21">
        <f t="shared" si="3"/>
        <v>-2.873900293255132E-2</v>
      </c>
      <c r="J140" s="1">
        <v>417</v>
      </c>
      <c r="T140" s="1">
        <v>62</v>
      </c>
      <c r="Z140" s="1">
        <v>57</v>
      </c>
      <c r="AA140" s="1">
        <v>196</v>
      </c>
      <c r="AF140" s="1">
        <v>303</v>
      </c>
    </row>
    <row r="141" spans="1:32">
      <c r="A141" s="58">
        <v>33725</v>
      </c>
      <c r="C141" s="1">
        <v>5981</v>
      </c>
      <c r="D141" s="21">
        <f t="shared" si="4"/>
        <v>1.3393604553825547E-3</v>
      </c>
      <c r="E141" s="1">
        <v>5981</v>
      </c>
      <c r="F141" s="1">
        <v>0</v>
      </c>
      <c r="H141" s="1">
        <v>1857</v>
      </c>
      <c r="I141" s="21">
        <f t="shared" si="3"/>
        <v>0.1213768115942029</v>
      </c>
      <c r="J141" s="1">
        <v>509</v>
      </c>
      <c r="T141" s="1">
        <v>38</v>
      </c>
      <c r="Z141" s="1">
        <v>80</v>
      </c>
      <c r="AA141" s="1">
        <v>213</v>
      </c>
      <c r="AF141" s="1">
        <v>296</v>
      </c>
    </row>
    <row r="142" spans="1:32">
      <c r="A142" s="58">
        <v>33732</v>
      </c>
      <c r="C142" s="1">
        <v>5814</v>
      </c>
      <c r="D142" s="21">
        <f t="shared" si="4"/>
        <v>-2.7921752215348605E-2</v>
      </c>
      <c r="E142" s="1">
        <v>5814</v>
      </c>
      <c r="F142" s="1">
        <v>0</v>
      </c>
      <c r="H142" s="1">
        <v>1845</v>
      </c>
      <c r="I142" s="21">
        <f t="shared" si="3"/>
        <v>-6.462035541195477E-3</v>
      </c>
      <c r="J142" s="1">
        <v>504</v>
      </c>
      <c r="T142" s="1">
        <v>40</v>
      </c>
      <c r="Z142" s="1">
        <v>81</v>
      </c>
      <c r="AA142" s="1">
        <v>193</v>
      </c>
      <c r="AF142" s="1">
        <v>258</v>
      </c>
    </row>
    <row r="143" spans="1:32">
      <c r="A143" s="58">
        <v>33739</v>
      </c>
      <c r="C143" s="1">
        <v>5723</v>
      </c>
      <c r="D143" s="21">
        <f t="shared" si="4"/>
        <v>-1.565187478500172E-2</v>
      </c>
      <c r="E143" s="1">
        <v>5723</v>
      </c>
      <c r="F143" s="1">
        <v>0</v>
      </c>
      <c r="H143" s="1">
        <v>1869</v>
      </c>
      <c r="I143" s="21">
        <f t="shared" si="3"/>
        <v>1.3008130081300813E-2</v>
      </c>
      <c r="J143" s="1">
        <v>465</v>
      </c>
      <c r="T143" s="1">
        <v>25</v>
      </c>
      <c r="Z143" s="1">
        <v>77</v>
      </c>
      <c r="AA143" s="1">
        <v>176</v>
      </c>
      <c r="AF143" s="1">
        <v>284</v>
      </c>
    </row>
    <row r="144" spans="1:32">
      <c r="A144" s="58">
        <v>33746</v>
      </c>
      <c r="C144" s="1">
        <v>6075</v>
      </c>
      <c r="D144" s="21">
        <f t="shared" si="4"/>
        <v>6.1506203040363444E-2</v>
      </c>
      <c r="E144" s="1">
        <v>6075</v>
      </c>
      <c r="F144" s="1">
        <v>0</v>
      </c>
      <c r="H144" s="1">
        <v>1791</v>
      </c>
      <c r="I144" s="21">
        <f t="shared" si="3"/>
        <v>-4.1733547351524881E-2</v>
      </c>
      <c r="J144" s="1">
        <v>429</v>
      </c>
      <c r="T144" s="1">
        <v>20</v>
      </c>
      <c r="Z144" s="1">
        <v>82</v>
      </c>
      <c r="AA144" s="1">
        <v>181</v>
      </c>
      <c r="AF144" s="1">
        <v>304</v>
      </c>
    </row>
    <row r="145" spans="1:32">
      <c r="A145" s="58">
        <v>33753</v>
      </c>
      <c r="C145" s="1">
        <v>6109</v>
      </c>
      <c r="D145" s="21">
        <f t="shared" si="4"/>
        <v>5.5967078189300412E-3</v>
      </c>
      <c r="E145" s="1">
        <v>6109</v>
      </c>
      <c r="F145" s="1">
        <v>0</v>
      </c>
      <c r="H145" s="1">
        <v>1638</v>
      </c>
      <c r="I145" s="21">
        <f t="shared" si="3"/>
        <v>-8.5427135678391955E-2</v>
      </c>
      <c r="J145" s="1">
        <v>355</v>
      </c>
      <c r="T145" s="1">
        <v>22</v>
      </c>
      <c r="Z145" s="1">
        <v>78</v>
      </c>
      <c r="AA145" s="1">
        <v>159</v>
      </c>
      <c r="AF145" s="1">
        <v>298</v>
      </c>
    </row>
    <row r="146" spans="1:32">
      <c r="A146" s="58">
        <v>33760</v>
      </c>
      <c r="C146" s="1">
        <v>6065</v>
      </c>
      <c r="D146" s="21">
        <f t="shared" si="4"/>
        <v>-7.2024881322638725E-3</v>
      </c>
      <c r="E146" s="1">
        <v>6065</v>
      </c>
      <c r="F146" s="1">
        <v>0</v>
      </c>
      <c r="H146" s="1">
        <v>1795</v>
      </c>
      <c r="I146" s="21">
        <f t="shared" si="3"/>
        <v>9.5848595848595855E-2</v>
      </c>
      <c r="J146" s="1">
        <v>379</v>
      </c>
      <c r="T146" s="1">
        <v>35</v>
      </c>
      <c r="Z146" s="1">
        <v>81</v>
      </c>
      <c r="AA146" s="1">
        <v>182</v>
      </c>
      <c r="AF146" s="1">
        <v>382</v>
      </c>
    </row>
    <row r="147" spans="1:32">
      <c r="A147" s="58">
        <v>33767</v>
      </c>
      <c r="C147" s="1">
        <v>6216</v>
      </c>
      <c r="D147" s="21">
        <f t="shared" si="4"/>
        <v>2.4896949711459192E-2</v>
      </c>
      <c r="E147" s="1">
        <v>6216</v>
      </c>
      <c r="F147" s="1">
        <v>0</v>
      </c>
      <c r="H147" s="1">
        <v>1671</v>
      </c>
      <c r="I147" s="21">
        <f t="shared" si="3"/>
        <v>-6.9080779944289697E-2</v>
      </c>
      <c r="J147" s="1">
        <v>402</v>
      </c>
      <c r="T147" s="1">
        <v>36</v>
      </c>
      <c r="Z147" s="1">
        <v>82</v>
      </c>
      <c r="AA147" s="1">
        <v>197</v>
      </c>
      <c r="AF147" s="1">
        <v>276</v>
      </c>
    </row>
    <row r="148" spans="1:32">
      <c r="A148" s="58">
        <v>33774</v>
      </c>
      <c r="C148" s="1">
        <v>6011</v>
      </c>
      <c r="D148" s="21">
        <f t="shared" si="4"/>
        <v>-3.2979407979407981E-2</v>
      </c>
      <c r="E148" s="1">
        <v>6011</v>
      </c>
      <c r="F148" s="1">
        <v>0</v>
      </c>
      <c r="H148" s="1">
        <v>1730</v>
      </c>
      <c r="I148" s="21">
        <f t="shared" si="3"/>
        <v>3.5308198683423102E-2</v>
      </c>
      <c r="J148" s="1">
        <v>457</v>
      </c>
      <c r="T148" s="1">
        <v>35</v>
      </c>
      <c r="Z148" s="1">
        <v>81</v>
      </c>
      <c r="AA148" s="1">
        <v>192</v>
      </c>
      <c r="AF148" s="1">
        <v>282</v>
      </c>
    </row>
    <row r="149" spans="1:32">
      <c r="A149" s="58">
        <v>33781</v>
      </c>
      <c r="C149" s="1">
        <v>5935</v>
      </c>
      <c r="D149" s="21">
        <f t="shared" si="4"/>
        <v>-1.2643486940608883E-2</v>
      </c>
      <c r="E149" s="1">
        <v>5899</v>
      </c>
      <c r="F149" s="1">
        <v>36</v>
      </c>
      <c r="H149" s="1">
        <v>1661</v>
      </c>
      <c r="I149" s="21">
        <f t="shared" si="3"/>
        <v>-3.9884393063583816E-2</v>
      </c>
      <c r="J149" s="1">
        <v>464</v>
      </c>
      <c r="T149" s="1">
        <v>28</v>
      </c>
      <c r="Z149" s="1">
        <v>68</v>
      </c>
      <c r="AA149" s="1">
        <v>191</v>
      </c>
      <c r="AF149" s="1">
        <v>272</v>
      </c>
    </row>
    <row r="150" spans="1:32">
      <c r="A150" s="58">
        <v>33788</v>
      </c>
      <c r="C150" s="1">
        <v>5841</v>
      </c>
      <c r="D150" s="21">
        <f t="shared" si="4"/>
        <v>-1.5838247683235045E-2</v>
      </c>
      <c r="E150" s="1">
        <v>5805</v>
      </c>
      <c r="F150" s="1">
        <v>36</v>
      </c>
      <c r="H150" s="1">
        <v>1617</v>
      </c>
      <c r="I150" s="21">
        <f t="shared" si="3"/>
        <v>-2.6490066225165563E-2</v>
      </c>
      <c r="J150" s="1">
        <v>434</v>
      </c>
      <c r="T150" s="1">
        <v>19</v>
      </c>
      <c r="Z150" s="1">
        <v>75</v>
      </c>
      <c r="AA150" s="1">
        <v>166</v>
      </c>
      <c r="AF150" s="1">
        <v>243</v>
      </c>
    </row>
    <row r="151" spans="1:32">
      <c r="A151" s="58">
        <v>33795</v>
      </c>
      <c r="C151" s="1">
        <v>6157</v>
      </c>
      <c r="D151" s="21">
        <f t="shared" si="4"/>
        <v>5.4100325286765963E-2</v>
      </c>
      <c r="E151" s="1">
        <v>6121</v>
      </c>
      <c r="F151" s="1">
        <v>36</v>
      </c>
      <c r="H151" s="1">
        <v>1777</v>
      </c>
      <c r="I151" s="21">
        <f t="shared" si="3"/>
        <v>9.894867037724181E-2</v>
      </c>
      <c r="J151" s="1">
        <v>474</v>
      </c>
      <c r="T151" s="1">
        <v>26</v>
      </c>
      <c r="Z151" s="1">
        <v>67</v>
      </c>
      <c r="AA151" s="1">
        <v>152</v>
      </c>
      <c r="AF151" s="1">
        <v>274</v>
      </c>
    </row>
    <row r="152" spans="1:32">
      <c r="A152" s="58">
        <v>33802</v>
      </c>
      <c r="C152" s="1">
        <v>6251</v>
      </c>
      <c r="D152" s="21">
        <f t="shared" si="4"/>
        <v>1.5267175572519083E-2</v>
      </c>
      <c r="E152" s="1">
        <v>6215</v>
      </c>
      <c r="F152" s="1">
        <v>36</v>
      </c>
      <c r="H152" s="1">
        <v>1793</v>
      </c>
      <c r="I152" s="21">
        <f t="shared" si="3"/>
        <v>9.0039392234102424E-3</v>
      </c>
      <c r="J152" s="1">
        <v>411</v>
      </c>
      <c r="T152" s="1">
        <v>42</v>
      </c>
      <c r="Z152" s="1">
        <v>70</v>
      </c>
      <c r="AA152" s="1">
        <v>178</v>
      </c>
      <c r="AF152" s="1">
        <v>252</v>
      </c>
    </row>
    <row r="153" spans="1:32">
      <c r="A153" s="58">
        <v>33809</v>
      </c>
      <c r="C153" s="1">
        <v>6583</v>
      </c>
      <c r="D153" s="21">
        <f t="shared" si="4"/>
        <v>5.3111502159654454E-2</v>
      </c>
      <c r="E153" s="1">
        <v>6583</v>
      </c>
      <c r="F153" s="1">
        <v>0</v>
      </c>
      <c r="H153" s="1">
        <v>1725</v>
      </c>
      <c r="I153" s="21">
        <f t="shared" si="3"/>
        <v>-3.7925264919129953E-2</v>
      </c>
      <c r="J153" s="1">
        <v>395</v>
      </c>
      <c r="T153" s="1">
        <v>62</v>
      </c>
      <c r="Z153" s="1">
        <v>68</v>
      </c>
      <c r="AA153" s="1">
        <v>175</v>
      </c>
      <c r="AF153" s="1">
        <v>256</v>
      </c>
    </row>
    <row r="154" spans="1:32">
      <c r="A154" s="58">
        <v>33816</v>
      </c>
      <c r="C154" s="1">
        <v>6819</v>
      </c>
      <c r="D154" s="21">
        <f t="shared" si="4"/>
        <v>3.5849916451465895E-2</v>
      </c>
      <c r="E154" s="1">
        <v>6819</v>
      </c>
      <c r="F154" s="1">
        <v>0</v>
      </c>
      <c r="H154" s="1">
        <v>1702</v>
      </c>
      <c r="I154" s="21">
        <f t="shared" ref="I154:I217" si="5">(H154-H153)/H153</f>
        <v>-1.3333333333333334E-2</v>
      </c>
      <c r="J154" s="1">
        <v>401</v>
      </c>
      <c r="T154" s="1">
        <v>75</v>
      </c>
      <c r="Z154" s="1">
        <v>83</v>
      </c>
      <c r="AA154" s="1">
        <v>193</v>
      </c>
      <c r="AF154" s="1">
        <v>209</v>
      </c>
    </row>
    <row r="155" spans="1:32">
      <c r="A155" s="58">
        <v>33823</v>
      </c>
      <c r="C155" s="1">
        <v>6444</v>
      </c>
      <c r="D155" s="21">
        <f t="shared" si="4"/>
        <v>-5.499340079190497E-2</v>
      </c>
      <c r="E155" s="1">
        <v>6444</v>
      </c>
      <c r="F155" s="1">
        <v>0</v>
      </c>
      <c r="H155" s="1">
        <v>1565</v>
      </c>
      <c r="I155" s="21">
        <f t="shared" si="5"/>
        <v>-8.0493537015276145E-2</v>
      </c>
      <c r="J155" s="1">
        <v>324</v>
      </c>
      <c r="T155" s="1">
        <v>71</v>
      </c>
      <c r="Z155" s="1">
        <v>95</v>
      </c>
      <c r="AA155" s="1">
        <v>233</v>
      </c>
      <c r="AF155" s="1">
        <v>201</v>
      </c>
    </row>
    <row r="156" spans="1:32">
      <c r="A156" s="58">
        <v>33830</v>
      </c>
      <c r="C156" s="1">
        <v>6715</v>
      </c>
      <c r="D156" s="21">
        <f t="shared" si="4"/>
        <v>4.2054624456859091E-2</v>
      </c>
      <c r="E156" s="1">
        <v>6715</v>
      </c>
      <c r="F156" s="1">
        <v>0</v>
      </c>
      <c r="H156" s="1">
        <v>1593</v>
      </c>
      <c r="I156" s="21">
        <f t="shared" si="5"/>
        <v>1.7891373801916934E-2</v>
      </c>
      <c r="J156" s="1">
        <v>330</v>
      </c>
      <c r="T156" s="1">
        <v>80</v>
      </c>
      <c r="Z156" s="1">
        <v>93</v>
      </c>
      <c r="AA156" s="1">
        <v>207</v>
      </c>
      <c r="AF156" s="1">
        <v>234</v>
      </c>
    </row>
    <row r="157" spans="1:32">
      <c r="A157" s="58">
        <v>33837</v>
      </c>
      <c r="C157" s="1">
        <v>6604</v>
      </c>
      <c r="D157" s="21">
        <f t="shared" ref="D157:D220" si="6">(C157-C156)/C156</f>
        <v>-1.6530156366344004E-2</v>
      </c>
      <c r="E157" s="1">
        <v>6595</v>
      </c>
      <c r="F157" s="1">
        <v>9</v>
      </c>
      <c r="H157" s="1">
        <v>1768</v>
      </c>
      <c r="I157" s="21">
        <f t="shared" si="5"/>
        <v>0.1098556183301946</v>
      </c>
      <c r="J157" s="1">
        <v>289</v>
      </c>
      <c r="T157" s="1">
        <v>57</v>
      </c>
      <c r="Z157" s="1">
        <v>100</v>
      </c>
      <c r="AA157" s="1">
        <v>264</v>
      </c>
      <c r="AF157" s="1">
        <v>296</v>
      </c>
    </row>
    <row r="158" spans="1:32">
      <c r="A158" s="58">
        <v>33844</v>
      </c>
      <c r="C158" s="1">
        <v>6514</v>
      </c>
      <c r="D158" s="21">
        <f t="shared" si="6"/>
        <v>-1.3628104179285281E-2</v>
      </c>
      <c r="E158" s="1">
        <v>6494</v>
      </c>
      <c r="F158" s="1">
        <v>20</v>
      </c>
      <c r="H158" s="1">
        <v>1743</v>
      </c>
      <c r="I158" s="21">
        <f t="shared" si="5"/>
        <v>-1.414027149321267E-2</v>
      </c>
      <c r="J158" s="1">
        <v>282</v>
      </c>
      <c r="T158" s="1">
        <v>46</v>
      </c>
      <c r="Z158" s="1">
        <v>78</v>
      </c>
      <c r="AA158" s="1">
        <v>263</v>
      </c>
      <c r="AF158" s="1">
        <v>312</v>
      </c>
    </row>
    <row r="159" spans="1:32">
      <c r="A159" s="58">
        <v>33851</v>
      </c>
      <c r="C159" s="1">
        <v>6439</v>
      </c>
      <c r="D159" s="21">
        <f t="shared" si="6"/>
        <v>-1.1513662879950875E-2</v>
      </c>
      <c r="E159" s="1">
        <v>6419</v>
      </c>
      <c r="F159" s="1">
        <v>20</v>
      </c>
      <c r="H159" s="1">
        <v>1802</v>
      </c>
      <c r="I159" s="21">
        <f t="shared" si="5"/>
        <v>3.3849684452094089E-2</v>
      </c>
      <c r="J159" s="1">
        <v>313</v>
      </c>
      <c r="T159" s="1">
        <v>64</v>
      </c>
      <c r="Z159" s="1">
        <v>86</v>
      </c>
      <c r="AA159" s="1">
        <v>234</v>
      </c>
      <c r="AF159" s="1">
        <v>342</v>
      </c>
    </row>
    <row r="160" spans="1:32">
      <c r="A160" s="58">
        <v>33858</v>
      </c>
      <c r="C160" s="1">
        <v>6112</v>
      </c>
      <c r="D160" s="21">
        <f t="shared" si="6"/>
        <v>-5.0784283273800281E-2</v>
      </c>
      <c r="E160" s="1">
        <v>6092</v>
      </c>
      <c r="F160" s="1">
        <v>20</v>
      </c>
      <c r="H160" s="1">
        <v>1879</v>
      </c>
      <c r="I160" s="21">
        <f t="shared" si="5"/>
        <v>4.2730299667036627E-2</v>
      </c>
      <c r="J160" s="1">
        <v>405</v>
      </c>
      <c r="T160" s="1">
        <v>56</v>
      </c>
      <c r="Z160" s="1">
        <v>86</v>
      </c>
      <c r="AA160" s="1">
        <v>274</v>
      </c>
      <c r="AF160" s="1">
        <v>312</v>
      </c>
    </row>
    <row r="161" spans="1:32">
      <c r="A161" s="58">
        <v>33865</v>
      </c>
      <c r="C161" s="1">
        <v>6206</v>
      </c>
      <c r="D161" s="21">
        <f t="shared" si="6"/>
        <v>1.5379581151832461E-2</v>
      </c>
      <c r="E161" s="1">
        <v>6195</v>
      </c>
      <c r="F161" s="1">
        <v>11</v>
      </c>
      <c r="H161" s="1">
        <v>1873</v>
      </c>
      <c r="I161" s="21">
        <f t="shared" si="5"/>
        <v>-3.1931878658861094E-3</v>
      </c>
      <c r="J161" s="1">
        <v>472</v>
      </c>
      <c r="T161" s="1">
        <v>59</v>
      </c>
      <c r="Z161" s="1">
        <v>75</v>
      </c>
      <c r="AA161" s="1">
        <v>241</v>
      </c>
      <c r="AF161" s="1">
        <v>268</v>
      </c>
    </row>
    <row r="162" spans="1:32">
      <c r="A162" s="58">
        <v>33872</v>
      </c>
      <c r="C162" s="1">
        <v>6162</v>
      </c>
      <c r="D162" s="21">
        <f t="shared" si="6"/>
        <v>-7.0899129874315179E-3</v>
      </c>
      <c r="E162" s="1">
        <v>6162</v>
      </c>
      <c r="F162" s="1">
        <v>0</v>
      </c>
      <c r="H162" s="1">
        <v>1858</v>
      </c>
      <c r="I162" s="21">
        <f t="shared" si="5"/>
        <v>-8.0085424452749597E-3</v>
      </c>
      <c r="J162" s="1">
        <v>507</v>
      </c>
      <c r="T162" s="1">
        <v>73</v>
      </c>
      <c r="Z162" s="1">
        <v>71</v>
      </c>
      <c r="AA162" s="1">
        <v>239</v>
      </c>
      <c r="AF162" s="1">
        <v>288</v>
      </c>
    </row>
    <row r="163" spans="1:32">
      <c r="A163" s="58">
        <v>33879</v>
      </c>
      <c r="C163" s="1">
        <v>6243</v>
      </c>
      <c r="D163" s="21">
        <f t="shared" si="6"/>
        <v>1.3145082765335931E-2</v>
      </c>
      <c r="E163" s="1">
        <v>6226</v>
      </c>
      <c r="F163" s="1">
        <v>18</v>
      </c>
      <c r="H163" s="1">
        <v>1943</v>
      </c>
      <c r="I163" s="21">
        <f t="shared" si="5"/>
        <v>4.5748116254036596E-2</v>
      </c>
      <c r="J163" s="1">
        <v>557</v>
      </c>
      <c r="T163" s="1">
        <v>60</v>
      </c>
      <c r="Z163" s="1">
        <v>71</v>
      </c>
      <c r="AA163" s="1">
        <v>247</v>
      </c>
      <c r="AF163" s="1">
        <v>264</v>
      </c>
    </row>
    <row r="164" spans="1:32">
      <c r="A164" s="58">
        <v>33886</v>
      </c>
      <c r="C164" s="1">
        <v>6270</v>
      </c>
      <c r="D164" s="21">
        <f t="shared" si="6"/>
        <v>4.324843825084094E-3</v>
      </c>
      <c r="E164" s="1">
        <v>6252</v>
      </c>
      <c r="F164" s="1">
        <v>18</v>
      </c>
      <c r="H164" s="1">
        <v>1882</v>
      </c>
      <c r="I164" s="21">
        <f t="shared" si="5"/>
        <v>-3.1394750386001029E-2</v>
      </c>
      <c r="J164" s="1">
        <v>470</v>
      </c>
      <c r="T164" s="1">
        <v>58</v>
      </c>
      <c r="Z164" s="1">
        <v>65</v>
      </c>
      <c r="AA164" s="1">
        <v>212</v>
      </c>
      <c r="AF164" s="1">
        <v>288</v>
      </c>
    </row>
    <row r="165" spans="1:32">
      <c r="A165" s="58">
        <v>33893</v>
      </c>
      <c r="C165" s="1">
        <v>6650</v>
      </c>
      <c r="D165" s="21">
        <f t="shared" si="6"/>
        <v>6.0606060606060608E-2</v>
      </c>
      <c r="E165" s="1">
        <v>6578</v>
      </c>
      <c r="F165" s="1">
        <v>72</v>
      </c>
      <c r="H165" s="1">
        <v>1944</v>
      </c>
      <c r="I165" s="21">
        <f t="shared" si="5"/>
        <v>3.2943676939426139E-2</v>
      </c>
      <c r="J165" s="1">
        <v>469</v>
      </c>
      <c r="T165" s="1">
        <v>68</v>
      </c>
      <c r="Z165" s="1">
        <v>86</v>
      </c>
      <c r="AA165" s="1">
        <v>262</v>
      </c>
      <c r="AF165" s="1">
        <v>297</v>
      </c>
    </row>
    <row r="166" spans="1:32">
      <c r="A166" s="58">
        <v>33900</v>
      </c>
      <c r="C166" s="1">
        <v>6640</v>
      </c>
      <c r="D166" s="21">
        <f t="shared" si="6"/>
        <v>-1.5037593984962407E-3</v>
      </c>
      <c r="E166" s="1">
        <v>6568</v>
      </c>
      <c r="F166" s="1">
        <v>72</v>
      </c>
      <c r="H166" s="1">
        <v>1921</v>
      </c>
      <c r="I166" s="21">
        <f t="shared" si="5"/>
        <v>-1.1831275720164609E-2</v>
      </c>
      <c r="J166" s="1">
        <v>370</v>
      </c>
      <c r="T166" s="1">
        <v>58</v>
      </c>
      <c r="Z166" s="1">
        <v>82</v>
      </c>
      <c r="AA166" s="1">
        <v>278</v>
      </c>
      <c r="AF166" s="1">
        <v>341</v>
      </c>
    </row>
    <row r="167" spans="1:32">
      <c r="A167" s="58">
        <v>33907</v>
      </c>
      <c r="C167" s="1">
        <v>6842</v>
      </c>
      <c r="D167" s="21">
        <f t="shared" si="6"/>
        <v>3.0421686746987951E-2</v>
      </c>
      <c r="E167" s="1">
        <v>6788</v>
      </c>
      <c r="F167" s="1">
        <v>54</v>
      </c>
      <c r="H167" s="1">
        <v>1837</v>
      </c>
      <c r="I167" s="21">
        <f t="shared" si="5"/>
        <v>-4.372722540343571E-2</v>
      </c>
      <c r="J167" s="1">
        <v>254</v>
      </c>
      <c r="T167" s="1">
        <v>46</v>
      </c>
      <c r="Z167" s="1">
        <v>67</v>
      </c>
      <c r="AA167" s="1">
        <v>293</v>
      </c>
      <c r="AF167" s="1">
        <v>383</v>
      </c>
    </row>
    <row r="168" spans="1:32">
      <c r="A168" s="58">
        <v>33914</v>
      </c>
      <c r="C168" s="1">
        <v>6813</v>
      </c>
      <c r="D168" s="21">
        <f t="shared" si="6"/>
        <v>-4.2385267465653315E-3</v>
      </c>
      <c r="E168" s="1">
        <v>6759</v>
      </c>
      <c r="F168" s="1">
        <v>54</v>
      </c>
      <c r="H168" s="1">
        <v>1904</v>
      </c>
      <c r="I168" s="21">
        <f t="shared" si="5"/>
        <v>3.6472509526401742E-2</v>
      </c>
      <c r="J168" s="1">
        <v>288</v>
      </c>
      <c r="T168" s="1">
        <v>58</v>
      </c>
      <c r="Z168" s="1">
        <v>77</v>
      </c>
      <c r="AA168" s="1">
        <v>332</v>
      </c>
      <c r="AF168" s="1">
        <v>415</v>
      </c>
    </row>
    <row r="169" spans="1:32">
      <c r="A169" s="58">
        <v>33921</v>
      </c>
      <c r="C169" s="1">
        <v>6181</v>
      </c>
      <c r="D169" s="21">
        <f t="shared" si="6"/>
        <v>-9.2763833847057095E-2</v>
      </c>
      <c r="E169" s="1">
        <v>6181</v>
      </c>
      <c r="F169" s="1">
        <v>0</v>
      </c>
      <c r="H169" s="1">
        <v>1735</v>
      </c>
      <c r="I169" s="21">
        <f t="shared" si="5"/>
        <v>-8.8760504201680676E-2</v>
      </c>
      <c r="J169" s="1">
        <v>208</v>
      </c>
      <c r="T169" s="1">
        <v>56</v>
      </c>
      <c r="Z169" s="1">
        <v>58</v>
      </c>
      <c r="AA169" s="1">
        <v>268</v>
      </c>
      <c r="AF169" s="1">
        <v>434</v>
      </c>
    </row>
    <row r="170" spans="1:32">
      <c r="A170" s="58">
        <v>33928</v>
      </c>
      <c r="C170" s="1">
        <v>6347</v>
      </c>
      <c r="D170" s="21">
        <f t="shared" si="6"/>
        <v>2.6856495712667853E-2</v>
      </c>
      <c r="E170" s="1">
        <v>6347</v>
      </c>
      <c r="F170" s="1">
        <v>0</v>
      </c>
      <c r="H170" s="1">
        <v>1760</v>
      </c>
      <c r="I170" s="21">
        <f t="shared" si="5"/>
        <v>1.4409221902017291E-2</v>
      </c>
      <c r="J170" s="1">
        <v>231</v>
      </c>
      <c r="T170" s="1">
        <v>71</v>
      </c>
      <c r="Z170" s="1">
        <v>72</v>
      </c>
      <c r="AA170" s="1">
        <v>235</v>
      </c>
      <c r="AF170" s="1">
        <v>383</v>
      </c>
    </row>
    <row r="171" spans="1:32">
      <c r="A171" s="58">
        <v>33935</v>
      </c>
      <c r="C171" s="1">
        <v>6174</v>
      </c>
      <c r="D171" s="21">
        <f t="shared" si="6"/>
        <v>-2.7256971797699699E-2</v>
      </c>
      <c r="E171" s="1">
        <v>6174</v>
      </c>
      <c r="F171" s="1">
        <v>0</v>
      </c>
      <c r="H171" s="1">
        <v>1792</v>
      </c>
      <c r="I171" s="21">
        <f t="shared" si="5"/>
        <v>1.8181818181818181E-2</v>
      </c>
      <c r="J171" s="1">
        <v>264</v>
      </c>
      <c r="T171" s="1">
        <v>85</v>
      </c>
      <c r="Z171" s="1">
        <v>77</v>
      </c>
      <c r="AA171" s="1">
        <v>241</v>
      </c>
      <c r="AF171" s="1">
        <v>386</v>
      </c>
    </row>
    <row r="172" spans="1:32">
      <c r="A172" s="58">
        <v>33942</v>
      </c>
      <c r="C172" s="1">
        <v>6152</v>
      </c>
      <c r="D172" s="21">
        <f t="shared" si="6"/>
        <v>-3.5633300939423387E-3</v>
      </c>
      <c r="E172" s="1">
        <v>6152</v>
      </c>
      <c r="F172" s="1">
        <v>0</v>
      </c>
      <c r="H172" s="1">
        <v>1739</v>
      </c>
      <c r="I172" s="21">
        <f t="shared" si="5"/>
        <v>-2.9575892857142856E-2</v>
      </c>
      <c r="J172" s="1">
        <v>249</v>
      </c>
      <c r="T172" s="1">
        <v>71</v>
      </c>
      <c r="Z172" s="1">
        <v>75</v>
      </c>
      <c r="AA172" s="1">
        <v>212</v>
      </c>
      <c r="AF172" s="1">
        <v>358</v>
      </c>
    </row>
    <row r="173" spans="1:32">
      <c r="A173" s="58">
        <v>33949</v>
      </c>
      <c r="C173" s="1">
        <v>6414</v>
      </c>
      <c r="D173" s="21">
        <f t="shared" si="6"/>
        <v>4.2587776332899868E-2</v>
      </c>
      <c r="E173" s="1">
        <v>6414</v>
      </c>
      <c r="F173" s="1">
        <v>0</v>
      </c>
      <c r="H173" s="1">
        <v>1815</v>
      </c>
      <c r="I173" s="21">
        <f t="shared" si="5"/>
        <v>4.3703277745830937E-2</v>
      </c>
      <c r="J173" s="1">
        <v>276</v>
      </c>
      <c r="T173" s="1">
        <v>76</v>
      </c>
      <c r="Z173" s="1">
        <v>84</v>
      </c>
      <c r="AA173" s="1">
        <v>212</v>
      </c>
      <c r="AF173" s="1">
        <v>404</v>
      </c>
    </row>
    <row r="174" spans="1:32">
      <c r="A174" s="58">
        <v>33956</v>
      </c>
      <c r="C174" s="1">
        <v>6369</v>
      </c>
      <c r="D174" s="21">
        <f t="shared" si="6"/>
        <v>-7.0159027128157154E-3</v>
      </c>
      <c r="E174" s="1">
        <v>6369</v>
      </c>
      <c r="F174" s="1">
        <v>0</v>
      </c>
      <c r="H174" s="1">
        <v>1833</v>
      </c>
      <c r="I174" s="21">
        <f t="shared" si="5"/>
        <v>9.9173553719008271E-3</v>
      </c>
      <c r="J174" s="1">
        <v>285</v>
      </c>
      <c r="T174" s="1">
        <v>67</v>
      </c>
      <c r="Z174" s="1">
        <v>85</v>
      </c>
      <c r="AA174" s="1">
        <v>227</v>
      </c>
      <c r="AF174" s="1">
        <v>411</v>
      </c>
    </row>
    <row r="175" spans="1:32">
      <c r="A175" s="58">
        <v>33963</v>
      </c>
      <c r="C175" s="1">
        <v>6153</v>
      </c>
      <c r="D175" s="21">
        <f t="shared" si="6"/>
        <v>-3.3914272256241169E-2</v>
      </c>
      <c r="E175" s="1">
        <v>6153</v>
      </c>
      <c r="F175" s="1">
        <v>0</v>
      </c>
      <c r="H175" s="1">
        <v>1826</v>
      </c>
      <c r="I175" s="21">
        <f t="shared" si="5"/>
        <v>-3.8188761593016913E-3</v>
      </c>
      <c r="J175" s="1">
        <v>256</v>
      </c>
      <c r="T175" s="1">
        <v>54</v>
      </c>
      <c r="Z175" s="1">
        <v>90</v>
      </c>
      <c r="AA175" s="1">
        <v>221</v>
      </c>
      <c r="AF175" s="1">
        <v>423</v>
      </c>
    </row>
    <row r="176" spans="1:32">
      <c r="A176" s="58">
        <v>33970</v>
      </c>
      <c r="C176" s="1">
        <v>6005</v>
      </c>
      <c r="D176" s="21">
        <f t="shared" si="6"/>
        <v>-2.4053307329757842E-2</v>
      </c>
      <c r="E176" s="1">
        <v>6005</v>
      </c>
      <c r="F176" s="1">
        <v>0</v>
      </c>
      <c r="H176" s="1">
        <v>1916</v>
      </c>
      <c r="I176" s="21">
        <f t="shared" si="5"/>
        <v>4.9288061336254109E-2</v>
      </c>
      <c r="J176" s="1">
        <v>244</v>
      </c>
      <c r="T176" s="1">
        <v>53</v>
      </c>
      <c r="Z176" s="1">
        <v>81</v>
      </c>
      <c r="AA176" s="1">
        <v>218</v>
      </c>
      <c r="AF176" s="1">
        <v>484</v>
      </c>
    </row>
    <row r="177" spans="1:32">
      <c r="A177" s="58">
        <v>33977</v>
      </c>
      <c r="C177" s="1">
        <v>6100</v>
      </c>
      <c r="D177" s="21">
        <f t="shared" si="6"/>
        <v>1.5820149875104082E-2</v>
      </c>
      <c r="E177" s="1">
        <v>6100</v>
      </c>
      <c r="F177" s="1">
        <v>0</v>
      </c>
      <c r="H177" s="1">
        <v>1939</v>
      </c>
      <c r="I177" s="21">
        <f t="shared" si="5"/>
        <v>1.2004175365344467E-2</v>
      </c>
      <c r="J177" s="1">
        <v>223</v>
      </c>
      <c r="T177" s="1">
        <v>45</v>
      </c>
      <c r="Z177" s="1">
        <v>79</v>
      </c>
      <c r="AA177" s="1">
        <v>210</v>
      </c>
      <c r="AF177" s="1">
        <v>509</v>
      </c>
    </row>
    <row r="178" spans="1:32">
      <c r="A178" s="58">
        <v>33984</v>
      </c>
      <c r="C178" s="1">
        <v>6040</v>
      </c>
      <c r="D178" s="21">
        <f t="shared" si="6"/>
        <v>-9.8360655737704927E-3</v>
      </c>
      <c r="E178" s="1">
        <v>6040</v>
      </c>
      <c r="F178" s="1">
        <v>0</v>
      </c>
      <c r="H178" s="1">
        <v>1895</v>
      </c>
      <c r="I178" s="21">
        <f t="shared" si="5"/>
        <v>-2.2692109334708613E-2</v>
      </c>
      <c r="J178" s="1">
        <v>204</v>
      </c>
      <c r="T178" s="1">
        <v>40</v>
      </c>
      <c r="Z178" s="1">
        <v>91</v>
      </c>
      <c r="AA178" s="1">
        <v>196</v>
      </c>
      <c r="AF178" s="1">
        <v>507</v>
      </c>
    </row>
    <row r="179" spans="1:32">
      <c r="A179" s="58">
        <v>33991</v>
      </c>
      <c r="C179" s="1">
        <v>6274</v>
      </c>
      <c r="D179" s="21">
        <f t="shared" si="6"/>
        <v>3.8741721854304634E-2</v>
      </c>
      <c r="E179" s="1">
        <v>6274</v>
      </c>
      <c r="F179" s="1">
        <v>0</v>
      </c>
      <c r="H179" s="1">
        <v>1988</v>
      </c>
      <c r="I179" s="21">
        <f t="shared" si="5"/>
        <v>4.9076517150395779E-2</v>
      </c>
      <c r="J179" s="1">
        <v>245</v>
      </c>
      <c r="T179" s="1">
        <v>37</v>
      </c>
      <c r="Z179" s="1">
        <v>80</v>
      </c>
      <c r="AA179" s="1">
        <v>196</v>
      </c>
      <c r="AF179" s="1">
        <v>541</v>
      </c>
    </row>
    <row r="180" spans="1:32">
      <c r="A180" s="58">
        <v>33998</v>
      </c>
      <c r="C180" s="1">
        <v>6557</v>
      </c>
      <c r="D180" s="21">
        <f t="shared" si="6"/>
        <v>4.5106789926681545E-2</v>
      </c>
      <c r="E180" s="1">
        <v>6557</v>
      </c>
      <c r="F180" s="1">
        <v>0</v>
      </c>
      <c r="H180" s="1">
        <v>1748</v>
      </c>
      <c r="I180" s="21">
        <f t="shared" si="5"/>
        <v>-0.12072434607645875</v>
      </c>
      <c r="J180" s="1">
        <v>221</v>
      </c>
      <c r="T180" s="1">
        <v>30</v>
      </c>
      <c r="Z180" s="1">
        <v>84</v>
      </c>
      <c r="AA180" s="1">
        <v>197</v>
      </c>
      <c r="AF180" s="1">
        <v>444</v>
      </c>
    </row>
    <row r="181" spans="1:32">
      <c r="A181" s="58">
        <v>34005</v>
      </c>
      <c r="C181" s="1">
        <v>6397</v>
      </c>
      <c r="D181" s="21">
        <f t="shared" si="6"/>
        <v>-2.4401403080677141E-2</v>
      </c>
      <c r="E181" s="1">
        <v>6397</v>
      </c>
      <c r="F181" s="1">
        <v>0</v>
      </c>
      <c r="H181" s="1">
        <v>1772</v>
      </c>
      <c r="I181" s="21">
        <f t="shared" si="5"/>
        <v>1.3729977116704805E-2</v>
      </c>
      <c r="J181" s="1">
        <v>229</v>
      </c>
      <c r="T181" s="1">
        <v>25</v>
      </c>
      <c r="Z181" s="1">
        <v>80</v>
      </c>
      <c r="AA181" s="1">
        <v>226</v>
      </c>
      <c r="AF181" s="1">
        <v>371</v>
      </c>
    </row>
    <row r="182" spans="1:32">
      <c r="A182" s="58">
        <v>34012</v>
      </c>
      <c r="C182" s="1">
        <v>6428</v>
      </c>
      <c r="D182" s="21">
        <f t="shared" si="6"/>
        <v>4.8460215726121624E-3</v>
      </c>
      <c r="E182" s="1">
        <v>6428</v>
      </c>
      <c r="F182" s="1">
        <v>0</v>
      </c>
      <c r="H182" s="1">
        <v>1842</v>
      </c>
      <c r="I182" s="21">
        <f t="shared" si="5"/>
        <v>3.9503386004514675E-2</v>
      </c>
      <c r="J182" s="1">
        <v>262</v>
      </c>
      <c r="T182" s="1">
        <v>31</v>
      </c>
      <c r="Z182" s="1">
        <v>65</v>
      </c>
      <c r="AA182" s="1">
        <v>236</v>
      </c>
      <c r="AF182" s="1">
        <v>377</v>
      </c>
    </row>
    <row r="183" spans="1:32">
      <c r="A183" s="58">
        <v>34019</v>
      </c>
      <c r="C183" s="1">
        <v>6252</v>
      </c>
      <c r="D183" s="21">
        <f t="shared" si="6"/>
        <v>-2.7380211574362167E-2</v>
      </c>
      <c r="E183" s="1">
        <v>6252</v>
      </c>
      <c r="F183" s="1">
        <v>0</v>
      </c>
      <c r="H183" s="1">
        <v>1806</v>
      </c>
      <c r="I183" s="21">
        <f t="shared" si="5"/>
        <v>-1.9543973941368076E-2</v>
      </c>
      <c r="J183" s="1">
        <v>295</v>
      </c>
      <c r="T183" s="1">
        <v>31</v>
      </c>
      <c r="Z183" s="1">
        <v>80</v>
      </c>
      <c r="AA183" s="1">
        <v>205</v>
      </c>
      <c r="AF183" s="1">
        <v>290</v>
      </c>
    </row>
    <row r="184" spans="1:32">
      <c r="A184" s="58">
        <v>34026</v>
      </c>
      <c r="C184" s="1">
        <v>6256</v>
      </c>
      <c r="D184" s="21">
        <f t="shared" si="6"/>
        <v>6.3979526551503517E-4</v>
      </c>
      <c r="E184" s="1">
        <v>6256</v>
      </c>
      <c r="F184" s="1">
        <v>0</v>
      </c>
      <c r="H184" s="1">
        <v>1852</v>
      </c>
      <c r="I184" s="21">
        <f t="shared" si="5"/>
        <v>2.5470653377630121E-2</v>
      </c>
      <c r="J184" s="1">
        <v>275</v>
      </c>
      <c r="T184" s="1">
        <v>42</v>
      </c>
      <c r="Z184" s="1">
        <v>82</v>
      </c>
      <c r="AA184" s="1">
        <v>210</v>
      </c>
      <c r="AF184" s="1">
        <v>320</v>
      </c>
    </row>
    <row r="185" spans="1:32">
      <c r="A185" s="58">
        <v>34033</v>
      </c>
      <c r="C185" s="1">
        <v>6061</v>
      </c>
      <c r="D185" s="21">
        <f t="shared" si="6"/>
        <v>-3.117007672634271E-2</v>
      </c>
      <c r="E185" s="1">
        <v>6061</v>
      </c>
      <c r="F185" s="1">
        <v>0</v>
      </c>
      <c r="H185" s="1">
        <v>1769</v>
      </c>
      <c r="I185" s="21">
        <f t="shared" si="5"/>
        <v>-4.4816414686825054E-2</v>
      </c>
      <c r="J185" s="1">
        <v>301</v>
      </c>
      <c r="T185" s="1">
        <v>60</v>
      </c>
      <c r="Z185" s="1">
        <v>84</v>
      </c>
      <c r="AA185" s="1">
        <v>193</v>
      </c>
      <c r="AF185" s="1">
        <v>284</v>
      </c>
    </row>
    <row r="186" spans="1:32">
      <c r="A186" s="58">
        <v>34040</v>
      </c>
      <c r="C186" s="1">
        <v>6333</v>
      </c>
      <c r="D186" s="21">
        <f t="shared" si="6"/>
        <v>4.4877082989605674E-2</v>
      </c>
      <c r="E186" s="1">
        <v>6333</v>
      </c>
      <c r="F186" s="1">
        <v>0</v>
      </c>
      <c r="H186" s="1">
        <v>1613</v>
      </c>
      <c r="I186" s="21">
        <f t="shared" si="5"/>
        <v>-8.818541548897682E-2</v>
      </c>
      <c r="J186" s="1">
        <v>232</v>
      </c>
      <c r="T186" s="1">
        <v>46</v>
      </c>
      <c r="Z186" s="1">
        <v>86</v>
      </c>
      <c r="AA186" s="1">
        <v>189</v>
      </c>
      <c r="AF186" s="1">
        <v>255</v>
      </c>
    </row>
    <row r="187" spans="1:32">
      <c r="A187" s="58">
        <v>34047</v>
      </c>
      <c r="C187" s="1">
        <v>6342</v>
      </c>
      <c r="D187" s="21">
        <f t="shared" si="6"/>
        <v>1.4211274277593558E-3</v>
      </c>
      <c r="E187" s="1">
        <v>6323</v>
      </c>
      <c r="F187" s="1">
        <v>19</v>
      </c>
      <c r="H187" s="1">
        <v>1566</v>
      </c>
      <c r="I187" s="21">
        <f t="shared" si="5"/>
        <v>-2.9138251704897707E-2</v>
      </c>
      <c r="J187" s="1">
        <v>180</v>
      </c>
      <c r="T187" s="1">
        <v>80</v>
      </c>
      <c r="Z187" s="1">
        <v>82</v>
      </c>
      <c r="AA187" s="1">
        <v>213</v>
      </c>
      <c r="AF187" s="1">
        <v>280</v>
      </c>
    </row>
    <row r="188" spans="1:32">
      <c r="A188" s="58">
        <v>34054</v>
      </c>
      <c r="C188" s="1">
        <v>6408</v>
      </c>
      <c r="D188" s="21">
        <f t="shared" si="6"/>
        <v>1.0406811731315043E-2</v>
      </c>
      <c r="E188" s="1">
        <v>6372</v>
      </c>
      <c r="F188" s="1">
        <v>36</v>
      </c>
      <c r="H188" s="1">
        <v>1723</v>
      </c>
      <c r="I188" s="21">
        <f t="shared" si="5"/>
        <v>0.10025542784163474</v>
      </c>
      <c r="J188" s="1">
        <v>228</v>
      </c>
      <c r="T188" s="1">
        <v>83</v>
      </c>
      <c r="Z188" s="1">
        <v>83</v>
      </c>
      <c r="AA188" s="1">
        <v>253</v>
      </c>
      <c r="AF188" s="1">
        <v>307</v>
      </c>
    </row>
    <row r="189" spans="1:32">
      <c r="A189" s="58">
        <v>34061</v>
      </c>
      <c r="C189" s="1">
        <v>6377</v>
      </c>
      <c r="D189" s="21">
        <f t="shared" si="6"/>
        <v>-4.8377028714107363E-3</v>
      </c>
      <c r="E189" s="1">
        <v>6341</v>
      </c>
      <c r="F189" s="1">
        <v>36</v>
      </c>
      <c r="H189" s="1">
        <v>1838</v>
      </c>
      <c r="I189" s="21">
        <f t="shared" si="5"/>
        <v>6.6744051073708649E-2</v>
      </c>
      <c r="J189" s="1">
        <v>222</v>
      </c>
      <c r="T189" s="1">
        <v>67</v>
      </c>
      <c r="Z189" s="1">
        <v>92</v>
      </c>
      <c r="AA189" s="1">
        <v>276</v>
      </c>
      <c r="AF189" s="1">
        <v>374</v>
      </c>
    </row>
    <row r="190" spans="1:32">
      <c r="A190" s="58">
        <v>34068</v>
      </c>
      <c r="C190" s="1">
        <v>6374</v>
      </c>
      <c r="D190" s="21">
        <f t="shared" si="6"/>
        <v>-4.7044064607182058E-4</v>
      </c>
      <c r="E190" s="1">
        <v>6306</v>
      </c>
      <c r="F190" s="1">
        <v>67</v>
      </c>
      <c r="H190" s="1">
        <v>1904</v>
      </c>
      <c r="I190" s="21">
        <f t="shared" si="5"/>
        <v>3.5908596300326445E-2</v>
      </c>
      <c r="J190" s="1">
        <v>287</v>
      </c>
      <c r="T190" s="1">
        <v>79</v>
      </c>
      <c r="Z190" s="1">
        <v>85</v>
      </c>
      <c r="AA190" s="1">
        <v>290</v>
      </c>
      <c r="AF190" s="1">
        <v>368</v>
      </c>
    </row>
    <row r="191" spans="1:32">
      <c r="A191" s="58">
        <v>34075</v>
      </c>
      <c r="C191" s="1">
        <v>6588</v>
      </c>
      <c r="D191" s="21">
        <f t="shared" si="6"/>
        <v>3.35738939441481E-2</v>
      </c>
      <c r="E191" s="1">
        <v>6539</v>
      </c>
      <c r="F191" s="1">
        <v>49</v>
      </c>
      <c r="H191" s="1">
        <v>1827</v>
      </c>
      <c r="I191" s="21">
        <f t="shared" si="5"/>
        <v>-4.0441176470588237E-2</v>
      </c>
      <c r="J191" s="1">
        <v>318</v>
      </c>
      <c r="T191" s="1">
        <v>48</v>
      </c>
      <c r="Z191" s="1">
        <v>87</v>
      </c>
      <c r="AA191" s="1">
        <v>295</v>
      </c>
      <c r="AF191" s="1">
        <v>345</v>
      </c>
    </row>
    <row r="192" spans="1:32">
      <c r="A192" s="58">
        <v>34082</v>
      </c>
      <c r="C192" s="1">
        <v>6523</v>
      </c>
      <c r="D192" s="21">
        <f t="shared" si="6"/>
        <v>-9.8664238008500296E-3</v>
      </c>
      <c r="E192" s="1">
        <v>6456</v>
      </c>
      <c r="F192" s="1">
        <v>67</v>
      </c>
      <c r="H192" s="1">
        <v>1764</v>
      </c>
      <c r="I192" s="21">
        <f t="shared" si="5"/>
        <v>-3.4482758620689655E-2</v>
      </c>
      <c r="J192" s="1">
        <v>335</v>
      </c>
      <c r="T192" s="1">
        <v>41</v>
      </c>
      <c r="Z192" s="1">
        <v>86</v>
      </c>
      <c r="AA192" s="1">
        <v>245</v>
      </c>
      <c r="AF192" s="1">
        <v>309</v>
      </c>
    </row>
    <row r="193" spans="1:32">
      <c r="A193" s="58">
        <v>34089</v>
      </c>
      <c r="C193" s="1">
        <v>7078</v>
      </c>
      <c r="D193" s="21">
        <f t="shared" si="6"/>
        <v>8.5083550513567377E-2</v>
      </c>
      <c r="E193" s="1">
        <v>6957</v>
      </c>
      <c r="F193" s="1">
        <v>120</v>
      </c>
      <c r="H193" s="1">
        <v>1689</v>
      </c>
      <c r="I193" s="21">
        <f t="shared" si="5"/>
        <v>-4.2517006802721087E-2</v>
      </c>
      <c r="J193" s="1">
        <v>319</v>
      </c>
      <c r="T193" s="1">
        <v>48</v>
      </c>
      <c r="Z193" s="1">
        <v>79</v>
      </c>
      <c r="AA193" s="1">
        <v>209</v>
      </c>
      <c r="AF193" s="1">
        <v>324</v>
      </c>
    </row>
    <row r="194" spans="1:32">
      <c r="A194" s="58">
        <v>34096</v>
      </c>
      <c r="C194" s="1">
        <v>6859</v>
      </c>
      <c r="D194" s="21">
        <f t="shared" si="6"/>
        <v>-3.0940943769426393E-2</v>
      </c>
      <c r="E194" s="1">
        <v>6770</v>
      </c>
      <c r="F194" s="1">
        <v>89</v>
      </c>
      <c r="H194" s="1">
        <v>1680</v>
      </c>
      <c r="I194" s="21">
        <f t="shared" si="5"/>
        <v>-5.3285968028419185E-3</v>
      </c>
      <c r="J194" s="1">
        <v>300</v>
      </c>
      <c r="T194" s="1">
        <v>32</v>
      </c>
      <c r="Z194" s="1">
        <v>80</v>
      </c>
      <c r="AA194" s="1">
        <v>188</v>
      </c>
      <c r="AF194" s="1">
        <v>362</v>
      </c>
    </row>
    <row r="195" spans="1:32">
      <c r="A195" s="58">
        <v>34103</v>
      </c>
      <c r="C195" s="1">
        <v>7001</v>
      </c>
      <c r="D195" s="21">
        <f t="shared" si="6"/>
        <v>2.0702726344948245E-2</v>
      </c>
      <c r="E195" s="1">
        <v>6912</v>
      </c>
      <c r="F195" s="1">
        <v>89</v>
      </c>
      <c r="H195" s="1">
        <v>1810</v>
      </c>
      <c r="I195" s="21">
        <f t="shared" si="5"/>
        <v>7.7380952380952384E-2</v>
      </c>
      <c r="J195" s="1">
        <v>355</v>
      </c>
      <c r="T195" s="1">
        <v>29</v>
      </c>
      <c r="Z195" s="1">
        <v>71</v>
      </c>
      <c r="AA195" s="1">
        <v>166</v>
      </c>
      <c r="AF195" s="1">
        <v>380</v>
      </c>
    </row>
    <row r="196" spans="1:32">
      <c r="A196" s="58">
        <v>34110</v>
      </c>
      <c r="C196" s="1">
        <v>6955</v>
      </c>
      <c r="D196" s="21">
        <f t="shared" si="6"/>
        <v>-6.5704899300099984E-3</v>
      </c>
      <c r="E196" s="1">
        <v>6901</v>
      </c>
      <c r="F196" s="1">
        <v>53</v>
      </c>
      <c r="H196" s="1">
        <v>1653</v>
      </c>
      <c r="I196" s="21">
        <f t="shared" si="5"/>
        <v>-8.6740331491712702E-2</v>
      </c>
      <c r="J196" s="1">
        <v>337</v>
      </c>
      <c r="T196" s="1">
        <v>43</v>
      </c>
      <c r="Z196" s="1">
        <v>72</v>
      </c>
      <c r="AA196" s="1">
        <v>156</v>
      </c>
      <c r="AF196" s="1">
        <v>366</v>
      </c>
    </row>
    <row r="197" spans="1:32">
      <c r="A197" s="58">
        <v>34117</v>
      </c>
      <c r="C197" s="1">
        <v>6685</v>
      </c>
      <c r="D197" s="21">
        <f t="shared" si="6"/>
        <v>-3.8820992092020126E-2</v>
      </c>
      <c r="E197" s="1">
        <v>6685</v>
      </c>
      <c r="F197" s="1">
        <v>0</v>
      </c>
      <c r="H197" s="1">
        <v>1740</v>
      </c>
      <c r="I197" s="21">
        <f t="shared" si="5"/>
        <v>5.2631578947368418E-2</v>
      </c>
      <c r="J197" s="1">
        <v>359</v>
      </c>
      <c r="T197" s="1">
        <v>29</v>
      </c>
      <c r="Z197" s="1">
        <v>58</v>
      </c>
      <c r="AA197" s="1">
        <v>169</v>
      </c>
      <c r="AF197" s="1">
        <v>299</v>
      </c>
    </row>
    <row r="198" spans="1:32">
      <c r="A198" s="58">
        <v>34124</v>
      </c>
      <c r="C198" s="1">
        <v>6513</v>
      </c>
      <c r="D198" s="21">
        <f t="shared" si="6"/>
        <v>-2.5729244577412116E-2</v>
      </c>
      <c r="E198" s="1">
        <v>6513</v>
      </c>
      <c r="F198" s="1">
        <v>0</v>
      </c>
      <c r="H198" s="1">
        <v>1816</v>
      </c>
      <c r="I198" s="21">
        <f t="shared" si="5"/>
        <v>4.3678160919540229E-2</v>
      </c>
      <c r="J198" s="1">
        <v>398</v>
      </c>
      <c r="T198" s="1">
        <v>47</v>
      </c>
      <c r="Z198" s="1">
        <v>56</v>
      </c>
      <c r="AA198" s="1">
        <v>149</v>
      </c>
      <c r="AF198" s="1">
        <v>302</v>
      </c>
    </row>
    <row r="199" spans="1:32">
      <c r="A199" s="58">
        <v>34131</v>
      </c>
      <c r="C199" s="1">
        <v>6604</v>
      </c>
      <c r="D199" s="21">
        <f t="shared" si="6"/>
        <v>1.3972055888223553E-2</v>
      </c>
      <c r="E199" s="1">
        <v>6604</v>
      </c>
      <c r="F199" s="1">
        <v>0</v>
      </c>
      <c r="H199" s="1">
        <v>1624</v>
      </c>
      <c r="I199" s="21">
        <f t="shared" si="5"/>
        <v>-0.10572687224669604</v>
      </c>
      <c r="J199" s="1">
        <v>328</v>
      </c>
      <c r="T199" s="1">
        <v>47</v>
      </c>
      <c r="Z199" s="1">
        <v>58</v>
      </c>
      <c r="AA199" s="1">
        <v>149</v>
      </c>
      <c r="AF199" s="1">
        <v>293</v>
      </c>
    </row>
    <row r="200" spans="1:32">
      <c r="A200" s="58">
        <v>34138</v>
      </c>
      <c r="C200" s="1">
        <v>6891</v>
      </c>
      <c r="D200" s="21">
        <f t="shared" si="6"/>
        <v>4.3458509993943066E-2</v>
      </c>
      <c r="E200" s="1">
        <v>6891</v>
      </c>
      <c r="F200" s="1">
        <v>0</v>
      </c>
      <c r="H200" s="1">
        <v>1721</v>
      </c>
      <c r="I200" s="21">
        <f t="shared" si="5"/>
        <v>5.972906403940887E-2</v>
      </c>
      <c r="J200" s="1">
        <v>333</v>
      </c>
      <c r="T200" s="1">
        <v>31</v>
      </c>
      <c r="Z200" s="1">
        <v>62</v>
      </c>
      <c r="AA200" s="1">
        <v>166</v>
      </c>
      <c r="AF200" s="1">
        <v>319</v>
      </c>
    </row>
    <row r="201" spans="1:32">
      <c r="A201" s="58">
        <v>34145</v>
      </c>
      <c r="C201" s="1">
        <v>6893</v>
      </c>
      <c r="D201" s="21">
        <f t="shared" si="6"/>
        <v>2.9023363807865332E-4</v>
      </c>
      <c r="E201" s="1">
        <v>6893</v>
      </c>
      <c r="F201" s="1">
        <v>0</v>
      </c>
      <c r="H201" s="1">
        <v>1634</v>
      </c>
      <c r="I201" s="21">
        <f t="shared" si="5"/>
        <v>-5.05520046484602E-2</v>
      </c>
      <c r="J201" s="1">
        <v>331</v>
      </c>
      <c r="T201" s="1">
        <v>40</v>
      </c>
      <c r="Z201" s="1">
        <v>64</v>
      </c>
      <c r="AA201" s="1">
        <v>190</v>
      </c>
      <c r="AF201" s="1">
        <v>353</v>
      </c>
    </row>
    <row r="202" spans="1:32">
      <c r="A202" s="58">
        <v>34152</v>
      </c>
      <c r="C202" s="1">
        <v>6971</v>
      </c>
      <c r="D202" s="21">
        <f t="shared" si="6"/>
        <v>1.1315827651240389E-2</v>
      </c>
      <c r="E202" s="1">
        <v>6971</v>
      </c>
      <c r="F202" s="1">
        <v>0</v>
      </c>
      <c r="H202" s="1">
        <v>1616</v>
      </c>
      <c r="I202" s="21">
        <f t="shared" si="5"/>
        <v>-1.1015911872705019E-2</v>
      </c>
      <c r="J202" s="1">
        <v>323</v>
      </c>
      <c r="T202" s="1">
        <v>32</v>
      </c>
      <c r="Z202" s="1">
        <v>66</v>
      </c>
      <c r="AA202" s="1">
        <v>222</v>
      </c>
      <c r="AF202" s="1">
        <v>312</v>
      </c>
    </row>
    <row r="203" spans="1:32">
      <c r="A203" s="58">
        <v>34159</v>
      </c>
      <c r="C203" s="1">
        <v>6793</v>
      </c>
      <c r="D203" s="21">
        <f t="shared" si="6"/>
        <v>-2.5534356620284034E-2</v>
      </c>
      <c r="E203" s="1">
        <v>6793</v>
      </c>
      <c r="F203" s="1">
        <v>0</v>
      </c>
      <c r="H203" s="1">
        <v>1696</v>
      </c>
      <c r="I203" s="21">
        <f t="shared" si="5"/>
        <v>4.9504950495049507E-2</v>
      </c>
      <c r="J203" s="1">
        <v>329</v>
      </c>
      <c r="T203" s="1">
        <v>30</v>
      </c>
      <c r="Z203" s="1">
        <v>56</v>
      </c>
      <c r="AA203" s="1">
        <v>204</v>
      </c>
      <c r="AF203" s="1">
        <v>316</v>
      </c>
    </row>
    <row r="204" spans="1:32">
      <c r="A204" s="58">
        <v>34166</v>
      </c>
      <c r="C204" s="1">
        <v>6909</v>
      </c>
      <c r="D204" s="21">
        <f t="shared" si="6"/>
        <v>1.7076402178713382E-2</v>
      </c>
      <c r="E204" s="1">
        <v>6909</v>
      </c>
      <c r="F204" s="1">
        <v>0</v>
      </c>
      <c r="H204" s="1">
        <v>1611</v>
      </c>
      <c r="I204" s="21">
        <f t="shared" si="5"/>
        <v>-5.011792452830189E-2</v>
      </c>
      <c r="J204" s="1">
        <v>296</v>
      </c>
      <c r="T204" s="1">
        <v>33</v>
      </c>
      <c r="Z204" s="1">
        <v>62</v>
      </c>
      <c r="AA204" s="1">
        <v>177</v>
      </c>
      <c r="AF204" s="1">
        <v>287</v>
      </c>
    </row>
    <row r="205" spans="1:32">
      <c r="A205" s="58">
        <v>34173</v>
      </c>
      <c r="C205" s="1">
        <v>6622</v>
      </c>
      <c r="D205" s="21">
        <f t="shared" si="6"/>
        <v>-4.1540020263424522E-2</v>
      </c>
      <c r="E205" s="1">
        <v>6622</v>
      </c>
      <c r="F205" s="1">
        <v>0</v>
      </c>
      <c r="H205" s="1">
        <v>1612</v>
      </c>
      <c r="I205" s="21">
        <f t="shared" si="5"/>
        <v>6.207324643078833E-4</v>
      </c>
      <c r="J205" s="1">
        <v>310</v>
      </c>
      <c r="T205" s="1">
        <v>39</v>
      </c>
      <c r="Z205" s="1">
        <v>80</v>
      </c>
      <c r="AA205" s="1">
        <v>157</v>
      </c>
      <c r="AF205" s="1">
        <v>247</v>
      </c>
    </row>
    <row r="206" spans="1:32">
      <c r="A206" s="58">
        <v>34180</v>
      </c>
      <c r="C206" s="1">
        <v>6684</v>
      </c>
      <c r="D206" s="21">
        <f t="shared" si="6"/>
        <v>9.3627302929628516E-3</v>
      </c>
      <c r="E206" s="1">
        <v>6684</v>
      </c>
      <c r="F206" s="1">
        <v>0</v>
      </c>
      <c r="H206" s="1">
        <v>1580</v>
      </c>
      <c r="I206" s="21">
        <f t="shared" si="5"/>
        <v>-1.9851116625310174E-2</v>
      </c>
      <c r="J206" s="1">
        <v>238</v>
      </c>
      <c r="T206" s="1">
        <v>27</v>
      </c>
      <c r="Z206" s="1">
        <v>75</v>
      </c>
      <c r="AA206" s="1">
        <v>115</v>
      </c>
      <c r="AF206" s="1">
        <v>275</v>
      </c>
    </row>
    <row r="207" spans="1:32">
      <c r="A207" s="58">
        <v>34187</v>
      </c>
      <c r="C207" s="1">
        <v>6722</v>
      </c>
      <c r="D207" s="21">
        <f t="shared" si="6"/>
        <v>5.6852184320766008E-3</v>
      </c>
      <c r="E207" s="1">
        <v>6722</v>
      </c>
      <c r="F207" s="1">
        <v>0</v>
      </c>
      <c r="H207" s="1">
        <v>1742</v>
      </c>
      <c r="I207" s="21">
        <f t="shared" si="5"/>
        <v>0.10253164556962026</v>
      </c>
      <c r="J207" s="1">
        <v>252</v>
      </c>
      <c r="T207" s="1">
        <v>35</v>
      </c>
      <c r="Z207" s="1">
        <v>85</v>
      </c>
      <c r="AA207" s="1">
        <v>135</v>
      </c>
      <c r="AF207" s="1">
        <v>407</v>
      </c>
    </row>
    <row r="208" spans="1:32">
      <c r="A208" s="58">
        <v>34194</v>
      </c>
      <c r="C208" s="1">
        <v>6235</v>
      </c>
      <c r="D208" s="21">
        <f t="shared" si="6"/>
        <v>-7.2448675989288905E-2</v>
      </c>
      <c r="E208" s="1">
        <v>6235</v>
      </c>
      <c r="F208" s="1">
        <v>0</v>
      </c>
      <c r="H208" s="1">
        <v>1865</v>
      </c>
      <c r="I208" s="21">
        <f t="shared" si="5"/>
        <v>7.0608495981630312E-2</v>
      </c>
      <c r="J208" s="1">
        <v>249</v>
      </c>
      <c r="L208" s="1">
        <v>0</v>
      </c>
      <c r="T208" s="1">
        <v>26</v>
      </c>
      <c r="Z208" s="1">
        <v>72</v>
      </c>
      <c r="AA208" s="1">
        <v>165</v>
      </c>
      <c r="AC208" s="1">
        <v>61</v>
      </c>
      <c r="AF208" s="1">
        <v>441</v>
      </c>
    </row>
    <row r="209" spans="1:32">
      <c r="A209" s="58">
        <v>34201</v>
      </c>
      <c r="C209" s="1">
        <v>6351</v>
      </c>
      <c r="D209" s="21">
        <f t="shared" si="6"/>
        <v>1.8604651162790697E-2</v>
      </c>
      <c r="E209" s="1">
        <v>6351</v>
      </c>
      <c r="F209" s="1">
        <v>0</v>
      </c>
      <c r="H209" s="1">
        <v>1819</v>
      </c>
      <c r="I209" s="21">
        <f t="shared" si="5"/>
        <v>-2.4664879356568366E-2</v>
      </c>
      <c r="J209" s="1">
        <v>224</v>
      </c>
      <c r="L209" s="1">
        <v>0</v>
      </c>
      <c r="T209" s="1">
        <v>51</v>
      </c>
      <c r="Z209" s="1">
        <v>83</v>
      </c>
      <c r="AA209" s="1">
        <v>146</v>
      </c>
      <c r="AC209" s="1">
        <v>60</v>
      </c>
      <c r="AF209" s="1">
        <v>465</v>
      </c>
    </row>
    <row r="210" spans="1:32">
      <c r="A210" s="58">
        <v>34208</v>
      </c>
      <c r="C210" s="1">
        <v>6683</v>
      </c>
      <c r="D210" s="21">
        <f t="shared" si="6"/>
        <v>5.2275232246890256E-2</v>
      </c>
      <c r="E210" s="1">
        <v>6683</v>
      </c>
      <c r="F210" s="1">
        <v>0</v>
      </c>
      <c r="H210" s="1">
        <v>1890</v>
      </c>
      <c r="I210" s="21">
        <f t="shared" si="5"/>
        <v>3.9032435404068172E-2</v>
      </c>
      <c r="J210" s="1">
        <v>346</v>
      </c>
      <c r="L210" s="1">
        <v>0</v>
      </c>
      <c r="T210" s="1">
        <v>59</v>
      </c>
      <c r="Z210" s="1">
        <v>91</v>
      </c>
      <c r="AA210" s="1">
        <v>167</v>
      </c>
      <c r="AC210" s="1">
        <v>64</v>
      </c>
      <c r="AF210" s="1">
        <v>452</v>
      </c>
    </row>
    <row r="211" spans="1:32">
      <c r="A211" s="58">
        <v>34215</v>
      </c>
      <c r="C211" s="1">
        <v>6595</v>
      </c>
      <c r="D211" s="21">
        <f t="shared" si="6"/>
        <v>-1.3167739039353584E-2</v>
      </c>
      <c r="E211" s="1">
        <v>6595</v>
      </c>
      <c r="F211" s="1">
        <v>0</v>
      </c>
      <c r="H211" s="1">
        <v>1676</v>
      </c>
      <c r="I211" s="21">
        <f t="shared" si="5"/>
        <v>-0.11322751322751323</v>
      </c>
      <c r="J211" s="1">
        <v>341</v>
      </c>
      <c r="L211" s="1">
        <v>0</v>
      </c>
      <c r="T211" s="1">
        <v>58</v>
      </c>
      <c r="Z211" s="1">
        <v>86</v>
      </c>
      <c r="AA211" s="1">
        <v>147</v>
      </c>
      <c r="AC211" s="1">
        <v>61</v>
      </c>
      <c r="AF211" s="1">
        <v>320</v>
      </c>
    </row>
    <row r="212" spans="1:32">
      <c r="A212" s="58">
        <v>34222</v>
      </c>
      <c r="C212" s="1">
        <v>6572</v>
      </c>
      <c r="D212" s="21">
        <f t="shared" si="6"/>
        <v>-3.4874905231235785E-3</v>
      </c>
      <c r="E212" s="1">
        <v>6572</v>
      </c>
      <c r="F212" s="1">
        <v>0</v>
      </c>
      <c r="H212" s="1">
        <v>1682</v>
      </c>
      <c r="I212" s="21">
        <f t="shared" si="5"/>
        <v>3.5799522673031028E-3</v>
      </c>
      <c r="J212" s="1">
        <v>333</v>
      </c>
      <c r="L212" s="1">
        <v>0</v>
      </c>
      <c r="T212" s="1">
        <v>70</v>
      </c>
      <c r="Z212" s="1">
        <v>77</v>
      </c>
      <c r="AA212" s="1">
        <v>141</v>
      </c>
      <c r="AC212" s="1">
        <v>73</v>
      </c>
      <c r="AF212" s="1">
        <v>315</v>
      </c>
    </row>
    <row r="213" spans="1:32">
      <c r="A213" s="58">
        <v>34229</v>
      </c>
      <c r="C213" s="1">
        <v>6696</v>
      </c>
      <c r="D213" s="21">
        <f t="shared" si="6"/>
        <v>1.8867924528301886E-2</v>
      </c>
      <c r="E213" s="1">
        <v>6659</v>
      </c>
      <c r="F213" s="1">
        <v>36</v>
      </c>
      <c r="H213" s="1">
        <v>1655</v>
      </c>
      <c r="I213" s="21">
        <f t="shared" si="5"/>
        <v>-1.6052318668252082E-2</v>
      </c>
      <c r="J213" s="1">
        <v>337</v>
      </c>
      <c r="L213" s="1">
        <v>0</v>
      </c>
      <c r="T213" s="1">
        <v>42</v>
      </c>
      <c r="Z213" s="1">
        <v>48</v>
      </c>
      <c r="AA213" s="1">
        <v>146</v>
      </c>
      <c r="AC213" s="1">
        <v>76</v>
      </c>
      <c r="AF213" s="1">
        <v>329</v>
      </c>
    </row>
    <row r="214" spans="1:32">
      <c r="A214" s="58">
        <v>34236</v>
      </c>
      <c r="C214" s="1">
        <v>6378</v>
      </c>
      <c r="D214" s="21">
        <f t="shared" si="6"/>
        <v>-4.7491039426523295E-2</v>
      </c>
      <c r="E214" s="1">
        <v>6342</v>
      </c>
      <c r="F214" s="1">
        <v>36</v>
      </c>
      <c r="H214" s="1">
        <v>1597</v>
      </c>
      <c r="I214" s="21">
        <f t="shared" si="5"/>
        <v>-3.5045317220543805E-2</v>
      </c>
      <c r="J214" s="1">
        <v>257</v>
      </c>
      <c r="L214" s="1">
        <v>0</v>
      </c>
      <c r="T214" s="1">
        <v>41</v>
      </c>
      <c r="Z214" s="1">
        <v>46</v>
      </c>
      <c r="AA214" s="1">
        <v>152</v>
      </c>
      <c r="AC214" s="1">
        <v>83</v>
      </c>
      <c r="AF214" s="1">
        <v>357</v>
      </c>
    </row>
    <row r="215" spans="1:32">
      <c r="A215" s="58">
        <v>34243</v>
      </c>
      <c r="C215" s="1">
        <v>6337</v>
      </c>
      <c r="D215" s="21">
        <f t="shared" si="6"/>
        <v>-6.4283474443399182E-3</v>
      </c>
      <c r="E215" s="1">
        <v>6301</v>
      </c>
      <c r="F215" s="1">
        <v>36</v>
      </c>
      <c r="H215" s="1">
        <v>1707</v>
      </c>
      <c r="I215" s="21">
        <f t="shared" si="5"/>
        <v>6.887914840325611E-2</v>
      </c>
      <c r="J215" s="1">
        <v>258</v>
      </c>
      <c r="L215" s="1">
        <v>0</v>
      </c>
      <c r="T215" s="1">
        <v>44</v>
      </c>
      <c r="Z215" s="1">
        <v>48</v>
      </c>
      <c r="AA215" s="1">
        <v>157</v>
      </c>
      <c r="AC215" s="1">
        <v>75</v>
      </c>
      <c r="AF215" s="1">
        <v>409</v>
      </c>
    </row>
    <row r="216" spans="1:32">
      <c r="A216" s="58">
        <v>34250</v>
      </c>
      <c r="C216" s="1">
        <v>6481</v>
      </c>
      <c r="D216" s="21">
        <f t="shared" si="6"/>
        <v>2.2723686286886539E-2</v>
      </c>
      <c r="E216" s="1">
        <v>6445</v>
      </c>
      <c r="F216" s="1">
        <v>36</v>
      </c>
      <c r="H216" s="1">
        <v>1588</v>
      </c>
      <c r="I216" s="21">
        <f t="shared" si="5"/>
        <v>-6.9712946690099586E-2</v>
      </c>
      <c r="J216" s="1">
        <v>239</v>
      </c>
      <c r="L216" s="1">
        <v>0</v>
      </c>
      <c r="T216" s="1">
        <v>30</v>
      </c>
      <c r="Z216" s="1">
        <v>60</v>
      </c>
      <c r="AA216" s="1">
        <v>154</v>
      </c>
      <c r="AC216" s="1">
        <v>77</v>
      </c>
      <c r="AF216" s="1">
        <v>385</v>
      </c>
    </row>
    <row r="217" spans="1:32">
      <c r="A217" s="58">
        <v>34257</v>
      </c>
      <c r="C217" s="1">
        <v>6742</v>
      </c>
      <c r="D217" s="21">
        <f t="shared" si="6"/>
        <v>4.0271563030396543E-2</v>
      </c>
      <c r="E217" s="1">
        <v>6742</v>
      </c>
      <c r="F217" s="1">
        <v>0</v>
      </c>
      <c r="H217" s="1">
        <v>1696</v>
      </c>
      <c r="I217" s="21">
        <f t="shared" si="5"/>
        <v>6.8010075566750636E-2</v>
      </c>
      <c r="J217" s="1">
        <v>240</v>
      </c>
      <c r="L217" s="1">
        <v>0</v>
      </c>
      <c r="T217" s="1">
        <v>32</v>
      </c>
      <c r="Z217" s="1">
        <v>57</v>
      </c>
      <c r="AA217" s="1">
        <v>153</v>
      </c>
      <c r="AC217" s="1">
        <v>71</v>
      </c>
      <c r="AF217" s="1">
        <v>388</v>
      </c>
    </row>
    <row r="218" spans="1:32">
      <c r="A218" s="58">
        <v>34264</v>
      </c>
      <c r="C218" s="1">
        <v>6795</v>
      </c>
      <c r="D218" s="21">
        <f t="shared" si="6"/>
        <v>7.8611687926431334E-3</v>
      </c>
      <c r="E218" s="1">
        <v>6795</v>
      </c>
      <c r="F218" s="1">
        <v>0</v>
      </c>
      <c r="H218" s="1">
        <v>1742</v>
      </c>
      <c r="I218" s="21">
        <f t="shared" ref="I218:I281" si="7">(H218-H217)/H217</f>
        <v>2.7122641509433963E-2</v>
      </c>
      <c r="J218" s="1">
        <v>248</v>
      </c>
      <c r="L218" s="1">
        <v>0</v>
      </c>
      <c r="T218" s="1">
        <v>43</v>
      </c>
      <c r="Z218" s="1">
        <v>51</v>
      </c>
      <c r="AA218" s="1">
        <v>146</v>
      </c>
      <c r="AC218" s="1">
        <v>63</v>
      </c>
      <c r="AF218" s="1">
        <v>371</v>
      </c>
    </row>
    <row r="219" spans="1:32">
      <c r="A219" s="58">
        <v>34271</v>
      </c>
      <c r="C219" s="1">
        <v>7024</v>
      </c>
      <c r="D219" s="21">
        <f t="shared" si="6"/>
        <v>3.3701250919793965E-2</v>
      </c>
      <c r="E219" s="1">
        <v>7024</v>
      </c>
      <c r="F219" s="1">
        <v>0</v>
      </c>
      <c r="H219" s="1">
        <v>1814</v>
      </c>
      <c r="I219" s="21">
        <f t="shared" si="7"/>
        <v>4.1331802525832378E-2</v>
      </c>
      <c r="J219" s="1">
        <v>288</v>
      </c>
      <c r="L219" s="1">
        <v>0</v>
      </c>
      <c r="T219" s="1">
        <v>48</v>
      </c>
      <c r="Z219" s="1">
        <v>81</v>
      </c>
      <c r="AA219" s="1">
        <v>210</v>
      </c>
      <c r="AC219" s="1">
        <v>117</v>
      </c>
      <c r="AF219" s="1">
        <v>309</v>
      </c>
    </row>
    <row r="220" spans="1:32">
      <c r="A220" s="58">
        <v>34278</v>
      </c>
      <c r="C220" s="1">
        <v>6745</v>
      </c>
      <c r="D220" s="21">
        <f t="shared" si="6"/>
        <v>-3.972095671981777E-2</v>
      </c>
      <c r="E220" s="1">
        <v>6745</v>
      </c>
      <c r="F220" s="1">
        <v>0</v>
      </c>
      <c r="H220" s="1">
        <v>1988</v>
      </c>
      <c r="I220" s="21">
        <f t="shared" si="7"/>
        <v>9.5920617420066148E-2</v>
      </c>
      <c r="J220" s="1">
        <v>333</v>
      </c>
      <c r="L220" s="1">
        <v>0</v>
      </c>
      <c r="T220" s="1">
        <v>58</v>
      </c>
      <c r="Z220" s="1">
        <v>79</v>
      </c>
      <c r="AA220" s="1">
        <v>239</v>
      </c>
      <c r="AC220" s="1">
        <v>123</v>
      </c>
      <c r="AF220" s="1">
        <v>373</v>
      </c>
    </row>
    <row r="221" spans="1:32">
      <c r="A221" s="58">
        <v>34285</v>
      </c>
      <c r="C221" s="1">
        <v>6852</v>
      </c>
      <c r="D221" s="21">
        <f t="shared" ref="D221:D284" si="8">(C221-C220)/C220</f>
        <v>1.586360266864344E-2</v>
      </c>
      <c r="E221" s="1">
        <v>6852</v>
      </c>
      <c r="F221" s="1">
        <v>0</v>
      </c>
      <c r="H221" s="1">
        <v>1884</v>
      </c>
      <c r="I221" s="21">
        <f t="shared" si="7"/>
        <v>-5.2313883299798795E-2</v>
      </c>
      <c r="J221" s="1">
        <v>323</v>
      </c>
      <c r="L221" s="1">
        <v>0</v>
      </c>
      <c r="T221" s="1">
        <v>55</v>
      </c>
      <c r="Z221" s="1">
        <v>89</v>
      </c>
      <c r="AA221" s="1">
        <v>248</v>
      </c>
      <c r="AC221" s="1">
        <v>129</v>
      </c>
      <c r="AF221" s="1">
        <v>335</v>
      </c>
    </row>
    <row r="222" spans="1:32">
      <c r="A222" s="58">
        <v>34292</v>
      </c>
      <c r="C222" s="1">
        <v>6849</v>
      </c>
      <c r="D222" s="21">
        <f t="shared" si="8"/>
        <v>-4.3782837127845885E-4</v>
      </c>
      <c r="E222" s="1">
        <v>6849</v>
      </c>
      <c r="F222" s="1">
        <v>0</v>
      </c>
      <c r="H222" s="1">
        <v>1894</v>
      </c>
      <c r="I222" s="21">
        <f t="shared" si="7"/>
        <v>5.3078556263269636E-3</v>
      </c>
      <c r="J222" s="1">
        <v>324</v>
      </c>
      <c r="L222" s="1">
        <v>0</v>
      </c>
      <c r="T222" s="1">
        <v>50</v>
      </c>
      <c r="Z222" s="1">
        <v>101</v>
      </c>
      <c r="AA222" s="1">
        <v>258</v>
      </c>
      <c r="AC222" s="1">
        <v>136</v>
      </c>
      <c r="AF222" s="1">
        <v>338</v>
      </c>
    </row>
    <row r="223" spans="1:32">
      <c r="A223" s="58">
        <v>34299</v>
      </c>
      <c r="C223" s="1">
        <v>6459</v>
      </c>
      <c r="D223" s="21">
        <f t="shared" si="8"/>
        <v>-5.6942619360490582E-2</v>
      </c>
      <c r="E223" s="1">
        <v>6459</v>
      </c>
      <c r="F223" s="1">
        <v>0</v>
      </c>
      <c r="H223" s="1">
        <v>1688</v>
      </c>
      <c r="I223" s="21">
        <f t="shared" si="7"/>
        <v>-0.10876451953537487</v>
      </c>
      <c r="J223" s="1">
        <v>247</v>
      </c>
      <c r="L223" s="1">
        <v>0</v>
      </c>
      <c r="T223" s="1">
        <v>43</v>
      </c>
      <c r="Z223" s="1">
        <v>75</v>
      </c>
      <c r="AA223" s="1">
        <v>205</v>
      </c>
      <c r="AC223" s="1">
        <v>90</v>
      </c>
      <c r="AF223" s="1">
        <v>314</v>
      </c>
    </row>
    <row r="224" spans="1:32">
      <c r="A224" s="58">
        <v>34306</v>
      </c>
      <c r="C224" s="1">
        <v>6984</v>
      </c>
      <c r="D224" s="21">
        <f t="shared" si="8"/>
        <v>8.1281932187645151E-2</v>
      </c>
      <c r="E224" s="1">
        <v>6984</v>
      </c>
      <c r="F224" s="1">
        <v>0</v>
      </c>
      <c r="H224" s="1">
        <v>1662</v>
      </c>
      <c r="I224" s="21">
        <f t="shared" si="7"/>
        <v>-1.5402843601895734E-2</v>
      </c>
      <c r="J224" s="1">
        <v>243</v>
      </c>
      <c r="L224" s="1">
        <v>0</v>
      </c>
      <c r="T224" s="1">
        <v>43</v>
      </c>
      <c r="Z224" s="1">
        <v>80</v>
      </c>
      <c r="AA224" s="1">
        <v>184</v>
      </c>
      <c r="AC224" s="1">
        <v>86</v>
      </c>
      <c r="AF224" s="1">
        <v>297</v>
      </c>
    </row>
    <row r="225" spans="1:32">
      <c r="A225" s="58">
        <v>34313</v>
      </c>
      <c r="C225" s="1">
        <v>6810</v>
      </c>
      <c r="D225" s="21">
        <f t="shared" si="8"/>
        <v>-2.4914089347079039E-2</v>
      </c>
      <c r="E225" s="1">
        <v>6810</v>
      </c>
      <c r="F225" s="1">
        <v>0</v>
      </c>
      <c r="H225" s="1">
        <v>1796</v>
      </c>
      <c r="I225" s="21">
        <f t="shared" si="7"/>
        <v>8.0625752105896509E-2</v>
      </c>
      <c r="J225" s="1">
        <v>279</v>
      </c>
      <c r="L225" s="1">
        <v>0</v>
      </c>
      <c r="T225" s="1">
        <v>32</v>
      </c>
      <c r="Z225" s="1">
        <v>89</v>
      </c>
      <c r="AA225" s="1">
        <v>186</v>
      </c>
      <c r="AC225" s="1">
        <v>71</v>
      </c>
      <c r="AF225" s="1">
        <v>345</v>
      </c>
    </row>
    <row r="226" spans="1:32">
      <c r="A226" s="58">
        <v>34320</v>
      </c>
      <c r="C226" s="1">
        <v>6813</v>
      </c>
      <c r="D226" s="21">
        <f t="shared" si="8"/>
        <v>4.405286343612335E-4</v>
      </c>
      <c r="E226" s="1">
        <v>6813</v>
      </c>
      <c r="F226" s="1">
        <v>0</v>
      </c>
      <c r="H226" s="1">
        <v>1738</v>
      </c>
      <c r="I226" s="21">
        <f t="shared" si="7"/>
        <v>-3.2293986636971049E-2</v>
      </c>
      <c r="J226" s="1">
        <v>309</v>
      </c>
      <c r="L226" s="1">
        <v>0</v>
      </c>
      <c r="T226" s="1">
        <v>36</v>
      </c>
      <c r="Z226" s="1">
        <v>80</v>
      </c>
      <c r="AA226" s="1">
        <v>169</v>
      </c>
      <c r="AC226" s="1">
        <v>59</v>
      </c>
      <c r="AF226" s="1">
        <v>370</v>
      </c>
    </row>
    <row r="227" spans="1:32">
      <c r="A227" s="58">
        <v>34327</v>
      </c>
      <c r="C227" s="1">
        <v>6840</v>
      </c>
      <c r="D227" s="21">
        <f t="shared" si="8"/>
        <v>3.9630118890356669E-3</v>
      </c>
      <c r="E227" s="1">
        <v>6840</v>
      </c>
      <c r="F227" s="1">
        <v>0</v>
      </c>
      <c r="H227" s="1">
        <v>1754</v>
      </c>
      <c r="I227" s="21">
        <f t="shared" si="7"/>
        <v>9.2059838895281933E-3</v>
      </c>
      <c r="J227" s="1">
        <v>337</v>
      </c>
      <c r="L227" s="1">
        <v>0</v>
      </c>
      <c r="T227" s="1">
        <v>28</v>
      </c>
      <c r="Z227" s="1">
        <v>73</v>
      </c>
      <c r="AA227" s="1">
        <v>150</v>
      </c>
      <c r="AC227" s="1">
        <v>51</v>
      </c>
      <c r="AF227" s="1">
        <v>418</v>
      </c>
    </row>
    <row r="228" spans="1:32">
      <c r="A228" s="58">
        <v>34334</v>
      </c>
      <c r="C228" s="1">
        <v>6592</v>
      </c>
      <c r="D228" s="21">
        <f t="shared" si="8"/>
        <v>-3.6257309941520467E-2</v>
      </c>
      <c r="E228" s="1">
        <v>6592</v>
      </c>
      <c r="F228" s="1">
        <v>0</v>
      </c>
      <c r="H228" s="1">
        <v>1571</v>
      </c>
      <c r="I228" s="21">
        <f t="shared" si="7"/>
        <v>-0.10433295324971494</v>
      </c>
      <c r="J228" s="1">
        <v>293</v>
      </c>
      <c r="L228" s="1">
        <v>0</v>
      </c>
      <c r="T228" s="1">
        <v>18</v>
      </c>
      <c r="Z228" s="1">
        <v>59</v>
      </c>
      <c r="AA228" s="1">
        <v>119</v>
      </c>
      <c r="AC228" s="1">
        <v>35</v>
      </c>
      <c r="AF228" s="1">
        <v>349</v>
      </c>
    </row>
    <row r="229" spans="1:32">
      <c r="A229" s="58">
        <v>34341</v>
      </c>
      <c r="C229" s="1">
        <v>6430</v>
      </c>
      <c r="D229" s="21">
        <f t="shared" si="8"/>
        <v>-2.4575242718446601E-2</v>
      </c>
      <c r="E229" s="1">
        <v>6430</v>
      </c>
      <c r="F229" s="1">
        <v>0</v>
      </c>
      <c r="H229" s="1">
        <v>1447</v>
      </c>
      <c r="I229" s="21">
        <f t="shared" si="7"/>
        <v>-7.8930617441120302E-2</v>
      </c>
      <c r="J229" s="1">
        <v>240</v>
      </c>
      <c r="K229" s="1">
        <v>218</v>
      </c>
      <c r="L229" s="1">
        <v>0</v>
      </c>
      <c r="O229" s="1">
        <v>218</v>
      </c>
      <c r="T229" s="1">
        <v>22</v>
      </c>
      <c r="Z229" s="1">
        <v>57</v>
      </c>
      <c r="AA229" s="1">
        <v>109</v>
      </c>
      <c r="AC229" s="1">
        <v>42</v>
      </c>
      <c r="AF229" s="1">
        <v>348</v>
      </c>
    </row>
    <row r="230" spans="1:32">
      <c r="A230" s="58">
        <v>34348</v>
      </c>
      <c r="C230" s="1">
        <v>6280</v>
      </c>
      <c r="D230" s="21">
        <f t="shared" si="8"/>
        <v>-2.3328149300155521E-2</v>
      </c>
      <c r="E230" s="1">
        <v>6280</v>
      </c>
      <c r="F230" s="1">
        <v>0</v>
      </c>
      <c r="H230" s="1">
        <v>1495</v>
      </c>
      <c r="I230" s="21">
        <f t="shared" si="7"/>
        <v>3.3172080165860401E-2</v>
      </c>
      <c r="J230" s="1">
        <v>180</v>
      </c>
      <c r="K230" s="1">
        <v>176</v>
      </c>
      <c r="L230" s="1">
        <v>0</v>
      </c>
      <c r="O230" s="1">
        <v>176</v>
      </c>
      <c r="T230" s="1">
        <v>4</v>
      </c>
      <c r="Z230" s="1">
        <v>52</v>
      </c>
      <c r="AA230" s="1">
        <v>120</v>
      </c>
      <c r="AC230" s="1">
        <v>40</v>
      </c>
      <c r="AF230" s="1">
        <v>335</v>
      </c>
    </row>
    <row r="231" spans="1:32">
      <c r="A231" s="58">
        <v>34355</v>
      </c>
      <c r="C231" s="1">
        <v>6253</v>
      </c>
      <c r="D231" s="21">
        <f t="shared" si="8"/>
        <v>-4.2993630573248407E-3</v>
      </c>
      <c r="E231" s="1">
        <v>6253</v>
      </c>
      <c r="F231" s="1">
        <v>0</v>
      </c>
      <c r="H231" s="1">
        <v>1467</v>
      </c>
      <c r="I231" s="21">
        <f t="shared" si="7"/>
        <v>-1.8729096989966554E-2</v>
      </c>
      <c r="J231" s="1">
        <v>144</v>
      </c>
      <c r="K231" s="1">
        <v>137</v>
      </c>
      <c r="L231" s="1">
        <v>0</v>
      </c>
      <c r="O231" s="1">
        <v>137</v>
      </c>
      <c r="T231" s="1">
        <v>7</v>
      </c>
      <c r="Z231" s="1">
        <v>74</v>
      </c>
      <c r="AA231" s="1">
        <v>113</v>
      </c>
      <c r="AC231" s="1">
        <v>35</v>
      </c>
      <c r="AF231" s="1">
        <v>314</v>
      </c>
    </row>
    <row r="232" spans="1:32">
      <c r="A232" s="58">
        <v>34362</v>
      </c>
      <c r="C232" s="1">
        <v>6033</v>
      </c>
      <c r="D232" s="21">
        <f t="shared" si="8"/>
        <v>-3.5183112106189032E-2</v>
      </c>
      <c r="E232" s="1">
        <v>6033</v>
      </c>
      <c r="F232" s="1">
        <v>0</v>
      </c>
      <c r="H232" s="1">
        <v>1634</v>
      </c>
      <c r="I232" s="21">
        <f t="shared" si="7"/>
        <v>0.1138377641445126</v>
      </c>
      <c r="J232" s="1">
        <v>175</v>
      </c>
      <c r="K232" s="1">
        <v>167</v>
      </c>
      <c r="L232" s="1">
        <v>0</v>
      </c>
      <c r="O232" s="1">
        <v>167</v>
      </c>
      <c r="T232" s="1">
        <v>8</v>
      </c>
      <c r="Z232" s="1">
        <v>83</v>
      </c>
      <c r="AA232" s="1">
        <v>147</v>
      </c>
      <c r="AC232" s="1">
        <v>31</v>
      </c>
      <c r="AF232" s="1">
        <v>345</v>
      </c>
    </row>
    <row r="233" spans="1:32">
      <c r="A233" s="58">
        <v>34369</v>
      </c>
      <c r="C233" s="1">
        <v>6150</v>
      </c>
      <c r="D233" s="21">
        <f t="shared" si="8"/>
        <v>1.9393336648433616E-2</v>
      </c>
      <c r="E233" s="1">
        <v>6150</v>
      </c>
      <c r="F233" s="1">
        <v>0</v>
      </c>
      <c r="H233" s="1">
        <v>1729</v>
      </c>
      <c r="I233" s="21">
        <f t="shared" si="7"/>
        <v>5.8139534883720929E-2</v>
      </c>
      <c r="J233" s="1">
        <v>218</v>
      </c>
      <c r="K233" s="1">
        <v>209</v>
      </c>
      <c r="L233" s="1">
        <v>0</v>
      </c>
      <c r="O233" s="1">
        <v>209</v>
      </c>
      <c r="T233" s="1">
        <v>9</v>
      </c>
      <c r="Z233" s="1">
        <v>80</v>
      </c>
      <c r="AA233" s="1">
        <v>170</v>
      </c>
      <c r="AC233" s="1">
        <v>37</v>
      </c>
      <c r="AF233" s="1">
        <v>375</v>
      </c>
    </row>
    <row r="234" spans="1:32">
      <c r="A234" s="58">
        <v>34376</v>
      </c>
      <c r="C234" s="1">
        <v>6135</v>
      </c>
      <c r="D234" s="21">
        <f t="shared" si="8"/>
        <v>-2.4390243902439024E-3</v>
      </c>
      <c r="E234" s="1">
        <v>6135</v>
      </c>
      <c r="F234" s="1">
        <v>0</v>
      </c>
      <c r="H234" s="1">
        <v>1761</v>
      </c>
      <c r="I234" s="21">
        <f t="shared" si="7"/>
        <v>1.8507807981492191E-2</v>
      </c>
      <c r="J234" s="1">
        <v>230</v>
      </c>
      <c r="K234" s="1">
        <v>218</v>
      </c>
      <c r="L234" s="1">
        <v>0</v>
      </c>
      <c r="O234" s="1">
        <v>218</v>
      </c>
      <c r="T234" s="1">
        <v>12</v>
      </c>
      <c r="Z234" s="1">
        <v>88</v>
      </c>
      <c r="AA234" s="1">
        <v>222</v>
      </c>
      <c r="AC234" s="1">
        <v>40</v>
      </c>
      <c r="AF234" s="1">
        <v>469</v>
      </c>
    </row>
    <row r="235" spans="1:32">
      <c r="A235" s="58">
        <v>34383</v>
      </c>
      <c r="C235" s="1">
        <v>6338</v>
      </c>
      <c r="D235" s="21">
        <f t="shared" si="8"/>
        <v>3.3088834555827222E-2</v>
      </c>
      <c r="E235" s="1">
        <v>6338</v>
      </c>
      <c r="F235" s="1">
        <v>0</v>
      </c>
      <c r="H235" s="1">
        <v>2014</v>
      </c>
      <c r="I235" s="21">
        <f t="shared" si="7"/>
        <v>0.14366837024417944</v>
      </c>
      <c r="J235" s="1">
        <v>225</v>
      </c>
      <c r="K235" s="1">
        <v>216</v>
      </c>
      <c r="L235" s="1">
        <v>0</v>
      </c>
      <c r="O235" s="1">
        <v>216</v>
      </c>
      <c r="T235" s="1">
        <v>9</v>
      </c>
      <c r="Z235" s="1">
        <v>76</v>
      </c>
      <c r="AA235" s="1">
        <v>289</v>
      </c>
      <c r="AC235" s="1">
        <v>52</v>
      </c>
      <c r="AF235" s="1">
        <v>531</v>
      </c>
    </row>
    <row r="236" spans="1:32">
      <c r="A236" s="58">
        <v>34390</v>
      </c>
      <c r="C236" s="1">
        <v>6357</v>
      </c>
      <c r="D236" s="21">
        <f t="shared" si="8"/>
        <v>2.9977911012937833E-3</v>
      </c>
      <c r="E236" s="1">
        <v>6357</v>
      </c>
      <c r="F236" s="1">
        <v>0</v>
      </c>
      <c r="H236" s="1">
        <v>2035</v>
      </c>
      <c r="I236" s="21">
        <f t="shared" si="7"/>
        <v>1.0427010923535254E-2</v>
      </c>
      <c r="J236" s="1">
        <v>304</v>
      </c>
      <c r="K236" s="1">
        <v>275</v>
      </c>
      <c r="L236" s="1">
        <v>0</v>
      </c>
      <c r="O236" s="1">
        <v>275</v>
      </c>
      <c r="T236" s="1">
        <v>29</v>
      </c>
      <c r="Z236" s="1">
        <v>91</v>
      </c>
      <c r="AA236" s="1">
        <v>305</v>
      </c>
      <c r="AC236" s="1">
        <v>45</v>
      </c>
      <c r="AF236" s="1">
        <v>531</v>
      </c>
    </row>
    <row r="237" spans="1:32">
      <c r="A237" s="58">
        <v>34397</v>
      </c>
      <c r="C237" s="1">
        <v>6114</v>
      </c>
      <c r="D237" s="21">
        <f t="shared" si="8"/>
        <v>-3.8225578102878716E-2</v>
      </c>
      <c r="E237" s="1">
        <v>6114</v>
      </c>
      <c r="F237" s="1">
        <v>0</v>
      </c>
      <c r="H237" s="1">
        <v>2013</v>
      </c>
      <c r="I237" s="21">
        <f t="shared" si="7"/>
        <v>-1.0810810810810811E-2</v>
      </c>
      <c r="J237" s="1">
        <v>297</v>
      </c>
      <c r="K237" s="1">
        <v>267</v>
      </c>
      <c r="L237" s="1">
        <v>0</v>
      </c>
      <c r="O237" s="1">
        <v>267</v>
      </c>
      <c r="T237" s="1">
        <v>30</v>
      </c>
      <c r="Z237" s="1">
        <v>88</v>
      </c>
      <c r="AA237" s="1">
        <v>333</v>
      </c>
      <c r="AC237" s="1">
        <v>51</v>
      </c>
      <c r="AF237" s="1">
        <v>482</v>
      </c>
    </row>
    <row r="238" spans="1:32">
      <c r="A238" s="58">
        <v>34404</v>
      </c>
      <c r="C238" s="1">
        <v>6044</v>
      </c>
      <c r="D238" s="21">
        <f t="shared" si="8"/>
        <v>-1.144913313706248E-2</v>
      </c>
      <c r="E238" s="1">
        <v>6044</v>
      </c>
      <c r="F238" s="1">
        <v>0</v>
      </c>
      <c r="H238" s="1">
        <v>2113</v>
      </c>
      <c r="I238" s="21">
        <f t="shared" si="7"/>
        <v>4.967709885742673E-2</v>
      </c>
      <c r="J238" s="1">
        <v>387</v>
      </c>
      <c r="K238" s="1">
        <v>340</v>
      </c>
      <c r="L238" s="1">
        <v>0</v>
      </c>
      <c r="O238" s="1">
        <v>340</v>
      </c>
      <c r="T238" s="1">
        <v>48</v>
      </c>
      <c r="Z238" s="1">
        <v>85</v>
      </c>
      <c r="AA238" s="1">
        <v>357</v>
      </c>
      <c r="AC238" s="1">
        <v>58</v>
      </c>
      <c r="AF238" s="1">
        <v>408</v>
      </c>
    </row>
    <row r="239" spans="1:32">
      <c r="A239" s="58">
        <v>34411</v>
      </c>
      <c r="C239" s="1">
        <v>6336</v>
      </c>
      <c r="D239" s="21">
        <f t="shared" si="8"/>
        <v>4.8312375909993384E-2</v>
      </c>
      <c r="E239" s="1">
        <v>6265</v>
      </c>
      <c r="F239" s="1">
        <v>71</v>
      </c>
      <c r="H239" s="1">
        <v>2060</v>
      </c>
      <c r="I239" s="21">
        <f t="shared" si="7"/>
        <v>-2.5082820634169428E-2</v>
      </c>
      <c r="J239" s="1">
        <v>408</v>
      </c>
      <c r="K239" s="1">
        <v>359</v>
      </c>
      <c r="L239" s="1">
        <v>0</v>
      </c>
      <c r="O239" s="1">
        <v>359</v>
      </c>
      <c r="T239" s="1">
        <v>49</v>
      </c>
      <c r="Z239" s="1">
        <v>100</v>
      </c>
      <c r="AA239" s="1">
        <v>351</v>
      </c>
      <c r="AC239" s="1">
        <v>59</v>
      </c>
      <c r="AF239" s="1">
        <v>389</v>
      </c>
    </row>
    <row r="240" spans="1:32">
      <c r="A240" s="58">
        <v>34418</v>
      </c>
      <c r="C240" s="1">
        <v>6259</v>
      </c>
      <c r="D240" s="21">
        <f t="shared" si="8"/>
        <v>-1.2152777777777778E-2</v>
      </c>
      <c r="E240" s="1">
        <v>6188</v>
      </c>
      <c r="F240" s="1">
        <v>71</v>
      </c>
      <c r="H240" s="1">
        <v>2018</v>
      </c>
      <c r="I240" s="21">
        <f t="shared" si="7"/>
        <v>-2.0388349514563107E-2</v>
      </c>
      <c r="J240" s="1">
        <v>390</v>
      </c>
      <c r="K240" s="1">
        <v>361</v>
      </c>
      <c r="L240" s="1">
        <v>0</v>
      </c>
      <c r="O240" s="1">
        <v>361</v>
      </c>
      <c r="T240" s="1">
        <v>29</v>
      </c>
      <c r="Z240" s="1">
        <v>84</v>
      </c>
      <c r="AA240" s="1">
        <v>330</v>
      </c>
      <c r="AC240" s="1">
        <v>70</v>
      </c>
      <c r="AF240" s="1">
        <v>402</v>
      </c>
    </row>
    <row r="241" spans="1:32">
      <c r="A241" s="58">
        <v>34425</v>
      </c>
      <c r="C241" s="1">
        <v>6418</v>
      </c>
      <c r="D241" s="21">
        <f t="shared" si="8"/>
        <v>2.5403419076529796E-2</v>
      </c>
      <c r="E241" s="1">
        <v>6347</v>
      </c>
      <c r="F241" s="1">
        <v>71</v>
      </c>
      <c r="H241" s="1">
        <v>2056</v>
      </c>
      <c r="I241" s="21">
        <f t="shared" si="7"/>
        <v>1.8830525272547076E-2</v>
      </c>
      <c r="J241" s="1">
        <v>404</v>
      </c>
      <c r="K241" s="1">
        <v>373</v>
      </c>
      <c r="L241" s="1">
        <v>0</v>
      </c>
      <c r="O241" s="1">
        <v>373</v>
      </c>
      <c r="T241" s="1">
        <v>31</v>
      </c>
      <c r="Z241" s="1">
        <v>88</v>
      </c>
      <c r="AA241" s="1">
        <v>313</v>
      </c>
      <c r="AC241" s="1">
        <v>74</v>
      </c>
      <c r="AF241" s="1">
        <v>441</v>
      </c>
    </row>
    <row r="242" spans="1:32">
      <c r="A242" s="58">
        <v>34432</v>
      </c>
      <c r="C242" s="1">
        <v>6714</v>
      </c>
      <c r="D242" s="21">
        <f t="shared" si="8"/>
        <v>4.6120286693674045E-2</v>
      </c>
      <c r="E242" s="1">
        <v>6605</v>
      </c>
      <c r="F242" s="1">
        <v>109</v>
      </c>
      <c r="H242" s="1">
        <v>1924</v>
      </c>
      <c r="I242" s="21">
        <f t="shared" si="7"/>
        <v>-6.4202334630350189E-2</v>
      </c>
      <c r="J242" s="1">
        <v>330</v>
      </c>
      <c r="K242" s="1">
        <v>320</v>
      </c>
      <c r="L242" s="1">
        <v>0</v>
      </c>
      <c r="O242" s="1">
        <v>320</v>
      </c>
      <c r="T242" s="1">
        <v>10</v>
      </c>
      <c r="Z242" s="1">
        <v>105</v>
      </c>
      <c r="AA242" s="1">
        <v>268</v>
      </c>
      <c r="AC242" s="1">
        <v>83</v>
      </c>
      <c r="AF242" s="1">
        <v>375</v>
      </c>
    </row>
    <row r="243" spans="1:32">
      <c r="A243" s="58">
        <v>34439</v>
      </c>
      <c r="C243" s="1">
        <v>6438</v>
      </c>
      <c r="D243" s="21">
        <f t="shared" si="8"/>
        <v>-4.1108132260947276E-2</v>
      </c>
      <c r="E243" s="1">
        <v>6367</v>
      </c>
      <c r="F243" s="1">
        <v>72</v>
      </c>
      <c r="H243" s="1">
        <v>1854</v>
      </c>
      <c r="I243" s="21">
        <f t="shared" si="7"/>
        <v>-3.6382536382536385E-2</v>
      </c>
      <c r="J243" s="1">
        <v>391</v>
      </c>
      <c r="K243" s="1">
        <v>372</v>
      </c>
      <c r="L243" s="1">
        <v>0</v>
      </c>
      <c r="O243" s="1">
        <v>372</v>
      </c>
      <c r="T243" s="1">
        <v>18</v>
      </c>
      <c r="Z243" s="1">
        <v>112</v>
      </c>
      <c r="AA243" s="1">
        <v>233</v>
      </c>
      <c r="AC243" s="1">
        <v>88</v>
      </c>
      <c r="AF243" s="1">
        <v>312</v>
      </c>
    </row>
    <row r="244" spans="1:32">
      <c r="A244" s="58">
        <v>34446</v>
      </c>
      <c r="C244" s="1">
        <v>6968</v>
      </c>
      <c r="D244" s="21">
        <f t="shared" si="8"/>
        <v>8.2323703013358188E-2</v>
      </c>
      <c r="E244" s="1">
        <v>6896</v>
      </c>
      <c r="F244" s="1">
        <v>72</v>
      </c>
      <c r="H244" s="1">
        <v>1890</v>
      </c>
      <c r="I244" s="21">
        <f t="shared" si="7"/>
        <v>1.9417475728155338E-2</v>
      </c>
      <c r="J244" s="1">
        <v>376</v>
      </c>
      <c r="K244" s="1">
        <v>358</v>
      </c>
      <c r="L244" s="1">
        <v>0</v>
      </c>
      <c r="O244" s="1">
        <v>358</v>
      </c>
      <c r="T244" s="1">
        <v>18</v>
      </c>
      <c r="Z244" s="1">
        <v>122</v>
      </c>
      <c r="AA244" s="1">
        <v>251</v>
      </c>
      <c r="AC244" s="1">
        <v>94</v>
      </c>
      <c r="AF244" s="1">
        <v>272</v>
      </c>
    </row>
    <row r="245" spans="1:32">
      <c r="A245" s="58">
        <v>34453</v>
      </c>
      <c r="C245" s="1">
        <v>7111</v>
      </c>
      <c r="D245" s="21">
        <f t="shared" si="8"/>
        <v>2.0522388059701493E-2</v>
      </c>
      <c r="E245" s="1">
        <v>7039</v>
      </c>
      <c r="F245" s="1">
        <v>72</v>
      </c>
      <c r="H245" s="1">
        <v>1709</v>
      </c>
      <c r="I245" s="21">
        <f t="shared" si="7"/>
        <v>-9.5767195767195765E-2</v>
      </c>
      <c r="J245" s="1">
        <v>379</v>
      </c>
      <c r="K245" s="1">
        <v>368</v>
      </c>
      <c r="L245" s="1">
        <v>0</v>
      </c>
      <c r="O245" s="1">
        <v>368</v>
      </c>
      <c r="T245" s="1">
        <v>11</v>
      </c>
      <c r="Z245" s="1">
        <v>114</v>
      </c>
      <c r="AA245" s="1">
        <v>228</v>
      </c>
      <c r="AC245" s="1">
        <v>86</v>
      </c>
      <c r="AF245" s="1">
        <v>205</v>
      </c>
    </row>
    <row r="246" spans="1:32">
      <c r="A246" s="58">
        <v>34460</v>
      </c>
      <c r="C246" s="1">
        <v>7305</v>
      </c>
      <c r="D246" s="21">
        <f t="shared" si="8"/>
        <v>2.7281676276191817E-2</v>
      </c>
      <c r="E246" s="1">
        <v>7272</v>
      </c>
      <c r="F246" s="1">
        <v>33</v>
      </c>
      <c r="H246" s="1">
        <v>1739</v>
      </c>
      <c r="I246" s="21">
        <f t="shared" si="7"/>
        <v>1.7554125219426564E-2</v>
      </c>
      <c r="J246" s="1">
        <v>426</v>
      </c>
      <c r="K246" s="1">
        <v>407</v>
      </c>
      <c r="L246" s="1">
        <v>0</v>
      </c>
      <c r="O246" s="1">
        <v>407</v>
      </c>
      <c r="T246" s="1">
        <v>19</v>
      </c>
      <c r="Z246" s="1">
        <v>100</v>
      </c>
      <c r="AA246" s="1">
        <v>204</v>
      </c>
      <c r="AC246" s="1">
        <v>82</v>
      </c>
      <c r="AF246" s="1">
        <v>211</v>
      </c>
    </row>
    <row r="247" spans="1:32">
      <c r="A247" s="58">
        <v>34467</v>
      </c>
      <c r="C247" s="1">
        <v>7518</v>
      </c>
      <c r="D247" s="21">
        <f t="shared" si="8"/>
        <v>2.9158110882956879E-2</v>
      </c>
      <c r="E247" s="1">
        <v>7518</v>
      </c>
      <c r="F247" s="1">
        <v>0</v>
      </c>
      <c r="H247" s="1">
        <v>1711</v>
      </c>
      <c r="I247" s="21">
        <f t="shared" si="7"/>
        <v>-1.6101207590569294E-2</v>
      </c>
      <c r="J247" s="1">
        <v>416</v>
      </c>
      <c r="K247" s="1">
        <v>392</v>
      </c>
      <c r="L247" s="1">
        <v>0</v>
      </c>
      <c r="O247" s="1">
        <v>392</v>
      </c>
      <c r="T247" s="1">
        <v>24</v>
      </c>
      <c r="Z247" s="1">
        <v>71</v>
      </c>
      <c r="AA247" s="1">
        <v>206</v>
      </c>
      <c r="AC247" s="1">
        <v>89</v>
      </c>
      <c r="AF247" s="1">
        <v>236</v>
      </c>
    </row>
    <row r="248" spans="1:32">
      <c r="A248" s="58">
        <v>34474</v>
      </c>
      <c r="C248" s="1">
        <v>7234</v>
      </c>
      <c r="D248" s="21">
        <f t="shared" si="8"/>
        <v>-3.7776004256451182E-2</v>
      </c>
      <c r="E248" s="1">
        <v>7234</v>
      </c>
      <c r="F248" s="1">
        <v>0</v>
      </c>
      <c r="H248" s="1">
        <v>1686</v>
      </c>
      <c r="I248" s="21">
        <f t="shared" si="7"/>
        <v>-1.4611338398597311E-2</v>
      </c>
      <c r="J248" s="1">
        <v>429</v>
      </c>
      <c r="K248" s="1">
        <v>406</v>
      </c>
      <c r="L248" s="1">
        <v>0</v>
      </c>
      <c r="O248" s="1">
        <v>406</v>
      </c>
      <c r="T248" s="1">
        <v>24</v>
      </c>
      <c r="Z248" s="1">
        <v>74</v>
      </c>
      <c r="AA248" s="1">
        <v>170</v>
      </c>
      <c r="AC248" s="1">
        <v>73</v>
      </c>
      <c r="AF248" s="1">
        <v>291</v>
      </c>
    </row>
    <row r="249" spans="1:32">
      <c r="A249" s="58">
        <v>34481</v>
      </c>
      <c r="C249" s="1">
        <v>7076</v>
      </c>
      <c r="D249" s="21">
        <f t="shared" si="8"/>
        <v>-2.1841304948852641E-2</v>
      </c>
      <c r="E249" s="1">
        <v>7076</v>
      </c>
      <c r="F249" s="1">
        <v>0</v>
      </c>
      <c r="H249" s="1">
        <v>1911</v>
      </c>
      <c r="I249" s="21">
        <f t="shared" si="7"/>
        <v>0.13345195729537365</v>
      </c>
      <c r="J249" s="1">
        <v>454</v>
      </c>
      <c r="K249" s="1">
        <v>416</v>
      </c>
      <c r="L249" s="1">
        <v>0</v>
      </c>
      <c r="O249" s="1">
        <v>416</v>
      </c>
      <c r="T249" s="1">
        <v>38</v>
      </c>
      <c r="Z249" s="1">
        <v>74</v>
      </c>
      <c r="AA249" s="1">
        <v>171</v>
      </c>
      <c r="AC249" s="1">
        <v>73</v>
      </c>
      <c r="AF249" s="1">
        <v>329</v>
      </c>
    </row>
    <row r="250" spans="1:32">
      <c r="A250" s="58">
        <v>34488</v>
      </c>
      <c r="C250" s="1">
        <v>7008</v>
      </c>
      <c r="D250" s="21">
        <f t="shared" si="8"/>
        <v>-9.6099491237987555E-3</v>
      </c>
      <c r="E250" s="1">
        <v>7008</v>
      </c>
      <c r="F250" s="1">
        <v>0</v>
      </c>
      <c r="H250" s="1">
        <v>1745</v>
      </c>
      <c r="I250" s="21">
        <f t="shared" si="7"/>
        <v>-8.6865515436944013E-2</v>
      </c>
      <c r="J250" s="1">
        <v>418</v>
      </c>
      <c r="K250" s="1">
        <v>387</v>
      </c>
      <c r="L250" s="1">
        <v>0</v>
      </c>
      <c r="O250" s="1">
        <v>387</v>
      </c>
      <c r="T250" s="1">
        <v>31</v>
      </c>
      <c r="Z250" s="1">
        <v>80</v>
      </c>
      <c r="AA250" s="1">
        <v>173</v>
      </c>
      <c r="AC250" s="1">
        <v>72</v>
      </c>
      <c r="AF250" s="1">
        <v>296</v>
      </c>
    </row>
    <row r="251" spans="1:32">
      <c r="A251" s="58">
        <v>34495</v>
      </c>
      <c r="C251" s="1">
        <v>6954</v>
      </c>
      <c r="D251" s="21">
        <f t="shared" si="8"/>
        <v>-7.7054794520547941E-3</v>
      </c>
      <c r="E251" s="1">
        <v>6954</v>
      </c>
      <c r="F251" s="1">
        <v>0</v>
      </c>
      <c r="H251" s="1">
        <v>1842</v>
      </c>
      <c r="I251" s="21">
        <f t="shared" si="7"/>
        <v>5.5587392550143264E-2</v>
      </c>
      <c r="J251" s="1">
        <v>418</v>
      </c>
      <c r="K251" s="1">
        <v>402</v>
      </c>
      <c r="L251" s="1">
        <v>0</v>
      </c>
      <c r="O251" s="1">
        <v>402</v>
      </c>
      <c r="T251" s="1">
        <v>17</v>
      </c>
      <c r="Z251" s="1">
        <v>97</v>
      </c>
      <c r="AA251" s="1">
        <v>169</v>
      </c>
      <c r="AC251" s="1">
        <v>63</v>
      </c>
      <c r="AF251" s="1">
        <v>319</v>
      </c>
    </row>
    <row r="252" spans="1:32">
      <c r="A252" s="58">
        <v>34502</v>
      </c>
      <c r="C252" s="1">
        <v>7520</v>
      </c>
      <c r="D252" s="21">
        <f t="shared" si="8"/>
        <v>8.1392004601668108E-2</v>
      </c>
      <c r="E252" s="1">
        <v>7520</v>
      </c>
      <c r="F252" s="1">
        <v>0</v>
      </c>
      <c r="H252" s="1">
        <v>1728</v>
      </c>
      <c r="I252" s="21">
        <f t="shared" si="7"/>
        <v>-6.1889250814332247E-2</v>
      </c>
      <c r="J252" s="1">
        <v>364</v>
      </c>
      <c r="K252" s="1">
        <v>347</v>
      </c>
      <c r="L252" s="1">
        <v>0</v>
      </c>
      <c r="O252" s="1">
        <v>347</v>
      </c>
      <c r="T252" s="1">
        <v>17</v>
      </c>
      <c r="Z252" s="1">
        <v>96</v>
      </c>
      <c r="AA252" s="1">
        <v>187</v>
      </c>
      <c r="AC252" s="1">
        <v>79</v>
      </c>
      <c r="AF252" s="1">
        <v>296</v>
      </c>
    </row>
    <row r="253" spans="1:32">
      <c r="A253" s="58">
        <v>34509</v>
      </c>
      <c r="C253" s="1">
        <v>7858</v>
      </c>
      <c r="D253" s="21">
        <f t="shared" si="8"/>
        <v>4.49468085106383E-2</v>
      </c>
      <c r="E253" s="1">
        <v>7858</v>
      </c>
      <c r="F253" s="1">
        <v>0</v>
      </c>
      <c r="H253" s="1">
        <v>1622</v>
      </c>
      <c r="I253" s="21">
        <f t="shared" si="7"/>
        <v>-6.1342592592592594E-2</v>
      </c>
      <c r="J253" s="1">
        <v>380</v>
      </c>
      <c r="K253" s="1">
        <v>369</v>
      </c>
      <c r="L253" s="1">
        <v>0</v>
      </c>
      <c r="O253" s="1">
        <v>369</v>
      </c>
      <c r="T253" s="1">
        <v>11</v>
      </c>
      <c r="Z253" s="1">
        <v>110</v>
      </c>
      <c r="AA253" s="1">
        <v>180</v>
      </c>
      <c r="AC253" s="1">
        <v>89</v>
      </c>
      <c r="AF253" s="1">
        <v>234</v>
      </c>
    </row>
    <row r="254" spans="1:32">
      <c r="A254" s="58">
        <v>34516</v>
      </c>
      <c r="C254" s="1">
        <v>7794</v>
      </c>
      <c r="D254" s="21">
        <f t="shared" si="8"/>
        <v>-8.1445660473402903E-3</v>
      </c>
      <c r="E254" s="1">
        <v>7794</v>
      </c>
      <c r="F254" s="1">
        <v>0</v>
      </c>
      <c r="H254" s="1">
        <v>1645</v>
      </c>
      <c r="I254" s="21">
        <f t="shared" si="7"/>
        <v>1.4180024660912454E-2</v>
      </c>
      <c r="J254" s="1">
        <v>380</v>
      </c>
      <c r="K254" s="1">
        <v>359</v>
      </c>
      <c r="L254" s="1">
        <v>0</v>
      </c>
      <c r="O254" s="1">
        <v>359</v>
      </c>
      <c r="T254" s="1">
        <v>21</v>
      </c>
      <c r="Z254" s="1">
        <v>114</v>
      </c>
      <c r="AA254" s="1">
        <v>160</v>
      </c>
      <c r="AC254" s="1">
        <v>82</v>
      </c>
      <c r="AF254" s="1">
        <v>249</v>
      </c>
    </row>
    <row r="255" spans="1:32">
      <c r="A255" s="58">
        <v>34523</v>
      </c>
      <c r="C255" s="1">
        <v>7980</v>
      </c>
      <c r="D255" s="21">
        <f t="shared" si="8"/>
        <v>2.3864511162432642E-2</v>
      </c>
      <c r="E255" s="1">
        <v>7962</v>
      </c>
      <c r="F255" s="1">
        <v>18</v>
      </c>
      <c r="H255" s="1">
        <v>1595</v>
      </c>
      <c r="I255" s="21">
        <f t="shared" si="7"/>
        <v>-3.0395136778115502E-2</v>
      </c>
      <c r="J255" s="1">
        <v>383</v>
      </c>
      <c r="K255" s="1">
        <v>363</v>
      </c>
      <c r="L255" s="1">
        <v>0</v>
      </c>
      <c r="O255" s="1">
        <v>363</v>
      </c>
      <c r="T255" s="1">
        <v>20</v>
      </c>
      <c r="Z255" s="1">
        <v>94</v>
      </c>
      <c r="AA255" s="1">
        <v>156</v>
      </c>
      <c r="AC255" s="1">
        <v>82</v>
      </c>
      <c r="AF255" s="1">
        <v>219</v>
      </c>
    </row>
    <row r="256" spans="1:32">
      <c r="A256" s="58">
        <v>34530</v>
      </c>
      <c r="C256" s="1">
        <v>7895</v>
      </c>
      <c r="D256" s="21">
        <f t="shared" si="8"/>
        <v>-1.0651629072681704E-2</v>
      </c>
      <c r="E256" s="1">
        <v>7877</v>
      </c>
      <c r="F256" s="1">
        <v>18</v>
      </c>
      <c r="H256" s="1">
        <v>1591</v>
      </c>
      <c r="I256" s="21">
        <f t="shared" si="7"/>
        <v>-2.5078369905956114E-3</v>
      </c>
      <c r="J256" s="1">
        <v>386</v>
      </c>
      <c r="K256" s="1">
        <v>366</v>
      </c>
      <c r="L256" s="1">
        <v>0</v>
      </c>
      <c r="O256" s="1">
        <v>366</v>
      </c>
      <c r="T256" s="1">
        <v>20</v>
      </c>
      <c r="Z256" s="1">
        <v>78</v>
      </c>
      <c r="AA256" s="1">
        <v>132</v>
      </c>
      <c r="AC256" s="1">
        <v>71</v>
      </c>
      <c r="AF256" s="1">
        <v>174</v>
      </c>
    </row>
    <row r="257" spans="1:32">
      <c r="A257" s="58">
        <v>34537</v>
      </c>
      <c r="C257" s="1">
        <v>7684</v>
      </c>
      <c r="D257" s="21">
        <f t="shared" si="8"/>
        <v>-2.6725775807473085E-2</v>
      </c>
      <c r="E257" s="1">
        <v>7666</v>
      </c>
      <c r="F257" s="1">
        <v>18</v>
      </c>
      <c r="H257" s="1">
        <v>1781</v>
      </c>
      <c r="I257" s="21">
        <f t="shared" si="7"/>
        <v>0.11942174732872407</v>
      </c>
      <c r="J257" s="1">
        <v>383</v>
      </c>
      <c r="K257" s="1">
        <v>354</v>
      </c>
      <c r="L257" s="1">
        <v>0</v>
      </c>
      <c r="O257" s="1">
        <v>354</v>
      </c>
      <c r="T257" s="1">
        <v>29</v>
      </c>
      <c r="Z257" s="1">
        <v>65</v>
      </c>
      <c r="AA257" s="1">
        <v>124</v>
      </c>
      <c r="AC257" s="1">
        <v>60</v>
      </c>
      <c r="AF257" s="1">
        <v>205</v>
      </c>
    </row>
    <row r="258" spans="1:32">
      <c r="A258" s="58">
        <v>34544</v>
      </c>
      <c r="C258" s="1">
        <v>7942</v>
      </c>
      <c r="D258" s="21">
        <f t="shared" si="8"/>
        <v>3.357626236335242E-2</v>
      </c>
      <c r="E258" s="1">
        <v>7924</v>
      </c>
      <c r="F258" s="1">
        <v>18</v>
      </c>
      <c r="H258" s="1">
        <v>1827</v>
      </c>
      <c r="I258" s="21">
        <f t="shared" si="7"/>
        <v>2.5828186412128019E-2</v>
      </c>
      <c r="J258" s="1">
        <v>407</v>
      </c>
      <c r="K258" s="1">
        <v>376</v>
      </c>
      <c r="L258" s="1">
        <v>0</v>
      </c>
      <c r="O258" s="1">
        <v>376</v>
      </c>
      <c r="T258" s="1">
        <v>32</v>
      </c>
      <c r="Z258" s="1">
        <v>62</v>
      </c>
      <c r="AA258" s="1">
        <v>124</v>
      </c>
      <c r="AC258" s="1">
        <v>72</v>
      </c>
      <c r="AF258" s="1">
        <v>239</v>
      </c>
    </row>
    <row r="259" spans="1:32">
      <c r="A259" s="58">
        <v>34551</v>
      </c>
      <c r="C259" s="1">
        <v>7579</v>
      </c>
      <c r="D259" s="21">
        <f t="shared" si="8"/>
        <v>-4.5706371191135735E-2</v>
      </c>
      <c r="E259" s="1">
        <v>7579</v>
      </c>
      <c r="F259" s="1">
        <v>0</v>
      </c>
      <c r="H259" s="1">
        <v>1851</v>
      </c>
      <c r="I259" s="21">
        <f t="shared" si="7"/>
        <v>1.3136288998357963E-2</v>
      </c>
      <c r="J259" s="1">
        <v>453</v>
      </c>
      <c r="K259" s="1">
        <v>422</v>
      </c>
      <c r="L259" s="1">
        <v>0</v>
      </c>
      <c r="O259" s="1">
        <v>422</v>
      </c>
      <c r="T259" s="1">
        <v>32</v>
      </c>
      <c r="Z259" s="1">
        <v>87</v>
      </c>
      <c r="AA259" s="1">
        <v>133</v>
      </c>
      <c r="AC259" s="1">
        <v>65</v>
      </c>
      <c r="AF259" s="1">
        <v>233</v>
      </c>
    </row>
    <row r="260" spans="1:32">
      <c r="A260" s="58">
        <v>34558</v>
      </c>
      <c r="C260" s="1">
        <v>7505</v>
      </c>
      <c r="D260" s="21">
        <f t="shared" si="8"/>
        <v>-9.7638210845758019E-3</v>
      </c>
      <c r="E260" s="1">
        <v>7505</v>
      </c>
      <c r="F260" s="1">
        <v>0</v>
      </c>
      <c r="H260" s="1">
        <v>1918</v>
      </c>
      <c r="I260" s="21">
        <f t="shared" si="7"/>
        <v>3.6196650459211235E-2</v>
      </c>
      <c r="J260" s="1">
        <v>471</v>
      </c>
      <c r="K260" s="1">
        <v>438</v>
      </c>
      <c r="L260" s="1">
        <v>0</v>
      </c>
      <c r="O260" s="1">
        <v>438</v>
      </c>
      <c r="T260" s="1">
        <v>33</v>
      </c>
      <c r="Z260" s="1">
        <v>98</v>
      </c>
      <c r="AA260" s="1">
        <v>135</v>
      </c>
      <c r="AC260" s="1">
        <v>78</v>
      </c>
      <c r="AF260" s="1">
        <v>262</v>
      </c>
    </row>
    <row r="261" spans="1:32">
      <c r="A261" s="58">
        <v>34565</v>
      </c>
      <c r="C261" s="1">
        <v>7597</v>
      </c>
      <c r="D261" s="21">
        <f t="shared" si="8"/>
        <v>1.2258494337108594E-2</v>
      </c>
      <c r="E261" s="1">
        <v>7597</v>
      </c>
      <c r="F261" s="1">
        <v>0</v>
      </c>
      <c r="H261" s="1">
        <v>1932</v>
      </c>
      <c r="I261" s="21">
        <f t="shared" si="7"/>
        <v>7.2992700729927005E-3</v>
      </c>
      <c r="J261" s="1">
        <v>471</v>
      </c>
      <c r="K261" s="1">
        <v>441</v>
      </c>
      <c r="L261" s="1">
        <v>1</v>
      </c>
      <c r="O261" s="1">
        <v>440</v>
      </c>
      <c r="T261" s="1">
        <v>30</v>
      </c>
      <c r="Z261" s="1">
        <v>98</v>
      </c>
      <c r="AA261" s="1">
        <v>163</v>
      </c>
      <c r="AC261" s="1">
        <v>98</v>
      </c>
      <c r="AF261" s="1">
        <v>257</v>
      </c>
    </row>
    <row r="262" spans="1:32">
      <c r="A262" s="58">
        <v>34572</v>
      </c>
      <c r="C262" s="1">
        <v>7305</v>
      </c>
      <c r="D262" s="21">
        <f t="shared" si="8"/>
        <v>-3.8436224825589047E-2</v>
      </c>
      <c r="E262" s="1">
        <v>7305</v>
      </c>
      <c r="F262" s="1">
        <v>0</v>
      </c>
      <c r="H262" s="1">
        <v>1948</v>
      </c>
      <c r="I262" s="21">
        <f t="shared" si="7"/>
        <v>8.2815734989648039E-3</v>
      </c>
      <c r="J262" s="1">
        <v>525</v>
      </c>
      <c r="K262" s="1">
        <v>507</v>
      </c>
      <c r="L262" s="1">
        <v>1</v>
      </c>
      <c r="O262" s="1">
        <v>506</v>
      </c>
      <c r="T262" s="1">
        <v>18</v>
      </c>
      <c r="Z262" s="1">
        <v>88</v>
      </c>
      <c r="AA262" s="1">
        <v>164</v>
      </c>
      <c r="AC262" s="1">
        <v>94</v>
      </c>
      <c r="AF262" s="1">
        <v>234</v>
      </c>
    </row>
    <row r="263" spans="1:32">
      <c r="A263" s="58">
        <v>34579</v>
      </c>
      <c r="C263" s="1">
        <v>7834</v>
      </c>
      <c r="D263" s="21">
        <f t="shared" si="8"/>
        <v>7.2416153319644086E-2</v>
      </c>
      <c r="E263" s="1">
        <v>7834</v>
      </c>
      <c r="F263" s="1">
        <v>0</v>
      </c>
      <c r="H263" s="1">
        <v>1962</v>
      </c>
      <c r="I263" s="21">
        <f t="shared" si="7"/>
        <v>7.1868583162217657E-3</v>
      </c>
      <c r="J263" s="1">
        <v>478</v>
      </c>
      <c r="K263" s="1">
        <v>449</v>
      </c>
      <c r="L263" s="1">
        <v>1</v>
      </c>
      <c r="O263" s="1">
        <v>448</v>
      </c>
      <c r="T263" s="1">
        <v>29</v>
      </c>
      <c r="Z263" s="1">
        <v>81</v>
      </c>
      <c r="AA263" s="1">
        <v>173</v>
      </c>
      <c r="AC263" s="1">
        <v>108</v>
      </c>
      <c r="AF263" s="1">
        <v>298</v>
      </c>
    </row>
    <row r="264" spans="1:32">
      <c r="A264" s="58">
        <v>34586</v>
      </c>
      <c r="C264" s="1">
        <v>7551</v>
      </c>
      <c r="D264" s="21">
        <f t="shared" si="8"/>
        <v>-3.612458514169007E-2</v>
      </c>
      <c r="E264" s="1">
        <v>7551</v>
      </c>
      <c r="F264" s="1">
        <v>0</v>
      </c>
      <c r="H264" s="1">
        <v>1982</v>
      </c>
      <c r="I264" s="21">
        <f t="shared" si="7"/>
        <v>1.0193679918450561E-2</v>
      </c>
      <c r="J264" s="1">
        <v>501</v>
      </c>
      <c r="K264" s="1">
        <v>474</v>
      </c>
      <c r="L264" s="1">
        <v>1</v>
      </c>
      <c r="O264" s="1">
        <v>473</v>
      </c>
      <c r="T264" s="1">
        <v>27</v>
      </c>
      <c r="Z264" s="1">
        <v>71</v>
      </c>
      <c r="AA264" s="1">
        <v>176</v>
      </c>
      <c r="AC264" s="1">
        <v>86</v>
      </c>
      <c r="AF264" s="1">
        <v>278</v>
      </c>
    </row>
    <row r="265" spans="1:32">
      <c r="A265" s="58">
        <v>34593</v>
      </c>
      <c r="C265" s="1">
        <v>7767</v>
      </c>
      <c r="D265" s="21">
        <f t="shared" si="8"/>
        <v>2.8605482717520857E-2</v>
      </c>
      <c r="E265" s="1">
        <v>7767</v>
      </c>
      <c r="F265" s="1">
        <v>0</v>
      </c>
      <c r="H265" s="1">
        <v>1719</v>
      </c>
      <c r="I265" s="21">
        <f t="shared" si="7"/>
        <v>-0.13269424823410697</v>
      </c>
      <c r="J265" s="1">
        <v>448</v>
      </c>
      <c r="K265" s="1">
        <v>426</v>
      </c>
      <c r="L265" s="1">
        <v>0</v>
      </c>
      <c r="O265" s="1">
        <v>426</v>
      </c>
      <c r="T265" s="1">
        <v>23</v>
      </c>
      <c r="Z265" s="1">
        <v>88</v>
      </c>
      <c r="AA265" s="1">
        <v>170</v>
      </c>
      <c r="AC265" s="1">
        <v>65</v>
      </c>
      <c r="AF265" s="1">
        <v>241</v>
      </c>
    </row>
    <row r="266" spans="1:32">
      <c r="A266" s="58">
        <v>34600</v>
      </c>
      <c r="C266" s="1">
        <v>7707</v>
      </c>
      <c r="D266" s="21">
        <f t="shared" si="8"/>
        <v>-7.7249903437620702E-3</v>
      </c>
      <c r="E266" s="1">
        <v>7707</v>
      </c>
      <c r="F266" s="1">
        <v>0</v>
      </c>
      <c r="H266" s="1">
        <v>1683</v>
      </c>
      <c r="I266" s="21">
        <f t="shared" si="7"/>
        <v>-2.0942408376963352E-2</v>
      </c>
      <c r="J266" s="1">
        <v>364</v>
      </c>
      <c r="K266" s="1">
        <v>337</v>
      </c>
      <c r="L266" s="1">
        <v>0</v>
      </c>
      <c r="O266" s="1">
        <v>337</v>
      </c>
      <c r="T266" s="1">
        <v>27</v>
      </c>
      <c r="Z266" s="1">
        <v>88</v>
      </c>
      <c r="AA266" s="1">
        <v>180</v>
      </c>
      <c r="AC266" s="1">
        <v>67</v>
      </c>
      <c r="AF266" s="1">
        <v>252</v>
      </c>
    </row>
    <row r="267" spans="1:32">
      <c r="A267" s="58">
        <v>34607</v>
      </c>
      <c r="C267" s="1">
        <v>7586</v>
      </c>
      <c r="D267" s="21">
        <f t="shared" si="8"/>
        <v>-1.5700012975217333E-2</v>
      </c>
      <c r="E267" s="1">
        <v>7586</v>
      </c>
      <c r="F267" s="1">
        <v>0</v>
      </c>
      <c r="H267" s="1">
        <v>1605</v>
      </c>
      <c r="I267" s="21">
        <f t="shared" si="7"/>
        <v>-4.6345811051693407E-2</v>
      </c>
      <c r="J267" s="1">
        <v>333</v>
      </c>
      <c r="K267" s="1">
        <v>317</v>
      </c>
      <c r="L267" s="1">
        <v>0</v>
      </c>
      <c r="O267" s="1">
        <v>317</v>
      </c>
      <c r="T267" s="1">
        <v>17</v>
      </c>
      <c r="Z267" s="1">
        <v>100</v>
      </c>
      <c r="AA267" s="1">
        <v>167</v>
      </c>
      <c r="AC267" s="1">
        <v>50</v>
      </c>
      <c r="AF267" s="1">
        <v>173</v>
      </c>
    </row>
    <row r="268" spans="1:32">
      <c r="A268" s="58">
        <v>34614</v>
      </c>
      <c r="C268" s="1">
        <v>7607</v>
      </c>
      <c r="D268" s="21">
        <f t="shared" si="8"/>
        <v>2.7682573161086211E-3</v>
      </c>
      <c r="E268" s="1">
        <v>7607</v>
      </c>
      <c r="F268" s="1">
        <v>0</v>
      </c>
      <c r="H268" s="1">
        <v>1555</v>
      </c>
      <c r="I268" s="21">
        <f t="shared" si="7"/>
        <v>-3.1152647975077882E-2</v>
      </c>
      <c r="J268" s="1">
        <v>346</v>
      </c>
      <c r="K268" s="1">
        <v>308</v>
      </c>
      <c r="L268" s="1">
        <v>0</v>
      </c>
      <c r="O268" s="1">
        <v>308</v>
      </c>
      <c r="T268" s="1">
        <v>37</v>
      </c>
      <c r="Z268" s="1">
        <v>102</v>
      </c>
      <c r="AA268" s="1">
        <v>158</v>
      </c>
      <c r="AC268" s="1">
        <v>63</v>
      </c>
      <c r="AF268" s="1">
        <v>180</v>
      </c>
    </row>
    <row r="269" spans="1:32">
      <c r="A269" s="58">
        <v>34621</v>
      </c>
      <c r="C269" s="1">
        <v>7243</v>
      </c>
      <c r="D269" s="21">
        <f t="shared" si="8"/>
        <v>-4.7850663862232155E-2</v>
      </c>
      <c r="E269" s="1">
        <v>7243</v>
      </c>
      <c r="F269" s="1">
        <v>0</v>
      </c>
      <c r="H269" s="1">
        <v>1626</v>
      </c>
      <c r="I269" s="21">
        <f t="shared" si="7"/>
        <v>4.5659163987138263E-2</v>
      </c>
      <c r="J269" s="1">
        <v>338</v>
      </c>
      <c r="K269" s="1">
        <v>300</v>
      </c>
      <c r="L269" s="1">
        <v>0</v>
      </c>
      <c r="O269" s="1">
        <v>300</v>
      </c>
      <c r="T269" s="1">
        <v>38</v>
      </c>
      <c r="Z269" s="1">
        <v>82</v>
      </c>
      <c r="AA269" s="1">
        <v>121</v>
      </c>
      <c r="AC269" s="1">
        <v>60</v>
      </c>
      <c r="AF269" s="1">
        <v>216</v>
      </c>
    </row>
    <row r="270" spans="1:32">
      <c r="A270" s="58">
        <v>34628</v>
      </c>
      <c r="C270" s="1">
        <v>7312</v>
      </c>
      <c r="D270" s="21">
        <f t="shared" si="8"/>
        <v>9.5264393207234576E-3</v>
      </c>
      <c r="E270" s="1">
        <v>7312</v>
      </c>
      <c r="F270" s="1">
        <v>0</v>
      </c>
      <c r="H270" s="1">
        <v>1555</v>
      </c>
      <c r="I270" s="21">
        <f t="shared" si="7"/>
        <v>-4.3665436654366542E-2</v>
      </c>
      <c r="J270" s="1">
        <v>342</v>
      </c>
      <c r="K270" s="1">
        <v>308</v>
      </c>
      <c r="L270" s="1">
        <v>0</v>
      </c>
      <c r="O270" s="1">
        <v>308</v>
      </c>
      <c r="T270" s="1">
        <v>34</v>
      </c>
      <c r="Z270" s="1">
        <v>85</v>
      </c>
      <c r="AA270" s="1">
        <v>133</v>
      </c>
      <c r="AC270" s="1">
        <v>61</v>
      </c>
      <c r="AF270" s="1">
        <v>175</v>
      </c>
    </row>
    <row r="271" spans="1:32">
      <c r="A271" s="58">
        <v>34635</v>
      </c>
      <c r="C271" s="1">
        <v>7020</v>
      </c>
      <c r="D271" s="21">
        <f t="shared" si="8"/>
        <v>-3.9934354485776806E-2</v>
      </c>
      <c r="E271" s="1">
        <v>7020</v>
      </c>
      <c r="F271" s="1">
        <v>0</v>
      </c>
      <c r="H271" s="1">
        <v>1468</v>
      </c>
      <c r="I271" s="21">
        <f t="shared" si="7"/>
        <v>-5.5948553054662377E-2</v>
      </c>
      <c r="J271" s="1">
        <v>303</v>
      </c>
      <c r="K271" s="1">
        <v>268</v>
      </c>
      <c r="L271" s="1">
        <v>0</v>
      </c>
      <c r="O271" s="1">
        <v>268</v>
      </c>
      <c r="T271" s="1">
        <v>35</v>
      </c>
      <c r="Z271" s="1">
        <v>58</v>
      </c>
      <c r="AA271" s="1">
        <v>115</v>
      </c>
      <c r="AC271" s="1">
        <v>50</v>
      </c>
      <c r="AF271" s="1">
        <v>178</v>
      </c>
    </row>
    <row r="272" spans="1:32">
      <c r="A272" s="58">
        <v>34642</v>
      </c>
      <c r="C272" s="1">
        <v>6859</v>
      </c>
      <c r="D272" s="21">
        <f t="shared" si="8"/>
        <v>-2.2934472934472934E-2</v>
      </c>
      <c r="E272" s="1">
        <v>6859</v>
      </c>
      <c r="F272" s="1">
        <v>0</v>
      </c>
      <c r="H272" s="1">
        <v>1496</v>
      </c>
      <c r="I272" s="21">
        <f t="shared" si="7"/>
        <v>1.9073569482288829E-2</v>
      </c>
      <c r="J272" s="1">
        <v>273</v>
      </c>
      <c r="K272" s="1">
        <v>257</v>
      </c>
      <c r="L272" s="1">
        <v>0</v>
      </c>
      <c r="O272" s="1">
        <v>257</v>
      </c>
      <c r="T272" s="1">
        <v>16</v>
      </c>
      <c r="Z272" s="1">
        <v>92</v>
      </c>
      <c r="AA272" s="1">
        <v>143</v>
      </c>
      <c r="AC272" s="1">
        <v>57</v>
      </c>
      <c r="AF272" s="1">
        <v>176</v>
      </c>
    </row>
    <row r="273" spans="1:32">
      <c r="A273" s="58">
        <v>34649</v>
      </c>
      <c r="C273" s="1">
        <v>7019</v>
      </c>
      <c r="D273" s="21">
        <f t="shared" si="8"/>
        <v>2.3327015599941683E-2</v>
      </c>
      <c r="E273" s="1">
        <v>7019</v>
      </c>
      <c r="F273" s="1">
        <v>0</v>
      </c>
      <c r="H273" s="1">
        <v>1533</v>
      </c>
      <c r="I273" s="21">
        <f t="shared" si="7"/>
        <v>2.4732620320855617E-2</v>
      </c>
      <c r="J273" s="1">
        <v>258</v>
      </c>
      <c r="K273" s="1">
        <v>251</v>
      </c>
      <c r="L273" s="1">
        <v>18</v>
      </c>
      <c r="O273" s="1">
        <v>233</v>
      </c>
      <c r="T273" s="1">
        <v>7</v>
      </c>
      <c r="Z273" s="1">
        <v>89</v>
      </c>
      <c r="AA273" s="1">
        <v>161</v>
      </c>
      <c r="AC273" s="1">
        <v>51</v>
      </c>
      <c r="AF273" s="1">
        <v>182</v>
      </c>
    </row>
    <row r="274" spans="1:32">
      <c r="A274" s="58">
        <v>34656</v>
      </c>
      <c r="C274" s="1">
        <v>7114</v>
      </c>
      <c r="D274" s="21">
        <f t="shared" si="8"/>
        <v>1.3534691551503063E-2</v>
      </c>
      <c r="E274" s="1">
        <v>7114</v>
      </c>
      <c r="F274" s="1">
        <v>0</v>
      </c>
      <c r="H274" s="1">
        <v>1697</v>
      </c>
      <c r="I274" s="21">
        <f t="shared" si="7"/>
        <v>0.10697977821265492</v>
      </c>
      <c r="J274" s="1">
        <v>325</v>
      </c>
      <c r="K274" s="1">
        <v>320</v>
      </c>
      <c r="L274" s="1">
        <v>30</v>
      </c>
      <c r="O274" s="1">
        <v>290</v>
      </c>
      <c r="T274" s="1">
        <v>5</v>
      </c>
      <c r="Z274" s="1">
        <v>93</v>
      </c>
      <c r="AA274" s="1">
        <v>147</v>
      </c>
      <c r="AC274" s="1">
        <v>47</v>
      </c>
      <c r="AF274" s="1">
        <v>243</v>
      </c>
    </row>
    <row r="275" spans="1:32">
      <c r="A275" s="58">
        <v>34663</v>
      </c>
      <c r="C275" s="1">
        <v>7181</v>
      </c>
      <c r="D275" s="21">
        <f t="shared" si="8"/>
        <v>9.4180489176272138E-3</v>
      </c>
      <c r="E275" s="1">
        <v>7181</v>
      </c>
      <c r="F275" s="1">
        <v>0</v>
      </c>
      <c r="H275" s="1">
        <v>1742</v>
      </c>
      <c r="I275" s="21">
        <f t="shared" si="7"/>
        <v>2.6517383618149676E-2</v>
      </c>
      <c r="J275" s="1">
        <v>327</v>
      </c>
      <c r="K275" s="1">
        <v>313</v>
      </c>
      <c r="L275" s="1">
        <v>39</v>
      </c>
      <c r="O275" s="1">
        <v>274</v>
      </c>
      <c r="T275" s="1">
        <v>15</v>
      </c>
      <c r="Z275" s="1">
        <v>103</v>
      </c>
      <c r="AA275" s="1">
        <v>189</v>
      </c>
      <c r="AC275" s="1">
        <v>65</v>
      </c>
      <c r="AF275" s="1">
        <v>251</v>
      </c>
    </row>
    <row r="276" spans="1:32">
      <c r="A276" s="58">
        <v>34670</v>
      </c>
      <c r="C276" s="1">
        <v>7096</v>
      </c>
      <c r="D276" s="21">
        <f t="shared" si="8"/>
        <v>-1.1836791533212645E-2</v>
      </c>
      <c r="E276" s="1">
        <v>7096</v>
      </c>
      <c r="F276" s="1">
        <v>0</v>
      </c>
      <c r="H276" s="1">
        <v>1692</v>
      </c>
      <c r="I276" s="21">
        <f t="shared" si="7"/>
        <v>-2.8702640642939151E-2</v>
      </c>
      <c r="J276" s="1">
        <v>289</v>
      </c>
      <c r="K276" s="1">
        <v>275</v>
      </c>
      <c r="L276" s="1">
        <v>49</v>
      </c>
      <c r="O276" s="1">
        <v>226</v>
      </c>
      <c r="T276" s="1">
        <v>13</v>
      </c>
      <c r="Z276" s="1">
        <v>74</v>
      </c>
      <c r="AA276" s="1">
        <v>171</v>
      </c>
      <c r="AC276" s="1">
        <v>54</v>
      </c>
      <c r="AF276" s="1">
        <v>292</v>
      </c>
    </row>
    <row r="277" spans="1:32">
      <c r="A277" s="58">
        <v>34677</v>
      </c>
      <c r="C277" s="1">
        <v>6953</v>
      </c>
      <c r="D277" s="21">
        <f t="shared" si="8"/>
        <v>-2.0152198421645999E-2</v>
      </c>
      <c r="E277" s="1">
        <v>6953</v>
      </c>
      <c r="F277" s="1">
        <v>0</v>
      </c>
      <c r="H277" s="1">
        <v>1724</v>
      </c>
      <c r="I277" s="21">
        <f t="shared" si="7"/>
        <v>1.8912529550827423E-2</v>
      </c>
      <c r="J277" s="1">
        <v>326</v>
      </c>
      <c r="K277" s="1">
        <v>295</v>
      </c>
      <c r="L277" s="1">
        <v>48</v>
      </c>
      <c r="O277" s="1">
        <v>247</v>
      </c>
      <c r="T277" s="1">
        <v>31</v>
      </c>
      <c r="Z277" s="1">
        <v>98</v>
      </c>
      <c r="AA277" s="1">
        <v>185</v>
      </c>
      <c r="AC277" s="1">
        <v>75</v>
      </c>
      <c r="AF277" s="1">
        <v>265</v>
      </c>
    </row>
    <row r="278" spans="1:32">
      <c r="A278" s="58">
        <v>34684</v>
      </c>
      <c r="C278" s="1">
        <v>6909</v>
      </c>
      <c r="D278" s="21">
        <f t="shared" si="8"/>
        <v>-6.328203653099382E-3</v>
      </c>
      <c r="E278" s="1">
        <v>6909</v>
      </c>
      <c r="F278" s="1">
        <v>0</v>
      </c>
      <c r="H278" s="1">
        <v>1520</v>
      </c>
      <c r="I278" s="21">
        <f t="shared" si="7"/>
        <v>-0.11832946635730858</v>
      </c>
      <c r="J278" s="1">
        <v>241</v>
      </c>
      <c r="K278" s="1">
        <v>206</v>
      </c>
      <c r="L278" s="1">
        <v>55</v>
      </c>
      <c r="O278" s="1">
        <v>151</v>
      </c>
      <c r="T278" s="1">
        <v>35</v>
      </c>
      <c r="Z278" s="1">
        <v>89</v>
      </c>
      <c r="AA278" s="1">
        <v>176</v>
      </c>
      <c r="AC278" s="1">
        <v>73</v>
      </c>
      <c r="AF278" s="1">
        <v>221</v>
      </c>
    </row>
    <row r="279" spans="1:32">
      <c r="A279" s="58">
        <v>34691</v>
      </c>
      <c r="C279" s="1">
        <v>6761</v>
      </c>
      <c r="D279" s="21">
        <f t="shared" si="8"/>
        <v>-2.1421334491243307E-2</v>
      </c>
      <c r="E279" s="1">
        <v>6761</v>
      </c>
      <c r="F279" s="1">
        <v>0</v>
      </c>
      <c r="H279" s="1">
        <v>1544</v>
      </c>
      <c r="I279" s="21">
        <f t="shared" si="7"/>
        <v>1.5789473684210527E-2</v>
      </c>
      <c r="J279" s="1">
        <v>269</v>
      </c>
      <c r="K279" s="1">
        <v>231</v>
      </c>
      <c r="L279" s="1">
        <v>65</v>
      </c>
      <c r="O279" s="1">
        <v>167</v>
      </c>
      <c r="T279" s="1">
        <v>38</v>
      </c>
      <c r="Z279" s="1">
        <v>108</v>
      </c>
      <c r="AA279" s="1">
        <v>169</v>
      </c>
      <c r="AC279" s="1">
        <v>70</v>
      </c>
      <c r="AF279" s="1">
        <v>212</v>
      </c>
    </row>
    <row r="280" spans="1:32">
      <c r="A280" s="58">
        <v>34698</v>
      </c>
      <c r="C280" s="1">
        <v>7038</v>
      </c>
      <c r="D280" s="21">
        <f t="shared" si="8"/>
        <v>4.0970270670019231E-2</v>
      </c>
      <c r="E280" s="1">
        <v>7038</v>
      </c>
      <c r="F280" s="1">
        <v>0</v>
      </c>
      <c r="H280" s="1">
        <v>1528</v>
      </c>
      <c r="I280" s="21">
        <f t="shared" si="7"/>
        <v>-1.0362694300518135E-2</v>
      </c>
      <c r="J280" s="1">
        <v>296</v>
      </c>
      <c r="K280" s="1">
        <v>257</v>
      </c>
      <c r="L280" s="1">
        <v>95</v>
      </c>
      <c r="O280" s="1">
        <v>162</v>
      </c>
      <c r="T280" s="1">
        <v>40</v>
      </c>
      <c r="Z280" s="1">
        <v>107</v>
      </c>
      <c r="AA280" s="1">
        <v>178</v>
      </c>
      <c r="AC280" s="1">
        <v>75</v>
      </c>
      <c r="AF280" s="1">
        <v>157</v>
      </c>
    </row>
    <row r="281" spans="1:32">
      <c r="A281" s="58">
        <v>34705</v>
      </c>
      <c r="C281" s="1">
        <v>7065</v>
      </c>
      <c r="D281" s="21">
        <f t="shared" si="8"/>
        <v>3.8363171355498722E-3</v>
      </c>
      <c r="E281" s="1">
        <v>7065</v>
      </c>
      <c r="F281" s="1">
        <v>0</v>
      </c>
      <c r="H281" s="1">
        <v>1388</v>
      </c>
      <c r="I281" s="21">
        <f t="shared" si="7"/>
        <v>-9.1623036649214659E-2</v>
      </c>
      <c r="J281" s="1">
        <v>232</v>
      </c>
      <c r="K281" s="1">
        <v>211</v>
      </c>
      <c r="L281" s="1">
        <v>90</v>
      </c>
      <c r="O281" s="1">
        <v>121</v>
      </c>
      <c r="T281" s="1">
        <v>21</v>
      </c>
      <c r="Z281" s="1">
        <v>92</v>
      </c>
      <c r="AA281" s="1">
        <v>199</v>
      </c>
      <c r="AC281" s="1">
        <v>69</v>
      </c>
      <c r="AF281" s="1">
        <v>161</v>
      </c>
    </row>
    <row r="282" spans="1:32">
      <c r="A282" s="58">
        <v>34712</v>
      </c>
      <c r="C282" s="1">
        <v>6870</v>
      </c>
      <c r="D282" s="21">
        <f t="shared" si="8"/>
        <v>-2.7600849256900213E-2</v>
      </c>
      <c r="E282" s="1">
        <v>6870</v>
      </c>
      <c r="F282" s="1">
        <v>0</v>
      </c>
      <c r="H282" s="1">
        <v>1527</v>
      </c>
      <c r="I282" s="21">
        <f t="shared" ref="I282:I345" si="9">(H282-H281)/H281</f>
        <v>0.10014409221902017</v>
      </c>
      <c r="J282" s="1">
        <v>238</v>
      </c>
      <c r="K282" s="1">
        <v>218</v>
      </c>
      <c r="L282" s="1">
        <v>95</v>
      </c>
      <c r="O282" s="1">
        <v>124</v>
      </c>
      <c r="T282" s="1">
        <v>20</v>
      </c>
      <c r="Z282" s="1">
        <v>103</v>
      </c>
      <c r="AA282" s="1">
        <v>222</v>
      </c>
      <c r="AC282" s="1">
        <v>84</v>
      </c>
      <c r="AF282" s="1">
        <v>244</v>
      </c>
    </row>
    <row r="283" spans="1:32">
      <c r="A283" s="58">
        <v>34719</v>
      </c>
      <c r="C283" s="1">
        <v>6858</v>
      </c>
      <c r="D283" s="21">
        <f t="shared" si="8"/>
        <v>-1.7467248908296944E-3</v>
      </c>
      <c r="E283" s="1">
        <v>6858</v>
      </c>
      <c r="F283" s="1">
        <v>0</v>
      </c>
      <c r="H283" s="1">
        <v>1449</v>
      </c>
      <c r="I283" s="21">
        <f t="shared" si="9"/>
        <v>-5.1080550098231828E-2</v>
      </c>
      <c r="J283" s="1">
        <v>212</v>
      </c>
      <c r="K283" s="1">
        <v>205</v>
      </c>
      <c r="L283" s="1">
        <v>109</v>
      </c>
      <c r="O283" s="1">
        <v>96</v>
      </c>
      <c r="T283" s="1">
        <v>7</v>
      </c>
      <c r="Z283" s="1">
        <v>72</v>
      </c>
      <c r="AA283" s="1">
        <v>228</v>
      </c>
      <c r="AC283" s="1">
        <v>89</v>
      </c>
      <c r="AF283" s="1">
        <v>228</v>
      </c>
    </row>
    <row r="284" spans="1:32">
      <c r="A284" s="58">
        <v>34726</v>
      </c>
      <c r="C284" s="1">
        <v>6641</v>
      </c>
      <c r="D284" s="21">
        <f t="shared" si="8"/>
        <v>-3.1641878098571011E-2</v>
      </c>
      <c r="E284" s="1">
        <v>6641</v>
      </c>
      <c r="F284" s="1">
        <v>0</v>
      </c>
      <c r="H284" s="1">
        <v>1418</v>
      </c>
      <c r="I284" s="21">
        <f t="shared" si="9"/>
        <v>-2.139406487232574E-2</v>
      </c>
      <c r="J284" s="1">
        <v>187</v>
      </c>
      <c r="K284" s="1">
        <v>180</v>
      </c>
      <c r="L284" s="1">
        <v>95</v>
      </c>
      <c r="O284" s="1">
        <v>85</v>
      </c>
      <c r="T284" s="1">
        <v>7</v>
      </c>
      <c r="Z284" s="1">
        <v>72</v>
      </c>
      <c r="AA284" s="1">
        <v>275</v>
      </c>
      <c r="AC284" s="1">
        <v>107</v>
      </c>
      <c r="AF284" s="1">
        <v>220</v>
      </c>
    </row>
    <row r="285" spans="1:32">
      <c r="A285" s="58">
        <v>34733</v>
      </c>
      <c r="C285" s="1">
        <v>6306</v>
      </c>
      <c r="D285" s="21">
        <f t="shared" ref="D285:D348" si="10">(C285-C284)/C284</f>
        <v>-5.0444210209305826E-2</v>
      </c>
      <c r="E285" s="1">
        <v>6306</v>
      </c>
      <c r="F285" s="1">
        <v>0</v>
      </c>
      <c r="H285" s="1">
        <v>1324</v>
      </c>
      <c r="I285" s="21">
        <f t="shared" si="9"/>
        <v>-6.6290550070521856E-2</v>
      </c>
      <c r="J285" s="1">
        <v>187</v>
      </c>
      <c r="K285" s="1">
        <v>173</v>
      </c>
      <c r="L285" s="1">
        <v>93</v>
      </c>
      <c r="O285" s="1">
        <v>80</v>
      </c>
      <c r="T285" s="1">
        <v>14</v>
      </c>
      <c r="Z285" s="1">
        <v>64</v>
      </c>
      <c r="AA285" s="1">
        <v>262</v>
      </c>
      <c r="AC285" s="1">
        <v>101</v>
      </c>
      <c r="AF285" s="1">
        <v>204</v>
      </c>
    </row>
    <row r="286" spans="1:32">
      <c r="A286" s="58">
        <v>34740</v>
      </c>
      <c r="C286" s="1">
        <v>6671</v>
      </c>
      <c r="D286" s="21">
        <f t="shared" si="10"/>
        <v>5.7881382810022204E-2</v>
      </c>
      <c r="E286" s="1">
        <v>6671</v>
      </c>
      <c r="F286" s="1">
        <v>0</v>
      </c>
      <c r="H286" s="1">
        <v>1330</v>
      </c>
      <c r="I286" s="21">
        <f t="shared" si="9"/>
        <v>4.5317220543806651E-3</v>
      </c>
      <c r="J286" s="1">
        <v>191</v>
      </c>
      <c r="K286" s="1">
        <v>153</v>
      </c>
      <c r="L286" s="1">
        <v>93</v>
      </c>
      <c r="O286" s="1">
        <v>61</v>
      </c>
      <c r="T286" s="1">
        <v>38</v>
      </c>
      <c r="Z286" s="1">
        <v>88</v>
      </c>
      <c r="AA286" s="1">
        <v>290</v>
      </c>
      <c r="AC286" s="1">
        <v>94</v>
      </c>
      <c r="AF286" s="1">
        <v>153</v>
      </c>
    </row>
    <row r="287" spans="1:32">
      <c r="A287" s="58">
        <v>34747</v>
      </c>
      <c r="C287" s="1">
        <v>6663</v>
      </c>
      <c r="D287" s="21">
        <f t="shared" si="10"/>
        <v>-1.1992205066706642E-3</v>
      </c>
      <c r="E287" s="1">
        <v>6663</v>
      </c>
      <c r="F287" s="1">
        <v>0</v>
      </c>
      <c r="H287" s="1">
        <v>1387</v>
      </c>
      <c r="I287" s="21">
        <f t="shared" si="9"/>
        <v>4.2857142857142858E-2</v>
      </c>
      <c r="J287" s="1">
        <v>206</v>
      </c>
      <c r="K287" s="1">
        <v>168</v>
      </c>
      <c r="L287" s="1">
        <v>86</v>
      </c>
      <c r="O287" s="1">
        <v>82</v>
      </c>
      <c r="T287" s="1">
        <v>38</v>
      </c>
      <c r="Z287" s="1">
        <v>101</v>
      </c>
      <c r="AA287" s="1">
        <v>276</v>
      </c>
      <c r="AC287" s="1">
        <v>94</v>
      </c>
      <c r="AF287" s="1">
        <v>169</v>
      </c>
    </row>
    <row r="288" spans="1:32">
      <c r="A288" s="58">
        <v>34754</v>
      </c>
      <c r="C288" s="1">
        <v>6492</v>
      </c>
      <c r="D288" s="21">
        <f t="shared" si="10"/>
        <v>-2.5664115263394866E-2</v>
      </c>
      <c r="E288" s="1">
        <v>6492</v>
      </c>
      <c r="F288" s="1">
        <v>0</v>
      </c>
      <c r="H288" s="1">
        <v>1553</v>
      </c>
      <c r="I288" s="21">
        <f t="shared" si="9"/>
        <v>0.11968276856524873</v>
      </c>
      <c r="J288" s="1">
        <v>230</v>
      </c>
      <c r="K288" s="1">
        <v>180</v>
      </c>
      <c r="L288" s="1">
        <v>95</v>
      </c>
      <c r="O288" s="1">
        <v>85</v>
      </c>
      <c r="T288" s="1">
        <v>50</v>
      </c>
      <c r="Z288" s="1">
        <v>130</v>
      </c>
      <c r="AA288" s="1">
        <v>243</v>
      </c>
      <c r="AC288" s="1">
        <v>62</v>
      </c>
      <c r="AF288" s="1">
        <v>222</v>
      </c>
    </row>
    <row r="289" spans="1:32">
      <c r="A289" s="58">
        <v>34761</v>
      </c>
      <c r="C289" s="1">
        <v>6569</v>
      </c>
      <c r="D289" s="21">
        <f t="shared" si="10"/>
        <v>1.18607516943931E-2</v>
      </c>
      <c r="E289" s="1">
        <v>6569</v>
      </c>
      <c r="F289" s="1">
        <v>0</v>
      </c>
      <c r="H289" s="1">
        <v>1626</v>
      </c>
      <c r="I289" s="21">
        <f t="shared" si="9"/>
        <v>4.7005795235028978E-2</v>
      </c>
      <c r="J289" s="1">
        <v>248</v>
      </c>
      <c r="K289" s="1">
        <v>207</v>
      </c>
      <c r="L289" s="1">
        <v>116</v>
      </c>
      <c r="O289" s="1">
        <v>91</v>
      </c>
      <c r="T289" s="1">
        <v>41</v>
      </c>
      <c r="Z289" s="1">
        <v>128</v>
      </c>
      <c r="AA289" s="1">
        <v>230</v>
      </c>
      <c r="AC289" s="1">
        <v>61</v>
      </c>
      <c r="AF289" s="1">
        <v>251</v>
      </c>
    </row>
    <row r="290" spans="1:32">
      <c r="A290" s="58">
        <v>34768</v>
      </c>
      <c r="C290" s="1">
        <v>6601</v>
      </c>
      <c r="D290" s="21">
        <f t="shared" si="10"/>
        <v>4.87136550464302E-3</v>
      </c>
      <c r="E290" s="1">
        <v>6601</v>
      </c>
      <c r="F290" s="1">
        <v>0</v>
      </c>
      <c r="H290" s="1">
        <v>1628</v>
      </c>
      <c r="I290" s="21">
        <f t="shared" si="9"/>
        <v>1.2300123001230013E-3</v>
      </c>
      <c r="J290" s="1">
        <v>287</v>
      </c>
      <c r="K290" s="1">
        <v>256</v>
      </c>
      <c r="L290" s="1">
        <v>141</v>
      </c>
      <c r="O290" s="1">
        <v>114</v>
      </c>
      <c r="T290" s="1">
        <v>31</v>
      </c>
      <c r="Z290" s="1">
        <v>114</v>
      </c>
      <c r="AA290" s="1">
        <v>203</v>
      </c>
      <c r="AC290" s="1">
        <v>44</v>
      </c>
      <c r="AF290" s="1">
        <v>233</v>
      </c>
    </row>
    <row r="291" spans="1:32">
      <c r="A291" s="58">
        <v>34775</v>
      </c>
      <c r="C291" s="1">
        <v>6653</v>
      </c>
      <c r="D291" s="21">
        <f t="shared" si="10"/>
        <v>7.8775943038933496E-3</v>
      </c>
      <c r="E291" s="1">
        <v>6653</v>
      </c>
      <c r="F291" s="1">
        <v>0</v>
      </c>
      <c r="H291" s="1">
        <v>1603</v>
      </c>
      <c r="I291" s="21">
        <f t="shared" si="9"/>
        <v>-1.5356265356265357E-2</v>
      </c>
      <c r="J291" s="1">
        <v>314</v>
      </c>
      <c r="K291" s="1">
        <v>263</v>
      </c>
      <c r="L291" s="1">
        <v>139</v>
      </c>
      <c r="O291" s="1">
        <v>124</v>
      </c>
      <c r="T291" s="1">
        <v>51</v>
      </c>
      <c r="Z291" s="1">
        <v>119</v>
      </c>
      <c r="AA291" s="1">
        <v>226</v>
      </c>
      <c r="AC291" s="1">
        <v>29</v>
      </c>
      <c r="AF291" s="1">
        <v>209</v>
      </c>
    </row>
    <row r="292" spans="1:32">
      <c r="A292" s="58">
        <v>34782</v>
      </c>
      <c r="C292" s="1">
        <v>6729</v>
      </c>
      <c r="D292" s="21">
        <f t="shared" si="10"/>
        <v>1.1423418006914174E-2</v>
      </c>
      <c r="E292" s="1">
        <v>6729</v>
      </c>
      <c r="F292" s="1">
        <v>0</v>
      </c>
      <c r="H292" s="1">
        <v>1478</v>
      </c>
      <c r="I292" s="21">
        <f t="shared" si="9"/>
        <v>-7.797878976918278E-2</v>
      </c>
      <c r="J292" s="1">
        <v>330</v>
      </c>
      <c r="K292" s="1">
        <v>274</v>
      </c>
      <c r="L292" s="1">
        <v>138</v>
      </c>
      <c r="O292" s="1">
        <v>136</v>
      </c>
      <c r="T292" s="1">
        <v>56</v>
      </c>
      <c r="Z292" s="1">
        <v>102</v>
      </c>
      <c r="AA292" s="1">
        <v>219</v>
      </c>
      <c r="AC292" s="1">
        <v>36</v>
      </c>
      <c r="AF292" s="1">
        <v>182</v>
      </c>
    </row>
    <row r="293" spans="1:32">
      <c r="A293" s="58">
        <v>34789</v>
      </c>
      <c r="C293" s="1">
        <v>7237</v>
      </c>
      <c r="D293" s="21">
        <f t="shared" si="10"/>
        <v>7.5494129885569916E-2</v>
      </c>
      <c r="E293" s="1">
        <v>7237</v>
      </c>
      <c r="F293" s="1">
        <v>0</v>
      </c>
      <c r="H293" s="1">
        <v>1440</v>
      </c>
      <c r="I293" s="21">
        <f t="shared" si="9"/>
        <v>-2.571041948579161E-2</v>
      </c>
      <c r="J293" s="1">
        <v>367</v>
      </c>
      <c r="K293" s="1">
        <v>303</v>
      </c>
      <c r="L293" s="1">
        <v>117</v>
      </c>
      <c r="O293" s="1">
        <v>186</v>
      </c>
      <c r="T293" s="1">
        <v>65</v>
      </c>
      <c r="Z293" s="1">
        <v>106</v>
      </c>
      <c r="AA293" s="1">
        <v>203</v>
      </c>
      <c r="AC293" s="1">
        <v>34</v>
      </c>
      <c r="AF293" s="1">
        <v>183</v>
      </c>
    </row>
    <row r="294" spans="1:32">
      <c r="A294" s="58">
        <v>34796</v>
      </c>
      <c r="C294" s="1">
        <v>6911</v>
      </c>
      <c r="D294" s="21">
        <f t="shared" si="10"/>
        <v>-4.5046289899129476E-2</v>
      </c>
      <c r="E294" s="1">
        <v>6911</v>
      </c>
      <c r="F294" s="1">
        <v>0</v>
      </c>
      <c r="H294" s="1">
        <v>1394</v>
      </c>
      <c r="I294" s="21">
        <f t="shared" si="9"/>
        <v>-3.1944444444444442E-2</v>
      </c>
      <c r="J294" s="1">
        <v>318</v>
      </c>
      <c r="K294" s="1">
        <v>262</v>
      </c>
      <c r="L294" s="1">
        <v>85</v>
      </c>
      <c r="O294" s="1">
        <v>176</v>
      </c>
      <c r="T294" s="1">
        <v>57</v>
      </c>
      <c r="Z294" s="1">
        <v>93</v>
      </c>
      <c r="AA294" s="1">
        <v>203</v>
      </c>
      <c r="AC294" s="1">
        <v>36</v>
      </c>
      <c r="AF294" s="1">
        <v>195</v>
      </c>
    </row>
    <row r="295" spans="1:32">
      <c r="A295" s="58">
        <v>34803</v>
      </c>
      <c r="C295" s="1">
        <v>6784</v>
      </c>
      <c r="D295" s="21">
        <f t="shared" si="10"/>
        <v>-1.837650122992331E-2</v>
      </c>
      <c r="E295" s="1">
        <v>6784</v>
      </c>
      <c r="F295" s="1">
        <v>0</v>
      </c>
      <c r="H295" s="1">
        <v>1266</v>
      </c>
      <c r="I295" s="21">
        <f t="shared" si="9"/>
        <v>-9.1822094691535155E-2</v>
      </c>
      <c r="J295" s="1">
        <v>275</v>
      </c>
      <c r="K295" s="1">
        <v>238</v>
      </c>
      <c r="L295" s="1">
        <v>81</v>
      </c>
      <c r="O295" s="1">
        <v>158</v>
      </c>
      <c r="T295" s="1">
        <v>37</v>
      </c>
      <c r="Z295" s="1">
        <v>73</v>
      </c>
      <c r="AA295" s="1">
        <v>146</v>
      </c>
      <c r="AC295" s="1">
        <v>40</v>
      </c>
      <c r="AF295" s="1">
        <v>180</v>
      </c>
    </row>
    <row r="296" spans="1:32">
      <c r="A296" s="58">
        <v>34810</v>
      </c>
      <c r="C296" s="1">
        <v>7312</v>
      </c>
      <c r="D296" s="21">
        <f t="shared" si="10"/>
        <v>7.783018867924528E-2</v>
      </c>
      <c r="E296" s="1">
        <v>7312</v>
      </c>
      <c r="F296" s="1">
        <v>0</v>
      </c>
      <c r="H296" s="1">
        <v>1308</v>
      </c>
      <c r="I296" s="21">
        <f t="shared" si="9"/>
        <v>3.3175355450236969E-2</v>
      </c>
      <c r="J296" s="1">
        <v>277</v>
      </c>
      <c r="K296" s="1">
        <v>249</v>
      </c>
      <c r="L296" s="1">
        <v>81</v>
      </c>
      <c r="O296" s="1">
        <v>168</v>
      </c>
      <c r="T296" s="1">
        <v>28</v>
      </c>
      <c r="Z296" s="1">
        <v>72</v>
      </c>
      <c r="AA296" s="1">
        <v>127</v>
      </c>
      <c r="AC296" s="1">
        <v>43</v>
      </c>
      <c r="AF296" s="1">
        <v>157</v>
      </c>
    </row>
    <row r="297" spans="1:32">
      <c r="A297" s="58">
        <v>34817</v>
      </c>
      <c r="C297" s="1">
        <v>7313</v>
      </c>
      <c r="D297" s="21">
        <f t="shared" si="10"/>
        <v>1.3676148796498905E-4</v>
      </c>
      <c r="E297" s="1">
        <v>7313</v>
      </c>
      <c r="F297" s="1">
        <v>0</v>
      </c>
      <c r="H297" s="1">
        <v>1310</v>
      </c>
      <c r="I297" s="21">
        <f t="shared" si="9"/>
        <v>1.5290519877675841E-3</v>
      </c>
      <c r="J297" s="1">
        <v>278</v>
      </c>
      <c r="K297" s="1">
        <v>256</v>
      </c>
      <c r="L297" s="1">
        <v>91</v>
      </c>
      <c r="O297" s="1">
        <v>165</v>
      </c>
      <c r="T297" s="1">
        <v>22</v>
      </c>
      <c r="Z297" s="1">
        <v>64</v>
      </c>
      <c r="AA297" s="1">
        <v>127</v>
      </c>
      <c r="AC297" s="1">
        <v>42</v>
      </c>
      <c r="AF297" s="1">
        <v>121</v>
      </c>
    </row>
    <row r="298" spans="1:32">
      <c r="A298" s="58">
        <v>34824</v>
      </c>
      <c r="C298" s="1">
        <v>7082</v>
      </c>
      <c r="D298" s="21">
        <f t="shared" si="10"/>
        <v>-3.1587583754956926E-2</v>
      </c>
      <c r="E298" s="1">
        <v>7082</v>
      </c>
      <c r="F298" s="1">
        <v>0</v>
      </c>
      <c r="H298" s="1">
        <v>1184</v>
      </c>
      <c r="I298" s="21">
        <f t="shared" si="9"/>
        <v>-9.6183206106870228E-2</v>
      </c>
      <c r="J298" s="1">
        <v>282</v>
      </c>
      <c r="K298" s="1">
        <v>259</v>
      </c>
      <c r="L298" s="1">
        <v>102</v>
      </c>
      <c r="O298" s="1">
        <v>156</v>
      </c>
      <c r="T298" s="1">
        <v>23</v>
      </c>
      <c r="Z298" s="1">
        <v>59</v>
      </c>
      <c r="AA298" s="1">
        <v>117</v>
      </c>
      <c r="AC298" s="1">
        <v>45</v>
      </c>
      <c r="AF298" s="1">
        <v>93</v>
      </c>
    </row>
    <row r="299" spans="1:32">
      <c r="A299" s="58">
        <v>34831</v>
      </c>
      <c r="C299" s="1">
        <v>7462</v>
      </c>
      <c r="D299" s="21">
        <f t="shared" si="10"/>
        <v>5.3657158994634281E-2</v>
      </c>
      <c r="E299" s="1">
        <v>7462</v>
      </c>
      <c r="F299" s="1">
        <v>0</v>
      </c>
      <c r="H299" s="1">
        <v>1307</v>
      </c>
      <c r="I299" s="21">
        <f t="shared" si="9"/>
        <v>0.10388513513513513</v>
      </c>
      <c r="J299" s="1">
        <v>347</v>
      </c>
      <c r="K299" s="1">
        <v>319</v>
      </c>
      <c r="L299" s="1">
        <v>92</v>
      </c>
      <c r="O299" s="1">
        <v>227</v>
      </c>
      <c r="T299" s="1">
        <v>28</v>
      </c>
      <c r="Z299" s="1">
        <v>93</v>
      </c>
      <c r="AA299" s="1">
        <v>114</v>
      </c>
      <c r="AC299" s="1">
        <v>38</v>
      </c>
      <c r="AF299" s="1">
        <v>114</v>
      </c>
    </row>
    <row r="300" spans="1:32">
      <c r="A300" s="58">
        <v>34838</v>
      </c>
      <c r="C300" s="1">
        <v>7311</v>
      </c>
      <c r="D300" s="21">
        <f t="shared" si="10"/>
        <v>-2.0235861699276332E-2</v>
      </c>
      <c r="E300" s="1">
        <v>7311</v>
      </c>
      <c r="F300" s="1">
        <v>0</v>
      </c>
      <c r="H300" s="1">
        <v>1322</v>
      </c>
      <c r="I300" s="21">
        <f t="shared" si="9"/>
        <v>1.1476664116296864E-2</v>
      </c>
      <c r="J300" s="1">
        <v>412</v>
      </c>
      <c r="K300" s="1">
        <v>376</v>
      </c>
      <c r="L300" s="1">
        <v>121</v>
      </c>
      <c r="O300" s="1">
        <v>255</v>
      </c>
      <c r="T300" s="1">
        <v>36</v>
      </c>
      <c r="Z300" s="1">
        <v>82</v>
      </c>
      <c r="AA300" s="1">
        <v>115</v>
      </c>
      <c r="AC300" s="1">
        <v>46</v>
      </c>
      <c r="AF300" s="1">
        <v>113</v>
      </c>
    </row>
    <row r="301" spans="1:32">
      <c r="A301" s="58">
        <v>34845</v>
      </c>
      <c r="C301" s="1">
        <v>6994</v>
      </c>
      <c r="D301" s="21">
        <f t="shared" si="10"/>
        <v>-4.3359321570236628E-2</v>
      </c>
      <c r="E301" s="1">
        <v>6994</v>
      </c>
      <c r="F301" s="1">
        <v>0</v>
      </c>
      <c r="H301" s="1">
        <v>1444</v>
      </c>
      <c r="I301" s="21">
        <f t="shared" si="9"/>
        <v>9.2284417549167927E-2</v>
      </c>
      <c r="J301" s="1">
        <v>413</v>
      </c>
      <c r="K301" s="1">
        <v>358</v>
      </c>
      <c r="L301" s="1">
        <v>140</v>
      </c>
      <c r="O301" s="1">
        <v>219</v>
      </c>
      <c r="T301" s="1">
        <v>55</v>
      </c>
      <c r="Z301" s="1">
        <v>96</v>
      </c>
      <c r="AA301" s="1">
        <v>114</v>
      </c>
      <c r="AC301" s="1">
        <v>44</v>
      </c>
      <c r="AF301" s="1">
        <v>172</v>
      </c>
    </row>
    <row r="302" spans="1:32">
      <c r="A302" s="58">
        <v>34852</v>
      </c>
      <c r="C302" s="1">
        <v>7399</v>
      </c>
      <c r="D302" s="21">
        <f t="shared" si="10"/>
        <v>5.7906777237632254E-2</v>
      </c>
      <c r="E302" s="1">
        <v>7399</v>
      </c>
      <c r="F302" s="1">
        <v>0</v>
      </c>
      <c r="H302" s="1">
        <v>1573</v>
      </c>
      <c r="I302" s="21">
        <f t="shared" si="9"/>
        <v>8.9335180055401656E-2</v>
      </c>
      <c r="J302" s="1">
        <v>425</v>
      </c>
      <c r="K302" s="1">
        <v>380</v>
      </c>
      <c r="L302" s="1">
        <v>132</v>
      </c>
      <c r="O302" s="1">
        <v>248</v>
      </c>
      <c r="T302" s="1">
        <v>45</v>
      </c>
      <c r="Z302" s="1">
        <v>96</v>
      </c>
      <c r="AA302" s="1">
        <v>123</v>
      </c>
      <c r="AC302" s="1">
        <v>66</v>
      </c>
      <c r="AF302" s="1">
        <v>169</v>
      </c>
    </row>
    <row r="303" spans="1:32">
      <c r="A303" s="58">
        <v>34859</v>
      </c>
      <c r="C303" s="1">
        <v>7231</v>
      </c>
      <c r="D303" s="21">
        <f t="shared" si="10"/>
        <v>-2.2705771050141911E-2</v>
      </c>
      <c r="E303" s="1">
        <v>7231</v>
      </c>
      <c r="F303" s="1">
        <v>0</v>
      </c>
      <c r="H303" s="1">
        <v>1516</v>
      </c>
      <c r="I303" s="21">
        <f t="shared" si="9"/>
        <v>-3.6236490781945324E-2</v>
      </c>
      <c r="J303" s="1">
        <v>399</v>
      </c>
      <c r="K303" s="1">
        <v>329</v>
      </c>
      <c r="L303" s="1">
        <v>141</v>
      </c>
      <c r="O303" s="1">
        <v>188</v>
      </c>
      <c r="T303" s="1">
        <v>70</v>
      </c>
      <c r="Z303" s="1">
        <v>62</v>
      </c>
      <c r="AA303" s="1">
        <v>109</v>
      </c>
      <c r="AC303" s="1">
        <v>64</v>
      </c>
      <c r="AF303" s="1">
        <v>215</v>
      </c>
    </row>
    <row r="304" spans="1:32">
      <c r="A304" s="58">
        <v>34866</v>
      </c>
      <c r="C304" s="1">
        <v>7666</v>
      </c>
      <c r="D304" s="21">
        <f t="shared" si="10"/>
        <v>6.0157654542940121E-2</v>
      </c>
      <c r="E304" s="1">
        <v>7666</v>
      </c>
      <c r="F304" s="1">
        <v>0</v>
      </c>
      <c r="H304" s="1">
        <v>1512</v>
      </c>
      <c r="I304" s="21">
        <f t="shared" si="9"/>
        <v>-2.6385224274406332E-3</v>
      </c>
      <c r="J304" s="1">
        <v>367</v>
      </c>
      <c r="K304" s="1">
        <v>308</v>
      </c>
      <c r="L304" s="1">
        <v>136</v>
      </c>
      <c r="O304" s="1">
        <v>173</v>
      </c>
      <c r="T304" s="1">
        <v>59</v>
      </c>
      <c r="Z304" s="1">
        <v>87</v>
      </c>
      <c r="AA304" s="1">
        <v>138</v>
      </c>
      <c r="AC304" s="1">
        <v>73</v>
      </c>
      <c r="AF304" s="1">
        <v>198</v>
      </c>
    </row>
    <row r="305" spans="1:32">
      <c r="A305" s="58">
        <v>34873</v>
      </c>
      <c r="C305" s="1">
        <v>7574</v>
      </c>
      <c r="D305" s="21">
        <f t="shared" si="10"/>
        <v>-1.2001043569006E-2</v>
      </c>
      <c r="E305" s="1">
        <v>7574</v>
      </c>
      <c r="F305" s="1">
        <v>0</v>
      </c>
      <c r="H305" s="1">
        <v>1498</v>
      </c>
      <c r="I305" s="21">
        <f t="shared" si="9"/>
        <v>-9.2592592592592587E-3</v>
      </c>
      <c r="J305" s="1">
        <v>409</v>
      </c>
      <c r="K305" s="1">
        <v>344</v>
      </c>
      <c r="L305" s="1">
        <v>114</v>
      </c>
      <c r="O305" s="1">
        <v>230</v>
      </c>
      <c r="T305" s="1">
        <v>65</v>
      </c>
      <c r="Z305" s="1">
        <v>72</v>
      </c>
      <c r="AA305" s="1">
        <v>149</v>
      </c>
      <c r="AC305" s="1">
        <v>82</v>
      </c>
      <c r="AF305" s="1">
        <v>172</v>
      </c>
    </row>
    <row r="306" spans="1:32">
      <c r="A306" s="58">
        <v>34880</v>
      </c>
      <c r="C306" s="1">
        <v>7706</v>
      </c>
      <c r="D306" s="21">
        <f t="shared" si="10"/>
        <v>1.7428043306047004E-2</v>
      </c>
      <c r="E306" s="1">
        <v>7706</v>
      </c>
      <c r="F306" s="1">
        <v>0</v>
      </c>
      <c r="H306" s="1">
        <v>1502</v>
      </c>
      <c r="I306" s="21">
        <f t="shared" si="9"/>
        <v>2.6702269692923898E-3</v>
      </c>
      <c r="J306" s="1">
        <v>409</v>
      </c>
      <c r="K306" s="1">
        <v>334</v>
      </c>
      <c r="L306" s="1">
        <v>117</v>
      </c>
      <c r="O306" s="1">
        <v>218</v>
      </c>
      <c r="T306" s="1">
        <v>75</v>
      </c>
      <c r="Z306" s="1">
        <v>74</v>
      </c>
      <c r="AA306" s="1">
        <v>155</v>
      </c>
      <c r="AC306" s="1">
        <v>74</v>
      </c>
      <c r="AF306" s="1">
        <v>173</v>
      </c>
    </row>
    <row r="307" spans="1:32">
      <c r="A307" s="58">
        <v>34887</v>
      </c>
      <c r="C307" s="1">
        <v>7561</v>
      </c>
      <c r="D307" s="21">
        <f t="shared" si="10"/>
        <v>-1.8816506618219569E-2</v>
      </c>
      <c r="E307" s="1">
        <v>7561</v>
      </c>
      <c r="F307" s="1">
        <v>0</v>
      </c>
      <c r="H307" s="1">
        <v>1519</v>
      </c>
      <c r="I307" s="21">
        <f t="shared" si="9"/>
        <v>1.1318242343541944E-2</v>
      </c>
      <c r="J307" s="1">
        <v>408</v>
      </c>
      <c r="K307" s="1">
        <v>356</v>
      </c>
      <c r="L307" s="1">
        <v>113</v>
      </c>
      <c r="O307" s="1">
        <v>244</v>
      </c>
      <c r="T307" s="1">
        <v>52</v>
      </c>
      <c r="Z307" s="1">
        <v>77</v>
      </c>
      <c r="AA307" s="1">
        <v>200</v>
      </c>
      <c r="AC307" s="1">
        <v>91</v>
      </c>
      <c r="AF307" s="1">
        <v>134</v>
      </c>
    </row>
    <row r="308" spans="1:32">
      <c r="A308" s="58">
        <v>34894</v>
      </c>
      <c r="C308" s="1">
        <v>7198</v>
      </c>
      <c r="D308" s="21">
        <f t="shared" si="10"/>
        <v>-4.8009522549927255E-2</v>
      </c>
      <c r="E308" s="1">
        <v>7198</v>
      </c>
      <c r="F308" s="1">
        <v>0</v>
      </c>
      <c r="H308" s="1">
        <v>1571</v>
      </c>
      <c r="I308" s="21">
        <f t="shared" si="9"/>
        <v>3.4233048057932848E-2</v>
      </c>
      <c r="J308" s="1">
        <v>366</v>
      </c>
      <c r="K308" s="1">
        <v>311</v>
      </c>
      <c r="L308" s="1">
        <v>77</v>
      </c>
      <c r="O308" s="1">
        <v>234</v>
      </c>
      <c r="T308" s="1">
        <v>55</v>
      </c>
      <c r="Z308" s="1">
        <v>65</v>
      </c>
      <c r="AA308" s="1">
        <v>215</v>
      </c>
      <c r="AC308" s="1">
        <v>89</v>
      </c>
      <c r="AF308" s="1">
        <v>157</v>
      </c>
    </row>
    <row r="309" spans="1:32">
      <c r="A309" s="58">
        <v>34901</v>
      </c>
      <c r="C309" s="1">
        <v>7255</v>
      </c>
      <c r="D309" s="21">
        <f t="shared" si="10"/>
        <v>7.9188663517643781E-3</v>
      </c>
      <c r="E309" s="1">
        <v>7255</v>
      </c>
      <c r="F309" s="1">
        <v>0</v>
      </c>
      <c r="H309" s="1">
        <v>1556</v>
      </c>
      <c r="I309" s="21">
        <f t="shared" si="9"/>
        <v>-9.5480585614258432E-3</v>
      </c>
      <c r="J309" s="1">
        <v>343</v>
      </c>
      <c r="K309" s="1">
        <v>316</v>
      </c>
      <c r="L309" s="1">
        <v>115</v>
      </c>
      <c r="O309" s="1">
        <v>200</v>
      </c>
      <c r="T309" s="1">
        <v>28</v>
      </c>
      <c r="Z309" s="1">
        <v>80</v>
      </c>
      <c r="AA309" s="1">
        <v>225</v>
      </c>
      <c r="AC309" s="1">
        <v>97</v>
      </c>
      <c r="AF309" s="1">
        <v>130</v>
      </c>
    </row>
    <row r="310" spans="1:32">
      <c r="A310" s="58">
        <v>34908</v>
      </c>
      <c r="C310" s="1">
        <v>7116</v>
      </c>
      <c r="D310" s="21">
        <f t="shared" si="10"/>
        <v>-1.9159200551343902E-2</v>
      </c>
      <c r="E310" s="1">
        <v>7116</v>
      </c>
      <c r="F310" s="1">
        <v>0</v>
      </c>
      <c r="H310" s="1">
        <v>1664</v>
      </c>
      <c r="I310" s="21">
        <f t="shared" si="9"/>
        <v>6.9408740359897178E-2</v>
      </c>
      <c r="J310" s="1">
        <v>384</v>
      </c>
      <c r="K310" s="1">
        <v>357</v>
      </c>
      <c r="L310" s="1">
        <v>120</v>
      </c>
      <c r="O310" s="1">
        <v>237</v>
      </c>
      <c r="T310" s="1">
        <v>28</v>
      </c>
      <c r="Z310" s="1">
        <v>109</v>
      </c>
      <c r="AA310" s="1">
        <v>230</v>
      </c>
      <c r="AC310" s="1">
        <v>105</v>
      </c>
      <c r="AF310" s="1">
        <v>141</v>
      </c>
    </row>
    <row r="311" spans="1:32">
      <c r="A311" s="58">
        <v>34915</v>
      </c>
      <c r="C311" s="1">
        <v>7362</v>
      </c>
      <c r="D311" s="21">
        <f t="shared" si="10"/>
        <v>3.4569983136593589E-2</v>
      </c>
      <c r="E311" s="1">
        <v>7362</v>
      </c>
      <c r="F311" s="1">
        <v>0</v>
      </c>
      <c r="H311" s="1">
        <v>1751</v>
      </c>
      <c r="I311" s="21">
        <f t="shared" si="9"/>
        <v>5.2283653846153848E-2</v>
      </c>
      <c r="J311" s="1">
        <v>376</v>
      </c>
      <c r="K311" s="1">
        <v>351</v>
      </c>
      <c r="L311" s="1">
        <v>130</v>
      </c>
      <c r="O311" s="1">
        <v>221</v>
      </c>
      <c r="T311" s="1">
        <v>25</v>
      </c>
      <c r="Z311" s="1">
        <v>115</v>
      </c>
      <c r="AA311" s="1">
        <v>245</v>
      </c>
      <c r="AC311" s="1">
        <v>117</v>
      </c>
      <c r="AF311" s="1">
        <v>148</v>
      </c>
    </row>
    <row r="312" spans="1:32">
      <c r="A312" s="58">
        <v>34922</v>
      </c>
      <c r="C312" s="1">
        <v>7511</v>
      </c>
      <c r="D312" s="21">
        <f t="shared" si="10"/>
        <v>2.0239065471339308E-2</v>
      </c>
      <c r="E312" s="1">
        <v>7511</v>
      </c>
      <c r="F312" s="1">
        <v>0</v>
      </c>
      <c r="H312" s="1">
        <v>1582</v>
      </c>
      <c r="I312" s="21">
        <f t="shared" si="9"/>
        <v>-9.6516276413478014E-2</v>
      </c>
      <c r="J312" s="1">
        <v>339</v>
      </c>
      <c r="K312" s="1">
        <v>322</v>
      </c>
      <c r="L312" s="1">
        <v>120</v>
      </c>
      <c r="O312" s="1">
        <v>202</v>
      </c>
      <c r="T312" s="1">
        <v>18</v>
      </c>
      <c r="Z312" s="1">
        <v>104</v>
      </c>
      <c r="AA312" s="1">
        <v>192</v>
      </c>
      <c r="AC312" s="1">
        <v>95</v>
      </c>
      <c r="AF312" s="1">
        <v>128</v>
      </c>
    </row>
    <row r="313" spans="1:32">
      <c r="A313" s="58">
        <v>34929</v>
      </c>
      <c r="C313" s="1">
        <v>7773</v>
      </c>
      <c r="D313" s="21">
        <f t="shared" si="10"/>
        <v>3.4882172813207296E-2</v>
      </c>
      <c r="E313" s="1">
        <v>7773</v>
      </c>
      <c r="F313" s="1">
        <v>0</v>
      </c>
      <c r="H313" s="1">
        <v>1608</v>
      </c>
      <c r="I313" s="21">
        <f t="shared" si="9"/>
        <v>1.643489254108723E-2</v>
      </c>
      <c r="J313" s="1">
        <v>328</v>
      </c>
      <c r="K313" s="1">
        <v>290</v>
      </c>
      <c r="L313" s="1">
        <v>89</v>
      </c>
      <c r="O313" s="1">
        <v>201</v>
      </c>
      <c r="T313" s="1">
        <v>39</v>
      </c>
      <c r="Z313" s="1">
        <v>102</v>
      </c>
      <c r="AA313" s="1">
        <v>190</v>
      </c>
      <c r="AC313" s="1">
        <v>99</v>
      </c>
      <c r="AF313" s="1">
        <v>118</v>
      </c>
    </row>
    <row r="314" spans="1:32">
      <c r="A314" s="58">
        <v>34936</v>
      </c>
      <c r="C314" s="1">
        <v>7776</v>
      </c>
      <c r="D314" s="21">
        <f t="shared" si="10"/>
        <v>3.8595137012736397E-4</v>
      </c>
      <c r="E314" s="1">
        <v>7776</v>
      </c>
      <c r="F314" s="1">
        <v>0</v>
      </c>
      <c r="H314" s="1">
        <v>1470</v>
      </c>
      <c r="I314" s="21">
        <f t="shared" si="9"/>
        <v>-8.5820895522388058E-2</v>
      </c>
      <c r="J314" s="1">
        <v>259</v>
      </c>
      <c r="K314" s="1">
        <v>223</v>
      </c>
      <c r="L314" s="1">
        <v>91</v>
      </c>
      <c r="O314" s="1">
        <v>132</v>
      </c>
      <c r="T314" s="1">
        <v>36</v>
      </c>
      <c r="Z314" s="1">
        <v>93</v>
      </c>
      <c r="AA314" s="1">
        <v>185</v>
      </c>
      <c r="AC314" s="1">
        <v>76</v>
      </c>
      <c r="AF314" s="1">
        <v>172</v>
      </c>
    </row>
    <row r="315" spans="1:32">
      <c r="A315" s="58">
        <v>34943</v>
      </c>
      <c r="C315" s="1">
        <v>7547</v>
      </c>
      <c r="D315" s="21">
        <f t="shared" si="10"/>
        <v>-2.9449588477366256E-2</v>
      </c>
      <c r="E315" s="1">
        <v>7547</v>
      </c>
      <c r="F315" s="1">
        <v>0</v>
      </c>
      <c r="H315" s="1">
        <v>1571</v>
      </c>
      <c r="I315" s="21">
        <f t="shared" si="9"/>
        <v>6.8707482993197275E-2</v>
      </c>
      <c r="J315" s="1">
        <v>289</v>
      </c>
      <c r="K315" s="1">
        <v>256</v>
      </c>
      <c r="L315" s="1">
        <v>116</v>
      </c>
      <c r="O315" s="1">
        <v>140</v>
      </c>
      <c r="T315" s="1">
        <v>34</v>
      </c>
      <c r="Z315" s="1">
        <v>114</v>
      </c>
      <c r="AA315" s="1">
        <v>136</v>
      </c>
      <c r="AC315" s="1">
        <v>52</v>
      </c>
      <c r="AF315" s="1">
        <v>158</v>
      </c>
    </row>
    <row r="316" spans="1:32">
      <c r="A316" s="58">
        <v>34950</v>
      </c>
      <c r="C316" s="1">
        <v>7567</v>
      </c>
      <c r="D316" s="21">
        <f t="shared" si="10"/>
        <v>2.6500596263415925E-3</v>
      </c>
      <c r="E316" s="1">
        <v>7567</v>
      </c>
      <c r="F316" s="1">
        <v>0</v>
      </c>
      <c r="H316" s="1">
        <v>1671</v>
      </c>
      <c r="I316" s="21">
        <f t="shared" si="9"/>
        <v>6.3653723742838952E-2</v>
      </c>
      <c r="J316" s="1">
        <v>335</v>
      </c>
      <c r="K316" s="1">
        <v>280</v>
      </c>
      <c r="L316" s="1">
        <v>142</v>
      </c>
      <c r="O316" s="1">
        <v>138</v>
      </c>
      <c r="T316" s="1">
        <v>55</v>
      </c>
      <c r="Z316" s="1">
        <v>112</v>
      </c>
      <c r="AA316" s="1">
        <v>171</v>
      </c>
      <c r="AC316" s="1">
        <v>59</v>
      </c>
      <c r="AF316" s="1">
        <v>234</v>
      </c>
    </row>
    <row r="317" spans="1:32">
      <c r="A317" s="58">
        <v>34957</v>
      </c>
      <c r="C317" s="1">
        <v>7679</v>
      </c>
      <c r="D317" s="21">
        <f t="shared" si="10"/>
        <v>1.4801110083256245E-2</v>
      </c>
      <c r="E317" s="1">
        <v>7679</v>
      </c>
      <c r="F317" s="1">
        <v>0</v>
      </c>
      <c r="H317" s="1">
        <v>1559</v>
      </c>
      <c r="I317" s="21">
        <f t="shared" si="9"/>
        <v>-6.7025733093955708E-2</v>
      </c>
      <c r="J317" s="1">
        <v>282</v>
      </c>
      <c r="K317" s="1">
        <v>230</v>
      </c>
      <c r="L317" s="1">
        <v>130</v>
      </c>
      <c r="O317" s="1">
        <v>101</v>
      </c>
      <c r="T317" s="1">
        <v>51</v>
      </c>
      <c r="Z317" s="1">
        <v>103</v>
      </c>
      <c r="AA317" s="1">
        <v>144</v>
      </c>
      <c r="AC317" s="1">
        <v>37</v>
      </c>
      <c r="AF317" s="1">
        <v>225</v>
      </c>
    </row>
    <row r="318" spans="1:32">
      <c r="A318" s="58">
        <v>34964</v>
      </c>
      <c r="C318" s="1">
        <v>7627</v>
      </c>
      <c r="D318" s="21">
        <f t="shared" si="10"/>
        <v>-6.7717150670660239E-3</v>
      </c>
      <c r="E318" s="1">
        <v>7627</v>
      </c>
      <c r="F318" s="1">
        <v>0</v>
      </c>
      <c r="H318" s="1">
        <v>1555</v>
      </c>
      <c r="I318" s="21">
        <f t="shared" si="9"/>
        <v>-2.5657472738935213E-3</v>
      </c>
      <c r="J318" s="1">
        <v>314</v>
      </c>
      <c r="K318" s="1">
        <v>260</v>
      </c>
      <c r="L318" s="1">
        <v>134</v>
      </c>
      <c r="O318" s="1">
        <v>126</v>
      </c>
      <c r="T318" s="1">
        <v>54</v>
      </c>
      <c r="Z318" s="1">
        <v>127</v>
      </c>
      <c r="AA318" s="1">
        <v>116</v>
      </c>
      <c r="AC318" s="1">
        <v>38</v>
      </c>
      <c r="AF318" s="1">
        <v>145</v>
      </c>
    </row>
    <row r="319" spans="1:32">
      <c r="A319" s="58">
        <v>34971</v>
      </c>
      <c r="C319" s="1">
        <v>7883</v>
      </c>
      <c r="D319" s="21">
        <f t="shared" si="10"/>
        <v>3.3564966566146583E-2</v>
      </c>
      <c r="E319" s="1">
        <v>7883</v>
      </c>
      <c r="F319" s="1">
        <v>0</v>
      </c>
      <c r="H319" s="1">
        <v>1465</v>
      </c>
      <c r="I319" s="21">
        <f t="shared" si="9"/>
        <v>-5.7877813504823149E-2</v>
      </c>
      <c r="J319" s="1">
        <v>279</v>
      </c>
      <c r="K319" s="1">
        <v>225</v>
      </c>
      <c r="L319" s="1">
        <v>133</v>
      </c>
      <c r="O319" s="1">
        <v>91</v>
      </c>
      <c r="T319" s="1">
        <v>54</v>
      </c>
      <c r="Z319" s="1">
        <v>124</v>
      </c>
      <c r="AA319" s="1">
        <v>151</v>
      </c>
      <c r="AC319" s="1">
        <v>62</v>
      </c>
      <c r="AF319" s="1">
        <v>197</v>
      </c>
    </row>
    <row r="320" spans="1:32">
      <c r="A320" s="58">
        <v>34978</v>
      </c>
      <c r="C320" s="1">
        <v>7274</v>
      </c>
      <c r="D320" s="21">
        <f t="shared" si="10"/>
        <v>-7.7254852213624256E-2</v>
      </c>
      <c r="E320" s="1">
        <v>7274</v>
      </c>
      <c r="F320" s="1">
        <v>0</v>
      </c>
      <c r="H320" s="1">
        <v>1398</v>
      </c>
      <c r="I320" s="21">
        <f t="shared" si="9"/>
        <v>-4.5733788395904439E-2</v>
      </c>
      <c r="J320" s="1">
        <v>294</v>
      </c>
      <c r="K320" s="1">
        <v>258</v>
      </c>
      <c r="L320" s="1">
        <v>135</v>
      </c>
      <c r="O320" s="1">
        <v>123</v>
      </c>
      <c r="T320" s="1">
        <v>36</v>
      </c>
      <c r="Z320" s="1">
        <v>129</v>
      </c>
      <c r="AA320" s="1">
        <v>114</v>
      </c>
      <c r="AC320" s="1">
        <v>67</v>
      </c>
      <c r="AF320" s="1">
        <v>168</v>
      </c>
    </row>
    <row r="321" spans="1:32">
      <c r="A321" s="58">
        <v>34985</v>
      </c>
      <c r="C321" s="1">
        <v>7072</v>
      </c>
      <c r="D321" s="21">
        <f t="shared" si="10"/>
        <v>-2.7770140225460545E-2</v>
      </c>
      <c r="E321" s="1">
        <v>7072</v>
      </c>
      <c r="F321" s="1">
        <v>0</v>
      </c>
      <c r="H321" s="1">
        <v>1551</v>
      </c>
      <c r="I321" s="21">
        <f t="shared" si="9"/>
        <v>0.10944206008583691</v>
      </c>
      <c r="J321" s="1">
        <v>347</v>
      </c>
      <c r="K321" s="1">
        <v>313</v>
      </c>
      <c r="L321" s="1">
        <v>141</v>
      </c>
      <c r="O321" s="1">
        <v>172</v>
      </c>
      <c r="T321" s="1">
        <v>35</v>
      </c>
      <c r="Z321" s="1">
        <v>142</v>
      </c>
      <c r="AA321" s="1">
        <v>152</v>
      </c>
      <c r="AC321" s="1">
        <v>87</v>
      </c>
      <c r="AF321" s="1">
        <v>235</v>
      </c>
    </row>
    <row r="322" spans="1:32">
      <c r="A322" s="58">
        <v>34992</v>
      </c>
      <c r="C322" s="1">
        <v>7165</v>
      </c>
      <c r="D322" s="21">
        <f t="shared" si="10"/>
        <v>1.3150452488687783E-2</v>
      </c>
      <c r="E322" s="1">
        <v>7165</v>
      </c>
      <c r="F322" s="1">
        <v>0</v>
      </c>
      <c r="H322" s="1">
        <v>1581</v>
      </c>
      <c r="I322" s="21">
        <f t="shared" si="9"/>
        <v>1.9342359767891684E-2</v>
      </c>
      <c r="J322" s="1">
        <v>341</v>
      </c>
      <c r="K322" s="1">
        <v>315</v>
      </c>
      <c r="L322" s="1">
        <v>146</v>
      </c>
      <c r="O322" s="1">
        <v>169</v>
      </c>
      <c r="T322" s="1">
        <v>26</v>
      </c>
      <c r="Z322" s="1">
        <v>101</v>
      </c>
      <c r="AA322" s="1">
        <v>176</v>
      </c>
      <c r="AC322" s="1">
        <v>90</v>
      </c>
      <c r="AF322" s="1">
        <v>232</v>
      </c>
    </row>
    <row r="323" spans="1:32">
      <c r="A323" s="58">
        <v>34999</v>
      </c>
      <c r="C323" s="1">
        <v>7025</v>
      </c>
      <c r="D323" s="21">
        <f t="shared" si="10"/>
        <v>-1.9539427773900907E-2</v>
      </c>
      <c r="E323" s="1">
        <v>7025</v>
      </c>
      <c r="F323" s="1">
        <v>0</v>
      </c>
      <c r="H323" s="1">
        <v>1478</v>
      </c>
      <c r="I323" s="21">
        <f t="shared" si="9"/>
        <v>-6.5148640101201777E-2</v>
      </c>
      <c r="J323" s="1">
        <v>352</v>
      </c>
      <c r="K323" s="1">
        <v>328</v>
      </c>
      <c r="L323" s="1">
        <v>135</v>
      </c>
      <c r="O323" s="1">
        <v>193</v>
      </c>
      <c r="T323" s="1">
        <v>25</v>
      </c>
      <c r="Z323" s="1">
        <v>111</v>
      </c>
      <c r="AA323" s="1">
        <v>146</v>
      </c>
      <c r="AC323" s="1">
        <v>67</v>
      </c>
      <c r="AF323" s="1">
        <v>181</v>
      </c>
    </row>
    <row r="324" spans="1:32">
      <c r="A324" s="58">
        <v>35006</v>
      </c>
      <c r="C324" s="1">
        <v>7125</v>
      </c>
      <c r="D324" s="21">
        <f t="shared" si="10"/>
        <v>1.4234875444839857E-2</v>
      </c>
      <c r="E324" s="1">
        <v>7125</v>
      </c>
      <c r="F324" s="1">
        <v>0</v>
      </c>
      <c r="H324" s="1">
        <v>1462</v>
      </c>
      <c r="I324" s="21">
        <f t="shared" si="9"/>
        <v>-1.0825439783491205E-2</v>
      </c>
      <c r="J324" s="1">
        <v>287</v>
      </c>
      <c r="K324" s="1">
        <v>247</v>
      </c>
      <c r="L324" s="1">
        <v>98</v>
      </c>
      <c r="O324" s="1">
        <v>150</v>
      </c>
      <c r="T324" s="1">
        <v>39</v>
      </c>
      <c r="Z324" s="1">
        <v>135</v>
      </c>
      <c r="AA324" s="1">
        <v>181</v>
      </c>
      <c r="AC324" s="1">
        <v>80</v>
      </c>
      <c r="AF324" s="1">
        <v>151</v>
      </c>
    </row>
    <row r="325" spans="1:32">
      <c r="A325" s="58">
        <v>35013</v>
      </c>
      <c r="C325" s="1">
        <v>7195</v>
      </c>
      <c r="D325" s="21">
        <f t="shared" si="10"/>
        <v>9.8245614035087723E-3</v>
      </c>
      <c r="E325" s="1">
        <v>7195</v>
      </c>
      <c r="F325" s="1">
        <v>0</v>
      </c>
      <c r="H325" s="1">
        <v>1430</v>
      </c>
      <c r="I325" s="21">
        <f t="shared" si="9"/>
        <v>-2.188782489740082E-2</v>
      </c>
      <c r="J325" s="1">
        <v>273</v>
      </c>
      <c r="K325" s="1">
        <v>239</v>
      </c>
      <c r="L325" s="1">
        <v>99</v>
      </c>
      <c r="O325" s="1">
        <v>140</v>
      </c>
      <c r="T325" s="1">
        <v>35</v>
      </c>
      <c r="Z325" s="1">
        <v>164</v>
      </c>
      <c r="AA325" s="1">
        <v>166</v>
      </c>
      <c r="AC325" s="1">
        <v>72</v>
      </c>
      <c r="AF325" s="1">
        <v>113</v>
      </c>
    </row>
    <row r="326" spans="1:32">
      <c r="A326" s="58">
        <v>35020</v>
      </c>
      <c r="C326" s="1">
        <v>7318</v>
      </c>
      <c r="D326" s="21">
        <f t="shared" si="10"/>
        <v>1.7095205003474636E-2</v>
      </c>
      <c r="E326" s="1">
        <v>7318</v>
      </c>
      <c r="F326" s="1">
        <v>0</v>
      </c>
      <c r="H326" s="1">
        <v>1555</v>
      </c>
      <c r="I326" s="21">
        <f t="shared" si="9"/>
        <v>8.7412587412587409E-2</v>
      </c>
      <c r="J326" s="1">
        <v>317</v>
      </c>
      <c r="K326" s="1">
        <v>280</v>
      </c>
      <c r="L326" s="1">
        <v>115</v>
      </c>
      <c r="O326" s="1">
        <v>165</v>
      </c>
      <c r="T326" s="1">
        <v>38</v>
      </c>
      <c r="Z326" s="1">
        <v>195</v>
      </c>
      <c r="AA326" s="1">
        <v>189</v>
      </c>
      <c r="AC326" s="1">
        <v>82</v>
      </c>
      <c r="AF326" s="1">
        <v>123</v>
      </c>
    </row>
    <row r="327" spans="1:32">
      <c r="A327" s="58">
        <v>35027</v>
      </c>
      <c r="C327" s="1">
        <v>7461</v>
      </c>
      <c r="D327" s="21">
        <f t="shared" si="10"/>
        <v>1.9540858157966658E-2</v>
      </c>
      <c r="E327" s="1">
        <v>7461</v>
      </c>
      <c r="F327" s="1">
        <v>0</v>
      </c>
      <c r="H327" s="1">
        <v>1631</v>
      </c>
      <c r="I327" s="21">
        <f t="shared" si="9"/>
        <v>4.8874598070739551E-2</v>
      </c>
      <c r="J327" s="1">
        <v>289</v>
      </c>
      <c r="K327" s="1">
        <v>235</v>
      </c>
      <c r="L327" s="1">
        <v>85</v>
      </c>
      <c r="O327" s="1">
        <v>150</v>
      </c>
      <c r="T327" s="1">
        <v>53</v>
      </c>
      <c r="Z327" s="1">
        <v>194</v>
      </c>
      <c r="AA327" s="1">
        <v>237</v>
      </c>
      <c r="AC327" s="1">
        <v>118</v>
      </c>
      <c r="AF327" s="1">
        <v>134</v>
      </c>
    </row>
    <row r="328" spans="1:32">
      <c r="A328" s="58">
        <v>35034</v>
      </c>
      <c r="C328" s="1">
        <v>7624</v>
      </c>
      <c r="D328" s="21">
        <f t="shared" si="10"/>
        <v>2.1846937407854174E-2</v>
      </c>
      <c r="E328" s="1">
        <v>7624</v>
      </c>
      <c r="F328" s="1">
        <v>0</v>
      </c>
      <c r="H328" s="1">
        <v>1627</v>
      </c>
      <c r="I328" s="21">
        <f t="shared" si="9"/>
        <v>-2.452483139178418E-3</v>
      </c>
      <c r="J328" s="1">
        <v>318</v>
      </c>
      <c r="K328" s="1">
        <v>273</v>
      </c>
      <c r="L328" s="1">
        <v>114</v>
      </c>
      <c r="O328" s="1">
        <v>159</v>
      </c>
      <c r="T328" s="1">
        <v>45</v>
      </c>
      <c r="Z328" s="1">
        <v>154</v>
      </c>
      <c r="AA328" s="1">
        <v>211</v>
      </c>
      <c r="AC328" s="1">
        <v>102</v>
      </c>
      <c r="AF328" s="1">
        <v>162</v>
      </c>
    </row>
    <row r="329" spans="1:32">
      <c r="A329" s="58">
        <v>35041</v>
      </c>
      <c r="C329" s="1">
        <v>7717</v>
      </c>
      <c r="D329" s="21">
        <f t="shared" si="10"/>
        <v>1.2198321091290661E-2</v>
      </c>
      <c r="E329" s="1">
        <v>7717</v>
      </c>
      <c r="F329" s="1">
        <v>0</v>
      </c>
      <c r="H329" s="1">
        <v>1669</v>
      </c>
      <c r="I329" s="21">
        <f t="shared" si="9"/>
        <v>2.581438229870928E-2</v>
      </c>
      <c r="J329" s="1">
        <v>326</v>
      </c>
      <c r="K329" s="1">
        <v>266</v>
      </c>
      <c r="L329" s="1">
        <v>131</v>
      </c>
      <c r="O329" s="1">
        <v>135</v>
      </c>
      <c r="T329" s="1">
        <v>60</v>
      </c>
      <c r="Z329" s="1">
        <v>147</v>
      </c>
      <c r="AA329" s="1">
        <v>247</v>
      </c>
      <c r="AC329" s="1">
        <v>126</v>
      </c>
      <c r="AF329" s="1">
        <v>198</v>
      </c>
    </row>
    <row r="330" spans="1:32">
      <c r="A330" s="58">
        <v>35048</v>
      </c>
      <c r="C330" s="1">
        <v>7450</v>
      </c>
      <c r="D330" s="21">
        <f t="shared" si="10"/>
        <v>-3.4598937410910975E-2</v>
      </c>
      <c r="E330" s="1">
        <v>7450</v>
      </c>
      <c r="F330" s="1">
        <v>0</v>
      </c>
      <c r="H330" s="1">
        <v>1553</v>
      </c>
      <c r="I330" s="21">
        <f t="shared" si="9"/>
        <v>-6.9502696225284599E-2</v>
      </c>
      <c r="J330" s="1">
        <v>262</v>
      </c>
      <c r="K330" s="1">
        <v>202</v>
      </c>
      <c r="L330" s="1">
        <v>86</v>
      </c>
      <c r="O330" s="1">
        <v>116</v>
      </c>
      <c r="T330" s="1">
        <v>61</v>
      </c>
      <c r="Z330" s="1">
        <v>110</v>
      </c>
      <c r="AA330" s="1">
        <v>228</v>
      </c>
      <c r="AC330" s="1">
        <v>123</v>
      </c>
      <c r="AF330" s="1">
        <v>230</v>
      </c>
    </row>
    <row r="331" spans="1:32">
      <c r="A331" s="58">
        <v>35055</v>
      </c>
      <c r="C331" s="1">
        <v>7108</v>
      </c>
      <c r="D331" s="21">
        <f t="shared" si="10"/>
        <v>-4.5906040268456377E-2</v>
      </c>
      <c r="E331" s="1">
        <v>7108</v>
      </c>
      <c r="F331" s="1">
        <v>0</v>
      </c>
      <c r="H331" s="1">
        <v>1574</v>
      </c>
      <c r="I331" s="21">
        <f t="shared" si="9"/>
        <v>1.3522215067611075E-2</v>
      </c>
      <c r="J331" s="1">
        <v>302</v>
      </c>
      <c r="K331" s="1">
        <v>253</v>
      </c>
      <c r="L331" s="1">
        <v>122</v>
      </c>
      <c r="O331" s="1">
        <v>132</v>
      </c>
      <c r="T331" s="1">
        <v>49</v>
      </c>
      <c r="Z331" s="1">
        <v>91</v>
      </c>
      <c r="AA331" s="1">
        <v>219</v>
      </c>
      <c r="AC331" s="1">
        <v>104</v>
      </c>
      <c r="AF331" s="1">
        <v>246</v>
      </c>
    </row>
    <row r="332" spans="1:32">
      <c r="A332" s="58">
        <v>35062</v>
      </c>
      <c r="C332" s="1">
        <v>7053</v>
      </c>
      <c r="D332" s="21">
        <f t="shared" si="10"/>
        <v>-7.7377602701181767E-3</v>
      </c>
      <c r="E332" s="1">
        <v>7053</v>
      </c>
      <c r="F332" s="1">
        <v>0</v>
      </c>
      <c r="H332" s="1">
        <v>1636</v>
      </c>
      <c r="I332" s="21">
        <f t="shared" si="9"/>
        <v>3.9390088945362133E-2</v>
      </c>
      <c r="J332" s="1">
        <v>310</v>
      </c>
      <c r="K332" s="1">
        <v>260</v>
      </c>
      <c r="L332" s="1">
        <v>127</v>
      </c>
      <c r="O332" s="1">
        <v>133</v>
      </c>
      <c r="T332" s="1">
        <v>50</v>
      </c>
      <c r="Z332" s="1">
        <v>102</v>
      </c>
      <c r="AA332" s="1">
        <v>247</v>
      </c>
      <c r="AC332" s="1">
        <v>115</v>
      </c>
      <c r="AF332" s="1">
        <v>231</v>
      </c>
    </row>
    <row r="333" spans="1:32">
      <c r="A333" s="58">
        <v>35069</v>
      </c>
      <c r="C333" s="1">
        <v>6768</v>
      </c>
      <c r="D333" s="21">
        <f t="shared" si="10"/>
        <v>-4.0408336877924285E-2</v>
      </c>
      <c r="E333" s="1">
        <v>6768</v>
      </c>
      <c r="F333" s="1">
        <v>0</v>
      </c>
      <c r="H333" s="1">
        <v>1494</v>
      </c>
      <c r="I333" s="21">
        <f t="shared" si="9"/>
        <v>-8.6797066014669924E-2</v>
      </c>
      <c r="J333" s="1">
        <v>292</v>
      </c>
      <c r="K333" s="1">
        <v>261</v>
      </c>
      <c r="L333" s="1">
        <v>104</v>
      </c>
      <c r="O333" s="1">
        <v>157</v>
      </c>
      <c r="T333" s="1">
        <v>31</v>
      </c>
      <c r="Z333" s="1">
        <v>78</v>
      </c>
      <c r="AA333" s="1">
        <v>215</v>
      </c>
      <c r="AC333" s="1">
        <v>91</v>
      </c>
      <c r="AF333" s="1">
        <v>195</v>
      </c>
    </row>
    <row r="334" spans="1:32">
      <c r="A334" s="58">
        <v>35076</v>
      </c>
      <c r="C334" s="1">
        <v>6896</v>
      </c>
      <c r="D334" s="21">
        <f t="shared" si="10"/>
        <v>1.8912529550827423E-2</v>
      </c>
      <c r="E334" s="1">
        <v>6896</v>
      </c>
      <c r="F334" s="1">
        <v>0</v>
      </c>
      <c r="H334" s="1">
        <v>1595</v>
      </c>
      <c r="I334" s="21">
        <f t="shared" si="9"/>
        <v>6.7603748326639887E-2</v>
      </c>
      <c r="J334" s="1">
        <v>351</v>
      </c>
      <c r="K334" s="1">
        <v>326</v>
      </c>
      <c r="L334" s="1">
        <v>157</v>
      </c>
      <c r="O334" s="1">
        <v>169</v>
      </c>
      <c r="T334" s="1">
        <v>25</v>
      </c>
      <c r="Z334" s="1">
        <v>77</v>
      </c>
      <c r="AA334" s="1">
        <v>226</v>
      </c>
      <c r="AC334" s="1">
        <v>84</v>
      </c>
      <c r="AF334" s="1">
        <v>279</v>
      </c>
    </row>
    <row r="335" spans="1:32">
      <c r="A335" s="58">
        <v>35083</v>
      </c>
      <c r="C335" s="1">
        <v>7158</v>
      </c>
      <c r="D335" s="21">
        <f t="shared" si="10"/>
        <v>3.7993039443155449E-2</v>
      </c>
      <c r="E335" s="1">
        <v>7158</v>
      </c>
      <c r="F335" s="1">
        <v>0</v>
      </c>
      <c r="H335" s="1">
        <v>1676</v>
      </c>
      <c r="I335" s="21">
        <f t="shared" si="9"/>
        <v>5.0783699059561128E-2</v>
      </c>
      <c r="J335" s="1">
        <v>404</v>
      </c>
      <c r="K335" s="1">
        <v>363</v>
      </c>
      <c r="L335" s="1">
        <v>186</v>
      </c>
      <c r="O335" s="1">
        <v>177</v>
      </c>
      <c r="T335" s="1">
        <v>40</v>
      </c>
      <c r="Z335" s="1">
        <v>71</v>
      </c>
      <c r="AA335" s="1">
        <v>215</v>
      </c>
      <c r="AC335" s="1">
        <v>84</v>
      </c>
      <c r="AF335" s="1">
        <v>271</v>
      </c>
    </row>
    <row r="336" spans="1:32">
      <c r="A336" s="58">
        <v>35090</v>
      </c>
      <c r="C336" s="1">
        <v>7152</v>
      </c>
      <c r="D336" s="21">
        <f t="shared" si="10"/>
        <v>-8.3822296730930428E-4</v>
      </c>
      <c r="E336" s="1">
        <v>7152</v>
      </c>
      <c r="F336" s="1">
        <v>0</v>
      </c>
      <c r="H336" s="1">
        <v>1790</v>
      </c>
      <c r="I336" s="21">
        <f t="shared" si="9"/>
        <v>6.8019093078758947E-2</v>
      </c>
      <c r="J336" s="1">
        <v>408</v>
      </c>
      <c r="K336" s="1">
        <v>362</v>
      </c>
      <c r="L336" s="1">
        <v>186</v>
      </c>
      <c r="O336" s="1">
        <v>176</v>
      </c>
      <c r="T336" s="1">
        <v>47</v>
      </c>
      <c r="Z336" s="1">
        <v>61</v>
      </c>
      <c r="AA336" s="1">
        <v>228</v>
      </c>
      <c r="AC336" s="1">
        <v>80</v>
      </c>
      <c r="AF336" s="1">
        <v>325</v>
      </c>
    </row>
    <row r="337" spans="1:32">
      <c r="A337" s="58">
        <v>35097</v>
      </c>
      <c r="C337" s="1">
        <v>7171</v>
      </c>
      <c r="D337" s="21">
        <f t="shared" si="10"/>
        <v>2.6565995525727071E-3</v>
      </c>
      <c r="E337" s="1">
        <v>7171</v>
      </c>
      <c r="F337" s="1">
        <v>0</v>
      </c>
      <c r="H337" s="1">
        <v>1935</v>
      </c>
      <c r="I337" s="21">
        <f t="shared" si="9"/>
        <v>8.1005586592178769E-2</v>
      </c>
      <c r="J337" s="1">
        <v>495</v>
      </c>
      <c r="K337" s="1">
        <v>434</v>
      </c>
      <c r="L337" s="1">
        <v>211</v>
      </c>
      <c r="O337" s="1">
        <v>223</v>
      </c>
      <c r="T337" s="1">
        <v>61</v>
      </c>
      <c r="Z337" s="1">
        <v>67</v>
      </c>
      <c r="AA337" s="1">
        <v>252</v>
      </c>
      <c r="AC337" s="1">
        <v>103</v>
      </c>
      <c r="AF337" s="1">
        <v>326</v>
      </c>
    </row>
    <row r="338" spans="1:32">
      <c r="A338" s="58">
        <v>35104</v>
      </c>
      <c r="C338" s="1">
        <v>6902</v>
      </c>
      <c r="D338" s="21">
        <f t="shared" si="10"/>
        <v>-3.7512201924417794E-2</v>
      </c>
      <c r="E338" s="1">
        <v>6902</v>
      </c>
      <c r="F338" s="1">
        <v>0</v>
      </c>
      <c r="H338" s="1">
        <v>1928</v>
      </c>
      <c r="I338" s="21">
        <f t="shared" si="9"/>
        <v>-3.6175710594315244E-3</v>
      </c>
      <c r="J338" s="1">
        <v>494</v>
      </c>
      <c r="K338" s="1">
        <v>409</v>
      </c>
      <c r="L338" s="1">
        <v>186</v>
      </c>
      <c r="O338" s="1">
        <v>223</v>
      </c>
      <c r="T338" s="1">
        <v>85</v>
      </c>
      <c r="Z338" s="1">
        <v>73</v>
      </c>
      <c r="AA338" s="1">
        <v>259</v>
      </c>
      <c r="AC338" s="1">
        <v>114</v>
      </c>
      <c r="AF338" s="1">
        <v>312</v>
      </c>
    </row>
    <row r="339" spans="1:32">
      <c r="A339" s="58">
        <v>35111</v>
      </c>
      <c r="C339" s="1">
        <v>6968</v>
      </c>
      <c r="D339" s="21">
        <f t="shared" si="10"/>
        <v>9.5624456679223417E-3</v>
      </c>
      <c r="E339" s="1">
        <v>6968</v>
      </c>
      <c r="F339" s="1">
        <v>0</v>
      </c>
      <c r="H339" s="1">
        <v>1825</v>
      </c>
      <c r="I339" s="21">
        <f t="shared" si="9"/>
        <v>-5.3423236514522819E-2</v>
      </c>
      <c r="J339" s="1">
        <v>462</v>
      </c>
      <c r="K339" s="1">
        <v>387</v>
      </c>
      <c r="L339" s="1">
        <v>177</v>
      </c>
      <c r="O339" s="1">
        <v>210</v>
      </c>
      <c r="T339" s="1">
        <v>75</v>
      </c>
      <c r="Z339" s="1">
        <v>78</v>
      </c>
      <c r="AA339" s="1">
        <v>257</v>
      </c>
      <c r="AC339" s="1">
        <v>107</v>
      </c>
      <c r="AF339" s="1">
        <v>320</v>
      </c>
    </row>
    <row r="340" spans="1:32">
      <c r="A340" s="58">
        <v>35118</v>
      </c>
      <c r="C340" s="1">
        <v>6619</v>
      </c>
      <c r="D340" s="21">
        <f t="shared" si="10"/>
        <v>-5.0086107921928816E-2</v>
      </c>
      <c r="E340" s="1">
        <v>6619</v>
      </c>
      <c r="F340" s="1">
        <v>0</v>
      </c>
      <c r="H340" s="1">
        <v>1724</v>
      </c>
      <c r="I340" s="21">
        <f t="shared" si="9"/>
        <v>-5.5342465753424656E-2</v>
      </c>
      <c r="J340" s="1">
        <v>447</v>
      </c>
      <c r="K340" s="1">
        <v>382</v>
      </c>
      <c r="L340" s="1">
        <v>177</v>
      </c>
      <c r="O340" s="1">
        <v>204</v>
      </c>
      <c r="T340" s="1">
        <v>65</v>
      </c>
      <c r="Z340" s="1">
        <v>106</v>
      </c>
      <c r="AA340" s="1">
        <v>294</v>
      </c>
      <c r="AC340" s="1">
        <v>122</v>
      </c>
      <c r="AF340" s="1">
        <v>223</v>
      </c>
    </row>
    <row r="341" spans="1:32">
      <c r="A341" s="58">
        <v>35125</v>
      </c>
      <c r="C341" s="1">
        <v>6427</v>
      </c>
      <c r="D341" s="21">
        <f t="shared" si="10"/>
        <v>-2.9007402930956338E-2</v>
      </c>
      <c r="E341" s="1">
        <v>6427</v>
      </c>
      <c r="F341" s="1">
        <v>0</v>
      </c>
      <c r="H341" s="1">
        <v>1746</v>
      </c>
      <c r="I341" s="21">
        <f t="shared" si="9"/>
        <v>1.2761020881670533E-2</v>
      </c>
      <c r="J341" s="1">
        <v>410</v>
      </c>
      <c r="K341" s="1">
        <v>356</v>
      </c>
      <c r="L341" s="1">
        <v>193</v>
      </c>
      <c r="O341" s="1">
        <v>163</v>
      </c>
      <c r="T341" s="1">
        <v>54</v>
      </c>
      <c r="Z341" s="1">
        <v>96</v>
      </c>
      <c r="AA341" s="1">
        <v>317</v>
      </c>
      <c r="AC341" s="1">
        <v>100</v>
      </c>
      <c r="AF341" s="1">
        <v>269</v>
      </c>
    </row>
    <row r="342" spans="1:32">
      <c r="A342" s="58">
        <v>35132</v>
      </c>
      <c r="C342" s="1">
        <v>6567</v>
      </c>
      <c r="D342" s="21">
        <f t="shared" si="10"/>
        <v>2.1783102536175509E-2</v>
      </c>
      <c r="E342" s="1">
        <v>6567</v>
      </c>
      <c r="F342" s="1">
        <v>0</v>
      </c>
      <c r="H342" s="1">
        <v>1625</v>
      </c>
      <c r="I342" s="21">
        <f t="shared" si="9"/>
        <v>-6.9301260022909511E-2</v>
      </c>
      <c r="J342" s="1">
        <v>386</v>
      </c>
      <c r="K342" s="1">
        <v>354</v>
      </c>
      <c r="L342" s="1">
        <v>189</v>
      </c>
      <c r="O342" s="1">
        <v>165</v>
      </c>
      <c r="T342" s="1">
        <v>32</v>
      </c>
      <c r="Z342" s="1">
        <v>97</v>
      </c>
      <c r="AA342" s="1">
        <v>311</v>
      </c>
      <c r="AC342" s="1">
        <v>90</v>
      </c>
      <c r="AF342" s="1">
        <v>215</v>
      </c>
    </row>
    <row r="343" spans="1:32">
      <c r="A343" s="58">
        <v>35139</v>
      </c>
      <c r="C343" s="1">
        <v>6422</v>
      </c>
      <c r="D343" s="21">
        <f t="shared" si="10"/>
        <v>-2.2080097456981879E-2</v>
      </c>
      <c r="E343" s="1">
        <v>6422</v>
      </c>
      <c r="F343" s="1">
        <v>0</v>
      </c>
      <c r="H343" s="1">
        <v>1679</v>
      </c>
      <c r="I343" s="21">
        <f t="shared" si="9"/>
        <v>3.323076923076923E-2</v>
      </c>
      <c r="J343" s="1">
        <v>414</v>
      </c>
      <c r="K343" s="1">
        <v>378</v>
      </c>
      <c r="L343" s="1">
        <v>184</v>
      </c>
      <c r="O343" s="1">
        <v>194</v>
      </c>
      <c r="T343" s="1">
        <v>37</v>
      </c>
      <c r="Z343" s="1">
        <v>98</v>
      </c>
      <c r="AA343" s="1">
        <v>348</v>
      </c>
      <c r="AC343" s="1">
        <v>84</v>
      </c>
      <c r="AF343" s="1">
        <v>210</v>
      </c>
    </row>
    <row r="344" spans="1:32">
      <c r="A344" s="58">
        <v>35146</v>
      </c>
      <c r="C344" s="1">
        <v>6686</v>
      </c>
      <c r="D344" s="21">
        <f t="shared" si="10"/>
        <v>4.1108688881968232E-2</v>
      </c>
      <c r="E344" s="1">
        <v>6686</v>
      </c>
      <c r="F344" s="1">
        <v>0</v>
      </c>
      <c r="H344" s="1">
        <v>1802</v>
      </c>
      <c r="I344" s="21">
        <f t="shared" si="9"/>
        <v>7.3257891602144132E-2</v>
      </c>
      <c r="J344" s="1">
        <v>435</v>
      </c>
      <c r="K344" s="1">
        <v>403</v>
      </c>
      <c r="L344" s="1">
        <v>175</v>
      </c>
      <c r="O344" s="1">
        <v>228</v>
      </c>
      <c r="T344" s="1">
        <v>32</v>
      </c>
      <c r="Z344" s="1">
        <v>81</v>
      </c>
      <c r="AA344" s="1">
        <v>299</v>
      </c>
      <c r="AC344" s="1">
        <v>70</v>
      </c>
      <c r="AF344" s="1">
        <v>260</v>
      </c>
    </row>
    <row r="345" spans="1:32">
      <c r="A345" s="58">
        <v>35153</v>
      </c>
      <c r="C345" s="1">
        <v>6976</v>
      </c>
      <c r="D345" s="21">
        <f t="shared" si="10"/>
        <v>4.3374214777146279E-2</v>
      </c>
      <c r="E345" s="1">
        <v>6976</v>
      </c>
      <c r="F345" s="1">
        <v>0</v>
      </c>
      <c r="H345" s="1">
        <v>1821</v>
      </c>
      <c r="I345" s="21">
        <f t="shared" si="9"/>
        <v>1.0543840177580466E-2</v>
      </c>
      <c r="J345" s="1">
        <v>389</v>
      </c>
      <c r="K345" s="1">
        <v>366</v>
      </c>
      <c r="L345" s="1">
        <v>145</v>
      </c>
      <c r="O345" s="1">
        <v>221</v>
      </c>
      <c r="T345" s="1">
        <v>23</v>
      </c>
      <c r="Z345" s="1">
        <v>85</v>
      </c>
      <c r="AA345" s="1">
        <v>294</v>
      </c>
      <c r="AC345" s="1">
        <v>79</v>
      </c>
      <c r="AF345" s="1">
        <v>234</v>
      </c>
    </row>
    <row r="346" spans="1:32">
      <c r="A346" s="58">
        <v>35160</v>
      </c>
      <c r="C346" s="1">
        <v>7069</v>
      </c>
      <c r="D346" s="21">
        <f t="shared" si="10"/>
        <v>1.3331422018348624E-2</v>
      </c>
      <c r="E346" s="1">
        <v>7069</v>
      </c>
      <c r="F346" s="1">
        <v>0</v>
      </c>
      <c r="H346" s="1">
        <v>1907</v>
      </c>
      <c r="I346" s="21">
        <f t="shared" ref="I346:I409" si="11">(H346-H345)/H345</f>
        <v>4.7226798462383306E-2</v>
      </c>
      <c r="J346" s="1">
        <v>389</v>
      </c>
      <c r="K346" s="1">
        <v>366</v>
      </c>
      <c r="L346" s="1">
        <v>132</v>
      </c>
      <c r="O346" s="1">
        <v>235</v>
      </c>
      <c r="T346" s="1">
        <v>23</v>
      </c>
      <c r="Z346" s="1">
        <v>92</v>
      </c>
      <c r="AA346" s="1">
        <v>271</v>
      </c>
      <c r="AC346" s="1">
        <v>90</v>
      </c>
      <c r="AF346" s="1">
        <v>217</v>
      </c>
    </row>
    <row r="347" spans="1:32">
      <c r="A347" s="58">
        <v>35167</v>
      </c>
      <c r="C347" s="1">
        <v>7222</v>
      </c>
      <c r="D347" s="21">
        <f t="shared" si="10"/>
        <v>2.1643796859527515E-2</v>
      </c>
      <c r="E347" s="1">
        <v>7222</v>
      </c>
      <c r="F347" s="1">
        <v>0</v>
      </c>
      <c r="H347" s="1">
        <v>2000</v>
      </c>
      <c r="I347" s="21">
        <f t="shared" si="11"/>
        <v>4.8767697954902989E-2</v>
      </c>
      <c r="J347" s="1">
        <v>399</v>
      </c>
      <c r="K347" s="1">
        <v>347</v>
      </c>
      <c r="L347" s="1">
        <v>126</v>
      </c>
      <c r="O347" s="1">
        <v>221</v>
      </c>
      <c r="T347" s="1">
        <v>52</v>
      </c>
      <c r="Z347" s="1">
        <v>90</v>
      </c>
      <c r="AA347" s="1">
        <v>244</v>
      </c>
      <c r="AC347" s="1">
        <v>101</v>
      </c>
      <c r="AF347" s="1">
        <v>217</v>
      </c>
    </row>
    <row r="348" spans="1:32">
      <c r="A348" s="58">
        <v>35174</v>
      </c>
      <c r="C348" s="1">
        <v>7381</v>
      </c>
      <c r="D348" s="21">
        <f t="shared" si="10"/>
        <v>2.2016062032677929E-2</v>
      </c>
      <c r="E348" s="1">
        <v>7381</v>
      </c>
      <c r="F348" s="1">
        <v>0</v>
      </c>
      <c r="H348" s="1">
        <v>1906</v>
      </c>
      <c r="I348" s="21">
        <f t="shared" si="11"/>
        <v>-4.7E-2</v>
      </c>
      <c r="J348" s="1">
        <v>443</v>
      </c>
      <c r="K348" s="1">
        <v>373</v>
      </c>
      <c r="L348" s="1">
        <v>160</v>
      </c>
      <c r="O348" s="1">
        <v>213</v>
      </c>
      <c r="T348" s="1">
        <v>70</v>
      </c>
      <c r="Z348" s="1">
        <v>104</v>
      </c>
      <c r="AA348" s="1">
        <v>233</v>
      </c>
      <c r="AC348" s="1">
        <v>93</v>
      </c>
      <c r="AF348" s="1">
        <v>202</v>
      </c>
    </row>
    <row r="349" spans="1:32">
      <c r="A349" s="58">
        <v>35181</v>
      </c>
      <c r="C349" s="1">
        <v>7495</v>
      </c>
      <c r="D349" s="21">
        <f t="shared" ref="D349:D412" si="12">(C349-C348)/C348</f>
        <v>1.5445061644763582E-2</v>
      </c>
      <c r="E349" s="1">
        <v>7495</v>
      </c>
      <c r="F349" s="1">
        <v>0</v>
      </c>
      <c r="H349" s="1">
        <v>1823</v>
      </c>
      <c r="I349" s="21">
        <f t="shared" si="11"/>
        <v>-4.354669464847849E-2</v>
      </c>
      <c r="J349" s="1">
        <v>519</v>
      </c>
      <c r="K349" s="1">
        <v>429</v>
      </c>
      <c r="L349" s="1">
        <v>178</v>
      </c>
      <c r="O349" s="1">
        <v>251</v>
      </c>
      <c r="T349" s="1">
        <v>91</v>
      </c>
      <c r="Z349" s="1">
        <v>109</v>
      </c>
      <c r="AA349" s="1">
        <v>201</v>
      </c>
      <c r="AC349" s="1">
        <v>93</v>
      </c>
      <c r="AF349" s="1">
        <v>191</v>
      </c>
    </row>
    <row r="350" spans="1:32">
      <c r="A350" s="58">
        <v>35188</v>
      </c>
      <c r="C350" s="1">
        <v>7460</v>
      </c>
      <c r="D350" s="21">
        <f t="shared" si="12"/>
        <v>-4.6697798532354907E-3</v>
      </c>
      <c r="E350" s="1">
        <v>7460</v>
      </c>
      <c r="F350" s="1">
        <v>0</v>
      </c>
      <c r="H350" s="1">
        <v>1766</v>
      </c>
      <c r="I350" s="21">
        <f t="shared" si="11"/>
        <v>-3.1267142073505214E-2</v>
      </c>
      <c r="J350" s="1">
        <v>496</v>
      </c>
      <c r="K350" s="1">
        <v>392</v>
      </c>
      <c r="L350" s="1">
        <v>186</v>
      </c>
      <c r="O350" s="1">
        <v>207</v>
      </c>
      <c r="T350" s="1">
        <v>103</v>
      </c>
      <c r="Z350" s="1">
        <v>95</v>
      </c>
      <c r="AA350" s="1">
        <v>205</v>
      </c>
      <c r="AC350" s="1">
        <v>87</v>
      </c>
      <c r="AF350" s="1">
        <v>200</v>
      </c>
    </row>
    <row r="351" spans="1:32">
      <c r="A351" s="58">
        <v>35195</v>
      </c>
      <c r="C351" s="1">
        <v>7721</v>
      </c>
      <c r="D351" s="21">
        <f t="shared" si="12"/>
        <v>3.4986595174262732E-2</v>
      </c>
      <c r="E351" s="1">
        <v>7721</v>
      </c>
      <c r="F351" s="1">
        <v>0</v>
      </c>
      <c r="H351" s="1">
        <v>1788</v>
      </c>
      <c r="I351" s="21">
        <f t="shared" si="11"/>
        <v>1.245753114382786E-2</v>
      </c>
      <c r="J351" s="1">
        <v>477</v>
      </c>
      <c r="K351" s="1">
        <v>409</v>
      </c>
      <c r="L351" s="1">
        <v>201</v>
      </c>
      <c r="O351" s="1">
        <v>208</v>
      </c>
      <c r="T351" s="1">
        <v>69</v>
      </c>
      <c r="Z351" s="1">
        <v>89</v>
      </c>
      <c r="AA351" s="1">
        <v>217</v>
      </c>
      <c r="AC351" s="1">
        <v>96</v>
      </c>
      <c r="AF351" s="1">
        <v>273</v>
      </c>
    </row>
    <row r="352" spans="1:32">
      <c r="A352" s="58">
        <v>35202</v>
      </c>
      <c r="C352" s="1">
        <v>7804</v>
      </c>
      <c r="D352" s="21">
        <f t="shared" si="12"/>
        <v>1.0749902862323532E-2</v>
      </c>
      <c r="E352" s="1">
        <v>7804</v>
      </c>
      <c r="F352" s="1">
        <v>0</v>
      </c>
      <c r="H352" s="1">
        <v>1781</v>
      </c>
      <c r="I352" s="21">
        <f t="shared" si="11"/>
        <v>-3.9149888143176735E-3</v>
      </c>
      <c r="J352" s="1">
        <v>467</v>
      </c>
      <c r="K352" s="1">
        <v>398</v>
      </c>
      <c r="L352" s="1">
        <v>219</v>
      </c>
      <c r="O352" s="1">
        <v>179</v>
      </c>
      <c r="T352" s="1">
        <v>69</v>
      </c>
      <c r="Z352" s="1">
        <v>93</v>
      </c>
      <c r="AA352" s="1">
        <v>198</v>
      </c>
      <c r="AC352" s="1">
        <v>92</v>
      </c>
      <c r="AF352" s="1">
        <v>256</v>
      </c>
    </row>
    <row r="353" spans="1:32">
      <c r="A353" s="58">
        <v>35209</v>
      </c>
      <c r="C353" s="1">
        <v>7558</v>
      </c>
      <c r="D353" s="21">
        <f t="shared" si="12"/>
        <v>-3.1522296258329065E-2</v>
      </c>
      <c r="E353" s="1">
        <v>7558</v>
      </c>
      <c r="F353" s="1">
        <v>0</v>
      </c>
      <c r="H353" s="1">
        <v>1830</v>
      </c>
      <c r="I353" s="21">
        <f t="shared" si="11"/>
        <v>2.7512633352049412E-2</v>
      </c>
      <c r="J353" s="1">
        <v>469</v>
      </c>
      <c r="K353" s="1">
        <v>420</v>
      </c>
      <c r="L353" s="1">
        <v>259</v>
      </c>
      <c r="O353" s="1">
        <v>161</v>
      </c>
      <c r="T353" s="1">
        <v>49</v>
      </c>
      <c r="Z353" s="1">
        <v>102</v>
      </c>
      <c r="AA353" s="1">
        <v>202</v>
      </c>
      <c r="AC353" s="1">
        <v>112</v>
      </c>
      <c r="AF353" s="1">
        <v>242</v>
      </c>
    </row>
    <row r="354" spans="1:32">
      <c r="A354" s="58">
        <v>35216</v>
      </c>
      <c r="C354" s="1">
        <v>7781</v>
      </c>
      <c r="D354" s="21">
        <f t="shared" si="12"/>
        <v>2.9505160095263296E-2</v>
      </c>
      <c r="E354" s="1">
        <v>7781</v>
      </c>
      <c r="F354" s="1">
        <v>0</v>
      </c>
      <c r="H354" s="1">
        <v>1864</v>
      </c>
      <c r="I354" s="21">
        <f t="shared" si="11"/>
        <v>1.8579234972677595E-2</v>
      </c>
      <c r="J354" s="1">
        <v>466</v>
      </c>
      <c r="K354" s="1">
        <v>421</v>
      </c>
      <c r="L354" s="1">
        <v>264</v>
      </c>
      <c r="O354" s="1">
        <v>157</v>
      </c>
      <c r="T354" s="1">
        <v>45</v>
      </c>
      <c r="Z354" s="1">
        <v>112</v>
      </c>
      <c r="AA354" s="1">
        <v>185</v>
      </c>
      <c r="AC354" s="1">
        <v>103</v>
      </c>
      <c r="AF354" s="1">
        <v>252</v>
      </c>
    </row>
    <row r="355" spans="1:32">
      <c r="A355" s="58">
        <v>35223</v>
      </c>
      <c r="C355" s="1">
        <v>7517</v>
      </c>
      <c r="D355" s="21">
        <f t="shared" si="12"/>
        <v>-3.3928800925330932E-2</v>
      </c>
      <c r="E355" s="1">
        <v>7517</v>
      </c>
      <c r="F355" s="1">
        <v>0</v>
      </c>
      <c r="H355" s="1">
        <v>1757</v>
      </c>
      <c r="I355" s="21">
        <f t="shared" si="11"/>
        <v>-5.7403433476394851E-2</v>
      </c>
      <c r="J355" s="1">
        <v>443</v>
      </c>
      <c r="K355" s="1">
        <v>370</v>
      </c>
      <c r="L355" s="1">
        <v>237</v>
      </c>
      <c r="O355" s="1">
        <v>133</v>
      </c>
      <c r="T355" s="1">
        <v>74</v>
      </c>
      <c r="Z355" s="1">
        <v>120</v>
      </c>
      <c r="AA355" s="1">
        <v>159</v>
      </c>
      <c r="AC355" s="1">
        <v>87</v>
      </c>
      <c r="AF355" s="1">
        <v>151</v>
      </c>
    </row>
    <row r="356" spans="1:32">
      <c r="A356" s="58">
        <v>35230</v>
      </c>
      <c r="C356" s="1">
        <v>7795</v>
      </c>
      <c r="D356" s="21">
        <f t="shared" si="12"/>
        <v>3.6982838898496739E-2</v>
      </c>
      <c r="E356" s="1">
        <v>7795</v>
      </c>
      <c r="F356" s="1">
        <v>0</v>
      </c>
      <c r="H356" s="1">
        <v>1737</v>
      </c>
      <c r="I356" s="21">
        <f t="shared" si="11"/>
        <v>-1.1383039271485486E-2</v>
      </c>
      <c r="J356" s="1">
        <v>453</v>
      </c>
      <c r="K356" s="1">
        <v>377</v>
      </c>
      <c r="L356" s="1">
        <v>209</v>
      </c>
      <c r="O356" s="1">
        <v>168</v>
      </c>
      <c r="T356" s="1">
        <v>76</v>
      </c>
      <c r="Z356" s="1">
        <v>116</v>
      </c>
      <c r="AA356" s="1">
        <v>157</v>
      </c>
      <c r="AC356" s="1">
        <v>91</v>
      </c>
      <c r="AF356" s="1">
        <v>148</v>
      </c>
    </row>
    <row r="357" spans="1:32">
      <c r="A357" s="58">
        <v>35237</v>
      </c>
      <c r="C357" s="1">
        <v>7976</v>
      </c>
      <c r="D357" s="21">
        <f t="shared" si="12"/>
        <v>2.3220012828736369E-2</v>
      </c>
      <c r="E357" s="1">
        <v>7976</v>
      </c>
      <c r="F357" s="1">
        <v>0</v>
      </c>
      <c r="H357" s="1">
        <v>1774</v>
      </c>
      <c r="I357" s="21">
        <f t="shared" si="11"/>
        <v>2.1301093839953943E-2</v>
      </c>
      <c r="J357" s="1">
        <v>446</v>
      </c>
      <c r="K357" s="1">
        <v>363</v>
      </c>
      <c r="L357" s="1">
        <v>204</v>
      </c>
      <c r="O357" s="1">
        <v>159</v>
      </c>
      <c r="T357" s="1">
        <v>84</v>
      </c>
      <c r="Z357" s="1">
        <v>111</v>
      </c>
      <c r="AA357" s="1">
        <v>161</v>
      </c>
      <c r="AC357" s="1">
        <v>92</v>
      </c>
      <c r="AF357" s="1">
        <v>131</v>
      </c>
    </row>
    <row r="358" spans="1:32">
      <c r="A358" s="58">
        <v>35244</v>
      </c>
      <c r="C358" s="1">
        <v>8038</v>
      </c>
      <c r="D358" s="21">
        <f t="shared" si="12"/>
        <v>7.7733199598796392E-3</v>
      </c>
      <c r="E358" s="1">
        <v>8038</v>
      </c>
      <c r="F358" s="1">
        <v>0</v>
      </c>
      <c r="H358" s="1">
        <v>1752</v>
      </c>
      <c r="I358" s="21">
        <f t="shared" si="11"/>
        <v>-1.2401352874859075E-2</v>
      </c>
      <c r="J358" s="1">
        <v>499</v>
      </c>
      <c r="K358" s="1">
        <v>399</v>
      </c>
      <c r="L358" s="1">
        <v>199</v>
      </c>
      <c r="O358" s="1">
        <v>200</v>
      </c>
      <c r="T358" s="1">
        <v>99</v>
      </c>
      <c r="Z358" s="1">
        <v>112</v>
      </c>
      <c r="AA358" s="1">
        <v>181</v>
      </c>
      <c r="AC358" s="1">
        <v>106</v>
      </c>
      <c r="AF358" s="1">
        <v>128</v>
      </c>
    </row>
    <row r="359" spans="1:32">
      <c r="A359" s="58">
        <v>35251</v>
      </c>
      <c r="C359" s="1">
        <v>8122</v>
      </c>
      <c r="D359" s="21">
        <f t="shared" si="12"/>
        <v>1.0450360786265241E-2</v>
      </c>
      <c r="E359" s="1">
        <v>8122</v>
      </c>
      <c r="F359" s="1">
        <v>0</v>
      </c>
      <c r="H359" s="1">
        <v>1661</v>
      </c>
      <c r="I359" s="21">
        <f t="shared" si="11"/>
        <v>-5.194063926940639E-2</v>
      </c>
      <c r="J359" s="1">
        <v>484</v>
      </c>
      <c r="K359" s="1">
        <v>401</v>
      </c>
      <c r="L359" s="1">
        <v>205</v>
      </c>
      <c r="O359" s="1">
        <v>196</v>
      </c>
      <c r="T359" s="1">
        <v>83</v>
      </c>
      <c r="Z359" s="1">
        <v>99</v>
      </c>
      <c r="AA359" s="1">
        <v>182</v>
      </c>
      <c r="AC359" s="1">
        <v>120</v>
      </c>
      <c r="AF359" s="1">
        <v>158</v>
      </c>
    </row>
    <row r="360" spans="1:32">
      <c r="A360" s="58">
        <v>35258</v>
      </c>
      <c r="C360" s="1">
        <v>7854</v>
      </c>
      <c r="D360" s="21">
        <f t="shared" si="12"/>
        <v>-3.2996798818025114E-2</v>
      </c>
      <c r="E360" s="1">
        <v>7854</v>
      </c>
      <c r="F360" s="1">
        <v>0</v>
      </c>
      <c r="H360" s="1">
        <v>1724</v>
      </c>
      <c r="I360" s="21">
        <f t="shared" si="11"/>
        <v>3.7928958458759786E-2</v>
      </c>
      <c r="J360" s="1">
        <v>450</v>
      </c>
      <c r="K360" s="1">
        <v>372</v>
      </c>
      <c r="L360" s="1">
        <v>184</v>
      </c>
      <c r="O360" s="1">
        <v>188</v>
      </c>
      <c r="T360" s="1">
        <v>79</v>
      </c>
      <c r="Z360" s="1">
        <v>83</v>
      </c>
      <c r="AA360" s="1">
        <v>203</v>
      </c>
      <c r="AC360" s="1">
        <v>132</v>
      </c>
      <c r="AF360" s="1">
        <v>193</v>
      </c>
    </row>
    <row r="361" spans="1:32">
      <c r="A361" s="58">
        <v>35265</v>
      </c>
      <c r="C361" s="1">
        <v>7924</v>
      </c>
      <c r="D361" s="21">
        <f t="shared" si="12"/>
        <v>8.9126559714795012E-3</v>
      </c>
      <c r="E361" s="1">
        <v>7924</v>
      </c>
      <c r="F361" s="1">
        <v>0</v>
      </c>
      <c r="H361" s="1">
        <v>1594</v>
      </c>
      <c r="I361" s="21">
        <f t="shared" si="11"/>
        <v>-7.5406032482598612E-2</v>
      </c>
      <c r="J361" s="1">
        <v>403</v>
      </c>
      <c r="K361" s="1">
        <v>299</v>
      </c>
      <c r="L361" s="1">
        <v>139</v>
      </c>
      <c r="O361" s="1">
        <v>160</v>
      </c>
      <c r="T361" s="1">
        <v>105</v>
      </c>
      <c r="Z361" s="1">
        <v>87</v>
      </c>
      <c r="AA361" s="1">
        <v>194</v>
      </c>
      <c r="AC361" s="1">
        <v>111</v>
      </c>
      <c r="AF361" s="1">
        <v>203</v>
      </c>
    </row>
    <row r="362" spans="1:32">
      <c r="A362" s="58">
        <v>35272</v>
      </c>
      <c r="C362" s="1">
        <v>7754</v>
      </c>
      <c r="D362" s="21">
        <f t="shared" si="12"/>
        <v>-2.1453811206461382E-2</v>
      </c>
      <c r="E362" s="1">
        <v>7754</v>
      </c>
      <c r="F362" s="1">
        <v>0</v>
      </c>
      <c r="H362" s="1">
        <v>1595</v>
      </c>
      <c r="I362" s="21">
        <f t="shared" si="11"/>
        <v>6.2735257214554575E-4</v>
      </c>
      <c r="J362" s="1">
        <v>361</v>
      </c>
      <c r="K362" s="1">
        <v>267</v>
      </c>
      <c r="L362" s="1">
        <v>150</v>
      </c>
      <c r="O362" s="1">
        <v>117</v>
      </c>
      <c r="T362" s="1">
        <v>94</v>
      </c>
      <c r="Z362" s="1">
        <v>76</v>
      </c>
      <c r="AA362" s="1">
        <v>166</v>
      </c>
      <c r="AC362" s="1">
        <v>102</v>
      </c>
      <c r="AF362" s="1">
        <v>233</v>
      </c>
    </row>
    <row r="363" spans="1:32">
      <c r="A363" s="58">
        <v>35279</v>
      </c>
      <c r="C363" s="1">
        <v>7824</v>
      </c>
      <c r="D363" s="21">
        <f t="shared" si="12"/>
        <v>9.0275986587567709E-3</v>
      </c>
      <c r="E363" s="1">
        <v>7824</v>
      </c>
      <c r="F363" s="1">
        <v>0</v>
      </c>
      <c r="H363" s="1">
        <v>1772</v>
      </c>
      <c r="I363" s="21">
        <f t="shared" si="11"/>
        <v>0.11097178683385579</v>
      </c>
      <c r="J363" s="1">
        <v>407</v>
      </c>
      <c r="K363" s="1">
        <v>313</v>
      </c>
      <c r="L363" s="1">
        <v>174</v>
      </c>
      <c r="O363" s="1">
        <v>139</v>
      </c>
      <c r="T363" s="1">
        <v>95</v>
      </c>
      <c r="Z363" s="1">
        <v>106</v>
      </c>
      <c r="AA363" s="1">
        <v>193</v>
      </c>
      <c r="AC363" s="1">
        <v>135</v>
      </c>
      <c r="AF363" s="1">
        <v>267</v>
      </c>
    </row>
    <row r="364" spans="1:32">
      <c r="A364" s="58">
        <v>35286</v>
      </c>
      <c r="C364" s="1">
        <v>7935</v>
      </c>
      <c r="D364" s="21">
        <f t="shared" si="12"/>
        <v>1.4187116564417178E-2</v>
      </c>
      <c r="E364" s="1">
        <v>7935</v>
      </c>
      <c r="F364" s="1">
        <v>0</v>
      </c>
      <c r="H364" s="1">
        <v>1654</v>
      </c>
      <c r="I364" s="21">
        <f t="shared" si="11"/>
        <v>-6.6591422121896157E-2</v>
      </c>
      <c r="J364" s="1">
        <v>382</v>
      </c>
      <c r="K364" s="1">
        <v>296</v>
      </c>
      <c r="L364" s="1">
        <v>163</v>
      </c>
      <c r="O364" s="1">
        <v>133</v>
      </c>
      <c r="T364" s="1">
        <v>86</v>
      </c>
      <c r="Z364" s="1">
        <v>107</v>
      </c>
      <c r="AA364" s="1">
        <v>189</v>
      </c>
      <c r="AC364" s="1">
        <v>121</v>
      </c>
      <c r="AF364" s="1">
        <v>253</v>
      </c>
    </row>
    <row r="365" spans="1:32">
      <c r="A365" s="58">
        <v>35293</v>
      </c>
      <c r="C365" s="1">
        <v>8233</v>
      </c>
      <c r="D365" s="21">
        <f t="shared" si="12"/>
        <v>3.7555135475740388E-2</v>
      </c>
      <c r="E365" s="1">
        <v>8233</v>
      </c>
      <c r="F365" s="1">
        <v>0</v>
      </c>
      <c r="H365" s="1">
        <v>1607</v>
      </c>
      <c r="I365" s="21">
        <f t="shared" si="11"/>
        <v>-2.8415961305925032E-2</v>
      </c>
      <c r="J365" s="1">
        <v>363</v>
      </c>
      <c r="K365" s="1">
        <v>286</v>
      </c>
      <c r="L365" s="1">
        <v>142</v>
      </c>
      <c r="O365" s="1">
        <v>144</v>
      </c>
      <c r="T365" s="1">
        <v>77</v>
      </c>
      <c r="Z365" s="1">
        <v>113</v>
      </c>
      <c r="AA365" s="1">
        <v>157</v>
      </c>
      <c r="AC365" s="1">
        <v>111</v>
      </c>
      <c r="AF365" s="1">
        <v>275</v>
      </c>
    </row>
    <row r="366" spans="1:32">
      <c r="A366" s="58">
        <v>35300</v>
      </c>
      <c r="C366" s="1">
        <v>8304</v>
      </c>
      <c r="D366" s="21">
        <f t="shared" si="12"/>
        <v>8.6238309243289197E-3</v>
      </c>
      <c r="E366" s="1">
        <v>8304</v>
      </c>
      <c r="F366" s="1">
        <v>0</v>
      </c>
      <c r="H366" s="1">
        <v>1697</v>
      </c>
      <c r="I366" s="21">
        <f t="shared" si="11"/>
        <v>5.6004978220286245E-2</v>
      </c>
      <c r="J366" s="1">
        <v>425</v>
      </c>
      <c r="K366" s="1">
        <v>325</v>
      </c>
      <c r="L366" s="1">
        <v>141</v>
      </c>
      <c r="O366" s="1">
        <v>185</v>
      </c>
      <c r="T366" s="1">
        <v>100</v>
      </c>
      <c r="Z366" s="1">
        <v>115</v>
      </c>
      <c r="AA366" s="1">
        <v>178</v>
      </c>
      <c r="AC366" s="1">
        <v>119</v>
      </c>
      <c r="AF366" s="1">
        <v>198</v>
      </c>
    </row>
    <row r="367" spans="1:32">
      <c r="A367" s="58">
        <v>35307</v>
      </c>
      <c r="C367" s="1">
        <v>8094</v>
      </c>
      <c r="D367" s="21">
        <f t="shared" si="12"/>
        <v>-2.5289017341040464E-2</v>
      </c>
      <c r="E367" s="1">
        <v>8094</v>
      </c>
      <c r="F367" s="1">
        <v>0</v>
      </c>
      <c r="H367" s="1">
        <v>1649</v>
      </c>
      <c r="I367" s="21">
        <f t="shared" si="11"/>
        <v>-2.8285209192692989E-2</v>
      </c>
      <c r="J367" s="1">
        <v>441</v>
      </c>
      <c r="K367" s="1">
        <v>309</v>
      </c>
      <c r="L367" s="1">
        <v>112</v>
      </c>
      <c r="O367" s="1">
        <v>197</v>
      </c>
      <c r="T367" s="1">
        <v>132</v>
      </c>
      <c r="Z367" s="1">
        <v>106</v>
      </c>
      <c r="AA367" s="1">
        <v>164</v>
      </c>
      <c r="AC367" s="1">
        <v>91</v>
      </c>
      <c r="AF367" s="1">
        <v>194</v>
      </c>
    </row>
    <row r="368" spans="1:32">
      <c r="A368" s="58">
        <v>35314</v>
      </c>
      <c r="C368" s="1">
        <v>7974</v>
      </c>
      <c r="D368" s="21">
        <f t="shared" si="12"/>
        <v>-1.4825796886582653E-2</v>
      </c>
      <c r="E368" s="1">
        <v>7974</v>
      </c>
      <c r="F368" s="1">
        <v>0</v>
      </c>
      <c r="H368" s="1">
        <v>1747</v>
      </c>
      <c r="I368" s="21">
        <f t="shared" si="11"/>
        <v>5.9429957550030318E-2</v>
      </c>
      <c r="J368" s="1">
        <v>470</v>
      </c>
      <c r="K368" s="1">
        <v>312</v>
      </c>
      <c r="L368" s="1">
        <v>132</v>
      </c>
      <c r="O368" s="1">
        <v>180</v>
      </c>
      <c r="T368" s="1">
        <v>159</v>
      </c>
      <c r="Z368" s="1">
        <v>121</v>
      </c>
      <c r="AA368" s="1">
        <v>173</v>
      </c>
      <c r="AC368" s="1">
        <v>101</v>
      </c>
      <c r="AF368" s="1">
        <v>211</v>
      </c>
    </row>
    <row r="369" spans="1:32">
      <c r="A369" s="58">
        <v>35321</v>
      </c>
      <c r="C369" s="1">
        <v>7659</v>
      </c>
      <c r="D369" s="21">
        <f t="shared" si="12"/>
        <v>-3.9503386004514675E-2</v>
      </c>
      <c r="E369" s="1">
        <v>7659</v>
      </c>
      <c r="F369" s="1">
        <v>0</v>
      </c>
      <c r="H369" s="1">
        <v>1698</v>
      </c>
      <c r="I369" s="21">
        <f t="shared" si="11"/>
        <v>-2.8048082427017746E-2</v>
      </c>
      <c r="J369" s="1">
        <v>455</v>
      </c>
      <c r="K369" s="1">
        <v>323</v>
      </c>
      <c r="L369" s="1">
        <v>136</v>
      </c>
      <c r="O369" s="1">
        <v>187</v>
      </c>
      <c r="T369" s="1">
        <v>132</v>
      </c>
      <c r="Z369" s="1">
        <v>123</v>
      </c>
      <c r="AA369" s="1">
        <v>190</v>
      </c>
      <c r="AC369" s="1">
        <v>102</v>
      </c>
      <c r="AF369" s="1">
        <v>160</v>
      </c>
    </row>
    <row r="370" spans="1:32">
      <c r="A370" s="58">
        <v>35328</v>
      </c>
      <c r="C370" s="1">
        <v>7538</v>
      </c>
      <c r="D370" s="21">
        <f t="shared" si="12"/>
        <v>-1.579840710275493E-2</v>
      </c>
      <c r="E370" s="1">
        <v>7538</v>
      </c>
      <c r="F370" s="1">
        <v>0</v>
      </c>
      <c r="H370" s="1">
        <v>1657</v>
      </c>
      <c r="I370" s="21">
        <f t="shared" si="11"/>
        <v>-2.4146054181389872E-2</v>
      </c>
      <c r="J370" s="1">
        <v>464</v>
      </c>
      <c r="K370" s="1">
        <v>344</v>
      </c>
      <c r="L370" s="1">
        <v>155</v>
      </c>
      <c r="O370" s="1">
        <v>189</v>
      </c>
      <c r="T370" s="1">
        <v>120</v>
      </c>
      <c r="Z370" s="1">
        <v>149</v>
      </c>
      <c r="AA370" s="1">
        <v>174</v>
      </c>
      <c r="AC370" s="1">
        <v>97</v>
      </c>
      <c r="AF370" s="1">
        <v>203</v>
      </c>
    </row>
    <row r="371" spans="1:32">
      <c r="A371" s="58">
        <v>35335</v>
      </c>
      <c r="C371" s="1">
        <v>7282</v>
      </c>
      <c r="D371" s="21">
        <f t="shared" si="12"/>
        <v>-3.3961262934465372E-2</v>
      </c>
      <c r="E371" s="1">
        <v>7282</v>
      </c>
      <c r="F371" s="1">
        <v>0</v>
      </c>
      <c r="H371" s="1">
        <v>1642</v>
      </c>
      <c r="I371" s="21">
        <f t="shared" si="11"/>
        <v>-9.0525045262522634E-3</v>
      </c>
      <c r="J371" s="1">
        <v>478</v>
      </c>
      <c r="K371" s="1">
        <v>347</v>
      </c>
      <c r="L371" s="1">
        <v>193</v>
      </c>
      <c r="O371" s="1">
        <v>154</v>
      </c>
      <c r="T371" s="1">
        <v>131</v>
      </c>
      <c r="Z371" s="1">
        <v>143</v>
      </c>
      <c r="AA371" s="1">
        <v>176</v>
      </c>
      <c r="AC371" s="1">
        <v>87</v>
      </c>
      <c r="AF371" s="1">
        <v>201</v>
      </c>
    </row>
    <row r="372" spans="1:32">
      <c r="A372" s="58">
        <v>35342</v>
      </c>
      <c r="C372" s="1">
        <v>7435</v>
      </c>
      <c r="D372" s="21">
        <f t="shared" si="12"/>
        <v>2.1010711343037627E-2</v>
      </c>
      <c r="E372" s="1">
        <v>7435</v>
      </c>
      <c r="F372" s="1">
        <v>0</v>
      </c>
      <c r="H372" s="1">
        <v>1663</v>
      </c>
      <c r="I372" s="21">
        <f t="shared" si="11"/>
        <v>1.2789281364190013E-2</v>
      </c>
      <c r="J372" s="1">
        <v>513</v>
      </c>
      <c r="K372" s="1">
        <v>361</v>
      </c>
      <c r="L372" s="1">
        <v>184</v>
      </c>
      <c r="O372" s="1">
        <v>177</v>
      </c>
      <c r="T372" s="1">
        <v>153</v>
      </c>
      <c r="Z372" s="1">
        <v>156</v>
      </c>
      <c r="AA372" s="1">
        <v>169</v>
      </c>
      <c r="AC372" s="1">
        <v>95</v>
      </c>
      <c r="AF372" s="1">
        <v>179</v>
      </c>
    </row>
    <row r="373" spans="1:32">
      <c r="A373" s="58">
        <v>35349</v>
      </c>
      <c r="C373" s="1">
        <v>7399</v>
      </c>
      <c r="D373" s="21">
        <f t="shared" si="12"/>
        <v>-4.84196368527236E-3</v>
      </c>
      <c r="E373" s="1">
        <v>7399</v>
      </c>
      <c r="F373" s="1">
        <v>0</v>
      </c>
      <c r="H373" s="1">
        <v>1780</v>
      </c>
      <c r="I373" s="21">
        <f t="shared" si="11"/>
        <v>7.0354780517137699E-2</v>
      </c>
      <c r="J373" s="1">
        <v>544</v>
      </c>
      <c r="K373" s="1">
        <v>346</v>
      </c>
      <c r="L373" s="1">
        <v>176</v>
      </c>
      <c r="O373" s="1">
        <v>170</v>
      </c>
      <c r="T373" s="1">
        <v>198</v>
      </c>
      <c r="Z373" s="1">
        <v>143</v>
      </c>
      <c r="AA373" s="1">
        <v>151</v>
      </c>
      <c r="AC373" s="1">
        <v>85</v>
      </c>
      <c r="AF373" s="1">
        <v>230</v>
      </c>
    </row>
    <row r="374" spans="1:32">
      <c r="A374" s="58">
        <v>35356</v>
      </c>
      <c r="C374" s="1">
        <v>7712</v>
      </c>
      <c r="D374" s="21">
        <f t="shared" si="12"/>
        <v>4.230301392080011E-2</v>
      </c>
      <c r="E374" s="1">
        <v>7712</v>
      </c>
      <c r="F374" s="1">
        <v>0</v>
      </c>
      <c r="H374" s="1">
        <v>1788</v>
      </c>
      <c r="I374" s="21">
        <f t="shared" si="11"/>
        <v>4.4943820224719105E-3</v>
      </c>
      <c r="J374" s="1">
        <v>496</v>
      </c>
      <c r="K374" s="1">
        <v>297</v>
      </c>
      <c r="L374" s="1">
        <v>160</v>
      </c>
      <c r="O374" s="1">
        <v>137</v>
      </c>
      <c r="T374" s="1">
        <v>199</v>
      </c>
      <c r="Z374" s="1">
        <v>135</v>
      </c>
      <c r="AA374" s="1">
        <v>190</v>
      </c>
      <c r="AC374" s="1">
        <v>115</v>
      </c>
      <c r="AF374" s="1">
        <v>211</v>
      </c>
    </row>
    <row r="375" spans="1:32">
      <c r="A375" s="58">
        <v>35363</v>
      </c>
      <c r="C375" s="1">
        <v>8259</v>
      </c>
      <c r="D375" s="21">
        <f t="shared" si="12"/>
        <v>7.0928423236514521E-2</v>
      </c>
      <c r="E375" s="1">
        <v>8259</v>
      </c>
      <c r="F375" s="1">
        <v>0</v>
      </c>
      <c r="H375" s="1">
        <v>1766</v>
      </c>
      <c r="I375" s="21">
        <f t="shared" si="11"/>
        <v>-1.2304250559284116E-2</v>
      </c>
      <c r="J375" s="1">
        <v>447</v>
      </c>
      <c r="K375" s="1">
        <v>242</v>
      </c>
      <c r="L375" s="1">
        <v>95</v>
      </c>
      <c r="O375" s="1">
        <v>147</v>
      </c>
      <c r="T375" s="1">
        <v>205</v>
      </c>
      <c r="Z375" s="1">
        <v>119</v>
      </c>
      <c r="AA375" s="1">
        <v>193</v>
      </c>
      <c r="AC375" s="1">
        <v>125</v>
      </c>
      <c r="AF375" s="1">
        <v>171</v>
      </c>
    </row>
    <row r="376" spans="1:32">
      <c r="A376" s="58">
        <v>35370</v>
      </c>
      <c r="C376" s="1">
        <v>7935</v>
      </c>
      <c r="D376" s="21">
        <f t="shared" si="12"/>
        <v>-3.9229930984380677E-2</v>
      </c>
      <c r="E376" s="1">
        <v>7935</v>
      </c>
      <c r="F376" s="1">
        <v>0</v>
      </c>
      <c r="H376" s="1">
        <v>1878</v>
      </c>
      <c r="I376" s="21">
        <f t="shared" si="11"/>
        <v>6.3420158550396372E-2</v>
      </c>
      <c r="J376" s="1">
        <v>474</v>
      </c>
      <c r="K376" s="1">
        <v>269</v>
      </c>
      <c r="L376" s="1">
        <v>109</v>
      </c>
      <c r="O376" s="1">
        <v>161</v>
      </c>
      <c r="T376" s="1">
        <v>205</v>
      </c>
      <c r="Z376" s="1">
        <v>116</v>
      </c>
      <c r="AA376" s="1">
        <v>213</v>
      </c>
      <c r="AC376" s="1">
        <v>125</v>
      </c>
      <c r="AF376" s="1">
        <v>202</v>
      </c>
    </row>
    <row r="377" spans="1:32">
      <c r="A377" s="58">
        <v>35377</v>
      </c>
      <c r="C377" s="1">
        <v>8142</v>
      </c>
      <c r="D377" s="21">
        <f t="shared" si="12"/>
        <v>2.6086956521739129E-2</v>
      </c>
      <c r="E377" s="1">
        <v>8142</v>
      </c>
      <c r="F377" s="1">
        <v>0</v>
      </c>
      <c r="H377" s="1">
        <v>1906</v>
      </c>
      <c r="I377" s="21">
        <f t="shared" si="11"/>
        <v>1.4909478168264111E-2</v>
      </c>
      <c r="J377" s="1">
        <v>448</v>
      </c>
      <c r="K377" s="1">
        <v>261</v>
      </c>
      <c r="L377" s="1">
        <v>118</v>
      </c>
      <c r="O377" s="1">
        <v>144</v>
      </c>
      <c r="T377" s="1">
        <v>186</v>
      </c>
      <c r="Z377" s="1">
        <v>110</v>
      </c>
      <c r="AA377" s="1">
        <v>239</v>
      </c>
      <c r="AC377" s="1">
        <v>149</v>
      </c>
      <c r="AF377" s="1">
        <v>253</v>
      </c>
    </row>
    <row r="378" spans="1:32">
      <c r="A378" s="58">
        <v>35384</v>
      </c>
      <c r="C378" s="1">
        <v>7696</v>
      </c>
      <c r="D378" s="21">
        <f t="shared" si="12"/>
        <v>-5.4777695897813804E-2</v>
      </c>
      <c r="E378" s="1">
        <v>7696</v>
      </c>
      <c r="F378" s="1">
        <v>0</v>
      </c>
      <c r="H378" s="1">
        <v>1870</v>
      </c>
      <c r="I378" s="21">
        <f t="shared" si="11"/>
        <v>-1.888772298006296E-2</v>
      </c>
      <c r="J378" s="1">
        <v>470</v>
      </c>
      <c r="K378" s="1">
        <v>242</v>
      </c>
      <c r="L378" s="1">
        <v>106</v>
      </c>
      <c r="O378" s="1">
        <v>137</v>
      </c>
      <c r="T378" s="1">
        <v>228</v>
      </c>
      <c r="Z378" s="1">
        <v>96</v>
      </c>
      <c r="AA378" s="1">
        <v>217</v>
      </c>
      <c r="AC378" s="1">
        <v>139</v>
      </c>
      <c r="AF378" s="1">
        <v>269</v>
      </c>
    </row>
    <row r="379" spans="1:32">
      <c r="A379" s="58">
        <v>35391</v>
      </c>
      <c r="C379" s="1">
        <v>7366</v>
      </c>
      <c r="D379" s="21">
        <f t="shared" si="12"/>
        <v>-4.2879417879417882E-2</v>
      </c>
      <c r="E379" s="1">
        <v>7366</v>
      </c>
      <c r="F379" s="1">
        <v>0</v>
      </c>
      <c r="H379" s="1">
        <v>1789</v>
      </c>
      <c r="I379" s="21">
        <f t="shared" si="11"/>
        <v>-4.3315508021390371E-2</v>
      </c>
      <c r="J379" s="1">
        <v>415</v>
      </c>
      <c r="K379" s="1">
        <v>234</v>
      </c>
      <c r="L379" s="1">
        <v>121</v>
      </c>
      <c r="O379" s="1">
        <v>114</v>
      </c>
      <c r="T379" s="1">
        <v>181</v>
      </c>
      <c r="Z379" s="1">
        <v>94</v>
      </c>
      <c r="AA379" s="1">
        <v>193</v>
      </c>
      <c r="AC379" s="1">
        <v>124</v>
      </c>
      <c r="AF379" s="1">
        <v>260</v>
      </c>
    </row>
    <row r="380" spans="1:32">
      <c r="A380" s="58">
        <v>35398</v>
      </c>
      <c r="C380" s="1">
        <v>7182</v>
      </c>
      <c r="D380" s="21">
        <f t="shared" si="12"/>
        <v>-2.4979636166168884E-2</v>
      </c>
      <c r="E380" s="1">
        <v>7182</v>
      </c>
      <c r="F380" s="1">
        <v>0</v>
      </c>
      <c r="H380" s="1">
        <v>1645</v>
      </c>
      <c r="I380" s="21">
        <f t="shared" si="11"/>
        <v>-8.0491894913359424E-2</v>
      </c>
      <c r="J380" s="1">
        <v>335</v>
      </c>
      <c r="K380" s="1">
        <v>176</v>
      </c>
      <c r="L380" s="1">
        <v>95</v>
      </c>
      <c r="O380" s="1">
        <v>82</v>
      </c>
      <c r="T380" s="1">
        <v>159</v>
      </c>
      <c r="Z380" s="1">
        <v>75</v>
      </c>
      <c r="AA380" s="1">
        <v>178</v>
      </c>
      <c r="AC380" s="1">
        <v>112</v>
      </c>
      <c r="AF380" s="1">
        <v>267</v>
      </c>
    </row>
    <row r="381" spans="1:32">
      <c r="A381" s="58">
        <v>35405</v>
      </c>
      <c r="C381" s="1">
        <v>7184</v>
      </c>
      <c r="D381" s="21">
        <f t="shared" si="12"/>
        <v>2.7847396268448898E-4</v>
      </c>
      <c r="E381" s="1">
        <v>7184</v>
      </c>
      <c r="F381" s="1">
        <v>0</v>
      </c>
      <c r="H381" s="1">
        <v>1675</v>
      </c>
      <c r="I381" s="21">
        <f t="shared" si="11"/>
        <v>1.82370820668693E-2</v>
      </c>
      <c r="J381" s="1">
        <v>382</v>
      </c>
      <c r="K381" s="1">
        <v>224</v>
      </c>
      <c r="L381" s="1">
        <v>126</v>
      </c>
      <c r="O381" s="1">
        <v>98</v>
      </c>
      <c r="T381" s="1">
        <v>158</v>
      </c>
      <c r="Z381" s="1">
        <v>89</v>
      </c>
      <c r="AA381" s="1">
        <v>197</v>
      </c>
      <c r="AC381" s="1">
        <v>110</v>
      </c>
      <c r="AF381" s="1">
        <v>231</v>
      </c>
    </row>
    <row r="382" spans="1:32">
      <c r="A382" s="58">
        <v>35412</v>
      </c>
      <c r="C382" s="1">
        <v>7408</v>
      </c>
      <c r="D382" s="21">
        <f t="shared" si="12"/>
        <v>3.1180400890868598E-2</v>
      </c>
      <c r="E382" s="1">
        <v>7408</v>
      </c>
      <c r="F382" s="1">
        <v>0</v>
      </c>
      <c r="H382" s="1">
        <v>1719</v>
      </c>
      <c r="I382" s="21">
        <f t="shared" si="11"/>
        <v>2.6268656716417909E-2</v>
      </c>
      <c r="J382" s="1">
        <v>370</v>
      </c>
      <c r="K382" s="1">
        <v>263</v>
      </c>
      <c r="L382" s="1">
        <v>143</v>
      </c>
      <c r="O382" s="1">
        <v>120</v>
      </c>
      <c r="T382" s="1">
        <v>107</v>
      </c>
      <c r="Z382" s="1">
        <v>88</v>
      </c>
      <c r="AA382" s="1">
        <v>213</v>
      </c>
      <c r="AC382" s="1">
        <v>103</v>
      </c>
      <c r="AF382" s="1">
        <v>227</v>
      </c>
    </row>
    <row r="383" spans="1:32">
      <c r="A383" s="58">
        <v>35419</v>
      </c>
      <c r="C383" s="1">
        <v>7408</v>
      </c>
      <c r="D383" s="21">
        <f t="shared" si="12"/>
        <v>0</v>
      </c>
      <c r="E383" s="1">
        <v>7408</v>
      </c>
      <c r="F383" s="1">
        <v>0</v>
      </c>
      <c r="H383" s="1">
        <v>1690</v>
      </c>
      <c r="I383" s="21">
        <f t="shared" si="11"/>
        <v>-1.6870273414776031E-2</v>
      </c>
      <c r="J383" s="1">
        <v>391</v>
      </c>
      <c r="K383" s="1">
        <v>275</v>
      </c>
      <c r="L383" s="1">
        <v>140</v>
      </c>
      <c r="O383" s="1">
        <v>135</v>
      </c>
      <c r="T383" s="1">
        <v>115</v>
      </c>
      <c r="Z383" s="1">
        <v>106</v>
      </c>
      <c r="AA383" s="1">
        <v>221</v>
      </c>
      <c r="AC383" s="1">
        <v>120</v>
      </c>
      <c r="AF383" s="1">
        <v>261</v>
      </c>
    </row>
    <row r="384" spans="1:32">
      <c r="A384" s="58">
        <v>35426</v>
      </c>
      <c r="C384" s="1">
        <v>7805</v>
      </c>
      <c r="D384" s="21">
        <f t="shared" si="12"/>
        <v>5.3590712742980565E-2</v>
      </c>
      <c r="E384" s="1">
        <v>7805</v>
      </c>
      <c r="F384" s="1">
        <v>0</v>
      </c>
      <c r="H384" s="1">
        <v>1785</v>
      </c>
      <c r="I384" s="21">
        <f t="shared" si="11"/>
        <v>5.6213017751479293E-2</v>
      </c>
      <c r="J384" s="1">
        <v>405</v>
      </c>
      <c r="K384" s="1">
        <v>288</v>
      </c>
      <c r="L384" s="1">
        <v>159</v>
      </c>
      <c r="O384" s="1">
        <v>129</v>
      </c>
      <c r="T384" s="1">
        <v>117</v>
      </c>
      <c r="Z384" s="1">
        <v>104</v>
      </c>
      <c r="AA384" s="1">
        <v>201</v>
      </c>
      <c r="AC384" s="1">
        <v>122</v>
      </c>
      <c r="AF384" s="1">
        <v>250</v>
      </c>
    </row>
    <row r="385" spans="1:32">
      <c r="A385" s="58">
        <v>35433</v>
      </c>
      <c r="C385" s="1">
        <v>7187</v>
      </c>
      <c r="D385" s="21">
        <f t="shared" si="12"/>
        <v>-7.9180012812299805E-2</v>
      </c>
      <c r="E385" s="1">
        <v>7187</v>
      </c>
      <c r="F385" s="1">
        <v>0</v>
      </c>
      <c r="H385" s="1">
        <v>1801</v>
      </c>
      <c r="I385" s="21">
        <f t="shared" si="11"/>
        <v>8.9635854341736688E-3</v>
      </c>
      <c r="J385" s="1">
        <v>436</v>
      </c>
      <c r="K385" s="1">
        <v>275</v>
      </c>
      <c r="L385" s="1">
        <v>147</v>
      </c>
      <c r="O385" s="1">
        <v>129</v>
      </c>
      <c r="T385" s="1">
        <v>160</v>
      </c>
      <c r="Z385" s="1">
        <v>92</v>
      </c>
      <c r="AA385" s="1">
        <v>229</v>
      </c>
      <c r="AC385" s="1">
        <v>118</v>
      </c>
      <c r="AF385" s="1">
        <v>253</v>
      </c>
    </row>
    <row r="386" spans="1:32">
      <c r="A386" s="58">
        <v>35440</v>
      </c>
      <c r="C386" s="1">
        <v>7074</v>
      </c>
      <c r="D386" s="21">
        <f t="shared" si="12"/>
        <v>-1.5722832892722971E-2</v>
      </c>
      <c r="E386" s="1">
        <v>7074</v>
      </c>
      <c r="F386" s="1">
        <v>0</v>
      </c>
      <c r="H386" s="1">
        <v>1878</v>
      </c>
      <c r="I386" s="21">
        <f t="shared" si="11"/>
        <v>4.2754025541365905E-2</v>
      </c>
      <c r="J386" s="1">
        <v>427</v>
      </c>
      <c r="K386" s="1">
        <v>277</v>
      </c>
      <c r="L386" s="1">
        <v>143</v>
      </c>
      <c r="O386" s="1">
        <v>134</v>
      </c>
      <c r="T386" s="1">
        <v>151</v>
      </c>
      <c r="Z386" s="1">
        <v>104</v>
      </c>
      <c r="AA386" s="1">
        <v>229</v>
      </c>
      <c r="AC386" s="1">
        <v>99</v>
      </c>
      <c r="AF386" s="1">
        <v>213</v>
      </c>
    </row>
    <row r="387" spans="1:32">
      <c r="A387" s="58">
        <v>35447</v>
      </c>
      <c r="C387" s="1">
        <v>7141</v>
      </c>
      <c r="D387" s="21">
        <f t="shared" si="12"/>
        <v>9.4713033644331351E-3</v>
      </c>
      <c r="E387" s="1">
        <v>7141</v>
      </c>
      <c r="F387" s="1">
        <v>0</v>
      </c>
      <c r="H387" s="1">
        <v>2006</v>
      </c>
      <c r="I387" s="21">
        <f t="shared" si="11"/>
        <v>6.8157614483493084E-2</v>
      </c>
      <c r="J387" s="1">
        <v>449</v>
      </c>
      <c r="K387" s="1">
        <v>287</v>
      </c>
      <c r="L387" s="1">
        <v>152</v>
      </c>
      <c r="O387" s="1">
        <v>135</v>
      </c>
      <c r="T387" s="1">
        <v>162</v>
      </c>
      <c r="Z387" s="1">
        <v>108</v>
      </c>
      <c r="AA387" s="1">
        <v>232</v>
      </c>
      <c r="AC387" s="1">
        <v>92</v>
      </c>
      <c r="AF387" s="1">
        <v>214</v>
      </c>
    </row>
    <row r="388" spans="1:32">
      <c r="A388" s="58">
        <v>35454</v>
      </c>
      <c r="C388" s="1">
        <v>7245</v>
      </c>
      <c r="D388" s="21">
        <f t="shared" si="12"/>
        <v>1.4563786584511972E-2</v>
      </c>
      <c r="E388" s="1">
        <v>7245</v>
      </c>
      <c r="F388" s="1">
        <v>0</v>
      </c>
      <c r="H388" s="1">
        <v>2090</v>
      </c>
      <c r="I388" s="21">
        <f t="shared" si="11"/>
        <v>4.1874376869391827E-2</v>
      </c>
      <c r="J388" s="1">
        <v>474</v>
      </c>
      <c r="K388" s="1">
        <v>299</v>
      </c>
      <c r="L388" s="1">
        <v>143</v>
      </c>
      <c r="O388" s="1">
        <v>156</v>
      </c>
      <c r="T388" s="1">
        <v>175</v>
      </c>
      <c r="Z388" s="1">
        <v>104</v>
      </c>
      <c r="AA388" s="1">
        <v>276</v>
      </c>
      <c r="AC388" s="1">
        <v>96</v>
      </c>
      <c r="AF388" s="1">
        <v>204</v>
      </c>
    </row>
    <row r="389" spans="1:32">
      <c r="A389" s="58">
        <v>35461</v>
      </c>
      <c r="C389" s="1">
        <v>7518</v>
      </c>
      <c r="D389" s="21">
        <f t="shared" si="12"/>
        <v>3.7681159420289857E-2</v>
      </c>
      <c r="E389" s="1">
        <v>7518</v>
      </c>
      <c r="F389" s="1">
        <v>0</v>
      </c>
      <c r="H389" s="1">
        <v>1997</v>
      </c>
      <c r="I389" s="21">
        <f t="shared" si="11"/>
        <v>-4.449760765550239E-2</v>
      </c>
      <c r="J389" s="1">
        <v>421</v>
      </c>
      <c r="K389" s="1">
        <v>279</v>
      </c>
      <c r="L389" s="1">
        <v>147</v>
      </c>
      <c r="O389" s="1">
        <v>132</v>
      </c>
      <c r="T389" s="1">
        <v>142</v>
      </c>
      <c r="Z389" s="1">
        <v>101</v>
      </c>
      <c r="AA389" s="1">
        <v>272</v>
      </c>
      <c r="AC389" s="1">
        <v>87</v>
      </c>
      <c r="AF389" s="1">
        <v>183</v>
      </c>
    </row>
    <row r="390" spans="1:32">
      <c r="A390" s="58">
        <v>35468</v>
      </c>
      <c r="C390" s="1">
        <v>7748</v>
      </c>
      <c r="D390" s="21">
        <f t="shared" si="12"/>
        <v>3.0593242883745677E-2</v>
      </c>
      <c r="E390" s="1">
        <v>7748</v>
      </c>
      <c r="F390" s="1">
        <v>0</v>
      </c>
      <c r="H390" s="1">
        <v>1945</v>
      </c>
      <c r="I390" s="21">
        <f t="shared" si="11"/>
        <v>-2.6039058587881823E-2</v>
      </c>
      <c r="J390" s="1">
        <v>457</v>
      </c>
      <c r="K390" s="1">
        <v>260</v>
      </c>
      <c r="L390" s="1">
        <v>132</v>
      </c>
      <c r="O390" s="1">
        <v>128</v>
      </c>
      <c r="T390" s="1">
        <v>197</v>
      </c>
      <c r="Z390" s="1">
        <v>97</v>
      </c>
      <c r="AA390" s="1">
        <v>251</v>
      </c>
      <c r="AC390" s="1">
        <v>98</v>
      </c>
      <c r="AF390" s="1">
        <v>226</v>
      </c>
    </row>
    <row r="391" spans="1:32">
      <c r="A391" s="58">
        <v>35475</v>
      </c>
      <c r="C391" s="1">
        <v>7620</v>
      </c>
      <c r="D391" s="21">
        <f t="shared" si="12"/>
        <v>-1.6520392359318535E-2</v>
      </c>
      <c r="E391" s="1">
        <v>7620</v>
      </c>
      <c r="F391" s="1">
        <v>0</v>
      </c>
      <c r="H391" s="1">
        <v>2024</v>
      </c>
      <c r="I391" s="21">
        <f t="shared" si="11"/>
        <v>4.0616966580976861E-2</v>
      </c>
      <c r="J391" s="1">
        <v>461</v>
      </c>
      <c r="K391" s="1">
        <v>247</v>
      </c>
      <c r="L391" s="1">
        <v>116</v>
      </c>
      <c r="O391" s="1">
        <v>131</v>
      </c>
      <c r="T391" s="1">
        <v>214</v>
      </c>
      <c r="Z391" s="1">
        <v>108</v>
      </c>
      <c r="AA391" s="1">
        <v>250</v>
      </c>
      <c r="AC391" s="1">
        <v>91</v>
      </c>
      <c r="AF391" s="1">
        <v>199</v>
      </c>
    </row>
    <row r="392" spans="1:32">
      <c r="A392" s="58">
        <v>35482</v>
      </c>
      <c r="C392" s="1">
        <v>7434</v>
      </c>
      <c r="D392" s="21">
        <f t="shared" si="12"/>
        <v>-2.4409448818897637E-2</v>
      </c>
      <c r="E392" s="1">
        <v>7434</v>
      </c>
      <c r="F392" s="1">
        <v>0</v>
      </c>
      <c r="H392" s="1">
        <v>1810</v>
      </c>
      <c r="I392" s="21">
        <f t="shared" si="11"/>
        <v>-0.10573122529644269</v>
      </c>
      <c r="J392" s="1">
        <v>449</v>
      </c>
      <c r="K392" s="1">
        <v>253</v>
      </c>
      <c r="L392" s="1">
        <v>126</v>
      </c>
      <c r="O392" s="1">
        <v>127</v>
      </c>
      <c r="T392" s="1">
        <v>195</v>
      </c>
      <c r="Z392" s="1">
        <v>110</v>
      </c>
      <c r="AA392" s="1">
        <v>239</v>
      </c>
      <c r="AC392" s="1">
        <v>85</v>
      </c>
      <c r="AF392" s="1">
        <v>182</v>
      </c>
    </row>
    <row r="393" spans="1:32">
      <c r="A393" s="58">
        <v>35489</v>
      </c>
      <c r="C393" s="1">
        <v>7489</v>
      </c>
      <c r="D393" s="21">
        <f t="shared" si="12"/>
        <v>7.3984396018294324E-3</v>
      </c>
      <c r="E393" s="1">
        <v>7489</v>
      </c>
      <c r="F393" s="1">
        <v>0</v>
      </c>
      <c r="H393" s="1">
        <v>1985</v>
      </c>
      <c r="I393" s="21">
        <f t="shared" si="11"/>
        <v>9.668508287292818E-2</v>
      </c>
      <c r="J393" s="1">
        <v>513</v>
      </c>
      <c r="K393" s="1">
        <v>265</v>
      </c>
      <c r="L393" s="1">
        <v>134</v>
      </c>
      <c r="O393" s="1">
        <v>131</v>
      </c>
      <c r="T393" s="1">
        <v>249</v>
      </c>
      <c r="Z393" s="1">
        <v>127</v>
      </c>
      <c r="AA393" s="1">
        <v>227</v>
      </c>
      <c r="AC393" s="1">
        <v>93</v>
      </c>
      <c r="AF393" s="1">
        <v>180</v>
      </c>
    </row>
    <row r="394" spans="1:32">
      <c r="A394" s="58">
        <v>35496</v>
      </c>
      <c r="C394" s="1">
        <v>7345</v>
      </c>
      <c r="D394" s="21">
        <f t="shared" si="12"/>
        <v>-1.9228201361997595E-2</v>
      </c>
      <c r="E394" s="1">
        <v>7345</v>
      </c>
      <c r="F394" s="1">
        <v>0</v>
      </c>
      <c r="H394" s="1">
        <v>2013</v>
      </c>
      <c r="I394" s="21">
        <f t="shared" si="11"/>
        <v>1.4105793450881612E-2</v>
      </c>
      <c r="J394" s="1">
        <v>550</v>
      </c>
      <c r="K394" s="1">
        <v>311</v>
      </c>
      <c r="L394" s="1">
        <v>186</v>
      </c>
      <c r="O394" s="1">
        <v>125</v>
      </c>
      <c r="T394" s="1">
        <v>239</v>
      </c>
      <c r="Z394" s="1">
        <v>134</v>
      </c>
      <c r="AA394" s="1">
        <v>251</v>
      </c>
      <c r="AC394" s="1">
        <v>88</v>
      </c>
      <c r="AF394" s="1">
        <v>217</v>
      </c>
    </row>
    <row r="395" spans="1:32">
      <c r="A395" s="58">
        <v>35503</v>
      </c>
      <c r="C395" s="1">
        <v>7557</v>
      </c>
      <c r="D395" s="21">
        <f t="shared" si="12"/>
        <v>2.8863172226004083E-2</v>
      </c>
      <c r="E395" s="1">
        <v>7557</v>
      </c>
      <c r="F395" s="1">
        <v>0</v>
      </c>
      <c r="H395" s="1">
        <v>1950</v>
      </c>
      <c r="I395" s="21">
        <f t="shared" si="11"/>
        <v>-3.129657228017884E-2</v>
      </c>
      <c r="J395" s="1">
        <v>620</v>
      </c>
      <c r="K395" s="1">
        <v>359</v>
      </c>
      <c r="L395" s="1">
        <v>230</v>
      </c>
      <c r="O395" s="1">
        <v>129</v>
      </c>
      <c r="T395" s="1">
        <v>261</v>
      </c>
      <c r="Z395" s="1">
        <v>113</v>
      </c>
      <c r="AA395" s="1">
        <v>260</v>
      </c>
      <c r="AC395" s="1">
        <v>96</v>
      </c>
      <c r="AF395" s="1">
        <v>242</v>
      </c>
    </row>
    <row r="396" spans="1:32">
      <c r="A396" s="58">
        <v>35510</v>
      </c>
      <c r="C396" s="1">
        <v>7490</v>
      </c>
      <c r="D396" s="21">
        <f t="shared" si="12"/>
        <v>-8.8659520973931455E-3</v>
      </c>
      <c r="E396" s="1">
        <v>7490</v>
      </c>
      <c r="F396" s="1">
        <v>0</v>
      </c>
      <c r="H396" s="1">
        <v>2073</v>
      </c>
      <c r="I396" s="21">
        <f t="shared" si="11"/>
        <v>6.3076923076923072E-2</v>
      </c>
      <c r="J396" s="1">
        <v>683</v>
      </c>
      <c r="K396" s="1">
        <v>348</v>
      </c>
      <c r="L396" s="1">
        <v>227</v>
      </c>
      <c r="O396" s="1">
        <v>121</v>
      </c>
      <c r="T396" s="1">
        <v>335</v>
      </c>
      <c r="Z396" s="1">
        <v>135</v>
      </c>
      <c r="AA396" s="1">
        <v>257</v>
      </c>
      <c r="AC396" s="1">
        <v>92</v>
      </c>
      <c r="AF396" s="1">
        <v>253</v>
      </c>
    </row>
    <row r="397" spans="1:32">
      <c r="A397" s="58">
        <v>35517</v>
      </c>
      <c r="C397" s="1">
        <v>7625</v>
      </c>
      <c r="D397" s="21">
        <f t="shared" si="12"/>
        <v>1.8024032042723633E-2</v>
      </c>
      <c r="E397" s="1">
        <v>7625</v>
      </c>
      <c r="F397" s="1">
        <v>0</v>
      </c>
      <c r="H397" s="1">
        <v>1909</v>
      </c>
      <c r="I397" s="21">
        <f t="shared" si="11"/>
        <v>-7.9112397491558129E-2</v>
      </c>
      <c r="J397" s="1">
        <v>632</v>
      </c>
      <c r="K397" s="1">
        <v>339</v>
      </c>
      <c r="L397" s="1">
        <v>198</v>
      </c>
      <c r="O397" s="1">
        <v>141</v>
      </c>
      <c r="T397" s="1">
        <v>293</v>
      </c>
      <c r="Z397" s="1">
        <v>105</v>
      </c>
      <c r="AA397" s="1">
        <v>245</v>
      </c>
      <c r="AC397" s="1">
        <v>93</v>
      </c>
      <c r="AF397" s="1">
        <v>238</v>
      </c>
    </row>
    <row r="398" spans="1:32">
      <c r="A398" s="58">
        <v>35524</v>
      </c>
      <c r="C398" s="1">
        <v>7691</v>
      </c>
      <c r="D398" s="21">
        <f t="shared" si="12"/>
        <v>8.6557377049180321E-3</v>
      </c>
      <c r="E398" s="1">
        <v>7691</v>
      </c>
      <c r="F398" s="1">
        <v>0</v>
      </c>
      <c r="H398" s="1">
        <v>1946</v>
      </c>
      <c r="I398" s="21">
        <f t="shared" si="11"/>
        <v>1.9381875327396544E-2</v>
      </c>
      <c r="J398" s="1">
        <v>680</v>
      </c>
      <c r="K398" s="1">
        <v>359</v>
      </c>
      <c r="L398" s="1">
        <v>187</v>
      </c>
      <c r="O398" s="1">
        <v>173</v>
      </c>
      <c r="T398" s="1">
        <v>320</v>
      </c>
      <c r="Z398" s="1">
        <v>106</v>
      </c>
      <c r="AA398" s="1">
        <v>228</v>
      </c>
      <c r="AC398" s="1">
        <v>97</v>
      </c>
      <c r="AF398" s="1">
        <v>176</v>
      </c>
    </row>
    <row r="399" spans="1:32">
      <c r="A399" s="58">
        <v>35531</v>
      </c>
      <c r="C399" s="1">
        <v>7698</v>
      </c>
      <c r="D399" s="21">
        <f t="shared" si="12"/>
        <v>9.1015472630347162E-4</v>
      </c>
      <c r="E399" s="1">
        <v>7698</v>
      </c>
      <c r="F399" s="1">
        <v>0</v>
      </c>
      <c r="H399" s="1">
        <v>2023</v>
      </c>
      <c r="I399" s="21">
        <f t="shared" si="11"/>
        <v>3.9568345323741004E-2</v>
      </c>
      <c r="J399" s="1">
        <v>613</v>
      </c>
      <c r="K399" s="1">
        <v>317</v>
      </c>
      <c r="L399" s="1">
        <v>126</v>
      </c>
      <c r="O399" s="1">
        <v>191</v>
      </c>
      <c r="T399" s="1">
        <v>296</v>
      </c>
      <c r="Z399" s="1">
        <v>99</v>
      </c>
      <c r="AA399" s="1">
        <v>243</v>
      </c>
      <c r="AC399" s="1">
        <v>116</v>
      </c>
      <c r="AF399" s="1">
        <v>177</v>
      </c>
    </row>
    <row r="400" spans="1:32">
      <c r="A400" s="58">
        <v>35538</v>
      </c>
      <c r="C400" s="1">
        <v>8019</v>
      </c>
      <c r="D400" s="21">
        <f t="shared" si="12"/>
        <v>4.1699142634450508E-2</v>
      </c>
      <c r="E400" s="1">
        <v>8019</v>
      </c>
      <c r="F400" s="1">
        <v>0</v>
      </c>
      <c r="H400" s="1">
        <v>2033</v>
      </c>
      <c r="I400" s="21">
        <f t="shared" si="11"/>
        <v>4.9431537320810681E-3</v>
      </c>
      <c r="J400" s="1">
        <v>566</v>
      </c>
      <c r="K400" s="1">
        <v>343</v>
      </c>
      <c r="L400" s="1">
        <v>143</v>
      </c>
      <c r="O400" s="1">
        <v>200</v>
      </c>
      <c r="T400" s="1">
        <v>222</v>
      </c>
      <c r="Z400" s="1">
        <v>64</v>
      </c>
      <c r="AA400" s="1">
        <v>237</v>
      </c>
      <c r="AC400" s="1">
        <v>130</v>
      </c>
      <c r="AF400" s="1">
        <v>241</v>
      </c>
    </row>
    <row r="401" spans="1:32">
      <c r="A401" s="58">
        <v>35545</v>
      </c>
      <c r="C401" s="1">
        <v>8015</v>
      </c>
      <c r="D401" s="21">
        <f t="shared" si="12"/>
        <v>-4.9881531363012849E-4</v>
      </c>
      <c r="E401" s="1">
        <v>8015</v>
      </c>
      <c r="F401" s="1">
        <v>0</v>
      </c>
      <c r="H401" s="1">
        <v>2134</v>
      </c>
      <c r="I401" s="21">
        <f t="shared" si="11"/>
        <v>4.9680275454992623E-2</v>
      </c>
      <c r="J401" s="1">
        <v>588</v>
      </c>
      <c r="K401" s="1">
        <v>357</v>
      </c>
      <c r="L401" s="1">
        <v>152</v>
      </c>
      <c r="O401" s="1">
        <v>205</v>
      </c>
      <c r="T401" s="1">
        <v>231</v>
      </c>
      <c r="Z401" s="1">
        <v>87</v>
      </c>
      <c r="AA401" s="1">
        <v>241</v>
      </c>
      <c r="AC401" s="1">
        <v>137</v>
      </c>
      <c r="AF401" s="1">
        <v>279</v>
      </c>
    </row>
    <row r="402" spans="1:32">
      <c r="A402" s="58">
        <v>35552</v>
      </c>
      <c r="C402" s="1">
        <v>8064</v>
      </c>
      <c r="D402" s="21">
        <f t="shared" si="12"/>
        <v>6.1135371179039302E-3</v>
      </c>
      <c r="E402" s="1">
        <v>8064</v>
      </c>
      <c r="F402" s="1">
        <v>0</v>
      </c>
      <c r="H402" s="1">
        <v>2010</v>
      </c>
      <c r="I402" s="21">
        <f t="shared" si="11"/>
        <v>-5.8106841611996252E-2</v>
      </c>
      <c r="J402" s="1">
        <v>544</v>
      </c>
      <c r="K402" s="1">
        <v>324</v>
      </c>
      <c r="L402" s="1">
        <v>128</v>
      </c>
      <c r="O402" s="1">
        <v>196</v>
      </c>
      <c r="T402" s="1">
        <v>220</v>
      </c>
      <c r="Z402" s="1">
        <v>78</v>
      </c>
      <c r="AA402" s="1">
        <v>289</v>
      </c>
      <c r="AC402" s="1">
        <v>152</v>
      </c>
      <c r="AF402" s="1">
        <v>273</v>
      </c>
    </row>
    <row r="403" spans="1:32">
      <c r="A403" s="58">
        <v>35559</v>
      </c>
      <c r="C403" s="1">
        <v>8068</v>
      </c>
      <c r="D403" s="21">
        <f t="shared" si="12"/>
        <v>4.96031746031746E-4</v>
      </c>
      <c r="E403" s="1">
        <v>8068</v>
      </c>
      <c r="F403" s="1">
        <v>0</v>
      </c>
      <c r="H403" s="1">
        <v>1921</v>
      </c>
      <c r="I403" s="21">
        <f t="shared" si="11"/>
        <v>-4.4278606965174126E-2</v>
      </c>
      <c r="J403" s="1">
        <v>591</v>
      </c>
      <c r="K403" s="1">
        <v>337</v>
      </c>
      <c r="L403" s="1">
        <v>147</v>
      </c>
      <c r="O403" s="1">
        <v>189</v>
      </c>
      <c r="T403" s="1">
        <v>254</v>
      </c>
      <c r="Z403" s="1">
        <v>79</v>
      </c>
      <c r="AA403" s="1">
        <v>247</v>
      </c>
      <c r="AC403" s="1">
        <v>126</v>
      </c>
      <c r="AF403" s="1">
        <v>250</v>
      </c>
    </row>
    <row r="404" spans="1:32">
      <c r="A404" s="58">
        <v>35566</v>
      </c>
      <c r="C404" s="1">
        <v>7839</v>
      </c>
      <c r="D404" s="21">
        <f t="shared" si="12"/>
        <v>-2.8383738225086764E-2</v>
      </c>
      <c r="E404" s="1">
        <v>7839</v>
      </c>
      <c r="F404" s="1">
        <v>0</v>
      </c>
      <c r="H404" s="1">
        <v>1958</v>
      </c>
      <c r="I404" s="21">
        <f t="shared" si="11"/>
        <v>1.9260801665799063E-2</v>
      </c>
      <c r="J404" s="1">
        <v>647</v>
      </c>
      <c r="K404" s="1">
        <v>363</v>
      </c>
      <c r="L404" s="1">
        <v>129</v>
      </c>
      <c r="O404" s="1">
        <v>234</v>
      </c>
      <c r="T404" s="1">
        <v>284</v>
      </c>
      <c r="Z404" s="1">
        <v>88</v>
      </c>
      <c r="AA404" s="1">
        <v>242</v>
      </c>
      <c r="AC404" s="1">
        <v>126</v>
      </c>
      <c r="AF404" s="1">
        <v>203</v>
      </c>
    </row>
    <row r="405" spans="1:32">
      <c r="A405" s="58">
        <v>35573</v>
      </c>
      <c r="C405" s="1">
        <v>7923</v>
      </c>
      <c r="D405" s="21">
        <f t="shared" si="12"/>
        <v>1.0715652506697282E-2</v>
      </c>
      <c r="E405" s="1">
        <v>7923</v>
      </c>
      <c r="F405" s="1">
        <v>0</v>
      </c>
      <c r="H405" s="1">
        <v>2022</v>
      </c>
      <c r="I405" s="21">
        <f t="shared" si="11"/>
        <v>3.268641470888662E-2</v>
      </c>
      <c r="J405" s="1">
        <v>693</v>
      </c>
      <c r="K405" s="1">
        <v>386</v>
      </c>
      <c r="L405" s="1">
        <v>149</v>
      </c>
      <c r="O405" s="1">
        <v>237</v>
      </c>
      <c r="T405" s="1">
        <v>307</v>
      </c>
      <c r="Z405" s="1">
        <v>95</v>
      </c>
      <c r="AA405" s="1">
        <v>247</v>
      </c>
      <c r="AC405" s="1">
        <v>141</v>
      </c>
      <c r="AF405" s="1">
        <v>188</v>
      </c>
    </row>
    <row r="406" spans="1:32">
      <c r="A406" s="58">
        <v>35580</v>
      </c>
      <c r="C406" s="1">
        <v>7939</v>
      </c>
      <c r="D406" s="21">
        <f t="shared" si="12"/>
        <v>2.0194370819134168E-3</v>
      </c>
      <c r="E406" s="1">
        <v>7939</v>
      </c>
      <c r="F406" s="1">
        <v>0</v>
      </c>
      <c r="H406" s="1">
        <v>2089</v>
      </c>
      <c r="I406" s="21">
        <f t="shared" si="11"/>
        <v>3.3135509396636995E-2</v>
      </c>
      <c r="J406" s="1">
        <v>658</v>
      </c>
      <c r="K406" s="1">
        <v>360</v>
      </c>
      <c r="L406" s="1">
        <v>165</v>
      </c>
      <c r="O406" s="1">
        <v>195</v>
      </c>
      <c r="T406" s="1">
        <v>298</v>
      </c>
      <c r="Z406" s="1">
        <v>96</v>
      </c>
      <c r="AA406" s="1">
        <v>200</v>
      </c>
      <c r="AC406" s="1">
        <v>115</v>
      </c>
      <c r="AF406" s="1">
        <v>196</v>
      </c>
    </row>
    <row r="407" spans="1:32">
      <c r="A407" s="58">
        <v>35587</v>
      </c>
      <c r="C407" s="1">
        <v>8215</v>
      </c>
      <c r="D407" s="21">
        <f t="shared" si="12"/>
        <v>3.4765083763698197E-2</v>
      </c>
      <c r="E407" s="1">
        <v>8215</v>
      </c>
      <c r="F407" s="1">
        <v>0</v>
      </c>
      <c r="H407" s="1">
        <v>2088</v>
      </c>
      <c r="I407" s="21">
        <f t="shared" si="11"/>
        <v>-4.7869794159885112E-4</v>
      </c>
      <c r="J407" s="1">
        <v>614</v>
      </c>
      <c r="K407" s="1">
        <v>359</v>
      </c>
      <c r="L407" s="1">
        <v>166</v>
      </c>
      <c r="O407" s="1">
        <v>193</v>
      </c>
      <c r="T407" s="1">
        <v>256</v>
      </c>
      <c r="Z407" s="1">
        <v>96</v>
      </c>
      <c r="AA407" s="1">
        <v>203</v>
      </c>
      <c r="AC407" s="1">
        <v>107</v>
      </c>
      <c r="AF407" s="1">
        <v>212</v>
      </c>
    </row>
    <row r="408" spans="1:32">
      <c r="A408" s="58">
        <v>35594</v>
      </c>
      <c r="C408" s="1">
        <v>8730</v>
      </c>
      <c r="D408" s="21">
        <f t="shared" si="12"/>
        <v>6.2690200852099823E-2</v>
      </c>
      <c r="E408" s="1">
        <v>8730</v>
      </c>
      <c r="F408" s="1">
        <v>0</v>
      </c>
      <c r="H408" s="1">
        <v>2011</v>
      </c>
      <c r="I408" s="21">
        <f t="shared" si="11"/>
        <v>-3.6877394636015325E-2</v>
      </c>
      <c r="J408" s="1">
        <v>628</v>
      </c>
      <c r="K408" s="1">
        <v>331</v>
      </c>
      <c r="L408" s="1">
        <v>184</v>
      </c>
      <c r="O408" s="1">
        <v>148</v>
      </c>
      <c r="T408" s="1">
        <v>297</v>
      </c>
      <c r="Z408" s="1">
        <v>108</v>
      </c>
      <c r="AA408" s="1">
        <v>185</v>
      </c>
      <c r="AC408" s="1">
        <v>87</v>
      </c>
      <c r="AF408" s="1">
        <v>183</v>
      </c>
    </row>
    <row r="409" spans="1:32">
      <c r="A409" s="58">
        <v>35601</v>
      </c>
      <c r="C409" s="1">
        <v>8487</v>
      </c>
      <c r="D409" s="21">
        <f t="shared" si="12"/>
        <v>-2.7835051546391754E-2</v>
      </c>
      <c r="E409" s="1">
        <v>8487</v>
      </c>
      <c r="F409" s="1">
        <v>0</v>
      </c>
      <c r="H409" s="1">
        <v>1927</v>
      </c>
      <c r="I409" s="21">
        <f t="shared" si="11"/>
        <v>-4.1770263550472399E-2</v>
      </c>
      <c r="J409" s="1">
        <v>629</v>
      </c>
      <c r="K409" s="1">
        <v>359</v>
      </c>
      <c r="L409" s="1">
        <v>224</v>
      </c>
      <c r="O409" s="1">
        <v>135</v>
      </c>
      <c r="T409" s="1">
        <v>270</v>
      </c>
      <c r="Z409" s="1">
        <v>81</v>
      </c>
      <c r="AA409" s="1">
        <v>165</v>
      </c>
      <c r="AC409" s="1">
        <v>65</v>
      </c>
      <c r="AF409" s="1">
        <v>187</v>
      </c>
    </row>
    <row r="410" spans="1:32">
      <c r="A410" s="58">
        <v>35608</v>
      </c>
      <c r="C410" s="1">
        <v>8444</v>
      </c>
      <c r="D410" s="21">
        <f t="shared" si="12"/>
        <v>-5.0665724048544834E-3</v>
      </c>
      <c r="E410" s="1">
        <v>8444</v>
      </c>
      <c r="F410" s="1">
        <v>0</v>
      </c>
      <c r="H410" s="1">
        <v>1861</v>
      </c>
      <c r="I410" s="21">
        <f t="shared" ref="I410:I473" si="13">(H410-H409)/H409</f>
        <v>-3.4250129735339904E-2</v>
      </c>
      <c r="J410" s="1">
        <v>577</v>
      </c>
      <c r="K410" s="1">
        <v>341</v>
      </c>
      <c r="L410" s="1">
        <v>174</v>
      </c>
      <c r="O410" s="1">
        <v>168</v>
      </c>
      <c r="T410" s="1">
        <v>236</v>
      </c>
      <c r="Z410" s="1">
        <v>101</v>
      </c>
      <c r="AA410" s="1">
        <v>181</v>
      </c>
      <c r="AC410" s="1">
        <v>73</v>
      </c>
      <c r="AF410" s="1">
        <v>194</v>
      </c>
    </row>
    <row r="411" spans="1:32">
      <c r="A411" s="58">
        <v>35615</v>
      </c>
      <c r="C411" s="1">
        <v>8364</v>
      </c>
      <c r="D411" s="21">
        <f t="shared" si="12"/>
        <v>-9.4741828517290391E-3</v>
      </c>
      <c r="E411" s="1">
        <v>8364</v>
      </c>
      <c r="F411" s="1">
        <v>0</v>
      </c>
      <c r="H411" s="1">
        <v>1976</v>
      </c>
      <c r="I411" s="21">
        <f t="shared" si="13"/>
        <v>6.1794734013970981E-2</v>
      </c>
      <c r="J411" s="1">
        <v>621</v>
      </c>
      <c r="K411" s="1">
        <v>400</v>
      </c>
      <c r="L411" s="1">
        <v>234</v>
      </c>
      <c r="O411" s="1">
        <v>166</v>
      </c>
      <c r="T411" s="1">
        <v>221</v>
      </c>
      <c r="Z411" s="1">
        <v>123</v>
      </c>
      <c r="AA411" s="1">
        <v>209</v>
      </c>
      <c r="AC411" s="1">
        <v>79</v>
      </c>
      <c r="AF411" s="1">
        <v>183</v>
      </c>
    </row>
    <row r="412" spans="1:32">
      <c r="A412" s="58">
        <v>35622</v>
      </c>
      <c r="C412" s="1">
        <v>7893</v>
      </c>
      <c r="D412" s="21">
        <f t="shared" si="12"/>
        <v>-5.6312769010043041E-2</v>
      </c>
      <c r="E412" s="1">
        <v>7893</v>
      </c>
      <c r="F412" s="1">
        <v>0</v>
      </c>
      <c r="H412" s="1">
        <v>1838</v>
      </c>
      <c r="I412" s="21">
        <f t="shared" si="13"/>
        <v>-6.983805668016195E-2</v>
      </c>
      <c r="J412" s="1">
        <v>517</v>
      </c>
      <c r="K412" s="1">
        <v>349</v>
      </c>
      <c r="L412" s="1">
        <v>192</v>
      </c>
      <c r="O412" s="1">
        <v>157</v>
      </c>
      <c r="T412" s="1">
        <v>168</v>
      </c>
      <c r="Z412" s="1">
        <v>105</v>
      </c>
      <c r="AA412" s="1">
        <v>212</v>
      </c>
      <c r="AC412" s="1">
        <v>85</v>
      </c>
      <c r="AF412" s="1">
        <v>160</v>
      </c>
    </row>
    <row r="413" spans="1:32">
      <c r="A413" s="58">
        <v>35629</v>
      </c>
      <c r="C413" s="1">
        <v>8183</v>
      </c>
      <c r="D413" s="21">
        <f t="shared" ref="D413:D476" si="14">(C413-C412)/C412</f>
        <v>3.6741416444951221E-2</v>
      </c>
      <c r="E413" s="1">
        <v>8183</v>
      </c>
      <c r="F413" s="1">
        <v>0</v>
      </c>
      <c r="H413" s="1">
        <v>1887</v>
      </c>
      <c r="I413" s="21">
        <f t="shared" si="13"/>
        <v>2.6659412404787811E-2</v>
      </c>
      <c r="J413" s="1">
        <v>463</v>
      </c>
      <c r="K413" s="1">
        <v>311</v>
      </c>
      <c r="L413" s="1">
        <v>142</v>
      </c>
      <c r="O413" s="1">
        <v>170</v>
      </c>
      <c r="T413" s="1">
        <v>152</v>
      </c>
      <c r="Z413" s="1">
        <v>120</v>
      </c>
      <c r="AA413" s="1">
        <v>235</v>
      </c>
      <c r="AC413" s="1">
        <v>98</v>
      </c>
      <c r="AF413" s="1">
        <v>157</v>
      </c>
    </row>
    <row r="414" spans="1:32">
      <c r="A414" s="58">
        <v>35636</v>
      </c>
      <c r="C414" s="1">
        <v>8226</v>
      </c>
      <c r="D414" s="21">
        <f t="shared" si="14"/>
        <v>5.2547965293901992E-3</v>
      </c>
      <c r="E414" s="1">
        <v>8226</v>
      </c>
      <c r="F414" s="1">
        <v>0</v>
      </c>
      <c r="H414" s="1">
        <v>1890</v>
      </c>
      <c r="I414" s="21">
        <f t="shared" si="13"/>
        <v>1.589825119236884E-3</v>
      </c>
      <c r="J414" s="1">
        <v>490</v>
      </c>
      <c r="K414" s="1">
        <v>316</v>
      </c>
      <c r="L414" s="1">
        <v>175</v>
      </c>
      <c r="O414" s="1">
        <v>141</v>
      </c>
      <c r="T414" s="1">
        <v>175</v>
      </c>
      <c r="Z414" s="1">
        <v>90</v>
      </c>
      <c r="AA414" s="1">
        <v>204</v>
      </c>
      <c r="AC414" s="1">
        <v>101</v>
      </c>
      <c r="AF414" s="1">
        <v>177</v>
      </c>
    </row>
    <row r="415" spans="1:32">
      <c r="A415" s="58">
        <v>35643</v>
      </c>
      <c r="C415" s="1">
        <v>7987</v>
      </c>
      <c r="D415" s="21">
        <f t="shared" si="14"/>
        <v>-2.9054218332117677E-2</v>
      </c>
      <c r="E415" s="1">
        <v>7987</v>
      </c>
      <c r="F415" s="1">
        <v>0</v>
      </c>
      <c r="H415" s="1">
        <v>1809</v>
      </c>
      <c r="I415" s="21">
        <f t="shared" si="13"/>
        <v>-4.2857142857142858E-2</v>
      </c>
      <c r="J415" s="1">
        <v>465</v>
      </c>
      <c r="K415" s="1">
        <v>235</v>
      </c>
      <c r="L415" s="1">
        <v>118</v>
      </c>
      <c r="O415" s="1">
        <v>117</v>
      </c>
      <c r="T415" s="1">
        <v>230</v>
      </c>
      <c r="Z415" s="1">
        <v>64</v>
      </c>
      <c r="AA415" s="1">
        <v>197</v>
      </c>
      <c r="AC415" s="1">
        <v>110</v>
      </c>
      <c r="AF415" s="1">
        <v>199</v>
      </c>
    </row>
    <row r="416" spans="1:32">
      <c r="A416" s="58">
        <v>35650</v>
      </c>
      <c r="C416" s="1">
        <v>8287</v>
      </c>
      <c r="D416" s="21">
        <f t="shared" si="14"/>
        <v>3.7561036684612498E-2</v>
      </c>
      <c r="E416" s="1">
        <v>8287</v>
      </c>
      <c r="F416" s="1">
        <v>0</v>
      </c>
      <c r="H416" s="1">
        <v>1789</v>
      </c>
      <c r="I416" s="21">
        <f t="shared" si="13"/>
        <v>-1.1055831951354339E-2</v>
      </c>
      <c r="J416" s="1">
        <v>470</v>
      </c>
      <c r="K416" s="1">
        <v>239</v>
      </c>
      <c r="L416" s="1">
        <v>127</v>
      </c>
      <c r="O416" s="1">
        <v>112</v>
      </c>
      <c r="T416" s="1">
        <v>232</v>
      </c>
      <c r="Z416" s="1">
        <v>81</v>
      </c>
      <c r="AA416" s="1">
        <v>177</v>
      </c>
      <c r="AC416" s="1">
        <v>107</v>
      </c>
      <c r="AF416" s="1">
        <v>231</v>
      </c>
    </row>
    <row r="417" spans="1:32">
      <c r="A417" s="58">
        <v>35657</v>
      </c>
      <c r="C417" s="1">
        <v>8400</v>
      </c>
      <c r="D417" s="21">
        <f t="shared" si="14"/>
        <v>1.3635815132134669E-2</v>
      </c>
      <c r="E417" s="1">
        <v>8400</v>
      </c>
      <c r="F417" s="1">
        <v>0</v>
      </c>
      <c r="H417" s="1">
        <v>1724</v>
      </c>
      <c r="I417" s="21">
        <f t="shared" si="13"/>
        <v>-3.6333147009502513E-2</v>
      </c>
      <c r="J417" s="1">
        <v>505</v>
      </c>
      <c r="K417" s="1">
        <v>263</v>
      </c>
      <c r="L417" s="1">
        <v>144</v>
      </c>
      <c r="O417" s="1">
        <v>120</v>
      </c>
      <c r="T417" s="1">
        <v>242</v>
      </c>
      <c r="Z417" s="1">
        <v>74</v>
      </c>
      <c r="AA417" s="1">
        <v>179</v>
      </c>
      <c r="AC417" s="1">
        <v>113</v>
      </c>
      <c r="AF417" s="1">
        <v>202</v>
      </c>
    </row>
    <row r="418" spans="1:32">
      <c r="A418" s="58">
        <v>35664</v>
      </c>
      <c r="C418" s="1">
        <v>8424</v>
      </c>
      <c r="D418" s="21">
        <f t="shared" si="14"/>
        <v>2.8571428571428571E-3</v>
      </c>
      <c r="E418" s="1">
        <v>8424</v>
      </c>
      <c r="F418" s="1">
        <v>0</v>
      </c>
      <c r="H418" s="1">
        <v>1750</v>
      </c>
      <c r="I418" s="21">
        <f t="shared" si="13"/>
        <v>1.5081206496519721E-2</v>
      </c>
      <c r="J418" s="1">
        <v>472</v>
      </c>
      <c r="K418" s="1">
        <v>249</v>
      </c>
      <c r="L418" s="1">
        <v>107</v>
      </c>
      <c r="O418" s="1">
        <v>143</v>
      </c>
      <c r="T418" s="1">
        <v>223</v>
      </c>
      <c r="Z418" s="1">
        <v>86</v>
      </c>
      <c r="AA418" s="1">
        <v>197</v>
      </c>
      <c r="AC418" s="1">
        <v>107</v>
      </c>
      <c r="AF418" s="1">
        <v>230</v>
      </c>
    </row>
    <row r="419" spans="1:32">
      <c r="A419" s="58">
        <v>35671</v>
      </c>
      <c r="C419" s="1">
        <v>8545</v>
      </c>
      <c r="D419" s="21">
        <f t="shared" si="14"/>
        <v>1.436372269705603E-2</v>
      </c>
      <c r="E419" s="1">
        <v>8545</v>
      </c>
      <c r="F419" s="1">
        <v>0</v>
      </c>
      <c r="H419" s="1">
        <v>1648</v>
      </c>
      <c r="I419" s="21">
        <f t="shared" si="13"/>
        <v>-5.8285714285714288E-2</v>
      </c>
      <c r="J419" s="1">
        <v>467</v>
      </c>
      <c r="K419" s="1">
        <v>285</v>
      </c>
      <c r="L419" s="1">
        <v>130</v>
      </c>
      <c r="O419" s="1">
        <v>154</v>
      </c>
      <c r="T419" s="1">
        <v>183</v>
      </c>
      <c r="Z419" s="1">
        <v>95</v>
      </c>
      <c r="AA419" s="1">
        <v>215</v>
      </c>
      <c r="AC419" s="1">
        <v>118</v>
      </c>
      <c r="AF419" s="1">
        <v>198</v>
      </c>
    </row>
    <row r="420" spans="1:32">
      <c r="A420" s="58">
        <v>35678</v>
      </c>
      <c r="C420" s="1">
        <v>8250</v>
      </c>
      <c r="D420" s="21">
        <f t="shared" si="14"/>
        <v>-3.452311293153891E-2</v>
      </c>
      <c r="E420" s="1">
        <v>8250</v>
      </c>
      <c r="F420" s="1">
        <v>0</v>
      </c>
      <c r="H420" s="1">
        <v>1706</v>
      </c>
      <c r="I420" s="21">
        <f t="shared" si="13"/>
        <v>3.5194174757281552E-2</v>
      </c>
      <c r="J420" s="1">
        <v>469</v>
      </c>
      <c r="K420" s="1">
        <v>316</v>
      </c>
      <c r="L420" s="1">
        <v>156</v>
      </c>
      <c r="O420" s="1">
        <v>160</v>
      </c>
      <c r="T420" s="1">
        <v>153</v>
      </c>
      <c r="Z420" s="1">
        <v>87</v>
      </c>
      <c r="AA420" s="1">
        <v>249</v>
      </c>
      <c r="AC420" s="1">
        <v>139</v>
      </c>
      <c r="AF420" s="1">
        <v>190</v>
      </c>
    </row>
    <row r="421" spans="1:32">
      <c r="A421" s="58">
        <v>35685</v>
      </c>
      <c r="C421" s="1">
        <v>8371</v>
      </c>
      <c r="D421" s="21">
        <f t="shared" si="14"/>
        <v>1.4666666666666666E-2</v>
      </c>
      <c r="E421" s="1">
        <v>8371</v>
      </c>
      <c r="F421" s="1">
        <v>0</v>
      </c>
      <c r="H421" s="1">
        <v>1673</v>
      </c>
      <c r="I421" s="21">
        <f t="shared" si="13"/>
        <v>-1.9343493552168817E-2</v>
      </c>
      <c r="J421" s="1">
        <v>449</v>
      </c>
      <c r="K421" s="1">
        <v>285</v>
      </c>
      <c r="L421" s="1">
        <v>165</v>
      </c>
      <c r="O421" s="1">
        <v>120</v>
      </c>
      <c r="T421" s="1">
        <v>164</v>
      </c>
      <c r="Z421" s="1">
        <v>93</v>
      </c>
      <c r="AA421" s="1">
        <v>219</v>
      </c>
      <c r="AC421" s="1">
        <v>110</v>
      </c>
      <c r="AF421" s="1">
        <v>189</v>
      </c>
    </row>
    <row r="422" spans="1:32">
      <c r="A422" s="58">
        <v>35692</v>
      </c>
      <c r="C422" s="1">
        <v>8420</v>
      </c>
      <c r="D422" s="21">
        <f t="shared" si="14"/>
        <v>5.8535419902042765E-3</v>
      </c>
      <c r="E422" s="1">
        <v>8420</v>
      </c>
      <c r="F422" s="1">
        <v>0</v>
      </c>
      <c r="H422" s="1">
        <v>1653</v>
      </c>
      <c r="I422" s="21">
        <f t="shared" si="13"/>
        <v>-1.1954572624028692E-2</v>
      </c>
      <c r="J422" s="1">
        <v>485</v>
      </c>
      <c r="K422" s="1">
        <v>296</v>
      </c>
      <c r="L422" s="1">
        <v>172</v>
      </c>
      <c r="O422" s="1">
        <v>125</v>
      </c>
      <c r="T422" s="1">
        <v>189</v>
      </c>
      <c r="Z422" s="1">
        <v>92</v>
      </c>
      <c r="AA422" s="1">
        <v>218</v>
      </c>
      <c r="AC422" s="1">
        <v>118</v>
      </c>
      <c r="AF422" s="1">
        <v>111</v>
      </c>
    </row>
    <row r="423" spans="1:32">
      <c r="A423" s="58">
        <v>35699</v>
      </c>
      <c r="C423" s="1">
        <v>8567</v>
      </c>
      <c r="D423" s="21">
        <f t="shared" si="14"/>
        <v>1.7458432304038006E-2</v>
      </c>
      <c r="E423" s="1">
        <v>8567</v>
      </c>
      <c r="F423" s="1">
        <v>0</v>
      </c>
      <c r="H423" s="1">
        <v>1765</v>
      </c>
      <c r="I423" s="21">
        <f t="shared" si="13"/>
        <v>6.7755595886267395E-2</v>
      </c>
      <c r="J423" s="1">
        <v>457</v>
      </c>
      <c r="K423" s="1">
        <v>260</v>
      </c>
      <c r="L423" s="1">
        <v>148</v>
      </c>
      <c r="O423" s="1">
        <v>112</v>
      </c>
      <c r="T423" s="1">
        <v>197</v>
      </c>
      <c r="Z423" s="1">
        <v>111</v>
      </c>
      <c r="AA423" s="1">
        <v>210</v>
      </c>
      <c r="AC423" s="1">
        <v>117</v>
      </c>
      <c r="AF423" s="1">
        <v>156</v>
      </c>
    </row>
    <row r="424" spans="1:32">
      <c r="A424" s="58">
        <v>35706</v>
      </c>
      <c r="C424" s="1">
        <v>9047</v>
      </c>
      <c r="D424" s="21">
        <f t="shared" si="14"/>
        <v>5.6028948289949809E-2</v>
      </c>
      <c r="E424" s="1">
        <v>9047</v>
      </c>
      <c r="F424" s="1">
        <v>0</v>
      </c>
      <c r="H424" s="1">
        <v>1842</v>
      </c>
      <c r="I424" s="21">
        <f t="shared" si="13"/>
        <v>4.3626062322946177E-2</v>
      </c>
      <c r="J424" s="1">
        <v>514</v>
      </c>
      <c r="K424" s="1">
        <v>303</v>
      </c>
      <c r="L424" s="1">
        <v>162</v>
      </c>
      <c r="O424" s="1">
        <v>141</v>
      </c>
      <c r="T424" s="1">
        <v>211</v>
      </c>
      <c r="Z424" s="1">
        <v>106</v>
      </c>
      <c r="AA424" s="1">
        <v>190</v>
      </c>
      <c r="AC424" s="1">
        <v>102</v>
      </c>
      <c r="AF424" s="1">
        <v>164</v>
      </c>
    </row>
    <row r="425" spans="1:32">
      <c r="A425" s="58">
        <v>35713</v>
      </c>
      <c r="C425" s="1">
        <v>8774</v>
      </c>
      <c r="D425" s="21">
        <f t="shared" si="14"/>
        <v>-3.0175748867027744E-2</v>
      </c>
      <c r="E425" s="1">
        <v>8774</v>
      </c>
      <c r="F425" s="1">
        <v>0</v>
      </c>
      <c r="H425" s="1">
        <v>1853</v>
      </c>
      <c r="I425" s="21">
        <f t="shared" si="13"/>
        <v>5.9717698154180239E-3</v>
      </c>
      <c r="J425" s="1">
        <v>433</v>
      </c>
      <c r="K425" s="1">
        <v>268</v>
      </c>
      <c r="L425" s="1">
        <v>124</v>
      </c>
      <c r="O425" s="1">
        <v>144</v>
      </c>
      <c r="T425" s="1">
        <v>166</v>
      </c>
      <c r="Z425" s="1">
        <v>115</v>
      </c>
      <c r="AA425" s="1">
        <v>219</v>
      </c>
      <c r="AC425" s="1">
        <v>127</v>
      </c>
      <c r="AF425" s="1">
        <v>178</v>
      </c>
    </row>
    <row r="426" spans="1:32">
      <c r="A426" s="58">
        <v>35720</v>
      </c>
      <c r="C426" s="1">
        <v>8638</v>
      </c>
      <c r="D426" s="21">
        <f t="shared" si="14"/>
        <v>-1.5500341919307043E-2</v>
      </c>
      <c r="E426" s="1">
        <v>8638</v>
      </c>
      <c r="F426" s="1">
        <v>0</v>
      </c>
      <c r="H426" s="1">
        <v>1835</v>
      </c>
      <c r="I426" s="21">
        <f t="shared" si="13"/>
        <v>-9.7139773340528864E-3</v>
      </c>
      <c r="J426" s="1">
        <v>428</v>
      </c>
      <c r="K426" s="1">
        <v>274</v>
      </c>
      <c r="L426" s="1">
        <v>162</v>
      </c>
      <c r="O426" s="1">
        <v>111</v>
      </c>
      <c r="T426" s="1">
        <v>155</v>
      </c>
      <c r="Z426" s="1">
        <v>120</v>
      </c>
      <c r="AA426" s="1">
        <v>233</v>
      </c>
      <c r="AC426" s="1">
        <v>131</v>
      </c>
      <c r="AF426" s="1">
        <v>198</v>
      </c>
    </row>
    <row r="427" spans="1:32">
      <c r="A427" s="58">
        <v>35727</v>
      </c>
      <c r="C427" s="1">
        <v>8374</v>
      </c>
      <c r="D427" s="21">
        <f t="shared" si="14"/>
        <v>-3.0562630238481131E-2</v>
      </c>
      <c r="E427" s="1">
        <v>8374</v>
      </c>
      <c r="F427" s="1">
        <v>0</v>
      </c>
      <c r="H427" s="1">
        <v>1723</v>
      </c>
      <c r="I427" s="21">
        <f t="shared" si="13"/>
        <v>-6.103542234332425E-2</v>
      </c>
      <c r="J427" s="1">
        <v>434</v>
      </c>
      <c r="K427" s="1">
        <v>302</v>
      </c>
      <c r="L427" s="1">
        <v>170</v>
      </c>
      <c r="O427" s="1">
        <v>132</v>
      </c>
      <c r="T427" s="1">
        <v>132</v>
      </c>
      <c r="Z427" s="1">
        <v>97</v>
      </c>
      <c r="AA427" s="1">
        <v>193</v>
      </c>
      <c r="AC427" s="1">
        <v>97</v>
      </c>
      <c r="AF427" s="1">
        <v>161</v>
      </c>
    </row>
    <row r="428" spans="1:32">
      <c r="A428" s="58">
        <v>35734</v>
      </c>
      <c r="C428" s="1">
        <v>7966</v>
      </c>
      <c r="D428" s="21">
        <f t="shared" si="14"/>
        <v>-4.8722235490804872E-2</v>
      </c>
      <c r="E428" s="1">
        <v>7966</v>
      </c>
      <c r="F428" s="1">
        <v>0</v>
      </c>
      <c r="H428" s="1">
        <v>1761</v>
      </c>
      <c r="I428" s="21">
        <f t="shared" si="13"/>
        <v>2.2054556006964595E-2</v>
      </c>
      <c r="J428" s="1">
        <v>425</v>
      </c>
      <c r="K428" s="1">
        <v>288</v>
      </c>
      <c r="L428" s="1">
        <v>171</v>
      </c>
      <c r="O428" s="1">
        <v>117</v>
      </c>
      <c r="T428" s="1">
        <v>137</v>
      </c>
      <c r="Z428" s="1">
        <v>102</v>
      </c>
      <c r="AA428" s="1">
        <v>224</v>
      </c>
      <c r="AC428" s="1">
        <v>117</v>
      </c>
      <c r="AF428" s="1">
        <v>156</v>
      </c>
    </row>
    <row r="429" spans="1:32">
      <c r="A429" s="58">
        <v>35741</v>
      </c>
      <c r="C429" s="1">
        <v>7793</v>
      </c>
      <c r="D429" s="21">
        <f t="shared" si="14"/>
        <v>-2.1717298518704495E-2</v>
      </c>
      <c r="E429" s="1">
        <v>7793</v>
      </c>
      <c r="F429" s="1">
        <v>0</v>
      </c>
      <c r="H429" s="1">
        <v>1699</v>
      </c>
      <c r="I429" s="21">
        <f t="shared" si="13"/>
        <v>-3.5207268597387847E-2</v>
      </c>
      <c r="J429" s="1">
        <v>456</v>
      </c>
      <c r="K429" s="1">
        <v>284</v>
      </c>
      <c r="L429" s="1">
        <v>176</v>
      </c>
      <c r="O429" s="1">
        <v>108</v>
      </c>
      <c r="T429" s="1">
        <v>172</v>
      </c>
      <c r="Z429" s="1">
        <v>81</v>
      </c>
      <c r="AA429" s="1">
        <v>204</v>
      </c>
      <c r="AC429" s="1">
        <v>114</v>
      </c>
      <c r="AF429" s="1">
        <v>147</v>
      </c>
    </row>
    <row r="430" spans="1:32">
      <c r="A430" s="58">
        <v>35748</v>
      </c>
      <c r="C430" s="1">
        <v>8158</v>
      </c>
      <c r="D430" s="21">
        <f t="shared" si="14"/>
        <v>4.6836904914667007E-2</v>
      </c>
      <c r="E430" s="1">
        <v>8158</v>
      </c>
      <c r="F430" s="1">
        <v>0</v>
      </c>
      <c r="H430" s="1">
        <v>1640</v>
      </c>
      <c r="I430" s="21">
        <f t="shared" si="13"/>
        <v>-3.4726309593878756E-2</v>
      </c>
      <c r="J430" s="1">
        <v>393</v>
      </c>
      <c r="K430" s="1">
        <v>254</v>
      </c>
      <c r="L430" s="1">
        <v>157</v>
      </c>
      <c r="O430" s="1">
        <v>97</v>
      </c>
      <c r="T430" s="1">
        <v>139</v>
      </c>
      <c r="Z430" s="1">
        <v>64</v>
      </c>
      <c r="AA430" s="1">
        <v>164</v>
      </c>
      <c r="AC430" s="1">
        <v>92</v>
      </c>
      <c r="AF430" s="1">
        <v>154</v>
      </c>
    </row>
    <row r="431" spans="1:32">
      <c r="A431" s="58">
        <v>35755</v>
      </c>
      <c r="C431" s="1">
        <v>8152</v>
      </c>
      <c r="D431" s="21">
        <f t="shared" si="14"/>
        <v>-7.3547438097572933E-4</v>
      </c>
      <c r="E431" s="1">
        <v>8152</v>
      </c>
      <c r="F431" s="1">
        <v>0</v>
      </c>
      <c r="H431" s="1">
        <v>1620</v>
      </c>
      <c r="I431" s="21">
        <f t="shared" si="13"/>
        <v>-1.2195121951219513E-2</v>
      </c>
      <c r="J431" s="1">
        <v>371</v>
      </c>
      <c r="K431" s="1">
        <v>253</v>
      </c>
      <c r="L431" s="1">
        <v>147</v>
      </c>
      <c r="O431" s="1">
        <v>106</v>
      </c>
      <c r="T431" s="1">
        <v>118</v>
      </c>
      <c r="Z431" s="1">
        <v>68</v>
      </c>
      <c r="AA431" s="1">
        <v>188</v>
      </c>
      <c r="AC431" s="1">
        <v>105</v>
      </c>
      <c r="AF431" s="1">
        <v>167</v>
      </c>
    </row>
    <row r="432" spans="1:32">
      <c r="A432" s="58">
        <v>35762</v>
      </c>
      <c r="C432" s="1">
        <v>8251</v>
      </c>
      <c r="D432" s="21">
        <f t="shared" si="14"/>
        <v>1.2144259077526988E-2</v>
      </c>
      <c r="E432" s="1">
        <v>8251</v>
      </c>
      <c r="F432" s="1">
        <v>0</v>
      </c>
      <c r="H432" s="1">
        <v>1490</v>
      </c>
      <c r="I432" s="21">
        <f t="shared" si="13"/>
        <v>-8.0246913580246909E-2</v>
      </c>
      <c r="J432" s="1">
        <v>354</v>
      </c>
      <c r="K432" s="1">
        <v>240</v>
      </c>
      <c r="L432" s="1">
        <v>163</v>
      </c>
      <c r="O432" s="1">
        <v>78</v>
      </c>
      <c r="T432" s="1">
        <v>114</v>
      </c>
      <c r="Z432" s="1">
        <v>51</v>
      </c>
      <c r="AA432" s="1">
        <v>162</v>
      </c>
      <c r="AC432" s="1">
        <v>87</v>
      </c>
      <c r="AF432" s="1">
        <v>147</v>
      </c>
    </row>
    <row r="433" spans="1:32">
      <c r="A433" s="58">
        <v>35769</v>
      </c>
      <c r="C433" s="1">
        <v>8370</v>
      </c>
      <c r="D433" s="21">
        <f t="shared" si="14"/>
        <v>1.4422494243122046E-2</v>
      </c>
      <c r="E433" s="1">
        <v>8370</v>
      </c>
      <c r="F433" s="1">
        <v>0</v>
      </c>
      <c r="H433" s="1">
        <v>1614</v>
      </c>
      <c r="I433" s="21">
        <f t="shared" si="13"/>
        <v>8.3221476510067116E-2</v>
      </c>
      <c r="J433" s="1">
        <v>338</v>
      </c>
      <c r="K433" s="1">
        <v>247</v>
      </c>
      <c r="L433" s="1">
        <v>163</v>
      </c>
      <c r="O433" s="1">
        <v>85</v>
      </c>
      <c r="T433" s="1">
        <v>91</v>
      </c>
      <c r="Z433" s="1">
        <v>58</v>
      </c>
      <c r="AA433" s="1">
        <v>152</v>
      </c>
      <c r="AC433" s="1">
        <v>66</v>
      </c>
      <c r="AF433" s="1">
        <v>194</v>
      </c>
    </row>
    <row r="434" spans="1:32">
      <c r="A434" s="58">
        <v>35776</v>
      </c>
      <c r="C434" s="1">
        <v>7787</v>
      </c>
      <c r="D434" s="21">
        <f t="shared" si="14"/>
        <v>-6.9653524492234165E-2</v>
      </c>
      <c r="E434" s="1">
        <v>7787</v>
      </c>
      <c r="F434" s="1">
        <v>0</v>
      </c>
      <c r="H434" s="1">
        <v>1573</v>
      </c>
      <c r="I434" s="21">
        <f t="shared" si="13"/>
        <v>-2.5402726146220571E-2</v>
      </c>
      <c r="J434" s="1">
        <v>382</v>
      </c>
      <c r="K434" s="1">
        <v>282</v>
      </c>
      <c r="L434" s="1">
        <v>177</v>
      </c>
      <c r="O434" s="1">
        <v>106</v>
      </c>
      <c r="T434" s="1">
        <v>100</v>
      </c>
      <c r="Z434" s="1">
        <v>56</v>
      </c>
      <c r="AA434" s="1">
        <v>194</v>
      </c>
      <c r="AC434" s="1">
        <v>84</v>
      </c>
      <c r="AF434" s="1">
        <v>163</v>
      </c>
    </row>
    <row r="435" spans="1:32">
      <c r="A435" s="58">
        <v>35783</v>
      </c>
      <c r="C435" s="1">
        <v>7928</v>
      </c>
      <c r="D435" s="21">
        <f t="shared" si="14"/>
        <v>1.8107101579555671E-2</v>
      </c>
      <c r="E435" s="1">
        <v>7928</v>
      </c>
      <c r="F435" s="1">
        <v>0</v>
      </c>
      <c r="H435" s="1">
        <v>1618</v>
      </c>
      <c r="I435" s="21">
        <f t="shared" si="13"/>
        <v>2.8607755880483154E-2</v>
      </c>
      <c r="J435" s="1">
        <v>389</v>
      </c>
      <c r="K435" s="1">
        <v>261</v>
      </c>
      <c r="L435" s="1">
        <v>175</v>
      </c>
      <c r="O435" s="1">
        <v>86</v>
      </c>
      <c r="T435" s="1">
        <v>128</v>
      </c>
      <c r="Z435" s="1">
        <v>55</v>
      </c>
      <c r="AA435" s="1">
        <v>182</v>
      </c>
      <c r="AC435" s="1">
        <v>73</v>
      </c>
      <c r="AF435" s="1">
        <v>167</v>
      </c>
    </row>
    <row r="436" spans="1:32">
      <c r="A436" s="58">
        <v>35790</v>
      </c>
      <c r="C436" s="1">
        <v>7577</v>
      </c>
      <c r="D436" s="21">
        <f t="shared" si="14"/>
        <v>-4.4273461150353181E-2</v>
      </c>
      <c r="E436" s="1">
        <v>7577</v>
      </c>
      <c r="F436" s="1">
        <v>0</v>
      </c>
      <c r="H436" s="1">
        <v>1692</v>
      </c>
      <c r="I436" s="21">
        <f t="shared" si="13"/>
        <v>4.573547589616811E-2</v>
      </c>
      <c r="J436" s="1">
        <v>368</v>
      </c>
      <c r="K436" s="1">
        <v>258</v>
      </c>
      <c r="L436" s="1">
        <v>151</v>
      </c>
      <c r="O436" s="1">
        <v>106</v>
      </c>
      <c r="T436" s="1">
        <v>110</v>
      </c>
      <c r="Z436" s="1">
        <v>65</v>
      </c>
      <c r="AA436" s="1">
        <v>224</v>
      </c>
      <c r="AC436" s="1">
        <v>99</v>
      </c>
      <c r="AF436" s="1">
        <v>217</v>
      </c>
    </row>
    <row r="437" spans="1:32">
      <c r="A437" s="58">
        <v>35797</v>
      </c>
      <c r="C437" s="1">
        <v>7386</v>
      </c>
      <c r="D437" s="21">
        <f t="shared" si="14"/>
        <v>-2.5207865909990763E-2</v>
      </c>
      <c r="E437" s="1">
        <v>7386</v>
      </c>
      <c r="F437" s="1">
        <v>0</v>
      </c>
      <c r="H437" s="1">
        <v>1564</v>
      </c>
      <c r="I437" s="21">
        <f t="shared" si="13"/>
        <v>-7.5650118203309691E-2</v>
      </c>
      <c r="J437" s="1">
        <v>379</v>
      </c>
      <c r="K437" s="1">
        <v>270</v>
      </c>
      <c r="L437" s="1">
        <v>144</v>
      </c>
      <c r="O437" s="1">
        <v>126</v>
      </c>
      <c r="T437" s="1">
        <v>109</v>
      </c>
      <c r="Z437" s="1">
        <v>58</v>
      </c>
      <c r="AA437" s="1">
        <v>216</v>
      </c>
      <c r="AC437" s="1">
        <v>91</v>
      </c>
      <c r="AF437" s="1">
        <v>202</v>
      </c>
    </row>
    <row r="438" spans="1:32">
      <c r="A438" s="58">
        <v>35804</v>
      </c>
      <c r="C438" s="1">
        <v>7784</v>
      </c>
      <c r="D438" s="21">
        <f t="shared" si="14"/>
        <v>5.388572975900352E-2</v>
      </c>
      <c r="E438" s="1">
        <v>7784</v>
      </c>
      <c r="F438" s="1">
        <v>0</v>
      </c>
      <c r="H438" s="1">
        <v>1611</v>
      </c>
      <c r="I438" s="21">
        <f t="shared" si="13"/>
        <v>3.0051150895140665E-2</v>
      </c>
      <c r="J438" s="1">
        <v>396</v>
      </c>
      <c r="K438" s="1">
        <v>296</v>
      </c>
      <c r="L438" s="1">
        <v>167</v>
      </c>
      <c r="O438" s="1">
        <v>129</v>
      </c>
      <c r="T438" s="1">
        <v>100</v>
      </c>
      <c r="Z438" s="1">
        <v>62</v>
      </c>
      <c r="AA438" s="1">
        <v>210</v>
      </c>
      <c r="AC438" s="1">
        <v>104</v>
      </c>
      <c r="AF438" s="1">
        <v>205</v>
      </c>
    </row>
    <row r="439" spans="1:32">
      <c r="A439" s="58">
        <v>35811</v>
      </c>
      <c r="C439" s="1">
        <v>7980</v>
      </c>
      <c r="D439" s="21">
        <f t="shared" si="14"/>
        <v>2.5179856115107913E-2</v>
      </c>
      <c r="E439" s="1">
        <v>7980</v>
      </c>
      <c r="F439" s="1">
        <v>0</v>
      </c>
      <c r="H439" s="1">
        <v>1602</v>
      </c>
      <c r="I439" s="21">
        <f t="shared" si="13"/>
        <v>-5.5865921787709499E-3</v>
      </c>
      <c r="J439" s="1">
        <v>388</v>
      </c>
      <c r="K439" s="1">
        <v>307</v>
      </c>
      <c r="L439" s="1">
        <v>192</v>
      </c>
      <c r="O439" s="1">
        <v>115</v>
      </c>
      <c r="T439" s="1">
        <v>80</v>
      </c>
      <c r="Z439" s="1">
        <v>57</v>
      </c>
      <c r="AA439" s="1">
        <v>208</v>
      </c>
      <c r="AC439" s="1">
        <v>125</v>
      </c>
      <c r="AF439" s="1">
        <v>199</v>
      </c>
    </row>
    <row r="440" spans="1:32">
      <c r="A440" s="58">
        <v>35818</v>
      </c>
      <c r="C440" s="1">
        <v>8262</v>
      </c>
      <c r="D440" s="21">
        <f t="shared" si="14"/>
        <v>3.5338345864661655E-2</v>
      </c>
      <c r="E440" s="1">
        <v>8262</v>
      </c>
      <c r="F440" s="1">
        <v>0</v>
      </c>
      <c r="H440" s="1">
        <v>1609</v>
      </c>
      <c r="I440" s="21">
        <f t="shared" si="13"/>
        <v>4.3695380774032462E-3</v>
      </c>
      <c r="J440" s="1">
        <v>398</v>
      </c>
      <c r="K440" s="1">
        <v>298</v>
      </c>
      <c r="L440" s="1">
        <v>175</v>
      </c>
      <c r="O440" s="1">
        <v>123</v>
      </c>
      <c r="T440" s="1">
        <v>100</v>
      </c>
      <c r="Z440" s="1">
        <v>53</v>
      </c>
      <c r="AA440" s="1">
        <v>178</v>
      </c>
      <c r="AC440" s="1">
        <v>94</v>
      </c>
      <c r="AF440" s="1">
        <v>176</v>
      </c>
    </row>
    <row r="441" spans="1:32">
      <c r="A441" s="58">
        <v>35825</v>
      </c>
      <c r="C441" s="1">
        <v>8314</v>
      </c>
      <c r="D441" s="21">
        <f t="shared" si="14"/>
        <v>6.2938755749213267E-3</v>
      </c>
      <c r="E441" s="1">
        <v>8314</v>
      </c>
      <c r="F441" s="1">
        <v>0</v>
      </c>
      <c r="H441" s="1">
        <v>1722</v>
      </c>
      <c r="I441" s="21">
        <f t="shared" si="13"/>
        <v>7.0229956494717222E-2</v>
      </c>
      <c r="J441" s="1">
        <v>417</v>
      </c>
      <c r="K441" s="1">
        <v>320</v>
      </c>
      <c r="L441" s="1">
        <v>213</v>
      </c>
      <c r="O441" s="1">
        <v>106</v>
      </c>
      <c r="T441" s="1">
        <v>98</v>
      </c>
      <c r="Z441" s="1">
        <v>61</v>
      </c>
      <c r="AA441" s="1">
        <v>191</v>
      </c>
      <c r="AC441" s="1">
        <v>117</v>
      </c>
      <c r="AF441" s="1">
        <v>166</v>
      </c>
    </row>
    <row r="442" spans="1:32">
      <c r="A442" s="58">
        <v>35832</v>
      </c>
      <c r="C442" s="1">
        <v>8211</v>
      </c>
      <c r="D442" s="21">
        <f t="shared" si="14"/>
        <v>-1.2388741881164301E-2</v>
      </c>
      <c r="E442" s="1">
        <v>8211</v>
      </c>
      <c r="F442" s="1">
        <v>0</v>
      </c>
      <c r="H442" s="1">
        <v>1763</v>
      </c>
      <c r="I442" s="21">
        <f t="shared" si="13"/>
        <v>2.3809523809523808E-2</v>
      </c>
      <c r="J442" s="1">
        <v>398</v>
      </c>
      <c r="K442" s="1">
        <v>272</v>
      </c>
      <c r="L442" s="1">
        <v>165</v>
      </c>
      <c r="O442" s="1">
        <v>107</v>
      </c>
      <c r="T442" s="1">
        <v>127</v>
      </c>
      <c r="Z442" s="1">
        <v>84</v>
      </c>
      <c r="AA442" s="1">
        <v>197</v>
      </c>
      <c r="AC442" s="1">
        <v>105</v>
      </c>
      <c r="AF442" s="1">
        <v>174</v>
      </c>
    </row>
    <row r="443" spans="1:32">
      <c r="A443" s="58">
        <v>35839</v>
      </c>
      <c r="C443" s="1">
        <v>8032</v>
      </c>
      <c r="D443" s="21">
        <f t="shared" si="14"/>
        <v>-2.1800024357569114E-2</v>
      </c>
      <c r="E443" s="1">
        <v>8032</v>
      </c>
      <c r="F443" s="1">
        <v>0</v>
      </c>
      <c r="H443" s="1">
        <v>1747</v>
      </c>
      <c r="I443" s="21">
        <f t="shared" si="13"/>
        <v>-9.0754395916052191E-3</v>
      </c>
      <c r="J443" s="1">
        <v>386</v>
      </c>
      <c r="K443" s="1">
        <v>255</v>
      </c>
      <c r="L443" s="1">
        <v>151</v>
      </c>
      <c r="O443" s="1">
        <v>103</v>
      </c>
      <c r="T443" s="1">
        <v>132</v>
      </c>
      <c r="Z443" s="1">
        <v>87</v>
      </c>
      <c r="AA443" s="1">
        <v>201</v>
      </c>
      <c r="AC443" s="1">
        <v>105</v>
      </c>
      <c r="AF443" s="1">
        <v>191</v>
      </c>
    </row>
    <row r="444" spans="1:32">
      <c r="A444" s="58">
        <v>35846</v>
      </c>
      <c r="C444" s="1">
        <v>7648</v>
      </c>
      <c r="D444" s="21">
        <f t="shared" si="14"/>
        <v>-4.7808764940239043E-2</v>
      </c>
      <c r="E444" s="1">
        <v>7648</v>
      </c>
      <c r="F444" s="1">
        <v>0</v>
      </c>
      <c r="H444" s="1">
        <v>1807</v>
      </c>
      <c r="I444" s="21">
        <f t="shared" si="13"/>
        <v>3.4344590726960507E-2</v>
      </c>
      <c r="J444" s="1">
        <v>403</v>
      </c>
      <c r="K444" s="1">
        <v>268</v>
      </c>
      <c r="L444" s="1">
        <v>161</v>
      </c>
      <c r="O444" s="1">
        <v>108</v>
      </c>
      <c r="T444" s="1">
        <v>134</v>
      </c>
      <c r="Z444" s="1">
        <v>96</v>
      </c>
      <c r="AA444" s="1">
        <v>215</v>
      </c>
      <c r="AC444" s="1">
        <v>123</v>
      </c>
      <c r="AF444" s="1">
        <v>202</v>
      </c>
    </row>
    <row r="445" spans="1:32">
      <c r="A445" s="58">
        <v>35853</v>
      </c>
      <c r="C445" s="1">
        <v>7579</v>
      </c>
      <c r="D445" s="21">
        <f t="shared" si="14"/>
        <v>-9.021966527196652E-3</v>
      </c>
      <c r="E445" s="1">
        <v>7579</v>
      </c>
      <c r="F445" s="1">
        <v>0</v>
      </c>
      <c r="H445" s="1">
        <v>1652</v>
      </c>
      <c r="I445" s="21">
        <f t="shared" si="13"/>
        <v>-8.5777531820697292E-2</v>
      </c>
      <c r="J445" s="1">
        <v>407</v>
      </c>
      <c r="K445" s="1">
        <v>273</v>
      </c>
      <c r="L445" s="1">
        <v>150</v>
      </c>
      <c r="O445" s="1">
        <v>123</v>
      </c>
      <c r="T445" s="1">
        <v>135</v>
      </c>
      <c r="Z445" s="1">
        <v>87</v>
      </c>
      <c r="AA445" s="1">
        <v>196</v>
      </c>
      <c r="AC445" s="1">
        <v>107</v>
      </c>
      <c r="AF445" s="1">
        <v>177</v>
      </c>
    </row>
    <row r="446" spans="1:32">
      <c r="A446" s="58">
        <v>35860</v>
      </c>
      <c r="C446" s="1">
        <v>7430</v>
      </c>
      <c r="D446" s="21">
        <f t="shared" si="14"/>
        <v>-1.9659585697321548E-2</v>
      </c>
      <c r="E446" s="1">
        <v>7430</v>
      </c>
      <c r="F446" s="1">
        <v>0</v>
      </c>
      <c r="H446" s="1">
        <v>1736</v>
      </c>
      <c r="I446" s="21">
        <f t="shared" si="13"/>
        <v>5.0847457627118647E-2</v>
      </c>
      <c r="J446" s="1">
        <v>406</v>
      </c>
      <c r="K446" s="1">
        <v>276</v>
      </c>
      <c r="L446" s="1">
        <v>164</v>
      </c>
      <c r="O446" s="1">
        <v>113</v>
      </c>
      <c r="T446" s="1">
        <v>129</v>
      </c>
      <c r="Z446" s="1">
        <v>97</v>
      </c>
      <c r="AA446" s="1">
        <v>219</v>
      </c>
      <c r="AC446" s="1">
        <v>123</v>
      </c>
      <c r="AF446" s="1">
        <v>202</v>
      </c>
    </row>
    <row r="447" spans="1:32">
      <c r="A447" s="58">
        <v>35867</v>
      </c>
      <c r="C447" s="1">
        <v>7290</v>
      </c>
      <c r="D447" s="21">
        <f t="shared" si="14"/>
        <v>-1.8842530282637954E-2</v>
      </c>
      <c r="E447" s="1">
        <v>7290</v>
      </c>
      <c r="F447" s="1">
        <v>0</v>
      </c>
      <c r="H447" s="1">
        <v>1822</v>
      </c>
      <c r="I447" s="21">
        <f t="shared" si="13"/>
        <v>4.9539170506912443E-2</v>
      </c>
      <c r="J447" s="1">
        <v>452</v>
      </c>
      <c r="K447" s="1">
        <v>314</v>
      </c>
      <c r="L447" s="1">
        <v>189</v>
      </c>
      <c r="O447" s="1">
        <v>125</v>
      </c>
      <c r="T447" s="1">
        <v>138</v>
      </c>
      <c r="Z447" s="1">
        <v>92</v>
      </c>
      <c r="AA447" s="1">
        <v>239</v>
      </c>
      <c r="AC447" s="1">
        <v>115</v>
      </c>
      <c r="AF447" s="1">
        <v>197</v>
      </c>
    </row>
    <row r="448" spans="1:32">
      <c r="A448" s="58">
        <v>35874</v>
      </c>
      <c r="C448" s="1">
        <v>7689</v>
      </c>
      <c r="D448" s="21">
        <f t="shared" si="14"/>
        <v>5.4732510288065847E-2</v>
      </c>
      <c r="E448" s="1">
        <v>7689</v>
      </c>
      <c r="F448" s="1">
        <v>0</v>
      </c>
      <c r="H448" s="1">
        <v>1723</v>
      </c>
      <c r="I448" s="21">
        <f t="shared" si="13"/>
        <v>-5.4335894621295282E-2</v>
      </c>
      <c r="J448" s="1">
        <v>426</v>
      </c>
      <c r="K448" s="1">
        <v>307</v>
      </c>
      <c r="L448" s="1">
        <v>195</v>
      </c>
      <c r="O448" s="1">
        <v>112</v>
      </c>
      <c r="T448" s="1">
        <v>119</v>
      </c>
      <c r="Z448" s="1">
        <v>82</v>
      </c>
      <c r="AA448" s="1">
        <v>210</v>
      </c>
      <c r="AC448" s="1">
        <v>105</v>
      </c>
      <c r="AF448" s="1">
        <v>169</v>
      </c>
    </row>
    <row r="449" spans="1:32">
      <c r="A449" s="58">
        <v>35881</v>
      </c>
      <c r="C449" s="1">
        <v>8200</v>
      </c>
      <c r="D449" s="21">
        <f t="shared" si="14"/>
        <v>6.6458577188190926E-2</v>
      </c>
      <c r="E449" s="1">
        <v>8200</v>
      </c>
      <c r="F449" s="1">
        <v>0</v>
      </c>
      <c r="H449" s="1">
        <v>1809</v>
      </c>
      <c r="I449" s="21">
        <f t="shared" si="13"/>
        <v>4.9912942542077773E-2</v>
      </c>
      <c r="J449" s="1">
        <v>388</v>
      </c>
      <c r="K449" s="1">
        <v>264</v>
      </c>
      <c r="L449" s="1">
        <v>164</v>
      </c>
      <c r="O449" s="1">
        <v>100</v>
      </c>
      <c r="T449" s="1">
        <v>124</v>
      </c>
      <c r="Z449" s="1">
        <v>97</v>
      </c>
      <c r="AA449" s="1">
        <v>247</v>
      </c>
      <c r="AC449" s="1">
        <v>118</v>
      </c>
      <c r="AF449" s="1">
        <v>167</v>
      </c>
    </row>
    <row r="450" spans="1:32">
      <c r="A450" s="58">
        <v>35888</v>
      </c>
      <c r="C450" s="1">
        <v>8298</v>
      </c>
      <c r="D450" s="21">
        <f t="shared" si="14"/>
        <v>1.1951219512195122E-2</v>
      </c>
      <c r="E450" s="1">
        <v>8298</v>
      </c>
      <c r="F450" s="1">
        <v>0</v>
      </c>
      <c r="H450" s="1">
        <v>1845</v>
      </c>
      <c r="I450" s="21">
        <f t="shared" si="13"/>
        <v>1.9900497512437811E-2</v>
      </c>
      <c r="J450" s="1">
        <v>455</v>
      </c>
      <c r="K450" s="1">
        <v>342</v>
      </c>
      <c r="L450" s="1">
        <v>216</v>
      </c>
      <c r="O450" s="1">
        <v>126</v>
      </c>
      <c r="T450" s="1">
        <v>114</v>
      </c>
      <c r="Z450" s="1">
        <v>62</v>
      </c>
      <c r="AA450" s="1">
        <v>239</v>
      </c>
      <c r="AC450" s="1">
        <v>121</v>
      </c>
      <c r="AF450" s="1">
        <v>203</v>
      </c>
    </row>
    <row r="451" spans="1:32">
      <c r="A451" s="58">
        <v>35895</v>
      </c>
      <c r="C451" s="1">
        <v>8464</v>
      </c>
      <c r="D451" s="21">
        <f t="shared" si="14"/>
        <v>2.0004820438659917E-2</v>
      </c>
      <c r="E451" s="1">
        <v>8464</v>
      </c>
      <c r="F451" s="1">
        <v>0</v>
      </c>
      <c r="H451" s="1">
        <v>1784</v>
      </c>
      <c r="I451" s="21">
        <f t="shared" si="13"/>
        <v>-3.3062330623306234E-2</v>
      </c>
      <c r="J451" s="1">
        <v>480</v>
      </c>
      <c r="K451" s="1">
        <v>335</v>
      </c>
      <c r="L451" s="1">
        <v>181</v>
      </c>
      <c r="O451" s="1">
        <v>154</v>
      </c>
      <c r="T451" s="1">
        <v>146</v>
      </c>
      <c r="Z451" s="1">
        <v>73</v>
      </c>
      <c r="AA451" s="1">
        <v>235</v>
      </c>
      <c r="AC451" s="1">
        <v>137</v>
      </c>
      <c r="AF451" s="1">
        <v>184</v>
      </c>
    </row>
    <row r="452" spans="1:32">
      <c r="A452" s="58">
        <v>35902</v>
      </c>
      <c r="C452" s="1">
        <v>8961</v>
      </c>
      <c r="D452" s="21">
        <f t="shared" si="14"/>
        <v>5.8719281663516067E-2</v>
      </c>
      <c r="E452" s="1">
        <v>8961</v>
      </c>
      <c r="F452" s="1">
        <v>0</v>
      </c>
      <c r="H452" s="1">
        <v>1899</v>
      </c>
      <c r="I452" s="21">
        <f t="shared" si="13"/>
        <v>6.4461883408071755E-2</v>
      </c>
      <c r="J452" s="1">
        <v>506</v>
      </c>
      <c r="K452" s="1">
        <v>340</v>
      </c>
      <c r="L452" s="1">
        <v>184</v>
      </c>
      <c r="O452" s="1">
        <v>156</v>
      </c>
      <c r="T452" s="1">
        <v>166</v>
      </c>
      <c r="Z452" s="1">
        <v>84</v>
      </c>
      <c r="AA452" s="1">
        <v>228</v>
      </c>
      <c r="AC452" s="1">
        <v>130</v>
      </c>
      <c r="AF452" s="1">
        <v>203</v>
      </c>
    </row>
    <row r="453" spans="1:32">
      <c r="A453" s="58">
        <v>35909</v>
      </c>
      <c r="C453" s="1">
        <v>8653</v>
      </c>
      <c r="D453" s="21">
        <f t="shared" si="14"/>
        <v>-3.4371163932596809E-2</v>
      </c>
      <c r="E453" s="1">
        <v>8653</v>
      </c>
      <c r="F453" s="1">
        <v>0</v>
      </c>
      <c r="H453" s="1">
        <v>1895</v>
      </c>
      <c r="I453" s="21">
        <f t="shared" si="13"/>
        <v>-2.1063717746182199E-3</v>
      </c>
      <c r="J453" s="1">
        <v>563</v>
      </c>
      <c r="K453" s="1">
        <v>355</v>
      </c>
      <c r="L453" s="1">
        <v>191</v>
      </c>
      <c r="O453" s="1">
        <v>164</v>
      </c>
      <c r="T453" s="1">
        <v>208</v>
      </c>
      <c r="Z453" s="1">
        <v>70</v>
      </c>
      <c r="AA453" s="1">
        <v>212</v>
      </c>
      <c r="AC453" s="1">
        <v>137</v>
      </c>
      <c r="AF453" s="1">
        <v>223</v>
      </c>
    </row>
    <row r="454" spans="1:32">
      <c r="A454" s="58">
        <v>35916</v>
      </c>
      <c r="C454" s="1">
        <v>8701</v>
      </c>
      <c r="D454" s="21">
        <f t="shared" si="14"/>
        <v>5.5472090604414652E-3</v>
      </c>
      <c r="E454" s="1">
        <v>8701</v>
      </c>
      <c r="F454" s="1">
        <v>0</v>
      </c>
      <c r="H454" s="1">
        <v>1798</v>
      </c>
      <c r="I454" s="21">
        <f t="shared" si="13"/>
        <v>-5.1187335092348282E-2</v>
      </c>
      <c r="J454" s="1">
        <v>531</v>
      </c>
      <c r="K454" s="1">
        <v>291</v>
      </c>
      <c r="L454" s="1">
        <v>134</v>
      </c>
      <c r="O454" s="1">
        <v>157</v>
      </c>
      <c r="T454" s="1">
        <v>240</v>
      </c>
      <c r="Z454" s="1">
        <v>76</v>
      </c>
      <c r="AA454" s="1">
        <v>171</v>
      </c>
      <c r="AC454" s="1">
        <v>114</v>
      </c>
      <c r="AF454" s="1">
        <v>177</v>
      </c>
    </row>
    <row r="455" spans="1:32">
      <c r="A455" s="58">
        <v>35923</v>
      </c>
      <c r="C455" s="1">
        <v>8768</v>
      </c>
      <c r="D455" s="21">
        <f t="shared" si="14"/>
        <v>7.7002643374324787E-3</v>
      </c>
      <c r="E455" s="1">
        <v>8768</v>
      </c>
      <c r="F455" s="1">
        <v>0</v>
      </c>
      <c r="H455" s="1">
        <v>1869</v>
      </c>
      <c r="I455" s="21">
        <f t="shared" si="13"/>
        <v>3.9488320355951054E-2</v>
      </c>
      <c r="J455" s="1">
        <v>546</v>
      </c>
      <c r="K455" s="1">
        <v>279</v>
      </c>
      <c r="L455" s="1">
        <v>134</v>
      </c>
      <c r="O455" s="1">
        <v>145</v>
      </c>
      <c r="T455" s="1">
        <v>267</v>
      </c>
      <c r="Z455" s="1">
        <v>72</v>
      </c>
      <c r="AA455" s="1">
        <v>139</v>
      </c>
      <c r="AC455" s="1">
        <v>94</v>
      </c>
      <c r="AF455" s="1">
        <v>184</v>
      </c>
    </row>
    <row r="456" spans="1:32">
      <c r="A456" s="58">
        <v>35930</v>
      </c>
      <c r="C456" s="1">
        <v>8352</v>
      </c>
      <c r="D456" s="21">
        <f t="shared" si="14"/>
        <v>-4.7445255474452552E-2</v>
      </c>
      <c r="E456" s="1">
        <v>8352</v>
      </c>
      <c r="F456" s="1">
        <v>0</v>
      </c>
      <c r="H456" s="1">
        <v>1865</v>
      </c>
      <c r="I456" s="21">
        <f t="shared" si="13"/>
        <v>-2.1401819154628142E-3</v>
      </c>
      <c r="J456" s="1">
        <v>564</v>
      </c>
      <c r="K456" s="1">
        <v>274</v>
      </c>
      <c r="L456" s="1">
        <v>136</v>
      </c>
      <c r="O456" s="1">
        <v>139</v>
      </c>
      <c r="T456" s="1">
        <v>289</v>
      </c>
      <c r="Z456" s="1">
        <v>86</v>
      </c>
      <c r="AA456" s="1">
        <v>190</v>
      </c>
      <c r="AC456" s="1">
        <v>132</v>
      </c>
      <c r="AF456" s="1">
        <v>202</v>
      </c>
    </row>
    <row r="457" spans="1:32">
      <c r="A457" s="58">
        <v>35937</v>
      </c>
      <c r="C457" s="1">
        <v>8347</v>
      </c>
      <c r="D457" s="21">
        <f t="shared" si="14"/>
        <v>-5.9865900383141758E-4</v>
      </c>
      <c r="E457" s="1">
        <v>8347</v>
      </c>
      <c r="F457" s="1">
        <v>0</v>
      </c>
      <c r="H457" s="1">
        <v>1871</v>
      </c>
      <c r="I457" s="21">
        <f t="shared" si="13"/>
        <v>3.2171581769436996E-3</v>
      </c>
      <c r="J457" s="1">
        <v>590</v>
      </c>
      <c r="K457" s="1">
        <v>299</v>
      </c>
      <c r="L457" s="1">
        <v>152</v>
      </c>
      <c r="O457" s="1">
        <v>148</v>
      </c>
      <c r="T457" s="1">
        <v>291</v>
      </c>
      <c r="Z457" s="1">
        <v>89</v>
      </c>
      <c r="AA457" s="1">
        <v>184</v>
      </c>
      <c r="AC457" s="1">
        <v>130</v>
      </c>
      <c r="AF457" s="1">
        <v>173</v>
      </c>
    </row>
    <row r="458" spans="1:32">
      <c r="A458" s="58">
        <v>35944</v>
      </c>
      <c r="C458" s="1">
        <v>8453</v>
      </c>
      <c r="D458" s="21">
        <f t="shared" si="14"/>
        <v>1.2699173355696657E-2</v>
      </c>
      <c r="E458" s="1">
        <v>8453</v>
      </c>
      <c r="F458" s="1">
        <v>0</v>
      </c>
      <c r="H458" s="1">
        <v>1920</v>
      </c>
      <c r="I458" s="21">
        <f t="shared" si="13"/>
        <v>2.6189203634420097E-2</v>
      </c>
      <c r="J458" s="1">
        <v>616</v>
      </c>
      <c r="K458" s="1">
        <v>325</v>
      </c>
      <c r="L458" s="1">
        <v>167</v>
      </c>
      <c r="O458" s="1">
        <v>158</v>
      </c>
      <c r="T458" s="1">
        <v>291</v>
      </c>
      <c r="Z458" s="1">
        <v>97</v>
      </c>
      <c r="AA458" s="1">
        <v>182</v>
      </c>
      <c r="AC458" s="1">
        <v>132</v>
      </c>
      <c r="AF458" s="1">
        <v>165</v>
      </c>
    </row>
    <row r="459" spans="1:32">
      <c r="A459" s="58">
        <v>35951</v>
      </c>
      <c r="C459" s="1">
        <v>8752</v>
      </c>
      <c r="D459" s="21">
        <f t="shared" si="14"/>
        <v>3.5372057257778304E-2</v>
      </c>
      <c r="E459" s="1">
        <v>8752</v>
      </c>
      <c r="F459" s="1">
        <v>0</v>
      </c>
      <c r="H459" s="1">
        <v>1978</v>
      </c>
      <c r="I459" s="21">
        <f t="shared" si="13"/>
        <v>3.0208333333333334E-2</v>
      </c>
      <c r="J459" s="1">
        <v>667</v>
      </c>
      <c r="K459" s="1">
        <v>379</v>
      </c>
      <c r="L459" s="1">
        <v>199</v>
      </c>
      <c r="O459" s="1">
        <v>180</v>
      </c>
      <c r="T459" s="1">
        <v>288</v>
      </c>
      <c r="Z459" s="1">
        <v>106</v>
      </c>
      <c r="AA459" s="1">
        <v>197</v>
      </c>
      <c r="AC459" s="1">
        <v>149</v>
      </c>
      <c r="AF459" s="1">
        <v>171</v>
      </c>
    </row>
    <row r="460" spans="1:32">
      <c r="A460" s="58">
        <v>35958</v>
      </c>
      <c r="C460" s="1">
        <v>8845</v>
      </c>
      <c r="D460" s="21">
        <f t="shared" si="14"/>
        <v>1.0626142595978062E-2</v>
      </c>
      <c r="E460" s="1">
        <v>8845</v>
      </c>
      <c r="F460" s="1">
        <v>0</v>
      </c>
      <c r="H460" s="1">
        <v>1937</v>
      </c>
      <c r="I460" s="21">
        <f t="shared" si="13"/>
        <v>-2.0728008088978768E-2</v>
      </c>
      <c r="J460" s="1">
        <v>657</v>
      </c>
      <c r="K460" s="1">
        <v>341</v>
      </c>
      <c r="L460" s="1">
        <v>172</v>
      </c>
      <c r="O460" s="1">
        <v>169</v>
      </c>
      <c r="T460" s="1">
        <v>316</v>
      </c>
      <c r="Z460" s="1">
        <v>87</v>
      </c>
      <c r="AA460" s="1">
        <v>170</v>
      </c>
      <c r="AC460" s="1">
        <v>117</v>
      </c>
      <c r="AF460" s="1">
        <v>155</v>
      </c>
    </row>
    <row r="461" spans="1:32">
      <c r="A461" s="58">
        <v>35965</v>
      </c>
      <c r="C461" s="1">
        <v>8903</v>
      </c>
      <c r="D461" s="21">
        <f t="shared" si="14"/>
        <v>6.5573770491803279E-3</v>
      </c>
      <c r="E461" s="1">
        <v>8903</v>
      </c>
      <c r="F461" s="1">
        <v>0</v>
      </c>
      <c r="H461" s="1">
        <v>1971</v>
      </c>
      <c r="I461" s="21">
        <f t="shared" si="13"/>
        <v>1.7552916881775942E-2</v>
      </c>
      <c r="J461" s="1">
        <v>644</v>
      </c>
      <c r="K461" s="1">
        <v>303</v>
      </c>
      <c r="L461" s="1">
        <v>155</v>
      </c>
      <c r="O461" s="1">
        <v>148</v>
      </c>
      <c r="T461" s="1">
        <v>341</v>
      </c>
      <c r="Z461" s="1">
        <v>83</v>
      </c>
      <c r="AA461" s="1">
        <v>172</v>
      </c>
      <c r="AC461" s="1">
        <v>113</v>
      </c>
      <c r="AF461" s="1">
        <v>174</v>
      </c>
    </row>
    <row r="462" spans="1:32">
      <c r="A462" s="58">
        <v>35972</v>
      </c>
      <c r="C462" s="1">
        <v>9223</v>
      </c>
      <c r="D462" s="21">
        <f t="shared" si="14"/>
        <v>3.5942940581826351E-2</v>
      </c>
      <c r="E462" s="1">
        <v>9223</v>
      </c>
      <c r="F462" s="1">
        <v>0</v>
      </c>
      <c r="H462" s="1">
        <v>1999</v>
      </c>
      <c r="I462" s="21">
        <f t="shared" si="13"/>
        <v>1.4205986808726534E-2</v>
      </c>
      <c r="J462" s="1">
        <v>674</v>
      </c>
      <c r="K462" s="1">
        <v>324</v>
      </c>
      <c r="L462" s="1">
        <v>171</v>
      </c>
      <c r="O462" s="1">
        <v>153</v>
      </c>
      <c r="T462" s="1">
        <v>349</v>
      </c>
      <c r="Z462" s="1">
        <v>83</v>
      </c>
      <c r="AA462" s="1">
        <v>198</v>
      </c>
      <c r="AC462" s="1">
        <v>116</v>
      </c>
      <c r="AF462" s="1">
        <v>190</v>
      </c>
    </row>
    <row r="463" spans="1:32">
      <c r="A463" s="58">
        <v>35979</v>
      </c>
      <c r="C463" s="1">
        <v>8698</v>
      </c>
      <c r="D463" s="21">
        <f t="shared" si="14"/>
        <v>-5.6922910116014309E-2</v>
      </c>
      <c r="E463" s="1">
        <v>8698</v>
      </c>
      <c r="F463" s="1">
        <v>0</v>
      </c>
      <c r="H463" s="1">
        <v>1885</v>
      </c>
      <c r="I463" s="21">
        <f t="shared" si="13"/>
        <v>-5.7028514257128564E-2</v>
      </c>
      <c r="J463" s="1">
        <v>583</v>
      </c>
      <c r="K463" s="1">
        <v>268</v>
      </c>
      <c r="L463" s="1">
        <v>146</v>
      </c>
      <c r="O463" s="1">
        <v>122</v>
      </c>
      <c r="T463" s="1">
        <v>315</v>
      </c>
      <c r="Z463" s="1">
        <v>59</v>
      </c>
      <c r="AA463" s="1">
        <v>188</v>
      </c>
      <c r="AC463" s="1">
        <v>110</v>
      </c>
      <c r="AF463" s="1">
        <v>186</v>
      </c>
    </row>
    <row r="464" spans="1:32">
      <c r="A464" s="58">
        <v>35986</v>
      </c>
      <c r="C464" s="1">
        <v>8791</v>
      </c>
      <c r="D464" s="21">
        <f t="shared" si="14"/>
        <v>1.0692113129455047E-2</v>
      </c>
      <c r="E464" s="1">
        <v>8791</v>
      </c>
      <c r="F464" s="1">
        <v>0</v>
      </c>
      <c r="H464" s="1">
        <v>1800</v>
      </c>
      <c r="I464" s="21">
        <f t="shared" si="13"/>
        <v>-4.5092838196286469E-2</v>
      </c>
      <c r="J464" s="1">
        <v>583</v>
      </c>
      <c r="K464" s="1">
        <v>286</v>
      </c>
      <c r="L464" s="1">
        <v>141</v>
      </c>
      <c r="O464" s="1">
        <v>146</v>
      </c>
      <c r="T464" s="1">
        <v>297</v>
      </c>
      <c r="Z464" s="1">
        <v>53</v>
      </c>
      <c r="AA464" s="1">
        <v>178</v>
      </c>
      <c r="AC464" s="1">
        <v>111</v>
      </c>
      <c r="AF464" s="1">
        <v>181</v>
      </c>
    </row>
    <row r="465" spans="1:32">
      <c r="A465" s="58">
        <v>35993</v>
      </c>
      <c r="C465" s="1">
        <v>9045</v>
      </c>
      <c r="D465" s="21">
        <f t="shared" si="14"/>
        <v>2.8893186213172564E-2</v>
      </c>
      <c r="E465" s="1">
        <v>9045</v>
      </c>
      <c r="F465" s="1">
        <v>0</v>
      </c>
      <c r="H465" s="1">
        <v>1821</v>
      </c>
      <c r="I465" s="21">
        <f t="shared" si="13"/>
        <v>1.1666666666666667E-2</v>
      </c>
      <c r="J465" s="1">
        <v>574</v>
      </c>
      <c r="K465" s="1">
        <v>317</v>
      </c>
      <c r="L465" s="1">
        <v>153</v>
      </c>
      <c r="O465" s="1">
        <v>164</v>
      </c>
      <c r="T465" s="1">
        <v>257</v>
      </c>
      <c r="Z465" s="1">
        <v>60</v>
      </c>
      <c r="AA465" s="1">
        <v>181</v>
      </c>
      <c r="AC465" s="1">
        <v>123</v>
      </c>
      <c r="AF465" s="1">
        <v>253</v>
      </c>
    </row>
    <row r="466" spans="1:32">
      <c r="A466" s="58">
        <v>36000</v>
      </c>
      <c r="C466" s="1">
        <v>8857</v>
      </c>
      <c r="D466" s="21">
        <f t="shared" si="14"/>
        <v>-2.0784964068546158E-2</v>
      </c>
      <c r="E466" s="1">
        <v>8857</v>
      </c>
      <c r="F466" s="1">
        <v>0</v>
      </c>
      <c r="H466" s="1">
        <v>1704</v>
      </c>
      <c r="I466" s="21">
        <f t="shared" si="13"/>
        <v>-6.4250411861614495E-2</v>
      </c>
      <c r="J466" s="1">
        <v>480</v>
      </c>
      <c r="K466" s="1">
        <v>225</v>
      </c>
      <c r="L466" s="1">
        <v>99</v>
      </c>
      <c r="O466" s="1">
        <v>126</v>
      </c>
      <c r="T466" s="1">
        <v>256</v>
      </c>
      <c r="Z466" s="1">
        <v>40</v>
      </c>
      <c r="AA466" s="1">
        <v>199</v>
      </c>
      <c r="AC466" s="1">
        <v>143</v>
      </c>
      <c r="AF466" s="1">
        <v>263</v>
      </c>
    </row>
    <row r="467" spans="1:32">
      <c r="A467" s="58">
        <v>36007</v>
      </c>
      <c r="C467" s="1">
        <v>9273</v>
      </c>
      <c r="D467" s="21">
        <f t="shared" si="14"/>
        <v>4.6968499491927287E-2</v>
      </c>
      <c r="E467" s="1">
        <v>9273</v>
      </c>
      <c r="F467" s="1">
        <v>0</v>
      </c>
      <c r="H467" s="1">
        <v>1685</v>
      </c>
      <c r="I467" s="21">
        <f t="shared" si="13"/>
        <v>-1.1150234741784037E-2</v>
      </c>
      <c r="J467" s="1">
        <v>502</v>
      </c>
      <c r="K467" s="1">
        <v>246</v>
      </c>
      <c r="L467" s="1">
        <v>117</v>
      </c>
      <c r="O467" s="1">
        <v>129</v>
      </c>
      <c r="T467" s="1">
        <v>255</v>
      </c>
      <c r="Z467" s="1">
        <v>46</v>
      </c>
      <c r="AA467" s="1">
        <v>231</v>
      </c>
      <c r="AC467" s="1">
        <v>155</v>
      </c>
      <c r="AF467" s="1">
        <v>266</v>
      </c>
    </row>
    <row r="468" spans="1:32">
      <c r="A468" s="58">
        <v>36014</v>
      </c>
      <c r="C468" s="1">
        <v>9297</v>
      </c>
      <c r="D468" s="21">
        <f t="shared" si="14"/>
        <v>2.5881591717890652E-3</v>
      </c>
      <c r="E468" s="1">
        <v>9297</v>
      </c>
      <c r="F468" s="1">
        <v>0</v>
      </c>
      <c r="H468" s="1">
        <v>1638</v>
      </c>
      <c r="I468" s="21">
        <f t="shared" si="13"/>
        <v>-2.7893175074183978E-2</v>
      </c>
      <c r="J468" s="1">
        <v>463</v>
      </c>
      <c r="K468" s="1">
        <v>226</v>
      </c>
      <c r="L468" s="1">
        <v>108</v>
      </c>
      <c r="O468" s="1">
        <v>118</v>
      </c>
      <c r="T468" s="1">
        <v>236</v>
      </c>
      <c r="Z468" s="1">
        <v>61</v>
      </c>
      <c r="AA468" s="1">
        <v>221</v>
      </c>
      <c r="AC468" s="1">
        <v>142</v>
      </c>
      <c r="AF468" s="1">
        <v>251</v>
      </c>
    </row>
    <row r="469" spans="1:32">
      <c r="A469" s="58">
        <v>36021</v>
      </c>
      <c r="C469" s="1">
        <v>9484</v>
      </c>
      <c r="D469" s="21">
        <f t="shared" si="14"/>
        <v>2.0114015273744217E-2</v>
      </c>
      <c r="E469" s="1">
        <v>9484</v>
      </c>
      <c r="F469" s="1">
        <v>0</v>
      </c>
      <c r="H469" s="1">
        <v>1721</v>
      </c>
      <c r="I469" s="21">
        <f t="shared" si="13"/>
        <v>5.0671550671550672E-2</v>
      </c>
      <c r="J469" s="1">
        <v>510</v>
      </c>
      <c r="K469" s="1">
        <v>290</v>
      </c>
      <c r="L469" s="1">
        <v>156</v>
      </c>
      <c r="O469" s="1">
        <v>135</v>
      </c>
      <c r="T469" s="1">
        <v>220</v>
      </c>
      <c r="Z469" s="1">
        <v>55</v>
      </c>
      <c r="AA469" s="1">
        <v>235</v>
      </c>
      <c r="AC469" s="1">
        <v>143</v>
      </c>
      <c r="AF469" s="1">
        <v>227</v>
      </c>
    </row>
    <row r="470" spans="1:32">
      <c r="A470" s="58">
        <v>36028</v>
      </c>
      <c r="C470" s="1">
        <v>9416</v>
      </c>
      <c r="D470" s="21">
        <f t="shared" si="14"/>
        <v>-7.169970476592155E-3</v>
      </c>
      <c r="E470" s="1">
        <v>9416</v>
      </c>
      <c r="F470" s="1">
        <v>0</v>
      </c>
      <c r="H470" s="1">
        <v>1744</v>
      </c>
      <c r="I470" s="21">
        <f t="shared" si="13"/>
        <v>1.3364323067983731E-2</v>
      </c>
      <c r="J470" s="1">
        <v>545</v>
      </c>
      <c r="K470" s="1">
        <v>339</v>
      </c>
      <c r="L470" s="1">
        <v>198</v>
      </c>
      <c r="O470" s="1">
        <v>141</v>
      </c>
      <c r="T470" s="1">
        <v>207</v>
      </c>
      <c r="Z470" s="1">
        <v>64</v>
      </c>
      <c r="AA470" s="1">
        <v>180</v>
      </c>
      <c r="AC470" s="1">
        <v>104</v>
      </c>
      <c r="AF470" s="1">
        <v>270</v>
      </c>
    </row>
    <row r="471" spans="1:32">
      <c r="A471" s="58">
        <v>36035</v>
      </c>
      <c r="C471" s="1">
        <v>9419</v>
      </c>
      <c r="D471" s="21">
        <f t="shared" si="14"/>
        <v>3.1860662701784198E-4</v>
      </c>
      <c r="E471" s="1">
        <v>9419</v>
      </c>
      <c r="F471" s="1">
        <v>0</v>
      </c>
      <c r="H471" s="1">
        <v>1776</v>
      </c>
      <c r="I471" s="21">
        <f t="shared" si="13"/>
        <v>1.834862385321101E-2</v>
      </c>
      <c r="J471" s="1">
        <v>520</v>
      </c>
      <c r="K471" s="1">
        <v>353</v>
      </c>
      <c r="L471" s="1">
        <v>193</v>
      </c>
      <c r="O471" s="1">
        <v>160</v>
      </c>
      <c r="T471" s="1">
        <v>167</v>
      </c>
      <c r="Z471" s="1">
        <v>60</v>
      </c>
      <c r="AA471" s="1">
        <v>181</v>
      </c>
      <c r="AC471" s="1">
        <v>103</v>
      </c>
      <c r="AF471" s="1">
        <v>310</v>
      </c>
    </row>
    <row r="472" spans="1:32">
      <c r="A472" s="58">
        <v>36042</v>
      </c>
      <c r="C472" s="1">
        <v>9204</v>
      </c>
      <c r="D472" s="21">
        <f t="shared" si="14"/>
        <v>-2.2826202356938104E-2</v>
      </c>
      <c r="E472" s="1">
        <v>9204</v>
      </c>
      <c r="F472" s="1">
        <v>0</v>
      </c>
      <c r="H472" s="1">
        <v>1832</v>
      </c>
      <c r="I472" s="21">
        <f t="shared" si="13"/>
        <v>3.1531531531531529E-2</v>
      </c>
      <c r="J472" s="1">
        <v>524</v>
      </c>
      <c r="K472" s="1">
        <v>385</v>
      </c>
      <c r="L472" s="1">
        <v>221</v>
      </c>
      <c r="O472" s="1">
        <v>163</v>
      </c>
      <c r="T472" s="1">
        <v>139</v>
      </c>
      <c r="Z472" s="1">
        <v>70</v>
      </c>
      <c r="AA472" s="1">
        <v>181</v>
      </c>
      <c r="AC472" s="1">
        <v>112</v>
      </c>
      <c r="AF472" s="1">
        <v>325</v>
      </c>
    </row>
    <row r="473" spans="1:32">
      <c r="A473" s="58">
        <v>36049</v>
      </c>
      <c r="C473" s="1">
        <v>8873</v>
      </c>
      <c r="D473" s="21">
        <f t="shared" si="14"/>
        <v>-3.5962624945675793E-2</v>
      </c>
      <c r="E473" s="1">
        <v>8873</v>
      </c>
      <c r="F473" s="1">
        <v>0</v>
      </c>
      <c r="H473" s="1">
        <v>1729</v>
      </c>
      <c r="I473" s="21">
        <f t="shared" si="13"/>
        <v>-5.6222707423580785E-2</v>
      </c>
      <c r="J473" s="1">
        <v>460</v>
      </c>
      <c r="K473" s="1">
        <v>323</v>
      </c>
      <c r="L473" s="1">
        <v>161</v>
      </c>
      <c r="O473" s="1">
        <v>162</v>
      </c>
      <c r="T473" s="1">
        <v>137</v>
      </c>
      <c r="Z473" s="1">
        <v>63</v>
      </c>
      <c r="AA473" s="1">
        <v>173</v>
      </c>
      <c r="AC473" s="1">
        <v>98</v>
      </c>
      <c r="AF473" s="1">
        <v>291</v>
      </c>
    </row>
    <row r="474" spans="1:32">
      <c r="A474" s="58">
        <v>36056</v>
      </c>
      <c r="C474" s="1">
        <v>8493</v>
      </c>
      <c r="D474" s="21">
        <f t="shared" si="14"/>
        <v>-4.2826552462526764E-2</v>
      </c>
      <c r="E474" s="1">
        <v>8493</v>
      </c>
      <c r="F474" s="1">
        <v>0</v>
      </c>
      <c r="H474" s="1">
        <v>1794</v>
      </c>
      <c r="I474" s="21">
        <f t="shared" ref="I474:I537" si="15">(H474-H473)/H473</f>
        <v>3.7593984962406013E-2</v>
      </c>
      <c r="J474" s="1">
        <v>455</v>
      </c>
      <c r="K474" s="1">
        <v>333</v>
      </c>
      <c r="L474" s="1">
        <v>168</v>
      </c>
      <c r="O474" s="1">
        <v>165</v>
      </c>
      <c r="T474" s="1">
        <v>122</v>
      </c>
      <c r="Z474" s="1">
        <v>65</v>
      </c>
      <c r="AA474" s="1">
        <v>222</v>
      </c>
      <c r="AC474" s="1">
        <v>145</v>
      </c>
      <c r="AF474" s="1">
        <v>283</v>
      </c>
    </row>
    <row r="475" spans="1:32">
      <c r="A475" s="58">
        <v>36063</v>
      </c>
      <c r="C475" s="1">
        <v>8427</v>
      </c>
      <c r="D475" s="21">
        <f t="shared" si="14"/>
        <v>-7.7711056163899681E-3</v>
      </c>
      <c r="E475" s="1">
        <v>8427</v>
      </c>
      <c r="F475" s="1">
        <v>0</v>
      </c>
      <c r="H475" s="1">
        <v>1777</v>
      </c>
      <c r="I475" s="21">
        <f t="shared" si="15"/>
        <v>-9.47603121516165E-3</v>
      </c>
      <c r="J475" s="1">
        <v>456</v>
      </c>
      <c r="K475" s="1">
        <v>300</v>
      </c>
      <c r="L475" s="1">
        <v>148</v>
      </c>
      <c r="O475" s="1">
        <v>153</v>
      </c>
      <c r="T475" s="1">
        <v>156</v>
      </c>
      <c r="Z475" s="1">
        <v>69</v>
      </c>
      <c r="AA475" s="1">
        <v>173</v>
      </c>
      <c r="AC475" s="1">
        <v>113</v>
      </c>
      <c r="AF475" s="1">
        <v>224</v>
      </c>
    </row>
    <row r="476" spans="1:32">
      <c r="A476" s="58">
        <v>36070</v>
      </c>
      <c r="C476" s="1">
        <v>8361</v>
      </c>
      <c r="D476" s="21">
        <f t="shared" si="14"/>
        <v>-7.8319686721253119E-3</v>
      </c>
      <c r="E476" s="1">
        <v>8361</v>
      </c>
      <c r="F476" s="1">
        <v>0</v>
      </c>
      <c r="H476" s="1">
        <v>1872</v>
      </c>
      <c r="I476" s="21">
        <f t="shared" si="15"/>
        <v>5.346088913899831E-2</v>
      </c>
      <c r="J476" s="1">
        <v>516</v>
      </c>
      <c r="K476" s="1">
        <v>327</v>
      </c>
      <c r="L476" s="1">
        <v>175</v>
      </c>
      <c r="O476" s="1">
        <v>152</v>
      </c>
      <c r="T476" s="1">
        <v>190</v>
      </c>
      <c r="Z476" s="1">
        <v>55</v>
      </c>
      <c r="AA476" s="1">
        <v>202</v>
      </c>
      <c r="AC476" s="1">
        <v>129</v>
      </c>
      <c r="AF476" s="1">
        <v>226</v>
      </c>
    </row>
    <row r="477" spans="1:32">
      <c r="A477" s="58">
        <v>36077</v>
      </c>
      <c r="C477" s="1">
        <v>8369</v>
      </c>
      <c r="D477" s="21">
        <f t="shared" ref="D477:D540" si="16">(C477-C476)/C476</f>
        <v>9.5682334648965433E-4</v>
      </c>
      <c r="E477" s="1">
        <v>8369</v>
      </c>
      <c r="F477" s="1">
        <v>0</v>
      </c>
      <c r="H477" s="1">
        <v>1926</v>
      </c>
      <c r="I477" s="21">
        <f t="shared" si="15"/>
        <v>2.8846153846153848E-2</v>
      </c>
      <c r="J477" s="1">
        <v>504</v>
      </c>
      <c r="K477" s="1">
        <v>297</v>
      </c>
      <c r="L477" s="1">
        <v>179</v>
      </c>
      <c r="O477" s="1">
        <v>118</v>
      </c>
      <c r="T477" s="1">
        <v>207</v>
      </c>
      <c r="Z477" s="1">
        <v>60</v>
      </c>
      <c r="AA477" s="1">
        <v>219</v>
      </c>
      <c r="AC477" s="1">
        <v>115</v>
      </c>
      <c r="AF477" s="1">
        <v>247</v>
      </c>
    </row>
    <row r="478" spans="1:32">
      <c r="A478" s="58">
        <v>36084</v>
      </c>
      <c r="C478" s="1">
        <v>8539</v>
      </c>
      <c r="D478" s="21">
        <f t="shared" si="16"/>
        <v>2.0313060102760187E-2</v>
      </c>
      <c r="E478" s="1">
        <v>8539</v>
      </c>
      <c r="F478" s="1">
        <v>0</v>
      </c>
      <c r="H478" s="1">
        <v>1890</v>
      </c>
      <c r="I478" s="21">
        <f t="shared" si="15"/>
        <v>-1.8691588785046728E-2</v>
      </c>
      <c r="J478" s="1">
        <v>497</v>
      </c>
      <c r="K478" s="1">
        <v>322</v>
      </c>
      <c r="L478" s="1">
        <v>188</v>
      </c>
      <c r="O478" s="1">
        <v>134</v>
      </c>
      <c r="T478" s="1">
        <v>175</v>
      </c>
      <c r="Z478" s="1">
        <v>73</v>
      </c>
      <c r="AA478" s="1">
        <v>196</v>
      </c>
      <c r="AC478" s="1">
        <v>80</v>
      </c>
      <c r="AF478" s="1">
        <v>183</v>
      </c>
    </row>
    <row r="479" spans="1:32">
      <c r="A479" s="58">
        <v>36091</v>
      </c>
      <c r="C479" s="1">
        <v>8305</v>
      </c>
      <c r="D479" s="21">
        <f t="shared" si="16"/>
        <v>-2.7403677245579107E-2</v>
      </c>
      <c r="E479" s="1">
        <v>8305</v>
      </c>
      <c r="F479" s="1">
        <v>0</v>
      </c>
      <c r="H479" s="1">
        <v>1895</v>
      </c>
      <c r="I479" s="21">
        <f t="shared" si="15"/>
        <v>2.6455026455026454E-3</v>
      </c>
      <c r="J479" s="1">
        <v>495</v>
      </c>
      <c r="K479" s="1">
        <v>334</v>
      </c>
      <c r="L479" s="1">
        <v>214</v>
      </c>
      <c r="O479" s="1">
        <v>120</v>
      </c>
      <c r="T479" s="1">
        <v>161</v>
      </c>
      <c r="Z479" s="1">
        <v>67</v>
      </c>
      <c r="AA479" s="1">
        <v>221</v>
      </c>
      <c r="AC479" s="1">
        <v>101</v>
      </c>
      <c r="AF479" s="1">
        <v>261</v>
      </c>
    </row>
    <row r="480" spans="1:32">
      <c r="A480" s="58">
        <v>36098</v>
      </c>
      <c r="C480" s="1">
        <v>8300</v>
      </c>
      <c r="D480" s="21">
        <f t="shared" si="16"/>
        <v>-6.020469596628537E-4</v>
      </c>
      <c r="E480" s="1">
        <v>8300</v>
      </c>
      <c r="F480" s="1">
        <v>0</v>
      </c>
      <c r="H480" s="1">
        <v>1949</v>
      </c>
      <c r="I480" s="21">
        <f t="shared" si="15"/>
        <v>2.849604221635884E-2</v>
      </c>
      <c r="J480" s="1">
        <v>507</v>
      </c>
      <c r="K480" s="1">
        <v>312</v>
      </c>
      <c r="L480" s="1">
        <v>186</v>
      </c>
      <c r="O480" s="1">
        <v>127</v>
      </c>
      <c r="T480" s="1">
        <v>195</v>
      </c>
      <c r="Z480" s="1">
        <v>75</v>
      </c>
      <c r="AA480" s="1">
        <v>201</v>
      </c>
      <c r="AC480" s="1">
        <v>95</v>
      </c>
      <c r="AF480" s="1">
        <v>292</v>
      </c>
    </row>
    <row r="481" spans="1:32">
      <c r="A481" s="58">
        <v>36105</v>
      </c>
      <c r="C481" s="1">
        <v>8364</v>
      </c>
      <c r="D481" s="21">
        <f t="shared" si="16"/>
        <v>7.7108433734939755E-3</v>
      </c>
      <c r="E481" s="1">
        <v>8364</v>
      </c>
      <c r="F481" s="1">
        <v>0</v>
      </c>
      <c r="H481" s="1">
        <v>1822</v>
      </c>
      <c r="I481" s="21">
        <f t="shared" si="15"/>
        <v>-6.5161621344279122E-2</v>
      </c>
      <c r="J481" s="1">
        <v>521</v>
      </c>
      <c r="K481" s="1">
        <v>312</v>
      </c>
      <c r="L481" s="1">
        <v>194</v>
      </c>
      <c r="O481" s="1">
        <v>118</v>
      </c>
      <c r="T481" s="1">
        <v>209</v>
      </c>
      <c r="Z481" s="1">
        <v>79</v>
      </c>
      <c r="AA481" s="1">
        <v>159</v>
      </c>
      <c r="AC481" s="1">
        <v>93</v>
      </c>
      <c r="AF481" s="1">
        <v>274</v>
      </c>
    </row>
    <row r="482" spans="1:32">
      <c r="A482" s="58">
        <v>36112</v>
      </c>
      <c r="C482" s="1">
        <v>8267</v>
      </c>
      <c r="D482" s="21">
        <f t="shared" si="16"/>
        <v>-1.1597321855571496E-2</v>
      </c>
      <c r="E482" s="1">
        <v>8267</v>
      </c>
      <c r="F482" s="1">
        <v>0</v>
      </c>
      <c r="H482" s="1">
        <v>1888</v>
      </c>
      <c r="I482" s="21">
        <f t="shared" si="15"/>
        <v>3.6223929747530186E-2</v>
      </c>
      <c r="J482" s="1">
        <v>525</v>
      </c>
      <c r="K482" s="1">
        <v>245</v>
      </c>
      <c r="L482" s="1">
        <v>137</v>
      </c>
      <c r="O482" s="1">
        <v>108</v>
      </c>
      <c r="T482" s="1">
        <v>280</v>
      </c>
      <c r="Z482" s="1">
        <v>77</v>
      </c>
      <c r="AA482" s="1">
        <v>161</v>
      </c>
      <c r="AC482" s="1">
        <v>86</v>
      </c>
      <c r="AF482" s="1">
        <v>317</v>
      </c>
    </row>
    <row r="483" spans="1:32">
      <c r="A483" s="58">
        <v>36119</v>
      </c>
      <c r="C483" s="1">
        <v>8598</v>
      </c>
      <c r="D483" s="21">
        <f t="shared" si="16"/>
        <v>4.0038708116608202E-2</v>
      </c>
      <c r="E483" s="1">
        <v>8598</v>
      </c>
      <c r="F483" s="1">
        <v>0</v>
      </c>
      <c r="H483" s="1">
        <v>1820</v>
      </c>
      <c r="I483" s="21">
        <f t="shared" si="15"/>
        <v>-3.6016949152542374E-2</v>
      </c>
      <c r="J483" s="1">
        <v>553</v>
      </c>
      <c r="K483" s="1">
        <v>256</v>
      </c>
      <c r="L483" s="1">
        <v>162</v>
      </c>
      <c r="O483" s="1">
        <v>93</v>
      </c>
      <c r="T483" s="1">
        <v>298</v>
      </c>
      <c r="Z483" s="1">
        <v>77</v>
      </c>
      <c r="AA483" s="1">
        <v>176</v>
      </c>
      <c r="AC483" s="1">
        <v>104</v>
      </c>
      <c r="AF483" s="1">
        <v>280</v>
      </c>
    </row>
    <row r="484" spans="1:32">
      <c r="A484" s="58">
        <v>36126</v>
      </c>
      <c r="C484" s="1">
        <v>8542</v>
      </c>
      <c r="D484" s="21">
        <f t="shared" si="16"/>
        <v>-6.5131425913003025E-3</v>
      </c>
      <c r="E484" s="1">
        <v>8542</v>
      </c>
      <c r="F484" s="1">
        <v>0</v>
      </c>
      <c r="H484" s="1">
        <v>1702</v>
      </c>
      <c r="I484" s="21">
        <f t="shared" si="15"/>
        <v>-6.4835164835164841E-2</v>
      </c>
      <c r="J484" s="1">
        <v>499</v>
      </c>
      <c r="K484" s="1">
        <v>240</v>
      </c>
      <c r="L484" s="1">
        <v>155</v>
      </c>
      <c r="O484" s="1">
        <v>86</v>
      </c>
      <c r="T484" s="1">
        <v>259</v>
      </c>
      <c r="Z484" s="1">
        <v>66</v>
      </c>
      <c r="AA484" s="1">
        <v>183</v>
      </c>
      <c r="AC484" s="1">
        <v>93</v>
      </c>
      <c r="AF484" s="1">
        <v>256</v>
      </c>
    </row>
    <row r="485" spans="1:32">
      <c r="A485" s="58">
        <v>36133</v>
      </c>
      <c r="C485" s="1">
        <v>8620</v>
      </c>
      <c r="D485" s="21">
        <f t="shared" si="16"/>
        <v>9.1313509716693976E-3</v>
      </c>
      <c r="E485" s="1">
        <v>8620</v>
      </c>
      <c r="F485" s="1">
        <v>0</v>
      </c>
      <c r="H485" s="1">
        <v>1732</v>
      </c>
      <c r="I485" s="21">
        <f t="shared" si="15"/>
        <v>1.7626321974148061E-2</v>
      </c>
      <c r="J485" s="1">
        <v>492</v>
      </c>
      <c r="K485" s="1">
        <v>238</v>
      </c>
      <c r="L485" s="1">
        <v>150</v>
      </c>
      <c r="O485" s="1">
        <v>88</v>
      </c>
      <c r="T485" s="1">
        <v>254</v>
      </c>
      <c r="Z485" s="1">
        <v>68</v>
      </c>
      <c r="AA485" s="1">
        <v>197</v>
      </c>
      <c r="AC485" s="1">
        <v>101</v>
      </c>
      <c r="AF485" s="1">
        <v>272</v>
      </c>
    </row>
    <row r="486" spans="1:32">
      <c r="A486" s="58">
        <v>36140</v>
      </c>
      <c r="C486" s="1">
        <v>8966</v>
      </c>
      <c r="D486" s="21">
        <f t="shared" si="16"/>
        <v>4.0139211136890951E-2</v>
      </c>
      <c r="E486" s="1">
        <v>8966</v>
      </c>
      <c r="F486" s="1">
        <v>0</v>
      </c>
      <c r="H486" s="1">
        <v>1695</v>
      </c>
      <c r="I486" s="21">
        <f t="shared" si="15"/>
        <v>-2.1362586605080832E-2</v>
      </c>
      <c r="J486" s="1">
        <v>555</v>
      </c>
      <c r="K486" s="1">
        <v>309</v>
      </c>
      <c r="L486" s="1">
        <v>220</v>
      </c>
      <c r="O486" s="1">
        <v>89</v>
      </c>
      <c r="T486" s="1">
        <v>246</v>
      </c>
      <c r="Z486" s="1">
        <v>67</v>
      </c>
      <c r="AA486" s="1">
        <v>226</v>
      </c>
      <c r="AC486" s="1">
        <v>124</v>
      </c>
      <c r="AF486" s="1">
        <v>236</v>
      </c>
    </row>
    <row r="487" spans="1:32">
      <c r="A487" s="58">
        <v>36147</v>
      </c>
      <c r="C487" s="1">
        <v>8789</v>
      </c>
      <c r="D487" s="21">
        <f t="shared" si="16"/>
        <v>-1.9741244702208342E-2</v>
      </c>
      <c r="E487" s="1">
        <v>8789</v>
      </c>
      <c r="F487" s="1">
        <v>0</v>
      </c>
      <c r="H487" s="1">
        <v>1848</v>
      </c>
      <c r="I487" s="21">
        <f t="shared" si="15"/>
        <v>9.0265486725663716E-2</v>
      </c>
      <c r="J487" s="1">
        <v>532</v>
      </c>
      <c r="K487" s="1">
        <v>291</v>
      </c>
      <c r="L487" s="1">
        <v>186</v>
      </c>
      <c r="O487" s="1">
        <v>106</v>
      </c>
      <c r="T487" s="1">
        <v>241</v>
      </c>
      <c r="Z487" s="1">
        <v>95</v>
      </c>
      <c r="AA487" s="1">
        <v>244</v>
      </c>
      <c r="AC487" s="1">
        <v>108</v>
      </c>
      <c r="AF487" s="1">
        <v>262</v>
      </c>
    </row>
    <row r="488" spans="1:32">
      <c r="A488" s="58">
        <v>36154</v>
      </c>
      <c r="C488" s="1">
        <v>9040</v>
      </c>
      <c r="D488" s="21">
        <f t="shared" si="16"/>
        <v>2.8558425304357721E-2</v>
      </c>
      <c r="E488" s="1">
        <v>9040</v>
      </c>
      <c r="F488" s="1">
        <v>0</v>
      </c>
      <c r="H488" s="1">
        <v>1854</v>
      </c>
      <c r="I488" s="21">
        <f t="shared" si="15"/>
        <v>3.246753246753247E-3</v>
      </c>
      <c r="J488" s="1">
        <v>525</v>
      </c>
      <c r="K488" s="1">
        <v>289</v>
      </c>
      <c r="L488" s="1">
        <v>194</v>
      </c>
      <c r="O488" s="1">
        <v>95</v>
      </c>
      <c r="T488" s="1">
        <v>236</v>
      </c>
      <c r="Z488" s="1">
        <v>108</v>
      </c>
      <c r="AA488" s="1">
        <v>243</v>
      </c>
      <c r="AC488" s="1">
        <v>108</v>
      </c>
      <c r="AF488" s="1">
        <v>259</v>
      </c>
    </row>
    <row r="489" spans="1:32">
      <c r="A489" s="58">
        <v>36161</v>
      </c>
      <c r="C489" s="1">
        <v>8624</v>
      </c>
      <c r="D489" s="21">
        <f t="shared" si="16"/>
        <v>-4.6017699115044247E-2</v>
      </c>
      <c r="E489" s="1">
        <v>8624</v>
      </c>
      <c r="F489" s="1">
        <v>0</v>
      </c>
      <c r="H489" s="1">
        <v>1907</v>
      </c>
      <c r="I489" s="21">
        <f t="shared" si="15"/>
        <v>2.8586839266450916E-2</v>
      </c>
      <c r="J489" s="1">
        <v>575</v>
      </c>
      <c r="K489" s="1">
        <v>338</v>
      </c>
      <c r="L489" s="1">
        <v>225</v>
      </c>
      <c r="O489" s="1">
        <v>113</v>
      </c>
      <c r="T489" s="1">
        <v>237</v>
      </c>
      <c r="Z489" s="1">
        <v>117</v>
      </c>
      <c r="AA489" s="1">
        <v>240</v>
      </c>
      <c r="AC489" s="1">
        <v>113</v>
      </c>
      <c r="AF489" s="1">
        <v>254</v>
      </c>
    </row>
    <row r="490" spans="1:32">
      <c r="A490" s="58">
        <v>36168</v>
      </c>
      <c r="C490" s="1">
        <v>8458</v>
      </c>
      <c r="D490" s="21">
        <f t="shared" si="16"/>
        <v>-1.9248608534322819E-2</v>
      </c>
      <c r="E490" s="1">
        <v>8458</v>
      </c>
      <c r="F490" s="1">
        <v>0</v>
      </c>
      <c r="H490" s="1">
        <v>1766</v>
      </c>
      <c r="I490" s="21">
        <f t="shared" si="15"/>
        <v>-7.3938122705820661E-2</v>
      </c>
      <c r="J490" s="1">
        <v>446</v>
      </c>
      <c r="K490" s="1">
        <v>264</v>
      </c>
      <c r="L490" s="1">
        <v>178</v>
      </c>
      <c r="O490" s="1">
        <v>85</v>
      </c>
      <c r="T490" s="1">
        <v>183</v>
      </c>
      <c r="Z490" s="1">
        <v>129</v>
      </c>
      <c r="AA490" s="1">
        <v>184</v>
      </c>
      <c r="AC490" s="1">
        <v>84</v>
      </c>
      <c r="AF490" s="1">
        <v>260</v>
      </c>
    </row>
    <row r="491" spans="1:32">
      <c r="A491" s="58">
        <v>36175</v>
      </c>
      <c r="C491" s="1">
        <v>8496</v>
      </c>
      <c r="D491" s="21">
        <f t="shared" si="16"/>
        <v>4.4927878931189406E-3</v>
      </c>
      <c r="E491" s="1">
        <v>8496</v>
      </c>
      <c r="F491" s="1">
        <v>0</v>
      </c>
      <c r="H491" s="1">
        <v>1685</v>
      </c>
      <c r="I491" s="21">
        <f t="shared" si="15"/>
        <v>-4.5866364665911666E-2</v>
      </c>
      <c r="J491" s="1">
        <v>460</v>
      </c>
      <c r="K491" s="1">
        <v>290</v>
      </c>
      <c r="L491" s="1">
        <v>205</v>
      </c>
      <c r="O491" s="1">
        <v>85</v>
      </c>
      <c r="T491" s="1">
        <v>170</v>
      </c>
      <c r="Z491" s="1">
        <v>117</v>
      </c>
      <c r="AA491" s="1">
        <v>238</v>
      </c>
      <c r="AC491" s="1">
        <v>130</v>
      </c>
      <c r="AF491" s="1">
        <v>217</v>
      </c>
    </row>
    <row r="492" spans="1:32">
      <c r="A492" s="58">
        <v>36182</v>
      </c>
      <c r="C492" s="1">
        <v>8365</v>
      </c>
      <c r="D492" s="21">
        <f t="shared" si="16"/>
        <v>-1.5419020715630885E-2</v>
      </c>
      <c r="E492" s="1">
        <v>8365</v>
      </c>
      <c r="F492" s="1">
        <v>0</v>
      </c>
      <c r="H492" s="1">
        <v>1713</v>
      </c>
      <c r="I492" s="21">
        <f t="shared" si="15"/>
        <v>1.661721068249258E-2</v>
      </c>
      <c r="J492" s="1">
        <v>441</v>
      </c>
      <c r="K492" s="1">
        <v>289</v>
      </c>
      <c r="L492" s="1">
        <v>206</v>
      </c>
      <c r="O492" s="1">
        <v>82</v>
      </c>
      <c r="T492" s="1">
        <v>153</v>
      </c>
      <c r="Z492" s="1">
        <v>103</v>
      </c>
      <c r="AA492" s="1">
        <v>241</v>
      </c>
      <c r="AC492" s="1">
        <v>135</v>
      </c>
      <c r="AF492" s="1">
        <v>250</v>
      </c>
    </row>
    <row r="493" spans="1:32">
      <c r="A493" s="58">
        <v>36189</v>
      </c>
      <c r="C493" s="1">
        <v>8612</v>
      </c>
      <c r="D493" s="21">
        <f t="shared" si="16"/>
        <v>2.9527794381350867E-2</v>
      </c>
      <c r="E493" s="1">
        <v>8612</v>
      </c>
      <c r="F493" s="1">
        <v>0</v>
      </c>
      <c r="H493" s="1">
        <v>1654</v>
      </c>
      <c r="I493" s="21">
        <f t="shared" si="15"/>
        <v>-3.4442498540572096E-2</v>
      </c>
      <c r="J493" s="1">
        <v>416</v>
      </c>
      <c r="K493" s="1">
        <v>293</v>
      </c>
      <c r="L493" s="1">
        <v>214</v>
      </c>
      <c r="O493" s="1">
        <v>79</v>
      </c>
      <c r="T493" s="1">
        <v>123</v>
      </c>
      <c r="Z493" s="1">
        <v>96</v>
      </c>
      <c r="AA493" s="1">
        <v>265</v>
      </c>
      <c r="AC493" s="1">
        <v>155</v>
      </c>
      <c r="AF493" s="1">
        <v>226</v>
      </c>
    </row>
    <row r="494" spans="1:32">
      <c r="A494" s="58">
        <v>36196</v>
      </c>
      <c r="C494" s="1">
        <v>8592</v>
      </c>
      <c r="D494" s="21">
        <f t="shared" si="16"/>
        <v>-2.3223409196470044E-3</v>
      </c>
      <c r="E494" s="1">
        <v>8592</v>
      </c>
      <c r="F494" s="1">
        <v>0</v>
      </c>
      <c r="H494" s="1">
        <v>1815</v>
      </c>
      <c r="I494" s="21">
        <f t="shared" si="15"/>
        <v>9.7339782345828296E-2</v>
      </c>
      <c r="J494" s="1">
        <v>477</v>
      </c>
      <c r="K494" s="1">
        <v>320</v>
      </c>
      <c r="L494" s="1">
        <v>207</v>
      </c>
      <c r="O494" s="1">
        <v>113</v>
      </c>
      <c r="T494" s="1">
        <v>158</v>
      </c>
      <c r="Z494" s="1">
        <v>73</v>
      </c>
      <c r="AA494" s="1">
        <v>318</v>
      </c>
      <c r="AC494" s="1">
        <v>164</v>
      </c>
      <c r="AF494" s="1">
        <v>260</v>
      </c>
    </row>
    <row r="495" spans="1:32">
      <c r="A495" s="58">
        <v>36203</v>
      </c>
      <c r="C495" s="1">
        <v>8419</v>
      </c>
      <c r="D495" s="21">
        <f t="shared" si="16"/>
        <v>-2.0135009310986964E-2</v>
      </c>
      <c r="E495" s="1">
        <v>8419</v>
      </c>
      <c r="F495" s="1">
        <v>0</v>
      </c>
      <c r="H495" s="1">
        <v>1917</v>
      </c>
      <c r="I495" s="21">
        <f t="shared" si="15"/>
        <v>5.6198347107438019E-2</v>
      </c>
      <c r="J495" s="1">
        <v>478</v>
      </c>
      <c r="K495" s="1">
        <v>335</v>
      </c>
      <c r="L495" s="1">
        <v>234</v>
      </c>
      <c r="O495" s="1">
        <v>101</v>
      </c>
      <c r="T495" s="1">
        <v>143</v>
      </c>
      <c r="Z495" s="1">
        <v>77</v>
      </c>
      <c r="AA495" s="1">
        <v>300</v>
      </c>
      <c r="AC495" s="1">
        <v>146</v>
      </c>
      <c r="AF495" s="1">
        <v>257</v>
      </c>
    </row>
    <row r="496" spans="1:32">
      <c r="A496" s="58">
        <v>36210</v>
      </c>
      <c r="C496" s="1">
        <v>8500</v>
      </c>
      <c r="D496" s="21">
        <f t="shared" si="16"/>
        <v>9.6210951419408476E-3</v>
      </c>
      <c r="E496" s="1">
        <v>8500</v>
      </c>
      <c r="F496" s="1">
        <v>0</v>
      </c>
      <c r="H496" s="1">
        <v>1877</v>
      </c>
      <c r="I496" s="21">
        <f t="shared" si="15"/>
        <v>-2.0865936358894107E-2</v>
      </c>
      <c r="J496" s="1">
        <v>506</v>
      </c>
      <c r="K496" s="1">
        <v>374</v>
      </c>
      <c r="L496" s="1">
        <v>257</v>
      </c>
      <c r="O496" s="1">
        <v>117</v>
      </c>
      <c r="T496" s="1">
        <v>132</v>
      </c>
      <c r="Z496" s="1">
        <v>86</v>
      </c>
      <c r="AA496" s="1">
        <v>300</v>
      </c>
      <c r="AC496" s="1">
        <v>142</v>
      </c>
      <c r="AF496" s="1">
        <v>217</v>
      </c>
    </row>
    <row r="497" spans="1:32">
      <c r="A497" s="58">
        <v>36217</v>
      </c>
      <c r="C497" s="1">
        <v>8597</v>
      </c>
      <c r="D497" s="21">
        <f t="shared" si="16"/>
        <v>1.1411764705882352E-2</v>
      </c>
      <c r="E497" s="1">
        <v>8597</v>
      </c>
      <c r="F497" s="1">
        <v>0</v>
      </c>
      <c r="H497" s="1">
        <v>1957</v>
      </c>
      <c r="I497" s="21">
        <f t="shared" si="15"/>
        <v>4.2621204049014386E-2</v>
      </c>
      <c r="J497" s="1">
        <v>487</v>
      </c>
      <c r="K497" s="1">
        <v>372</v>
      </c>
      <c r="L497" s="1">
        <v>255</v>
      </c>
      <c r="O497" s="1">
        <v>117</v>
      </c>
      <c r="T497" s="1">
        <v>115</v>
      </c>
      <c r="Z497" s="1">
        <v>106</v>
      </c>
      <c r="AA497" s="1">
        <v>293</v>
      </c>
      <c r="AC497" s="1">
        <v>119</v>
      </c>
      <c r="AF497" s="1">
        <v>253</v>
      </c>
    </row>
    <row r="498" spans="1:32">
      <c r="A498" s="58">
        <v>36224</v>
      </c>
      <c r="C498" s="1">
        <v>8659</v>
      </c>
      <c r="D498" s="21">
        <f t="shared" si="16"/>
        <v>7.2118180760730489E-3</v>
      </c>
      <c r="E498" s="1">
        <v>8659</v>
      </c>
      <c r="F498" s="1">
        <v>0</v>
      </c>
      <c r="H498" s="1">
        <v>1961</v>
      </c>
      <c r="I498" s="21">
        <f t="shared" si="15"/>
        <v>2.043944813490036E-3</v>
      </c>
      <c r="J498" s="1">
        <v>484</v>
      </c>
      <c r="K498" s="1">
        <v>396</v>
      </c>
      <c r="L498" s="1">
        <v>280</v>
      </c>
      <c r="O498" s="1">
        <v>116</v>
      </c>
      <c r="T498" s="1">
        <v>89</v>
      </c>
      <c r="Z498" s="1">
        <v>116</v>
      </c>
      <c r="AA498" s="1">
        <v>265</v>
      </c>
      <c r="AC498" s="1">
        <v>120</v>
      </c>
      <c r="AF498" s="1">
        <v>303</v>
      </c>
    </row>
    <row r="499" spans="1:32">
      <c r="A499" s="58">
        <v>36231</v>
      </c>
      <c r="C499" s="1">
        <v>8857</v>
      </c>
      <c r="D499" s="21">
        <f t="shared" si="16"/>
        <v>2.2866381799283981E-2</v>
      </c>
      <c r="E499" s="1">
        <v>8857</v>
      </c>
      <c r="F499" s="1">
        <v>0</v>
      </c>
      <c r="H499" s="1">
        <v>1814</v>
      </c>
      <c r="I499" s="21">
        <f t="shared" si="15"/>
        <v>-7.4961754207037226E-2</v>
      </c>
      <c r="J499" s="1">
        <v>465</v>
      </c>
      <c r="K499" s="1">
        <v>355</v>
      </c>
      <c r="L499" s="1">
        <v>224</v>
      </c>
      <c r="O499" s="1">
        <v>131</v>
      </c>
      <c r="T499" s="1">
        <v>110</v>
      </c>
      <c r="Z499" s="1">
        <v>117</v>
      </c>
      <c r="AA499" s="1">
        <v>228</v>
      </c>
      <c r="AC499" s="1">
        <v>101</v>
      </c>
      <c r="AF499" s="1">
        <v>279</v>
      </c>
    </row>
    <row r="500" spans="1:32">
      <c r="A500" s="58">
        <v>36238</v>
      </c>
      <c r="C500" s="1">
        <v>8630</v>
      </c>
      <c r="D500" s="21">
        <f t="shared" si="16"/>
        <v>-2.5629445636219939E-2</v>
      </c>
      <c r="E500" s="1">
        <v>8630</v>
      </c>
      <c r="F500" s="1">
        <v>0</v>
      </c>
      <c r="H500" s="1">
        <v>1770</v>
      </c>
      <c r="I500" s="21">
        <f t="shared" si="15"/>
        <v>-2.4255788313120176E-2</v>
      </c>
      <c r="J500" s="1">
        <v>445</v>
      </c>
      <c r="K500" s="1">
        <v>335</v>
      </c>
      <c r="L500" s="1">
        <v>202</v>
      </c>
      <c r="O500" s="1">
        <v>133</v>
      </c>
      <c r="T500" s="1">
        <v>111</v>
      </c>
      <c r="Z500" s="1">
        <v>106</v>
      </c>
      <c r="AA500" s="1">
        <v>216</v>
      </c>
      <c r="AC500" s="1">
        <v>89</v>
      </c>
      <c r="AF500" s="1">
        <v>256</v>
      </c>
    </row>
    <row r="501" spans="1:32">
      <c r="A501" s="58">
        <v>36245</v>
      </c>
      <c r="C501" s="1">
        <v>8664</v>
      </c>
      <c r="D501" s="21">
        <f t="shared" si="16"/>
        <v>3.9397450753186555E-3</v>
      </c>
      <c r="E501" s="1">
        <v>8664</v>
      </c>
      <c r="F501" s="1">
        <v>0</v>
      </c>
      <c r="H501" s="1">
        <v>1736</v>
      </c>
      <c r="I501" s="21">
        <f t="shared" si="15"/>
        <v>-1.92090395480226E-2</v>
      </c>
      <c r="J501" s="1">
        <v>458</v>
      </c>
      <c r="K501" s="1">
        <v>329</v>
      </c>
      <c r="L501" s="1">
        <v>171</v>
      </c>
      <c r="O501" s="1">
        <v>158</v>
      </c>
      <c r="T501" s="1">
        <v>129</v>
      </c>
      <c r="Z501" s="1">
        <v>97</v>
      </c>
      <c r="AA501" s="1">
        <v>249</v>
      </c>
      <c r="AC501" s="1">
        <v>110</v>
      </c>
      <c r="AF501" s="1">
        <v>266</v>
      </c>
    </row>
    <row r="502" spans="1:32">
      <c r="A502" s="58">
        <v>36252</v>
      </c>
      <c r="C502" s="1">
        <v>8592</v>
      </c>
      <c r="D502" s="21">
        <f t="shared" si="16"/>
        <v>-8.3102493074792248E-3</v>
      </c>
      <c r="E502" s="1">
        <v>8592</v>
      </c>
      <c r="F502" s="1">
        <v>0</v>
      </c>
      <c r="H502" s="1">
        <v>1758</v>
      </c>
      <c r="I502" s="21">
        <f t="shared" si="15"/>
        <v>1.2672811059907835E-2</v>
      </c>
      <c r="J502" s="1">
        <v>481</v>
      </c>
      <c r="K502" s="1">
        <v>323</v>
      </c>
      <c r="L502" s="1">
        <v>174</v>
      </c>
      <c r="O502" s="1">
        <v>150</v>
      </c>
      <c r="T502" s="1">
        <v>158</v>
      </c>
      <c r="Z502" s="1">
        <v>89</v>
      </c>
      <c r="AA502" s="1">
        <v>258</v>
      </c>
      <c r="AC502" s="1">
        <v>114</v>
      </c>
      <c r="AF502" s="1">
        <v>181</v>
      </c>
    </row>
    <row r="503" spans="1:32">
      <c r="A503" s="58">
        <v>36259</v>
      </c>
      <c r="C503" s="1">
        <v>8488</v>
      </c>
      <c r="D503" s="21">
        <f t="shared" si="16"/>
        <v>-1.2104283054003724E-2</v>
      </c>
      <c r="E503" s="1">
        <v>8488</v>
      </c>
      <c r="F503" s="1">
        <v>0</v>
      </c>
      <c r="H503" s="1">
        <v>1831</v>
      </c>
      <c r="I503" s="21">
        <f t="shared" si="15"/>
        <v>4.1524459613196812E-2</v>
      </c>
      <c r="J503" s="1">
        <v>522</v>
      </c>
      <c r="K503" s="1">
        <v>355</v>
      </c>
      <c r="L503" s="1">
        <v>168</v>
      </c>
      <c r="O503" s="1">
        <v>187</v>
      </c>
      <c r="T503" s="1">
        <v>167</v>
      </c>
      <c r="Z503" s="1">
        <v>114</v>
      </c>
      <c r="AA503" s="1">
        <v>215</v>
      </c>
      <c r="AC503" s="1">
        <v>96</v>
      </c>
      <c r="AF503" s="1">
        <v>159</v>
      </c>
    </row>
    <row r="504" spans="1:32">
      <c r="A504" s="58">
        <v>36266</v>
      </c>
      <c r="C504" s="1">
        <v>8766</v>
      </c>
      <c r="D504" s="21">
        <f t="shared" si="16"/>
        <v>3.2752120640904804E-2</v>
      </c>
      <c r="E504" s="1">
        <v>8766</v>
      </c>
      <c r="F504" s="1">
        <v>0</v>
      </c>
      <c r="H504" s="1">
        <v>1909</v>
      </c>
      <c r="I504" s="21">
        <f t="shared" si="15"/>
        <v>4.2599672310212999E-2</v>
      </c>
      <c r="J504" s="1">
        <v>617</v>
      </c>
      <c r="K504" s="1">
        <v>414</v>
      </c>
      <c r="L504" s="1">
        <v>196</v>
      </c>
      <c r="O504" s="1">
        <v>218</v>
      </c>
      <c r="T504" s="1">
        <v>203</v>
      </c>
      <c r="Z504" s="1">
        <v>111</v>
      </c>
      <c r="AA504" s="1">
        <v>216</v>
      </c>
      <c r="AC504" s="1">
        <v>103</v>
      </c>
      <c r="AF504" s="1">
        <v>198</v>
      </c>
    </row>
    <row r="505" spans="1:32">
      <c r="A505" s="58">
        <v>36273</v>
      </c>
      <c r="C505" s="1">
        <v>8563</v>
      </c>
      <c r="D505" s="21">
        <f t="shared" si="16"/>
        <v>-2.3157654574492356E-2</v>
      </c>
      <c r="E505" s="1">
        <v>8563</v>
      </c>
      <c r="F505" s="1">
        <v>0</v>
      </c>
      <c r="H505" s="1">
        <v>2035</v>
      </c>
      <c r="I505" s="21">
        <f t="shared" si="15"/>
        <v>6.6003143006809845E-2</v>
      </c>
      <c r="J505" s="1">
        <v>688</v>
      </c>
      <c r="K505" s="1">
        <v>457</v>
      </c>
      <c r="L505" s="1">
        <v>191</v>
      </c>
      <c r="O505" s="1">
        <v>266</v>
      </c>
      <c r="T505" s="1">
        <v>231</v>
      </c>
      <c r="Z505" s="1">
        <v>93</v>
      </c>
      <c r="AA505" s="1">
        <v>179</v>
      </c>
      <c r="AC505" s="1">
        <v>92</v>
      </c>
      <c r="AF505" s="1">
        <v>174</v>
      </c>
    </row>
    <row r="506" spans="1:32">
      <c r="A506" s="58">
        <v>36280</v>
      </c>
      <c r="C506" s="1">
        <v>8523</v>
      </c>
      <c r="D506" s="21">
        <f t="shared" si="16"/>
        <v>-4.6712600724045312E-3</v>
      </c>
      <c r="E506" s="1">
        <v>8523</v>
      </c>
      <c r="F506" s="1">
        <v>0</v>
      </c>
      <c r="H506" s="1">
        <v>1995</v>
      </c>
      <c r="I506" s="21">
        <f t="shared" si="15"/>
        <v>-1.9656019656019656E-2</v>
      </c>
      <c r="J506" s="1">
        <v>708</v>
      </c>
      <c r="K506" s="1">
        <v>436</v>
      </c>
      <c r="L506" s="1">
        <v>177</v>
      </c>
      <c r="O506" s="1">
        <v>259</v>
      </c>
      <c r="T506" s="1">
        <v>273</v>
      </c>
      <c r="Z506" s="1">
        <v>112</v>
      </c>
      <c r="AA506" s="1">
        <v>142</v>
      </c>
      <c r="AC506" s="1">
        <v>78</v>
      </c>
      <c r="AF506" s="1">
        <v>174</v>
      </c>
    </row>
    <row r="507" spans="1:32">
      <c r="A507" s="58">
        <v>36287</v>
      </c>
      <c r="C507" s="1">
        <v>8475</v>
      </c>
      <c r="D507" s="21">
        <f t="shared" si="16"/>
        <v>-5.6318197817669833E-3</v>
      </c>
      <c r="E507" s="1">
        <v>8475</v>
      </c>
      <c r="F507" s="1">
        <v>0</v>
      </c>
      <c r="H507" s="1">
        <v>2089</v>
      </c>
      <c r="I507" s="21">
        <f t="shared" si="15"/>
        <v>4.7117794486215538E-2</v>
      </c>
      <c r="J507" s="1">
        <v>742</v>
      </c>
      <c r="K507" s="1">
        <v>426</v>
      </c>
      <c r="L507" s="1">
        <v>183</v>
      </c>
      <c r="O507" s="1">
        <v>243</v>
      </c>
      <c r="T507" s="1">
        <v>317</v>
      </c>
      <c r="Z507" s="1">
        <v>91</v>
      </c>
      <c r="AA507" s="1">
        <v>172</v>
      </c>
      <c r="AC507" s="1">
        <v>103</v>
      </c>
      <c r="AF507" s="1">
        <v>247</v>
      </c>
    </row>
    <row r="508" spans="1:32">
      <c r="A508" s="58">
        <v>36294</v>
      </c>
      <c r="C508" s="1">
        <v>8484</v>
      </c>
      <c r="D508" s="21">
        <f t="shared" si="16"/>
        <v>1.0619469026548673E-3</v>
      </c>
      <c r="E508" s="1">
        <v>8484</v>
      </c>
      <c r="F508" s="1">
        <v>0</v>
      </c>
      <c r="H508" s="1">
        <v>2114</v>
      </c>
      <c r="I508" s="21">
        <f t="shared" si="15"/>
        <v>1.1967448539971278E-2</v>
      </c>
      <c r="J508" s="1">
        <v>713</v>
      </c>
      <c r="K508" s="1">
        <v>409</v>
      </c>
      <c r="L508" s="1">
        <v>161</v>
      </c>
      <c r="O508" s="1">
        <v>248</v>
      </c>
      <c r="T508" s="1">
        <v>304</v>
      </c>
      <c r="Z508" s="1">
        <v>91</v>
      </c>
      <c r="AA508" s="1">
        <v>197</v>
      </c>
      <c r="AC508" s="1">
        <v>128</v>
      </c>
      <c r="AF508" s="1">
        <v>227</v>
      </c>
    </row>
    <row r="509" spans="1:32">
      <c r="A509" s="58">
        <v>36301</v>
      </c>
      <c r="C509" s="1">
        <v>8575</v>
      </c>
      <c r="D509" s="21">
        <f t="shared" si="16"/>
        <v>1.0726072607260726E-2</v>
      </c>
      <c r="E509" s="1">
        <v>8575</v>
      </c>
      <c r="F509" s="1">
        <v>0</v>
      </c>
      <c r="H509" s="1">
        <v>2022</v>
      </c>
      <c r="I509" s="21">
        <f t="shared" si="15"/>
        <v>-4.3519394512771994E-2</v>
      </c>
      <c r="J509" s="1">
        <v>644</v>
      </c>
      <c r="K509" s="1">
        <v>335</v>
      </c>
      <c r="L509" s="1">
        <v>155</v>
      </c>
      <c r="O509" s="1">
        <v>180</v>
      </c>
      <c r="T509" s="1">
        <v>309</v>
      </c>
      <c r="Z509" s="1">
        <v>108</v>
      </c>
      <c r="AA509" s="1">
        <v>199</v>
      </c>
      <c r="AC509" s="1">
        <v>127</v>
      </c>
      <c r="AF509" s="1">
        <v>204</v>
      </c>
    </row>
    <row r="510" spans="1:32">
      <c r="A510" s="58">
        <v>36308</v>
      </c>
      <c r="C510" s="1">
        <v>8794</v>
      </c>
      <c r="D510" s="21">
        <f t="shared" si="16"/>
        <v>2.5539358600583092E-2</v>
      </c>
      <c r="E510" s="1">
        <v>8794</v>
      </c>
      <c r="F510" s="1">
        <v>0</v>
      </c>
      <c r="H510" s="1">
        <v>2124</v>
      </c>
      <c r="I510" s="21">
        <f t="shared" si="15"/>
        <v>5.0445103857566766E-2</v>
      </c>
      <c r="J510" s="1">
        <v>670</v>
      </c>
      <c r="K510" s="1">
        <v>365</v>
      </c>
      <c r="L510" s="1">
        <v>167</v>
      </c>
      <c r="O510" s="1">
        <v>198</v>
      </c>
      <c r="T510" s="1">
        <v>305</v>
      </c>
      <c r="Z510" s="1">
        <v>103</v>
      </c>
      <c r="AA510" s="1">
        <v>258</v>
      </c>
      <c r="AC510" s="1">
        <v>168</v>
      </c>
      <c r="AF510" s="1">
        <v>259</v>
      </c>
    </row>
    <row r="511" spans="1:32">
      <c r="A511" s="58">
        <v>36315</v>
      </c>
      <c r="C511" s="1">
        <v>8786</v>
      </c>
      <c r="D511" s="21">
        <f t="shared" si="16"/>
        <v>-9.0971116670457127E-4</v>
      </c>
      <c r="E511" s="1">
        <v>8786</v>
      </c>
      <c r="F511" s="1">
        <v>0</v>
      </c>
      <c r="H511" s="1">
        <v>1928</v>
      </c>
      <c r="I511" s="21">
        <f t="shared" si="15"/>
        <v>-9.2278719397363471E-2</v>
      </c>
      <c r="J511" s="1">
        <v>584</v>
      </c>
      <c r="K511" s="1">
        <v>349</v>
      </c>
      <c r="L511" s="1">
        <v>152</v>
      </c>
      <c r="O511" s="1">
        <v>197</v>
      </c>
      <c r="T511" s="1">
        <v>235</v>
      </c>
      <c r="Z511" s="1">
        <v>84</v>
      </c>
      <c r="AA511" s="1">
        <v>236</v>
      </c>
      <c r="AC511" s="1">
        <v>149</v>
      </c>
      <c r="AF511" s="1">
        <v>251</v>
      </c>
    </row>
    <row r="512" spans="1:32">
      <c r="A512" s="58">
        <v>36322</v>
      </c>
      <c r="C512" s="1">
        <v>8721</v>
      </c>
      <c r="D512" s="21">
        <f t="shared" si="16"/>
        <v>-7.3981333940359665E-3</v>
      </c>
      <c r="E512" s="1">
        <v>8721</v>
      </c>
      <c r="F512" s="1">
        <v>0</v>
      </c>
      <c r="H512" s="1">
        <v>1865</v>
      </c>
      <c r="I512" s="21">
        <f t="shared" si="15"/>
        <v>-3.2676348547717844E-2</v>
      </c>
      <c r="J512" s="1">
        <v>507</v>
      </c>
      <c r="K512" s="1">
        <v>284</v>
      </c>
      <c r="L512" s="1">
        <v>124</v>
      </c>
      <c r="O512" s="1">
        <v>161</v>
      </c>
      <c r="T512" s="1">
        <v>223</v>
      </c>
      <c r="Z512" s="1">
        <v>84</v>
      </c>
      <c r="AA512" s="1">
        <v>199</v>
      </c>
      <c r="AC512" s="1">
        <v>118</v>
      </c>
      <c r="AF512" s="1">
        <v>272</v>
      </c>
    </row>
    <row r="513" spans="1:32">
      <c r="A513" s="58">
        <v>36329</v>
      </c>
      <c r="C513" s="1">
        <v>8853</v>
      </c>
      <c r="D513" s="21">
        <f t="shared" si="16"/>
        <v>1.5135878912968696E-2</v>
      </c>
      <c r="E513" s="1">
        <v>8853</v>
      </c>
      <c r="F513" s="1">
        <v>0</v>
      </c>
      <c r="H513" s="1">
        <v>1906</v>
      </c>
      <c r="I513" s="21">
        <f t="shared" si="15"/>
        <v>2.1983914209115281E-2</v>
      </c>
      <c r="J513" s="1">
        <v>595</v>
      </c>
      <c r="K513" s="1">
        <v>408</v>
      </c>
      <c r="L513" s="1">
        <v>205</v>
      </c>
      <c r="O513" s="1">
        <v>202</v>
      </c>
      <c r="T513" s="1">
        <v>187</v>
      </c>
      <c r="Z513" s="1">
        <v>81</v>
      </c>
      <c r="AA513" s="1">
        <v>210</v>
      </c>
      <c r="AC513" s="1">
        <v>114</v>
      </c>
      <c r="AF513" s="1">
        <v>276</v>
      </c>
    </row>
    <row r="514" spans="1:32">
      <c r="A514" s="58">
        <v>36336</v>
      </c>
      <c r="C514" s="1">
        <v>8572</v>
      </c>
      <c r="D514" s="21">
        <f t="shared" si="16"/>
        <v>-3.1740652886027336E-2</v>
      </c>
      <c r="E514" s="1">
        <v>8572</v>
      </c>
      <c r="F514" s="1">
        <v>0</v>
      </c>
      <c r="H514" s="1">
        <v>1918</v>
      </c>
      <c r="I514" s="21">
        <f t="shared" si="15"/>
        <v>6.2959076600209865E-3</v>
      </c>
      <c r="J514" s="1">
        <v>616</v>
      </c>
      <c r="K514" s="1">
        <v>458</v>
      </c>
      <c r="L514" s="1">
        <v>209</v>
      </c>
      <c r="O514" s="1">
        <v>250</v>
      </c>
      <c r="T514" s="1">
        <v>157</v>
      </c>
      <c r="Z514" s="1">
        <v>84</v>
      </c>
      <c r="AA514" s="1">
        <v>175</v>
      </c>
      <c r="AC514" s="1">
        <v>77</v>
      </c>
      <c r="AF514" s="1">
        <v>305</v>
      </c>
    </row>
    <row r="515" spans="1:32">
      <c r="A515" s="58">
        <v>36343</v>
      </c>
      <c r="C515" s="1">
        <v>8782</v>
      </c>
      <c r="D515" s="21">
        <f t="shared" si="16"/>
        <v>2.4498366775548296E-2</v>
      </c>
      <c r="E515" s="1">
        <v>8782</v>
      </c>
      <c r="F515" s="1">
        <v>0</v>
      </c>
      <c r="H515" s="1">
        <v>2031</v>
      </c>
      <c r="I515" s="21">
        <f t="shared" si="15"/>
        <v>5.8915537017726796E-2</v>
      </c>
      <c r="J515" s="1">
        <v>679</v>
      </c>
      <c r="K515" s="1">
        <v>482</v>
      </c>
      <c r="L515" s="1">
        <v>220</v>
      </c>
      <c r="O515" s="1">
        <v>262</v>
      </c>
      <c r="T515" s="1">
        <v>197</v>
      </c>
      <c r="Z515" s="1">
        <v>103</v>
      </c>
      <c r="AA515" s="1">
        <v>181</v>
      </c>
      <c r="AC515" s="1">
        <v>85</v>
      </c>
      <c r="AF515" s="1">
        <v>298</v>
      </c>
    </row>
    <row r="516" spans="1:32">
      <c r="A516" s="58">
        <v>36350</v>
      </c>
      <c r="C516" s="1">
        <v>8760</v>
      </c>
      <c r="D516" s="21">
        <f t="shared" si="16"/>
        <v>-2.5051241175130948E-3</v>
      </c>
      <c r="E516" s="1">
        <v>8760</v>
      </c>
      <c r="F516" s="1">
        <v>0</v>
      </c>
      <c r="H516" s="1">
        <v>1969</v>
      </c>
      <c r="I516" s="21">
        <f t="shared" si="15"/>
        <v>-3.0526834071885771E-2</v>
      </c>
      <c r="J516" s="1">
        <v>683</v>
      </c>
      <c r="K516" s="1">
        <v>503</v>
      </c>
      <c r="L516" s="1">
        <v>237</v>
      </c>
      <c r="O516" s="1">
        <v>266</v>
      </c>
      <c r="T516" s="1">
        <v>180</v>
      </c>
      <c r="Z516" s="1">
        <v>119</v>
      </c>
      <c r="AA516" s="1">
        <v>224</v>
      </c>
      <c r="AC516" s="1">
        <v>123</v>
      </c>
      <c r="AF516" s="1">
        <v>261</v>
      </c>
    </row>
    <row r="517" spans="1:32">
      <c r="A517" s="58">
        <v>36357</v>
      </c>
      <c r="C517" s="1">
        <v>8719</v>
      </c>
      <c r="D517" s="21">
        <f t="shared" si="16"/>
        <v>-4.6803652968036525E-3</v>
      </c>
      <c r="E517" s="1">
        <v>8719</v>
      </c>
      <c r="F517" s="1">
        <v>0</v>
      </c>
      <c r="H517" s="1">
        <v>1920</v>
      </c>
      <c r="I517" s="21">
        <f t="shared" si="15"/>
        <v>-2.488572879634332E-2</v>
      </c>
      <c r="J517" s="1">
        <v>592</v>
      </c>
      <c r="K517" s="1">
        <v>433</v>
      </c>
      <c r="L517" s="1">
        <v>175</v>
      </c>
      <c r="O517" s="1">
        <v>258</v>
      </c>
      <c r="T517" s="1">
        <v>159</v>
      </c>
      <c r="Z517" s="1">
        <v>127</v>
      </c>
      <c r="AA517" s="1">
        <v>172</v>
      </c>
      <c r="AC517" s="1">
        <v>101</v>
      </c>
      <c r="AF517" s="1">
        <v>276</v>
      </c>
    </row>
    <row r="518" spans="1:32">
      <c r="A518" s="58">
        <v>36364</v>
      </c>
      <c r="C518" s="1">
        <v>9100</v>
      </c>
      <c r="D518" s="21">
        <f t="shared" si="16"/>
        <v>4.369767175134763E-2</v>
      </c>
      <c r="E518" s="1">
        <v>9100</v>
      </c>
      <c r="F518" s="1">
        <v>0</v>
      </c>
      <c r="H518" s="1">
        <v>1840</v>
      </c>
      <c r="I518" s="21">
        <f t="shared" si="15"/>
        <v>-4.1666666666666664E-2</v>
      </c>
      <c r="J518" s="1">
        <v>509</v>
      </c>
      <c r="K518" s="1">
        <v>351</v>
      </c>
      <c r="L518" s="1">
        <v>152</v>
      </c>
      <c r="O518" s="1">
        <v>199</v>
      </c>
      <c r="T518" s="1">
        <v>158</v>
      </c>
      <c r="Z518" s="1">
        <v>137</v>
      </c>
      <c r="AA518" s="1">
        <v>159</v>
      </c>
      <c r="AC518" s="1">
        <v>105</v>
      </c>
      <c r="AF518" s="1">
        <v>205</v>
      </c>
    </row>
    <row r="519" spans="1:32">
      <c r="A519" s="58">
        <v>36371</v>
      </c>
      <c r="C519" s="1">
        <v>9095</v>
      </c>
      <c r="D519" s="21">
        <f t="shared" si="16"/>
        <v>-5.4945054945054945E-4</v>
      </c>
      <c r="E519" s="1">
        <v>9095</v>
      </c>
      <c r="F519" s="1">
        <v>0</v>
      </c>
      <c r="H519" s="1">
        <v>1881</v>
      </c>
      <c r="I519" s="21">
        <f t="shared" si="15"/>
        <v>2.2282608695652174E-2</v>
      </c>
      <c r="J519" s="1">
        <v>462</v>
      </c>
      <c r="K519" s="1">
        <v>330</v>
      </c>
      <c r="L519" s="1">
        <v>144</v>
      </c>
      <c r="O519" s="1">
        <v>186</v>
      </c>
      <c r="T519" s="1">
        <v>132</v>
      </c>
      <c r="Z519" s="1">
        <v>148</v>
      </c>
      <c r="AA519" s="1">
        <v>149</v>
      </c>
      <c r="AC519" s="1">
        <v>93</v>
      </c>
      <c r="AF519" s="1">
        <v>254</v>
      </c>
    </row>
    <row r="520" spans="1:32">
      <c r="A520" s="58">
        <v>36378</v>
      </c>
      <c r="C520" s="1">
        <v>9072</v>
      </c>
      <c r="D520" s="21">
        <f t="shared" si="16"/>
        <v>-2.5288620120945573E-3</v>
      </c>
      <c r="E520" s="1">
        <v>9072</v>
      </c>
      <c r="F520" s="1">
        <v>0</v>
      </c>
      <c r="H520" s="1">
        <v>1984</v>
      </c>
      <c r="I520" s="21">
        <f t="shared" si="15"/>
        <v>5.4758107389686339E-2</v>
      </c>
      <c r="J520" s="1">
        <v>485</v>
      </c>
      <c r="K520" s="1">
        <v>309</v>
      </c>
      <c r="L520" s="1">
        <v>127</v>
      </c>
      <c r="O520" s="1">
        <v>182</v>
      </c>
      <c r="T520" s="1">
        <v>177</v>
      </c>
      <c r="Z520" s="1">
        <v>178</v>
      </c>
      <c r="AA520" s="1">
        <v>115</v>
      </c>
      <c r="AC520" s="1">
        <v>72</v>
      </c>
      <c r="AF520" s="1">
        <v>274</v>
      </c>
    </row>
    <row r="521" spans="1:32">
      <c r="A521" s="58">
        <v>36385</v>
      </c>
      <c r="C521" s="1">
        <v>8981</v>
      </c>
      <c r="D521" s="21">
        <f t="shared" si="16"/>
        <v>-1.0030864197530864E-2</v>
      </c>
      <c r="E521" s="1">
        <v>8981</v>
      </c>
      <c r="F521" s="1">
        <v>0</v>
      </c>
      <c r="H521" s="1">
        <v>1954</v>
      </c>
      <c r="I521" s="21">
        <f t="shared" si="15"/>
        <v>-1.5120967741935484E-2</v>
      </c>
      <c r="J521" s="1">
        <v>508</v>
      </c>
      <c r="K521" s="1">
        <v>296</v>
      </c>
      <c r="L521" s="1">
        <v>100</v>
      </c>
      <c r="O521" s="1">
        <v>196</v>
      </c>
      <c r="T521" s="1">
        <v>212</v>
      </c>
      <c r="Z521" s="1">
        <v>185</v>
      </c>
      <c r="AA521" s="1">
        <v>129</v>
      </c>
      <c r="AC521" s="1">
        <v>83</v>
      </c>
      <c r="AF521" s="1">
        <v>270</v>
      </c>
    </row>
    <row r="522" spans="1:32">
      <c r="A522" s="58">
        <v>36392</v>
      </c>
      <c r="C522" s="1">
        <v>8873</v>
      </c>
      <c r="D522" s="21">
        <f t="shared" si="16"/>
        <v>-1.2025386927959025E-2</v>
      </c>
      <c r="E522" s="1">
        <v>8873</v>
      </c>
      <c r="F522" s="1">
        <v>0</v>
      </c>
      <c r="H522" s="1">
        <v>1885</v>
      </c>
      <c r="I522" s="21">
        <f t="shared" si="15"/>
        <v>-3.5312180143295804E-2</v>
      </c>
      <c r="J522" s="1">
        <v>529</v>
      </c>
      <c r="K522" s="1">
        <v>328</v>
      </c>
      <c r="L522" s="1">
        <v>106</v>
      </c>
      <c r="O522" s="1">
        <v>222</v>
      </c>
      <c r="T522" s="1">
        <v>201</v>
      </c>
      <c r="Z522" s="1">
        <v>156</v>
      </c>
      <c r="AA522" s="1">
        <v>138</v>
      </c>
      <c r="AC522" s="1">
        <v>88</v>
      </c>
      <c r="AF522" s="1">
        <v>272</v>
      </c>
    </row>
    <row r="523" spans="1:32">
      <c r="A523" s="58">
        <v>36399</v>
      </c>
      <c r="C523" s="1">
        <v>8851</v>
      </c>
      <c r="D523" s="21">
        <f t="shared" si="16"/>
        <v>-2.4794319846726024E-3</v>
      </c>
      <c r="E523" s="1">
        <v>8851</v>
      </c>
      <c r="F523" s="1">
        <v>0</v>
      </c>
      <c r="H523" s="1">
        <v>1871</v>
      </c>
      <c r="I523" s="21">
        <f t="shared" si="15"/>
        <v>-7.4270557029177718E-3</v>
      </c>
      <c r="J523" s="1">
        <v>541</v>
      </c>
      <c r="K523" s="1">
        <v>336</v>
      </c>
      <c r="L523" s="1">
        <v>107</v>
      </c>
      <c r="O523" s="1">
        <v>229</v>
      </c>
      <c r="T523" s="1">
        <v>206</v>
      </c>
      <c r="Z523" s="1">
        <v>138</v>
      </c>
      <c r="AA523" s="1">
        <v>160</v>
      </c>
      <c r="AC523" s="1">
        <v>108</v>
      </c>
      <c r="AF523" s="1">
        <v>234</v>
      </c>
    </row>
    <row r="524" spans="1:32">
      <c r="A524" s="58">
        <v>36406</v>
      </c>
      <c r="C524" s="1">
        <v>8782</v>
      </c>
      <c r="D524" s="21">
        <f t="shared" si="16"/>
        <v>-7.7957292961247319E-3</v>
      </c>
      <c r="E524" s="1">
        <v>8782</v>
      </c>
      <c r="F524" s="1">
        <v>0</v>
      </c>
      <c r="H524" s="1">
        <v>1881</v>
      </c>
      <c r="I524" s="21">
        <f t="shared" si="15"/>
        <v>5.3447354355959384E-3</v>
      </c>
      <c r="J524" s="1">
        <v>546</v>
      </c>
      <c r="K524" s="1">
        <v>384</v>
      </c>
      <c r="L524" s="1">
        <v>137</v>
      </c>
      <c r="O524" s="1">
        <v>247</v>
      </c>
      <c r="T524" s="1">
        <v>162</v>
      </c>
      <c r="Z524" s="1">
        <v>103</v>
      </c>
      <c r="AA524" s="1">
        <v>184</v>
      </c>
      <c r="AC524" s="1">
        <v>115</v>
      </c>
      <c r="AF524" s="1">
        <v>218</v>
      </c>
    </row>
    <row r="525" spans="1:32">
      <c r="A525" s="58">
        <v>36413</v>
      </c>
      <c r="C525" s="1">
        <v>8685</v>
      </c>
      <c r="D525" s="21">
        <f t="shared" si="16"/>
        <v>-1.1045319972671374E-2</v>
      </c>
      <c r="E525" s="1">
        <v>8685</v>
      </c>
      <c r="F525" s="1">
        <v>0</v>
      </c>
      <c r="H525" s="1">
        <v>1870</v>
      </c>
      <c r="I525" s="21">
        <f t="shared" si="15"/>
        <v>-5.8479532163742687E-3</v>
      </c>
      <c r="J525" s="1">
        <v>531</v>
      </c>
      <c r="K525" s="1">
        <v>363</v>
      </c>
      <c r="L525" s="1">
        <v>143</v>
      </c>
      <c r="O525" s="1">
        <v>220</v>
      </c>
      <c r="T525" s="1">
        <v>168</v>
      </c>
      <c r="Z525" s="1">
        <v>97</v>
      </c>
      <c r="AA525" s="1">
        <v>184</v>
      </c>
      <c r="AC525" s="1">
        <v>118</v>
      </c>
      <c r="AF525" s="1">
        <v>221</v>
      </c>
    </row>
    <row r="526" spans="1:32">
      <c r="A526" s="58">
        <v>36420</v>
      </c>
      <c r="C526" s="1">
        <v>8624</v>
      </c>
      <c r="D526" s="21">
        <f t="shared" si="16"/>
        <v>-7.0236039147956245E-3</v>
      </c>
      <c r="E526" s="1">
        <v>8624</v>
      </c>
      <c r="F526" s="1">
        <v>0</v>
      </c>
      <c r="H526" s="1">
        <v>1926</v>
      </c>
      <c r="I526" s="21">
        <f t="shared" si="15"/>
        <v>2.9946524064171122E-2</v>
      </c>
      <c r="J526" s="1">
        <v>540</v>
      </c>
      <c r="K526" s="1">
        <v>384</v>
      </c>
      <c r="L526" s="1">
        <v>166</v>
      </c>
      <c r="O526" s="1">
        <v>219</v>
      </c>
      <c r="T526" s="1">
        <v>156</v>
      </c>
      <c r="Z526" s="1">
        <v>98</v>
      </c>
      <c r="AA526" s="1">
        <v>190</v>
      </c>
      <c r="AC526" s="1">
        <v>115</v>
      </c>
      <c r="AF526" s="1">
        <v>243</v>
      </c>
    </row>
    <row r="527" spans="1:32">
      <c r="A527" s="58">
        <v>36427</v>
      </c>
      <c r="C527" s="1">
        <v>8458</v>
      </c>
      <c r="D527" s="21">
        <f t="shared" si="16"/>
        <v>-1.9248608534322819E-2</v>
      </c>
      <c r="E527" s="1">
        <v>8458</v>
      </c>
      <c r="F527" s="1">
        <v>0</v>
      </c>
      <c r="H527" s="1">
        <v>1916</v>
      </c>
      <c r="I527" s="21">
        <f t="shared" si="15"/>
        <v>-5.1921079958463139E-3</v>
      </c>
      <c r="J527" s="1">
        <v>552</v>
      </c>
      <c r="K527" s="1">
        <v>398</v>
      </c>
      <c r="L527" s="1">
        <v>181</v>
      </c>
      <c r="O527" s="1">
        <v>216</v>
      </c>
      <c r="T527" s="1">
        <v>155</v>
      </c>
      <c r="Z527" s="1">
        <v>120</v>
      </c>
      <c r="AA527" s="1">
        <v>185</v>
      </c>
      <c r="AC527" s="1">
        <v>97</v>
      </c>
      <c r="AF527" s="1">
        <v>217</v>
      </c>
    </row>
    <row r="528" spans="1:32">
      <c r="A528" s="58">
        <v>36434</v>
      </c>
      <c r="C528" s="1">
        <v>8552</v>
      </c>
      <c r="D528" s="21">
        <f t="shared" si="16"/>
        <v>1.1113738472452117E-2</v>
      </c>
      <c r="E528" s="1">
        <v>8552</v>
      </c>
      <c r="F528" s="1">
        <v>0</v>
      </c>
      <c r="H528" s="1">
        <v>1997</v>
      </c>
      <c r="I528" s="21">
        <f t="shared" si="15"/>
        <v>4.2275574112734866E-2</v>
      </c>
      <c r="J528" s="1">
        <v>540</v>
      </c>
      <c r="K528" s="1">
        <v>374</v>
      </c>
      <c r="L528" s="1">
        <v>178</v>
      </c>
      <c r="O528" s="1">
        <v>196</v>
      </c>
      <c r="T528" s="1">
        <v>166</v>
      </c>
      <c r="Z528" s="1">
        <v>133</v>
      </c>
      <c r="AA528" s="1">
        <v>173</v>
      </c>
      <c r="AC528" s="1">
        <v>88</v>
      </c>
      <c r="AF528" s="1">
        <v>295</v>
      </c>
    </row>
    <row r="529" spans="1:32">
      <c r="A529" s="58">
        <v>36441</v>
      </c>
      <c r="C529" s="1">
        <v>8422</v>
      </c>
      <c r="D529" s="21">
        <f t="shared" si="16"/>
        <v>-1.5201122544434051E-2</v>
      </c>
      <c r="E529" s="1">
        <v>8422</v>
      </c>
      <c r="F529" s="1">
        <v>0</v>
      </c>
      <c r="H529" s="1">
        <v>2108</v>
      </c>
      <c r="I529" s="21">
        <f t="shared" si="15"/>
        <v>5.5583375062593893E-2</v>
      </c>
      <c r="J529" s="1">
        <v>550</v>
      </c>
      <c r="K529" s="1">
        <v>365</v>
      </c>
      <c r="L529" s="1">
        <v>187</v>
      </c>
      <c r="O529" s="1">
        <v>179</v>
      </c>
      <c r="T529" s="1">
        <v>185</v>
      </c>
      <c r="Z529" s="1">
        <v>133</v>
      </c>
      <c r="AA529" s="1">
        <v>192</v>
      </c>
      <c r="AC529" s="1">
        <v>91</v>
      </c>
      <c r="AF529" s="1">
        <v>321</v>
      </c>
    </row>
    <row r="530" spans="1:32">
      <c r="A530" s="58">
        <v>36448</v>
      </c>
      <c r="C530" s="1">
        <v>8428</v>
      </c>
      <c r="D530" s="21">
        <f t="shared" si="16"/>
        <v>7.124198527665638E-4</v>
      </c>
      <c r="E530" s="1">
        <v>8428</v>
      </c>
      <c r="F530" s="1">
        <v>0</v>
      </c>
      <c r="H530" s="1">
        <v>2167</v>
      </c>
      <c r="I530" s="21">
        <f t="shared" si="15"/>
        <v>2.7988614800759013E-2</v>
      </c>
      <c r="J530" s="1">
        <v>547</v>
      </c>
      <c r="K530" s="1">
        <v>346</v>
      </c>
      <c r="L530" s="1">
        <v>177</v>
      </c>
      <c r="O530" s="1">
        <v>169</v>
      </c>
      <c r="T530" s="1">
        <v>201</v>
      </c>
      <c r="Z530" s="1">
        <v>151</v>
      </c>
      <c r="AA530" s="1">
        <v>187</v>
      </c>
      <c r="AC530" s="1">
        <v>100</v>
      </c>
      <c r="AF530" s="1">
        <v>318</v>
      </c>
    </row>
    <row r="531" spans="1:32">
      <c r="A531" s="58">
        <v>36455</v>
      </c>
      <c r="C531" s="1">
        <v>8338</v>
      </c>
      <c r="D531" s="21">
        <f t="shared" si="16"/>
        <v>-1.0678690080683437E-2</v>
      </c>
      <c r="E531" s="1">
        <v>8338</v>
      </c>
      <c r="F531" s="1">
        <v>0</v>
      </c>
      <c r="H531" s="1">
        <v>2131</v>
      </c>
      <c r="I531" s="21">
        <f t="shared" si="15"/>
        <v>-1.6612828795569912E-2</v>
      </c>
      <c r="J531" s="1">
        <v>535</v>
      </c>
      <c r="K531" s="1">
        <v>338</v>
      </c>
      <c r="L531" s="1">
        <v>174</v>
      </c>
      <c r="O531" s="1">
        <v>164</v>
      </c>
      <c r="T531" s="1">
        <v>197</v>
      </c>
      <c r="Z531" s="1">
        <v>134</v>
      </c>
      <c r="AA531" s="1">
        <v>180</v>
      </c>
      <c r="AC531" s="1">
        <v>112</v>
      </c>
      <c r="AF531" s="1">
        <v>328</v>
      </c>
    </row>
    <row r="532" spans="1:32">
      <c r="A532" s="58">
        <v>36462</v>
      </c>
      <c r="C532" s="1">
        <v>8359</v>
      </c>
      <c r="D532" s="21">
        <f t="shared" si="16"/>
        <v>2.5185895898296954E-3</v>
      </c>
      <c r="E532" s="1">
        <v>8359</v>
      </c>
      <c r="F532" s="1">
        <v>0</v>
      </c>
      <c r="H532" s="1">
        <v>2080</v>
      </c>
      <c r="I532" s="21">
        <f t="shared" si="15"/>
        <v>-2.3932426091037073E-2</v>
      </c>
      <c r="J532" s="1">
        <v>570</v>
      </c>
      <c r="K532" s="1">
        <v>337</v>
      </c>
      <c r="L532" s="1">
        <v>170</v>
      </c>
      <c r="O532" s="1">
        <v>167</v>
      </c>
      <c r="T532" s="1">
        <v>233</v>
      </c>
      <c r="Z532" s="1">
        <v>136</v>
      </c>
      <c r="AA532" s="1">
        <v>169</v>
      </c>
      <c r="AC532" s="1">
        <v>104</v>
      </c>
      <c r="AF532" s="1">
        <v>289</v>
      </c>
    </row>
    <row r="533" spans="1:32">
      <c r="A533" s="58">
        <v>36469</v>
      </c>
      <c r="C533" s="1">
        <v>8523</v>
      </c>
      <c r="D533" s="21">
        <f t="shared" si="16"/>
        <v>1.9619571719105156E-2</v>
      </c>
      <c r="E533" s="1">
        <v>8523</v>
      </c>
      <c r="F533" s="1">
        <v>0</v>
      </c>
      <c r="H533" s="1">
        <v>1913</v>
      </c>
      <c r="I533" s="21">
        <f t="shared" si="15"/>
        <v>-8.0288461538461545E-2</v>
      </c>
      <c r="J533" s="1">
        <v>484</v>
      </c>
      <c r="K533" s="1">
        <v>315</v>
      </c>
      <c r="L533" s="1">
        <v>166</v>
      </c>
      <c r="O533" s="1">
        <v>149</v>
      </c>
      <c r="T533" s="1">
        <v>169</v>
      </c>
      <c r="Z533" s="1">
        <v>133</v>
      </c>
      <c r="AA533" s="1">
        <v>166</v>
      </c>
      <c r="AC533" s="1">
        <v>116</v>
      </c>
      <c r="AF533" s="1">
        <v>293</v>
      </c>
    </row>
    <row r="534" spans="1:32">
      <c r="A534" s="58">
        <v>36476</v>
      </c>
      <c r="C534" s="1">
        <v>8405</v>
      </c>
      <c r="D534" s="21">
        <f t="shared" si="16"/>
        <v>-1.3844890296843835E-2</v>
      </c>
      <c r="E534" s="1">
        <v>8405</v>
      </c>
      <c r="F534" s="1">
        <v>0</v>
      </c>
      <c r="H534" s="1">
        <v>1835</v>
      </c>
      <c r="I534" s="21">
        <f t="shared" si="15"/>
        <v>-4.0773653946680609E-2</v>
      </c>
      <c r="J534" s="1">
        <v>452</v>
      </c>
      <c r="K534" s="1">
        <v>281</v>
      </c>
      <c r="L534" s="1">
        <v>145</v>
      </c>
      <c r="O534" s="1">
        <v>136</v>
      </c>
      <c r="T534" s="1">
        <v>171</v>
      </c>
      <c r="Z534" s="1">
        <v>122</v>
      </c>
      <c r="AA534" s="1">
        <v>199</v>
      </c>
      <c r="AC534" s="1">
        <v>109</v>
      </c>
      <c r="AF534" s="1">
        <v>295</v>
      </c>
    </row>
    <row r="535" spans="1:32">
      <c r="A535" s="58">
        <v>36483</v>
      </c>
      <c r="C535" s="1">
        <v>8433</v>
      </c>
      <c r="D535" s="21">
        <f t="shared" si="16"/>
        <v>3.3313503866745984E-3</v>
      </c>
      <c r="E535" s="1">
        <v>8433</v>
      </c>
      <c r="F535" s="1">
        <v>0</v>
      </c>
      <c r="H535" s="1">
        <v>1749</v>
      </c>
      <c r="I535" s="21">
        <f t="shared" si="15"/>
        <v>-4.6866485013623976E-2</v>
      </c>
      <c r="J535" s="1">
        <v>414</v>
      </c>
      <c r="K535" s="1">
        <v>260</v>
      </c>
      <c r="L535" s="1">
        <v>133</v>
      </c>
      <c r="O535" s="1">
        <v>127</v>
      </c>
      <c r="T535" s="1">
        <v>154</v>
      </c>
      <c r="Z535" s="1">
        <v>112</v>
      </c>
      <c r="AA535" s="1">
        <v>185</v>
      </c>
      <c r="AC535" s="1">
        <v>87</v>
      </c>
      <c r="AF535" s="1">
        <v>270</v>
      </c>
    </row>
    <row r="536" spans="1:32">
      <c r="A536" s="58">
        <v>36490</v>
      </c>
      <c r="C536" s="1">
        <v>8105</v>
      </c>
      <c r="D536" s="21">
        <f t="shared" si="16"/>
        <v>-3.8894817976995136E-2</v>
      </c>
      <c r="E536" s="1">
        <v>8105</v>
      </c>
      <c r="F536" s="1">
        <v>0</v>
      </c>
      <c r="H536" s="1">
        <v>1745</v>
      </c>
      <c r="I536" s="21">
        <f t="shared" si="15"/>
        <v>-2.2870211549456832E-3</v>
      </c>
      <c r="J536" s="1">
        <v>412</v>
      </c>
      <c r="K536" s="1">
        <v>276</v>
      </c>
      <c r="L536" s="1">
        <v>157</v>
      </c>
      <c r="O536" s="1">
        <v>119</v>
      </c>
      <c r="T536" s="1">
        <v>136</v>
      </c>
      <c r="Z536" s="1">
        <v>103</v>
      </c>
      <c r="AA536" s="1">
        <v>239</v>
      </c>
      <c r="AC536" s="1">
        <v>117</v>
      </c>
      <c r="AF536" s="1">
        <v>223</v>
      </c>
    </row>
    <row r="537" spans="1:32">
      <c r="A537" s="58">
        <v>36497</v>
      </c>
      <c r="C537" s="1">
        <v>8217</v>
      </c>
      <c r="D537" s="21">
        <f t="shared" si="16"/>
        <v>1.3818630475015423E-2</v>
      </c>
      <c r="E537" s="1">
        <v>8217</v>
      </c>
      <c r="F537" s="1">
        <v>0</v>
      </c>
      <c r="H537" s="1">
        <v>1731</v>
      </c>
      <c r="I537" s="21">
        <f t="shared" si="15"/>
        <v>-8.0229226361031511E-3</v>
      </c>
      <c r="J537" s="1">
        <v>438</v>
      </c>
      <c r="K537" s="1">
        <v>250</v>
      </c>
      <c r="L537" s="1">
        <v>131</v>
      </c>
      <c r="O537" s="1">
        <v>119</v>
      </c>
      <c r="T537" s="1">
        <v>189</v>
      </c>
      <c r="Z537" s="1">
        <v>108</v>
      </c>
      <c r="AA537" s="1">
        <v>264</v>
      </c>
      <c r="AC537" s="1">
        <v>126</v>
      </c>
      <c r="AF537" s="1">
        <v>180</v>
      </c>
    </row>
    <row r="538" spans="1:32">
      <c r="A538" s="58">
        <v>36504</v>
      </c>
      <c r="C538" s="1">
        <v>8013</v>
      </c>
      <c r="D538" s="21">
        <f t="shared" si="16"/>
        <v>-2.4826579043446512E-2</v>
      </c>
      <c r="E538" s="1">
        <v>8013</v>
      </c>
      <c r="F538" s="1">
        <v>0</v>
      </c>
      <c r="H538" s="1">
        <v>1659</v>
      </c>
      <c r="I538" s="21">
        <f t="shared" ref="I538:I601" si="17">(H538-H537)/H537</f>
        <v>-4.1594454072790298E-2</v>
      </c>
      <c r="J538" s="1">
        <v>458</v>
      </c>
      <c r="K538" s="1">
        <v>265</v>
      </c>
      <c r="L538" s="1">
        <v>118</v>
      </c>
      <c r="O538" s="1">
        <v>147</v>
      </c>
      <c r="T538" s="1">
        <v>193</v>
      </c>
      <c r="Z538" s="1">
        <v>96</v>
      </c>
      <c r="AA538" s="1">
        <v>237</v>
      </c>
      <c r="AC538" s="1">
        <v>150</v>
      </c>
      <c r="AF538" s="1">
        <v>148</v>
      </c>
    </row>
    <row r="539" spans="1:32">
      <c r="A539" s="58">
        <v>36511</v>
      </c>
      <c r="C539" s="1">
        <v>7993</v>
      </c>
      <c r="D539" s="21">
        <f t="shared" si="16"/>
        <v>-2.4959440908523651E-3</v>
      </c>
      <c r="E539" s="1">
        <v>7993</v>
      </c>
      <c r="F539" s="1">
        <v>0</v>
      </c>
      <c r="H539" s="1">
        <v>1659</v>
      </c>
      <c r="I539" s="21">
        <f t="shared" si="17"/>
        <v>0</v>
      </c>
      <c r="J539" s="1">
        <v>420</v>
      </c>
      <c r="K539" s="1">
        <v>224</v>
      </c>
      <c r="L539" s="1">
        <v>105</v>
      </c>
      <c r="O539" s="1">
        <v>120</v>
      </c>
      <c r="T539" s="1">
        <v>195</v>
      </c>
      <c r="Z539" s="1">
        <v>114</v>
      </c>
      <c r="AA539" s="1">
        <v>266</v>
      </c>
      <c r="AC539" s="1">
        <v>174</v>
      </c>
      <c r="AF539" s="1">
        <v>149</v>
      </c>
    </row>
    <row r="540" spans="1:32">
      <c r="A540" s="58">
        <v>36518</v>
      </c>
      <c r="C540" s="1">
        <v>8208</v>
      </c>
      <c r="D540" s="21">
        <f t="shared" si="16"/>
        <v>2.6898536219191794E-2</v>
      </c>
      <c r="E540" s="1">
        <v>8190</v>
      </c>
      <c r="F540" s="1">
        <v>18</v>
      </c>
      <c r="H540" s="1">
        <v>1611</v>
      </c>
      <c r="I540" s="21">
        <f t="shared" si="17"/>
        <v>-2.8933092224231464E-2</v>
      </c>
      <c r="J540" s="1">
        <v>387</v>
      </c>
      <c r="K540" s="1">
        <v>208</v>
      </c>
      <c r="L540" s="1">
        <v>94</v>
      </c>
      <c r="O540" s="1">
        <v>114</v>
      </c>
      <c r="T540" s="1">
        <v>179</v>
      </c>
      <c r="Z540" s="1">
        <v>110</v>
      </c>
      <c r="AA540" s="1">
        <v>222</v>
      </c>
      <c r="AC540" s="1">
        <v>139</v>
      </c>
      <c r="AF540" s="1">
        <v>169</v>
      </c>
    </row>
    <row r="541" spans="1:32">
      <c r="A541" s="58">
        <v>36525</v>
      </c>
      <c r="C541" s="1">
        <v>8015</v>
      </c>
      <c r="D541" s="21">
        <f t="shared" ref="D541:D604" si="18">(C541-C540)/C540</f>
        <v>-2.3513645224171539E-2</v>
      </c>
      <c r="E541" s="1">
        <v>7997</v>
      </c>
      <c r="F541" s="1">
        <v>18</v>
      </c>
      <c r="H541" s="1">
        <v>1736</v>
      </c>
      <c r="I541" s="21">
        <f t="shared" si="17"/>
        <v>7.7591558038485414E-2</v>
      </c>
      <c r="J541" s="1">
        <v>472</v>
      </c>
      <c r="K541" s="1">
        <v>292</v>
      </c>
      <c r="L541" s="1">
        <v>152</v>
      </c>
      <c r="O541" s="1">
        <v>140</v>
      </c>
      <c r="T541" s="1">
        <v>180</v>
      </c>
      <c r="Z541" s="1">
        <v>103</v>
      </c>
      <c r="AA541" s="1">
        <v>195</v>
      </c>
      <c r="AC541" s="1">
        <v>121</v>
      </c>
      <c r="AF541" s="1">
        <v>174</v>
      </c>
    </row>
    <row r="542" spans="1:32">
      <c r="A542" s="58">
        <v>36532</v>
      </c>
      <c r="B542" s="1">
        <v>10028</v>
      </c>
      <c r="C542" s="1">
        <v>8255</v>
      </c>
      <c r="D542" s="21">
        <f t="shared" si="18"/>
        <v>2.9943855271366188E-2</v>
      </c>
      <c r="E542" s="1">
        <v>8237</v>
      </c>
      <c r="F542" s="1">
        <v>18</v>
      </c>
      <c r="H542" s="1">
        <v>1774</v>
      </c>
      <c r="I542" s="21">
        <f t="shared" si="17"/>
        <v>2.1889400921658985E-2</v>
      </c>
      <c r="J542" s="1">
        <v>462</v>
      </c>
      <c r="K542" s="1">
        <v>291</v>
      </c>
      <c r="L542" s="1">
        <v>151</v>
      </c>
      <c r="O542" s="1">
        <v>141</v>
      </c>
      <c r="T542" s="1">
        <v>170</v>
      </c>
      <c r="Z542" s="1">
        <v>103</v>
      </c>
      <c r="AA542" s="1">
        <v>204</v>
      </c>
      <c r="AC542" s="1">
        <v>89</v>
      </c>
      <c r="AF542" s="1">
        <v>174</v>
      </c>
    </row>
    <row r="543" spans="1:32">
      <c r="A543" s="58">
        <v>36539</v>
      </c>
      <c r="B543" s="1">
        <v>9912</v>
      </c>
      <c r="C543" s="1">
        <v>8067</v>
      </c>
      <c r="D543" s="21">
        <f t="shared" si="18"/>
        <v>-2.2774076317383405E-2</v>
      </c>
      <c r="E543" s="1">
        <v>8049</v>
      </c>
      <c r="F543" s="1">
        <v>18</v>
      </c>
      <c r="H543" s="1">
        <v>1845</v>
      </c>
      <c r="I543" s="21">
        <f t="shared" si="17"/>
        <v>4.0022547914317926E-2</v>
      </c>
      <c r="J543" s="1">
        <v>520</v>
      </c>
      <c r="K543" s="1">
        <v>333</v>
      </c>
      <c r="L543" s="1">
        <v>184</v>
      </c>
      <c r="O543" s="1">
        <v>149</v>
      </c>
      <c r="T543" s="1">
        <v>188</v>
      </c>
      <c r="Z543" s="1">
        <v>82</v>
      </c>
      <c r="AA543" s="1">
        <v>204</v>
      </c>
      <c r="AC543" s="1">
        <v>80</v>
      </c>
      <c r="AF543" s="1">
        <v>191</v>
      </c>
    </row>
    <row r="544" spans="1:32">
      <c r="A544" s="58">
        <v>36546</v>
      </c>
      <c r="B544" s="1">
        <v>10031</v>
      </c>
      <c r="C544" s="1">
        <v>8102</v>
      </c>
      <c r="D544" s="21">
        <f t="shared" si="18"/>
        <v>4.3386636915829927E-3</v>
      </c>
      <c r="E544" s="1">
        <v>8102</v>
      </c>
      <c r="F544" s="1">
        <v>0</v>
      </c>
      <c r="H544" s="1">
        <v>1929</v>
      </c>
      <c r="I544" s="21">
        <f t="shared" si="17"/>
        <v>4.5528455284552849E-2</v>
      </c>
      <c r="J544" s="1">
        <v>546</v>
      </c>
      <c r="K544" s="1">
        <v>327</v>
      </c>
      <c r="L544" s="1">
        <v>170</v>
      </c>
      <c r="O544" s="1">
        <v>157</v>
      </c>
      <c r="T544" s="1">
        <v>220</v>
      </c>
      <c r="Z544" s="1">
        <v>83</v>
      </c>
      <c r="AA544" s="1">
        <v>201</v>
      </c>
      <c r="AC544" s="1">
        <v>87</v>
      </c>
      <c r="AF544" s="1">
        <v>246</v>
      </c>
    </row>
    <row r="545" spans="1:32">
      <c r="A545" s="58">
        <v>36553</v>
      </c>
      <c r="B545" s="1">
        <v>9888</v>
      </c>
      <c r="C545" s="1">
        <v>7775</v>
      </c>
      <c r="D545" s="21">
        <f t="shared" si="18"/>
        <v>-4.0360404838311527E-2</v>
      </c>
      <c r="E545" s="1">
        <v>7775</v>
      </c>
      <c r="F545" s="1">
        <v>0</v>
      </c>
      <c r="H545" s="1">
        <v>2113</v>
      </c>
      <c r="I545" s="21">
        <f t="shared" si="17"/>
        <v>9.5386210471747016E-2</v>
      </c>
      <c r="J545" s="1">
        <v>597</v>
      </c>
      <c r="K545" s="1">
        <v>374</v>
      </c>
      <c r="L545" s="1">
        <v>194</v>
      </c>
      <c r="O545" s="1">
        <v>180</v>
      </c>
      <c r="T545" s="1">
        <v>223</v>
      </c>
      <c r="Z545" s="1">
        <v>101</v>
      </c>
      <c r="AA545" s="1">
        <v>199</v>
      </c>
      <c r="AC545" s="1">
        <v>85</v>
      </c>
      <c r="AF545" s="1">
        <v>329</v>
      </c>
    </row>
    <row r="546" spans="1:32">
      <c r="A546" s="58">
        <v>36560</v>
      </c>
      <c r="B546" s="1">
        <v>9881</v>
      </c>
      <c r="C546" s="1">
        <v>7752</v>
      </c>
      <c r="D546" s="21">
        <f t="shared" si="18"/>
        <v>-2.9581993569131834E-3</v>
      </c>
      <c r="E546" s="1">
        <v>7731</v>
      </c>
      <c r="F546" s="1">
        <v>21</v>
      </c>
      <c r="H546" s="1">
        <v>2129</v>
      </c>
      <c r="I546" s="21">
        <f t="shared" si="17"/>
        <v>7.5721722669190722E-3</v>
      </c>
      <c r="J546" s="1">
        <v>587</v>
      </c>
      <c r="K546" s="1">
        <v>346</v>
      </c>
      <c r="L546" s="1">
        <v>194</v>
      </c>
      <c r="O546" s="1">
        <v>153</v>
      </c>
      <c r="T546" s="1">
        <v>241</v>
      </c>
      <c r="Z546" s="1">
        <v>118</v>
      </c>
      <c r="AA546" s="1">
        <v>162</v>
      </c>
      <c r="AC546" s="1">
        <v>83</v>
      </c>
      <c r="AF546" s="1">
        <v>325</v>
      </c>
    </row>
    <row r="547" spans="1:32">
      <c r="A547" s="58">
        <v>36567</v>
      </c>
      <c r="B547" s="1">
        <v>10134</v>
      </c>
      <c r="C547" s="1">
        <v>7952</v>
      </c>
      <c r="D547" s="21">
        <f t="shared" si="18"/>
        <v>2.5799793601651185E-2</v>
      </c>
      <c r="E547" s="1">
        <v>7931</v>
      </c>
      <c r="F547" s="1">
        <v>21</v>
      </c>
      <c r="H547" s="1">
        <v>2182</v>
      </c>
      <c r="I547" s="21">
        <f t="shared" si="17"/>
        <v>2.489431658055425E-2</v>
      </c>
      <c r="J547" s="1">
        <v>580</v>
      </c>
      <c r="K547" s="1">
        <v>357</v>
      </c>
      <c r="L547" s="1">
        <v>178</v>
      </c>
      <c r="O547" s="1">
        <v>179</v>
      </c>
      <c r="T547" s="1">
        <v>223</v>
      </c>
      <c r="Z547" s="1">
        <v>142</v>
      </c>
      <c r="AA547" s="1">
        <v>236</v>
      </c>
      <c r="AC547" s="1">
        <v>84</v>
      </c>
      <c r="AF547" s="1">
        <v>320</v>
      </c>
    </row>
    <row r="548" spans="1:32">
      <c r="A548" s="58">
        <v>36574</v>
      </c>
      <c r="B548" s="1">
        <v>10172</v>
      </c>
      <c r="C548" s="1">
        <v>7906</v>
      </c>
      <c r="D548" s="21">
        <f t="shared" si="18"/>
        <v>-5.7847082494969816E-3</v>
      </c>
      <c r="E548" s="1">
        <v>7886</v>
      </c>
      <c r="F548" s="1">
        <v>21</v>
      </c>
      <c r="H548" s="1">
        <v>2266</v>
      </c>
      <c r="I548" s="21">
        <f t="shared" si="17"/>
        <v>3.84967919340055E-2</v>
      </c>
      <c r="J548" s="1">
        <v>575</v>
      </c>
      <c r="K548" s="1">
        <v>363</v>
      </c>
      <c r="L548" s="1">
        <v>177</v>
      </c>
      <c r="O548" s="1">
        <v>186</v>
      </c>
      <c r="T548" s="1">
        <v>212</v>
      </c>
      <c r="Z548" s="1">
        <v>145</v>
      </c>
      <c r="AA548" s="1">
        <v>311</v>
      </c>
      <c r="AC548" s="1">
        <v>123</v>
      </c>
      <c r="AF548" s="1">
        <v>313</v>
      </c>
    </row>
    <row r="549" spans="1:32">
      <c r="A549" s="58">
        <v>36581</v>
      </c>
      <c r="B549" s="1">
        <v>10363</v>
      </c>
      <c r="C549" s="1">
        <v>8141</v>
      </c>
      <c r="D549" s="21">
        <f t="shared" si="18"/>
        <v>2.9724260055653935E-2</v>
      </c>
      <c r="E549" s="1">
        <v>8120</v>
      </c>
      <c r="F549" s="1">
        <v>21</v>
      </c>
      <c r="H549" s="1">
        <v>2222</v>
      </c>
      <c r="I549" s="21">
        <f t="shared" si="17"/>
        <v>-1.9417475728155338E-2</v>
      </c>
      <c r="J549" s="1">
        <v>521</v>
      </c>
      <c r="K549" s="1">
        <v>301</v>
      </c>
      <c r="L549" s="1">
        <v>121</v>
      </c>
      <c r="O549" s="1">
        <v>180</v>
      </c>
      <c r="T549" s="1">
        <v>220</v>
      </c>
      <c r="Z549" s="1">
        <v>123</v>
      </c>
      <c r="AA549" s="1">
        <v>451</v>
      </c>
      <c r="AC549" s="1">
        <v>164</v>
      </c>
      <c r="AF549" s="1">
        <v>197</v>
      </c>
    </row>
    <row r="550" spans="1:32">
      <c r="A550" s="58">
        <v>36588</v>
      </c>
      <c r="B550" s="1">
        <v>10459</v>
      </c>
      <c r="C550" s="1">
        <v>8241</v>
      </c>
      <c r="D550" s="21">
        <f t="shared" si="18"/>
        <v>1.2283503255128362E-2</v>
      </c>
      <c r="E550" s="1">
        <v>8241</v>
      </c>
      <c r="F550" s="1">
        <v>0</v>
      </c>
      <c r="H550" s="1">
        <v>2218</v>
      </c>
      <c r="I550" s="21">
        <f t="shared" si="17"/>
        <v>-1.8001800180018001E-3</v>
      </c>
      <c r="J550" s="1">
        <v>562</v>
      </c>
      <c r="K550" s="1">
        <v>327</v>
      </c>
      <c r="L550" s="1">
        <v>130</v>
      </c>
      <c r="O550" s="1">
        <v>198</v>
      </c>
      <c r="T550" s="1">
        <v>234</v>
      </c>
      <c r="Z550" s="1">
        <v>134</v>
      </c>
      <c r="AA550" s="1">
        <v>475</v>
      </c>
      <c r="AC550" s="1">
        <v>164</v>
      </c>
      <c r="AF550" s="1">
        <v>199</v>
      </c>
    </row>
    <row r="551" spans="1:32">
      <c r="A551" s="58">
        <v>36595</v>
      </c>
      <c r="B551" s="1">
        <v>10439</v>
      </c>
      <c r="C551" s="1">
        <v>8180</v>
      </c>
      <c r="D551" s="21">
        <f t="shared" si="18"/>
        <v>-7.4020143186506494E-3</v>
      </c>
      <c r="E551" s="1">
        <v>8180</v>
      </c>
      <c r="F551" s="1">
        <v>0</v>
      </c>
      <c r="H551" s="1">
        <v>2259</v>
      </c>
      <c r="I551" s="21">
        <f t="shared" si="17"/>
        <v>1.8485121731289449E-2</v>
      </c>
      <c r="J551" s="1">
        <v>580</v>
      </c>
      <c r="K551" s="1">
        <v>346</v>
      </c>
      <c r="L551" s="1">
        <v>155</v>
      </c>
      <c r="O551" s="1">
        <v>192</v>
      </c>
      <c r="T551" s="1">
        <v>234</v>
      </c>
      <c r="Z551" s="1">
        <v>125</v>
      </c>
      <c r="AA551" s="1">
        <v>431</v>
      </c>
      <c r="AC551" s="1">
        <v>167</v>
      </c>
      <c r="AF551" s="1">
        <v>174</v>
      </c>
    </row>
    <row r="552" spans="1:32">
      <c r="A552" s="58">
        <v>36602</v>
      </c>
      <c r="B552" s="1">
        <v>10450</v>
      </c>
      <c r="C552" s="1">
        <v>8271</v>
      </c>
      <c r="D552" s="21">
        <f t="shared" si="18"/>
        <v>1.1124694376528117E-2</v>
      </c>
      <c r="E552" s="1">
        <v>8271</v>
      </c>
      <c r="F552" s="1">
        <v>0</v>
      </c>
      <c r="H552" s="1">
        <v>2179</v>
      </c>
      <c r="I552" s="21">
        <f t="shared" si="17"/>
        <v>-3.5413899955732624E-2</v>
      </c>
      <c r="J552" s="1">
        <v>572</v>
      </c>
      <c r="K552" s="1">
        <v>336</v>
      </c>
      <c r="L552" s="1">
        <v>147</v>
      </c>
      <c r="O552" s="1">
        <v>190</v>
      </c>
      <c r="T552" s="1">
        <v>236</v>
      </c>
      <c r="Z552" s="1">
        <v>130</v>
      </c>
      <c r="AA552" s="1">
        <v>401</v>
      </c>
      <c r="AC552" s="1">
        <v>124</v>
      </c>
      <c r="AF552" s="1">
        <v>116</v>
      </c>
    </row>
    <row r="553" spans="1:32">
      <c r="A553" s="58">
        <v>36609</v>
      </c>
      <c r="B553" s="1">
        <v>10432</v>
      </c>
      <c r="C553" s="1">
        <v>8361</v>
      </c>
      <c r="D553" s="21">
        <f t="shared" si="18"/>
        <v>1.088139281828074E-2</v>
      </c>
      <c r="E553" s="1">
        <v>8361</v>
      </c>
      <c r="F553" s="1">
        <v>0</v>
      </c>
      <c r="H553" s="1">
        <v>2072</v>
      </c>
      <c r="I553" s="21">
        <f t="shared" si="17"/>
        <v>-4.9105094079853147E-2</v>
      </c>
      <c r="J553" s="1">
        <v>586</v>
      </c>
      <c r="K553" s="1">
        <v>344</v>
      </c>
      <c r="L553" s="1">
        <v>151</v>
      </c>
      <c r="O553" s="1">
        <v>193</v>
      </c>
      <c r="T553" s="1">
        <v>242</v>
      </c>
      <c r="Z553" s="1">
        <v>127</v>
      </c>
      <c r="AA553" s="1">
        <v>253</v>
      </c>
      <c r="AC553" s="1">
        <v>69</v>
      </c>
      <c r="AF553" s="1">
        <v>145</v>
      </c>
    </row>
    <row r="554" spans="1:32">
      <c r="A554" s="58">
        <v>36616</v>
      </c>
      <c r="B554" s="1">
        <v>10545</v>
      </c>
      <c r="C554" s="1">
        <v>8477</v>
      </c>
      <c r="D554" s="21">
        <f t="shared" si="18"/>
        <v>1.3873938524099988E-2</v>
      </c>
      <c r="E554" s="1">
        <v>8477</v>
      </c>
      <c r="F554" s="1">
        <v>0</v>
      </c>
      <c r="H554" s="1">
        <v>2068</v>
      </c>
      <c r="I554" s="21">
        <f t="shared" si="17"/>
        <v>-1.9305019305019305E-3</v>
      </c>
      <c r="J554" s="1">
        <v>516</v>
      </c>
      <c r="K554" s="1">
        <v>292</v>
      </c>
      <c r="L554" s="1">
        <v>140</v>
      </c>
      <c r="O554" s="1">
        <v>152</v>
      </c>
      <c r="T554" s="1">
        <v>225</v>
      </c>
      <c r="Z554" s="1">
        <v>106</v>
      </c>
      <c r="AA554" s="1">
        <v>239</v>
      </c>
      <c r="AC554" s="1">
        <v>58</v>
      </c>
      <c r="AF554" s="1">
        <v>170</v>
      </c>
    </row>
    <row r="555" spans="1:32">
      <c r="A555" s="58">
        <v>36623</v>
      </c>
      <c r="B555" s="1">
        <v>10704</v>
      </c>
      <c r="C555" s="1">
        <v>8790</v>
      </c>
      <c r="D555" s="21">
        <f t="shared" si="18"/>
        <v>3.6923439896189687E-2</v>
      </c>
      <c r="E555" s="1">
        <v>8790</v>
      </c>
      <c r="F555" s="1">
        <v>0</v>
      </c>
      <c r="H555" s="1">
        <v>1915</v>
      </c>
      <c r="I555" s="21">
        <f t="shared" si="17"/>
        <v>-7.3984526112185686E-2</v>
      </c>
      <c r="J555" s="1">
        <v>516</v>
      </c>
      <c r="K555" s="1">
        <v>288</v>
      </c>
      <c r="L555" s="1">
        <v>118</v>
      </c>
      <c r="O555" s="1">
        <v>169</v>
      </c>
      <c r="T555" s="1">
        <v>229</v>
      </c>
      <c r="Z555" s="1">
        <v>93</v>
      </c>
      <c r="AA555" s="1">
        <v>171</v>
      </c>
      <c r="AC555" s="1">
        <v>44</v>
      </c>
      <c r="AF555" s="1">
        <v>187</v>
      </c>
    </row>
    <row r="556" spans="1:32">
      <c r="A556" s="58">
        <v>36630</v>
      </c>
      <c r="B556" s="1">
        <v>10767</v>
      </c>
      <c r="C556" s="1">
        <v>8914</v>
      </c>
      <c r="D556" s="21">
        <f t="shared" si="18"/>
        <v>1.4106939704209329E-2</v>
      </c>
      <c r="E556" s="1">
        <v>8914</v>
      </c>
      <c r="F556" s="1">
        <v>0</v>
      </c>
      <c r="H556" s="1">
        <v>1854</v>
      </c>
      <c r="I556" s="21">
        <f t="shared" si="17"/>
        <v>-3.1853785900783291E-2</v>
      </c>
      <c r="J556" s="1">
        <v>494</v>
      </c>
      <c r="K556" s="1">
        <v>263</v>
      </c>
      <c r="L556" s="1">
        <v>103</v>
      </c>
      <c r="O556" s="1">
        <v>159</v>
      </c>
      <c r="T556" s="1">
        <v>231</v>
      </c>
      <c r="Z556" s="1">
        <v>90</v>
      </c>
      <c r="AA556" s="1">
        <v>188</v>
      </c>
      <c r="AC556" s="1">
        <v>66</v>
      </c>
      <c r="AF556" s="1">
        <v>213</v>
      </c>
    </row>
    <row r="557" spans="1:32">
      <c r="A557" s="58">
        <v>36637</v>
      </c>
      <c r="B557" s="1">
        <v>11108</v>
      </c>
      <c r="C557" s="1">
        <v>9330</v>
      </c>
      <c r="D557" s="21">
        <f t="shared" si="18"/>
        <v>4.6668162441103882E-2</v>
      </c>
      <c r="E557" s="1">
        <v>9330</v>
      </c>
      <c r="F557" s="1">
        <v>0</v>
      </c>
      <c r="H557" s="1">
        <v>1779</v>
      </c>
      <c r="I557" s="21">
        <f t="shared" si="17"/>
        <v>-4.0453074433656956E-2</v>
      </c>
      <c r="J557" s="1">
        <v>463</v>
      </c>
      <c r="K557" s="1">
        <v>270</v>
      </c>
      <c r="L557" s="1">
        <v>100</v>
      </c>
      <c r="O557" s="1">
        <v>170</v>
      </c>
      <c r="T557" s="1">
        <v>193</v>
      </c>
      <c r="Z557" s="1">
        <v>95</v>
      </c>
      <c r="AA557" s="1">
        <v>199</v>
      </c>
      <c r="AC557" s="1">
        <v>72</v>
      </c>
      <c r="AF557" s="1">
        <v>200</v>
      </c>
    </row>
    <row r="558" spans="1:32">
      <c r="A558" s="58">
        <v>36644</v>
      </c>
      <c r="B558" s="1">
        <v>11109</v>
      </c>
      <c r="C558" s="1">
        <v>9185</v>
      </c>
      <c r="D558" s="21">
        <f t="shared" si="18"/>
        <v>-1.5541264737406217E-2</v>
      </c>
      <c r="E558" s="1">
        <v>9185</v>
      </c>
      <c r="F558" s="1">
        <v>0</v>
      </c>
      <c r="H558" s="1">
        <v>1925</v>
      </c>
      <c r="I558" s="21">
        <f t="shared" si="17"/>
        <v>8.2068577852726254E-2</v>
      </c>
      <c r="J558" s="1">
        <v>559</v>
      </c>
      <c r="K558" s="1">
        <v>360</v>
      </c>
      <c r="L558" s="1">
        <v>144</v>
      </c>
      <c r="O558" s="1">
        <v>216</v>
      </c>
      <c r="T558" s="1">
        <v>200</v>
      </c>
      <c r="Z558" s="1">
        <v>101</v>
      </c>
      <c r="AA558" s="1">
        <v>228</v>
      </c>
      <c r="AC558" s="1">
        <v>109</v>
      </c>
      <c r="AF558" s="1">
        <v>158</v>
      </c>
    </row>
    <row r="559" spans="1:32">
      <c r="A559" s="58">
        <v>36651</v>
      </c>
      <c r="B559" s="1">
        <v>11242</v>
      </c>
      <c r="C559" s="1">
        <v>9222</v>
      </c>
      <c r="D559" s="21">
        <f t="shared" si="18"/>
        <v>4.0283070223189983E-3</v>
      </c>
      <c r="E559" s="1">
        <v>9222</v>
      </c>
      <c r="F559" s="1">
        <v>0</v>
      </c>
      <c r="H559" s="1">
        <v>2021</v>
      </c>
      <c r="I559" s="21">
        <f t="shared" si="17"/>
        <v>4.987012987012987E-2</v>
      </c>
      <c r="J559" s="1">
        <v>562</v>
      </c>
      <c r="K559" s="1">
        <v>353</v>
      </c>
      <c r="L559" s="1">
        <v>141</v>
      </c>
      <c r="O559" s="1">
        <v>212</v>
      </c>
      <c r="T559" s="1">
        <v>209</v>
      </c>
      <c r="Z559" s="1">
        <v>119</v>
      </c>
      <c r="AA559" s="1">
        <v>252</v>
      </c>
      <c r="AC559" s="1">
        <v>123</v>
      </c>
      <c r="AF559" s="1">
        <v>180</v>
      </c>
    </row>
    <row r="560" spans="1:32">
      <c r="A560" s="58">
        <v>36658</v>
      </c>
      <c r="B560" s="1">
        <v>11120</v>
      </c>
      <c r="C560" s="1">
        <v>9168</v>
      </c>
      <c r="D560" s="21">
        <f t="shared" si="18"/>
        <v>-5.8555627846454128E-3</v>
      </c>
      <c r="E560" s="1">
        <v>9168</v>
      </c>
      <c r="F560" s="1">
        <v>0</v>
      </c>
      <c r="H560" s="1">
        <v>1952</v>
      </c>
      <c r="I560" s="21">
        <f t="shared" si="17"/>
        <v>-3.414151410192974E-2</v>
      </c>
      <c r="J560" s="1">
        <v>569</v>
      </c>
      <c r="K560" s="1">
        <v>377</v>
      </c>
      <c r="L560" s="1">
        <v>152</v>
      </c>
      <c r="O560" s="1">
        <v>225</v>
      </c>
      <c r="T560" s="1">
        <v>192</v>
      </c>
      <c r="Z560" s="1">
        <v>110</v>
      </c>
      <c r="AA560" s="1">
        <v>227</v>
      </c>
      <c r="AC560" s="1">
        <v>127</v>
      </c>
      <c r="AF560" s="1">
        <v>163</v>
      </c>
    </row>
    <row r="561" spans="1:32">
      <c r="A561" s="58">
        <v>36665</v>
      </c>
      <c r="B561" s="1">
        <v>11224</v>
      </c>
      <c r="C561" s="1">
        <v>9076</v>
      </c>
      <c r="D561" s="21">
        <f t="shared" si="18"/>
        <v>-1.0034904013961605E-2</v>
      </c>
      <c r="E561" s="1">
        <v>9076</v>
      </c>
      <c r="F561" s="1">
        <v>0</v>
      </c>
      <c r="H561" s="1">
        <v>2149</v>
      </c>
      <c r="I561" s="21">
        <f t="shared" si="17"/>
        <v>0.10092213114754098</v>
      </c>
      <c r="J561" s="1">
        <v>620</v>
      </c>
      <c r="K561" s="1">
        <v>364</v>
      </c>
      <c r="L561" s="1">
        <v>173</v>
      </c>
      <c r="O561" s="1">
        <v>191</v>
      </c>
      <c r="T561" s="1">
        <v>256</v>
      </c>
      <c r="Z561" s="1">
        <v>109</v>
      </c>
      <c r="AA561" s="1">
        <v>310</v>
      </c>
      <c r="AC561" s="1">
        <v>192</v>
      </c>
      <c r="AF561" s="1">
        <v>192</v>
      </c>
    </row>
    <row r="562" spans="1:32">
      <c r="A562" s="58">
        <v>36672</v>
      </c>
      <c r="B562" s="1">
        <v>11124</v>
      </c>
      <c r="C562" s="1">
        <v>9069</v>
      </c>
      <c r="D562" s="21">
        <f t="shared" si="18"/>
        <v>-7.7126487439400622E-4</v>
      </c>
      <c r="E562" s="1">
        <v>9069</v>
      </c>
      <c r="F562" s="1">
        <v>0</v>
      </c>
      <c r="H562" s="1">
        <v>2056</v>
      </c>
      <c r="I562" s="21">
        <f t="shared" si="17"/>
        <v>-4.3275942298743604E-2</v>
      </c>
      <c r="J562" s="1">
        <v>599</v>
      </c>
      <c r="K562" s="1">
        <v>355</v>
      </c>
      <c r="L562" s="1">
        <v>153</v>
      </c>
      <c r="O562" s="1">
        <v>202</v>
      </c>
      <c r="T562" s="1">
        <v>244</v>
      </c>
      <c r="Z562" s="1">
        <v>123</v>
      </c>
      <c r="AA562" s="1">
        <v>284</v>
      </c>
      <c r="AC562" s="1">
        <v>170</v>
      </c>
      <c r="AF562" s="1">
        <v>179</v>
      </c>
    </row>
    <row r="563" spans="1:32">
      <c r="A563" s="58">
        <v>36679</v>
      </c>
      <c r="B563" s="1">
        <v>11054</v>
      </c>
      <c r="C563" s="1">
        <v>8895</v>
      </c>
      <c r="D563" s="21">
        <f t="shared" si="18"/>
        <v>-1.9186238835593779E-2</v>
      </c>
      <c r="E563" s="1">
        <v>8895</v>
      </c>
      <c r="F563" s="1">
        <v>0</v>
      </c>
      <c r="H563" s="1">
        <v>2159</v>
      </c>
      <c r="I563" s="21">
        <f t="shared" si="17"/>
        <v>5.0097276264591442E-2</v>
      </c>
      <c r="J563" s="1">
        <v>646</v>
      </c>
      <c r="K563" s="1">
        <v>394</v>
      </c>
      <c r="L563" s="1">
        <v>177</v>
      </c>
      <c r="O563" s="1">
        <v>217</v>
      </c>
      <c r="T563" s="1">
        <v>253</v>
      </c>
      <c r="Z563" s="1">
        <v>119</v>
      </c>
      <c r="AA563" s="1">
        <v>308</v>
      </c>
      <c r="AC563" s="1">
        <v>193</v>
      </c>
      <c r="AF563" s="1">
        <v>189</v>
      </c>
    </row>
    <row r="564" spans="1:32">
      <c r="A564" s="58">
        <v>36686</v>
      </c>
      <c r="B564" s="1">
        <v>11148</v>
      </c>
      <c r="C564" s="1">
        <v>8880</v>
      </c>
      <c r="D564" s="21">
        <f t="shared" si="18"/>
        <v>-1.6863406408094434E-3</v>
      </c>
      <c r="E564" s="1">
        <v>8880</v>
      </c>
      <c r="F564" s="1">
        <v>0</v>
      </c>
      <c r="H564" s="1">
        <v>2268</v>
      </c>
      <c r="I564" s="21">
        <f t="shared" si="17"/>
        <v>5.048633626679018E-2</v>
      </c>
      <c r="J564" s="1">
        <v>621</v>
      </c>
      <c r="K564" s="1">
        <v>387</v>
      </c>
      <c r="L564" s="1">
        <v>191</v>
      </c>
      <c r="O564" s="1">
        <v>196</v>
      </c>
      <c r="T564" s="1">
        <v>234</v>
      </c>
      <c r="Z564" s="1">
        <v>135</v>
      </c>
      <c r="AA564" s="1">
        <v>282</v>
      </c>
      <c r="AC564" s="1">
        <v>171</v>
      </c>
      <c r="AF564" s="1">
        <v>233</v>
      </c>
    </row>
    <row r="565" spans="1:32">
      <c r="A565" s="58">
        <v>36693</v>
      </c>
      <c r="B565" s="1">
        <v>10985</v>
      </c>
      <c r="C565" s="1">
        <v>8914</v>
      </c>
      <c r="D565" s="21">
        <f t="shared" si="18"/>
        <v>3.8288288288288288E-3</v>
      </c>
      <c r="E565" s="1">
        <v>8914</v>
      </c>
      <c r="F565" s="1">
        <v>0</v>
      </c>
      <c r="H565" s="1">
        <v>2071</v>
      </c>
      <c r="I565" s="21">
        <f t="shared" si="17"/>
        <v>-8.6860670194003523E-2</v>
      </c>
      <c r="J565" s="1">
        <v>578</v>
      </c>
      <c r="K565" s="1">
        <v>397</v>
      </c>
      <c r="L565" s="1">
        <v>188</v>
      </c>
      <c r="O565" s="1">
        <v>209</v>
      </c>
      <c r="T565" s="1">
        <v>182</v>
      </c>
      <c r="Z565" s="1">
        <v>142</v>
      </c>
      <c r="AA565" s="1">
        <v>216</v>
      </c>
      <c r="AC565" s="1">
        <v>111</v>
      </c>
      <c r="AF565" s="1">
        <v>189</v>
      </c>
    </row>
    <row r="566" spans="1:32">
      <c r="A566" s="58">
        <v>36700</v>
      </c>
      <c r="B566" s="1">
        <v>11250</v>
      </c>
      <c r="C566" s="1">
        <v>9089</v>
      </c>
      <c r="D566" s="21">
        <f t="shared" si="18"/>
        <v>1.9632039488445142E-2</v>
      </c>
      <c r="E566" s="1">
        <v>9089</v>
      </c>
      <c r="F566" s="1">
        <v>0</v>
      </c>
      <c r="H566" s="1">
        <v>2161</v>
      </c>
      <c r="I566" s="21">
        <f t="shared" si="17"/>
        <v>4.3457267020762913E-2</v>
      </c>
      <c r="J566" s="1">
        <v>562</v>
      </c>
      <c r="K566" s="1">
        <v>362</v>
      </c>
      <c r="L566" s="1">
        <v>198</v>
      </c>
      <c r="O566" s="1">
        <v>164</v>
      </c>
      <c r="T566" s="1">
        <v>200</v>
      </c>
      <c r="Z566" s="1">
        <v>128</v>
      </c>
      <c r="AA566" s="1">
        <v>234</v>
      </c>
      <c r="AC566" s="1">
        <v>128</v>
      </c>
      <c r="AF566" s="1">
        <v>242</v>
      </c>
    </row>
    <row r="567" spans="1:32">
      <c r="A567" s="58">
        <v>36707</v>
      </c>
      <c r="B567" s="1">
        <v>11207</v>
      </c>
      <c r="C567" s="1">
        <v>9159</v>
      </c>
      <c r="D567" s="21">
        <f t="shared" si="18"/>
        <v>7.7016173396413246E-3</v>
      </c>
      <c r="E567" s="1">
        <v>9159</v>
      </c>
      <c r="F567" s="1">
        <v>0</v>
      </c>
      <c r="H567" s="1">
        <v>2048</v>
      </c>
      <c r="I567" s="21">
        <f t="shared" si="17"/>
        <v>-5.2290606200832951E-2</v>
      </c>
      <c r="J567" s="1">
        <v>532</v>
      </c>
      <c r="K567" s="1">
        <v>325</v>
      </c>
      <c r="L567" s="1">
        <v>173</v>
      </c>
      <c r="O567" s="1">
        <v>152</v>
      </c>
      <c r="T567" s="1">
        <v>208</v>
      </c>
      <c r="Z567" s="1">
        <v>130</v>
      </c>
      <c r="AA567" s="1">
        <v>225</v>
      </c>
      <c r="AC567" s="1">
        <v>118</v>
      </c>
      <c r="AF567" s="1">
        <v>188</v>
      </c>
    </row>
    <row r="568" spans="1:32">
      <c r="A568" s="58">
        <v>36714</v>
      </c>
      <c r="B568" s="1">
        <v>11384</v>
      </c>
      <c r="C568" s="1">
        <v>9404</v>
      </c>
      <c r="D568" s="21">
        <f t="shared" si="18"/>
        <v>2.6749645157768315E-2</v>
      </c>
      <c r="E568" s="1">
        <v>9387</v>
      </c>
      <c r="F568" s="1">
        <v>17</v>
      </c>
      <c r="H568" s="1">
        <v>1980</v>
      </c>
      <c r="I568" s="21">
        <f t="shared" si="17"/>
        <v>-3.3203125E-2</v>
      </c>
      <c r="J568" s="1">
        <v>531</v>
      </c>
      <c r="K568" s="1">
        <v>331</v>
      </c>
      <c r="L568" s="1">
        <v>165</v>
      </c>
      <c r="O568" s="1">
        <v>166</v>
      </c>
      <c r="T568" s="1">
        <v>200</v>
      </c>
      <c r="Z568" s="1">
        <v>124</v>
      </c>
      <c r="AA568" s="1">
        <v>228</v>
      </c>
      <c r="AC568" s="1">
        <v>122</v>
      </c>
      <c r="AF568" s="1">
        <v>164</v>
      </c>
    </row>
    <row r="569" spans="1:32">
      <c r="A569" s="58">
        <v>36721</v>
      </c>
      <c r="B569" s="1">
        <v>11330</v>
      </c>
      <c r="C569" s="1">
        <v>9370</v>
      </c>
      <c r="D569" s="21">
        <f t="shared" si="18"/>
        <v>-3.6154827732879625E-3</v>
      </c>
      <c r="E569" s="1">
        <v>9353</v>
      </c>
      <c r="F569" s="1">
        <v>17</v>
      </c>
      <c r="H569" s="1">
        <v>1961</v>
      </c>
      <c r="I569" s="21">
        <f t="shared" si="17"/>
        <v>-9.5959595959595953E-3</v>
      </c>
      <c r="J569" s="1">
        <v>502</v>
      </c>
      <c r="K569" s="1">
        <v>327</v>
      </c>
      <c r="L569" s="1">
        <v>179</v>
      </c>
      <c r="O569" s="1">
        <v>148</v>
      </c>
      <c r="T569" s="1">
        <v>175</v>
      </c>
      <c r="Z569" s="1">
        <v>120</v>
      </c>
      <c r="AA569" s="1">
        <v>233</v>
      </c>
      <c r="AC569" s="1">
        <v>115</v>
      </c>
      <c r="AF569" s="1">
        <v>169</v>
      </c>
    </row>
    <row r="570" spans="1:32">
      <c r="A570" s="58">
        <v>36728</v>
      </c>
      <c r="B570" s="1">
        <v>11327</v>
      </c>
      <c r="C570" s="1">
        <v>9522</v>
      </c>
      <c r="D570" s="21">
        <f t="shared" si="18"/>
        <v>1.6221985058697971E-2</v>
      </c>
      <c r="E570" s="1">
        <v>9488</v>
      </c>
      <c r="F570" s="1">
        <v>34</v>
      </c>
      <c r="H570" s="1">
        <v>1806</v>
      </c>
      <c r="I570" s="21">
        <f t="shared" si="17"/>
        <v>-7.9041305456399799E-2</v>
      </c>
      <c r="J570" s="1">
        <v>452</v>
      </c>
      <c r="K570" s="1">
        <v>340</v>
      </c>
      <c r="L570" s="1">
        <v>160</v>
      </c>
      <c r="O570" s="1">
        <v>180</v>
      </c>
      <c r="T570" s="1">
        <v>112</v>
      </c>
      <c r="Z570" s="1">
        <v>132</v>
      </c>
      <c r="AA570" s="1">
        <v>213</v>
      </c>
      <c r="AC570" s="1">
        <v>96</v>
      </c>
      <c r="AF570" s="1">
        <v>154</v>
      </c>
    </row>
    <row r="571" spans="1:32">
      <c r="A571" s="58">
        <v>36735</v>
      </c>
      <c r="B571" s="1">
        <v>11329</v>
      </c>
      <c r="C571" s="1">
        <v>9483</v>
      </c>
      <c r="D571" s="21">
        <f t="shared" si="18"/>
        <v>-4.0957781978575927E-3</v>
      </c>
      <c r="E571" s="1">
        <v>9449</v>
      </c>
      <c r="F571" s="1">
        <v>34</v>
      </c>
      <c r="H571" s="1">
        <v>1846</v>
      </c>
      <c r="I571" s="21">
        <f t="shared" si="17"/>
        <v>2.2148394241417499E-2</v>
      </c>
      <c r="J571" s="1">
        <v>448</v>
      </c>
      <c r="K571" s="1">
        <v>336</v>
      </c>
      <c r="L571" s="1">
        <v>178</v>
      </c>
      <c r="O571" s="1">
        <v>158</v>
      </c>
      <c r="T571" s="1">
        <v>112</v>
      </c>
      <c r="Z571" s="1">
        <v>115</v>
      </c>
      <c r="AA571" s="1">
        <v>186</v>
      </c>
      <c r="AC571" s="1">
        <v>71</v>
      </c>
      <c r="AF571" s="1">
        <v>197</v>
      </c>
    </row>
    <row r="572" spans="1:32">
      <c r="A572" s="58">
        <v>36742</v>
      </c>
      <c r="B572" s="1">
        <v>11349</v>
      </c>
      <c r="C572" s="1">
        <v>9384</v>
      </c>
      <c r="D572" s="21">
        <f t="shared" si="18"/>
        <v>-1.0439734261309713E-2</v>
      </c>
      <c r="E572" s="1">
        <v>9367</v>
      </c>
      <c r="F572" s="1">
        <v>17</v>
      </c>
      <c r="H572" s="1">
        <v>1965</v>
      </c>
      <c r="I572" s="21">
        <f t="shared" si="17"/>
        <v>6.4463705308775737E-2</v>
      </c>
      <c r="J572" s="1">
        <v>483</v>
      </c>
      <c r="K572" s="1">
        <v>346</v>
      </c>
      <c r="L572" s="1">
        <v>196</v>
      </c>
      <c r="O572" s="1">
        <v>150</v>
      </c>
      <c r="T572" s="1">
        <v>138</v>
      </c>
      <c r="Z572" s="1">
        <v>130</v>
      </c>
      <c r="AA572" s="1">
        <v>181</v>
      </c>
      <c r="AC572" s="1">
        <v>71</v>
      </c>
      <c r="AF572" s="1">
        <v>263</v>
      </c>
    </row>
    <row r="573" spans="1:32">
      <c r="A573" s="58">
        <v>36749</v>
      </c>
      <c r="B573" s="1">
        <v>11478</v>
      </c>
      <c r="C573" s="1">
        <v>9473</v>
      </c>
      <c r="D573" s="21">
        <f t="shared" si="18"/>
        <v>9.4842284739982945E-3</v>
      </c>
      <c r="E573" s="1">
        <v>9456</v>
      </c>
      <c r="F573" s="1">
        <v>17</v>
      </c>
      <c r="H573" s="1">
        <v>2005</v>
      </c>
      <c r="I573" s="21">
        <f t="shared" si="17"/>
        <v>2.0356234096692113E-2</v>
      </c>
      <c r="J573" s="1">
        <v>429</v>
      </c>
      <c r="K573" s="1">
        <v>310</v>
      </c>
      <c r="L573" s="1">
        <v>174</v>
      </c>
      <c r="O573" s="1">
        <v>136</v>
      </c>
      <c r="T573" s="1">
        <v>120</v>
      </c>
      <c r="Z573" s="1">
        <v>132</v>
      </c>
      <c r="AA573" s="1">
        <v>158</v>
      </c>
      <c r="AC573" s="1">
        <v>78</v>
      </c>
      <c r="AF573" s="1">
        <v>320</v>
      </c>
    </row>
    <row r="574" spans="1:32">
      <c r="A574" s="58">
        <v>36756</v>
      </c>
      <c r="B574" s="1">
        <v>11346</v>
      </c>
      <c r="C574" s="1">
        <v>9307</v>
      </c>
      <c r="D574" s="21">
        <f t="shared" si="18"/>
        <v>-1.7523487807452762E-2</v>
      </c>
      <c r="E574" s="1">
        <v>9307</v>
      </c>
      <c r="F574" s="1">
        <v>0</v>
      </c>
      <c r="H574" s="1">
        <v>2039</v>
      </c>
      <c r="I574" s="21">
        <f t="shared" si="17"/>
        <v>1.6957605985037406E-2</v>
      </c>
      <c r="J574" s="1">
        <v>452</v>
      </c>
      <c r="K574" s="1">
        <v>305</v>
      </c>
      <c r="L574" s="1">
        <v>194</v>
      </c>
      <c r="O574" s="1">
        <v>111</v>
      </c>
      <c r="T574" s="1">
        <v>147</v>
      </c>
      <c r="Z574" s="1">
        <v>137</v>
      </c>
      <c r="AA574" s="1">
        <v>195</v>
      </c>
      <c r="AC574" s="1">
        <v>86</v>
      </c>
      <c r="AF574" s="1">
        <v>333</v>
      </c>
    </row>
    <row r="575" spans="1:32">
      <c r="A575" s="58">
        <v>36763</v>
      </c>
      <c r="B575" s="1">
        <v>11386</v>
      </c>
      <c r="C575" s="1">
        <v>9435</v>
      </c>
      <c r="D575" s="21">
        <f t="shared" si="18"/>
        <v>1.3753089072740948E-2</v>
      </c>
      <c r="E575" s="1">
        <v>9435</v>
      </c>
      <c r="F575" s="1">
        <v>0</v>
      </c>
      <c r="H575" s="1">
        <v>1951</v>
      </c>
      <c r="I575" s="21">
        <f t="shared" si="17"/>
        <v>-4.3158410985777343E-2</v>
      </c>
      <c r="J575" s="1">
        <v>410</v>
      </c>
      <c r="K575" s="1">
        <v>274</v>
      </c>
      <c r="L575" s="1">
        <v>181</v>
      </c>
      <c r="O575" s="1">
        <v>92</v>
      </c>
      <c r="T575" s="1">
        <v>137</v>
      </c>
      <c r="Z575" s="1">
        <v>131</v>
      </c>
      <c r="AA575" s="1">
        <v>201</v>
      </c>
      <c r="AC575" s="1">
        <v>103</v>
      </c>
      <c r="AF575" s="1">
        <v>341</v>
      </c>
    </row>
    <row r="576" spans="1:32">
      <c r="A576" s="58">
        <v>36770</v>
      </c>
      <c r="B576" s="1">
        <v>11362</v>
      </c>
      <c r="C576" s="1">
        <v>9495</v>
      </c>
      <c r="D576" s="21">
        <f t="shared" si="18"/>
        <v>6.3593004769475362E-3</v>
      </c>
      <c r="E576" s="1">
        <v>9495</v>
      </c>
      <c r="F576" s="1">
        <v>0</v>
      </c>
      <c r="H576" s="1">
        <v>1867</v>
      </c>
      <c r="I576" s="21">
        <f t="shared" si="17"/>
        <v>-4.3054843669912864E-2</v>
      </c>
      <c r="J576" s="1">
        <v>411</v>
      </c>
      <c r="K576" s="1">
        <v>290</v>
      </c>
      <c r="L576" s="1">
        <v>186</v>
      </c>
      <c r="O576" s="1">
        <v>104</v>
      </c>
      <c r="T576" s="1">
        <v>122</v>
      </c>
      <c r="Z576" s="1">
        <v>118</v>
      </c>
      <c r="AA576" s="1">
        <v>219</v>
      </c>
      <c r="AC576" s="1">
        <v>114</v>
      </c>
      <c r="AF576" s="1">
        <v>278</v>
      </c>
    </row>
    <row r="577" spans="1:32">
      <c r="A577" s="58">
        <v>36777</v>
      </c>
      <c r="B577" s="1">
        <v>11349</v>
      </c>
      <c r="C577" s="1">
        <v>9446</v>
      </c>
      <c r="D577" s="21">
        <f t="shared" si="18"/>
        <v>-5.1606108478146392E-3</v>
      </c>
      <c r="E577" s="1">
        <v>9446</v>
      </c>
      <c r="F577" s="1">
        <v>0</v>
      </c>
      <c r="H577" s="1">
        <v>1904</v>
      </c>
      <c r="I577" s="21">
        <f t="shared" si="17"/>
        <v>1.9817889662560258E-2</v>
      </c>
      <c r="J577" s="1">
        <v>430</v>
      </c>
      <c r="K577" s="1">
        <v>298</v>
      </c>
      <c r="L577" s="1">
        <v>177</v>
      </c>
      <c r="O577" s="1">
        <v>121</v>
      </c>
      <c r="T577" s="1">
        <v>133</v>
      </c>
      <c r="Z577" s="1">
        <v>118</v>
      </c>
      <c r="AA577" s="1">
        <v>245</v>
      </c>
      <c r="AC577" s="1">
        <v>110</v>
      </c>
      <c r="AF577" s="1">
        <v>284</v>
      </c>
    </row>
    <row r="578" spans="1:32">
      <c r="A578" s="58">
        <v>36784</v>
      </c>
      <c r="B578" s="1">
        <v>11245</v>
      </c>
      <c r="C578" s="1">
        <v>9375</v>
      </c>
      <c r="D578" s="21">
        <f t="shared" si="18"/>
        <v>-7.5164090620368409E-3</v>
      </c>
      <c r="E578" s="1">
        <v>9375</v>
      </c>
      <c r="F578" s="1">
        <v>0</v>
      </c>
      <c r="H578" s="1">
        <v>1871</v>
      </c>
      <c r="I578" s="21">
        <f t="shared" si="17"/>
        <v>-1.7331932773109245E-2</v>
      </c>
      <c r="J578" s="1">
        <v>451</v>
      </c>
      <c r="K578" s="1">
        <v>291</v>
      </c>
      <c r="L578" s="1">
        <v>161</v>
      </c>
      <c r="O578" s="1">
        <v>130</v>
      </c>
      <c r="T578" s="1">
        <v>160</v>
      </c>
      <c r="Z578" s="1">
        <v>94</v>
      </c>
      <c r="AA578" s="1">
        <v>230</v>
      </c>
      <c r="AC578" s="1">
        <v>111</v>
      </c>
      <c r="AF578" s="1">
        <v>261</v>
      </c>
    </row>
    <row r="579" spans="1:32">
      <c r="A579" s="58">
        <v>36791</v>
      </c>
      <c r="B579" s="1">
        <v>11433</v>
      </c>
      <c r="C579" s="1">
        <v>9417</v>
      </c>
      <c r="D579" s="21">
        <f t="shared" si="18"/>
        <v>4.4799999999999996E-3</v>
      </c>
      <c r="E579" s="1">
        <v>9417</v>
      </c>
      <c r="F579" s="1">
        <v>0</v>
      </c>
      <c r="H579" s="1">
        <v>2017</v>
      </c>
      <c r="I579" s="21">
        <f t="shared" si="17"/>
        <v>7.8033137359700688E-2</v>
      </c>
      <c r="J579" s="1">
        <v>467</v>
      </c>
      <c r="K579" s="1">
        <v>321</v>
      </c>
      <c r="L579" s="1">
        <v>183</v>
      </c>
      <c r="O579" s="1">
        <v>138</v>
      </c>
      <c r="T579" s="1">
        <v>146</v>
      </c>
      <c r="Z579" s="1">
        <v>116</v>
      </c>
      <c r="AA579" s="1">
        <v>248</v>
      </c>
      <c r="AC579" s="1">
        <v>95</v>
      </c>
      <c r="AF579" s="1">
        <v>252</v>
      </c>
    </row>
    <row r="580" spans="1:32">
      <c r="A580" s="58">
        <v>36798</v>
      </c>
      <c r="B580" s="1">
        <v>11329</v>
      </c>
      <c r="C580" s="1">
        <v>9246</v>
      </c>
      <c r="D580" s="21">
        <f t="shared" si="18"/>
        <v>-1.8158649251353933E-2</v>
      </c>
      <c r="E580" s="1">
        <v>9246</v>
      </c>
      <c r="F580" s="1">
        <v>0</v>
      </c>
      <c r="H580" s="1">
        <v>2083</v>
      </c>
      <c r="I580" s="21">
        <f t="shared" si="17"/>
        <v>3.2721864154685178E-2</v>
      </c>
      <c r="J580" s="1">
        <v>470</v>
      </c>
      <c r="K580" s="1">
        <v>311</v>
      </c>
      <c r="L580" s="1">
        <v>175</v>
      </c>
      <c r="O580" s="1">
        <v>136</v>
      </c>
      <c r="T580" s="1">
        <v>159</v>
      </c>
      <c r="Z580" s="1">
        <v>132</v>
      </c>
      <c r="AA580" s="1">
        <v>249</v>
      </c>
      <c r="AC580" s="1">
        <v>82</v>
      </c>
      <c r="AF580" s="1">
        <v>236</v>
      </c>
    </row>
    <row r="581" spans="1:32">
      <c r="A581" s="58">
        <v>36805</v>
      </c>
      <c r="B581" s="1">
        <v>11245</v>
      </c>
      <c r="C581" s="1">
        <v>9157</v>
      </c>
      <c r="D581" s="21">
        <f t="shared" si="18"/>
        <v>-9.6257841228639413E-3</v>
      </c>
      <c r="E581" s="1">
        <v>9157</v>
      </c>
      <c r="F581" s="1">
        <v>0</v>
      </c>
      <c r="H581" s="1">
        <v>2088</v>
      </c>
      <c r="I581" s="21">
        <f t="shared" si="17"/>
        <v>2.400384061449832E-3</v>
      </c>
      <c r="J581" s="1">
        <v>461</v>
      </c>
      <c r="K581" s="1">
        <v>305</v>
      </c>
      <c r="L581" s="1">
        <v>178</v>
      </c>
      <c r="O581" s="1">
        <v>127</v>
      </c>
      <c r="T581" s="1">
        <v>157</v>
      </c>
      <c r="Z581" s="1">
        <v>134</v>
      </c>
      <c r="AA581" s="1">
        <v>210</v>
      </c>
      <c r="AC581" s="1">
        <v>78</v>
      </c>
      <c r="AF581" s="1">
        <v>237</v>
      </c>
    </row>
    <row r="582" spans="1:32">
      <c r="A582" s="58">
        <v>36812</v>
      </c>
      <c r="B582" s="1">
        <v>11279</v>
      </c>
      <c r="C582" s="1">
        <v>9144</v>
      </c>
      <c r="D582" s="21">
        <f t="shared" si="18"/>
        <v>-1.4196789341487386E-3</v>
      </c>
      <c r="E582" s="1">
        <v>9127</v>
      </c>
      <c r="F582" s="1">
        <v>17</v>
      </c>
      <c r="H582" s="1">
        <v>2135</v>
      </c>
      <c r="I582" s="21">
        <f t="shared" si="17"/>
        <v>2.2509578544061302E-2</v>
      </c>
      <c r="J582" s="1">
        <v>506</v>
      </c>
      <c r="K582" s="1">
        <v>350</v>
      </c>
      <c r="L582" s="1">
        <v>209</v>
      </c>
      <c r="O582" s="1">
        <v>140</v>
      </c>
      <c r="T582" s="1">
        <v>156</v>
      </c>
      <c r="Z582" s="1">
        <v>159</v>
      </c>
      <c r="AA582" s="1">
        <v>206</v>
      </c>
      <c r="AC582" s="1">
        <v>76</v>
      </c>
      <c r="AF582" s="1">
        <v>232</v>
      </c>
    </row>
    <row r="583" spans="1:32">
      <c r="A583" s="58">
        <v>36819</v>
      </c>
      <c r="B583" s="1">
        <v>11354</v>
      </c>
      <c r="C583" s="1">
        <v>9186</v>
      </c>
      <c r="D583" s="21">
        <f t="shared" si="18"/>
        <v>4.5931758530183726E-3</v>
      </c>
      <c r="E583" s="1">
        <v>9169</v>
      </c>
      <c r="F583" s="1">
        <v>17</v>
      </c>
      <c r="H583" s="1">
        <v>2169</v>
      </c>
      <c r="I583" s="21">
        <f t="shared" si="17"/>
        <v>1.5925058548009369E-2</v>
      </c>
      <c r="J583" s="1">
        <v>514</v>
      </c>
      <c r="K583" s="1">
        <v>376</v>
      </c>
      <c r="L583" s="1">
        <v>213</v>
      </c>
      <c r="O583" s="1">
        <v>163</v>
      </c>
      <c r="T583" s="1">
        <v>139</v>
      </c>
      <c r="Z583" s="1">
        <v>170</v>
      </c>
      <c r="AA583" s="1">
        <v>261</v>
      </c>
      <c r="AC583" s="1">
        <v>112</v>
      </c>
      <c r="AF583" s="1">
        <v>254</v>
      </c>
    </row>
    <row r="584" spans="1:32">
      <c r="A584" s="58">
        <v>36826</v>
      </c>
      <c r="B584" s="1">
        <v>11367</v>
      </c>
      <c r="C584" s="1">
        <v>9268</v>
      </c>
      <c r="D584" s="21">
        <f t="shared" si="18"/>
        <v>8.9266274765948186E-3</v>
      </c>
      <c r="E584" s="1">
        <v>9251</v>
      </c>
      <c r="F584" s="1">
        <v>17</v>
      </c>
      <c r="H584" s="1">
        <v>2099</v>
      </c>
      <c r="I584" s="21">
        <f t="shared" si="17"/>
        <v>-3.2272936837252193E-2</v>
      </c>
      <c r="J584" s="1">
        <v>468</v>
      </c>
      <c r="K584" s="1">
        <v>343</v>
      </c>
      <c r="L584" s="1">
        <v>186</v>
      </c>
      <c r="O584" s="1">
        <v>157</v>
      </c>
      <c r="T584" s="1">
        <v>125</v>
      </c>
      <c r="Z584" s="1">
        <v>165</v>
      </c>
      <c r="AA584" s="1">
        <v>243</v>
      </c>
      <c r="AC584" s="1">
        <v>120</v>
      </c>
      <c r="AF584" s="1">
        <v>304</v>
      </c>
    </row>
    <row r="585" spans="1:32">
      <c r="A585" s="58">
        <v>36833</v>
      </c>
      <c r="B585" s="1">
        <v>11546</v>
      </c>
      <c r="C585" s="1">
        <v>9316</v>
      </c>
      <c r="D585" s="21">
        <f t="shared" si="18"/>
        <v>5.1791109192921882E-3</v>
      </c>
      <c r="E585" s="1">
        <v>9298</v>
      </c>
      <c r="F585" s="1">
        <v>17</v>
      </c>
      <c r="H585" s="1">
        <v>2230</v>
      </c>
      <c r="I585" s="21">
        <f t="shared" si="17"/>
        <v>6.2410671748451642E-2</v>
      </c>
      <c r="J585" s="1">
        <v>562</v>
      </c>
      <c r="K585" s="1">
        <v>410</v>
      </c>
      <c r="L585" s="1">
        <v>243</v>
      </c>
      <c r="O585" s="1">
        <v>167</v>
      </c>
      <c r="T585" s="1">
        <v>152</v>
      </c>
      <c r="Z585" s="1">
        <v>170</v>
      </c>
      <c r="AA585" s="1">
        <v>275</v>
      </c>
      <c r="AC585" s="1">
        <v>125</v>
      </c>
      <c r="AF585" s="1">
        <v>356</v>
      </c>
    </row>
    <row r="586" spans="1:32">
      <c r="A586" s="58">
        <v>36840</v>
      </c>
      <c r="B586" s="1">
        <v>11550</v>
      </c>
      <c r="C586" s="1">
        <v>9210</v>
      </c>
      <c r="D586" s="21">
        <f t="shared" si="18"/>
        <v>-1.1378273937312151E-2</v>
      </c>
      <c r="E586" s="1">
        <v>9210</v>
      </c>
      <c r="F586" s="1">
        <v>0</v>
      </c>
      <c r="H586" s="1">
        <v>2340</v>
      </c>
      <c r="I586" s="21">
        <f t="shared" si="17"/>
        <v>4.9327354260089683E-2</v>
      </c>
      <c r="J586" s="1">
        <v>501</v>
      </c>
      <c r="K586" s="1">
        <v>388</v>
      </c>
      <c r="L586" s="1">
        <v>220</v>
      </c>
      <c r="O586" s="1">
        <v>168</v>
      </c>
      <c r="T586" s="1">
        <v>113</v>
      </c>
      <c r="Z586" s="1">
        <v>177</v>
      </c>
      <c r="AA586" s="1">
        <v>323</v>
      </c>
      <c r="AC586" s="1">
        <v>146</v>
      </c>
      <c r="AF586" s="1">
        <v>407</v>
      </c>
    </row>
    <row r="587" spans="1:32">
      <c r="A587" s="58">
        <v>36847</v>
      </c>
      <c r="B587" s="1">
        <v>11173</v>
      </c>
      <c r="C587" s="1">
        <v>9016</v>
      </c>
      <c r="D587" s="21">
        <f t="shared" si="18"/>
        <v>-2.1064060803474484E-2</v>
      </c>
      <c r="E587" s="1">
        <v>8980</v>
      </c>
      <c r="F587" s="1">
        <v>36</v>
      </c>
      <c r="H587" s="1">
        <v>2158</v>
      </c>
      <c r="I587" s="21">
        <f t="shared" si="17"/>
        <v>-7.7777777777777779E-2</v>
      </c>
      <c r="J587" s="1">
        <v>493</v>
      </c>
      <c r="K587" s="1">
        <v>373</v>
      </c>
      <c r="L587" s="1">
        <v>194</v>
      </c>
      <c r="O587" s="1">
        <v>179</v>
      </c>
      <c r="T587" s="1">
        <v>120</v>
      </c>
      <c r="Z587" s="1">
        <v>153</v>
      </c>
      <c r="AA587" s="1">
        <v>254</v>
      </c>
      <c r="AC587" s="1">
        <v>113</v>
      </c>
      <c r="AF587" s="1">
        <v>346</v>
      </c>
    </row>
    <row r="588" spans="1:32">
      <c r="A588" s="58">
        <v>36854</v>
      </c>
      <c r="B588" s="1">
        <v>10868</v>
      </c>
      <c r="C588" s="1">
        <v>8665</v>
      </c>
      <c r="D588" s="21">
        <f t="shared" si="18"/>
        <v>-3.8930789707187226E-2</v>
      </c>
      <c r="E588" s="1">
        <v>8629</v>
      </c>
      <c r="F588" s="1">
        <v>36</v>
      </c>
      <c r="H588" s="1">
        <v>2204</v>
      </c>
      <c r="I588" s="21">
        <f t="shared" si="17"/>
        <v>2.1316033364226137E-2</v>
      </c>
      <c r="J588" s="1">
        <v>537</v>
      </c>
      <c r="K588" s="1">
        <v>412</v>
      </c>
      <c r="L588" s="1">
        <v>195</v>
      </c>
      <c r="O588" s="1">
        <v>217</v>
      </c>
      <c r="T588" s="1">
        <v>125</v>
      </c>
      <c r="Z588" s="1">
        <v>141</v>
      </c>
      <c r="AA588" s="1">
        <v>302</v>
      </c>
      <c r="AC588" s="1">
        <v>103</v>
      </c>
      <c r="AF588" s="1">
        <v>315</v>
      </c>
    </row>
    <row r="589" spans="1:32">
      <c r="A589" s="58">
        <v>36861</v>
      </c>
      <c r="B589" s="1">
        <v>10636</v>
      </c>
      <c r="C589" s="1">
        <v>8511</v>
      </c>
      <c r="D589" s="21">
        <f t="shared" si="18"/>
        <v>-1.7772648586266589E-2</v>
      </c>
      <c r="E589" s="1">
        <v>8475</v>
      </c>
      <c r="F589" s="1">
        <v>36</v>
      </c>
      <c r="H589" s="1">
        <v>2126</v>
      </c>
      <c r="I589" s="21">
        <f t="shared" si="17"/>
        <v>-3.5390199637023591E-2</v>
      </c>
      <c r="J589" s="1">
        <v>505</v>
      </c>
      <c r="K589" s="1">
        <v>380</v>
      </c>
      <c r="L589" s="1">
        <v>175</v>
      </c>
      <c r="O589" s="1">
        <v>205</v>
      </c>
      <c r="T589" s="1">
        <v>126</v>
      </c>
      <c r="Z589" s="1">
        <v>130</v>
      </c>
      <c r="AA589" s="1">
        <v>305</v>
      </c>
      <c r="AC589" s="1">
        <v>99</v>
      </c>
      <c r="AF589" s="1">
        <v>238</v>
      </c>
    </row>
    <row r="590" spans="1:32">
      <c r="A590" s="58">
        <v>36868</v>
      </c>
      <c r="B590" s="1">
        <v>10621</v>
      </c>
      <c r="C590" s="1">
        <v>8573</v>
      </c>
      <c r="D590" s="21">
        <f t="shared" si="18"/>
        <v>7.284690400657972E-3</v>
      </c>
      <c r="E590" s="1">
        <v>8537</v>
      </c>
      <c r="F590" s="1">
        <v>36</v>
      </c>
      <c r="H590" s="1">
        <v>2048</v>
      </c>
      <c r="I590" s="21">
        <f t="shared" si="17"/>
        <v>-3.6688617121354655E-2</v>
      </c>
      <c r="J590" s="1">
        <v>521</v>
      </c>
      <c r="K590" s="1">
        <v>367</v>
      </c>
      <c r="L590" s="1">
        <v>183</v>
      </c>
      <c r="O590" s="1">
        <v>185</v>
      </c>
      <c r="T590" s="1">
        <v>154</v>
      </c>
      <c r="Z590" s="1">
        <v>119</v>
      </c>
      <c r="AA590" s="1">
        <v>312</v>
      </c>
      <c r="AC590" s="1">
        <v>90</v>
      </c>
      <c r="AF590" s="1">
        <v>205</v>
      </c>
    </row>
    <row r="591" spans="1:32">
      <c r="A591" s="58">
        <v>36875</v>
      </c>
      <c r="B591" s="1">
        <v>11074</v>
      </c>
      <c r="C591" s="1">
        <v>8721</v>
      </c>
      <c r="D591" s="21">
        <f t="shared" si="18"/>
        <v>1.7263501691356584E-2</v>
      </c>
      <c r="E591" s="1">
        <v>8721</v>
      </c>
      <c r="F591" s="1">
        <v>0</v>
      </c>
      <c r="H591" s="1">
        <v>2353</v>
      </c>
      <c r="I591" s="21">
        <f t="shared" si="17"/>
        <v>0.14892578125</v>
      </c>
      <c r="J591" s="1">
        <v>620</v>
      </c>
      <c r="K591" s="1">
        <v>391</v>
      </c>
      <c r="L591" s="1">
        <v>221</v>
      </c>
      <c r="O591" s="1">
        <v>170</v>
      </c>
      <c r="T591" s="1">
        <v>229</v>
      </c>
      <c r="Z591" s="1">
        <v>117</v>
      </c>
      <c r="AA591" s="1">
        <v>345</v>
      </c>
      <c r="AC591" s="1">
        <v>89</v>
      </c>
      <c r="AF591" s="1">
        <v>343</v>
      </c>
    </row>
    <row r="592" spans="1:32">
      <c r="A592" s="58">
        <v>36882</v>
      </c>
      <c r="B592" s="1">
        <v>11144</v>
      </c>
      <c r="C592" s="1">
        <v>8901</v>
      </c>
      <c r="D592" s="21">
        <f t="shared" si="18"/>
        <v>2.063983488132095E-2</v>
      </c>
      <c r="E592" s="1">
        <v>8901</v>
      </c>
      <c r="F592" s="1">
        <v>0</v>
      </c>
      <c r="H592" s="1">
        <v>2243</v>
      </c>
      <c r="I592" s="21">
        <f t="shared" si="17"/>
        <v>-4.6748831279218021E-2</v>
      </c>
      <c r="J592" s="1">
        <v>585</v>
      </c>
      <c r="K592" s="1">
        <v>346</v>
      </c>
      <c r="L592" s="1">
        <v>212</v>
      </c>
      <c r="O592" s="1">
        <v>135</v>
      </c>
      <c r="T592" s="1">
        <v>239</v>
      </c>
      <c r="Z592" s="1">
        <v>142</v>
      </c>
      <c r="AA592" s="1">
        <v>309</v>
      </c>
      <c r="AC592" s="1">
        <v>92</v>
      </c>
      <c r="AF592" s="1">
        <v>323</v>
      </c>
    </row>
    <row r="593" spans="1:32">
      <c r="A593" s="58">
        <v>36889</v>
      </c>
      <c r="B593" s="1">
        <v>11260</v>
      </c>
      <c r="C593" s="1">
        <v>8942</v>
      </c>
      <c r="D593" s="21">
        <f t="shared" si="18"/>
        <v>4.606224019773059E-3</v>
      </c>
      <c r="E593" s="1">
        <v>8942</v>
      </c>
      <c r="F593" s="1">
        <v>0</v>
      </c>
      <c r="H593" s="1">
        <v>2318</v>
      </c>
      <c r="I593" s="21">
        <f t="shared" si="17"/>
        <v>3.3437360677663841E-2</v>
      </c>
      <c r="J593" s="1">
        <v>578</v>
      </c>
      <c r="K593" s="1">
        <v>339</v>
      </c>
      <c r="L593" s="1">
        <v>199</v>
      </c>
      <c r="O593" s="1">
        <v>140</v>
      </c>
      <c r="T593" s="1">
        <v>239</v>
      </c>
      <c r="Z593" s="1">
        <v>163</v>
      </c>
      <c r="AA593" s="1">
        <v>385</v>
      </c>
      <c r="AC593" s="1">
        <v>110</v>
      </c>
      <c r="AF593" s="1">
        <v>364</v>
      </c>
    </row>
    <row r="594" spans="1:32">
      <c r="A594" s="58">
        <v>36896</v>
      </c>
      <c r="B594" s="1">
        <v>11772</v>
      </c>
      <c r="C594" s="1">
        <v>9080</v>
      </c>
      <c r="D594" s="21">
        <f t="shared" si="18"/>
        <v>1.5432789085215835E-2</v>
      </c>
      <c r="E594" s="1">
        <v>9080</v>
      </c>
      <c r="F594" s="1">
        <v>0</v>
      </c>
      <c r="H594" s="1">
        <v>2692</v>
      </c>
      <c r="I594" s="21">
        <f t="shared" si="17"/>
        <v>0.16134598792062121</v>
      </c>
      <c r="J594" s="1">
        <v>622</v>
      </c>
      <c r="K594" s="1">
        <v>385</v>
      </c>
      <c r="L594" s="1">
        <v>225</v>
      </c>
      <c r="O594" s="1">
        <v>161</v>
      </c>
      <c r="T594" s="1">
        <v>237</v>
      </c>
      <c r="Z594" s="1">
        <v>185</v>
      </c>
      <c r="AA594" s="1">
        <v>517</v>
      </c>
      <c r="AC594" s="1">
        <v>110</v>
      </c>
      <c r="AF594" s="1">
        <v>484</v>
      </c>
    </row>
    <row r="595" spans="1:32">
      <c r="A595" s="58">
        <v>36903</v>
      </c>
      <c r="B595" s="1">
        <v>11507</v>
      </c>
      <c r="C595" s="1">
        <v>8846</v>
      </c>
      <c r="D595" s="21">
        <f t="shared" si="18"/>
        <v>-2.5770925110132157E-2</v>
      </c>
      <c r="E595" s="1">
        <v>8846</v>
      </c>
      <c r="F595" s="1">
        <v>0</v>
      </c>
      <c r="H595" s="1">
        <v>2661</v>
      </c>
      <c r="I595" s="21">
        <f t="shared" si="17"/>
        <v>-1.1515601783060922E-2</v>
      </c>
      <c r="J595" s="1">
        <v>579</v>
      </c>
      <c r="K595" s="1">
        <v>389</v>
      </c>
      <c r="L595" s="1">
        <v>207</v>
      </c>
      <c r="O595" s="1">
        <v>182</v>
      </c>
      <c r="T595" s="1">
        <v>190</v>
      </c>
      <c r="Z595" s="1">
        <v>197</v>
      </c>
      <c r="AA595" s="1">
        <v>576</v>
      </c>
      <c r="AC595" s="1">
        <v>124</v>
      </c>
      <c r="AF595" s="1">
        <v>411</v>
      </c>
    </row>
    <row r="596" spans="1:32">
      <c r="A596" s="58">
        <v>36910</v>
      </c>
      <c r="B596" s="1">
        <v>11529</v>
      </c>
      <c r="C596" s="1">
        <v>8638</v>
      </c>
      <c r="D596" s="21">
        <f t="shared" si="18"/>
        <v>-2.3513452407867962E-2</v>
      </c>
      <c r="E596" s="1">
        <v>8638</v>
      </c>
      <c r="F596" s="1">
        <v>0</v>
      </c>
      <c r="H596" s="1">
        <v>2890</v>
      </c>
      <c r="I596" s="21">
        <f t="shared" si="17"/>
        <v>8.6057872980082675E-2</v>
      </c>
      <c r="J596" s="1">
        <v>651</v>
      </c>
      <c r="K596" s="1">
        <v>451</v>
      </c>
      <c r="L596" s="1">
        <v>218</v>
      </c>
      <c r="O596" s="1">
        <v>234</v>
      </c>
      <c r="T596" s="1">
        <v>200</v>
      </c>
      <c r="Z596" s="1">
        <v>204</v>
      </c>
      <c r="AA596" s="1">
        <v>642</v>
      </c>
      <c r="AC596" s="1">
        <v>121</v>
      </c>
      <c r="AF596" s="1">
        <v>462</v>
      </c>
    </row>
    <row r="597" spans="1:32">
      <c r="A597" s="58">
        <v>36917</v>
      </c>
      <c r="B597" s="1">
        <v>11633</v>
      </c>
      <c r="C597" s="1">
        <v>8607</v>
      </c>
      <c r="D597" s="21">
        <f t="shared" si="18"/>
        <v>-3.5887937022458902E-3</v>
      </c>
      <c r="E597" s="1">
        <v>8607</v>
      </c>
      <c r="F597" s="1">
        <v>0</v>
      </c>
      <c r="H597" s="1">
        <v>3026</v>
      </c>
      <c r="I597" s="21">
        <f t="shared" si="17"/>
        <v>4.7058823529411764E-2</v>
      </c>
      <c r="J597" s="1">
        <v>696</v>
      </c>
      <c r="K597" s="1">
        <v>433</v>
      </c>
      <c r="L597" s="1">
        <v>199</v>
      </c>
      <c r="O597" s="1">
        <v>234</v>
      </c>
      <c r="T597" s="1">
        <v>263</v>
      </c>
      <c r="Z597" s="1">
        <v>213</v>
      </c>
      <c r="AA597" s="1">
        <v>631</v>
      </c>
      <c r="AC597" s="1">
        <v>124</v>
      </c>
      <c r="AF597" s="1">
        <v>491</v>
      </c>
    </row>
    <row r="598" spans="1:32">
      <c r="A598" s="58">
        <v>36924</v>
      </c>
      <c r="B598" s="1">
        <v>11462</v>
      </c>
      <c r="C598" s="1">
        <v>8571</v>
      </c>
      <c r="D598" s="21">
        <f t="shared" si="18"/>
        <v>-4.1826420355524571E-3</v>
      </c>
      <c r="E598" s="1">
        <v>8552</v>
      </c>
      <c r="F598" s="1">
        <v>19</v>
      </c>
      <c r="H598" s="1">
        <v>2891</v>
      </c>
      <c r="I598" s="21">
        <f t="shared" si="17"/>
        <v>-4.4613350958360873E-2</v>
      </c>
      <c r="J598" s="1">
        <v>702</v>
      </c>
      <c r="K598" s="1">
        <v>444</v>
      </c>
      <c r="L598" s="1">
        <v>198</v>
      </c>
      <c r="O598" s="1">
        <v>246</v>
      </c>
      <c r="T598" s="1">
        <v>258</v>
      </c>
      <c r="Z598" s="1">
        <v>210</v>
      </c>
      <c r="AA598" s="1">
        <v>501</v>
      </c>
      <c r="AC598" s="1">
        <v>134</v>
      </c>
      <c r="AF598" s="1">
        <v>410</v>
      </c>
    </row>
    <row r="599" spans="1:32">
      <c r="A599" s="58">
        <v>36931</v>
      </c>
      <c r="B599" s="1">
        <v>11515</v>
      </c>
      <c r="C599" s="1">
        <v>8708</v>
      </c>
      <c r="D599" s="21">
        <f t="shared" si="18"/>
        <v>1.5984132539960332E-2</v>
      </c>
      <c r="E599" s="1">
        <v>8672</v>
      </c>
      <c r="F599" s="1">
        <v>36</v>
      </c>
      <c r="H599" s="1">
        <v>2807</v>
      </c>
      <c r="I599" s="21">
        <f t="shared" si="17"/>
        <v>-2.9055690072639227E-2</v>
      </c>
      <c r="J599" s="1">
        <v>672</v>
      </c>
      <c r="K599" s="1">
        <v>433</v>
      </c>
      <c r="L599" s="1">
        <v>189</v>
      </c>
      <c r="O599" s="1">
        <v>244</v>
      </c>
      <c r="T599" s="1">
        <v>240</v>
      </c>
      <c r="Z599" s="1">
        <v>225</v>
      </c>
      <c r="AA599" s="1">
        <v>542</v>
      </c>
      <c r="AC599" s="1">
        <v>136</v>
      </c>
      <c r="AF599" s="1">
        <v>434</v>
      </c>
    </row>
    <row r="600" spans="1:32">
      <c r="A600" s="58">
        <v>36938</v>
      </c>
      <c r="B600" s="1">
        <v>11475</v>
      </c>
      <c r="C600" s="1">
        <v>8678</v>
      </c>
      <c r="D600" s="21">
        <f t="shared" si="18"/>
        <v>-3.445107946715664E-3</v>
      </c>
      <c r="E600" s="1">
        <v>8643</v>
      </c>
      <c r="F600" s="1">
        <v>36</v>
      </c>
      <c r="H600" s="1">
        <v>2796</v>
      </c>
      <c r="I600" s="21">
        <f t="shared" si="17"/>
        <v>-3.918774492340577E-3</v>
      </c>
      <c r="J600" s="1">
        <v>634</v>
      </c>
      <c r="K600" s="1">
        <v>383</v>
      </c>
      <c r="L600" s="1">
        <v>189</v>
      </c>
      <c r="O600" s="1">
        <v>194</v>
      </c>
      <c r="T600" s="1">
        <v>251</v>
      </c>
      <c r="Z600" s="1">
        <v>220</v>
      </c>
      <c r="AA600" s="1">
        <v>558</v>
      </c>
      <c r="AC600" s="1">
        <v>146</v>
      </c>
      <c r="AF600" s="1">
        <v>444</v>
      </c>
    </row>
    <row r="601" spans="1:32">
      <c r="A601" s="58">
        <v>36945</v>
      </c>
      <c r="B601" s="1">
        <v>11462</v>
      </c>
      <c r="C601" s="1">
        <v>8751</v>
      </c>
      <c r="D601" s="21">
        <f t="shared" si="18"/>
        <v>8.4120765153261126E-3</v>
      </c>
      <c r="E601" s="1">
        <v>8715</v>
      </c>
      <c r="F601" s="1">
        <v>36</v>
      </c>
      <c r="H601" s="1">
        <v>2711</v>
      </c>
      <c r="I601" s="21">
        <f t="shared" si="17"/>
        <v>-3.0400572246065807E-2</v>
      </c>
      <c r="J601" s="1">
        <v>594</v>
      </c>
      <c r="K601" s="1">
        <v>391</v>
      </c>
      <c r="L601" s="1">
        <v>202</v>
      </c>
      <c r="O601" s="1">
        <v>189</v>
      </c>
      <c r="T601" s="1">
        <v>203</v>
      </c>
      <c r="Z601" s="1">
        <v>221</v>
      </c>
      <c r="AA601" s="1">
        <v>542</v>
      </c>
      <c r="AC601" s="1">
        <v>158</v>
      </c>
      <c r="AF601" s="1">
        <v>455</v>
      </c>
    </row>
    <row r="602" spans="1:32">
      <c r="A602" s="58">
        <v>36952</v>
      </c>
      <c r="B602" s="1">
        <v>11331</v>
      </c>
      <c r="C602" s="1">
        <v>8610</v>
      </c>
      <c r="D602" s="21">
        <f t="shared" si="18"/>
        <v>-1.6112444292080905E-2</v>
      </c>
      <c r="E602" s="1">
        <v>8593</v>
      </c>
      <c r="F602" s="1">
        <v>17</v>
      </c>
      <c r="H602" s="1">
        <v>2721</v>
      </c>
      <c r="I602" s="21">
        <f t="shared" ref="I602:I665" si="19">(H602-H601)/H601</f>
        <v>3.6886757654002213E-3</v>
      </c>
      <c r="J602" s="1">
        <v>636</v>
      </c>
      <c r="K602" s="1">
        <v>344</v>
      </c>
      <c r="L602" s="1">
        <v>176</v>
      </c>
      <c r="O602" s="1">
        <v>168</v>
      </c>
      <c r="T602" s="1">
        <v>293</v>
      </c>
      <c r="Z602" s="1">
        <v>190</v>
      </c>
      <c r="AA602" s="1">
        <v>552</v>
      </c>
      <c r="AC602" s="1">
        <v>147</v>
      </c>
      <c r="AF602" s="1">
        <v>499</v>
      </c>
    </row>
    <row r="603" spans="1:32">
      <c r="A603" s="58">
        <v>36959</v>
      </c>
      <c r="B603" s="1">
        <v>11655</v>
      </c>
      <c r="C603" s="1">
        <v>8915</v>
      </c>
      <c r="D603" s="21">
        <f t="shared" si="18"/>
        <v>3.5423925667828107E-2</v>
      </c>
      <c r="E603" s="1">
        <v>8899</v>
      </c>
      <c r="F603" s="1">
        <v>16</v>
      </c>
      <c r="H603" s="1">
        <v>2740</v>
      </c>
      <c r="I603" s="21">
        <f t="shared" si="19"/>
        <v>6.9827269386255053E-3</v>
      </c>
      <c r="J603" s="1">
        <v>629</v>
      </c>
      <c r="K603" s="1">
        <v>321</v>
      </c>
      <c r="L603" s="1">
        <v>181</v>
      </c>
      <c r="O603" s="1">
        <v>140</v>
      </c>
      <c r="T603" s="1">
        <v>309</v>
      </c>
      <c r="Z603" s="1">
        <v>201</v>
      </c>
      <c r="AA603" s="1">
        <v>457</v>
      </c>
      <c r="AC603" s="1">
        <v>139</v>
      </c>
      <c r="AF603" s="1">
        <v>448</v>
      </c>
    </row>
    <row r="604" spans="1:32">
      <c r="A604" s="58">
        <v>36966</v>
      </c>
      <c r="B604" s="1">
        <v>11917</v>
      </c>
      <c r="C604" s="1">
        <v>9326</v>
      </c>
      <c r="D604" s="21">
        <f t="shared" si="18"/>
        <v>4.6102075154234437E-2</v>
      </c>
      <c r="E604" s="1">
        <v>9310</v>
      </c>
      <c r="F604" s="1">
        <v>16</v>
      </c>
      <c r="H604" s="1">
        <v>2592</v>
      </c>
      <c r="I604" s="21">
        <f t="shared" si="19"/>
        <v>-5.4014598540145987E-2</v>
      </c>
      <c r="J604" s="1">
        <v>590</v>
      </c>
      <c r="K604" s="1">
        <v>317</v>
      </c>
      <c r="L604" s="1">
        <v>166</v>
      </c>
      <c r="O604" s="1">
        <v>152</v>
      </c>
      <c r="T604" s="1">
        <v>273</v>
      </c>
      <c r="Z604" s="1">
        <v>191</v>
      </c>
      <c r="AA604" s="1">
        <v>404</v>
      </c>
      <c r="AC604" s="1">
        <v>158</v>
      </c>
      <c r="AF604" s="1">
        <v>388</v>
      </c>
    </row>
    <row r="605" spans="1:32">
      <c r="A605" s="58">
        <v>36973</v>
      </c>
      <c r="B605" s="1">
        <v>12002</v>
      </c>
      <c r="C605" s="1">
        <v>9536</v>
      </c>
      <c r="D605" s="21">
        <f t="shared" ref="D605:D668" si="20">(C605-C604)/C604</f>
        <v>2.2517692472657089E-2</v>
      </c>
      <c r="E605" s="1">
        <v>9520</v>
      </c>
      <c r="F605" s="1">
        <v>16</v>
      </c>
      <c r="H605" s="1">
        <v>2466</v>
      </c>
      <c r="I605" s="21">
        <f t="shared" si="19"/>
        <v>-4.8611111111111112E-2</v>
      </c>
      <c r="J605" s="1">
        <v>611</v>
      </c>
      <c r="K605" s="1">
        <v>344</v>
      </c>
      <c r="L605" s="1">
        <v>156</v>
      </c>
      <c r="O605" s="1">
        <v>188</v>
      </c>
      <c r="T605" s="1">
        <v>267</v>
      </c>
      <c r="Z605" s="1">
        <v>174</v>
      </c>
      <c r="AA605" s="1">
        <v>354</v>
      </c>
      <c r="AC605" s="1">
        <v>125</v>
      </c>
      <c r="AF605" s="1">
        <v>375</v>
      </c>
    </row>
    <row r="606" spans="1:32">
      <c r="A606" s="58">
        <v>36980</v>
      </c>
      <c r="B606" s="1">
        <v>11906</v>
      </c>
      <c r="C606" s="1">
        <v>9680</v>
      </c>
      <c r="D606" s="21">
        <f t="shared" si="20"/>
        <v>1.5100671140939598E-2</v>
      </c>
      <c r="E606" s="1">
        <v>9663</v>
      </c>
      <c r="F606" s="1">
        <v>16</v>
      </c>
      <c r="H606" s="1">
        <v>2226</v>
      </c>
      <c r="I606" s="21">
        <f t="shared" si="19"/>
        <v>-9.7323600973236016E-2</v>
      </c>
      <c r="J606" s="1">
        <v>518</v>
      </c>
      <c r="K606" s="1">
        <v>305</v>
      </c>
      <c r="L606" s="1">
        <v>136</v>
      </c>
      <c r="O606" s="1">
        <v>169</v>
      </c>
      <c r="T606" s="1">
        <v>213</v>
      </c>
      <c r="Z606" s="1">
        <v>168</v>
      </c>
      <c r="AA606" s="1">
        <v>320</v>
      </c>
      <c r="AC606" s="1">
        <v>113</v>
      </c>
      <c r="AF606" s="1">
        <v>301</v>
      </c>
    </row>
    <row r="607" spans="1:32">
      <c r="A607" s="58">
        <v>36987</v>
      </c>
      <c r="B607" s="1">
        <v>11562</v>
      </c>
      <c r="C607" s="1">
        <v>9480</v>
      </c>
      <c r="D607" s="21">
        <f t="shared" si="20"/>
        <v>-2.0661157024793389E-2</v>
      </c>
      <c r="E607" s="1">
        <v>9480</v>
      </c>
      <c r="F607" s="1">
        <v>0</v>
      </c>
      <c r="H607" s="1">
        <v>2082</v>
      </c>
      <c r="I607" s="21">
        <f t="shared" si="19"/>
        <v>-6.4690026954177901E-2</v>
      </c>
      <c r="J607" s="1">
        <v>550</v>
      </c>
      <c r="K607" s="1">
        <v>308</v>
      </c>
      <c r="L607" s="1">
        <v>124</v>
      </c>
      <c r="O607" s="1">
        <v>184</v>
      </c>
      <c r="T607" s="1">
        <v>242</v>
      </c>
      <c r="Z607" s="1">
        <v>146</v>
      </c>
      <c r="AA607" s="1">
        <v>272</v>
      </c>
      <c r="AC607" s="1">
        <v>99</v>
      </c>
      <c r="AF607" s="1">
        <v>312</v>
      </c>
    </row>
    <row r="608" spans="1:32">
      <c r="A608" s="58">
        <v>36994</v>
      </c>
      <c r="B608" s="1">
        <v>11725</v>
      </c>
      <c r="C608" s="1">
        <v>9614</v>
      </c>
      <c r="D608" s="21">
        <f t="shared" si="20"/>
        <v>1.4135021097046414E-2</v>
      </c>
      <c r="E608" s="1">
        <v>9614</v>
      </c>
      <c r="F608" s="1">
        <v>0</v>
      </c>
      <c r="H608" s="1">
        <v>2112</v>
      </c>
      <c r="I608" s="21">
        <f t="shared" si="19"/>
        <v>1.4409221902017291E-2</v>
      </c>
      <c r="J608" s="1">
        <v>593</v>
      </c>
      <c r="K608" s="1">
        <v>291</v>
      </c>
      <c r="L608" s="1">
        <v>120</v>
      </c>
      <c r="O608" s="1">
        <v>171</v>
      </c>
      <c r="T608" s="1">
        <v>302</v>
      </c>
      <c r="Z608" s="1">
        <v>138</v>
      </c>
      <c r="AA608" s="1">
        <v>235</v>
      </c>
      <c r="AC608" s="1">
        <v>78</v>
      </c>
      <c r="AF608" s="1">
        <v>331</v>
      </c>
    </row>
    <row r="609" spans="1:32">
      <c r="A609" s="58">
        <v>37001</v>
      </c>
      <c r="B609" s="1">
        <v>11584</v>
      </c>
      <c r="C609" s="1">
        <v>9497</v>
      </c>
      <c r="D609" s="21">
        <f t="shared" si="20"/>
        <v>-1.2169752444351986E-2</v>
      </c>
      <c r="E609" s="1">
        <v>9497</v>
      </c>
      <c r="F609" s="1">
        <v>0</v>
      </c>
      <c r="H609" s="1">
        <v>2087</v>
      </c>
      <c r="I609" s="21">
        <f t="shared" si="19"/>
        <v>-1.1837121212121212E-2</v>
      </c>
      <c r="J609" s="1">
        <v>596</v>
      </c>
      <c r="K609" s="1">
        <v>302</v>
      </c>
      <c r="L609" s="1">
        <v>118</v>
      </c>
      <c r="O609" s="1">
        <v>184</v>
      </c>
      <c r="T609" s="1">
        <v>294</v>
      </c>
      <c r="Z609" s="1">
        <v>136</v>
      </c>
      <c r="AA609" s="1">
        <v>249</v>
      </c>
      <c r="AC609" s="1">
        <v>82</v>
      </c>
      <c r="AF609" s="1">
        <v>261</v>
      </c>
    </row>
    <row r="610" spans="1:32">
      <c r="A610" s="58">
        <v>37008</v>
      </c>
      <c r="B610" s="1">
        <v>11969</v>
      </c>
      <c r="C610" s="1">
        <v>9771</v>
      </c>
      <c r="D610" s="21">
        <f t="shared" si="20"/>
        <v>2.8851216173528482E-2</v>
      </c>
      <c r="E610" s="1">
        <v>9771</v>
      </c>
      <c r="F610" s="1">
        <v>0</v>
      </c>
      <c r="H610" s="1">
        <v>2198</v>
      </c>
      <c r="I610" s="21">
        <f t="shared" si="19"/>
        <v>5.3186391950167708E-2</v>
      </c>
      <c r="J610" s="1">
        <v>682</v>
      </c>
      <c r="K610" s="1">
        <v>368</v>
      </c>
      <c r="L610" s="1">
        <v>152</v>
      </c>
      <c r="O610" s="1">
        <v>216</v>
      </c>
      <c r="T610" s="1">
        <v>315</v>
      </c>
      <c r="Z610" s="1">
        <v>154</v>
      </c>
      <c r="AA610" s="1">
        <v>218</v>
      </c>
      <c r="AC610" s="1">
        <v>89</v>
      </c>
      <c r="AF610" s="1">
        <v>301</v>
      </c>
    </row>
    <row r="611" spans="1:32">
      <c r="A611" s="58">
        <v>37015</v>
      </c>
      <c r="B611" s="1">
        <v>12178</v>
      </c>
      <c r="C611" s="1">
        <v>9828</v>
      </c>
      <c r="D611" s="21">
        <f t="shared" si="20"/>
        <v>5.8335891925084433E-3</v>
      </c>
      <c r="E611" s="1">
        <v>9812</v>
      </c>
      <c r="F611" s="1">
        <v>16</v>
      </c>
      <c r="H611" s="1">
        <v>2350</v>
      </c>
      <c r="I611" s="21">
        <f t="shared" si="19"/>
        <v>6.9153776160145591E-2</v>
      </c>
      <c r="J611" s="1">
        <v>706</v>
      </c>
      <c r="K611" s="1">
        <v>397</v>
      </c>
      <c r="L611" s="1">
        <v>148</v>
      </c>
      <c r="O611" s="1">
        <v>249</v>
      </c>
      <c r="T611" s="1">
        <v>309</v>
      </c>
      <c r="Z611" s="1">
        <v>161</v>
      </c>
      <c r="AA611" s="1">
        <v>296</v>
      </c>
      <c r="AC611" s="1">
        <v>131</v>
      </c>
      <c r="AF611" s="1">
        <v>338</v>
      </c>
    </row>
    <row r="612" spans="1:32">
      <c r="A612" s="58">
        <v>37022</v>
      </c>
      <c r="B612" s="1">
        <v>12002</v>
      </c>
      <c r="C612" s="1">
        <v>9695</v>
      </c>
      <c r="D612" s="21">
        <f t="shared" si="20"/>
        <v>-1.3532763532763533E-2</v>
      </c>
      <c r="E612" s="1">
        <v>9662</v>
      </c>
      <c r="F612" s="1">
        <v>33</v>
      </c>
      <c r="H612" s="1">
        <v>2308</v>
      </c>
      <c r="I612" s="21">
        <f t="shared" si="19"/>
        <v>-1.7872340425531916E-2</v>
      </c>
      <c r="J612" s="1">
        <v>709</v>
      </c>
      <c r="K612" s="1">
        <v>415</v>
      </c>
      <c r="L612" s="1">
        <v>166</v>
      </c>
      <c r="O612" s="1">
        <v>250</v>
      </c>
      <c r="T612" s="1">
        <v>293</v>
      </c>
      <c r="Z612" s="1">
        <v>202</v>
      </c>
      <c r="AA612" s="1">
        <v>286</v>
      </c>
      <c r="AC612" s="1">
        <v>138</v>
      </c>
      <c r="AF612" s="1">
        <v>319</v>
      </c>
    </row>
    <row r="613" spans="1:32">
      <c r="A613" s="58">
        <v>37029</v>
      </c>
      <c r="B613" s="1">
        <v>12276</v>
      </c>
      <c r="C613" s="1">
        <v>9901</v>
      </c>
      <c r="D613" s="21">
        <f t="shared" si="20"/>
        <v>2.1248066013408975E-2</v>
      </c>
      <c r="E613" s="1">
        <v>9868</v>
      </c>
      <c r="F613" s="1">
        <v>33</v>
      </c>
      <c r="H613" s="1">
        <v>2375</v>
      </c>
      <c r="I613" s="21">
        <f t="shared" si="19"/>
        <v>2.9029462738301561E-2</v>
      </c>
      <c r="J613" s="1">
        <v>742</v>
      </c>
      <c r="K613" s="1">
        <v>415</v>
      </c>
      <c r="L613" s="1">
        <v>197</v>
      </c>
      <c r="O613" s="1">
        <v>217</v>
      </c>
      <c r="T613" s="1">
        <v>328</v>
      </c>
      <c r="Z613" s="1">
        <v>189</v>
      </c>
      <c r="AA613" s="1">
        <v>252</v>
      </c>
      <c r="AC613" s="1">
        <v>133</v>
      </c>
      <c r="AF613" s="1">
        <v>386</v>
      </c>
    </row>
    <row r="614" spans="1:32">
      <c r="A614" s="58">
        <v>37036</v>
      </c>
      <c r="B614" s="1">
        <v>11881</v>
      </c>
      <c r="C614" s="1">
        <v>9558</v>
      </c>
      <c r="D614" s="21">
        <f t="shared" si="20"/>
        <v>-3.4642965357034643E-2</v>
      </c>
      <c r="E614" s="1">
        <v>9525</v>
      </c>
      <c r="F614" s="1">
        <v>33</v>
      </c>
      <c r="H614" s="1">
        <v>2323</v>
      </c>
      <c r="I614" s="21">
        <f t="shared" si="19"/>
        <v>-2.1894736842105262E-2</v>
      </c>
      <c r="J614" s="1">
        <v>700</v>
      </c>
      <c r="K614" s="1">
        <v>413</v>
      </c>
      <c r="L614" s="1">
        <v>212</v>
      </c>
      <c r="O614" s="1">
        <v>201</v>
      </c>
      <c r="T614" s="1">
        <v>286</v>
      </c>
      <c r="Z614" s="1">
        <v>189</v>
      </c>
      <c r="AA614" s="1">
        <v>258</v>
      </c>
      <c r="AC614" s="1">
        <v>122</v>
      </c>
      <c r="AF614" s="1">
        <v>392</v>
      </c>
    </row>
    <row r="615" spans="1:32">
      <c r="A615" s="58">
        <v>37043</v>
      </c>
      <c r="B615" s="1">
        <v>11759</v>
      </c>
      <c r="C615" s="1">
        <v>9592</v>
      </c>
      <c r="D615" s="21">
        <f t="shared" si="20"/>
        <v>3.5572295459301109E-3</v>
      </c>
      <c r="E615" s="1">
        <v>9575</v>
      </c>
      <c r="F615" s="1">
        <v>17</v>
      </c>
      <c r="H615" s="1">
        <v>2167</v>
      </c>
      <c r="I615" s="21">
        <f t="shared" si="19"/>
        <v>-6.7154541541110627E-2</v>
      </c>
      <c r="J615" s="1">
        <v>625</v>
      </c>
      <c r="K615" s="1">
        <v>348</v>
      </c>
      <c r="L615" s="1">
        <v>206</v>
      </c>
      <c r="O615" s="1">
        <v>142</v>
      </c>
      <c r="T615" s="1">
        <v>278</v>
      </c>
      <c r="Z615" s="1">
        <v>182</v>
      </c>
      <c r="AA615" s="1">
        <v>205</v>
      </c>
      <c r="AC615" s="1">
        <v>96</v>
      </c>
      <c r="AF615" s="1">
        <v>330</v>
      </c>
    </row>
    <row r="616" spans="1:32">
      <c r="A616" s="58">
        <v>37050</v>
      </c>
      <c r="B616" s="1">
        <v>11649</v>
      </c>
      <c r="C616" s="1">
        <v>9433</v>
      </c>
      <c r="D616" s="21">
        <f t="shared" si="20"/>
        <v>-1.6576313594662218E-2</v>
      </c>
      <c r="E616" s="1">
        <v>9433</v>
      </c>
      <c r="F616" s="1">
        <v>0</v>
      </c>
      <c r="H616" s="1">
        <v>2216</v>
      </c>
      <c r="I616" s="21">
        <f t="shared" si="19"/>
        <v>2.2611905860636824E-2</v>
      </c>
      <c r="J616" s="1">
        <v>715</v>
      </c>
      <c r="K616" s="1">
        <v>392</v>
      </c>
      <c r="L616" s="1">
        <v>237</v>
      </c>
      <c r="O616" s="1">
        <v>155</v>
      </c>
      <c r="T616" s="1">
        <v>323</v>
      </c>
      <c r="Z616" s="1">
        <v>140</v>
      </c>
      <c r="AA616" s="1">
        <v>215</v>
      </c>
      <c r="AC616" s="1">
        <v>79</v>
      </c>
      <c r="AF616" s="1">
        <v>369</v>
      </c>
    </row>
    <row r="617" spans="1:32">
      <c r="A617" s="58">
        <v>37057</v>
      </c>
      <c r="B617" s="1">
        <v>11230</v>
      </c>
      <c r="C617" s="1">
        <v>9050</v>
      </c>
      <c r="D617" s="21">
        <f t="shared" si="20"/>
        <v>-4.0602141418424678E-2</v>
      </c>
      <c r="E617" s="1">
        <v>9050</v>
      </c>
      <c r="F617" s="1">
        <v>0</v>
      </c>
      <c r="H617" s="1">
        <v>2180</v>
      </c>
      <c r="I617" s="21">
        <f t="shared" si="19"/>
        <v>-1.6245487364620937E-2</v>
      </c>
      <c r="J617" s="1">
        <v>719</v>
      </c>
      <c r="K617" s="1">
        <v>421</v>
      </c>
      <c r="L617" s="1">
        <v>270</v>
      </c>
      <c r="O617" s="1">
        <v>151</v>
      </c>
      <c r="T617" s="1">
        <v>298</v>
      </c>
      <c r="Z617" s="1">
        <v>150</v>
      </c>
      <c r="AA617" s="1">
        <v>224</v>
      </c>
      <c r="AC617" s="1">
        <v>90</v>
      </c>
      <c r="AF617" s="1">
        <v>311</v>
      </c>
    </row>
    <row r="618" spans="1:32">
      <c r="A618" s="58">
        <v>37064</v>
      </c>
      <c r="B618" s="1">
        <v>11253</v>
      </c>
      <c r="C618" s="1">
        <v>9081</v>
      </c>
      <c r="D618" s="21">
        <f t="shared" si="20"/>
        <v>3.4254143646408838E-3</v>
      </c>
      <c r="E618" s="1">
        <v>9081</v>
      </c>
      <c r="F618" s="1">
        <v>0</v>
      </c>
      <c r="H618" s="1">
        <v>2172</v>
      </c>
      <c r="I618" s="21">
        <f t="shared" si="19"/>
        <v>-3.669724770642202E-3</v>
      </c>
      <c r="J618" s="1">
        <v>724</v>
      </c>
      <c r="K618" s="1">
        <v>426</v>
      </c>
      <c r="L618" s="1">
        <v>268</v>
      </c>
      <c r="O618" s="1">
        <v>158</v>
      </c>
      <c r="T618" s="1">
        <v>298</v>
      </c>
      <c r="Z618" s="1">
        <v>132</v>
      </c>
      <c r="AA618" s="1">
        <v>234</v>
      </c>
      <c r="AC618" s="1">
        <v>99</v>
      </c>
      <c r="AF618" s="1">
        <v>269</v>
      </c>
    </row>
    <row r="619" spans="1:32">
      <c r="A619" s="58">
        <v>37071</v>
      </c>
      <c r="B619" s="1">
        <v>11252</v>
      </c>
      <c r="C619" s="1">
        <v>9013</v>
      </c>
      <c r="D619" s="21">
        <f t="shared" si="20"/>
        <v>-7.4881620966853867E-3</v>
      </c>
      <c r="E619" s="1">
        <v>9013</v>
      </c>
      <c r="F619" s="1">
        <v>0</v>
      </c>
      <c r="H619" s="1">
        <v>2239</v>
      </c>
      <c r="I619" s="21">
        <f t="shared" si="19"/>
        <v>3.0847145488029467E-2</v>
      </c>
      <c r="J619" s="1">
        <v>789</v>
      </c>
      <c r="K619" s="1">
        <v>456</v>
      </c>
      <c r="L619" s="1">
        <v>288</v>
      </c>
      <c r="O619" s="1">
        <v>168</v>
      </c>
      <c r="T619" s="1">
        <v>333</v>
      </c>
      <c r="Z619" s="1">
        <v>132</v>
      </c>
      <c r="AA619" s="1">
        <v>243</v>
      </c>
      <c r="AC619" s="1">
        <v>109</v>
      </c>
      <c r="AF619" s="1">
        <v>338</v>
      </c>
    </row>
    <row r="620" spans="1:32">
      <c r="A620" s="58">
        <v>37078</v>
      </c>
      <c r="B620" s="1">
        <v>11275</v>
      </c>
      <c r="C620" s="1">
        <v>9155</v>
      </c>
      <c r="D620" s="21">
        <f t="shared" si="20"/>
        <v>1.5755020525907024E-2</v>
      </c>
      <c r="E620" s="1">
        <v>9139</v>
      </c>
      <c r="F620" s="1">
        <v>17</v>
      </c>
      <c r="H620" s="1">
        <v>2120</v>
      </c>
      <c r="I620" s="21">
        <f t="shared" si="19"/>
        <v>-5.3148727110317102E-2</v>
      </c>
      <c r="J620" s="1">
        <v>712</v>
      </c>
      <c r="K620" s="1">
        <v>444</v>
      </c>
      <c r="L620" s="1">
        <v>266</v>
      </c>
      <c r="O620" s="1">
        <v>178</v>
      </c>
      <c r="T620" s="1">
        <v>268</v>
      </c>
      <c r="Z620" s="1">
        <v>137</v>
      </c>
      <c r="AA620" s="1">
        <v>239</v>
      </c>
      <c r="AC620" s="1">
        <v>114</v>
      </c>
      <c r="AF620" s="1">
        <v>293</v>
      </c>
    </row>
    <row r="621" spans="1:32">
      <c r="A621" s="58">
        <v>37085</v>
      </c>
      <c r="B621" s="1">
        <v>11549</v>
      </c>
      <c r="C621" s="1">
        <v>9474</v>
      </c>
      <c r="D621" s="21">
        <f t="shared" si="20"/>
        <v>3.4844347351174219E-2</v>
      </c>
      <c r="E621" s="1">
        <v>9458</v>
      </c>
      <c r="F621" s="1">
        <v>17</v>
      </c>
      <c r="H621" s="1">
        <v>2075</v>
      </c>
      <c r="I621" s="21">
        <f t="shared" si="19"/>
        <v>-2.1226415094339621E-2</v>
      </c>
      <c r="J621" s="1">
        <v>664</v>
      </c>
      <c r="K621" s="1">
        <v>390</v>
      </c>
      <c r="L621" s="1">
        <v>187</v>
      </c>
      <c r="O621" s="1">
        <v>203</v>
      </c>
      <c r="T621" s="1">
        <v>274</v>
      </c>
      <c r="Z621" s="1">
        <v>115</v>
      </c>
      <c r="AA621" s="1">
        <v>255</v>
      </c>
      <c r="AC621" s="1">
        <v>118</v>
      </c>
      <c r="AF621" s="1">
        <v>360</v>
      </c>
    </row>
    <row r="622" spans="1:32">
      <c r="A622" s="58">
        <v>37092</v>
      </c>
      <c r="B622" s="1">
        <v>11692</v>
      </c>
      <c r="C622" s="1">
        <v>9618</v>
      </c>
      <c r="D622" s="21">
        <f t="shared" si="20"/>
        <v>1.5199493350221659E-2</v>
      </c>
      <c r="E622" s="1">
        <v>9602</v>
      </c>
      <c r="F622" s="1">
        <v>17</v>
      </c>
      <c r="H622" s="1">
        <v>2074</v>
      </c>
      <c r="I622" s="21">
        <f t="shared" si="19"/>
        <v>-4.8192771084337347E-4</v>
      </c>
      <c r="J622" s="1">
        <v>681</v>
      </c>
      <c r="K622" s="1">
        <v>430</v>
      </c>
      <c r="L622" s="1">
        <v>171</v>
      </c>
      <c r="O622" s="1">
        <v>259</v>
      </c>
      <c r="T622" s="1">
        <v>251</v>
      </c>
      <c r="Z622" s="1">
        <v>151</v>
      </c>
      <c r="AA622" s="1">
        <v>219</v>
      </c>
      <c r="AC622" s="1">
        <v>109</v>
      </c>
      <c r="AF622" s="1">
        <v>351</v>
      </c>
    </row>
    <row r="623" spans="1:32">
      <c r="A623" s="58">
        <v>37099</v>
      </c>
      <c r="B623" s="1">
        <v>11557</v>
      </c>
      <c r="C623" s="1">
        <v>9448</v>
      </c>
      <c r="D623" s="21">
        <f t="shared" si="20"/>
        <v>-1.7675192347681432E-2</v>
      </c>
      <c r="E623" s="1">
        <v>9432</v>
      </c>
      <c r="F623" s="1">
        <v>17</v>
      </c>
      <c r="H623" s="1">
        <v>2109</v>
      </c>
      <c r="I623" s="21">
        <f t="shared" si="19"/>
        <v>1.6875602700096432E-2</v>
      </c>
      <c r="J623" s="1">
        <v>695</v>
      </c>
      <c r="K623" s="1">
        <v>464</v>
      </c>
      <c r="L623" s="1">
        <v>171</v>
      </c>
      <c r="O623" s="1">
        <v>293</v>
      </c>
      <c r="T623" s="1">
        <v>231</v>
      </c>
      <c r="Z623" s="1">
        <v>175</v>
      </c>
      <c r="AA623" s="1">
        <v>197</v>
      </c>
      <c r="AC623" s="1">
        <v>101</v>
      </c>
      <c r="AF623" s="1">
        <v>351</v>
      </c>
    </row>
    <row r="624" spans="1:32">
      <c r="A624" s="58">
        <v>37106</v>
      </c>
      <c r="B624" s="1">
        <v>11627</v>
      </c>
      <c r="C624" s="1">
        <v>9303</v>
      </c>
      <c r="D624" s="21">
        <f t="shared" si="20"/>
        <v>-1.5347163420829806E-2</v>
      </c>
      <c r="E624" s="1">
        <v>9303</v>
      </c>
      <c r="F624" s="1">
        <v>0</v>
      </c>
      <c r="H624" s="1">
        <v>2323</v>
      </c>
      <c r="I624" s="21">
        <f t="shared" si="19"/>
        <v>0.10146989094357516</v>
      </c>
      <c r="J624" s="1">
        <v>700</v>
      </c>
      <c r="K624" s="1">
        <v>464</v>
      </c>
      <c r="L624" s="1">
        <v>190</v>
      </c>
      <c r="O624" s="1">
        <v>274</v>
      </c>
      <c r="T624" s="1">
        <v>236</v>
      </c>
      <c r="Z624" s="1">
        <v>166</v>
      </c>
      <c r="AA624" s="1">
        <v>246</v>
      </c>
      <c r="AC624" s="1">
        <v>146</v>
      </c>
      <c r="AF624" s="1">
        <v>441</v>
      </c>
    </row>
    <row r="625" spans="1:32">
      <c r="A625" s="58">
        <v>37113</v>
      </c>
      <c r="B625" s="1">
        <v>11173</v>
      </c>
      <c r="C625" s="1">
        <v>8936</v>
      </c>
      <c r="D625" s="21">
        <f t="shared" si="20"/>
        <v>-3.944963990110717E-2</v>
      </c>
      <c r="E625" s="1">
        <v>8936</v>
      </c>
      <c r="F625" s="1">
        <v>0</v>
      </c>
      <c r="H625" s="1">
        <v>2237</v>
      </c>
      <c r="I625" s="21">
        <f t="shared" si="19"/>
        <v>-3.7021093413689192E-2</v>
      </c>
      <c r="J625" s="1">
        <v>696</v>
      </c>
      <c r="K625" s="1">
        <v>478</v>
      </c>
      <c r="L625" s="1">
        <v>200</v>
      </c>
      <c r="O625" s="1">
        <v>278</v>
      </c>
      <c r="T625" s="1">
        <v>218</v>
      </c>
      <c r="Z625" s="1">
        <v>198</v>
      </c>
      <c r="AA625" s="1">
        <v>227</v>
      </c>
      <c r="AC625" s="1">
        <v>127</v>
      </c>
      <c r="AF625" s="1">
        <v>386</v>
      </c>
    </row>
    <row r="626" spans="1:32">
      <c r="A626" s="58">
        <v>37120</v>
      </c>
      <c r="B626" s="1">
        <v>10917</v>
      </c>
      <c r="C626" s="1">
        <v>8666</v>
      </c>
      <c r="D626" s="21">
        <f t="shared" si="20"/>
        <v>-3.0214861235452105E-2</v>
      </c>
      <c r="E626" s="1">
        <v>8666</v>
      </c>
      <c r="F626" s="1">
        <v>0</v>
      </c>
      <c r="H626" s="1">
        <v>2251</v>
      </c>
      <c r="I626" s="21">
        <f t="shared" si="19"/>
        <v>6.2583817612874388E-3</v>
      </c>
      <c r="J626" s="1">
        <v>737</v>
      </c>
      <c r="K626" s="1">
        <v>484</v>
      </c>
      <c r="L626" s="1">
        <v>202</v>
      </c>
      <c r="O626" s="1">
        <v>282</v>
      </c>
      <c r="T626" s="1">
        <v>254</v>
      </c>
      <c r="Z626" s="1">
        <v>165</v>
      </c>
      <c r="AA626" s="1">
        <v>237</v>
      </c>
      <c r="AC626" s="1">
        <v>129</v>
      </c>
      <c r="AF626" s="1">
        <v>401</v>
      </c>
    </row>
    <row r="627" spans="1:32">
      <c r="A627" s="58">
        <v>37127</v>
      </c>
      <c r="B627" s="1">
        <v>10963</v>
      </c>
      <c r="C627" s="1">
        <v>8793</v>
      </c>
      <c r="D627" s="21">
        <f t="shared" si="20"/>
        <v>1.4654973459496885E-2</v>
      </c>
      <c r="E627" s="1">
        <v>8793</v>
      </c>
      <c r="F627" s="1">
        <v>0</v>
      </c>
      <c r="H627" s="1">
        <v>2170</v>
      </c>
      <c r="I627" s="21">
        <f t="shared" si="19"/>
        <v>-3.5984007107952021E-2</v>
      </c>
      <c r="J627" s="1">
        <v>680</v>
      </c>
      <c r="K627" s="1">
        <v>460</v>
      </c>
      <c r="L627" s="1">
        <v>178</v>
      </c>
      <c r="O627" s="1">
        <v>283</v>
      </c>
      <c r="T627" s="1">
        <v>220</v>
      </c>
      <c r="Z627" s="1">
        <v>147</v>
      </c>
      <c r="AA627" s="1">
        <v>235</v>
      </c>
      <c r="AC627" s="1">
        <v>122</v>
      </c>
      <c r="AF627" s="1">
        <v>401</v>
      </c>
    </row>
    <row r="628" spans="1:32">
      <c r="A628" s="58">
        <v>37134</v>
      </c>
      <c r="B628" s="1">
        <v>10805</v>
      </c>
      <c r="C628" s="1">
        <v>8687</v>
      </c>
      <c r="D628" s="21">
        <f t="shared" si="20"/>
        <v>-1.205504378482884E-2</v>
      </c>
      <c r="E628" s="1">
        <v>8687</v>
      </c>
      <c r="F628" s="1">
        <v>0</v>
      </c>
      <c r="H628" s="1">
        <v>2119</v>
      </c>
      <c r="I628" s="21">
        <f t="shared" si="19"/>
        <v>-2.3502304147465437E-2</v>
      </c>
      <c r="J628" s="1">
        <v>706</v>
      </c>
      <c r="K628" s="1">
        <v>417</v>
      </c>
      <c r="L628" s="1">
        <v>155</v>
      </c>
      <c r="O628" s="1">
        <v>262</v>
      </c>
      <c r="T628" s="1">
        <v>289</v>
      </c>
      <c r="Z628" s="1">
        <v>144</v>
      </c>
      <c r="AA628" s="1">
        <v>176</v>
      </c>
      <c r="AC628" s="1">
        <v>76</v>
      </c>
      <c r="AF628" s="1">
        <v>362</v>
      </c>
    </row>
    <row r="629" spans="1:32">
      <c r="A629" s="58">
        <v>37141</v>
      </c>
      <c r="B629" s="1">
        <v>11051</v>
      </c>
      <c r="C629" s="1">
        <v>8834</v>
      </c>
      <c r="D629" s="21">
        <f t="shared" si="20"/>
        <v>1.6921837228041903E-2</v>
      </c>
      <c r="E629" s="1">
        <v>8834</v>
      </c>
      <c r="F629" s="1">
        <v>0</v>
      </c>
      <c r="H629" s="1">
        <v>2217</v>
      </c>
      <c r="I629" s="21">
        <f t="shared" si="19"/>
        <v>4.6248230297310053E-2</v>
      </c>
      <c r="J629" s="1">
        <v>696</v>
      </c>
      <c r="K629" s="1">
        <v>397</v>
      </c>
      <c r="L629" s="1">
        <v>171</v>
      </c>
      <c r="O629" s="1">
        <v>227</v>
      </c>
      <c r="T629" s="1">
        <v>299</v>
      </c>
      <c r="Z629" s="1">
        <v>129</v>
      </c>
      <c r="AA629" s="1">
        <v>213</v>
      </c>
      <c r="AC629" s="1">
        <v>117</v>
      </c>
      <c r="AF629" s="1">
        <v>337</v>
      </c>
    </row>
    <row r="630" spans="1:32">
      <c r="A630" s="58">
        <v>37148</v>
      </c>
      <c r="B630" s="1">
        <v>10953</v>
      </c>
      <c r="C630" s="1">
        <v>8861</v>
      </c>
      <c r="D630" s="21">
        <f t="shared" si="20"/>
        <v>3.0563731039166854E-3</v>
      </c>
      <c r="E630" s="1">
        <v>8861</v>
      </c>
      <c r="F630" s="1">
        <v>0</v>
      </c>
      <c r="H630" s="1">
        <v>2092</v>
      </c>
      <c r="I630" s="21">
        <f t="shared" si="19"/>
        <v>-5.6382498872350022E-2</v>
      </c>
      <c r="J630" s="1">
        <v>575</v>
      </c>
      <c r="K630" s="1">
        <v>306</v>
      </c>
      <c r="L630" s="1">
        <v>140</v>
      </c>
      <c r="O630" s="1">
        <v>166</v>
      </c>
      <c r="T630" s="1">
        <v>269</v>
      </c>
      <c r="Z630" s="1">
        <v>154</v>
      </c>
      <c r="AA630" s="1">
        <v>210</v>
      </c>
      <c r="AC630" s="1">
        <v>123</v>
      </c>
      <c r="AF630" s="1">
        <v>329</v>
      </c>
    </row>
    <row r="631" spans="1:32">
      <c r="A631" s="58">
        <v>37155</v>
      </c>
      <c r="B631" s="1">
        <v>10849</v>
      </c>
      <c r="C631" s="1">
        <v>8705</v>
      </c>
      <c r="D631" s="21">
        <f t="shared" si="20"/>
        <v>-1.7605236429296921E-2</v>
      </c>
      <c r="E631" s="1">
        <v>8705</v>
      </c>
      <c r="F631" s="1">
        <v>0</v>
      </c>
      <c r="H631" s="1">
        <v>2144</v>
      </c>
      <c r="I631" s="21">
        <f t="shared" si="19"/>
        <v>2.4856596558317401E-2</v>
      </c>
      <c r="J631" s="1">
        <v>664</v>
      </c>
      <c r="K631" s="1">
        <v>381</v>
      </c>
      <c r="L631" s="1">
        <v>195</v>
      </c>
      <c r="O631" s="1">
        <v>186</v>
      </c>
      <c r="T631" s="1">
        <v>284</v>
      </c>
      <c r="Z631" s="1">
        <v>130</v>
      </c>
      <c r="AA631" s="1">
        <v>223</v>
      </c>
      <c r="AC631" s="1">
        <v>139</v>
      </c>
      <c r="AF631" s="1">
        <v>334</v>
      </c>
    </row>
    <row r="632" spans="1:32">
      <c r="A632" s="58">
        <v>37162</v>
      </c>
      <c r="B632" s="1">
        <v>11189</v>
      </c>
      <c r="C632" s="1">
        <v>8888</v>
      </c>
      <c r="D632" s="21">
        <f t="shared" si="20"/>
        <v>2.1022400919012061E-2</v>
      </c>
      <c r="E632" s="1">
        <v>8888</v>
      </c>
      <c r="F632" s="1">
        <v>0</v>
      </c>
      <c r="H632" s="1">
        <v>2301</v>
      </c>
      <c r="I632" s="21">
        <f t="shared" si="19"/>
        <v>7.3227611940298504E-2</v>
      </c>
      <c r="J632" s="1">
        <v>734</v>
      </c>
      <c r="K632" s="1">
        <v>462</v>
      </c>
      <c r="L632" s="1">
        <v>206</v>
      </c>
      <c r="O632" s="1">
        <v>257</v>
      </c>
      <c r="T632" s="1">
        <v>272</v>
      </c>
      <c r="Z632" s="1">
        <v>130</v>
      </c>
      <c r="AA632" s="1">
        <v>277</v>
      </c>
      <c r="AC632" s="1">
        <v>148</v>
      </c>
      <c r="AF632" s="1">
        <v>377</v>
      </c>
    </row>
    <row r="633" spans="1:32">
      <c r="A633" s="58">
        <v>37169</v>
      </c>
      <c r="B633" s="1">
        <v>11310</v>
      </c>
      <c r="C633" s="1">
        <v>9000</v>
      </c>
      <c r="D633" s="21">
        <f t="shared" si="20"/>
        <v>1.2601260126012601E-2</v>
      </c>
      <c r="E633" s="1">
        <v>9000</v>
      </c>
      <c r="F633" s="1">
        <v>0</v>
      </c>
      <c r="H633" s="1">
        <v>2310</v>
      </c>
      <c r="I633" s="21">
        <f t="shared" si="19"/>
        <v>3.9113428943937422E-3</v>
      </c>
      <c r="J633" s="1">
        <v>782</v>
      </c>
      <c r="K633" s="1">
        <v>476</v>
      </c>
      <c r="L633" s="1">
        <v>209</v>
      </c>
      <c r="O633" s="1">
        <v>267</v>
      </c>
      <c r="T633" s="1">
        <v>306</v>
      </c>
      <c r="Z633" s="1">
        <v>111</v>
      </c>
      <c r="AA633" s="1">
        <v>267</v>
      </c>
      <c r="AC633" s="1">
        <v>128</v>
      </c>
      <c r="AF633" s="1">
        <v>418</v>
      </c>
    </row>
    <row r="634" spans="1:32">
      <c r="A634" s="58">
        <v>37176</v>
      </c>
      <c r="B634" s="1">
        <v>11444</v>
      </c>
      <c r="C634" s="1">
        <v>8990</v>
      </c>
      <c r="D634" s="21">
        <f t="shared" si="20"/>
        <v>-1.1111111111111111E-3</v>
      </c>
      <c r="E634" s="1">
        <v>8990</v>
      </c>
      <c r="F634" s="1">
        <v>0</v>
      </c>
      <c r="H634" s="1">
        <v>2455</v>
      </c>
      <c r="I634" s="21">
        <f t="shared" si="19"/>
        <v>6.2770562770562768E-2</v>
      </c>
      <c r="J634" s="1">
        <v>853</v>
      </c>
      <c r="K634" s="1">
        <v>544</v>
      </c>
      <c r="L634" s="1">
        <v>271</v>
      </c>
      <c r="O634" s="1">
        <v>273</v>
      </c>
      <c r="T634" s="1">
        <v>309</v>
      </c>
      <c r="Z634" s="1">
        <v>97</v>
      </c>
      <c r="AA634" s="1">
        <v>305</v>
      </c>
      <c r="AC634" s="1">
        <v>129</v>
      </c>
      <c r="AF634" s="1">
        <v>452</v>
      </c>
    </row>
    <row r="635" spans="1:32">
      <c r="A635" s="58">
        <v>37183</v>
      </c>
      <c r="B635" s="1">
        <v>11555</v>
      </c>
      <c r="C635" s="1">
        <v>9135</v>
      </c>
      <c r="D635" s="21">
        <f t="shared" si="20"/>
        <v>1.6129032258064516E-2</v>
      </c>
      <c r="E635" s="1">
        <v>9135</v>
      </c>
      <c r="F635" s="1">
        <v>0</v>
      </c>
      <c r="H635" s="1">
        <v>2419</v>
      </c>
      <c r="I635" s="21">
        <f t="shared" si="19"/>
        <v>-1.4663951120162933E-2</v>
      </c>
      <c r="J635" s="1">
        <v>793</v>
      </c>
      <c r="K635" s="1">
        <v>495</v>
      </c>
      <c r="L635" s="1">
        <v>239</v>
      </c>
      <c r="O635" s="1">
        <v>257</v>
      </c>
      <c r="T635" s="1">
        <v>298</v>
      </c>
      <c r="Z635" s="1">
        <v>112</v>
      </c>
      <c r="AA635" s="1">
        <v>297</v>
      </c>
      <c r="AC635" s="1">
        <v>112</v>
      </c>
      <c r="AF635" s="1">
        <v>380</v>
      </c>
    </row>
    <row r="636" spans="1:32">
      <c r="A636" s="58">
        <v>37190</v>
      </c>
      <c r="B636" s="1">
        <v>11452</v>
      </c>
      <c r="C636" s="1">
        <v>9249</v>
      </c>
      <c r="D636" s="21">
        <f t="shared" si="20"/>
        <v>1.2479474548440065E-2</v>
      </c>
      <c r="E636" s="1">
        <v>9249</v>
      </c>
      <c r="F636" s="1">
        <v>0</v>
      </c>
      <c r="H636" s="1">
        <v>2203</v>
      </c>
      <c r="I636" s="21">
        <f t="shared" si="19"/>
        <v>-8.9293096320793713E-2</v>
      </c>
      <c r="J636" s="1">
        <v>714</v>
      </c>
      <c r="K636" s="1">
        <v>462</v>
      </c>
      <c r="L636" s="1">
        <v>217</v>
      </c>
      <c r="O636" s="1">
        <v>246</v>
      </c>
      <c r="T636" s="1">
        <v>252</v>
      </c>
      <c r="Z636" s="1">
        <v>94</v>
      </c>
      <c r="AA636" s="1">
        <v>283</v>
      </c>
      <c r="AC636" s="1">
        <v>126</v>
      </c>
      <c r="AF636" s="1">
        <v>351</v>
      </c>
    </row>
    <row r="637" spans="1:32">
      <c r="A637" s="58">
        <v>37197</v>
      </c>
      <c r="B637" s="1">
        <v>11441</v>
      </c>
      <c r="C637" s="1">
        <v>9198</v>
      </c>
      <c r="D637" s="21">
        <f t="shared" si="20"/>
        <v>-5.5141096334738893E-3</v>
      </c>
      <c r="E637" s="1">
        <v>9198</v>
      </c>
      <c r="F637" s="1">
        <v>0</v>
      </c>
      <c r="H637" s="1">
        <v>2244</v>
      </c>
      <c r="I637" s="21">
        <f t="shared" si="19"/>
        <v>1.8610985020426692E-2</v>
      </c>
      <c r="J637" s="1">
        <v>715</v>
      </c>
      <c r="K637" s="1">
        <v>458</v>
      </c>
      <c r="L637" s="1">
        <v>221</v>
      </c>
      <c r="O637" s="1">
        <v>237</v>
      </c>
      <c r="T637" s="1">
        <v>257</v>
      </c>
      <c r="Z637" s="1">
        <v>93</v>
      </c>
      <c r="AA637" s="1">
        <v>288</v>
      </c>
      <c r="AC637" s="1">
        <v>134</v>
      </c>
      <c r="AF637" s="1">
        <v>355</v>
      </c>
    </row>
    <row r="638" spans="1:32">
      <c r="A638" s="58">
        <v>37204</v>
      </c>
      <c r="B638" s="1">
        <v>11599</v>
      </c>
      <c r="C638" s="1">
        <v>9456</v>
      </c>
      <c r="D638" s="21">
        <f t="shared" si="20"/>
        <v>2.8049575994781473E-2</v>
      </c>
      <c r="E638" s="1">
        <v>9456</v>
      </c>
      <c r="F638" s="1">
        <v>0</v>
      </c>
      <c r="H638" s="1">
        <v>2144</v>
      </c>
      <c r="I638" s="21">
        <f t="shared" si="19"/>
        <v>-4.4563279857397504E-2</v>
      </c>
      <c r="J638" s="1">
        <v>663</v>
      </c>
      <c r="K638" s="1">
        <v>415</v>
      </c>
      <c r="L638" s="1">
        <v>188</v>
      </c>
      <c r="O638" s="1">
        <v>227</v>
      </c>
      <c r="T638" s="1">
        <v>249</v>
      </c>
      <c r="Z638" s="1">
        <v>97</v>
      </c>
      <c r="AA638" s="1">
        <v>275</v>
      </c>
      <c r="AC638" s="1">
        <v>139</v>
      </c>
      <c r="AF638" s="1">
        <v>344</v>
      </c>
    </row>
    <row r="639" spans="1:32">
      <c r="A639" s="58">
        <v>37211</v>
      </c>
      <c r="B639" s="1">
        <v>11531</v>
      </c>
      <c r="C639" s="1">
        <v>9343</v>
      </c>
      <c r="D639" s="21">
        <f t="shared" si="20"/>
        <v>-1.1950084602368866E-2</v>
      </c>
      <c r="E639" s="1">
        <v>9305</v>
      </c>
      <c r="F639" s="1">
        <v>38</v>
      </c>
      <c r="H639" s="1">
        <v>2188</v>
      </c>
      <c r="I639" s="21">
        <f t="shared" si="19"/>
        <v>2.0522388059701493E-2</v>
      </c>
      <c r="J639" s="1">
        <v>695</v>
      </c>
      <c r="K639" s="1">
        <v>416</v>
      </c>
      <c r="L639" s="1">
        <v>191</v>
      </c>
      <c r="O639" s="1">
        <v>225</v>
      </c>
      <c r="T639" s="1">
        <v>279</v>
      </c>
      <c r="Z639" s="1">
        <v>87</v>
      </c>
      <c r="AA639" s="1">
        <v>288</v>
      </c>
      <c r="AC639" s="1">
        <v>142</v>
      </c>
      <c r="AF639" s="1">
        <v>325</v>
      </c>
    </row>
    <row r="640" spans="1:32">
      <c r="A640" s="58">
        <v>37218</v>
      </c>
      <c r="B640" s="1">
        <v>11306</v>
      </c>
      <c r="C640" s="1">
        <v>9036</v>
      </c>
      <c r="D640" s="21">
        <f t="shared" si="20"/>
        <v>-3.2858824788611796E-2</v>
      </c>
      <c r="E640" s="1">
        <v>8980</v>
      </c>
      <c r="F640" s="1">
        <v>56</v>
      </c>
      <c r="H640" s="1">
        <v>2270</v>
      </c>
      <c r="I640" s="21">
        <f t="shared" si="19"/>
        <v>3.7477148080438755E-2</v>
      </c>
      <c r="J640" s="1">
        <v>720</v>
      </c>
      <c r="K640" s="1">
        <v>443</v>
      </c>
      <c r="L640" s="1">
        <v>228</v>
      </c>
      <c r="O640" s="1">
        <v>216</v>
      </c>
      <c r="T640" s="1">
        <v>277</v>
      </c>
      <c r="Z640" s="1">
        <v>92</v>
      </c>
      <c r="AA640" s="1">
        <v>315</v>
      </c>
      <c r="AC640" s="1">
        <v>133</v>
      </c>
      <c r="AF640" s="1">
        <v>283</v>
      </c>
    </row>
    <row r="641" spans="1:32">
      <c r="A641" s="58">
        <v>37225</v>
      </c>
      <c r="B641" s="1">
        <v>11407</v>
      </c>
      <c r="C641" s="1">
        <v>9172</v>
      </c>
      <c r="D641" s="21">
        <f t="shared" si="20"/>
        <v>1.5050907481186366E-2</v>
      </c>
      <c r="E641" s="1">
        <v>9115</v>
      </c>
      <c r="F641" s="1">
        <v>56</v>
      </c>
      <c r="H641" s="1">
        <v>2235</v>
      </c>
      <c r="I641" s="21">
        <f t="shared" si="19"/>
        <v>-1.5418502202643172E-2</v>
      </c>
      <c r="J641" s="1">
        <v>734</v>
      </c>
      <c r="K641" s="1">
        <v>464</v>
      </c>
      <c r="L641" s="1">
        <v>233</v>
      </c>
      <c r="O641" s="1">
        <v>231</v>
      </c>
      <c r="T641" s="1">
        <v>270</v>
      </c>
      <c r="Z641" s="1">
        <v>98</v>
      </c>
      <c r="AA641" s="1">
        <v>302</v>
      </c>
      <c r="AC641" s="1">
        <v>120</v>
      </c>
      <c r="AF641" s="1">
        <v>288</v>
      </c>
    </row>
    <row r="642" spans="1:32">
      <c r="A642" s="58">
        <v>37232</v>
      </c>
      <c r="B642" s="1">
        <v>11173</v>
      </c>
      <c r="C642" s="1">
        <v>9005</v>
      </c>
      <c r="D642" s="21">
        <f t="shared" si="20"/>
        <v>-1.8207588312254688E-2</v>
      </c>
      <c r="E642" s="1">
        <v>8948</v>
      </c>
      <c r="F642" s="1">
        <v>56</v>
      </c>
      <c r="H642" s="1">
        <v>2169</v>
      </c>
      <c r="I642" s="21">
        <f t="shared" si="19"/>
        <v>-2.9530201342281879E-2</v>
      </c>
      <c r="J642" s="1">
        <v>708</v>
      </c>
      <c r="K642" s="1">
        <v>428</v>
      </c>
      <c r="L642" s="1">
        <v>207</v>
      </c>
      <c r="O642" s="1">
        <v>222</v>
      </c>
      <c r="T642" s="1">
        <v>280</v>
      </c>
      <c r="Z642" s="1">
        <v>75</v>
      </c>
      <c r="AA642" s="1">
        <v>298</v>
      </c>
      <c r="AC642" s="1">
        <v>114</v>
      </c>
      <c r="AF642" s="1">
        <v>265</v>
      </c>
    </row>
    <row r="643" spans="1:32">
      <c r="A643" s="58">
        <v>37239</v>
      </c>
      <c r="B643" s="1">
        <v>11148</v>
      </c>
      <c r="C643" s="1">
        <v>8979</v>
      </c>
      <c r="D643" s="21">
        <f t="shared" si="20"/>
        <v>-2.8872848417545809E-3</v>
      </c>
      <c r="E643" s="1">
        <v>8960</v>
      </c>
      <c r="F643" s="1">
        <v>19</v>
      </c>
      <c r="H643" s="1">
        <v>2169</v>
      </c>
      <c r="I643" s="21">
        <f t="shared" si="19"/>
        <v>0</v>
      </c>
      <c r="J643" s="1">
        <v>676</v>
      </c>
      <c r="K643" s="1">
        <v>405</v>
      </c>
      <c r="L643" s="1">
        <v>199</v>
      </c>
      <c r="O643" s="1">
        <v>206</v>
      </c>
      <c r="T643" s="1">
        <v>272</v>
      </c>
      <c r="Z643" s="1">
        <v>79</v>
      </c>
      <c r="AA643" s="1">
        <v>278</v>
      </c>
      <c r="AC643" s="1">
        <v>108</v>
      </c>
      <c r="AF643" s="1">
        <v>316</v>
      </c>
    </row>
    <row r="644" spans="1:32">
      <c r="A644" s="58">
        <v>37246</v>
      </c>
      <c r="B644" s="1">
        <v>11199</v>
      </c>
      <c r="C644" s="1">
        <v>9098</v>
      </c>
      <c r="D644" s="21">
        <f t="shared" si="20"/>
        <v>1.3253146230092439E-2</v>
      </c>
      <c r="E644" s="1">
        <v>9098</v>
      </c>
      <c r="F644" s="1">
        <v>0</v>
      </c>
      <c r="H644" s="1">
        <v>2101</v>
      </c>
      <c r="I644" s="21">
        <f t="shared" si="19"/>
        <v>-3.1350852927616413E-2</v>
      </c>
      <c r="J644" s="1">
        <v>684</v>
      </c>
      <c r="K644" s="1">
        <v>402</v>
      </c>
      <c r="L644" s="1">
        <v>216</v>
      </c>
      <c r="O644" s="1">
        <v>187</v>
      </c>
      <c r="T644" s="1">
        <v>282</v>
      </c>
      <c r="Z644" s="1">
        <v>94</v>
      </c>
      <c r="AA644" s="1">
        <v>230</v>
      </c>
      <c r="AC644" s="1">
        <v>91</v>
      </c>
      <c r="AF644" s="1">
        <v>330</v>
      </c>
    </row>
    <row r="645" spans="1:32">
      <c r="A645" s="58">
        <v>37253</v>
      </c>
      <c r="B645" s="1">
        <v>10745</v>
      </c>
      <c r="C645" s="1">
        <v>8667</v>
      </c>
      <c r="D645" s="21">
        <f t="shared" si="20"/>
        <v>-4.7373049021763022E-2</v>
      </c>
      <c r="E645" s="1">
        <v>8667</v>
      </c>
      <c r="F645" s="1">
        <v>0</v>
      </c>
      <c r="H645" s="1">
        <v>2078</v>
      </c>
      <c r="I645" s="21">
        <f t="shared" si="19"/>
        <v>-1.0947168015230843E-2</v>
      </c>
      <c r="J645" s="1">
        <v>680</v>
      </c>
      <c r="K645" s="1">
        <v>452</v>
      </c>
      <c r="L645" s="1">
        <v>230</v>
      </c>
      <c r="O645" s="1">
        <v>222</v>
      </c>
      <c r="T645" s="1">
        <v>228</v>
      </c>
      <c r="Z645" s="1">
        <v>97</v>
      </c>
      <c r="AA645" s="1">
        <v>220</v>
      </c>
      <c r="AC645" s="1">
        <v>77</v>
      </c>
      <c r="AF645" s="1">
        <v>294</v>
      </c>
    </row>
    <row r="646" spans="1:32">
      <c r="A646" s="58">
        <v>37260</v>
      </c>
      <c r="B646" s="1">
        <v>10790</v>
      </c>
      <c r="C646" s="1">
        <v>8582</v>
      </c>
      <c r="D646" s="21">
        <f t="shared" si="20"/>
        <v>-9.8073151032652597E-3</v>
      </c>
      <c r="E646" s="1">
        <v>8562</v>
      </c>
      <c r="F646" s="1">
        <v>20</v>
      </c>
      <c r="H646" s="1">
        <v>2208</v>
      </c>
      <c r="I646" s="21">
        <f t="shared" si="19"/>
        <v>6.2560153994225223E-2</v>
      </c>
      <c r="J646" s="1">
        <v>762</v>
      </c>
      <c r="K646" s="1">
        <v>499</v>
      </c>
      <c r="L646" s="1">
        <v>253</v>
      </c>
      <c r="O646" s="1">
        <v>246</v>
      </c>
      <c r="T646" s="1">
        <v>263</v>
      </c>
      <c r="Z646" s="1">
        <v>98</v>
      </c>
      <c r="AA646" s="1">
        <v>216</v>
      </c>
      <c r="AC646" s="1">
        <v>72</v>
      </c>
      <c r="AF646" s="1">
        <v>322</v>
      </c>
    </row>
    <row r="647" spans="1:32">
      <c r="A647" s="58">
        <v>37267</v>
      </c>
      <c r="B647" s="1">
        <v>10647</v>
      </c>
      <c r="C647" s="1">
        <v>8510</v>
      </c>
      <c r="D647" s="21">
        <f t="shared" si="20"/>
        <v>-8.3896527615940335E-3</v>
      </c>
      <c r="E647" s="1">
        <v>8490</v>
      </c>
      <c r="F647" s="1">
        <v>20</v>
      </c>
      <c r="H647" s="1">
        <v>2137</v>
      </c>
      <c r="I647" s="21">
        <f t="shared" si="19"/>
        <v>-3.2155797101449272E-2</v>
      </c>
      <c r="J647" s="1">
        <v>770</v>
      </c>
      <c r="K647" s="1">
        <v>521</v>
      </c>
      <c r="L647" s="1">
        <v>263</v>
      </c>
      <c r="O647" s="1">
        <v>258</v>
      </c>
      <c r="T647" s="1">
        <v>249</v>
      </c>
      <c r="Z647" s="1">
        <v>98</v>
      </c>
      <c r="AA647" s="1">
        <v>248</v>
      </c>
      <c r="AC647" s="1">
        <v>85</v>
      </c>
      <c r="AF647" s="1">
        <v>271</v>
      </c>
    </row>
    <row r="648" spans="1:32">
      <c r="A648" s="58">
        <v>37274</v>
      </c>
      <c r="B648" s="1">
        <v>10715</v>
      </c>
      <c r="C648" s="1">
        <v>8633</v>
      </c>
      <c r="D648" s="21">
        <f t="shared" si="20"/>
        <v>1.445358401880141E-2</v>
      </c>
      <c r="E648" s="1">
        <v>8595</v>
      </c>
      <c r="F648" s="1">
        <v>39</v>
      </c>
      <c r="H648" s="1">
        <v>2082</v>
      </c>
      <c r="I648" s="21">
        <f t="shared" si="19"/>
        <v>-2.5737014506317268E-2</v>
      </c>
      <c r="J648" s="1">
        <v>732</v>
      </c>
      <c r="K648" s="1">
        <v>503</v>
      </c>
      <c r="L648" s="1">
        <v>255</v>
      </c>
      <c r="O648" s="1">
        <v>248</v>
      </c>
      <c r="T648" s="1">
        <v>229</v>
      </c>
      <c r="Z648" s="1">
        <v>75</v>
      </c>
      <c r="AA648" s="1">
        <v>263</v>
      </c>
      <c r="AC648" s="1">
        <v>93</v>
      </c>
      <c r="AF648" s="1">
        <v>238</v>
      </c>
    </row>
    <row r="649" spans="1:32">
      <c r="A649" s="58">
        <v>37281</v>
      </c>
      <c r="B649" s="1">
        <v>10850</v>
      </c>
      <c r="C649" s="1">
        <v>8739</v>
      </c>
      <c r="D649" s="21">
        <f t="shared" si="20"/>
        <v>1.2278466350052126E-2</v>
      </c>
      <c r="E649" s="1">
        <v>8682</v>
      </c>
      <c r="F649" s="1">
        <v>57</v>
      </c>
      <c r="H649" s="1">
        <v>2111</v>
      </c>
      <c r="I649" s="21">
        <f t="shared" si="19"/>
        <v>1.3928914505283382E-2</v>
      </c>
      <c r="J649" s="1">
        <v>712</v>
      </c>
      <c r="K649" s="1">
        <v>437</v>
      </c>
      <c r="L649" s="1">
        <v>219</v>
      </c>
      <c r="O649" s="1">
        <v>217</v>
      </c>
      <c r="T649" s="1">
        <v>275</v>
      </c>
      <c r="Z649" s="1">
        <v>106</v>
      </c>
      <c r="AA649" s="1">
        <v>262</v>
      </c>
      <c r="AC649" s="1">
        <v>93</v>
      </c>
      <c r="AF649" s="1">
        <v>249</v>
      </c>
    </row>
    <row r="650" spans="1:32">
      <c r="A650" s="58">
        <v>37288</v>
      </c>
      <c r="B650" s="1">
        <v>10801</v>
      </c>
      <c r="C650" s="1">
        <v>8722</v>
      </c>
      <c r="D650" s="21">
        <f t="shared" si="20"/>
        <v>-1.9453026662089483E-3</v>
      </c>
      <c r="E650" s="1">
        <v>8685</v>
      </c>
      <c r="F650" s="1">
        <v>37</v>
      </c>
      <c r="H650" s="1">
        <v>2079</v>
      </c>
      <c r="I650" s="21">
        <f t="shared" si="19"/>
        <v>-1.5158692562766462E-2</v>
      </c>
      <c r="J650" s="1">
        <v>663</v>
      </c>
      <c r="K650" s="1">
        <v>431</v>
      </c>
      <c r="L650" s="1">
        <v>221</v>
      </c>
      <c r="O650" s="1">
        <v>210</v>
      </c>
      <c r="T650" s="1">
        <v>232</v>
      </c>
      <c r="Z650" s="1">
        <v>113</v>
      </c>
      <c r="AA650" s="1">
        <v>263</v>
      </c>
      <c r="AC650" s="1">
        <v>97</v>
      </c>
      <c r="AF650" s="1">
        <v>263</v>
      </c>
    </row>
    <row r="651" spans="1:32">
      <c r="A651" s="58">
        <v>37295</v>
      </c>
      <c r="B651" s="1">
        <v>10966</v>
      </c>
      <c r="C651" s="1">
        <v>8916</v>
      </c>
      <c r="D651" s="21">
        <f t="shared" si="20"/>
        <v>2.2242604907131393E-2</v>
      </c>
      <c r="E651" s="1">
        <v>8840</v>
      </c>
      <c r="F651" s="1">
        <v>76</v>
      </c>
      <c r="H651" s="1">
        <v>2050</v>
      </c>
      <c r="I651" s="21">
        <f t="shared" si="19"/>
        <v>-1.3949013949013949E-2</v>
      </c>
      <c r="J651" s="1">
        <v>600</v>
      </c>
      <c r="K651" s="1">
        <v>398</v>
      </c>
      <c r="L651" s="1">
        <v>207</v>
      </c>
      <c r="O651" s="1">
        <v>191</v>
      </c>
      <c r="T651" s="1">
        <v>202</v>
      </c>
      <c r="Z651" s="1">
        <v>106</v>
      </c>
      <c r="AA651" s="1">
        <v>260</v>
      </c>
      <c r="AC651" s="1">
        <v>89</v>
      </c>
      <c r="AF651" s="1">
        <v>264</v>
      </c>
    </row>
    <row r="652" spans="1:32">
      <c r="A652" s="58">
        <v>37302</v>
      </c>
      <c r="B652" s="1">
        <v>10841</v>
      </c>
      <c r="C652" s="1">
        <v>8628</v>
      </c>
      <c r="D652" s="21">
        <f t="shared" si="20"/>
        <v>-3.2301480484522208E-2</v>
      </c>
      <c r="E652" s="1">
        <v>8571</v>
      </c>
      <c r="F652" s="1">
        <v>57</v>
      </c>
      <c r="H652" s="1">
        <v>2214</v>
      </c>
      <c r="I652" s="21">
        <f t="shared" si="19"/>
        <v>0.08</v>
      </c>
      <c r="J652" s="1">
        <v>662</v>
      </c>
      <c r="K652" s="1">
        <v>420</v>
      </c>
      <c r="L652" s="1">
        <v>190</v>
      </c>
      <c r="O652" s="1">
        <v>230</v>
      </c>
      <c r="T652" s="1">
        <v>242</v>
      </c>
      <c r="Z652" s="1">
        <v>132</v>
      </c>
      <c r="AA652" s="1">
        <v>265</v>
      </c>
      <c r="AC652" s="1">
        <v>76</v>
      </c>
      <c r="AF652" s="1">
        <v>287</v>
      </c>
    </row>
    <row r="653" spans="1:32">
      <c r="A653" s="58">
        <v>37309</v>
      </c>
      <c r="B653" s="1">
        <v>10645</v>
      </c>
      <c r="C653" s="1">
        <v>8504</v>
      </c>
      <c r="D653" s="21">
        <f t="shared" si="20"/>
        <v>-1.4371812702828002E-2</v>
      </c>
      <c r="E653" s="1">
        <v>8445</v>
      </c>
      <c r="F653" s="1">
        <v>59</v>
      </c>
      <c r="H653" s="1">
        <v>2141</v>
      </c>
      <c r="I653" s="21">
        <f t="shared" si="19"/>
        <v>-3.297199638663053E-2</v>
      </c>
      <c r="J653" s="1">
        <v>650</v>
      </c>
      <c r="K653" s="1">
        <v>421</v>
      </c>
      <c r="L653" s="1">
        <v>204</v>
      </c>
      <c r="O653" s="1">
        <v>217</v>
      </c>
      <c r="T653" s="1">
        <v>229</v>
      </c>
      <c r="Z653" s="1">
        <v>103</v>
      </c>
      <c r="AA653" s="1">
        <v>249</v>
      </c>
      <c r="AC653" s="1">
        <v>72</v>
      </c>
      <c r="AF653" s="1">
        <v>239</v>
      </c>
    </row>
    <row r="654" spans="1:32">
      <c r="A654" s="58">
        <v>37316</v>
      </c>
      <c r="B654" s="1">
        <v>10554</v>
      </c>
      <c r="C654" s="1">
        <v>8406</v>
      </c>
      <c r="D654" s="21">
        <f t="shared" si="20"/>
        <v>-1.1523988711194732E-2</v>
      </c>
      <c r="E654" s="1">
        <v>8347</v>
      </c>
      <c r="F654" s="1">
        <v>59</v>
      </c>
      <c r="H654" s="1">
        <v>2148</v>
      </c>
      <c r="I654" s="21">
        <f t="shared" si="19"/>
        <v>3.269500233535731E-3</v>
      </c>
      <c r="J654" s="1">
        <v>689</v>
      </c>
      <c r="K654" s="1">
        <v>441</v>
      </c>
      <c r="L654" s="1">
        <v>206</v>
      </c>
      <c r="O654" s="1">
        <v>236</v>
      </c>
      <c r="T654" s="1">
        <v>248</v>
      </c>
      <c r="Z654" s="1">
        <v>101</v>
      </c>
      <c r="AA654" s="1">
        <v>243</v>
      </c>
      <c r="AC654" s="1">
        <v>68</v>
      </c>
      <c r="AF654" s="1">
        <v>186</v>
      </c>
    </row>
    <row r="655" spans="1:32">
      <c r="A655" s="58">
        <v>37323</v>
      </c>
      <c r="B655" s="1">
        <v>10297</v>
      </c>
      <c r="C655" s="1">
        <v>8123</v>
      </c>
      <c r="D655" s="21">
        <f t="shared" si="20"/>
        <v>-3.3666428741375209E-2</v>
      </c>
      <c r="E655" s="1">
        <v>8103</v>
      </c>
      <c r="F655" s="1">
        <v>20</v>
      </c>
      <c r="H655" s="1">
        <v>2174</v>
      </c>
      <c r="I655" s="21">
        <f t="shared" si="19"/>
        <v>1.2104283054003724E-2</v>
      </c>
      <c r="J655" s="1">
        <v>737</v>
      </c>
      <c r="K655" s="1">
        <v>471</v>
      </c>
      <c r="L655" s="1">
        <v>232</v>
      </c>
      <c r="O655" s="1">
        <v>239</v>
      </c>
      <c r="T655" s="1">
        <v>266</v>
      </c>
      <c r="Z655" s="1">
        <v>89</v>
      </c>
      <c r="AA655" s="1">
        <v>230</v>
      </c>
      <c r="AC655" s="1">
        <v>74</v>
      </c>
      <c r="AF655" s="1">
        <v>180</v>
      </c>
    </row>
    <row r="656" spans="1:32">
      <c r="A656" s="58">
        <v>37330</v>
      </c>
      <c r="B656" s="1">
        <v>10263</v>
      </c>
      <c r="C656" s="1">
        <v>8226</v>
      </c>
      <c r="D656" s="21">
        <f t="shared" si="20"/>
        <v>1.2680044318601503E-2</v>
      </c>
      <c r="E656" s="1">
        <v>8206</v>
      </c>
      <c r="F656" s="1">
        <v>20</v>
      </c>
      <c r="H656" s="1">
        <v>2037</v>
      </c>
      <c r="I656" s="21">
        <f t="shared" si="19"/>
        <v>-6.3017479300827961E-2</v>
      </c>
      <c r="J656" s="1">
        <v>700</v>
      </c>
      <c r="K656" s="1">
        <v>434</v>
      </c>
      <c r="L656" s="1">
        <v>232</v>
      </c>
      <c r="O656" s="1">
        <v>202</v>
      </c>
      <c r="T656" s="1">
        <v>267</v>
      </c>
      <c r="Z656" s="1">
        <v>64</v>
      </c>
      <c r="AA656" s="1">
        <v>211</v>
      </c>
      <c r="AC656" s="1">
        <v>73</v>
      </c>
      <c r="AF656" s="1">
        <v>162</v>
      </c>
    </row>
    <row r="657" spans="1:32">
      <c r="A657" s="58">
        <v>37337</v>
      </c>
      <c r="B657" s="1">
        <v>10268</v>
      </c>
      <c r="C657" s="1">
        <v>8167</v>
      </c>
      <c r="D657" s="21">
        <f t="shared" si="20"/>
        <v>-7.1723802577194264E-3</v>
      </c>
      <c r="E657" s="1">
        <v>8167</v>
      </c>
      <c r="F657" s="1">
        <v>0</v>
      </c>
      <c r="H657" s="1">
        <v>2101</v>
      </c>
      <c r="I657" s="21">
        <f t="shared" si="19"/>
        <v>3.1418753068237604E-2</v>
      </c>
      <c r="J657" s="1">
        <v>725</v>
      </c>
      <c r="K657" s="1">
        <v>453</v>
      </c>
      <c r="L657" s="1">
        <v>224</v>
      </c>
      <c r="O657" s="1">
        <v>229</v>
      </c>
      <c r="T657" s="1">
        <v>273</v>
      </c>
      <c r="Z657" s="1">
        <v>79</v>
      </c>
      <c r="AA657" s="1">
        <v>203</v>
      </c>
      <c r="AC657" s="1">
        <v>77</v>
      </c>
      <c r="AF657" s="1">
        <v>183</v>
      </c>
    </row>
    <row r="658" spans="1:32">
      <c r="A658" s="58">
        <v>37344</v>
      </c>
      <c r="B658" s="1">
        <v>10542</v>
      </c>
      <c r="C658" s="1">
        <v>8398</v>
      </c>
      <c r="D658" s="21">
        <f t="shared" si="20"/>
        <v>2.8284559813885148E-2</v>
      </c>
      <c r="E658" s="1">
        <v>8398</v>
      </c>
      <c r="F658" s="1">
        <v>0</v>
      </c>
      <c r="H658" s="1">
        <v>2143</v>
      </c>
      <c r="I658" s="21">
        <f t="shared" si="19"/>
        <v>1.9990480723465015E-2</v>
      </c>
      <c r="J658" s="1">
        <v>739</v>
      </c>
      <c r="K658" s="1">
        <v>471</v>
      </c>
      <c r="L658" s="1">
        <v>210</v>
      </c>
      <c r="O658" s="1">
        <v>261</v>
      </c>
      <c r="T658" s="1">
        <v>268</v>
      </c>
      <c r="Z658" s="1">
        <v>82</v>
      </c>
      <c r="AA658" s="1">
        <v>212</v>
      </c>
      <c r="AC658" s="1">
        <v>78</v>
      </c>
      <c r="AF658" s="1">
        <v>164</v>
      </c>
    </row>
    <row r="659" spans="1:32">
      <c r="A659" s="58">
        <v>37351</v>
      </c>
      <c r="B659" s="1">
        <v>10870</v>
      </c>
      <c r="C659" s="1">
        <v>8571</v>
      </c>
      <c r="D659" s="21">
        <f t="shared" si="20"/>
        <v>2.0600142891164564E-2</v>
      </c>
      <c r="E659" s="1">
        <v>8571</v>
      </c>
      <c r="F659" s="1">
        <v>0</v>
      </c>
      <c r="H659" s="1">
        <v>2300</v>
      </c>
      <c r="I659" s="21">
        <f t="shared" si="19"/>
        <v>7.326178254783014E-2</v>
      </c>
      <c r="J659" s="1">
        <v>796</v>
      </c>
      <c r="K659" s="1">
        <v>510</v>
      </c>
      <c r="L659" s="1">
        <v>189</v>
      </c>
      <c r="O659" s="1">
        <v>322</v>
      </c>
      <c r="T659" s="1">
        <v>286</v>
      </c>
      <c r="Z659" s="1">
        <v>101</v>
      </c>
      <c r="AA659" s="1">
        <v>221</v>
      </c>
      <c r="AC659" s="1">
        <v>80</v>
      </c>
      <c r="AF659" s="1">
        <v>201</v>
      </c>
    </row>
    <row r="660" spans="1:32">
      <c r="A660" s="58">
        <v>37358</v>
      </c>
      <c r="B660" s="1">
        <v>10896</v>
      </c>
      <c r="C660" s="1">
        <v>8525</v>
      </c>
      <c r="D660" s="21">
        <f t="shared" si="20"/>
        <v>-5.3669350134173373E-3</v>
      </c>
      <c r="E660" s="1">
        <v>8525</v>
      </c>
      <c r="F660" s="1">
        <v>0</v>
      </c>
      <c r="H660" s="1">
        <v>2371</v>
      </c>
      <c r="I660" s="21">
        <f t="shared" si="19"/>
        <v>3.0869565217391304E-2</v>
      </c>
      <c r="J660" s="1">
        <v>795</v>
      </c>
      <c r="K660" s="1">
        <v>565</v>
      </c>
      <c r="L660" s="1">
        <v>192</v>
      </c>
      <c r="O660" s="1">
        <v>373</v>
      </c>
      <c r="T660" s="1">
        <v>230</v>
      </c>
      <c r="Z660" s="1">
        <v>137</v>
      </c>
      <c r="AA660" s="1">
        <v>209</v>
      </c>
      <c r="AC660" s="1">
        <v>96</v>
      </c>
      <c r="AF660" s="1">
        <v>205</v>
      </c>
    </row>
    <row r="661" spans="1:32">
      <c r="A661" s="58">
        <v>37365</v>
      </c>
      <c r="B661" s="1">
        <v>11240</v>
      </c>
      <c r="C661" s="1">
        <v>8844</v>
      </c>
      <c r="D661" s="21">
        <f t="shared" si="20"/>
        <v>3.741935483870968E-2</v>
      </c>
      <c r="E661" s="1">
        <v>8844</v>
      </c>
      <c r="F661" s="1">
        <v>0</v>
      </c>
      <c r="H661" s="1">
        <v>2397</v>
      </c>
      <c r="I661" s="21">
        <f t="shared" si="19"/>
        <v>1.0965837199493884E-2</v>
      </c>
      <c r="J661" s="1">
        <v>814</v>
      </c>
      <c r="K661" s="1">
        <v>578</v>
      </c>
      <c r="L661" s="1">
        <v>221</v>
      </c>
      <c r="O661" s="1">
        <v>357</v>
      </c>
      <c r="T661" s="1">
        <v>237</v>
      </c>
      <c r="Z661" s="1">
        <v>130</v>
      </c>
      <c r="AA661" s="1">
        <v>226</v>
      </c>
      <c r="AC661" s="1">
        <v>102</v>
      </c>
      <c r="AF661" s="1">
        <v>192</v>
      </c>
    </row>
    <row r="662" spans="1:32">
      <c r="A662" s="58">
        <v>37372</v>
      </c>
      <c r="B662" s="1">
        <v>11293</v>
      </c>
      <c r="C662" s="1">
        <v>8914</v>
      </c>
      <c r="D662" s="21">
        <f t="shared" si="20"/>
        <v>7.9149706015377661E-3</v>
      </c>
      <c r="E662" s="1">
        <v>8914</v>
      </c>
      <c r="F662" s="1">
        <v>0</v>
      </c>
      <c r="H662" s="1">
        <v>2379</v>
      </c>
      <c r="I662" s="21">
        <f t="shared" si="19"/>
        <v>-7.5093867334167707E-3</v>
      </c>
      <c r="J662" s="1">
        <v>885</v>
      </c>
      <c r="K662" s="1">
        <v>617</v>
      </c>
      <c r="L662" s="1">
        <v>269</v>
      </c>
      <c r="O662" s="1">
        <v>348</v>
      </c>
      <c r="T662" s="1">
        <v>267</v>
      </c>
      <c r="Z662" s="1">
        <v>123</v>
      </c>
      <c r="AA662" s="1">
        <v>196</v>
      </c>
      <c r="AC662" s="1">
        <v>97</v>
      </c>
      <c r="AF662" s="1">
        <v>182</v>
      </c>
    </row>
    <row r="663" spans="1:32">
      <c r="A663" s="58">
        <v>37379</v>
      </c>
      <c r="B663" s="1">
        <v>11386</v>
      </c>
      <c r="C663" s="1">
        <v>8992</v>
      </c>
      <c r="D663" s="21">
        <f t="shared" si="20"/>
        <v>8.7502804577069774E-3</v>
      </c>
      <c r="E663" s="1">
        <v>8992</v>
      </c>
      <c r="F663" s="1">
        <v>0</v>
      </c>
      <c r="H663" s="1">
        <v>2395</v>
      </c>
      <c r="I663" s="21">
        <f t="shared" si="19"/>
        <v>6.7255149222362337E-3</v>
      </c>
      <c r="J663" s="1">
        <v>874</v>
      </c>
      <c r="K663" s="1">
        <v>578</v>
      </c>
      <c r="L663" s="1">
        <v>263</v>
      </c>
      <c r="O663" s="1">
        <v>315</v>
      </c>
      <c r="T663" s="1">
        <v>296</v>
      </c>
      <c r="Z663" s="1">
        <v>132</v>
      </c>
      <c r="AA663" s="1">
        <v>223</v>
      </c>
      <c r="AC663" s="1">
        <v>83</v>
      </c>
      <c r="AF663" s="1">
        <v>202</v>
      </c>
    </row>
    <row r="664" spans="1:32">
      <c r="A664" s="58">
        <v>37386</v>
      </c>
      <c r="B664" s="1">
        <v>11514</v>
      </c>
      <c r="C664" s="1">
        <v>9117</v>
      </c>
      <c r="D664" s="21">
        <f t="shared" si="20"/>
        <v>1.3901245551601424E-2</v>
      </c>
      <c r="E664" s="1">
        <v>9099</v>
      </c>
      <c r="F664" s="1">
        <v>18</v>
      </c>
      <c r="H664" s="1">
        <v>2397</v>
      </c>
      <c r="I664" s="21">
        <f t="shared" si="19"/>
        <v>8.3507306889352823E-4</v>
      </c>
      <c r="J664" s="1">
        <v>906</v>
      </c>
      <c r="K664" s="1">
        <v>516</v>
      </c>
      <c r="L664" s="1">
        <v>231</v>
      </c>
      <c r="O664" s="1">
        <v>285</v>
      </c>
      <c r="T664" s="1">
        <v>390</v>
      </c>
      <c r="Z664" s="1">
        <v>104</v>
      </c>
      <c r="AA664" s="1">
        <v>231</v>
      </c>
      <c r="AC664" s="1">
        <v>85</v>
      </c>
      <c r="AF664" s="1">
        <v>196</v>
      </c>
    </row>
    <row r="665" spans="1:32">
      <c r="A665" s="58">
        <v>37393</v>
      </c>
      <c r="B665" s="1">
        <v>11690</v>
      </c>
      <c r="C665" s="1">
        <v>9109</v>
      </c>
      <c r="D665" s="21">
        <f t="shared" si="20"/>
        <v>-8.7748162772841943E-4</v>
      </c>
      <c r="E665" s="1">
        <v>9091</v>
      </c>
      <c r="F665" s="1">
        <v>18</v>
      </c>
      <c r="H665" s="1">
        <v>2581</v>
      </c>
      <c r="I665" s="21">
        <f t="shared" si="19"/>
        <v>7.6762619941593654E-2</v>
      </c>
      <c r="J665" s="1">
        <v>960</v>
      </c>
      <c r="K665" s="1">
        <v>558</v>
      </c>
      <c r="L665" s="1">
        <v>232</v>
      </c>
      <c r="O665" s="1">
        <v>326</v>
      </c>
      <c r="T665" s="1">
        <v>402</v>
      </c>
      <c r="Z665" s="1">
        <v>102</v>
      </c>
      <c r="AA665" s="1">
        <v>229</v>
      </c>
      <c r="AC665" s="1">
        <v>102</v>
      </c>
      <c r="AF665" s="1">
        <v>226</v>
      </c>
    </row>
    <row r="666" spans="1:32">
      <c r="A666" s="58">
        <v>37400</v>
      </c>
      <c r="B666" s="1">
        <v>11614</v>
      </c>
      <c r="C666" s="1">
        <v>8968</v>
      </c>
      <c r="D666" s="21">
        <f t="shared" si="20"/>
        <v>-1.5479196399165659E-2</v>
      </c>
      <c r="E666" s="1">
        <v>8950</v>
      </c>
      <c r="F666" s="1">
        <v>18</v>
      </c>
      <c r="H666" s="1">
        <v>2647</v>
      </c>
      <c r="I666" s="21">
        <f t="shared" ref="I666:I729" si="21">(H666-H665)/H665</f>
        <v>2.5571483920960869E-2</v>
      </c>
      <c r="J666" s="1">
        <v>911</v>
      </c>
      <c r="K666" s="1">
        <v>508</v>
      </c>
      <c r="L666" s="1">
        <v>180</v>
      </c>
      <c r="O666" s="1">
        <v>327</v>
      </c>
      <c r="T666" s="1">
        <v>403</v>
      </c>
      <c r="Z666" s="1">
        <v>103</v>
      </c>
      <c r="AA666" s="1">
        <v>255</v>
      </c>
      <c r="AC666" s="1">
        <v>122</v>
      </c>
      <c r="AF666" s="1">
        <v>254</v>
      </c>
    </row>
    <row r="667" spans="1:32">
      <c r="A667" s="58">
        <v>37407</v>
      </c>
      <c r="B667" s="1">
        <v>11411</v>
      </c>
      <c r="C667" s="1">
        <v>8969</v>
      </c>
      <c r="D667" s="21">
        <f t="shared" si="20"/>
        <v>1.1150758251561107E-4</v>
      </c>
      <c r="E667" s="1">
        <v>8951</v>
      </c>
      <c r="F667" s="1">
        <v>18</v>
      </c>
      <c r="H667" s="1">
        <v>2442</v>
      </c>
      <c r="I667" s="21">
        <f t="shared" si="21"/>
        <v>-7.7446165470343789E-2</v>
      </c>
      <c r="J667" s="1">
        <v>874</v>
      </c>
      <c r="K667" s="1">
        <v>490</v>
      </c>
      <c r="L667" s="1">
        <v>203</v>
      </c>
      <c r="O667" s="1">
        <v>288</v>
      </c>
      <c r="T667" s="1">
        <v>384</v>
      </c>
      <c r="Z667" s="1">
        <v>81</v>
      </c>
      <c r="AA667" s="1">
        <v>196</v>
      </c>
      <c r="AC667" s="1">
        <v>130</v>
      </c>
      <c r="AF667" s="1">
        <v>214</v>
      </c>
    </row>
    <row r="668" spans="1:32">
      <c r="A668" s="58">
        <v>37414</v>
      </c>
      <c r="B668" s="1">
        <v>11376</v>
      </c>
      <c r="C668" s="1">
        <v>8960</v>
      </c>
      <c r="D668" s="21">
        <f t="shared" si="20"/>
        <v>-1.0034563496487902E-3</v>
      </c>
      <c r="E668" s="1">
        <v>8942</v>
      </c>
      <c r="F668" s="1">
        <v>18</v>
      </c>
      <c r="H668" s="1">
        <v>2416</v>
      </c>
      <c r="I668" s="21">
        <f t="shared" si="21"/>
        <v>-1.0647010647010647E-2</v>
      </c>
      <c r="J668" s="1">
        <v>807</v>
      </c>
      <c r="K668" s="1">
        <v>488</v>
      </c>
      <c r="L668" s="1">
        <v>219</v>
      </c>
      <c r="O668" s="1">
        <v>269</v>
      </c>
      <c r="T668" s="1">
        <v>319</v>
      </c>
      <c r="Z668" s="1">
        <v>100</v>
      </c>
      <c r="AA668" s="1">
        <v>198</v>
      </c>
      <c r="AC668" s="1">
        <v>139</v>
      </c>
      <c r="AF668" s="1">
        <v>186</v>
      </c>
    </row>
    <row r="669" spans="1:32">
      <c r="A669" s="58">
        <v>37421</v>
      </c>
      <c r="B669" s="1">
        <v>11140</v>
      </c>
      <c r="C669" s="1">
        <v>8989</v>
      </c>
      <c r="D669" s="21">
        <f t="shared" ref="D669:D732" si="22">(C669-C668)/C668</f>
        <v>3.2366071428571431E-3</v>
      </c>
      <c r="E669" s="1">
        <v>8971</v>
      </c>
      <c r="F669" s="1">
        <v>18</v>
      </c>
      <c r="H669" s="1">
        <v>2151</v>
      </c>
      <c r="I669" s="21">
        <f t="shared" si="21"/>
        <v>-0.10968543046357616</v>
      </c>
      <c r="J669" s="1">
        <v>733</v>
      </c>
      <c r="K669" s="1">
        <v>443</v>
      </c>
      <c r="L669" s="1">
        <v>202</v>
      </c>
      <c r="O669" s="1">
        <v>241</v>
      </c>
      <c r="T669" s="1">
        <v>290</v>
      </c>
      <c r="Z669" s="1">
        <v>107</v>
      </c>
      <c r="AA669" s="1">
        <v>176</v>
      </c>
      <c r="AC669" s="1">
        <v>117</v>
      </c>
      <c r="AF669" s="1">
        <v>148</v>
      </c>
    </row>
    <row r="670" spans="1:32">
      <c r="A670" s="58">
        <v>37428</v>
      </c>
      <c r="B670" s="1">
        <v>11230</v>
      </c>
      <c r="C670" s="1">
        <v>9036</v>
      </c>
      <c r="D670" s="21">
        <f t="shared" si="22"/>
        <v>5.2286127489153409E-3</v>
      </c>
      <c r="E670" s="1">
        <v>9018</v>
      </c>
      <c r="F670" s="1">
        <v>18</v>
      </c>
      <c r="H670" s="1">
        <v>2195</v>
      </c>
      <c r="I670" s="21">
        <f t="shared" si="21"/>
        <v>2.0455602045560205E-2</v>
      </c>
      <c r="J670" s="1">
        <v>800</v>
      </c>
      <c r="K670" s="1">
        <v>477</v>
      </c>
      <c r="L670" s="1">
        <v>265</v>
      </c>
      <c r="O670" s="1">
        <v>212</v>
      </c>
      <c r="T670" s="1">
        <v>323</v>
      </c>
      <c r="Z670" s="1">
        <v>111</v>
      </c>
      <c r="AA670" s="1">
        <v>182</v>
      </c>
      <c r="AC670" s="1">
        <v>117</v>
      </c>
      <c r="AF670" s="1">
        <v>168</v>
      </c>
    </row>
    <row r="671" spans="1:32">
      <c r="A671" s="58">
        <v>37435</v>
      </c>
      <c r="B671" s="1">
        <v>11472</v>
      </c>
      <c r="C671" s="1">
        <v>9142</v>
      </c>
      <c r="D671" s="21">
        <f t="shared" si="22"/>
        <v>1.1730854360336431E-2</v>
      </c>
      <c r="E671" s="1">
        <v>9124</v>
      </c>
      <c r="F671" s="1">
        <v>18</v>
      </c>
      <c r="H671" s="1">
        <v>2330</v>
      </c>
      <c r="I671" s="21">
        <f t="shared" si="21"/>
        <v>6.1503416856492028E-2</v>
      </c>
      <c r="J671" s="1">
        <v>881</v>
      </c>
      <c r="K671" s="1">
        <v>576</v>
      </c>
      <c r="L671" s="1">
        <v>262</v>
      </c>
      <c r="O671" s="1">
        <v>313</v>
      </c>
      <c r="T671" s="1">
        <v>305</v>
      </c>
      <c r="Z671" s="1">
        <v>122</v>
      </c>
      <c r="AA671" s="1">
        <v>194</v>
      </c>
      <c r="AC671" s="1">
        <v>119</v>
      </c>
      <c r="AF671" s="1">
        <v>164</v>
      </c>
    </row>
    <row r="672" spans="1:32">
      <c r="A672" s="58">
        <v>37442</v>
      </c>
      <c r="B672" s="1">
        <v>11295</v>
      </c>
      <c r="C672" s="1">
        <v>9064</v>
      </c>
      <c r="D672" s="21">
        <f t="shared" si="22"/>
        <v>-8.5320498796762189E-3</v>
      </c>
      <c r="E672" s="1">
        <v>9064</v>
      </c>
      <c r="F672" s="1">
        <v>0</v>
      </c>
      <c r="H672" s="1">
        <v>2231</v>
      </c>
      <c r="I672" s="21">
        <f t="shared" si="21"/>
        <v>-4.2489270386266091E-2</v>
      </c>
      <c r="J672" s="1">
        <v>886</v>
      </c>
      <c r="K672" s="1">
        <v>582</v>
      </c>
      <c r="L672" s="1">
        <v>270</v>
      </c>
      <c r="O672" s="1">
        <v>312</v>
      </c>
      <c r="T672" s="1">
        <v>304</v>
      </c>
      <c r="Z672" s="1">
        <v>102</v>
      </c>
      <c r="AA672" s="1">
        <v>195</v>
      </c>
      <c r="AC672" s="1">
        <v>116</v>
      </c>
      <c r="AF672" s="1">
        <v>164</v>
      </c>
    </row>
    <row r="673" spans="1:32">
      <c r="A673" s="58">
        <v>37449</v>
      </c>
      <c r="B673" s="1">
        <v>11323</v>
      </c>
      <c r="C673" s="1">
        <v>9050</v>
      </c>
      <c r="D673" s="21">
        <f t="shared" si="22"/>
        <v>-1.5445719329214476E-3</v>
      </c>
      <c r="E673" s="1">
        <v>9050</v>
      </c>
      <c r="F673" s="1">
        <v>0</v>
      </c>
      <c r="H673" s="1">
        <v>2273</v>
      </c>
      <c r="I673" s="21">
        <f t="shared" si="21"/>
        <v>1.8825638727028238E-2</v>
      </c>
      <c r="J673" s="1">
        <v>862</v>
      </c>
      <c r="K673" s="1">
        <v>560</v>
      </c>
      <c r="L673" s="1">
        <v>256</v>
      </c>
      <c r="O673" s="1">
        <v>305</v>
      </c>
      <c r="T673" s="1">
        <v>302</v>
      </c>
      <c r="Z673" s="1">
        <v>93</v>
      </c>
      <c r="AA673" s="1">
        <v>227</v>
      </c>
      <c r="AC673" s="1">
        <v>129</v>
      </c>
      <c r="AF673" s="1">
        <v>186</v>
      </c>
    </row>
    <row r="674" spans="1:32">
      <c r="A674" s="58">
        <v>37456</v>
      </c>
      <c r="B674" s="1">
        <v>11202</v>
      </c>
      <c r="C674" s="1">
        <v>9099</v>
      </c>
      <c r="D674" s="21">
        <f t="shared" si="22"/>
        <v>5.4143646408839775E-3</v>
      </c>
      <c r="E674" s="1">
        <v>9099</v>
      </c>
      <c r="F674" s="1">
        <v>0</v>
      </c>
      <c r="H674" s="1">
        <v>2103</v>
      </c>
      <c r="I674" s="21">
        <f t="shared" si="21"/>
        <v>-7.4791025076990758E-2</v>
      </c>
      <c r="J674" s="1">
        <v>849</v>
      </c>
      <c r="K674" s="1">
        <v>578</v>
      </c>
      <c r="L674" s="1">
        <v>251</v>
      </c>
      <c r="O674" s="1">
        <v>327</v>
      </c>
      <c r="T674" s="1">
        <v>271</v>
      </c>
      <c r="Z674" s="1">
        <v>80</v>
      </c>
      <c r="AA674" s="1">
        <v>210</v>
      </c>
      <c r="AC674" s="1">
        <v>123</v>
      </c>
      <c r="AF674" s="1">
        <v>163</v>
      </c>
    </row>
    <row r="675" spans="1:32">
      <c r="A675" s="58">
        <v>37463</v>
      </c>
      <c r="B675" s="1">
        <v>11032</v>
      </c>
      <c r="C675" s="1">
        <v>8994</v>
      </c>
      <c r="D675" s="21">
        <f t="shared" si="22"/>
        <v>-1.1539729640619849E-2</v>
      </c>
      <c r="E675" s="1">
        <v>8994</v>
      </c>
      <c r="F675" s="1">
        <v>0</v>
      </c>
      <c r="H675" s="1">
        <v>2038</v>
      </c>
      <c r="I675" s="21">
        <f t="shared" si="21"/>
        <v>-3.0908226343319068E-2</v>
      </c>
      <c r="J675" s="1">
        <v>808</v>
      </c>
      <c r="K675" s="1">
        <v>502</v>
      </c>
      <c r="L675" s="1">
        <v>248</v>
      </c>
      <c r="O675" s="1">
        <v>255</v>
      </c>
      <c r="T675" s="1">
        <v>306</v>
      </c>
      <c r="Z675" s="1">
        <v>80</v>
      </c>
      <c r="AA675" s="1">
        <v>214</v>
      </c>
      <c r="AC675" s="1">
        <v>112</v>
      </c>
      <c r="AF675" s="1">
        <v>191</v>
      </c>
    </row>
    <row r="676" spans="1:32">
      <c r="A676" s="58">
        <v>37470</v>
      </c>
      <c r="B676" s="1">
        <v>11265</v>
      </c>
      <c r="C676" s="1">
        <v>9061</v>
      </c>
      <c r="D676" s="21">
        <f t="shared" si="22"/>
        <v>7.4494107182566157E-3</v>
      </c>
      <c r="E676" s="1">
        <v>9061</v>
      </c>
      <c r="F676" s="1">
        <v>0</v>
      </c>
      <c r="H676" s="1">
        <v>2205</v>
      </c>
      <c r="I676" s="21">
        <f t="shared" si="21"/>
        <v>8.1943081452404323E-2</v>
      </c>
      <c r="J676" s="1">
        <v>906</v>
      </c>
      <c r="K676" s="1">
        <v>545</v>
      </c>
      <c r="L676" s="1">
        <v>248</v>
      </c>
      <c r="O676" s="1">
        <v>298</v>
      </c>
      <c r="T676" s="1">
        <v>361</v>
      </c>
      <c r="Z676" s="1">
        <v>79</v>
      </c>
      <c r="AA676" s="1">
        <v>209</v>
      </c>
      <c r="AC676" s="1">
        <v>105</v>
      </c>
      <c r="AF676" s="1">
        <v>196</v>
      </c>
    </row>
    <row r="677" spans="1:32">
      <c r="A677" s="58">
        <v>37477</v>
      </c>
      <c r="B677" s="1">
        <v>11216</v>
      </c>
      <c r="C677" s="1">
        <v>9068</v>
      </c>
      <c r="D677" s="21">
        <f t="shared" si="22"/>
        <v>7.7254166206820437E-4</v>
      </c>
      <c r="E677" s="1">
        <v>9068</v>
      </c>
      <c r="F677" s="1">
        <v>0</v>
      </c>
      <c r="H677" s="1">
        <v>2148</v>
      </c>
      <c r="I677" s="21">
        <f t="shared" si="21"/>
        <v>-2.5850340136054421E-2</v>
      </c>
      <c r="J677" s="1">
        <v>900</v>
      </c>
      <c r="K677" s="1">
        <v>538</v>
      </c>
      <c r="L677" s="1">
        <v>243</v>
      </c>
      <c r="O677" s="1">
        <v>295</v>
      </c>
      <c r="T677" s="1">
        <v>362</v>
      </c>
      <c r="Z677" s="1">
        <v>88</v>
      </c>
      <c r="AA677" s="1">
        <v>204</v>
      </c>
      <c r="AC677" s="1">
        <v>111</v>
      </c>
      <c r="AF677" s="1">
        <v>157</v>
      </c>
    </row>
    <row r="678" spans="1:32">
      <c r="A678" s="58">
        <v>37484</v>
      </c>
      <c r="B678" s="1">
        <v>11265</v>
      </c>
      <c r="C678" s="1">
        <v>9111</v>
      </c>
      <c r="D678" s="21">
        <f t="shared" si="22"/>
        <v>4.7419497132774593E-3</v>
      </c>
      <c r="E678" s="1">
        <v>9111</v>
      </c>
      <c r="F678" s="1">
        <v>0</v>
      </c>
      <c r="H678" s="1">
        <v>2154</v>
      </c>
      <c r="I678" s="21">
        <f t="shared" si="21"/>
        <v>2.7932960893854749E-3</v>
      </c>
      <c r="J678" s="1">
        <v>869</v>
      </c>
      <c r="K678" s="1">
        <v>488</v>
      </c>
      <c r="L678" s="1">
        <v>207</v>
      </c>
      <c r="O678" s="1">
        <v>282</v>
      </c>
      <c r="T678" s="1">
        <v>380</v>
      </c>
      <c r="Z678" s="1">
        <v>82</v>
      </c>
      <c r="AA678" s="1">
        <v>188</v>
      </c>
      <c r="AC678" s="1">
        <v>101</v>
      </c>
      <c r="AF678" s="1">
        <v>118</v>
      </c>
    </row>
    <row r="679" spans="1:32">
      <c r="A679" s="58">
        <v>37491</v>
      </c>
      <c r="B679" s="1">
        <v>11359</v>
      </c>
      <c r="C679" s="1">
        <v>9119</v>
      </c>
      <c r="D679" s="21">
        <f t="shared" si="22"/>
        <v>8.7805948853034795E-4</v>
      </c>
      <c r="E679" s="1">
        <v>9119</v>
      </c>
      <c r="F679" s="1">
        <v>0</v>
      </c>
      <c r="H679" s="1">
        <v>2240</v>
      </c>
      <c r="I679" s="21">
        <f t="shared" si="21"/>
        <v>3.9925719591457756E-2</v>
      </c>
      <c r="J679" s="1">
        <v>899</v>
      </c>
      <c r="K679" s="1">
        <v>533</v>
      </c>
      <c r="L679" s="1">
        <v>254</v>
      </c>
      <c r="O679" s="1">
        <v>279</v>
      </c>
      <c r="T679" s="1">
        <v>366</v>
      </c>
      <c r="Z679" s="1">
        <v>97</v>
      </c>
      <c r="AA679" s="1">
        <v>194</v>
      </c>
      <c r="AC679" s="1">
        <v>119</v>
      </c>
      <c r="AF679" s="1">
        <v>140</v>
      </c>
    </row>
    <row r="680" spans="1:32">
      <c r="A680" s="58">
        <v>37498</v>
      </c>
      <c r="B680" s="1">
        <v>11423</v>
      </c>
      <c r="C680" s="1">
        <v>9256</v>
      </c>
      <c r="D680" s="21">
        <f t="shared" si="22"/>
        <v>1.5023577146616954E-2</v>
      </c>
      <c r="E680" s="1">
        <v>9256</v>
      </c>
      <c r="F680" s="1">
        <v>0</v>
      </c>
      <c r="H680" s="1">
        <v>2167</v>
      </c>
      <c r="I680" s="21">
        <f t="shared" si="21"/>
        <v>-3.2589285714285716E-2</v>
      </c>
      <c r="J680" s="1">
        <v>842</v>
      </c>
      <c r="K680" s="1">
        <v>528</v>
      </c>
      <c r="L680" s="1">
        <v>275</v>
      </c>
      <c r="O680" s="1">
        <v>253</v>
      </c>
      <c r="T680" s="1">
        <v>314</v>
      </c>
      <c r="Z680" s="1">
        <v>95</v>
      </c>
      <c r="AA680" s="1">
        <v>183</v>
      </c>
      <c r="AC680" s="1">
        <v>111</v>
      </c>
      <c r="AF680" s="1">
        <v>184</v>
      </c>
    </row>
    <row r="681" spans="1:32">
      <c r="A681" s="58">
        <v>37505</v>
      </c>
      <c r="B681" s="1">
        <v>11372</v>
      </c>
      <c r="C681" s="1">
        <v>9043</v>
      </c>
      <c r="D681" s="21">
        <f t="shared" si="22"/>
        <v>-2.301210025929127E-2</v>
      </c>
      <c r="E681" s="1">
        <v>9043</v>
      </c>
      <c r="F681" s="1">
        <v>0</v>
      </c>
      <c r="H681" s="1">
        <v>2329</v>
      </c>
      <c r="I681" s="21">
        <f t="shared" si="21"/>
        <v>7.4757729580064602E-2</v>
      </c>
      <c r="J681" s="1">
        <v>915</v>
      </c>
      <c r="K681" s="1">
        <v>589</v>
      </c>
      <c r="L681" s="1">
        <v>299</v>
      </c>
      <c r="O681" s="1">
        <v>290</v>
      </c>
      <c r="T681" s="1">
        <v>326</v>
      </c>
      <c r="Z681" s="1">
        <v>100</v>
      </c>
      <c r="AA681" s="1">
        <v>209</v>
      </c>
      <c r="AC681" s="1">
        <v>97</v>
      </c>
      <c r="AF681" s="1">
        <v>260</v>
      </c>
    </row>
    <row r="682" spans="1:32">
      <c r="A682" s="58">
        <v>37512</v>
      </c>
      <c r="B682" s="1">
        <v>11160</v>
      </c>
      <c r="C682" s="1">
        <v>8859</v>
      </c>
      <c r="D682" s="21">
        <f t="shared" si="22"/>
        <v>-2.0347229901581335E-2</v>
      </c>
      <c r="E682" s="1">
        <v>8859</v>
      </c>
      <c r="F682" s="1">
        <v>0</v>
      </c>
      <c r="H682" s="1">
        <v>2300</v>
      </c>
      <c r="I682" s="21">
        <f t="shared" si="21"/>
        <v>-1.24516960068699E-2</v>
      </c>
      <c r="J682" s="1">
        <v>845</v>
      </c>
      <c r="K682" s="1">
        <v>541</v>
      </c>
      <c r="L682" s="1">
        <v>259</v>
      </c>
      <c r="O682" s="1">
        <v>282</v>
      </c>
      <c r="T682" s="1">
        <v>304</v>
      </c>
      <c r="Z682" s="1">
        <v>116</v>
      </c>
      <c r="AA682" s="1">
        <v>205</v>
      </c>
      <c r="AC682" s="1">
        <v>98</v>
      </c>
      <c r="AF682" s="1">
        <v>339</v>
      </c>
    </row>
    <row r="683" spans="1:32">
      <c r="A683" s="58">
        <v>37519</v>
      </c>
      <c r="B683" s="1">
        <v>10973</v>
      </c>
      <c r="C683" s="1">
        <v>8798</v>
      </c>
      <c r="D683" s="21">
        <f t="shared" si="22"/>
        <v>-6.8856530082402074E-3</v>
      </c>
      <c r="E683" s="1">
        <v>8798</v>
      </c>
      <c r="F683" s="1">
        <v>0</v>
      </c>
      <c r="H683" s="1">
        <v>2175</v>
      </c>
      <c r="I683" s="21">
        <f t="shared" si="21"/>
        <v>-5.434782608695652E-2</v>
      </c>
      <c r="J683" s="1">
        <v>796</v>
      </c>
      <c r="K683" s="1">
        <v>482</v>
      </c>
      <c r="L683" s="1">
        <v>226</v>
      </c>
      <c r="O683" s="1">
        <v>256</v>
      </c>
      <c r="T683" s="1">
        <v>314</v>
      </c>
      <c r="Z683" s="1">
        <v>116</v>
      </c>
      <c r="AA683" s="1">
        <v>184</v>
      </c>
      <c r="AC683" s="1">
        <v>73</v>
      </c>
      <c r="AF683" s="1">
        <v>313</v>
      </c>
    </row>
    <row r="684" spans="1:32">
      <c r="A684" s="58">
        <v>37526</v>
      </c>
      <c r="B684" s="1">
        <v>10816</v>
      </c>
      <c r="C684" s="1">
        <v>8617</v>
      </c>
      <c r="D684" s="21">
        <f t="shared" si="22"/>
        <v>-2.0572857467606273E-2</v>
      </c>
      <c r="E684" s="1">
        <v>8617</v>
      </c>
      <c r="F684" s="1">
        <v>0</v>
      </c>
      <c r="H684" s="1">
        <v>2200</v>
      </c>
      <c r="I684" s="21">
        <f t="shared" si="21"/>
        <v>1.1494252873563218E-2</v>
      </c>
      <c r="J684" s="1">
        <v>813</v>
      </c>
      <c r="K684" s="1">
        <v>480</v>
      </c>
      <c r="L684" s="1">
        <v>216</v>
      </c>
      <c r="O684" s="1">
        <v>264</v>
      </c>
      <c r="T684" s="1">
        <v>334</v>
      </c>
      <c r="Z684" s="1">
        <v>123</v>
      </c>
      <c r="AA684" s="1">
        <v>178</v>
      </c>
      <c r="AC684" s="1">
        <v>75</v>
      </c>
      <c r="AF684" s="1">
        <v>263</v>
      </c>
    </row>
    <row r="685" spans="1:32">
      <c r="A685" s="58">
        <v>37533</v>
      </c>
      <c r="B685" s="1">
        <v>10806</v>
      </c>
      <c r="C685" s="1">
        <v>8580</v>
      </c>
      <c r="D685" s="21">
        <f t="shared" si="22"/>
        <v>-4.293837762562377E-3</v>
      </c>
      <c r="E685" s="1">
        <v>8580</v>
      </c>
      <c r="F685" s="1">
        <v>0</v>
      </c>
      <c r="H685" s="1">
        <v>2226</v>
      </c>
      <c r="I685" s="21">
        <f t="shared" si="21"/>
        <v>1.1818181818181818E-2</v>
      </c>
      <c r="J685" s="1">
        <v>827</v>
      </c>
      <c r="K685" s="1">
        <v>464</v>
      </c>
      <c r="L685" s="1">
        <v>217</v>
      </c>
      <c r="O685" s="1">
        <v>247</v>
      </c>
      <c r="T685" s="1">
        <v>363</v>
      </c>
      <c r="Z685" s="1">
        <v>125</v>
      </c>
      <c r="AA685" s="1">
        <v>209</v>
      </c>
      <c r="AC685" s="1">
        <v>105</v>
      </c>
      <c r="AF685" s="1">
        <v>237</v>
      </c>
    </row>
    <row r="686" spans="1:32">
      <c r="A686" s="58">
        <v>37540</v>
      </c>
      <c r="B686" s="1">
        <v>10969</v>
      </c>
      <c r="C686" s="1">
        <v>8789</v>
      </c>
      <c r="D686" s="21">
        <f t="shared" si="22"/>
        <v>2.4358974358974359E-2</v>
      </c>
      <c r="E686" s="1">
        <v>8789</v>
      </c>
      <c r="F686" s="1">
        <v>0</v>
      </c>
      <c r="H686" s="1">
        <v>2180</v>
      </c>
      <c r="I686" s="21">
        <f t="shared" si="21"/>
        <v>-2.0664869721473494E-2</v>
      </c>
      <c r="J686" s="1">
        <v>802</v>
      </c>
      <c r="K686" s="1">
        <v>463</v>
      </c>
      <c r="L686" s="1">
        <v>237</v>
      </c>
      <c r="O686" s="1">
        <v>225</v>
      </c>
      <c r="T686" s="1">
        <v>340</v>
      </c>
      <c r="Z686" s="1">
        <v>138</v>
      </c>
      <c r="AA686" s="1">
        <v>213</v>
      </c>
      <c r="AC686" s="1">
        <v>103</v>
      </c>
      <c r="AF686" s="1">
        <v>209</v>
      </c>
    </row>
    <row r="687" spans="1:32">
      <c r="A687" s="58">
        <v>37547</v>
      </c>
      <c r="B687" s="1">
        <v>11204</v>
      </c>
      <c r="C687" s="1">
        <v>9049</v>
      </c>
      <c r="D687" s="21">
        <f t="shared" si="22"/>
        <v>2.9582432586187278E-2</v>
      </c>
      <c r="E687" s="1">
        <v>9049</v>
      </c>
      <c r="F687" s="1">
        <v>0</v>
      </c>
      <c r="H687" s="1">
        <v>2156</v>
      </c>
      <c r="I687" s="21">
        <f t="shared" si="21"/>
        <v>-1.1009174311926606E-2</v>
      </c>
      <c r="J687" s="1">
        <v>753</v>
      </c>
      <c r="K687" s="1">
        <v>427</v>
      </c>
      <c r="L687" s="1">
        <v>205</v>
      </c>
      <c r="O687" s="1">
        <v>222</v>
      </c>
      <c r="T687" s="1">
        <v>326</v>
      </c>
      <c r="Z687" s="1">
        <v>136</v>
      </c>
      <c r="AA687" s="1">
        <v>276</v>
      </c>
      <c r="AC687" s="1">
        <v>133</v>
      </c>
      <c r="AF687" s="1">
        <v>185</v>
      </c>
    </row>
    <row r="688" spans="1:32">
      <c r="A688" s="58">
        <v>37554</v>
      </c>
      <c r="B688" s="1">
        <v>11384</v>
      </c>
      <c r="C688" s="1">
        <v>9175</v>
      </c>
      <c r="D688" s="21">
        <f t="shared" si="22"/>
        <v>1.3924190518289314E-2</v>
      </c>
      <c r="E688" s="1">
        <v>9175</v>
      </c>
      <c r="F688" s="1">
        <v>0</v>
      </c>
      <c r="H688" s="1">
        <v>2209</v>
      </c>
      <c r="I688" s="21">
        <f t="shared" si="21"/>
        <v>2.4582560296846009E-2</v>
      </c>
      <c r="J688" s="1">
        <v>739</v>
      </c>
      <c r="K688" s="1">
        <v>415</v>
      </c>
      <c r="L688" s="1">
        <v>195</v>
      </c>
      <c r="O688" s="1">
        <v>221</v>
      </c>
      <c r="T688" s="1">
        <v>324</v>
      </c>
      <c r="Z688" s="1">
        <v>176</v>
      </c>
      <c r="AA688" s="1">
        <v>328</v>
      </c>
      <c r="AC688" s="1">
        <v>167</v>
      </c>
      <c r="AF688" s="1">
        <v>181</v>
      </c>
    </row>
    <row r="689" spans="1:32">
      <c r="A689" s="58">
        <v>37561</v>
      </c>
      <c r="B689" s="1">
        <v>11627</v>
      </c>
      <c r="C689" s="1">
        <v>9402</v>
      </c>
      <c r="D689" s="21">
        <f t="shared" si="22"/>
        <v>2.4741144414168938E-2</v>
      </c>
      <c r="E689" s="1">
        <v>9402</v>
      </c>
      <c r="F689" s="1">
        <v>0</v>
      </c>
      <c r="H689" s="1">
        <v>2225</v>
      </c>
      <c r="I689" s="21">
        <f t="shared" si="21"/>
        <v>7.2430964237211407E-3</v>
      </c>
      <c r="J689" s="1">
        <v>757</v>
      </c>
      <c r="K689" s="1">
        <v>463</v>
      </c>
      <c r="L689" s="1">
        <v>211</v>
      </c>
      <c r="O689" s="1">
        <v>252</v>
      </c>
      <c r="T689" s="1">
        <v>294</v>
      </c>
      <c r="Z689" s="1">
        <v>185</v>
      </c>
      <c r="AA689" s="1">
        <v>301</v>
      </c>
      <c r="AC689" s="1">
        <v>145</v>
      </c>
      <c r="AF689" s="1">
        <v>223</v>
      </c>
    </row>
    <row r="690" spans="1:32">
      <c r="A690" s="58">
        <v>37568</v>
      </c>
      <c r="B690" s="1">
        <v>11664</v>
      </c>
      <c r="C690" s="1">
        <v>9321</v>
      </c>
      <c r="D690" s="21">
        <f t="shared" si="22"/>
        <v>-8.6151882578174854E-3</v>
      </c>
      <c r="E690" s="1">
        <v>9321</v>
      </c>
      <c r="F690" s="1">
        <v>0</v>
      </c>
      <c r="H690" s="1">
        <v>2343</v>
      </c>
      <c r="I690" s="21">
        <f t="shared" si="21"/>
        <v>5.303370786516854E-2</v>
      </c>
      <c r="J690" s="1">
        <v>843</v>
      </c>
      <c r="K690" s="1">
        <v>527</v>
      </c>
      <c r="L690" s="1">
        <v>229</v>
      </c>
      <c r="O690" s="1">
        <v>298</v>
      </c>
      <c r="T690" s="1">
        <v>316</v>
      </c>
      <c r="Z690" s="1">
        <v>170</v>
      </c>
      <c r="AA690" s="1">
        <v>346</v>
      </c>
      <c r="AC690" s="1">
        <v>170</v>
      </c>
      <c r="AF690" s="1">
        <v>195</v>
      </c>
    </row>
    <row r="691" spans="1:32">
      <c r="A691" s="58">
        <v>37575</v>
      </c>
      <c r="B691" s="1">
        <v>11684</v>
      </c>
      <c r="C691" s="1">
        <v>9363</v>
      </c>
      <c r="D691" s="21">
        <f t="shared" si="22"/>
        <v>4.5059542967492757E-3</v>
      </c>
      <c r="E691" s="1">
        <v>9345</v>
      </c>
      <c r="F691" s="1">
        <v>18</v>
      </c>
      <c r="H691" s="1">
        <v>2321</v>
      </c>
      <c r="I691" s="21">
        <f t="shared" si="21"/>
        <v>-9.3896713615023476E-3</v>
      </c>
      <c r="J691" s="1">
        <v>879</v>
      </c>
      <c r="K691" s="1">
        <v>556</v>
      </c>
      <c r="L691" s="1">
        <v>242</v>
      </c>
      <c r="O691" s="1">
        <v>314</v>
      </c>
      <c r="T691" s="1">
        <v>324</v>
      </c>
      <c r="Z691" s="1">
        <v>161</v>
      </c>
      <c r="AA691" s="1">
        <v>313</v>
      </c>
      <c r="AC691" s="1">
        <v>146</v>
      </c>
      <c r="AF691" s="1">
        <v>203</v>
      </c>
    </row>
    <row r="692" spans="1:32">
      <c r="A692" s="58">
        <v>37582</v>
      </c>
      <c r="B692" s="1">
        <v>11781</v>
      </c>
      <c r="C692" s="1">
        <v>9348</v>
      </c>
      <c r="D692" s="21">
        <f t="shared" si="22"/>
        <v>-1.6020506247997437E-3</v>
      </c>
      <c r="E692" s="1">
        <v>9330</v>
      </c>
      <c r="F692" s="1">
        <v>18</v>
      </c>
      <c r="H692" s="1">
        <v>2433</v>
      </c>
      <c r="I692" s="21">
        <f t="shared" si="21"/>
        <v>4.8255062473071951E-2</v>
      </c>
      <c r="J692" s="1">
        <v>908</v>
      </c>
      <c r="K692" s="1">
        <v>609</v>
      </c>
      <c r="L692" s="1">
        <v>286</v>
      </c>
      <c r="O692" s="1">
        <v>323</v>
      </c>
      <c r="T692" s="1">
        <v>299</v>
      </c>
      <c r="Z692" s="1">
        <v>126</v>
      </c>
      <c r="AA692" s="1">
        <v>343</v>
      </c>
      <c r="AC692" s="1">
        <v>143</v>
      </c>
      <c r="AF692" s="1">
        <v>315</v>
      </c>
    </row>
    <row r="693" spans="1:32">
      <c r="A693" s="58">
        <v>37589</v>
      </c>
      <c r="B693" s="1">
        <v>11865</v>
      </c>
      <c r="C693" s="1">
        <v>9449</v>
      </c>
      <c r="D693" s="21">
        <f t="shared" si="22"/>
        <v>1.0804450149764656E-2</v>
      </c>
      <c r="E693" s="1">
        <v>9431</v>
      </c>
      <c r="F693" s="1">
        <v>18</v>
      </c>
      <c r="H693" s="1">
        <v>2416</v>
      </c>
      <c r="I693" s="21">
        <f t="shared" si="21"/>
        <v>-6.9872585285655573E-3</v>
      </c>
      <c r="J693" s="1">
        <v>830</v>
      </c>
      <c r="K693" s="1">
        <v>521</v>
      </c>
      <c r="L693" s="1">
        <v>240</v>
      </c>
      <c r="O693" s="1">
        <v>281</v>
      </c>
      <c r="T693" s="1">
        <v>309</v>
      </c>
      <c r="Z693" s="1">
        <v>132</v>
      </c>
      <c r="AA693" s="1">
        <v>336</v>
      </c>
      <c r="AC693" s="1">
        <v>142</v>
      </c>
      <c r="AF693" s="1">
        <v>283</v>
      </c>
    </row>
    <row r="694" spans="1:32">
      <c r="A694" s="58">
        <v>37596</v>
      </c>
      <c r="B694" s="1">
        <v>12071</v>
      </c>
      <c r="C694" s="1">
        <v>9625</v>
      </c>
      <c r="D694" s="21">
        <f t="shared" si="22"/>
        <v>1.8626309662398137E-2</v>
      </c>
      <c r="E694" s="1">
        <v>9570</v>
      </c>
      <c r="F694" s="1">
        <v>56</v>
      </c>
      <c r="H694" s="1">
        <v>2446</v>
      </c>
      <c r="I694" s="21">
        <f t="shared" si="21"/>
        <v>1.2417218543046357E-2</v>
      </c>
      <c r="J694" s="1">
        <v>804</v>
      </c>
      <c r="K694" s="1">
        <v>495</v>
      </c>
      <c r="L694" s="1">
        <v>249</v>
      </c>
      <c r="O694" s="1">
        <v>246</v>
      </c>
      <c r="T694" s="1">
        <v>309</v>
      </c>
      <c r="Z694" s="1">
        <v>158</v>
      </c>
      <c r="AA694" s="1">
        <v>361</v>
      </c>
      <c r="AC694" s="1">
        <v>119</v>
      </c>
      <c r="AF694" s="1">
        <v>282</v>
      </c>
    </row>
    <row r="695" spans="1:32">
      <c r="A695" s="58">
        <v>37603</v>
      </c>
      <c r="B695" s="1">
        <v>12029</v>
      </c>
      <c r="C695" s="1">
        <v>9439</v>
      </c>
      <c r="D695" s="21">
        <f t="shared" si="22"/>
        <v>-1.9324675324675324E-2</v>
      </c>
      <c r="E695" s="1">
        <v>9382</v>
      </c>
      <c r="F695" s="1">
        <v>57</v>
      </c>
      <c r="H695" s="1">
        <v>2591</v>
      </c>
      <c r="I695" s="21">
        <f t="shared" si="21"/>
        <v>5.9280457890433361E-2</v>
      </c>
      <c r="J695" s="1">
        <v>820</v>
      </c>
      <c r="K695" s="1">
        <v>474</v>
      </c>
      <c r="L695" s="1">
        <v>242</v>
      </c>
      <c r="O695" s="1">
        <v>231</v>
      </c>
      <c r="T695" s="1">
        <v>346</v>
      </c>
      <c r="Z695" s="1">
        <v>154</v>
      </c>
      <c r="AA695" s="1">
        <v>465</v>
      </c>
      <c r="AC695" s="1">
        <v>132</v>
      </c>
      <c r="AF695" s="1">
        <v>257</v>
      </c>
    </row>
    <row r="696" spans="1:32">
      <c r="A696" s="58">
        <v>37610</v>
      </c>
      <c r="B696" s="1">
        <v>11960</v>
      </c>
      <c r="C696" s="1">
        <v>9486</v>
      </c>
      <c r="D696" s="21">
        <f t="shared" si="22"/>
        <v>4.9793410318889715E-3</v>
      </c>
      <c r="E696" s="1">
        <v>9429</v>
      </c>
      <c r="F696" s="1">
        <v>57</v>
      </c>
      <c r="H696" s="1">
        <v>2474</v>
      </c>
      <c r="I696" s="21">
        <f t="shared" si="21"/>
        <v>-4.5156310304901581E-2</v>
      </c>
      <c r="J696" s="1">
        <v>857</v>
      </c>
      <c r="K696" s="1">
        <v>502</v>
      </c>
      <c r="L696" s="1">
        <v>269</v>
      </c>
      <c r="O696" s="1">
        <v>233</v>
      </c>
      <c r="T696" s="1">
        <v>355</v>
      </c>
      <c r="Z696" s="1">
        <v>146</v>
      </c>
      <c r="AA696" s="1">
        <v>461</v>
      </c>
      <c r="AC696" s="1">
        <v>121</v>
      </c>
      <c r="AF696" s="1">
        <v>191</v>
      </c>
    </row>
    <row r="697" spans="1:32">
      <c r="A697" s="58">
        <v>37617</v>
      </c>
      <c r="B697" s="1">
        <v>11378</v>
      </c>
      <c r="C697" s="1">
        <v>9018</v>
      </c>
      <c r="D697" s="21">
        <f t="shared" si="22"/>
        <v>-4.9335863377609111E-2</v>
      </c>
      <c r="E697" s="1">
        <v>8961</v>
      </c>
      <c r="F697" s="1">
        <v>57</v>
      </c>
      <c r="H697" s="1">
        <v>2360</v>
      </c>
      <c r="I697" s="21">
        <f t="shared" si="21"/>
        <v>-4.6079223928860144E-2</v>
      </c>
      <c r="J697" s="1">
        <v>809</v>
      </c>
      <c r="K697" s="1">
        <v>459</v>
      </c>
      <c r="L697" s="1">
        <v>258</v>
      </c>
      <c r="O697" s="1">
        <v>202</v>
      </c>
      <c r="T697" s="1">
        <v>350</v>
      </c>
      <c r="Z697" s="1">
        <v>112</v>
      </c>
      <c r="AA697" s="1">
        <v>508</v>
      </c>
      <c r="AC697" s="1">
        <v>123</v>
      </c>
      <c r="AF697" s="1">
        <v>168</v>
      </c>
    </row>
    <row r="698" spans="1:32">
      <c r="A698" s="58">
        <v>37624</v>
      </c>
      <c r="B698" s="1">
        <v>10948</v>
      </c>
      <c r="C698" s="1">
        <v>8620</v>
      </c>
      <c r="D698" s="21">
        <f t="shared" si="22"/>
        <v>-4.4133954313595035E-2</v>
      </c>
      <c r="E698" s="1">
        <v>8601</v>
      </c>
      <c r="F698" s="1">
        <v>19</v>
      </c>
      <c r="H698" s="1">
        <v>2329</v>
      </c>
      <c r="I698" s="21">
        <f t="shared" si="21"/>
        <v>-1.3135593220338982E-2</v>
      </c>
      <c r="J698" s="1">
        <v>792</v>
      </c>
      <c r="K698" s="1">
        <v>487</v>
      </c>
      <c r="L698" s="1">
        <v>233</v>
      </c>
      <c r="O698" s="1">
        <v>253</v>
      </c>
      <c r="T698" s="1">
        <v>306</v>
      </c>
      <c r="Z698" s="1">
        <v>113</v>
      </c>
      <c r="AA698" s="1">
        <v>505</v>
      </c>
      <c r="AC698" s="1">
        <v>124</v>
      </c>
      <c r="AF698" s="1">
        <v>205</v>
      </c>
    </row>
    <row r="699" spans="1:32">
      <c r="A699" s="58">
        <v>37631</v>
      </c>
      <c r="B699" s="1">
        <v>10767</v>
      </c>
      <c r="C699" s="1">
        <v>8389</v>
      </c>
      <c r="D699" s="21">
        <f t="shared" si="22"/>
        <v>-2.6798143851508121E-2</v>
      </c>
      <c r="E699" s="1">
        <v>8389</v>
      </c>
      <c r="F699" s="1">
        <v>0</v>
      </c>
      <c r="H699" s="1">
        <v>2378</v>
      </c>
      <c r="I699" s="21">
        <f t="shared" si="21"/>
        <v>2.1039072563331901E-2</v>
      </c>
      <c r="J699" s="1">
        <v>784</v>
      </c>
      <c r="K699" s="1">
        <v>547</v>
      </c>
      <c r="L699" s="1">
        <v>232</v>
      </c>
      <c r="O699" s="1">
        <v>315</v>
      </c>
      <c r="T699" s="1">
        <v>237</v>
      </c>
      <c r="Z699" s="1">
        <v>115</v>
      </c>
      <c r="AA699" s="1">
        <v>437</v>
      </c>
      <c r="AC699" s="1">
        <v>117</v>
      </c>
      <c r="AF699" s="1">
        <v>240</v>
      </c>
    </row>
    <row r="700" spans="1:32">
      <c r="A700" s="58">
        <v>37638</v>
      </c>
      <c r="B700" s="1">
        <v>10589</v>
      </c>
      <c r="C700" s="1">
        <v>8289</v>
      </c>
      <c r="D700" s="21">
        <f t="shared" si="22"/>
        <v>-1.1920371915603767E-2</v>
      </c>
      <c r="E700" s="1">
        <v>8289</v>
      </c>
      <c r="F700" s="1">
        <v>0</v>
      </c>
      <c r="H700" s="1">
        <v>2300</v>
      </c>
      <c r="I700" s="21">
        <f t="shared" si="21"/>
        <v>-3.2800672834314551E-2</v>
      </c>
      <c r="J700" s="1">
        <v>729</v>
      </c>
      <c r="K700" s="1">
        <v>480</v>
      </c>
      <c r="L700" s="1">
        <v>163</v>
      </c>
      <c r="O700" s="1">
        <v>317</v>
      </c>
      <c r="T700" s="1">
        <v>249</v>
      </c>
      <c r="Z700" s="1">
        <v>154</v>
      </c>
      <c r="AA700" s="1">
        <v>383</v>
      </c>
      <c r="AC700" s="1">
        <v>95</v>
      </c>
      <c r="AF700" s="1">
        <v>243</v>
      </c>
    </row>
    <row r="701" spans="1:32">
      <c r="A701" s="58">
        <v>37645</v>
      </c>
      <c r="B701" s="1">
        <v>10930</v>
      </c>
      <c r="C701" s="1">
        <v>8550</v>
      </c>
      <c r="D701" s="21">
        <f t="shared" si="22"/>
        <v>3.1487513572204126E-2</v>
      </c>
      <c r="E701" s="1">
        <v>8550</v>
      </c>
      <c r="F701" s="1">
        <v>0</v>
      </c>
      <c r="H701" s="1">
        <v>2379</v>
      </c>
      <c r="I701" s="21">
        <f t="shared" si="21"/>
        <v>3.4347826086956523E-2</v>
      </c>
      <c r="J701" s="1">
        <v>737</v>
      </c>
      <c r="K701" s="1">
        <v>519</v>
      </c>
      <c r="L701" s="1">
        <v>189</v>
      </c>
      <c r="O701" s="1">
        <v>330</v>
      </c>
      <c r="T701" s="1">
        <v>219</v>
      </c>
      <c r="Z701" s="1">
        <v>152</v>
      </c>
      <c r="AA701" s="1">
        <v>377</v>
      </c>
      <c r="AC701" s="1">
        <v>83</v>
      </c>
      <c r="AF701" s="1">
        <v>281</v>
      </c>
    </row>
    <row r="702" spans="1:32">
      <c r="A702" s="58">
        <v>37652</v>
      </c>
      <c r="B702" s="1">
        <v>10900</v>
      </c>
      <c r="C702" s="1">
        <v>8573</v>
      </c>
      <c r="D702" s="21">
        <f t="shared" si="22"/>
        <v>2.6900584795321639E-3</v>
      </c>
      <c r="E702" s="1">
        <v>8573</v>
      </c>
      <c r="F702" s="1">
        <v>0</v>
      </c>
      <c r="H702" s="1">
        <v>2327</v>
      </c>
      <c r="I702" s="21">
        <f t="shared" si="21"/>
        <v>-2.185792349726776E-2</v>
      </c>
      <c r="J702" s="1">
        <v>730</v>
      </c>
      <c r="K702" s="1">
        <v>471</v>
      </c>
      <c r="L702" s="1">
        <v>208</v>
      </c>
      <c r="O702" s="1">
        <v>264</v>
      </c>
      <c r="T702" s="1">
        <v>259</v>
      </c>
      <c r="Z702" s="1">
        <v>131</v>
      </c>
      <c r="AA702" s="1">
        <v>345</v>
      </c>
      <c r="AC702" s="1">
        <v>80</v>
      </c>
      <c r="AF702" s="1">
        <v>249</v>
      </c>
    </row>
    <row r="703" spans="1:32">
      <c r="A703" s="58">
        <v>37659</v>
      </c>
      <c r="B703" s="1">
        <v>10570</v>
      </c>
      <c r="C703" s="1">
        <v>8250</v>
      </c>
      <c r="D703" s="21">
        <f t="shared" si="22"/>
        <v>-3.7676425988568761E-2</v>
      </c>
      <c r="E703" s="1">
        <v>8250</v>
      </c>
      <c r="F703" s="1">
        <v>0</v>
      </c>
      <c r="H703" s="1">
        <v>2320</v>
      </c>
      <c r="I703" s="21">
        <f t="shared" si="21"/>
        <v>-3.0081650193382035E-3</v>
      </c>
      <c r="J703" s="1">
        <v>756</v>
      </c>
      <c r="K703" s="1">
        <v>469</v>
      </c>
      <c r="L703" s="1">
        <v>212</v>
      </c>
      <c r="O703" s="1">
        <v>257</v>
      </c>
      <c r="T703" s="1">
        <v>287</v>
      </c>
      <c r="Z703" s="1">
        <v>123</v>
      </c>
      <c r="AA703" s="1">
        <v>366</v>
      </c>
      <c r="AC703" s="1">
        <v>100</v>
      </c>
      <c r="AF703" s="1">
        <v>240</v>
      </c>
    </row>
    <row r="704" spans="1:32">
      <c r="A704" s="58">
        <v>37666</v>
      </c>
      <c r="B704" s="1">
        <v>10619</v>
      </c>
      <c r="C704" s="1">
        <v>8254</v>
      </c>
      <c r="D704" s="21">
        <f t="shared" si="22"/>
        <v>4.8484848484848484E-4</v>
      </c>
      <c r="E704" s="1">
        <v>8254</v>
      </c>
      <c r="F704" s="1">
        <v>0</v>
      </c>
      <c r="H704" s="1">
        <v>2365</v>
      </c>
      <c r="I704" s="21">
        <f t="shared" si="21"/>
        <v>1.9396551724137932E-2</v>
      </c>
      <c r="J704" s="1">
        <v>736</v>
      </c>
      <c r="K704" s="1">
        <v>450</v>
      </c>
      <c r="L704" s="1">
        <v>221</v>
      </c>
      <c r="O704" s="1">
        <v>229</v>
      </c>
      <c r="T704" s="1">
        <v>286</v>
      </c>
      <c r="Z704" s="1">
        <v>79</v>
      </c>
      <c r="AA704" s="1">
        <v>459</v>
      </c>
      <c r="AC704" s="1">
        <v>104</v>
      </c>
      <c r="AF704" s="1">
        <v>238</v>
      </c>
    </row>
    <row r="705" spans="1:32">
      <c r="A705" s="58">
        <v>37673</v>
      </c>
      <c r="B705" s="1">
        <v>10467</v>
      </c>
      <c r="C705" s="1">
        <v>8166</v>
      </c>
      <c r="D705" s="21">
        <f t="shared" si="22"/>
        <v>-1.0661497455779016E-2</v>
      </c>
      <c r="E705" s="1">
        <v>8166</v>
      </c>
      <c r="F705" s="1">
        <v>0</v>
      </c>
      <c r="H705" s="1">
        <v>2301</v>
      </c>
      <c r="I705" s="21">
        <f t="shared" si="21"/>
        <v>-2.7061310782241013E-2</v>
      </c>
      <c r="J705" s="1">
        <v>734</v>
      </c>
      <c r="K705" s="1">
        <v>433</v>
      </c>
      <c r="L705" s="1">
        <v>184</v>
      </c>
      <c r="O705" s="1">
        <v>250</v>
      </c>
      <c r="T705" s="1">
        <v>301</v>
      </c>
      <c r="Z705" s="1">
        <v>88</v>
      </c>
      <c r="AA705" s="1">
        <v>434</v>
      </c>
      <c r="AC705" s="1">
        <v>100</v>
      </c>
      <c r="AF705" s="1">
        <v>250</v>
      </c>
    </row>
    <row r="706" spans="1:32">
      <c r="A706" s="58">
        <v>37680</v>
      </c>
      <c r="B706" s="1">
        <v>10742</v>
      </c>
      <c r="C706" s="1">
        <v>8241</v>
      </c>
      <c r="D706" s="21">
        <f t="shared" si="22"/>
        <v>9.184423218221896E-3</v>
      </c>
      <c r="E706" s="1">
        <v>8241</v>
      </c>
      <c r="F706" s="1">
        <v>0</v>
      </c>
      <c r="H706" s="1">
        <v>2501</v>
      </c>
      <c r="I706" s="21">
        <f t="shared" si="21"/>
        <v>8.6918730986527595E-2</v>
      </c>
      <c r="J706" s="1">
        <v>726</v>
      </c>
      <c r="K706" s="1">
        <v>457</v>
      </c>
      <c r="L706" s="1">
        <v>183</v>
      </c>
      <c r="O706" s="1">
        <v>274</v>
      </c>
      <c r="T706" s="1">
        <v>269</v>
      </c>
      <c r="Z706" s="1">
        <v>87</v>
      </c>
      <c r="AA706" s="1">
        <v>525</v>
      </c>
      <c r="AC706" s="1">
        <v>99</v>
      </c>
      <c r="AF706" s="1">
        <v>303</v>
      </c>
    </row>
    <row r="707" spans="1:32">
      <c r="A707" s="58">
        <v>37687</v>
      </c>
      <c r="B707" s="1">
        <v>10758</v>
      </c>
      <c r="C707" s="1">
        <v>8347</v>
      </c>
      <c r="D707" s="21">
        <f t="shared" si="22"/>
        <v>1.2862516684868342E-2</v>
      </c>
      <c r="E707" s="1">
        <v>8347</v>
      </c>
      <c r="F707" s="1">
        <v>0</v>
      </c>
      <c r="H707" s="1">
        <v>2411</v>
      </c>
      <c r="I707" s="21">
        <f t="shared" si="21"/>
        <v>-3.5985605757696923E-2</v>
      </c>
      <c r="J707" s="1">
        <v>703</v>
      </c>
      <c r="K707" s="1">
        <v>445</v>
      </c>
      <c r="L707" s="1">
        <v>189</v>
      </c>
      <c r="O707" s="1">
        <v>256</v>
      </c>
      <c r="T707" s="1">
        <v>258</v>
      </c>
      <c r="Z707" s="1">
        <v>83</v>
      </c>
      <c r="AA707" s="1">
        <v>551</v>
      </c>
      <c r="AC707" s="1">
        <v>110</v>
      </c>
      <c r="AF707" s="1">
        <v>283</v>
      </c>
    </row>
    <row r="708" spans="1:32">
      <c r="A708" s="58">
        <v>37694</v>
      </c>
      <c r="B708" s="1">
        <v>10901</v>
      </c>
      <c r="C708" s="1">
        <v>8330</v>
      </c>
      <c r="D708" s="21">
        <f t="shared" si="22"/>
        <v>-2.0366598778004071E-3</v>
      </c>
      <c r="E708" s="1">
        <v>8330</v>
      </c>
      <c r="F708" s="1">
        <v>0</v>
      </c>
      <c r="H708" s="1">
        <v>2572</v>
      </c>
      <c r="I708" s="21">
        <f t="shared" si="21"/>
        <v>6.6777270841974282E-2</v>
      </c>
      <c r="J708" s="1">
        <v>769</v>
      </c>
      <c r="K708" s="1">
        <v>495</v>
      </c>
      <c r="L708" s="1">
        <v>178</v>
      </c>
      <c r="O708" s="1">
        <v>317</v>
      </c>
      <c r="T708" s="1">
        <v>275</v>
      </c>
      <c r="Z708" s="1">
        <v>112</v>
      </c>
      <c r="AA708" s="1">
        <v>522</v>
      </c>
      <c r="AC708" s="1">
        <v>116</v>
      </c>
      <c r="AF708" s="1">
        <v>330</v>
      </c>
    </row>
    <row r="709" spans="1:32">
      <c r="A709" s="58">
        <v>37701</v>
      </c>
      <c r="B709" s="1">
        <v>11517</v>
      </c>
      <c r="C709" s="1">
        <v>8662</v>
      </c>
      <c r="D709" s="21">
        <f t="shared" si="22"/>
        <v>3.9855942376950781E-2</v>
      </c>
      <c r="E709" s="1">
        <v>8662</v>
      </c>
      <c r="F709" s="1">
        <v>0</v>
      </c>
      <c r="H709" s="1">
        <v>2855</v>
      </c>
      <c r="I709" s="21">
        <f t="shared" si="21"/>
        <v>0.11003110419906688</v>
      </c>
      <c r="J709" s="1">
        <v>863</v>
      </c>
      <c r="K709" s="1">
        <v>553</v>
      </c>
      <c r="L709" s="1">
        <v>224</v>
      </c>
      <c r="O709" s="1">
        <v>329</v>
      </c>
      <c r="T709" s="1">
        <v>311</v>
      </c>
      <c r="Z709" s="1">
        <v>114</v>
      </c>
      <c r="AA709" s="1">
        <v>550</v>
      </c>
      <c r="AC709" s="1">
        <v>115</v>
      </c>
      <c r="AF709" s="1">
        <v>360</v>
      </c>
    </row>
    <row r="710" spans="1:32">
      <c r="A710" s="58">
        <v>37708</v>
      </c>
      <c r="B710" s="1">
        <v>11809</v>
      </c>
      <c r="C710" s="1">
        <v>9083</v>
      </c>
      <c r="D710" s="21">
        <f t="shared" si="22"/>
        <v>4.8603093973678131E-2</v>
      </c>
      <c r="E710" s="1">
        <v>9083</v>
      </c>
      <c r="F710" s="1">
        <v>0</v>
      </c>
      <c r="H710" s="1">
        <v>2727</v>
      </c>
      <c r="I710" s="21">
        <f t="shared" si="21"/>
        <v>-4.4833625218914187E-2</v>
      </c>
      <c r="J710" s="1">
        <v>914</v>
      </c>
      <c r="K710" s="1">
        <v>544</v>
      </c>
      <c r="L710" s="1">
        <v>207</v>
      </c>
      <c r="O710" s="1">
        <v>337</v>
      </c>
      <c r="T710" s="1">
        <v>371</v>
      </c>
      <c r="Z710" s="1">
        <v>96</v>
      </c>
      <c r="AA710" s="1">
        <v>484</v>
      </c>
      <c r="AC710" s="1">
        <v>126</v>
      </c>
      <c r="AF710" s="1">
        <v>358</v>
      </c>
    </row>
    <row r="711" spans="1:32">
      <c r="A711" s="58">
        <v>37715</v>
      </c>
      <c r="B711" s="1">
        <v>12213</v>
      </c>
      <c r="C711" s="1">
        <v>9407</v>
      </c>
      <c r="D711" s="21">
        <f t="shared" si="22"/>
        <v>3.5671033799405484E-2</v>
      </c>
      <c r="E711" s="1">
        <v>9407</v>
      </c>
      <c r="F711" s="1">
        <v>0</v>
      </c>
      <c r="H711" s="1">
        <v>2807</v>
      </c>
      <c r="I711" s="21">
        <f t="shared" si="21"/>
        <v>2.9336266960029337E-2</v>
      </c>
      <c r="J711" s="1">
        <v>1002</v>
      </c>
      <c r="K711" s="1">
        <v>556</v>
      </c>
      <c r="L711" s="1">
        <v>227</v>
      </c>
      <c r="O711" s="1">
        <v>329</v>
      </c>
      <c r="T711" s="1">
        <v>446</v>
      </c>
      <c r="Z711" s="1">
        <v>104</v>
      </c>
      <c r="AA711" s="1">
        <v>402</v>
      </c>
      <c r="AC711" s="1">
        <v>100</v>
      </c>
      <c r="AF711" s="1">
        <v>415</v>
      </c>
    </row>
    <row r="712" spans="1:32">
      <c r="A712" s="58">
        <v>37722</v>
      </c>
      <c r="B712" s="1">
        <v>12265</v>
      </c>
      <c r="C712" s="1">
        <v>9585</v>
      </c>
      <c r="D712" s="21">
        <f t="shared" si="22"/>
        <v>1.8922079302646964E-2</v>
      </c>
      <c r="E712" s="1">
        <v>9585</v>
      </c>
      <c r="F712" s="1">
        <v>0</v>
      </c>
      <c r="H712" s="1">
        <v>2680</v>
      </c>
      <c r="I712" s="21">
        <f t="shared" si="21"/>
        <v>-4.5244032775204848E-2</v>
      </c>
      <c r="J712" s="1">
        <v>997</v>
      </c>
      <c r="K712" s="1">
        <v>554</v>
      </c>
      <c r="L712" s="1">
        <v>228</v>
      </c>
      <c r="O712" s="1">
        <v>326</v>
      </c>
      <c r="T712" s="1">
        <v>442</v>
      </c>
      <c r="Z712" s="1">
        <v>81</v>
      </c>
      <c r="AA712" s="1">
        <v>320</v>
      </c>
      <c r="AC712" s="1">
        <v>87</v>
      </c>
      <c r="AF712" s="1">
        <v>362</v>
      </c>
    </row>
    <row r="713" spans="1:32">
      <c r="A713" s="58">
        <v>37729</v>
      </c>
      <c r="B713" s="1">
        <v>12229</v>
      </c>
      <c r="C713" s="1">
        <v>9824</v>
      </c>
      <c r="D713" s="21">
        <f t="shared" si="22"/>
        <v>2.4934793948878455E-2</v>
      </c>
      <c r="E713" s="1">
        <v>9824</v>
      </c>
      <c r="F713" s="1">
        <v>0</v>
      </c>
      <c r="H713" s="1">
        <v>2405</v>
      </c>
      <c r="I713" s="21">
        <f t="shared" si="21"/>
        <v>-0.10261194029850747</v>
      </c>
      <c r="J713" s="1">
        <v>1005</v>
      </c>
      <c r="K713" s="1">
        <v>591</v>
      </c>
      <c r="L713" s="1">
        <v>234</v>
      </c>
      <c r="O713" s="1">
        <v>357</v>
      </c>
      <c r="T713" s="1">
        <v>415</v>
      </c>
      <c r="Z713" s="1">
        <v>76</v>
      </c>
      <c r="AA713" s="1">
        <v>249</v>
      </c>
      <c r="AC713" s="1">
        <v>87</v>
      </c>
      <c r="AF713" s="1">
        <v>267</v>
      </c>
    </row>
    <row r="714" spans="1:32">
      <c r="A714" s="58">
        <v>37736</v>
      </c>
      <c r="B714" s="1">
        <v>12084</v>
      </c>
      <c r="C714" s="1">
        <v>9651</v>
      </c>
      <c r="D714" s="21">
        <f t="shared" si="22"/>
        <v>-1.7609934853420196E-2</v>
      </c>
      <c r="E714" s="1">
        <v>9651</v>
      </c>
      <c r="F714" s="1">
        <v>0</v>
      </c>
      <c r="H714" s="1">
        <v>2432</v>
      </c>
      <c r="I714" s="21">
        <f t="shared" si="21"/>
        <v>1.1226611226611227E-2</v>
      </c>
      <c r="J714" s="1">
        <v>1063</v>
      </c>
      <c r="K714" s="1">
        <v>632</v>
      </c>
      <c r="L714" s="1">
        <v>251</v>
      </c>
      <c r="O714" s="1">
        <v>381</v>
      </c>
      <c r="T714" s="1">
        <v>431</v>
      </c>
      <c r="Z714" s="1">
        <v>93</v>
      </c>
      <c r="AA714" s="1">
        <v>191</v>
      </c>
      <c r="AC714" s="1">
        <v>73</v>
      </c>
      <c r="AF714" s="1">
        <v>249</v>
      </c>
    </row>
    <row r="715" spans="1:32">
      <c r="A715" s="58">
        <v>37743</v>
      </c>
      <c r="B715" s="1">
        <v>12364</v>
      </c>
      <c r="C715" s="1">
        <v>9886</v>
      </c>
      <c r="D715" s="21">
        <f t="shared" si="22"/>
        <v>2.4349808310019688E-2</v>
      </c>
      <c r="E715" s="1">
        <v>9886</v>
      </c>
      <c r="F715" s="1">
        <v>0</v>
      </c>
      <c r="H715" s="1">
        <v>2478</v>
      </c>
      <c r="I715" s="21">
        <f t="shared" si="21"/>
        <v>1.8914473684210526E-2</v>
      </c>
      <c r="J715" s="1">
        <v>1055</v>
      </c>
      <c r="K715" s="1">
        <v>626</v>
      </c>
      <c r="L715" s="1">
        <v>216</v>
      </c>
      <c r="O715" s="1">
        <v>410</v>
      </c>
      <c r="T715" s="1">
        <v>430</v>
      </c>
      <c r="Z715" s="1">
        <v>104</v>
      </c>
      <c r="AA715" s="1">
        <v>205</v>
      </c>
      <c r="AC715" s="1">
        <v>87</v>
      </c>
      <c r="AF715" s="1">
        <v>242</v>
      </c>
    </row>
    <row r="716" spans="1:32">
      <c r="A716" s="58">
        <v>37750</v>
      </c>
      <c r="B716" s="1">
        <v>12270</v>
      </c>
      <c r="C716" s="1">
        <v>9868</v>
      </c>
      <c r="D716" s="21">
        <f t="shared" si="22"/>
        <v>-1.820756625531054E-3</v>
      </c>
      <c r="E716" s="1">
        <v>9868</v>
      </c>
      <c r="F716" s="1">
        <v>0</v>
      </c>
      <c r="H716" s="1">
        <v>2402</v>
      </c>
      <c r="I716" s="21">
        <f t="shared" si="21"/>
        <v>-3.0669895076674739E-2</v>
      </c>
      <c r="J716" s="1">
        <v>996</v>
      </c>
      <c r="K716" s="1">
        <v>626</v>
      </c>
      <c r="L716" s="1">
        <v>232</v>
      </c>
      <c r="O716" s="1">
        <v>394</v>
      </c>
      <c r="T716" s="1">
        <v>370</v>
      </c>
      <c r="Z716" s="1">
        <v>116</v>
      </c>
      <c r="AA716" s="1">
        <v>245</v>
      </c>
      <c r="AC716" s="1">
        <v>88</v>
      </c>
      <c r="AF716" s="1">
        <v>217</v>
      </c>
    </row>
    <row r="717" spans="1:32">
      <c r="A717" s="58">
        <v>37757</v>
      </c>
      <c r="B717" s="1">
        <v>12269</v>
      </c>
      <c r="C717" s="1">
        <v>9733</v>
      </c>
      <c r="D717" s="21">
        <f t="shared" si="22"/>
        <v>-1.3680583704904742E-2</v>
      </c>
      <c r="E717" s="1">
        <v>9733</v>
      </c>
      <c r="F717" s="1">
        <v>0</v>
      </c>
      <c r="H717" s="1">
        <v>2536</v>
      </c>
      <c r="I717" s="21">
        <f t="shared" si="21"/>
        <v>5.5786844296419648E-2</v>
      </c>
      <c r="J717" s="1">
        <v>1047</v>
      </c>
      <c r="K717" s="1">
        <v>612</v>
      </c>
      <c r="L717" s="1">
        <v>249</v>
      </c>
      <c r="O717" s="1">
        <v>363</v>
      </c>
      <c r="T717" s="1">
        <v>436</v>
      </c>
      <c r="Z717" s="1">
        <v>130</v>
      </c>
      <c r="AA717" s="1">
        <v>254</v>
      </c>
      <c r="AC717" s="1">
        <v>103</v>
      </c>
      <c r="AF717" s="1">
        <v>235</v>
      </c>
    </row>
    <row r="718" spans="1:32">
      <c r="A718" s="58">
        <v>37764</v>
      </c>
      <c r="B718" s="1">
        <v>12404</v>
      </c>
      <c r="C718" s="1">
        <v>9826</v>
      </c>
      <c r="D718" s="21">
        <f t="shared" si="22"/>
        <v>9.5551217507448879E-3</v>
      </c>
      <c r="E718" s="1">
        <v>9826</v>
      </c>
      <c r="F718" s="1">
        <v>0</v>
      </c>
      <c r="H718" s="1">
        <v>2578</v>
      </c>
      <c r="I718" s="21">
        <f t="shared" si="21"/>
        <v>1.6561514195583597E-2</v>
      </c>
      <c r="J718" s="1">
        <v>1000</v>
      </c>
      <c r="K718" s="1">
        <v>587</v>
      </c>
      <c r="L718" s="1">
        <v>241</v>
      </c>
      <c r="O718" s="1">
        <v>346</v>
      </c>
      <c r="T718" s="1">
        <v>414</v>
      </c>
      <c r="Z718" s="1">
        <v>129</v>
      </c>
      <c r="AA718" s="1">
        <v>271</v>
      </c>
      <c r="AC718" s="1">
        <v>122</v>
      </c>
      <c r="AF718" s="1">
        <v>239</v>
      </c>
    </row>
    <row r="719" spans="1:32">
      <c r="A719" s="58">
        <v>37771</v>
      </c>
      <c r="B719" s="1">
        <v>12529</v>
      </c>
      <c r="C719" s="1">
        <v>9992</v>
      </c>
      <c r="D719" s="21">
        <f t="shared" si="22"/>
        <v>1.6893954813759413E-2</v>
      </c>
      <c r="E719" s="1">
        <v>9992</v>
      </c>
      <c r="F719" s="1">
        <v>0</v>
      </c>
      <c r="H719" s="1">
        <v>2537</v>
      </c>
      <c r="I719" s="21">
        <f t="shared" si="21"/>
        <v>-1.5903801396431341E-2</v>
      </c>
      <c r="J719" s="1">
        <v>913</v>
      </c>
      <c r="K719" s="1">
        <v>541</v>
      </c>
      <c r="L719" s="1">
        <v>260</v>
      </c>
      <c r="O719" s="1">
        <v>281</v>
      </c>
      <c r="T719" s="1">
        <v>372</v>
      </c>
      <c r="Z719" s="1">
        <v>125</v>
      </c>
      <c r="AA719" s="1">
        <v>264</v>
      </c>
      <c r="AC719" s="1">
        <v>117</v>
      </c>
      <c r="AF719" s="1">
        <v>294</v>
      </c>
    </row>
    <row r="720" spans="1:32">
      <c r="A720" s="58">
        <v>37778</v>
      </c>
      <c r="B720" s="1">
        <v>12832</v>
      </c>
      <c r="C720" s="1">
        <v>10130</v>
      </c>
      <c r="D720" s="21">
        <f t="shared" si="22"/>
        <v>1.3811048839071256E-2</v>
      </c>
      <c r="E720" s="1">
        <v>10130</v>
      </c>
      <c r="F720" s="1">
        <v>0</v>
      </c>
      <c r="H720" s="1">
        <v>2702</v>
      </c>
      <c r="I720" s="21">
        <f t="shared" si="21"/>
        <v>6.5037445802128502E-2</v>
      </c>
      <c r="J720" s="1">
        <v>934</v>
      </c>
      <c r="K720" s="1">
        <v>525</v>
      </c>
      <c r="L720" s="1">
        <v>261</v>
      </c>
      <c r="O720" s="1">
        <v>264</v>
      </c>
      <c r="T720" s="1">
        <v>408</v>
      </c>
      <c r="Z720" s="1">
        <v>137</v>
      </c>
      <c r="AA720" s="1">
        <v>267</v>
      </c>
      <c r="AC720" s="1">
        <v>136</v>
      </c>
      <c r="AF720" s="1">
        <v>343</v>
      </c>
    </row>
    <row r="721" spans="1:32">
      <c r="A721" s="58">
        <v>37785</v>
      </c>
      <c r="B721" s="1">
        <v>12900</v>
      </c>
      <c r="C721" s="1">
        <v>10187</v>
      </c>
      <c r="D721" s="21">
        <f t="shared" si="22"/>
        <v>5.6268509378084898E-3</v>
      </c>
      <c r="E721" s="1">
        <v>10187</v>
      </c>
      <c r="F721" s="1">
        <v>0</v>
      </c>
      <c r="H721" s="1">
        <v>2713</v>
      </c>
      <c r="I721" s="21">
        <f t="shared" si="21"/>
        <v>4.0710584752035525E-3</v>
      </c>
      <c r="J721" s="1">
        <v>838</v>
      </c>
      <c r="K721" s="1">
        <v>492</v>
      </c>
      <c r="L721" s="1">
        <v>252</v>
      </c>
      <c r="O721" s="1">
        <v>240</v>
      </c>
      <c r="T721" s="1">
        <v>346</v>
      </c>
      <c r="Z721" s="1">
        <v>111</v>
      </c>
      <c r="AA721" s="1">
        <v>334</v>
      </c>
      <c r="AC721" s="1">
        <v>121</v>
      </c>
      <c r="AF721" s="1">
        <v>396</v>
      </c>
    </row>
    <row r="722" spans="1:32">
      <c r="A722" s="58">
        <v>37792</v>
      </c>
      <c r="B722" s="1">
        <v>12774</v>
      </c>
      <c r="C722" s="1">
        <v>10010</v>
      </c>
      <c r="D722" s="21">
        <f t="shared" si="22"/>
        <v>-1.73750858937862E-2</v>
      </c>
      <c r="E722" s="1">
        <v>10010</v>
      </c>
      <c r="F722" s="1">
        <v>0</v>
      </c>
      <c r="H722" s="1">
        <v>2765</v>
      </c>
      <c r="I722" s="21">
        <f t="shared" si="21"/>
        <v>1.9166973829708809E-2</v>
      </c>
      <c r="J722" s="1">
        <v>825</v>
      </c>
      <c r="K722" s="1">
        <v>479</v>
      </c>
      <c r="L722" s="1">
        <v>253</v>
      </c>
      <c r="O722" s="1">
        <v>226</v>
      </c>
      <c r="T722" s="1">
        <v>346</v>
      </c>
      <c r="Z722" s="1">
        <v>119</v>
      </c>
      <c r="AA722" s="1">
        <v>366</v>
      </c>
      <c r="AC722" s="1">
        <v>107</v>
      </c>
      <c r="AF722" s="1">
        <v>391</v>
      </c>
    </row>
    <row r="723" spans="1:32">
      <c r="A723" s="58">
        <v>37799</v>
      </c>
      <c r="B723" s="1">
        <v>12569</v>
      </c>
      <c r="C723" s="1">
        <v>9746</v>
      </c>
      <c r="D723" s="21">
        <f t="shared" si="22"/>
        <v>-2.6373626373626374E-2</v>
      </c>
      <c r="E723" s="1">
        <v>9746</v>
      </c>
      <c r="F723" s="1">
        <v>0</v>
      </c>
      <c r="H723" s="1">
        <v>2823</v>
      </c>
      <c r="I723" s="21">
        <f t="shared" si="21"/>
        <v>2.0976491862567812E-2</v>
      </c>
      <c r="J723" s="1">
        <v>903</v>
      </c>
      <c r="K723" s="1">
        <v>508</v>
      </c>
      <c r="L723" s="1">
        <v>263</v>
      </c>
      <c r="O723" s="1">
        <v>245</v>
      </c>
      <c r="T723" s="1">
        <v>395</v>
      </c>
      <c r="Z723" s="1">
        <v>141</v>
      </c>
      <c r="AA723" s="1">
        <v>345</v>
      </c>
      <c r="AC723" s="1">
        <v>89</v>
      </c>
      <c r="AF723" s="1">
        <v>337</v>
      </c>
    </row>
    <row r="724" spans="1:32">
      <c r="A724" s="58">
        <v>37806</v>
      </c>
      <c r="B724" s="1">
        <v>12468</v>
      </c>
      <c r="C724" s="1">
        <v>9675</v>
      </c>
      <c r="D724" s="21">
        <f t="shared" si="22"/>
        <v>-7.2850400164169915E-3</v>
      </c>
      <c r="E724" s="1">
        <v>9675</v>
      </c>
      <c r="F724" s="1">
        <v>0</v>
      </c>
      <c r="H724" s="1">
        <v>2793</v>
      </c>
      <c r="I724" s="21">
        <f t="shared" si="21"/>
        <v>-1.0626992561105207E-2</v>
      </c>
      <c r="J724" s="1">
        <v>980</v>
      </c>
      <c r="K724" s="1">
        <v>504</v>
      </c>
      <c r="L724" s="1">
        <v>249</v>
      </c>
      <c r="O724" s="1">
        <v>255</v>
      </c>
      <c r="T724" s="1">
        <v>476</v>
      </c>
      <c r="Z724" s="1">
        <v>143</v>
      </c>
      <c r="AA724" s="1">
        <v>341</v>
      </c>
      <c r="AC724" s="1">
        <v>94</v>
      </c>
      <c r="AF724" s="1">
        <v>318</v>
      </c>
    </row>
    <row r="725" spans="1:32">
      <c r="A725" s="58">
        <v>37813</v>
      </c>
      <c r="B725" s="1">
        <v>12279</v>
      </c>
      <c r="C725" s="1">
        <v>9532</v>
      </c>
      <c r="D725" s="21">
        <f t="shared" si="22"/>
        <v>-1.4780361757105943E-2</v>
      </c>
      <c r="E725" s="1">
        <v>9532</v>
      </c>
      <c r="F725" s="1">
        <v>0</v>
      </c>
      <c r="H725" s="1">
        <v>2747</v>
      </c>
      <c r="I725" s="21">
        <f t="shared" si="21"/>
        <v>-1.6469745793054064E-2</v>
      </c>
      <c r="J725" s="1">
        <v>1003</v>
      </c>
      <c r="K725" s="1">
        <v>491</v>
      </c>
      <c r="L725" s="1">
        <v>221</v>
      </c>
      <c r="O725" s="1">
        <v>270</v>
      </c>
      <c r="T725" s="1">
        <v>511</v>
      </c>
      <c r="Z725" s="1">
        <v>172</v>
      </c>
      <c r="AA725" s="1">
        <v>272</v>
      </c>
      <c r="AC725" s="1">
        <v>116</v>
      </c>
      <c r="AF725" s="1">
        <v>274</v>
      </c>
    </row>
    <row r="726" spans="1:32">
      <c r="A726" s="58">
        <v>37820</v>
      </c>
      <c r="B726" s="1">
        <v>12228</v>
      </c>
      <c r="C726" s="1">
        <v>9560</v>
      </c>
      <c r="D726" s="21">
        <f t="shared" si="22"/>
        <v>2.9374737725556023E-3</v>
      </c>
      <c r="E726" s="1">
        <v>9560</v>
      </c>
      <c r="F726" s="1">
        <v>0</v>
      </c>
      <c r="H726" s="1">
        <v>2668</v>
      </c>
      <c r="I726" s="21">
        <f t="shared" si="21"/>
        <v>-2.8758645795413179E-2</v>
      </c>
      <c r="J726" s="1">
        <v>969</v>
      </c>
      <c r="K726" s="1">
        <v>493</v>
      </c>
      <c r="L726" s="1">
        <v>238</v>
      </c>
      <c r="O726" s="1">
        <v>255</v>
      </c>
      <c r="T726" s="1">
        <v>477</v>
      </c>
      <c r="Z726" s="1">
        <v>183</v>
      </c>
      <c r="AA726" s="1">
        <v>249</v>
      </c>
      <c r="AC726" s="1">
        <v>136</v>
      </c>
      <c r="AF726" s="1">
        <v>259</v>
      </c>
    </row>
    <row r="727" spans="1:32">
      <c r="A727" s="58">
        <v>37827</v>
      </c>
      <c r="B727" s="1">
        <v>12392</v>
      </c>
      <c r="C727" s="1">
        <v>9714</v>
      </c>
      <c r="D727" s="21">
        <f t="shared" si="22"/>
        <v>1.610878661087866E-2</v>
      </c>
      <c r="E727" s="1">
        <v>9714</v>
      </c>
      <c r="F727" s="1">
        <v>0</v>
      </c>
      <c r="H727" s="1">
        <v>2678</v>
      </c>
      <c r="I727" s="21">
        <f t="shared" si="21"/>
        <v>3.7481259370314842E-3</v>
      </c>
      <c r="J727" s="1">
        <v>947</v>
      </c>
      <c r="K727" s="1">
        <v>541</v>
      </c>
      <c r="L727" s="1">
        <v>242</v>
      </c>
      <c r="O727" s="1">
        <v>299</v>
      </c>
      <c r="T727" s="1">
        <v>407</v>
      </c>
      <c r="Z727" s="1">
        <v>176</v>
      </c>
      <c r="AA727" s="1">
        <v>245</v>
      </c>
      <c r="AC727" s="1">
        <v>147</v>
      </c>
      <c r="AF727" s="1">
        <v>271</v>
      </c>
    </row>
    <row r="728" spans="1:32">
      <c r="A728" s="58">
        <v>37834</v>
      </c>
      <c r="B728" s="1">
        <v>12585</v>
      </c>
      <c r="C728" s="1">
        <v>9888</v>
      </c>
      <c r="D728" s="21">
        <f t="shared" si="22"/>
        <v>1.7912291537986413E-2</v>
      </c>
      <c r="E728" s="1">
        <v>9888</v>
      </c>
      <c r="F728" s="1">
        <v>0</v>
      </c>
      <c r="H728" s="1">
        <v>2697</v>
      </c>
      <c r="I728" s="21">
        <f t="shared" si="21"/>
        <v>7.0948469006721438E-3</v>
      </c>
      <c r="J728" s="1">
        <v>896</v>
      </c>
      <c r="K728" s="1">
        <v>531</v>
      </c>
      <c r="L728" s="1">
        <v>240</v>
      </c>
      <c r="O728" s="1">
        <v>291</v>
      </c>
      <c r="T728" s="1">
        <v>365</v>
      </c>
      <c r="Z728" s="1">
        <v>172</v>
      </c>
      <c r="AA728" s="1">
        <v>291</v>
      </c>
      <c r="AC728" s="1">
        <v>176</v>
      </c>
      <c r="AF728" s="1">
        <v>291</v>
      </c>
    </row>
    <row r="729" spans="1:32">
      <c r="A729" s="58">
        <v>37841</v>
      </c>
      <c r="B729" s="1">
        <v>12538</v>
      </c>
      <c r="C729" s="1">
        <v>9947</v>
      </c>
      <c r="D729" s="21">
        <f t="shared" si="22"/>
        <v>5.9668284789644015E-3</v>
      </c>
      <c r="E729" s="1">
        <v>9947</v>
      </c>
      <c r="F729" s="1">
        <v>0</v>
      </c>
      <c r="H729" s="1">
        <v>2590</v>
      </c>
      <c r="I729" s="21">
        <f t="shared" si="21"/>
        <v>-3.9673711531331111E-2</v>
      </c>
      <c r="J729" s="1">
        <v>807</v>
      </c>
      <c r="K729" s="1">
        <v>506</v>
      </c>
      <c r="L729" s="1">
        <v>241</v>
      </c>
      <c r="O729" s="1">
        <v>265</v>
      </c>
      <c r="T729" s="1">
        <v>301</v>
      </c>
      <c r="Z729" s="1">
        <v>184</v>
      </c>
      <c r="AA729" s="1">
        <v>298</v>
      </c>
      <c r="AC729" s="1">
        <v>168</v>
      </c>
      <c r="AF729" s="1">
        <v>306</v>
      </c>
    </row>
    <row r="730" spans="1:32">
      <c r="A730" s="58">
        <v>37848</v>
      </c>
      <c r="B730" s="1">
        <v>12740</v>
      </c>
      <c r="C730" s="1">
        <v>10054</v>
      </c>
      <c r="D730" s="21">
        <f t="shared" si="22"/>
        <v>1.07570121644717E-2</v>
      </c>
      <c r="E730" s="1">
        <v>10054</v>
      </c>
      <c r="F730" s="1">
        <v>0</v>
      </c>
      <c r="H730" s="1">
        <v>2686</v>
      </c>
      <c r="I730" s="21">
        <f t="shared" ref="I730:I793" si="23">(H730-H729)/H729</f>
        <v>3.7065637065637064E-2</v>
      </c>
      <c r="J730" s="1">
        <v>849</v>
      </c>
      <c r="K730" s="1">
        <v>539</v>
      </c>
      <c r="L730" s="1">
        <v>229</v>
      </c>
      <c r="O730" s="1">
        <v>310</v>
      </c>
      <c r="T730" s="1">
        <v>311</v>
      </c>
      <c r="Z730" s="1">
        <v>169</v>
      </c>
      <c r="AA730" s="1">
        <v>322</v>
      </c>
      <c r="AC730" s="1">
        <v>174</v>
      </c>
      <c r="AF730" s="1">
        <v>329</v>
      </c>
    </row>
    <row r="731" spans="1:32">
      <c r="A731" s="58">
        <v>37855</v>
      </c>
      <c r="B731" s="1">
        <v>12678</v>
      </c>
      <c r="C731" s="1">
        <v>10095</v>
      </c>
      <c r="D731" s="21">
        <f t="shared" si="22"/>
        <v>4.077978913865128E-3</v>
      </c>
      <c r="E731" s="1">
        <v>10095</v>
      </c>
      <c r="F731" s="1">
        <v>0</v>
      </c>
      <c r="H731" s="1">
        <v>2583</v>
      </c>
      <c r="I731" s="21">
        <f t="shared" si="23"/>
        <v>-3.8346984363365602E-2</v>
      </c>
      <c r="J731" s="1">
        <v>807</v>
      </c>
      <c r="K731" s="1">
        <v>501</v>
      </c>
      <c r="L731" s="1">
        <v>203</v>
      </c>
      <c r="O731" s="1">
        <v>298</v>
      </c>
      <c r="T731" s="1">
        <v>306</v>
      </c>
      <c r="Z731" s="1">
        <v>140</v>
      </c>
      <c r="AA731" s="1">
        <v>335</v>
      </c>
      <c r="AC731" s="1">
        <v>177</v>
      </c>
      <c r="AF731" s="1">
        <v>336</v>
      </c>
    </row>
    <row r="732" spans="1:32">
      <c r="A732" s="58">
        <v>37862</v>
      </c>
      <c r="B732" s="1">
        <v>12729</v>
      </c>
      <c r="C732" s="1">
        <v>10053</v>
      </c>
      <c r="D732" s="21">
        <f t="shared" si="22"/>
        <v>-4.1604754829123328E-3</v>
      </c>
      <c r="E732" s="1">
        <v>10053</v>
      </c>
      <c r="F732" s="1">
        <v>0</v>
      </c>
      <c r="H732" s="1">
        <v>2676</v>
      </c>
      <c r="I732" s="21">
        <f t="shared" si="23"/>
        <v>3.6004645760743324E-2</v>
      </c>
      <c r="J732" s="1">
        <v>866</v>
      </c>
      <c r="K732" s="1">
        <v>550</v>
      </c>
      <c r="L732" s="1">
        <v>221</v>
      </c>
      <c r="O732" s="1">
        <v>329</v>
      </c>
      <c r="T732" s="1">
        <v>316</v>
      </c>
      <c r="Z732" s="1">
        <v>139</v>
      </c>
      <c r="AA732" s="1">
        <v>311</v>
      </c>
      <c r="AC732" s="1">
        <v>172</v>
      </c>
      <c r="AF732" s="1">
        <v>340</v>
      </c>
    </row>
    <row r="733" spans="1:32">
      <c r="A733" s="58">
        <v>37869</v>
      </c>
      <c r="B733" s="1">
        <v>12677</v>
      </c>
      <c r="C733" s="1">
        <v>9972</v>
      </c>
      <c r="D733" s="21">
        <f t="shared" ref="D733:D796" si="24">(C733-C732)/C732</f>
        <v>-8.057296329453895E-3</v>
      </c>
      <c r="E733" s="1">
        <v>9972</v>
      </c>
      <c r="F733" s="1">
        <v>0</v>
      </c>
      <c r="H733" s="1">
        <v>2705</v>
      </c>
      <c r="I733" s="21">
        <f t="shared" si="23"/>
        <v>1.0837070254110613E-2</v>
      </c>
      <c r="J733" s="1">
        <v>952</v>
      </c>
      <c r="K733" s="1">
        <v>594</v>
      </c>
      <c r="L733" s="1">
        <v>262</v>
      </c>
      <c r="O733" s="1">
        <v>332</v>
      </c>
      <c r="T733" s="1">
        <v>358</v>
      </c>
      <c r="Z733" s="1">
        <v>115</v>
      </c>
      <c r="AA733" s="1">
        <v>325</v>
      </c>
      <c r="AC733" s="1">
        <v>169</v>
      </c>
      <c r="AF733" s="1">
        <v>324</v>
      </c>
    </row>
    <row r="734" spans="1:32">
      <c r="A734" s="58">
        <v>37876</v>
      </c>
      <c r="B734" s="1">
        <v>12816</v>
      </c>
      <c r="C734" s="1">
        <v>10195</v>
      </c>
      <c r="D734" s="21">
        <f t="shared" si="24"/>
        <v>2.2362615322904133E-2</v>
      </c>
      <c r="E734" s="1">
        <v>10195</v>
      </c>
      <c r="F734" s="1">
        <v>0</v>
      </c>
      <c r="H734" s="1">
        <v>2621</v>
      </c>
      <c r="I734" s="21">
        <f t="shared" si="23"/>
        <v>-3.1053604436229204E-2</v>
      </c>
      <c r="J734" s="1">
        <v>932</v>
      </c>
      <c r="K734" s="1">
        <v>572</v>
      </c>
      <c r="L734" s="1">
        <v>263</v>
      </c>
      <c r="O734" s="1">
        <v>309</v>
      </c>
      <c r="T734" s="1">
        <v>360</v>
      </c>
      <c r="Z734" s="1">
        <v>116</v>
      </c>
      <c r="AA734" s="1">
        <v>327</v>
      </c>
      <c r="AC734" s="1">
        <v>161</v>
      </c>
      <c r="AF734" s="1">
        <v>296</v>
      </c>
    </row>
    <row r="735" spans="1:32">
      <c r="A735" s="58">
        <v>37883</v>
      </c>
      <c r="B735" s="1">
        <v>12896</v>
      </c>
      <c r="C735" s="1">
        <v>10208</v>
      </c>
      <c r="D735" s="21">
        <f t="shared" si="24"/>
        <v>1.2751348700343306E-3</v>
      </c>
      <c r="E735" s="1">
        <v>10208</v>
      </c>
      <c r="F735" s="1">
        <v>0</v>
      </c>
      <c r="H735" s="1">
        <v>2688</v>
      </c>
      <c r="I735" s="21">
        <f t="shared" si="23"/>
        <v>2.5562762304463946E-2</v>
      </c>
      <c r="J735" s="1">
        <v>910</v>
      </c>
      <c r="K735" s="1">
        <v>564</v>
      </c>
      <c r="L735" s="1">
        <v>274</v>
      </c>
      <c r="O735" s="1">
        <v>290</v>
      </c>
      <c r="T735" s="1">
        <v>346</v>
      </c>
      <c r="Z735" s="1">
        <v>137</v>
      </c>
      <c r="AA735" s="1">
        <v>365</v>
      </c>
      <c r="AC735" s="1">
        <v>185</v>
      </c>
      <c r="AF735" s="1">
        <v>261</v>
      </c>
    </row>
    <row r="736" spans="1:32">
      <c r="A736" s="58">
        <v>37890</v>
      </c>
      <c r="B736" s="1">
        <v>12621</v>
      </c>
      <c r="C736" s="1">
        <v>10055</v>
      </c>
      <c r="D736" s="21">
        <f t="shared" si="24"/>
        <v>-1.4988244514106583E-2</v>
      </c>
      <c r="E736" s="1">
        <v>10055</v>
      </c>
      <c r="F736" s="1">
        <v>0</v>
      </c>
      <c r="H736" s="1">
        <v>2566</v>
      </c>
      <c r="I736" s="21">
        <f t="shared" si="23"/>
        <v>-4.538690476190476E-2</v>
      </c>
      <c r="J736" s="1">
        <v>806</v>
      </c>
      <c r="K736" s="1">
        <v>523</v>
      </c>
      <c r="L736" s="1">
        <v>271</v>
      </c>
      <c r="O736" s="1">
        <v>252</v>
      </c>
      <c r="T736" s="1">
        <v>283</v>
      </c>
      <c r="Z736" s="1">
        <v>110</v>
      </c>
      <c r="AA736" s="1">
        <v>364</v>
      </c>
      <c r="AC736" s="1">
        <v>160</v>
      </c>
      <c r="AF736" s="1">
        <v>252</v>
      </c>
    </row>
    <row r="737" spans="1:32">
      <c r="A737" s="58">
        <v>37897</v>
      </c>
      <c r="B737" s="1">
        <v>12730</v>
      </c>
      <c r="C737" s="1">
        <v>10106</v>
      </c>
      <c r="D737" s="21">
        <f t="shared" si="24"/>
        <v>5.0721034311287921E-3</v>
      </c>
      <c r="E737" s="1">
        <v>10106</v>
      </c>
      <c r="F737" s="1">
        <v>0</v>
      </c>
      <c r="H737" s="1">
        <v>2624</v>
      </c>
      <c r="I737" s="21">
        <f t="shared" si="23"/>
        <v>2.260327357755261E-2</v>
      </c>
      <c r="J737" s="1">
        <v>784</v>
      </c>
      <c r="K737" s="1">
        <v>532</v>
      </c>
      <c r="L737" s="1">
        <v>275</v>
      </c>
      <c r="O737" s="1">
        <v>257</v>
      </c>
      <c r="T737" s="1">
        <v>252</v>
      </c>
      <c r="Z737" s="1">
        <v>107</v>
      </c>
      <c r="AA737" s="1">
        <v>391</v>
      </c>
      <c r="AC737" s="1">
        <v>185</v>
      </c>
      <c r="AF737" s="1">
        <v>229</v>
      </c>
    </row>
    <row r="738" spans="1:32">
      <c r="A738" s="58">
        <v>37904</v>
      </c>
      <c r="B738" s="1">
        <v>12489</v>
      </c>
      <c r="C738" s="1">
        <v>9921</v>
      </c>
      <c r="D738" s="21">
        <f t="shared" si="24"/>
        <v>-1.8305956857312487E-2</v>
      </c>
      <c r="E738" s="1">
        <v>9921</v>
      </c>
      <c r="F738" s="1">
        <v>0</v>
      </c>
      <c r="H738" s="1">
        <v>2568</v>
      </c>
      <c r="I738" s="21">
        <f t="shared" si="23"/>
        <v>-2.1341463414634148E-2</v>
      </c>
      <c r="J738" s="1">
        <v>736</v>
      </c>
      <c r="K738" s="1">
        <v>468</v>
      </c>
      <c r="L738" s="1">
        <v>238</v>
      </c>
      <c r="O738" s="1">
        <v>230</v>
      </c>
      <c r="T738" s="1">
        <v>267</v>
      </c>
      <c r="Z738" s="1">
        <v>151</v>
      </c>
      <c r="AA738" s="1">
        <v>375</v>
      </c>
      <c r="AC738" s="1">
        <v>174</v>
      </c>
      <c r="AF738" s="1">
        <v>239</v>
      </c>
    </row>
    <row r="739" spans="1:32">
      <c r="A739" s="58">
        <v>37911</v>
      </c>
      <c r="B739" s="1">
        <v>12132</v>
      </c>
      <c r="C739" s="1">
        <v>9724</v>
      </c>
      <c r="D739" s="21">
        <f t="shared" si="24"/>
        <v>-1.9856869267210968E-2</v>
      </c>
      <c r="E739" s="1">
        <v>9724</v>
      </c>
      <c r="F739" s="1">
        <v>0</v>
      </c>
      <c r="H739" s="1">
        <v>2407</v>
      </c>
      <c r="I739" s="21">
        <f t="shared" si="23"/>
        <v>-6.269470404984423E-2</v>
      </c>
      <c r="J739" s="1">
        <v>730</v>
      </c>
      <c r="K739" s="1">
        <v>475</v>
      </c>
      <c r="L739" s="1">
        <v>242</v>
      </c>
      <c r="O739" s="1">
        <v>233</v>
      </c>
      <c r="T739" s="1">
        <v>255</v>
      </c>
      <c r="Z739" s="1">
        <v>126</v>
      </c>
      <c r="AA739" s="1">
        <v>327</v>
      </c>
      <c r="AC739" s="1">
        <v>132</v>
      </c>
      <c r="AF739" s="1">
        <v>242</v>
      </c>
    </row>
    <row r="740" spans="1:32">
      <c r="A740" s="58">
        <v>37918</v>
      </c>
      <c r="B740" s="1">
        <v>12177</v>
      </c>
      <c r="C740" s="1">
        <v>9886</v>
      </c>
      <c r="D740" s="21">
        <f t="shared" si="24"/>
        <v>1.6659810777457835E-2</v>
      </c>
      <c r="E740" s="1">
        <v>9886</v>
      </c>
      <c r="F740" s="1">
        <v>0</v>
      </c>
      <c r="H740" s="1">
        <v>2291</v>
      </c>
      <c r="I740" s="21">
        <f t="shared" si="23"/>
        <v>-4.8192771084337352E-2</v>
      </c>
      <c r="J740" s="1">
        <v>728</v>
      </c>
      <c r="K740" s="1">
        <v>478</v>
      </c>
      <c r="L740" s="1">
        <v>266</v>
      </c>
      <c r="O740" s="1">
        <v>212</v>
      </c>
      <c r="T740" s="1">
        <v>251</v>
      </c>
      <c r="Z740" s="1">
        <v>136</v>
      </c>
      <c r="AA740" s="1">
        <v>298</v>
      </c>
      <c r="AC740" s="1">
        <v>117</v>
      </c>
      <c r="AF740" s="1">
        <v>270</v>
      </c>
    </row>
    <row r="741" spans="1:32">
      <c r="A741" s="58">
        <v>37925</v>
      </c>
      <c r="B741" s="1">
        <v>12217</v>
      </c>
      <c r="C741" s="1">
        <v>9967</v>
      </c>
      <c r="D741" s="21">
        <f t="shared" si="24"/>
        <v>8.1934048148897438E-3</v>
      </c>
      <c r="E741" s="1">
        <v>9967</v>
      </c>
      <c r="F741" s="1">
        <v>0</v>
      </c>
      <c r="H741" s="1">
        <v>2250</v>
      </c>
      <c r="I741" s="21">
        <f t="shared" si="23"/>
        <v>-1.789611523352248E-2</v>
      </c>
      <c r="J741" s="1">
        <v>710</v>
      </c>
      <c r="K741" s="1">
        <v>446</v>
      </c>
      <c r="L741" s="1">
        <v>234</v>
      </c>
      <c r="O741" s="1">
        <v>212</v>
      </c>
      <c r="T741" s="1">
        <v>264</v>
      </c>
      <c r="Z741" s="1">
        <v>132</v>
      </c>
      <c r="AA741" s="1">
        <v>254</v>
      </c>
      <c r="AC741" s="1">
        <v>109</v>
      </c>
      <c r="AF741" s="1">
        <v>323</v>
      </c>
    </row>
    <row r="742" spans="1:32">
      <c r="A742" s="58">
        <v>37932</v>
      </c>
      <c r="B742" s="1">
        <v>12202</v>
      </c>
      <c r="C742" s="1">
        <v>9949</v>
      </c>
      <c r="D742" s="21">
        <f t="shared" si="24"/>
        <v>-1.8059596669007724E-3</v>
      </c>
      <c r="E742" s="1">
        <v>9949</v>
      </c>
      <c r="F742" s="1">
        <v>0</v>
      </c>
      <c r="H742" s="1">
        <v>2253</v>
      </c>
      <c r="I742" s="21">
        <f t="shared" si="23"/>
        <v>1.3333333333333333E-3</v>
      </c>
      <c r="J742" s="1">
        <v>767</v>
      </c>
      <c r="K742" s="1">
        <v>513</v>
      </c>
      <c r="L742" s="1">
        <v>289</v>
      </c>
      <c r="O742" s="1">
        <v>224</v>
      </c>
      <c r="T742" s="1">
        <v>254</v>
      </c>
      <c r="Z742" s="1">
        <v>79</v>
      </c>
      <c r="AA742" s="1">
        <v>241</v>
      </c>
      <c r="AC742" s="1">
        <v>124</v>
      </c>
      <c r="AF742" s="1">
        <v>356</v>
      </c>
    </row>
    <row r="743" spans="1:32">
      <c r="A743" s="58">
        <v>37939</v>
      </c>
      <c r="B743" s="1">
        <v>12411</v>
      </c>
      <c r="C743" s="1">
        <v>10159</v>
      </c>
      <c r="D743" s="21">
        <f t="shared" si="24"/>
        <v>2.1107649009950748E-2</v>
      </c>
      <c r="E743" s="1">
        <v>10159</v>
      </c>
      <c r="F743" s="1">
        <v>0</v>
      </c>
      <c r="H743" s="1">
        <v>2251</v>
      </c>
      <c r="I743" s="21">
        <f t="shared" si="23"/>
        <v>-8.8770528184642697E-4</v>
      </c>
      <c r="J743" s="1">
        <v>750</v>
      </c>
      <c r="K743" s="1">
        <v>481</v>
      </c>
      <c r="L743" s="1">
        <v>286</v>
      </c>
      <c r="O743" s="1">
        <v>195</v>
      </c>
      <c r="T743" s="1">
        <v>269</v>
      </c>
      <c r="Z743" s="1">
        <v>80</v>
      </c>
      <c r="AA743" s="1">
        <v>249</v>
      </c>
      <c r="AC743" s="1">
        <v>131</v>
      </c>
      <c r="AF743" s="1">
        <v>391</v>
      </c>
    </row>
    <row r="744" spans="1:32">
      <c r="A744" s="58">
        <v>37946</v>
      </c>
      <c r="B744" s="1">
        <v>12223</v>
      </c>
      <c r="C744" s="1">
        <v>9907</v>
      </c>
      <c r="D744" s="21">
        <f t="shared" si="24"/>
        <v>-2.4805591101486366E-2</v>
      </c>
      <c r="E744" s="1">
        <v>9907</v>
      </c>
      <c r="F744" s="1">
        <v>0</v>
      </c>
      <c r="H744" s="1">
        <v>2316</v>
      </c>
      <c r="I744" s="21">
        <f t="shared" si="23"/>
        <v>2.8876055086628164E-2</v>
      </c>
      <c r="J744" s="1">
        <v>769</v>
      </c>
      <c r="K744" s="1">
        <v>461</v>
      </c>
      <c r="L744" s="1">
        <v>254</v>
      </c>
      <c r="O744" s="1">
        <v>207</v>
      </c>
      <c r="T744" s="1">
        <v>309</v>
      </c>
      <c r="Z744" s="1">
        <v>72</v>
      </c>
      <c r="AA744" s="1">
        <v>242</v>
      </c>
      <c r="AC744" s="1">
        <v>123</v>
      </c>
      <c r="AF744" s="1">
        <v>378</v>
      </c>
    </row>
    <row r="745" spans="1:32">
      <c r="A745" s="58">
        <v>37953</v>
      </c>
      <c r="B745" s="1">
        <v>12073</v>
      </c>
      <c r="C745" s="1">
        <v>9645</v>
      </c>
      <c r="D745" s="21">
        <f t="shared" si="24"/>
        <v>-2.6445947309982839E-2</v>
      </c>
      <c r="E745" s="1">
        <v>9645</v>
      </c>
      <c r="F745" s="1">
        <v>0</v>
      </c>
      <c r="H745" s="1">
        <v>2428</v>
      </c>
      <c r="I745" s="21">
        <f t="shared" si="23"/>
        <v>4.8359240069084632E-2</v>
      </c>
      <c r="J745" s="1">
        <v>816</v>
      </c>
      <c r="K745" s="1">
        <v>508</v>
      </c>
      <c r="L745" s="1">
        <v>282</v>
      </c>
      <c r="O745" s="1">
        <v>226</v>
      </c>
      <c r="T745" s="1">
        <v>308</v>
      </c>
      <c r="Z745" s="1">
        <v>67</v>
      </c>
      <c r="AA745" s="1">
        <v>238</v>
      </c>
      <c r="AC745" s="1">
        <v>114</v>
      </c>
      <c r="AF745" s="1">
        <v>399</v>
      </c>
    </row>
    <row r="746" spans="1:32">
      <c r="A746" s="58">
        <v>37960</v>
      </c>
      <c r="B746" s="1">
        <v>11863</v>
      </c>
      <c r="C746" s="1">
        <v>9541</v>
      </c>
      <c r="D746" s="21">
        <f t="shared" si="24"/>
        <v>-1.0782789009849664E-2</v>
      </c>
      <c r="E746" s="1">
        <v>9541</v>
      </c>
      <c r="F746" s="1">
        <v>0</v>
      </c>
      <c r="H746" s="1">
        <v>2322</v>
      </c>
      <c r="I746" s="21">
        <f t="shared" si="23"/>
        <v>-4.3657331136738059E-2</v>
      </c>
      <c r="J746" s="1">
        <v>742</v>
      </c>
      <c r="K746" s="1">
        <v>472</v>
      </c>
      <c r="L746" s="1">
        <v>264</v>
      </c>
      <c r="O746" s="1">
        <v>208</v>
      </c>
      <c r="T746" s="1">
        <v>270</v>
      </c>
      <c r="Z746" s="1">
        <v>66</v>
      </c>
      <c r="AA746" s="1">
        <v>227</v>
      </c>
      <c r="AC746" s="1">
        <v>98</v>
      </c>
      <c r="AF746" s="1">
        <v>379</v>
      </c>
    </row>
    <row r="747" spans="1:32">
      <c r="A747" s="58">
        <v>37967</v>
      </c>
      <c r="B747" s="1">
        <v>11565</v>
      </c>
      <c r="C747" s="1">
        <v>9238</v>
      </c>
      <c r="D747" s="21">
        <f t="shared" si="24"/>
        <v>-3.1757677392306886E-2</v>
      </c>
      <c r="E747" s="1">
        <v>9238</v>
      </c>
      <c r="F747" s="1">
        <v>0</v>
      </c>
      <c r="H747" s="1">
        <v>2327</v>
      </c>
      <c r="I747" s="21">
        <f t="shared" si="23"/>
        <v>2.1533161068044791E-3</v>
      </c>
      <c r="J747" s="1">
        <v>774</v>
      </c>
      <c r="K747" s="1">
        <v>498</v>
      </c>
      <c r="L747" s="1">
        <v>255</v>
      </c>
      <c r="O747" s="1">
        <v>243</v>
      </c>
      <c r="T747" s="1">
        <v>276</v>
      </c>
      <c r="Z747" s="1">
        <v>84</v>
      </c>
      <c r="AA747" s="1">
        <v>230</v>
      </c>
      <c r="AC747" s="1">
        <v>104</v>
      </c>
      <c r="AF747" s="1">
        <v>329</v>
      </c>
    </row>
    <row r="748" spans="1:32">
      <c r="A748" s="58">
        <v>37974</v>
      </c>
      <c r="B748" s="1">
        <v>11615</v>
      </c>
      <c r="C748" s="1">
        <v>9329</v>
      </c>
      <c r="D748" s="21">
        <f t="shared" si="24"/>
        <v>9.8506170166702753E-3</v>
      </c>
      <c r="E748" s="1">
        <v>9329</v>
      </c>
      <c r="F748" s="1">
        <v>0</v>
      </c>
      <c r="H748" s="1">
        <v>2287</v>
      </c>
      <c r="I748" s="21">
        <f t="shared" si="23"/>
        <v>-1.7189514396218308E-2</v>
      </c>
      <c r="J748" s="1">
        <v>799</v>
      </c>
      <c r="K748" s="1">
        <v>532</v>
      </c>
      <c r="L748" s="1">
        <v>285</v>
      </c>
      <c r="O748" s="1">
        <v>247</v>
      </c>
      <c r="T748" s="1">
        <v>268</v>
      </c>
      <c r="Z748" s="1">
        <v>83</v>
      </c>
      <c r="AA748" s="1">
        <v>243</v>
      </c>
      <c r="AC748" s="1">
        <v>121</v>
      </c>
      <c r="AF748" s="1">
        <v>290</v>
      </c>
    </row>
    <row r="749" spans="1:32">
      <c r="A749" s="58">
        <v>37981</v>
      </c>
      <c r="B749" s="1">
        <v>11582</v>
      </c>
      <c r="C749" s="1">
        <v>9406</v>
      </c>
      <c r="D749" s="21">
        <f t="shared" si="24"/>
        <v>8.2538321363490198E-3</v>
      </c>
      <c r="E749" s="1">
        <v>9406</v>
      </c>
      <c r="F749" s="1">
        <v>0</v>
      </c>
      <c r="H749" s="1">
        <v>2176</v>
      </c>
      <c r="I749" s="21">
        <f t="shared" si="23"/>
        <v>-4.8535198950590296E-2</v>
      </c>
      <c r="J749" s="1">
        <v>708</v>
      </c>
      <c r="K749" s="1">
        <v>466</v>
      </c>
      <c r="L749" s="1">
        <v>233</v>
      </c>
      <c r="O749" s="1">
        <v>233</v>
      </c>
      <c r="T749" s="1">
        <v>242</v>
      </c>
      <c r="Z749" s="1">
        <v>102</v>
      </c>
      <c r="AA749" s="1">
        <v>252</v>
      </c>
      <c r="AC749" s="1">
        <v>100</v>
      </c>
      <c r="AF749" s="1">
        <v>268</v>
      </c>
    </row>
    <row r="750" spans="1:32">
      <c r="A750" s="58">
        <v>37988</v>
      </c>
      <c r="B750" s="1">
        <v>11733</v>
      </c>
      <c r="C750" s="1">
        <v>9463</v>
      </c>
      <c r="D750" s="21">
        <f t="shared" si="24"/>
        <v>6.0599617265575164E-3</v>
      </c>
      <c r="E750" s="1">
        <v>9463</v>
      </c>
      <c r="F750" s="1">
        <v>0</v>
      </c>
      <c r="H750" s="1">
        <v>2270</v>
      </c>
      <c r="I750" s="21">
        <f t="shared" si="23"/>
        <v>4.3198529411764705E-2</v>
      </c>
      <c r="J750" s="1">
        <v>750</v>
      </c>
      <c r="K750" s="1">
        <v>497</v>
      </c>
      <c r="L750" s="1">
        <v>215</v>
      </c>
      <c r="O750" s="1">
        <v>282</v>
      </c>
      <c r="T750" s="1">
        <v>252</v>
      </c>
      <c r="Z750" s="1">
        <v>117</v>
      </c>
      <c r="AA750" s="1">
        <v>279</v>
      </c>
      <c r="AC750" s="1">
        <v>116</v>
      </c>
      <c r="AF750" s="1">
        <v>256</v>
      </c>
    </row>
    <row r="751" spans="1:32">
      <c r="A751" s="58">
        <v>37995</v>
      </c>
      <c r="B751" s="1">
        <v>11842</v>
      </c>
      <c r="C751" s="1">
        <v>9482</v>
      </c>
      <c r="D751" s="21">
        <f t="shared" si="24"/>
        <v>2.0078199302546759E-3</v>
      </c>
      <c r="E751" s="1">
        <v>9482</v>
      </c>
      <c r="F751" s="1">
        <v>0</v>
      </c>
      <c r="H751" s="1">
        <v>2360</v>
      </c>
      <c r="I751" s="21">
        <f t="shared" si="23"/>
        <v>3.9647577092511016E-2</v>
      </c>
      <c r="J751" s="1">
        <v>711</v>
      </c>
      <c r="K751" s="1">
        <v>446</v>
      </c>
      <c r="L751" s="1">
        <v>205</v>
      </c>
      <c r="O751" s="1">
        <v>241</v>
      </c>
      <c r="T751" s="1">
        <v>265</v>
      </c>
      <c r="Z751" s="1">
        <v>110</v>
      </c>
      <c r="AA751" s="1">
        <v>289</v>
      </c>
      <c r="AC751" s="1">
        <v>123</v>
      </c>
      <c r="AF751" s="1">
        <v>263</v>
      </c>
    </row>
    <row r="752" spans="1:32">
      <c r="A752" s="58">
        <v>38002</v>
      </c>
      <c r="B752" s="1">
        <v>12054</v>
      </c>
      <c r="C752" s="1">
        <v>9554</v>
      </c>
      <c r="D752" s="21">
        <f t="shared" si="24"/>
        <v>7.5933347395064328E-3</v>
      </c>
      <c r="E752" s="1">
        <v>9554</v>
      </c>
      <c r="F752" s="1">
        <v>0</v>
      </c>
      <c r="H752" s="1">
        <v>2500</v>
      </c>
      <c r="I752" s="21">
        <f t="shared" si="23"/>
        <v>5.9322033898305086E-2</v>
      </c>
      <c r="J752" s="1">
        <v>652</v>
      </c>
      <c r="K752" s="1">
        <v>416</v>
      </c>
      <c r="L752" s="1">
        <v>170</v>
      </c>
      <c r="O752" s="1">
        <v>246</v>
      </c>
      <c r="T752" s="1">
        <v>237</v>
      </c>
      <c r="Z752" s="1">
        <v>123</v>
      </c>
      <c r="AA752" s="1">
        <v>333</v>
      </c>
      <c r="AC752" s="1">
        <v>131</v>
      </c>
      <c r="AF752" s="1">
        <v>289</v>
      </c>
    </row>
    <row r="753" spans="1:33">
      <c r="A753" s="58">
        <v>38009</v>
      </c>
      <c r="B753" s="1">
        <v>11888</v>
      </c>
      <c r="C753" s="1">
        <v>9353</v>
      </c>
      <c r="D753" s="21">
        <f t="shared" si="24"/>
        <v>-2.1038308561858909E-2</v>
      </c>
      <c r="E753" s="1">
        <v>9353</v>
      </c>
      <c r="F753" s="1">
        <v>0</v>
      </c>
      <c r="H753" s="1">
        <v>2535</v>
      </c>
      <c r="I753" s="21">
        <f t="shared" si="23"/>
        <v>1.4E-2</v>
      </c>
      <c r="J753" s="1">
        <v>629</v>
      </c>
      <c r="K753" s="1">
        <v>367</v>
      </c>
      <c r="L753" s="1">
        <v>165</v>
      </c>
      <c r="O753" s="1">
        <v>202</v>
      </c>
      <c r="T753" s="1">
        <v>262</v>
      </c>
      <c r="Z753" s="1">
        <v>108</v>
      </c>
      <c r="AA753" s="1">
        <v>394</v>
      </c>
      <c r="AC753" s="1">
        <v>174</v>
      </c>
      <c r="AF753" s="1">
        <v>405</v>
      </c>
    </row>
    <row r="754" spans="1:33">
      <c r="A754" s="58">
        <v>38016</v>
      </c>
      <c r="B754" s="1">
        <v>12165</v>
      </c>
      <c r="C754" s="1">
        <v>9535</v>
      </c>
      <c r="D754" s="21">
        <f t="shared" si="24"/>
        <v>1.9458997113225702E-2</v>
      </c>
      <c r="E754" s="1">
        <v>9535</v>
      </c>
      <c r="F754" s="1">
        <v>0</v>
      </c>
      <c r="H754" s="1">
        <v>2630</v>
      </c>
      <c r="I754" s="21">
        <f t="shared" si="23"/>
        <v>3.7475345167652857E-2</v>
      </c>
      <c r="J754" s="1">
        <v>618</v>
      </c>
      <c r="K754" s="1">
        <v>332</v>
      </c>
      <c r="L754" s="1">
        <v>157</v>
      </c>
      <c r="O754" s="1">
        <v>175</v>
      </c>
      <c r="T754" s="1">
        <v>287</v>
      </c>
      <c r="Z754" s="1">
        <v>93</v>
      </c>
      <c r="AA754" s="1">
        <v>411</v>
      </c>
      <c r="AC754" s="1">
        <v>144</v>
      </c>
      <c r="AF754" s="1">
        <v>398</v>
      </c>
    </row>
    <row r="755" spans="1:33">
      <c r="A755" s="58">
        <v>38023</v>
      </c>
      <c r="B755" s="1">
        <v>11917</v>
      </c>
      <c r="C755" s="1">
        <v>9343</v>
      </c>
      <c r="D755" s="21">
        <f t="shared" si="24"/>
        <v>-2.0136339800734138E-2</v>
      </c>
      <c r="E755" s="1">
        <v>9343</v>
      </c>
      <c r="F755" s="1">
        <v>0</v>
      </c>
      <c r="H755" s="1">
        <v>2574</v>
      </c>
      <c r="I755" s="21">
        <f t="shared" si="23"/>
        <v>-2.1292775665399239E-2</v>
      </c>
      <c r="J755" s="1">
        <v>606</v>
      </c>
      <c r="K755" s="1">
        <v>338</v>
      </c>
      <c r="L755" s="1">
        <v>175</v>
      </c>
      <c r="O755" s="1">
        <v>163</v>
      </c>
      <c r="T755" s="1">
        <v>268</v>
      </c>
      <c r="Z755" s="1">
        <v>84</v>
      </c>
      <c r="AA755" s="1">
        <v>433</v>
      </c>
      <c r="AC755" s="1">
        <v>154</v>
      </c>
      <c r="AF755" s="1">
        <v>410</v>
      </c>
    </row>
    <row r="756" spans="1:33">
      <c r="A756" s="58">
        <v>38030</v>
      </c>
      <c r="B756" s="1">
        <v>12046</v>
      </c>
      <c r="C756" s="1">
        <v>9432</v>
      </c>
      <c r="D756" s="21">
        <f t="shared" si="24"/>
        <v>9.525848228620357E-3</v>
      </c>
      <c r="E756" s="1">
        <v>9432</v>
      </c>
      <c r="F756" s="1">
        <v>0</v>
      </c>
      <c r="H756" s="1">
        <v>2614</v>
      </c>
      <c r="I756" s="21">
        <f t="shared" si="23"/>
        <v>1.554001554001554E-2</v>
      </c>
      <c r="J756" s="1">
        <v>606</v>
      </c>
      <c r="K756" s="1">
        <v>288</v>
      </c>
      <c r="L756" s="1">
        <v>165</v>
      </c>
      <c r="O756" s="1">
        <v>123</v>
      </c>
      <c r="T756" s="1">
        <v>319</v>
      </c>
      <c r="Z756" s="1">
        <v>91</v>
      </c>
      <c r="AA756" s="1">
        <v>434</v>
      </c>
      <c r="AC756" s="1">
        <v>164</v>
      </c>
      <c r="AF756" s="1">
        <v>496</v>
      </c>
    </row>
    <row r="757" spans="1:33">
      <c r="A757" s="58">
        <v>38037</v>
      </c>
      <c r="B757" s="1">
        <v>12393</v>
      </c>
      <c r="C757" s="1">
        <v>9526</v>
      </c>
      <c r="D757" s="21">
        <f t="shared" si="24"/>
        <v>9.9660729431721804E-3</v>
      </c>
      <c r="E757" s="1">
        <v>9526</v>
      </c>
      <c r="F757" s="1">
        <v>0</v>
      </c>
      <c r="H757" s="1">
        <v>2868</v>
      </c>
      <c r="I757" s="21">
        <f t="shared" si="23"/>
        <v>9.7169089517980103E-2</v>
      </c>
      <c r="J757" s="1">
        <v>697</v>
      </c>
      <c r="K757" s="1">
        <v>346</v>
      </c>
      <c r="L757" s="1">
        <v>186</v>
      </c>
      <c r="O757" s="1">
        <v>160</v>
      </c>
      <c r="T757" s="1">
        <v>351</v>
      </c>
      <c r="Z757" s="1">
        <v>91</v>
      </c>
      <c r="AA757" s="1">
        <v>480</v>
      </c>
      <c r="AC757" s="1">
        <v>145</v>
      </c>
      <c r="AF757" s="1">
        <v>451</v>
      </c>
    </row>
    <row r="758" spans="1:33">
      <c r="A758" s="58">
        <v>38044</v>
      </c>
      <c r="B758" s="1">
        <v>12240</v>
      </c>
      <c r="C758" s="1">
        <v>9363</v>
      </c>
      <c r="D758" s="21">
        <f t="shared" si="24"/>
        <v>-1.7111064455175309E-2</v>
      </c>
      <c r="E758" s="1">
        <v>9363</v>
      </c>
      <c r="F758" s="1">
        <v>0</v>
      </c>
      <c r="H758" s="1">
        <v>2877</v>
      </c>
      <c r="I758" s="21">
        <f t="shared" si="23"/>
        <v>3.1380753138075313E-3</v>
      </c>
      <c r="J758" s="1">
        <v>681</v>
      </c>
      <c r="K758" s="1">
        <v>340</v>
      </c>
      <c r="L758" s="1">
        <v>204</v>
      </c>
      <c r="O758" s="1">
        <v>136</v>
      </c>
      <c r="T758" s="1">
        <v>341</v>
      </c>
      <c r="Z758" s="1">
        <v>86</v>
      </c>
      <c r="AA758" s="1">
        <v>520</v>
      </c>
      <c r="AC758" s="1">
        <v>165</v>
      </c>
      <c r="AF758" s="1">
        <v>471</v>
      </c>
    </row>
    <row r="759" spans="1:33">
      <c r="A759" s="58">
        <v>38051</v>
      </c>
      <c r="B759" s="1">
        <v>12848</v>
      </c>
      <c r="C759" s="1">
        <v>9698</v>
      </c>
      <c r="D759" s="21">
        <f t="shared" si="24"/>
        <v>3.5779130620527608E-2</v>
      </c>
      <c r="E759" s="1">
        <v>9698</v>
      </c>
      <c r="F759" s="1">
        <v>0</v>
      </c>
      <c r="H759" s="1">
        <v>3150</v>
      </c>
      <c r="I759" s="21">
        <f t="shared" si="23"/>
        <v>9.4890510948905105E-2</v>
      </c>
      <c r="J759" s="1">
        <v>797</v>
      </c>
      <c r="K759" s="1">
        <v>407</v>
      </c>
      <c r="L759" s="1">
        <v>214</v>
      </c>
      <c r="O759" s="1">
        <v>193</v>
      </c>
      <c r="T759" s="1">
        <v>390</v>
      </c>
      <c r="Z759" s="1">
        <v>95</v>
      </c>
      <c r="AA759" s="1">
        <v>575</v>
      </c>
      <c r="AC759" s="1">
        <v>148</v>
      </c>
      <c r="AF759" s="1">
        <v>552</v>
      </c>
    </row>
    <row r="760" spans="1:33">
      <c r="A760" s="58">
        <v>38058</v>
      </c>
      <c r="B760" s="1">
        <v>12689</v>
      </c>
      <c r="C760" s="1">
        <v>9533</v>
      </c>
      <c r="D760" s="21">
        <f t="shared" si="24"/>
        <v>-1.7013817281913798E-2</v>
      </c>
      <c r="E760" s="1">
        <v>9533</v>
      </c>
      <c r="F760" s="1">
        <v>0</v>
      </c>
      <c r="H760" s="1">
        <v>3157</v>
      </c>
      <c r="I760" s="21">
        <f t="shared" si="23"/>
        <v>2.2222222222222222E-3</v>
      </c>
      <c r="J760" s="1">
        <v>858</v>
      </c>
      <c r="K760" s="1">
        <v>433</v>
      </c>
      <c r="L760" s="1">
        <v>216</v>
      </c>
      <c r="O760" s="1">
        <v>217</v>
      </c>
      <c r="T760" s="1">
        <v>424</v>
      </c>
      <c r="Z760" s="1">
        <v>94</v>
      </c>
      <c r="AA760" s="1">
        <v>564</v>
      </c>
      <c r="AC760" s="1">
        <v>141</v>
      </c>
      <c r="AF760" s="1">
        <v>453</v>
      </c>
    </row>
    <row r="761" spans="1:33">
      <c r="A761" s="58">
        <v>38065</v>
      </c>
      <c r="B761" s="1">
        <v>12727</v>
      </c>
      <c r="C761" s="1">
        <v>9808</v>
      </c>
      <c r="D761" s="21">
        <f t="shared" si="24"/>
        <v>2.8847162488198887E-2</v>
      </c>
      <c r="E761" s="1">
        <v>9808</v>
      </c>
      <c r="F761" s="1">
        <v>0</v>
      </c>
      <c r="H761" s="1">
        <v>2919</v>
      </c>
      <c r="I761" s="21">
        <f t="shared" si="23"/>
        <v>-7.5388026607538808E-2</v>
      </c>
      <c r="J761" s="1">
        <v>833</v>
      </c>
      <c r="K761" s="1">
        <v>438</v>
      </c>
      <c r="L761" s="1">
        <v>204</v>
      </c>
      <c r="O761" s="1">
        <v>234</v>
      </c>
      <c r="T761" s="1">
        <v>395</v>
      </c>
      <c r="Z761" s="1">
        <v>82</v>
      </c>
      <c r="AA761" s="1">
        <v>486</v>
      </c>
      <c r="AC761" s="1">
        <v>142</v>
      </c>
      <c r="AF761" s="1">
        <v>388</v>
      </c>
    </row>
    <row r="762" spans="1:33">
      <c r="A762" s="58">
        <v>38072</v>
      </c>
      <c r="B762" s="1">
        <v>12818</v>
      </c>
      <c r="C762" s="1">
        <v>9868</v>
      </c>
      <c r="D762" s="21">
        <f t="shared" si="24"/>
        <v>6.1174551386623168E-3</v>
      </c>
      <c r="E762" s="1">
        <v>9868</v>
      </c>
      <c r="F762" s="1">
        <v>0</v>
      </c>
      <c r="H762" s="1">
        <v>2950</v>
      </c>
      <c r="I762" s="21">
        <f t="shared" si="23"/>
        <v>1.0620075368276806E-2</v>
      </c>
      <c r="J762" s="1">
        <v>970</v>
      </c>
      <c r="K762" s="1">
        <v>496</v>
      </c>
      <c r="L762" s="1">
        <v>208</v>
      </c>
      <c r="O762" s="1">
        <v>288</v>
      </c>
      <c r="T762" s="1">
        <v>474</v>
      </c>
      <c r="Z762" s="1">
        <v>84</v>
      </c>
      <c r="AA762" s="1">
        <v>424</v>
      </c>
      <c r="AC762" s="1">
        <v>143</v>
      </c>
      <c r="AF762" s="1">
        <v>357</v>
      </c>
    </row>
    <row r="763" spans="1:33">
      <c r="A763" s="58">
        <v>38079</v>
      </c>
      <c r="B763" s="1">
        <v>12752</v>
      </c>
      <c r="C763" s="1">
        <v>9860</v>
      </c>
      <c r="D763" s="21">
        <f t="shared" si="24"/>
        <v>-8.107012565869477E-4</v>
      </c>
      <c r="E763" s="1">
        <v>9860</v>
      </c>
      <c r="F763" s="1">
        <v>0</v>
      </c>
      <c r="H763" s="1">
        <v>2892</v>
      </c>
      <c r="I763" s="21">
        <f t="shared" si="23"/>
        <v>-1.9661016949152541E-2</v>
      </c>
      <c r="J763" s="1">
        <v>1021</v>
      </c>
      <c r="K763" s="1">
        <v>522</v>
      </c>
      <c r="L763" s="1">
        <v>220</v>
      </c>
      <c r="O763" s="1">
        <v>302</v>
      </c>
      <c r="T763" s="1">
        <v>499</v>
      </c>
      <c r="Z763" s="1">
        <v>67</v>
      </c>
      <c r="AA763" s="1">
        <v>382</v>
      </c>
      <c r="AC763" s="1">
        <v>163</v>
      </c>
      <c r="AF763" s="1">
        <v>286</v>
      </c>
    </row>
    <row r="764" spans="1:33">
      <c r="A764" s="58">
        <v>38086</v>
      </c>
      <c r="B764" s="1">
        <v>12658</v>
      </c>
      <c r="C764" s="1">
        <v>9851</v>
      </c>
      <c r="D764" s="21">
        <f t="shared" si="24"/>
        <v>-9.1277890466531439E-4</v>
      </c>
      <c r="E764" s="1">
        <v>9851</v>
      </c>
      <c r="F764" s="1">
        <v>0</v>
      </c>
      <c r="H764" s="1">
        <v>2808</v>
      </c>
      <c r="I764" s="21">
        <f t="shared" si="23"/>
        <v>-2.9045643153526972E-2</v>
      </c>
      <c r="J764" s="1">
        <v>996</v>
      </c>
      <c r="K764" s="1">
        <v>522</v>
      </c>
      <c r="L764" s="1">
        <v>218</v>
      </c>
      <c r="O764" s="1">
        <v>304</v>
      </c>
      <c r="T764" s="1">
        <v>475</v>
      </c>
      <c r="Z764" s="1">
        <v>49</v>
      </c>
      <c r="AA764" s="1">
        <v>335</v>
      </c>
      <c r="AF764" s="1">
        <v>289</v>
      </c>
    </row>
    <row r="765" spans="1:33">
      <c r="A765" s="58">
        <v>38093</v>
      </c>
      <c r="B765" s="1">
        <v>12700</v>
      </c>
      <c r="C765" s="1">
        <v>9743</v>
      </c>
      <c r="D765" s="21">
        <f t="shared" si="24"/>
        <v>-1.0963353974215816E-2</v>
      </c>
      <c r="E765" s="1">
        <v>9743</v>
      </c>
      <c r="F765" s="1">
        <v>0</v>
      </c>
      <c r="H765" s="1">
        <v>2958</v>
      </c>
      <c r="I765" s="21">
        <f t="shared" si="23"/>
        <v>5.3418803418803416E-2</v>
      </c>
      <c r="J765" s="1">
        <v>1131</v>
      </c>
      <c r="K765" s="1">
        <v>570</v>
      </c>
      <c r="L765" s="1">
        <v>248</v>
      </c>
      <c r="O765" s="1">
        <v>322</v>
      </c>
      <c r="T765" s="1">
        <v>561</v>
      </c>
      <c r="Z765" s="1">
        <v>60</v>
      </c>
      <c r="AA765" s="1">
        <v>338</v>
      </c>
      <c r="AF765" s="1">
        <v>271</v>
      </c>
    </row>
    <row r="766" spans="1:33">
      <c r="A766" s="58">
        <v>38100</v>
      </c>
      <c r="B766" s="1">
        <v>12756</v>
      </c>
      <c r="C766" s="1">
        <v>9841</v>
      </c>
      <c r="D766" s="21">
        <f t="shared" si="24"/>
        <v>1.0058503541003797E-2</v>
      </c>
      <c r="E766" s="1">
        <v>9841</v>
      </c>
      <c r="F766" s="1">
        <v>0</v>
      </c>
      <c r="H766" s="1">
        <v>2915</v>
      </c>
      <c r="I766" s="21">
        <f t="shared" si="23"/>
        <v>-1.45368492224476E-2</v>
      </c>
      <c r="J766" s="1">
        <v>1032</v>
      </c>
      <c r="K766" s="1">
        <v>538</v>
      </c>
      <c r="L766" s="1">
        <v>250</v>
      </c>
      <c r="O766" s="1">
        <v>288</v>
      </c>
      <c r="T766" s="1">
        <v>494</v>
      </c>
      <c r="Z766" s="1">
        <v>73</v>
      </c>
      <c r="AA766" s="1">
        <v>326</v>
      </c>
      <c r="AF766" s="1">
        <v>289</v>
      </c>
    </row>
    <row r="767" spans="1:33">
      <c r="A767" s="58">
        <v>38107</v>
      </c>
      <c r="B767" s="1">
        <v>12588</v>
      </c>
      <c r="C767" s="1">
        <v>9849</v>
      </c>
      <c r="D767" s="21">
        <f t="shared" si="24"/>
        <v>8.12925515699624E-4</v>
      </c>
      <c r="E767" s="1">
        <v>9849</v>
      </c>
      <c r="F767" s="1">
        <v>0</v>
      </c>
      <c r="H767" s="1">
        <v>2738</v>
      </c>
      <c r="I767" s="21">
        <f t="shared" si="23"/>
        <v>-6.0720411663807893E-2</v>
      </c>
      <c r="J767" s="1">
        <v>880</v>
      </c>
      <c r="K767" s="1">
        <v>441</v>
      </c>
      <c r="L767" s="1">
        <v>210</v>
      </c>
      <c r="O767" s="1">
        <v>231</v>
      </c>
      <c r="T767" s="1">
        <v>439</v>
      </c>
      <c r="Z767" s="1">
        <v>80</v>
      </c>
      <c r="AA767" s="1">
        <v>316</v>
      </c>
      <c r="AB767" s="1">
        <v>17</v>
      </c>
      <c r="AC767" s="1">
        <v>106</v>
      </c>
      <c r="AD767" s="1">
        <v>85</v>
      </c>
      <c r="AE767" s="1">
        <v>108</v>
      </c>
      <c r="AF767" s="1">
        <v>273</v>
      </c>
      <c r="AG767" s="1">
        <v>129</v>
      </c>
    </row>
    <row r="768" spans="1:33">
      <c r="A768" s="58">
        <v>38114</v>
      </c>
      <c r="B768" s="1">
        <v>12729</v>
      </c>
      <c r="C768" s="1">
        <v>9966</v>
      </c>
      <c r="D768" s="21">
        <f t="shared" si="24"/>
        <v>1.1879378617118489E-2</v>
      </c>
      <c r="E768" s="1">
        <v>9966</v>
      </c>
      <c r="F768" s="1">
        <v>0</v>
      </c>
      <c r="H768" s="1">
        <v>2764</v>
      </c>
      <c r="I768" s="21">
        <f t="shared" si="23"/>
        <v>9.4959824689554422E-3</v>
      </c>
      <c r="J768" s="1">
        <v>901</v>
      </c>
      <c r="K768" s="1">
        <v>481</v>
      </c>
      <c r="L768" s="1">
        <v>225</v>
      </c>
      <c r="O768" s="1">
        <v>256</v>
      </c>
      <c r="T768" s="1">
        <v>420</v>
      </c>
      <c r="Z768" s="1">
        <v>91</v>
      </c>
      <c r="AA768" s="1">
        <v>341</v>
      </c>
      <c r="AB768" s="1">
        <v>19</v>
      </c>
      <c r="AC768" s="1">
        <v>115</v>
      </c>
      <c r="AD768" s="1">
        <v>84</v>
      </c>
      <c r="AE768" s="1">
        <v>123</v>
      </c>
      <c r="AF768" s="1">
        <v>259</v>
      </c>
      <c r="AG768" s="1">
        <v>131</v>
      </c>
    </row>
    <row r="769" spans="1:33">
      <c r="A769" s="58">
        <v>38121</v>
      </c>
      <c r="B769" s="1">
        <v>12741</v>
      </c>
      <c r="C769" s="1">
        <v>10031</v>
      </c>
      <c r="D769" s="21">
        <f t="shared" si="24"/>
        <v>6.5221753963475822E-3</v>
      </c>
      <c r="E769" s="1">
        <v>10031</v>
      </c>
      <c r="F769" s="1">
        <v>0</v>
      </c>
      <c r="H769" s="1">
        <v>2709</v>
      </c>
      <c r="I769" s="21">
        <f t="shared" si="23"/>
        <v>-1.9898697539797394E-2</v>
      </c>
      <c r="J769" s="1">
        <v>816</v>
      </c>
      <c r="K769" s="1">
        <v>460</v>
      </c>
      <c r="L769" s="1">
        <v>222</v>
      </c>
      <c r="O769" s="1">
        <v>238</v>
      </c>
      <c r="T769" s="1">
        <v>356</v>
      </c>
      <c r="Z769" s="1">
        <v>114</v>
      </c>
      <c r="AA769" s="1">
        <v>316</v>
      </c>
      <c r="AB769" s="1">
        <v>14</v>
      </c>
      <c r="AC769" s="1">
        <v>118</v>
      </c>
      <c r="AD769" s="1">
        <v>72</v>
      </c>
      <c r="AE769" s="1">
        <v>112</v>
      </c>
      <c r="AF769" s="1">
        <v>291</v>
      </c>
      <c r="AG769" s="1">
        <v>142</v>
      </c>
    </row>
    <row r="770" spans="1:33">
      <c r="A770" s="58">
        <v>38128</v>
      </c>
      <c r="B770" s="1">
        <v>12702</v>
      </c>
      <c r="C770" s="1">
        <v>10037</v>
      </c>
      <c r="D770" s="21">
        <f t="shared" si="24"/>
        <v>5.9814574818064007E-4</v>
      </c>
      <c r="E770" s="1">
        <v>10037</v>
      </c>
      <c r="F770" s="1">
        <v>0</v>
      </c>
      <c r="H770" s="1">
        <v>2664</v>
      </c>
      <c r="I770" s="21">
        <f t="shared" si="23"/>
        <v>-1.6611295681063124E-2</v>
      </c>
      <c r="J770" s="1">
        <v>836</v>
      </c>
      <c r="K770" s="1">
        <v>471</v>
      </c>
      <c r="L770" s="1">
        <v>237</v>
      </c>
      <c r="O770" s="1">
        <v>234</v>
      </c>
      <c r="T770" s="1">
        <v>365</v>
      </c>
      <c r="Z770" s="1">
        <v>123</v>
      </c>
      <c r="AA770" s="1">
        <v>341</v>
      </c>
      <c r="AB770" s="1">
        <v>26</v>
      </c>
      <c r="AC770" s="1">
        <v>132</v>
      </c>
      <c r="AD770" s="1">
        <v>74</v>
      </c>
      <c r="AE770" s="1">
        <v>110</v>
      </c>
      <c r="AF770" s="1">
        <v>311</v>
      </c>
      <c r="AG770" s="1">
        <v>112</v>
      </c>
    </row>
    <row r="771" spans="1:33">
      <c r="A771" s="58">
        <v>38135</v>
      </c>
      <c r="B771" s="1">
        <v>13096</v>
      </c>
      <c r="C771" s="1">
        <v>10265</v>
      </c>
      <c r="D771" s="21">
        <f t="shared" si="24"/>
        <v>2.2715950981368936E-2</v>
      </c>
      <c r="E771" s="1">
        <v>10265</v>
      </c>
      <c r="F771" s="1">
        <v>0</v>
      </c>
      <c r="H771" s="1">
        <v>2831</v>
      </c>
      <c r="I771" s="21">
        <f t="shared" si="23"/>
        <v>6.268768768768769E-2</v>
      </c>
      <c r="J771" s="1">
        <v>929</v>
      </c>
      <c r="K771" s="1">
        <v>544</v>
      </c>
      <c r="L771" s="1">
        <v>267</v>
      </c>
      <c r="O771" s="1">
        <v>277</v>
      </c>
      <c r="T771" s="1">
        <v>386</v>
      </c>
      <c r="Z771" s="1">
        <v>150</v>
      </c>
      <c r="AA771" s="1">
        <v>328</v>
      </c>
      <c r="AB771" s="1">
        <v>33</v>
      </c>
      <c r="AC771" s="1">
        <v>150</v>
      </c>
      <c r="AD771" s="1">
        <v>64</v>
      </c>
      <c r="AE771" s="1">
        <v>82</v>
      </c>
      <c r="AF771" s="1">
        <v>297</v>
      </c>
      <c r="AG771" s="1">
        <v>123</v>
      </c>
    </row>
    <row r="772" spans="1:33">
      <c r="A772" s="58">
        <v>38142</v>
      </c>
      <c r="B772" s="1">
        <v>13212</v>
      </c>
      <c r="C772" s="1">
        <v>10405</v>
      </c>
      <c r="D772" s="21">
        <f t="shared" si="24"/>
        <v>1.3638577691183634E-2</v>
      </c>
      <c r="E772" s="1">
        <v>10405</v>
      </c>
      <c r="F772" s="1">
        <v>0</v>
      </c>
      <c r="H772" s="1">
        <v>2808</v>
      </c>
      <c r="I772" s="21">
        <f t="shared" si="23"/>
        <v>-8.1243376898622391E-3</v>
      </c>
      <c r="J772" s="1">
        <v>956</v>
      </c>
      <c r="K772" s="1">
        <v>571</v>
      </c>
      <c r="L772" s="1">
        <v>262</v>
      </c>
      <c r="O772" s="1">
        <v>309</v>
      </c>
      <c r="T772" s="1">
        <v>385</v>
      </c>
      <c r="Z772" s="1">
        <v>168</v>
      </c>
      <c r="AA772" s="1">
        <v>325</v>
      </c>
      <c r="AB772" s="1">
        <v>43</v>
      </c>
      <c r="AC772" s="1">
        <v>154</v>
      </c>
      <c r="AD772" s="1">
        <v>61</v>
      </c>
      <c r="AE772" s="1">
        <v>68</v>
      </c>
      <c r="AF772" s="1">
        <v>310</v>
      </c>
      <c r="AG772" s="1">
        <v>141</v>
      </c>
    </row>
    <row r="773" spans="1:33">
      <c r="A773" s="58">
        <v>38149</v>
      </c>
      <c r="B773" s="1">
        <v>13127</v>
      </c>
      <c r="C773" s="1">
        <v>10488</v>
      </c>
      <c r="D773" s="21">
        <f t="shared" si="24"/>
        <v>7.9769341662662176E-3</v>
      </c>
      <c r="E773" s="1">
        <v>10488</v>
      </c>
      <c r="F773" s="1">
        <v>0</v>
      </c>
      <c r="H773" s="1">
        <v>2639</v>
      </c>
      <c r="I773" s="21">
        <f t="shared" si="23"/>
        <v>-6.0185185185185182E-2</v>
      </c>
      <c r="J773" s="1">
        <v>907</v>
      </c>
      <c r="K773" s="1">
        <v>537</v>
      </c>
      <c r="L773" s="1">
        <v>247</v>
      </c>
      <c r="O773" s="1">
        <v>290</v>
      </c>
      <c r="T773" s="1">
        <v>370</v>
      </c>
      <c r="Z773" s="1">
        <v>177</v>
      </c>
      <c r="AA773" s="1">
        <v>340</v>
      </c>
      <c r="AB773" s="1">
        <v>63</v>
      </c>
      <c r="AC773" s="1">
        <v>148</v>
      </c>
      <c r="AD773" s="1">
        <v>54</v>
      </c>
      <c r="AE773" s="1">
        <v>77</v>
      </c>
      <c r="AF773" s="1">
        <v>265</v>
      </c>
      <c r="AG773" s="1">
        <v>142</v>
      </c>
    </row>
    <row r="774" spans="1:33">
      <c r="A774" s="58">
        <v>38156</v>
      </c>
      <c r="B774" s="1">
        <v>13061</v>
      </c>
      <c r="C774" s="1">
        <v>10411</v>
      </c>
      <c r="D774" s="21">
        <f t="shared" si="24"/>
        <v>-7.3417238749046527E-3</v>
      </c>
      <c r="E774" s="1">
        <v>10411</v>
      </c>
      <c r="F774" s="1">
        <v>0</v>
      </c>
      <c r="H774" s="1">
        <v>2650</v>
      </c>
      <c r="I774" s="21">
        <f t="shared" si="23"/>
        <v>4.1682455475558922E-3</v>
      </c>
      <c r="J774" s="1">
        <v>948</v>
      </c>
      <c r="K774" s="1">
        <v>554</v>
      </c>
      <c r="L774" s="1">
        <v>246</v>
      </c>
      <c r="O774" s="1">
        <v>308</v>
      </c>
      <c r="T774" s="1">
        <v>394</v>
      </c>
      <c r="Z774" s="1">
        <v>157</v>
      </c>
      <c r="AA774" s="1">
        <v>299</v>
      </c>
      <c r="AB774" s="1">
        <v>51</v>
      </c>
      <c r="AC774" s="1">
        <v>133</v>
      </c>
      <c r="AD774" s="1">
        <v>61</v>
      </c>
      <c r="AE774" s="1">
        <v>54</v>
      </c>
      <c r="AF774" s="1">
        <v>311</v>
      </c>
      <c r="AG774" s="1">
        <v>153</v>
      </c>
    </row>
    <row r="775" spans="1:33">
      <c r="A775" s="58">
        <v>38163</v>
      </c>
      <c r="B775" s="1">
        <v>13016</v>
      </c>
      <c r="C775" s="1">
        <v>10383</v>
      </c>
      <c r="D775" s="21">
        <f t="shared" si="24"/>
        <v>-2.6894630679089424E-3</v>
      </c>
      <c r="E775" s="1">
        <v>10383</v>
      </c>
      <c r="F775" s="1">
        <v>0</v>
      </c>
      <c r="H775" s="1">
        <v>2633</v>
      </c>
      <c r="I775" s="21">
        <f t="shared" si="23"/>
        <v>-6.4150943396226413E-3</v>
      </c>
      <c r="J775" s="1">
        <v>943</v>
      </c>
      <c r="K775" s="1">
        <v>542</v>
      </c>
      <c r="L775" s="1">
        <v>232</v>
      </c>
      <c r="O775" s="1">
        <v>310</v>
      </c>
      <c r="T775" s="1">
        <v>401</v>
      </c>
      <c r="Z775" s="1">
        <v>174</v>
      </c>
      <c r="AA775" s="1">
        <v>288</v>
      </c>
      <c r="AB775" s="1">
        <v>52</v>
      </c>
      <c r="AC775" s="1">
        <v>131</v>
      </c>
      <c r="AD775" s="1">
        <v>69</v>
      </c>
      <c r="AE775" s="1">
        <v>37</v>
      </c>
      <c r="AF775" s="1">
        <v>334</v>
      </c>
      <c r="AG775" s="1">
        <v>130</v>
      </c>
    </row>
    <row r="776" spans="1:33">
      <c r="A776" s="58">
        <v>38170</v>
      </c>
      <c r="B776" s="1">
        <v>12938</v>
      </c>
      <c r="C776" s="1">
        <v>10297</v>
      </c>
      <c r="D776" s="21">
        <f t="shared" si="24"/>
        <v>-8.2827699123567376E-3</v>
      </c>
      <c r="E776" s="1">
        <v>10297</v>
      </c>
      <c r="F776" s="1">
        <v>0</v>
      </c>
      <c r="H776" s="1">
        <v>2641</v>
      </c>
      <c r="I776" s="21">
        <f t="shared" si="23"/>
        <v>3.0383592859855677E-3</v>
      </c>
      <c r="J776" s="1">
        <v>1001</v>
      </c>
      <c r="K776" s="1">
        <v>555</v>
      </c>
      <c r="L776" s="1">
        <v>272</v>
      </c>
      <c r="O776" s="1">
        <v>283</v>
      </c>
      <c r="T776" s="1">
        <v>447</v>
      </c>
      <c r="Z776" s="1">
        <v>171</v>
      </c>
      <c r="AA776" s="1">
        <v>279</v>
      </c>
      <c r="AB776" s="1">
        <v>40</v>
      </c>
      <c r="AC776" s="1">
        <v>113</v>
      </c>
      <c r="AD776" s="1">
        <v>83</v>
      </c>
      <c r="AE776" s="1">
        <v>44</v>
      </c>
      <c r="AF776" s="1">
        <v>321</v>
      </c>
      <c r="AG776" s="1">
        <v>136</v>
      </c>
    </row>
    <row r="777" spans="1:33">
      <c r="A777" s="58">
        <v>38177</v>
      </c>
      <c r="B777" s="1">
        <v>12927</v>
      </c>
      <c r="C777" s="1">
        <v>10243</v>
      </c>
      <c r="D777" s="21">
        <f t="shared" si="24"/>
        <v>-5.2442458968631643E-3</v>
      </c>
      <c r="E777" s="1">
        <v>10243</v>
      </c>
      <c r="F777" s="1">
        <v>0</v>
      </c>
      <c r="H777" s="1">
        <v>2684</v>
      </c>
      <c r="I777" s="21">
        <f t="shared" si="23"/>
        <v>1.6281711472926921E-2</v>
      </c>
      <c r="J777" s="1">
        <v>1050</v>
      </c>
      <c r="K777" s="1">
        <v>594</v>
      </c>
      <c r="L777" s="1">
        <v>267</v>
      </c>
      <c r="O777" s="1">
        <v>327</v>
      </c>
      <c r="T777" s="1">
        <v>456</v>
      </c>
      <c r="Z777" s="1">
        <v>140</v>
      </c>
      <c r="AA777" s="1">
        <v>284</v>
      </c>
      <c r="AB777" s="1">
        <v>49</v>
      </c>
      <c r="AC777" s="1">
        <v>108</v>
      </c>
      <c r="AD777" s="1">
        <v>91</v>
      </c>
      <c r="AE777" s="1">
        <v>35</v>
      </c>
      <c r="AF777" s="1">
        <v>302</v>
      </c>
      <c r="AG777" s="1">
        <v>113</v>
      </c>
    </row>
    <row r="778" spans="1:33">
      <c r="A778" s="58">
        <v>38184</v>
      </c>
      <c r="B778" s="1">
        <v>12813</v>
      </c>
      <c r="C778" s="1">
        <v>10171</v>
      </c>
      <c r="D778" s="21">
        <f t="shared" si="24"/>
        <v>-7.0291906667968368E-3</v>
      </c>
      <c r="E778" s="1">
        <v>10171</v>
      </c>
      <c r="F778" s="1">
        <v>0</v>
      </c>
      <c r="H778" s="1">
        <v>2642</v>
      </c>
      <c r="I778" s="21">
        <f t="shared" si="23"/>
        <v>-1.564828614008942E-2</v>
      </c>
      <c r="J778" s="1">
        <v>1014</v>
      </c>
      <c r="K778" s="1">
        <v>560</v>
      </c>
      <c r="L778" s="1">
        <v>244</v>
      </c>
      <c r="O778" s="1">
        <v>316</v>
      </c>
      <c r="T778" s="1">
        <v>454</v>
      </c>
      <c r="Z778" s="1">
        <v>140</v>
      </c>
      <c r="AA778" s="1">
        <v>306</v>
      </c>
      <c r="AB778" s="1">
        <v>57</v>
      </c>
      <c r="AC778" s="1">
        <v>100</v>
      </c>
      <c r="AD778" s="1">
        <v>106</v>
      </c>
      <c r="AE778" s="1">
        <v>43</v>
      </c>
      <c r="AF778" s="1">
        <v>218</v>
      </c>
      <c r="AG778" s="1">
        <v>129</v>
      </c>
    </row>
    <row r="779" spans="1:33">
      <c r="A779" s="58">
        <v>38191</v>
      </c>
      <c r="B779" s="1">
        <v>13021</v>
      </c>
      <c r="C779" s="1">
        <v>10354</v>
      </c>
      <c r="D779" s="21">
        <f t="shared" si="24"/>
        <v>1.7992331137547932E-2</v>
      </c>
      <c r="E779" s="1">
        <v>10354</v>
      </c>
      <c r="F779" s="1">
        <v>0</v>
      </c>
      <c r="H779" s="1">
        <v>2666</v>
      </c>
      <c r="I779" s="21">
        <f t="shared" si="23"/>
        <v>9.0840272520817562E-3</v>
      </c>
      <c r="J779" s="1">
        <v>1087</v>
      </c>
      <c r="K779" s="1">
        <v>569</v>
      </c>
      <c r="L779" s="1">
        <v>290</v>
      </c>
      <c r="O779" s="1">
        <v>279</v>
      </c>
      <c r="T779" s="1">
        <v>518</v>
      </c>
      <c r="Z779" s="1">
        <v>99</v>
      </c>
      <c r="AA779" s="1">
        <v>293</v>
      </c>
      <c r="AB779" s="1">
        <v>72</v>
      </c>
      <c r="AC779" s="1">
        <v>87</v>
      </c>
      <c r="AD779" s="1">
        <v>90</v>
      </c>
      <c r="AE779" s="1">
        <v>44</v>
      </c>
      <c r="AF779" s="1">
        <v>215</v>
      </c>
      <c r="AG779" s="1">
        <v>161</v>
      </c>
    </row>
    <row r="780" spans="1:33">
      <c r="A780" s="58">
        <v>38198</v>
      </c>
      <c r="B780" s="1">
        <v>13119</v>
      </c>
      <c r="C780" s="1">
        <v>10408</v>
      </c>
      <c r="D780" s="21">
        <f t="shared" si="24"/>
        <v>5.2153757002124787E-3</v>
      </c>
      <c r="E780" s="1">
        <v>10408</v>
      </c>
      <c r="F780" s="1">
        <v>0</v>
      </c>
      <c r="H780" s="1">
        <v>2712</v>
      </c>
      <c r="I780" s="21">
        <f t="shared" si="23"/>
        <v>1.72543135783946E-2</v>
      </c>
      <c r="J780" s="1">
        <v>1048</v>
      </c>
      <c r="K780" s="1">
        <v>567</v>
      </c>
      <c r="L780" s="1">
        <v>235</v>
      </c>
      <c r="O780" s="1">
        <v>332</v>
      </c>
      <c r="T780" s="1">
        <v>481</v>
      </c>
      <c r="Z780" s="1">
        <v>93</v>
      </c>
      <c r="AA780" s="1">
        <v>270</v>
      </c>
      <c r="AB780" s="1">
        <v>70</v>
      </c>
      <c r="AC780" s="1">
        <v>74</v>
      </c>
      <c r="AD780" s="1">
        <v>91</v>
      </c>
      <c r="AE780" s="1">
        <v>36</v>
      </c>
      <c r="AF780" s="1">
        <v>200</v>
      </c>
      <c r="AG780" s="1">
        <v>170</v>
      </c>
    </row>
    <row r="781" spans="1:33">
      <c r="A781" s="58">
        <v>38205</v>
      </c>
      <c r="B781" s="1">
        <v>13100</v>
      </c>
      <c r="C781" s="1">
        <v>10275</v>
      </c>
      <c r="D781" s="21">
        <f t="shared" si="24"/>
        <v>-1.2778631821675634E-2</v>
      </c>
      <c r="E781" s="1">
        <v>10275</v>
      </c>
      <c r="F781" s="1">
        <v>0</v>
      </c>
      <c r="H781" s="1">
        <v>2825</v>
      </c>
      <c r="I781" s="21">
        <f t="shared" si="23"/>
        <v>4.1666666666666664E-2</v>
      </c>
      <c r="J781" s="1">
        <v>1024</v>
      </c>
      <c r="K781" s="1">
        <v>534</v>
      </c>
      <c r="L781" s="1">
        <v>209</v>
      </c>
      <c r="O781" s="1">
        <v>325</v>
      </c>
      <c r="T781" s="1">
        <v>490</v>
      </c>
      <c r="Z781" s="1">
        <v>116</v>
      </c>
      <c r="AA781" s="1">
        <v>265</v>
      </c>
      <c r="AB781" s="1">
        <v>55</v>
      </c>
      <c r="AC781" s="1">
        <v>70</v>
      </c>
      <c r="AD781" s="1">
        <v>111</v>
      </c>
      <c r="AE781" s="1">
        <v>30</v>
      </c>
      <c r="AF781" s="1">
        <v>196</v>
      </c>
      <c r="AG781" s="1">
        <v>183</v>
      </c>
    </row>
    <row r="782" spans="1:33">
      <c r="A782" s="58">
        <v>38212</v>
      </c>
      <c r="B782" s="1">
        <v>13290</v>
      </c>
      <c r="C782" s="1">
        <v>10402</v>
      </c>
      <c r="D782" s="21">
        <f t="shared" si="24"/>
        <v>1.2360097323600973E-2</v>
      </c>
      <c r="E782" s="1">
        <v>10402</v>
      </c>
      <c r="F782" s="1">
        <v>0</v>
      </c>
      <c r="H782" s="1">
        <v>2888</v>
      </c>
      <c r="I782" s="21">
        <f t="shared" si="23"/>
        <v>2.2300884955752213E-2</v>
      </c>
      <c r="J782" s="1">
        <v>1029</v>
      </c>
      <c r="K782" s="1">
        <v>551</v>
      </c>
      <c r="L782" s="1">
        <v>240</v>
      </c>
      <c r="O782" s="1">
        <v>311</v>
      </c>
      <c r="T782" s="1">
        <v>478</v>
      </c>
      <c r="Z782" s="1">
        <v>120</v>
      </c>
      <c r="AA782" s="1">
        <v>287</v>
      </c>
      <c r="AB782" s="1">
        <v>69</v>
      </c>
      <c r="AC782" s="1">
        <v>83</v>
      </c>
      <c r="AD782" s="1">
        <v>93</v>
      </c>
      <c r="AE782" s="1">
        <v>44</v>
      </c>
      <c r="AF782" s="1">
        <v>212</v>
      </c>
      <c r="AG782" s="1">
        <v>170</v>
      </c>
    </row>
    <row r="783" spans="1:33">
      <c r="A783" s="58">
        <v>38219</v>
      </c>
      <c r="B783" s="1">
        <v>13068</v>
      </c>
      <c r="C783" s="1">
        <v>10208</v>
      </c>
      <c r="D783" s="21">
        <f t="shared" si="24"/>
        <v>-1.8650259565468178E-2</v>
      </c>
      <c r="E783" s="1">
        <v>10208</v>
      </c>
      <c r="F783" s="1">
        <v>0</v>
      </c>
      <c r="H783" s="1">
        <v>2860</v>
      </c>
      <c r="I783" s="21">
        <f t="shared" si="23"/>
        <v>-9.6952908587257611E-3</v>
      </c>
      <c r="J783" s="1">
        <v>961</v>
      </c>
      <c r="K783" s="1">
        <v>551</v>
      </c>
      <c r="L783" s="1">
        <v>199</v>
      </c>
      <c r="O783" s="1">
        <v>352</v>
      </c>
      <c r="T783" s="1">
        <v>411</v>
      </c>
      <c r="Z783" s="1">
        <v>168</v>
      </c>
      <c r="AA783" s="1">
        <v>280</v>
      </c>
      <c r="AB783" s="1">
        <v>46</v>
      </c>
      <c r="AC783" s="1">
        <v>81</v>
      </c>
      <c r="AD783" s="1">
        <v>101</v>
      </c>
      <c r="AE783" s="1">
        <v>53</v>
      </c>
      <c r="AF783" s="1">
        <v>219</v>
      </c>
      <c r="AG783" s="1">
        <v>200</v>
      </c>
    </row>
    <row r="784" spans="1:33">
      <c r="A784" s="58">
        <v>38226</v>
      </c>
      <c r="B784" s="1">
        <v>13046</v>
      </c>
      <c r="C784" s="1">
        <v>10190</v>
      </c>
      <c r="D784" s="21">
        <f t="shared" si="24"/>
        <v>-1.7633228840125393E-3</v>
      </c>
      <c r="E784" s="1">
        <v>10190</v>
      </c>
      <c r="F784" s="1">
        <v>0</v>
      </c>
      <c r="H784" s="1">
        <v>2856</v>
      </c>
      <c r="I784" s="21">
        <f t="shared" si="23"/>
        <v>-1.3986013986013986E-3</v>
      </c>
      <c r="J784" s="1">
        <v>908</v>
      </c>
      <c r="K784" s="1">
        <v>515</v>
      </c>
      <c r="L784" s="1">
        <v>227</v>
      </c>
      <c r="O784" s="1">
        <v>288</v>
      </c>
      <c r="T784" s="1">
        <v>394</v>
      </c>
      <c r="Z784" s="1">
        <v>159</v>
      </c>
      <c r="AA784" s="1">
        <v>317</v>
      </c>
      <c r="AB784" s="1">
        <v>41</v>
      </c>
      <c r="AC784" s="1">
        <v>105</v>
      </c>
      <c r="AD784" s="1">
        <v>102</v>
      </c>
      <c r="AE784" s="1">
        <v>69</v>
      </c>
      <c r="AF784" s="1">
        <v>225</v>
      </c>
      <c r="AG784" s="1">
        <v>215</v>
      </c>
    </row>
    <row r="785" spans="1:33">
      <c r="A785" s="58">
        <v>38233</v>
      </c>
      <c r="B785" s="1">
        <v>13288</v>
      </c>
      <c r="C785" s="1">
        <v>10487</v>
      </c>
      <c r="D785" s="21">
        <f t="shared" si="24"/>
        <v>2.9146221786064769E-2</v>
      </c>
      <c r="E785" s="1">
        <v>10487</v>
      </c>
      <c r="F785" s="1">
        <v>0</v>
      </c>
      <c r="H785" s="1">
        <v>2801</v>
      </c>
      <c r="I785" s="21">
        <f t="shared" si="23"/>
        <v>-1.9257703081232494E-2</v>
      </c>
      <c r="J785" s="1">
        <v>991</v>
      </c>
      <c r="K785" s="1">
        <v>546</v>
      </c>
      <c r="L785" s="1">
        <v>274</v>
      </c>
      <c r="O785" s="1">
        <v>272</v>
      </c>
      <c r="T785" s="1">
        <v>446</v>
      </c>
      <c r="Z785" s="1">
        <v>134</v>
      </c>
      <c r="AA785" s="1">
        <v>299</v>
      </c>
      <c r="AB785" s="1">
        <v>27</v>
      </c>
      <c r="AC785" s="1">
        <v>131</v>
      </c>
      <c r="AD785" s="1">
        <v>83</v>
      </c>
      <c r="AE785" s="1">
        <v>58</v>
      </c>
      <c r="AF785" s="1">
        <v>224</v>
      </c>
      <c r="AG785" s="1">
        <v>228</v>
      </c>
    </row>
    <row r="786" spans="1:33">
      <c r="A786" s="58">
        <v>38240</v>
      </c>
      <c r="B786" s="1">
        <v>13138</v>
      </c>
      <c r="C786" s="1">
        <v>10364</v>
      </c>
      <c r="D786" s="21">
        <f t="shared" si="24"/>
        <v>-1.172880709449795E-2</v>
      </c>
      <c r="E786" s="1">
        <v>10364</v>
      </c>
      <c r="F786" s="1">
        <v>0</v>
      </c>
      <c r="H786" s="1">
        <v>2775</v>
      </c>
      <c r="I786" s="21">
        <f t="shared" si="23"/>
        <v>-9.2823991431631569E-3</v>
      </c>
      <c r="J786" s="1">
        <v>920</v>
      </c>
      <c r="K786" s="1">
        <v>525</v>
      </c>
      <c r="L786" s="1">
        <v>237</v>
      </c>
      <c r="O786" s="1">
        <v>288</v>
      </c>
      <c r="T786" s="1">
        <v>396</v>
      </c>
      <c r="Z786" s="1">
        <v>133</v>
      </c>
      <c r="AA786" s="1">
        <v>272</v>
      </c>
      <c r="AB786" s="1">
        <v>5</v>
      </c>
      <c r="AC786" s="1">
        <v>121</v>
      </c>
      <c r="AD786" s="1">
        <v>87</v>
      </c>
      <c r="AE786" s="1">
        <v>60</v>
      </c>
      <c r="AF786" s="1">
        <v>249</v>
      </c>
      <c r="AG786" s="1">
        <v>264</v>
      </c>
    </row>
    <row r="787" spans="1:33">
      <c r="A787" s="58">
        <v>38247</v>
      </c>
      <c r="B787" s="1">
        <v>12563</v>
      </c>
      <c r="C787" s="1">
        <v>9833</v>
      </c>
      <c r="D787" s="21">
        <f t="shared" si="24"/>
        <v>-5.1235044384407562E-2</v>
      </c>
      <c r="E787" s="1">
        <v>9833</v>
      </c>
      <c r="F787" s="1">
        <v>0</v>
      </c>
      <c r="H787" s="1">
        <v>2730</v>
      </c>
      <c r="I787" s="21">
        <f t="shared" si="23"/>
        <v>-1.6216216216216217E-2</v>
      </c>
      <c r="J787" s="1">
        <v>893</v>
      </c>
      <c r="K787" s="1">
        <v>491</v>
      </c>
      <c r="L787" s="1">
        <v>236</v>
      </c>
      <c r="O787" s="1">
        <v>255</v>
      </c>
      <c r="T787" s="1">
        <v>402</v>
      </c>
      <c r="Z787" s="1">
        <v>84</v>
      </c>
      <c r="AA787" s="1">
        <v>276</v>
      </c>
      <c r="AB787" s="1">
        <v>7</v>
      </c>
      <c r="AC787" s="1">
        <v>139</v>
      </c>
      <c r="AD787" s="1">
        <v>79</v>
      </c>
      <c r="AE787" s="1">
        <v>51</v>
      </c>
      <c r="AF787" s="1">
        <v>270</v>
      </c>
      <c r="AG787" s="1">
        <v>267</v>
      </c>
    </row>
    <row r="788" spans="1:33">
      <c r="A788" s="58">
        <v>38254</v>
      </c>
      <c r="B788" s="1">
        <v>12585</v>
      </c>
      <c r="C788" s="1">
        <v>9734</v>
      </c>
      <c r="D788" s="21">
        <f t="shared" si="24"/>
        <v>-1.0068137902979762E-2</v>
      </c>
      <c r="E788" s="1">
        <v>9734</v>
      </c>
      <c r="F788" s="1">
        <v>0</v>
      </c>
      <c r="H788" s="1">
        <v>2851</v>
      </c>
      <c r="I788" s="21">
        <f t="shared" si="23"/>
        <v>4.4322344322344324E-2</v>
      </c>
      <c r="J788" s="1">
        <v>922</v>
      </c>
      <c r="K788" s="1">
        <v>519</v>
      </c>
      <c r="L788" s="1">
        <v>233</v>
      </c>
      <c r="O788" s="1">
        <v>286</v>
      </c>
      <c r="T788" s="1">
        <v>403</v>
      </c>
      <c r="Z788" s="1">
        <v>77</v>
      </c>
      <c r="AA788" s="1">
        <v>255</v>
      </c>
      <c r="AB788" s="1">
        <v>7</v>
      </c>
      <c r="AC788" s="1">
        <v>144</v>
      </c>
      <c r="AD788" s="1">
        <v>69</v>
      </c>
      <c r="AE788" s="1">
        <v>36</v>
      </c>
      <c r="AF788" s="1">
        <v>327</v>
      </c>
      <c r="AG788" s="1">
        <v>317</v>
      </c>
    </row>
    <row r="789" spans="1:33">
      <c r="A789" s="58">
        <v>38261</v>
      </c>
      <c r="B789" s="1">
        <v>12533</v>
      </c>
      <c r="C789" s="1">
        <v>9602</v>
      </c>
      <c r="D789" s="21">
        <f t="shared" si="24"/>
        <v>-1.3560715019519212E-2</v>
      </c>
      <c r="E789" s="1">
        <v>9602</v>
      </c>
      <c r="F789" s="1">
        <v>0</v>
      </c>
      <c r="H789" s="1">
        <v>2932</v>
      </c>
      <c r="I789" s="21">
        <f t="shared" si="23"/>
        <v>2.8411083830235006E-2</v>
      </c>
      <c r="J789" s="1">
        <v>852</v>
      </c>
      <c r="K789" s="1">
        <v>512</v>
      </c>
      <c r="L789" s="1">
        <v>219</v>
      </c>
      <c r="O789" s="1">
        <v>293</v>
      </c>
      <c r="T789" s="1">
        <v>341</v>
      </c>
      <c r="Z789" s="1">
        <v>72</v>
      </c>
      <c r="AA789" s="1">
        <v>266</v>
      </c>
      <c r="AB789" s="1">
        <v>9</v>
      </c>
      <c r="AC789" s="1">
        <v>145</v>
      </c>
      <c r="AD789" s="1">
        <v>75</v>
      </c>
      <c r="AE789" s="1">
        <v>38</v>
      </c>
      <c r="AF789" s="1">
        <v>363</v>
      </c>
      <c r="AG789" s="1">
        <v>338</v>
      </c>
    </row>
    <row r="790" spans="1:33">
      <c r="A790" s="58">
        <v>38268</v>
      </c>
      <c r="B790" s="1">
        <v>12703</v>
      </c>
      <c r="C790" s="1">
        <v>9637</v>
      </c>
      <c r="D790" s="21">
        <f t="shared" si="24"/>
        <v>3.6450739429285564E-3</v>
      </c>
      <c r="E790" s="1">
        <v>9637</v>
      </c>
      <c r="F790" s="1">
        <v>0</v>
      </c>
      <c r="H790" s="1">
        <v>3066</v>
      </c>
      <c r="I790" s="21">
        <f t="shared" si="23"/>
        <v>4.5702592087312414E-2</v>
      </c>
      <c r="J790" s="1">
        <v>959</v>
      </c>
      <c r="K790" s="1">
        <v>545</v>
      </c>
      <c r="L790" s="1">
        <v>228</v>
      </c>
      <c r="O790" s="1">
        <v>317</v>
      </c>
      <c r="T790" s="1">
        <v>413</v>
      </c>
      <c r="Z790" s="1">
        <v>88</v>
      </c>
      <c r="AA790" s="1">
        <v>287</v>
      </c>
      <c r="AB790" s="1">
        <v>10</v>
      </c>
      <c r="AC790" s="1">
        <v>177</v>
      </c>
      <c r="AD790" s="1">
        <v>73</v>
      </c>
      <c r="AE790" s="1">
        <v>27</v>
      </c>
      <c r="AF790" s="1">
        <v>389</v>
      </c>
      <c r="AG790" s="1">
        <v>328</v>
      </c>
    </row>
    <row r="791" spans="1:33">
      <c r="A791" s="58">
        <v>38275</v>
      </c>
      <c r="B791" s="1">
        <v>13195</v>
      </c>
      <c r="C791" s="1">
        <v>10054</v>
      </c>
      <c r="D791" s="21">
        <f t="shared" si="24"/>
        <v>4.327072740479402E-2</v>
      </c>
      <c r="E791" s="1">
        <v>10054</v>
      </c>
      <c r="F791" s="1">
        <v>0</v>
      </c>
      <c r="H791" s="1">
        <v>3141</v>
      </c>
      <c r="I791" s="21">
        <f t="shared" si="23"/>
        <v>2.446183953033268E-2</v>
      </c>
      <c r="J791" s="1">
        <v>918</v>
      </c>
      <c r="K791" s="1">
        <v>564</v>
      </c>
      <c r="L791" s="1">
        <v>215</v>
      </c>
      <c r="O791" s="1">
        <v>349</v>
      </c>
      <c r="T791" s="1">
        <v>354</v>
      </c>
      <c r="Z791" s="1">
        <v>111</v>
      </c>
      <c r="AA791" s="1">
        <v>316</v>
      </c>
      <c r="AB791" s="1">
        <v>7</v>
      </c>
      <c r="AC791" s="1">
        <v>195</v>
      </c>
      <c r="AD791" s="1">
        <v>70</v>
      </c>
      <c r="AE791" s="1">
        <v>44</v>
      </c>
      <c r="AF791" s="1">
        <v>393</v>
      </c>
      <c r="AG791" s="1">
        <v>309</v>
      </c>
    </row>
    <row r="792" spans="1:33">
      <c r="A792" s="58">
        <v>38282</v>
      </c>
      <c r="B792" s="1">
        <v>13182</v>
      </c>
      <c r="C792" s="1">
        <v>10162</v>
      </c>
      <c r="D792" s="21">
        <f t="shared" si="24"/>
        <v>1.0741993236522777E-2</v>
      </c>
      <c r="E792" s="1">
        <v>10162</v>
      </c>
      <c r="F792" s="1">
        <v>0</v>
      </c>
      <c r="H792" s="1">
        <v>3020</v>
      </c>
      <c r="I792" s="21">
        <f t="shared" si="23"/>
        <v>-3.8522763451130211E-2</v>
      </c>
      <c r="J792" s="1">
        <v>897</v>
      </c>
      <c r="K792" s="1">
        <v>536</v>
      </c>
      <c r="L792" s="1">
        <v>198</v>
      </c>
      <c r="O792" s="1">
        <v>338</v>
      </c>
      <c r="T792" s="1">
        <v>362</v>
      </c>
      <c r="Z792" s="1">
        <v>115</v>
      </c>
      <c r="AA792" s="1">
        <v>321</v>
      </c>
      <c r="AB792" s="1">
        <v>9</v>
      </c>
      <c r="AC792" s="1">
        <v>195</v>
      </c>
      <c r="AD792" s="1">
        <v>74</v>
      </c>
      <c r="AE792" s="1">
        <v>43</v>
      </c>
      <c r="AF792" s="1">
        <v>397</v>
      </c>
      <c r="AG792" s="1">
        <v>225</v>
      </c>
    </row>
    <row r="793" spans="1:33">
      <c r="A793" s="58">
        <v>38289</v>
      </c>
      <c r="B793" s="1">
        <v>13214</v>
      </c>
      <c r="C793" s="1">
        <v>10286</v>
      </c>
      <c r="D793" s="21">
        <f t="shared" si="24"/>
        <v>1.2202322377484746E-2</v>
      </c>
      <c r="E793" s="1">
        <v>10286</v>
      </c>
      <c r="F793" s="1">
        <v>0</v>
      </c>
      <c r="H793" s="1">
        <v>2928</v>
      </c>
      <c r="I793" s="21">
        <f t="shared" si="23"/>
        <v>-3.0463576158940398E-2</v>
      </c>
      <c r="J793" s="1">
        <v>836</v>
      </c>
      <c r="K793" s="1">
        <v>500</v>
      </c>
      <c r="L793" s="1">
        <v>179</v>
      </c>
      <c r="O793" s="1">
        <v>321</v>
      </c>
      <c r="T793" s="1">
        <v>337</v>
      </c>
      <c r="Z793" s="1">
        <v>142</v>
      </c>
      <c r="AA793" s="1">
        <v>326</v>
      </c>
      <c r="AB793" s="1">
        <v>11</v>
      </c>
      <c r="AC793" s="1">
        <v>199</v>
      </c>
      <c r="AD793" s="1">
        <v>74</v>
      </c>
      <c r="AE793" s="1">
        <v>42</v>
      </c>
      <c r="AF793" s="1">
        <v>434</v>
      </c>
      <c r="AG793" s="1">
        <v>190</v>
      </c>
    </row>
    <row r="794" spans="1:33">
      <c r="A794" s="58">
        <v>38296</v>
      </c>
      <c r="B794" s="1">
        <v>13283</v>
      </c>
      <c r="C794" s="1">
        <v>10396</v>
      </c>
      <c r="D794" s="21">
        <f t="shared" si="24"/>
        <v>1.0694147384794867E-2</v>
      </c>
      <c r="E794" s="1">
        <v>10396</v>
      </c>
      <c r="F794" s="1">
        <v>0</v>
      </c>
      <c r="H794" s="1">
        <v>2886</v>
      </c>
      <c r="I794" s="21">
        <f t="shared" ref="I794:I857" si="25">(H794-H793)/H793</f>
        <v>-1.4344262295081968E-2</v>
      </c>
      <c r="J794" s="1">
        <v>782</v>
      </c>
      <c r="K794" s="1">
        <v>484</v>
      </c>
      <c r="L794" s="1">
        <v>193</v>
      </c>
      <c r="O794" s="1">
        <v>291</v>
      </c>
      <c r="T794" s="1">
        <v>298</v>
      </c>
      <c r="Z794" s="1">
        <v>116</v>
      </c>
      <c r="AA794" s="1">
        <v>302</v>
      </c>
      <c r="AB794" s="1">
        <v>11</v>
      </c>
      <c r="AC794" s="1">
        <v>178</v>
      </c>
      <c r="AD794" s="1">
        <v>68</v>
      </c>
      <c r="AE794" s="1">
        <v>45</v>
      </c>
      <c r="AF794" s="1">
        <v>430</v>
      </c>
      <c r="AG794" s="1">
        <v>180</v>
      </c>
    </row>
    <row r="795" spans="1:33">
      <c r="A795" s="58">
        <v>38303</v>
      </c>
      <c r="B795" s="1">
        <v>13321</v>
      </c>
      <c r="C795" s="1">
        <v>10429</v>
      </c>
      <c r="D795" s="21">
        <f t="shared" si="24"/>
        <v>3.1742978068487878E-3</v>
      </c>
      <c r="E795" s="1">
        <v>10429</v>
      </c>
      <c r="F795" s="1">
        <v>0</v>
      </c>
      <c r="H795" s="1">
        <v>2892</v>
      </c>
      <c r="I795" s="21">
        <f t="shared" si="25"/>
        <v>2.0790020790020791E-3</v>
      </c>
      <c r="J795" s="1">
        <v>780</v>
      </c>
      <c r="K795" s="1">
        <v>464</v>
      </c>
      <c r="L795" s="1">
        <v>176</v>
      </c>
      <c r="O795" s="1">
        <v>288</v>
      </c>
      <c r="T795" s="1">
        <v>317</v>
      </c>
      <c r="Z795" s="1">
        <v>136</v>
      </c>
      <c r="AA795" s="1">
        <v>271</v>
      </c>
      <c r="AB795" s="1">
        <v>19</v>
      </c>
      <c r="AC795" s="1">
        <v>137</v>
      </c>
      <c r="AD795" s="1">
        <v>69</v>
      </c>
      <c r="AE795" s="1">
        <v>46</v>
      </c>
      <c r="AF795" s="1">
        <v>430</v>
      </c>
      <c r="AG795" s="1">
        <v>188</v>
      </c>
    </row>
    <row r="796" spans="1:33">
      <c r="A796" s="58">
        <v>38310</v>
      </c>
      <c r="B796" s="1">
        <v>13262</v>
      </c>
      <c r="C796" s="1">
        <v>10397</v>
      </c>
      <c r="D796" s="21">
        <f t="shared" si="24"/>
        <v>-3.0683670534087642E-3</v>
      </c>
      <c r="E796" s="1">
        <v>10397</v>
      </c>
      <c r="F796" s="1">
        <v>0</v>
      </c>
      <c r="H796" s="1">
        <v>2865</v>
      </c>
      <c r="I796" s="21">
        <f t="shared" si="25"/>
        <v>-9.3360995850622405E-3</v>
      </c>
      <c r="J796" s="1">
        <v>741</v>
      </c>
      <c r="K796" s="1">
        <v>495</v>
      </c>
      <c r="L796" s="1">
        <v>155</v>
      </c>
      <c r="O796" s="1">
        <v>340</v>
      </c>
      <c r="T796" s="1">
        <v>246</v>
      </c>
      <c r="Z796" s="1">
        <v>153</v>
      </c>
      <c r="AA796" s="1">
        <v>274</v>
      </c>
      <c r="AB796" s="1">
        <v>17</v>
      </c>
      <c r="AC796" s="1">
        <v>122</v>
      </c>
      <c r="AD796" s="1">
        <v>75</v>
      </c>
      <c r="AE796" s="1">
        <v>60</v>
      </c>
      <c r="AF796" s="1">
        <v>445</v>
      </c>
      <c r="AG796" s="1">
        <v>186</v>
      </c>
    </row>
    <row r="797" spans="1:33">
      <c r="A797" s="58">
        <v>38317</v>
      </c>
      <c r="B797" s="1">
        <v>13154</v>
      </c>
      <c r="C797" s="1">
        <v>10242</v>
      </c>
      <c r="D797" s="21">
        <f t="shared" ref="D797:D860" si="26">(C797-C796)/C796</f>
        <v>-1.4908146580744446E-2</v>
      </c>
      <c r="E797" s="1">
        <v>10242</v>
      </c>
      <c r="F797" s="1">
        <v>0</v>
      </c>
      <c r="H797" s="1">
        <v>2912</v>
      </c>
      <c r="I797" s="21">
        <f t="shared" si="25"/>
        <v>1.6404886561954626E-2</v>
      </c>
      <c r="J797" s="1">
        <v>798</v>
      </c>
      <c r="K797" s="1">
        <v>539</v>
      </c>
      <c r="L797" s="1">
        <v>151</v>
      </c>
      <c r="O797" s="1">
        <v>388</v>
      </c>
      <c r="T797" s="1">
        <v>259</v>
      </c>
      <c r="Z797" s="1">
        <v>139</v>
      </c>
      <c r="AA797" s="1">
        <v>275</v>
      </c>
      <c r="AB797" s="1">
        <v>12</v>
      </c>
      <c r="AC797" s="1">
        <v>117</v>
      </c>
      <c r="AD797" s="1">
        <v>86</v>
      </c>
      <c r="AE797" s="1">
        <v>60</v>
      </c>
      <c r="AF797" s="1">
        <v>439</v>
      </c>
      <c r="AG797" s="1">
        <v>192</v>
      </c>
    </row>
    <row r="798" spans="1:33">
      <c r="A798" s="58">
        <v>38324</v>
      </c>
      <c r="B798" s="1">
        <v>13309</v>
      </c>
      <c r="C798" s="1">
        <v>10335</v>
      </c>
      <c r="D798" s="21">
        <f t="shared" si="26"/>
        <v>9.0802577621558293E-3</v>
      </c>
      <c r="E798" s="1">
        <v>10335</v>
      </c>
      <c r="F798" s="1">
        <v>0</v>
      </c>
      <c r="H798" s="1">
        <v>2975</v>
      </c>
      <c r="I798" s="21">
        <f t="shared" si="25"/>
        <v>2.1634615384615384E-2</v>
      </c>
      <c r="J798" s="1">
        <v>868</v>
      </c>
      <c r="K798" s="1">
        <v>552</v>
      </c>
      <c r="L798" s="1">
        <v>138</v>
      </c>
      <c r="O798" s="1">
        <v>414</v>
      </c>
      <c r="T798" s="1">
        <v>316</v>
      </c>
      <c r="Z798" s="1">
        <v>153</v>
      </c>
      <c r="AA798" s="1">
        <v>283</v>
      </c>
      <c r="AB798" s="1">
        <v>11</v>
      </c>
      <c r="AC798" s="1">
        <v>123</v>
      </c>
      <c r="AD798" s="1">
        <v>89</v>
      </c>
      <c r="AE798" s="1">
        <v>61</v>
      </c>
      <c r="AF798" s="1">
        <v>448</v>
      </c>
      <c r="AG798" s="1">
        <v>195</v>
      </c>
    </row>
    <row r="799" spans="1:33">
      <c r="A799" s="58">
        <v>38331</v>
      </c>
      <c r="B799" s="1">
        <v>13211</v>
      </c>
      <c r="C799" s="1">
        <v>10369</v>
      </c>
      <c r="D799" s="21">
        <f t="shared" si="26"/>
        <v>3.2897919690372522E-3</v>
      </c>
      <c r="E799" s="1">
        <v>10369</v>
      </c>
      <c r="F799" s="1">
        <v>0</v>
      </c>
      <c r="H799" s="1">
        <v>2842</v>
      </c>
      <c r="I799" s="21">
        <f t="shared" si="25"/>
        <v>-4.4705882352941179E-2</v>
      </c>
      <c r="J799" s="1">
        <v>890</v>
      </c>
      <c r="K799" s="1">
        <v>584</v>
      </c>
      <c r="L799" s="1">
        <v>188</v>
      </c>
      <c r="O799" s="1">
        <v>396</v>
      </c>
      <c r="T799" s="1">
        <v>307</v>
      </c>
      <c r="Z799" s="1">
        <v>125</v>
      </c>
      <c r="AA799" s="1">
        <v>298</v>
      </c>
      <c r="AB799" s="1">
        <v>1</v>
      </c>
      <c r="AC799" s="1">
        <v>144</v>
      </c>
      <c r="AD799" s="1">
        <v>110</v>
      </c>
      <c r="AE799" s="1">
        <v>43</v>
      </c>
      <c r="AF799" s="1">
        <v>391</v>
      </c>
      <c r="AG799" s="1">
        <v>185</v>
      </c>
    </row>
    <row r="800" spans="1:33">
      <c r="A800" s="58">
        <v>38338</v>
      </c>
      <c r="B800" s="1">
        <v>13246</v>
      </c>
      <c r="C800" s="1">
        <v>10458</v>
      </c>
      <c r="D800" s="21">
        <f t="shared" si="26"/>
        <v>8.5832770758993149E-3</v>
      </c>
      <c r="E800" s="1">
        <v>10458</v>
      </c>
      <c r="F800" s="1">
        <v>0</v>
      </c>
      <c r="H800" s="1">
        <v>2789</v>
      </c>
      <c r="I800" s="21">
        <f t="shared" si="25"/>
        <v>-1.864883884588318E-2</v>
      </c>
      <c r="J800" s="1">
        <v>879</v>
      </c>
      <c r="K800" s="1">
        <v>514</v>
      </c>
      <c r="L800" s="1">
        <v>229</v>
      </c>
      <c r="O800" s="1">
        <v>285</v>
      </c>
      <c r="T800" s="1">
        <v>365</v>
      </c>
      <c r="Z800" s="1">
        <v>114</v>
      </c>
      <c r="AA800" s="1">
        <v>308</v>
      </c>
      <c r="AB800" s="1">
        <v>0</v>
      </c>
      <c r="AC800" s="1">
        <v>151</v>
      </c>
      <c r="AD800" s="1">
        <v>114</v>
      </c>
      <c r="AE800" s="1">
        <v>43</v>
      </c>
      <c r="AF800" s="1">
        <v>327</v>
      </c>
      <c r="AG800" s="1">
        <v>186</v>
      </c>
    </row>
    <row r="801" spans="1:33">
      <c r="A801" s="58">
        <v>38345</v>
      </c>
      <c r="B801" s="1">
        <v>13118</v>
      </c>
      <c r="C801" s="1">
        <v>10410</v>
      </c>
      <c r="D801" s="21">
        <f t="shared" si="26"/>
        <v>-4.5897877223178424E-3</v>
      </c>
      <c r="E801" s="1">
        <v>10410</v>
      </c>
      <c r="F801" s="1">
        <v>0</v>
      </c>
      <c r="H801" s="1">
        <v>2709</v>
      </c>
      <c r="I801" s="21">
        <f t="shared" si="25"/>
        <v>-2.8684116170670491E-2</v>
      </c>
      <c r="J801" s="1">
        <v>902</v>
      </c>
      <c r="K801" s="1">
        <v>512</v>
      </c>
      <c r="L801" s="1">
        <v>266</v>
      </c>
      <c r="O801" s="1">
        <v>246</v>
      </c>
      <c r="T801" s="1">
        <v>390</v>
      </c>
      <c r="Z801" s="1">
        <v>109</v>
      </c>
      <c r="AA801" s="1">
        <v>276</v>
      </c>
      <c r="AB801" s="1">
        <v>0</v>
      </c>
      <c r="AC801" s="1">
        <v>124</v>
      </c>
      <c r="AD801" s="1">
        <v>94</v>
      </c>
      <c r="AE801" s="1">
        <v>59</v>
      </c>
      <c r="AF801" s="1">
        <v>235</v>
      </c>
      <c r="AG801" s="1">
        <v>188</v>
      </c>
    </row>
    <row r="802" spans="1:33">
      <c r="A802" s="58">
        <v>38352</v>
      </c>
      <c r="B802" s="1">
        <v>12775</v>
      </c>
      <c r="C802" s="1">
        <v>10137</v>
      </c>
      <c r="D802" s="21">
        <f t="shared" si="26"/>
        <v>-2.6224783861671468E-2</v>
      </c>
      <c r="E802" s="1">
        <v>10137</v>
      </c>
      <c r="F802" s="1">
        <v>0</v>
      </c>
      <c r="H802" s="1">
        <v>2638</v>
      </c>
      <c r="I802" s="21">
        <f t="shared" si="25"/>
        <v>-2.6208933185677373E-2</v>
      </c>
      <c r="J802" s="1">
        <v>838</v>
      </c>
      <c r="K802" s="1">
        <v>512</v>
      </c>
      <c r="L802" s="1">
        <v>274</v>
      </c>
      <c r="O802" s="1">
        <v>238</v>
      </c>
      <c r="T802" s="1">
        <v>326</v>
      </c>
      <c r="Z802" s="1">
        <v>131</v>
      </c>
      <c r="AA802" s="1">
        <v>280</v>
      </c>
      <c r="AB802" s="1">
        <v>0</v>
      </c>
      <c r="AC802" s="1">
        <v>111</v>
      </c>
      <c r="AD802" s="1">
        <v>126</v>
      </c>
      <c r="AE802" s="1">
        <v>43</v>
      </c>
      <c r="AF802" s="1">
        <v>217</v>
      </c>
      <c r="AG802" s="1">
        <v>213</v>
      </c>
    </row>
    <row r="803" spans="1:33">
      <c r="A803" s="58">
        <v>38359</v>
      </c>
      <c r="B803" s="1">
        <v>12585</v>
      </c>
      <c r="C803" s="1">
        <v>10039</v>
      </c>
      <c r="D803" s="21">
        <f t="shared" si="26"/>
        <v>-9.6675545033047261E-3</v>
      </c>
      <c r="E803" s="1">
        <v>10039</v>
      </c>
      <c r="F803" s="1">
        <v>0</v>
      </c>
      <c r="H803" s="1">
        <v>2546</v>
      </c>
      <c r="I803" s="21">
        <f t="shared" si="25"/>
        <v>-3.4874905231235785E-2</v>
      </c>
      <c r="J803" s="1">
        <v>784</v>
      </c>
      <c r="K803" s="1">
        <v>450</v>
      </c>
      <c r="L803" s="1">
        <v>241</v>
      </c>
      <c r="O803" s="1">
        <v>209</v>
      </c>
      <c r="T803" s="1">
        <v>334</v>
      </c>
      <c r="Z803" s="1">
        <v>108</v>
      </c>
      <c r="AA803" s="1">
        <v>276</v>
      </c>
      <c r="AB803" s="1">
        <v>0</v>
      </c>
      <c r="AC803" s="1">
        <v>109</v>
      </c>
      <c r="AD803" s="1">
        <v>112</v>
      </c>
      <c r="AE803" s="1">
        <v>55</v>
      </c>
      <c r="AF803" s="1">
        <v>228</v>
      </c>
      <c r="AG803" s="1">
        <v>213</v>
      </c>
    </row>
    <row r="804" spans="1:33">
      <c r="A804" s="58">
        <v>38366</v>
      </c>
      <c r="B804" s="1">
        <v>12501</v>
      </c>
      <c r="C804" s="1">
        <v>9933</v>
      </c>
      <c r="D804" s="21">
        <f t="shared" si="26"/>
        <v>-1.0558820599661321E-2</v>
      </c>
      <c r="E804" s="1">
        <v>9933</v>
      </c>
      <c r="F804" s="1">
        <v>0</v>
      </c>
      <c r="H804" s="1">
        <v>2568</v>
      </c>
      <c r="I804" s="21">
        <f t="shared" si="25"/>
        <v>8.6410054988216804E-3</v>
      </c>
      <c r="J804" s="1">
        <v>750</v>
      </c>
      <c r="K804" s="1">
        <v>449</v>
      </c>
      <c r="L804" s="1">
        <v>213</v>
      </c>
      <c r="O804" s="1">
        <v>236</v>
      </c>
      <c r="T804" s="1">
        <v>301</v>
      </c>
      <c r="Z804" s="1">
        <v>105</v>
      </c>
      <c r="AA804" s="1">
        <v>263</v>
      </c>
      <c r="AB804" s="1">
        <v>0</v>
      </c>
      <c r="AC804" s="1">
        <v>99</v>
      </c>
      <c r="AD804" s="1">
        <v>114</v>
      </c>
      <c r="AE804" s="1">
        <v>49</v>
      </c>
      <c r="AF804" s="1">
        <v>263</v>
      </c>
      <c r="AG804" s="1">
        <v>229</v>
      </c>
    </row>
    <row r="805" spans="1:33">
      <c r="A805" s="58">
        <v>38373</v>
      </c>
      <c r="B805" s="1">
        <v>12737</v>
      </c>
      <c r="C805" s="1">
        <v>10082</v>
      </c>
      <c r="D805" s="21">
        <f t="shared" si="26"/>
        <v>1.5000503372596397E-2</v>
      </c>
      <c r="E805" s="1">
        <v>10082</v>
      </c>
      <c r="F805" s="1">
        <v>0</v>
      </c>
      <c r="H805" s="1">
        <v>2656</v>
      </c>
      <c r="I805" s="21">
        <f t="shared" si="25"/>
        <v>3.4267912772585667E-2</v>
      </c>
      <c r="J805" s="1">
        <v>661</v>
      </c>
      <c r="K805" s="1">
        <v>394</v>
      </c>
      <c r="L805" s="1">
        <v>191</v>
      </c>
      <c r="O805" s="1">
        <v>203</v>
      </c>
      <c r="T805" s="1">
        <v>268</v>
      </c>
      <c r="Z805" s="1">
        <v>117</v>
      </c>
      <c r="AA805" s="1">
        <v>339</v>
      </c>
      <c r="AB805" s="1">
        <v>0</v>
      </c>
      <c r="AC805" s="1">
        <v>110</v>
      </c>
      <c r="AD805" s="1">
        <v>176</v>
      </c>
      <c r="AE805" s="1">
        <v>53</v>
      </c>
      <c r="AF805" s="1">
        <v>386</v>
      </c>
      <c r="AG805" s="1">
        <v>240</v>
      </c>
    </row>
    <row r="806" spans="1:33">
      <c r="A806" s="58">
        <v>38380</v>
      </c>
      <c r="B806" s="1">
        <v>12809</v>
      </c>
      <c r="C806" s="1">
        <v>10109</v>
      </c>
      <c r="D806" s="21">
        <f t="shared" si="26"/>
        <v>2.6780400714144018E-3</v>
      </c>
      <c r="E806" s="1">
        <v>10109</v>
      </c>
      <c r="F806" s="1">
        <v>0</v>
      </c>
      <c r="H806" s="1">
        <v>2700</v>
      </c>
      <c r="I806" s="21">
        <f t="shared" si="25"/>
        <v>1.6566265060240965E-2</v>
      </c>
      <c r="J806" s="1">
        <v>647</v>
      </c>
      <c r="K806" s="1">
        <v>405</v>
      </c>
      <c r="L806" s="1">
        <v>196</v>
      </c>
      <c r="O806" s="1">
        <v>209</v>
      </c>
      <c r="T806" s="1">
        <v>243</v>
      </c>
      <c r="Z806" s="1">
        <v>87</v>
      </c>
      <c r="AA806" s="1">
        <v>359</v>
      </c>
      <c r="AB806" s="1">
        <v>0</v>
      </c>
      <c r="AC806" s="1">
        <v>119</v>
      </c>
      <c r="AD806" s="1">
        <v>162</v>
      </c>
      <c r="AE806" s="1">
        <v>79</v>
      </c>
      <c r="AF806" s="1">
        <v>426</v>
      </c>
      <c r="AG806" s="1">
        <v>247</v>
      </c>
    </row>
    <row r="807" spans="1:33">
      <c r="A807" s="58">
        <v>38387</v>
      </c>
      <c r="B807" s="1">
        <v>13038</v>
      </c>
      <c r="C807" s="1">
        <v>10095</v>
      </c>
      <c r="D807" s="21">
        <f t="shared" si="26"/>
        <v>-1.3849045405084578E-3</v>
      </c>
      <c r="E807" s="1">
        <v>10095</v>
      </c>
      <c r="F807" s="1">
        <v>0</v>
      </c>
      <c r="H807" s="1">
        <v>2944</v>
      </c>
      <c r="I807" s="21">
        <f t="shared" si="25"/>
        <v>9.0370370370370365E-2</v>
      </c>
      <c r="J807" s="1">
        <v>725</v>
      </c>
      <c r="K807" s="1">
        <v>450</v>
      </c>
      <c r="L807" s="1">
        <v>218</v>
      </c>
      <c r="O807" s="1">
        <v>232</v>
      </c>
      <c r="T807" s="1">
        <v>275</v>
      </c>
      <c r="Z807" s="1">
        <v>94</v>
      </c>
      <c r="AA807" s="1">
        <v>356</v>
      </c>
      <c r="AB807" s="1">
        <v>0</v>
      </c>
      <c r="AC807" s="1">
        <v>109</v>
      </c>
      <c r="AD807" s="1">
        <v>159</v>
      </c>
      <c r="AE807" s="1">
        <v>88</v>
      </c>
      <c r="AF807" s="1">
        <v>514</v>
      </c>
      <c r="AG807" s="1">
        <v>268</v>
      </c>
    </row>
    <row r="808" spans="1:33">
      <c r="A808" s="58">
        <v>38394</v>
      </c>
      <c r="B808" s="1">
        <v>13172</v>
      </c>
      <c r="C808" s="1">
        <v>10173</v>
      </c>
      <c r="D808" s="21">
        <f t="shared" si="26"/>
        <v>7.7265973254086184E-3</v>
      </c>
      <c r="E808" s="1">
        <v>10173</v>
      </c>
      <c r="F808" s="1">
        <v>0</v>
      </c>
      <c r="H808" s="1">
        <v>2999</v>
      </c>
      <c r="I808" s="21">
        <f t="shared" si="25"/>
        <v>1.8682065217391304E-2</v>
      </c>
      <c r="J808" s="1">
        <v>873</v>
      </c>
      <c r="K808" s="1">
        <v>521</v>
      </c>
      <c r="L808" s="1">
        <v>279</v>
      </c>
      <c r="O808" s="1">
        <v>242</v>
      </c>
      <c r="T808" s="1">
        <v>352</v>
      </c>
      <c r="Z808" s="1">
        <v>103</v>
      </c>
      <c r="AA808" s="1">
        <v>366</v>
      </c>
      <c r="AB808" s="1">
        <v>4</v>
      </c>
      <c r="AC808" s="1">
        <v>132</v>
      </c>
      <c r="AD808" s="1">
        <v>136</v>
      </c>
      <c r="AE808" s="1">
        <v>95</v>
      </c>
      <c r="AF808" s="1">
        <v>462</v>
      </c>
      <c r="AG808" s="1">
        <v>263</v>
      </c>
    </row>
    <row r="809" spans="1:33">
      <c r="A809" s="58">
        <v>38401</v>
      </c>
      <c r="B809" s="1">
        <v>13042</v>
      </c>
      <c r="C809" s="1">
        <v>9969</v>
      </c>
      <c r="D809" s="21">
        <f t="shared" si="26"/>
        <v>-2.0053081686818047E-2</v>
      </c>
      <c r="E809" s="1">
        <v>9969</v>
      </c>
      <c r="F809" s="1">
        <v>0</v>
      </c>
      <c r="H809" s="1">
        <v>3073</v>
      </c>
      <c r="I809" s="21">
        <f t="shared" si="25"/>
        <v>2.4674891630543514E-2</v>
      </c>
      <c r="J809" s="1">
        <v>908</v>
      </c>
      <c r="K809" s="1">
        <v>570</v>
      </c>
      <c r="L809" s="1">
        <v>300</v>
      </c>
      <c r="O809" s="1">
        <v>270</v>
      </c>
      <c r="T809" s="1">
        <v>339</v>
      </c>
      <c r="Z809" s="1">
        <v>86</v>
      </c>
      <c r="AA809" s="1">
        <v>343</v>
      </c>
      <c r="AB809" s="1">
        <v>9</v>
      </c>
      <c r="AC809" s="1">
        <v>144</v>
      </c>
      <c r="AD809" s="1">
        <v>94</v>
      </c>
      <c r="AE809" s="1">
        <v>96</v>
      </c>
      <c r="AF809" s="1">
        <v>390</v>
      </c>
      <c r="AG809" s="1">
        <v>261</v>
      </c>
    </row>
    <row r="810" spans="1:33">
      <c r="A810" s="58">
        <v>38408</v>
      </c>
      <c r="B810" s="1">
        <v>13150</v>
      </c>
      <c r="C810" s="1">
        <v>10014</v>
      </c>
      <c r="D810" s="21">
        <f t="shared" si="26"/>
        <v>4.5139933794763765E-3</v>
      </c>
      <c r="E810" s="1">
        <v>10014</v>
      </c>
      <c r="F810" s="1">
        <v>0</v>
      </c>
      <c r="H810" s="1">
        <v>3136</v>
      </c>
      <c r="I810" s="21">
        <f t="shared" si="25"/>
        <v>2.0501138952164009E-2</v>
      </c>
      <c r="J810" s="1">
        <v>959</v>
      </c>
      <c r="K810" s="1">
        <v>574</v>
      </c>
      <c r="L810" s="1">
        <v>326</v>
      </c>
      <c r="O810" s="1">
        <v>248</v>
      </c>
      <c r="T810" s="1">
        <v>385</v>
      </c>
      <c r="Z810" s="1">
        <v>98</v>
      </c>
      <c r="AA810" s="1">
        <v>323</v>
      </c>
      <c r="AB810" s="1">
        <v>9</v>
      </c>
      <c r="AC810" s="1">
        <v>144</v>
      </c>
      <c r="AD810" s="1">
        <v>83</v>
      </c>
      <c r="AE810" s="1">
        <v>88</v>
      </c>
      <c r="AF810" s="1">
        <v>369</v>
      </c>
      <c r="AG810" s="1">
        <v>273</v>
      </c>
    </row>
    <row r="811" spans="1:33">
      <c r="A811" s="58">
        <v>38415</v>
      </c>
      <c r="B811" s="1">
        <v>13145</v>
      </c>
      <c r="C811" s="1">
        <v>10060</v>
      </c>
      <c r="D811" s="21">
        <f t="shared" si="26"/>
        <v>4.5935690033952464E-3</v>
      </c>
      <c r="E811" s="1">
        <v>10060</v>
      </c>
      <c r="F811" s="1">
        <v>0</v>
      </c>
      <c r="H811" s="1">
        <v>3085</v>
      </c>
      <c r="I811" s="21">
        <f t="shared" si="25"/>
        <v>-1.6262755102040817E-2</v>
      </c>
      <c r="J811" s="1">
        <v>973</v>
      </c>
      <c r="K811" s="1">
        <v>579</v>
      </c>
      <c r="L811" s="1">
        <v>330</v>
      </c>
      <c r="O811" s="1">
        <v>249</v>
      </c>
      <c r="T811" s="1">
        <v>395</v>
      </c>
      <c r="Z811" s="1">
        <v>100</v>
      </c>
      <c r="AA811" s="1">
        <v>343</v>
      </c>
      <c r="AB811" s="1">
        <v>9</v>
      </c>
      <c r="AC811" s="1">
        <v>154</v>
      </c>
      <c r="AD811" s="1">
        <v>86</v>
      </c>
      <c r="AE811" s="1">
        <v>94</v>
      </c>
      <c r="AF811" s="1">
        <v>339</v>
      </c>
      <c r="AG811" s="1">
        <v>232</v>
      </c>
    </row>
    <row r="812" spans="1:33">
      <c r="A812" s="58">
        <v>38422</v>
      </c>
      <c r="B812" s="1">
        <v>13045</v>
      </c>
      <c r="C812" s="1">
        <v>9962</v>
      </c>
      <c r="D812" s="21">
        <f t="shared" si="26"/>
        <v>-9.7415506958250502E-3</v>
      </c>
      <c r="E812" s="1">
        <v>9962</v>
      </c>
      <c r="F812" s="1">
        <v>0</v>
      </c>
      <c r="H812" s="1">
        <v>3083</v>
      </c>
      <c r="I812" s="21">
        <f t="shared" si="25"/>
        <v>-6.482982171799027E-4</v>
      </c>
      <c r="J812" s="1">
        <v>920</v>
      </c>
      <c r="K812" s="1">
        <v>531</v>
      </c>
      <c r="L812" s="1">
        <v>264</v>
      </c>
      <c r="O812" s="1">
        <v>267</v>
      </c>
      <c r="T812" s="1">
        <v>390</v>
      </c>
      <c r="Z812" s="1">
        <v>83</v>
      </c>
      <c r="AA812" s="1">
        <v>339</v>
      </c>
      <c r="AB812" s="1">
        <v>13</v>
      </c>
      <c r="AC812" s="1">
        <v>155</v>
      </c>
      <c r="AD812" s="1">
        <v>86</v>
      </c>
      <c r="AE812" s="1">
        <v>85</v>
      </c>
      <c r="AF812" s="1">
        <v>439</v>
      </c>
      <c r="AG812" s="1">
        <v>214</v>
      </c>
    </row>
    <row r="813" spans="1:33">
      <c r="A813" s="58">
        <v>38429</v>
      </c>
      <c r="B813" s="1">
        <v>13176</v>
      </c>
      <c r="C813" s="1">
        <v>10119</v>
      </c>
      <c r="D813" s="21">
        <f t="shared" si="26"/>
        <v>1.5759887572776552E-2</v>
      </c>
      <c r="E813" s="1">
        <v>10119</v>
      </c>
      <c r="F813" s="1">
        <v>0</v>
      </c>
      <c r="H813" s="1">
        <v>3058</v>
      </c>
      <c r="I813" s="21">
        <f t="shared" si="25"/>
        <v>-8.108984755108661E-3</v>
      </c>
      <c r="J813" s="1">
        <v>971</v>
      </c>
      <c r="K813" s="1">
        <v>526</v>
      </c>
      <c r="L813" s="1">
        <v>258</v>
      </c>
      <c r="O813" s="1">
        <v>268</v>
      </c>
      <c r="T813" s="1">
        <v>446</v>
      </c>
      <c r="Z813" s="1">
        <v>89</v>
      </c>
      <c r="AA813" s="1">
        <v>316</v>
      </c>
      <c r="AB813" s="1">
        <v>8</v>
      </c>
      <c r="AC813" s="1">
        <v>150</v>
      </c>
      <c r="AD813" s="1">
        <v>84</v>
      </c>
      <c r="AE813" s="1">
        <v>75</v>
      </c>
      <c r="AF813" s="1">
        <v>515</v>
      </c>
      <c r="AG813" s="1">
        <v>200</v>
      </c>
    </row>
    <row r="814" spans="1:33">
      <c r="A814" s="58">
        <v>38436</v>
      </c>
      <c r="B814" s="1">
        <v>13213</v>
      </c>
      <c r="C814" s="1">
        <v>10245</v>
      </c>
      <c r="D814" s="21">
        <f t="shared" si="26"/>
        <v>1.2451823302697895E-2</v>
      </c>
      <c r="E814" s="1">
        <v>10245</v>
      </c>
      <c r="F814" s="1">
        <v>0</v>
      </c>
      <c r="H814" s="1">
        <v>2968</v>
      </c>
      <c r="I814" s="21">
        <f t="shared" si="25"/>
        <v>-2.9431000654022238E-2</v>
      </c>
      <c r="J814" s="1">
        <v>942</v>
      </c>
      <c r="K814" s="1">
        <v>517</v>
      </c>
      <c r="L814" s="1">
        <v>212</v>
      </c>
      <c r="O814" s="1">
        <v>305</v>
      </c>
      <c r="T814" s="1">
        <v>426</v>
      </c>
      <c r="Z814" s="1">
        <v>93</v>
      </c>
      <c r="AA814" s="1">
        <v>311</v>
      </c>
      <c r="AB814" s="1">
        <v>8</v>
      </c>
      <c r="AC814" s="1">
        <v>149</v>
      </c>
      <c r="AD814" s="1">
        <v>80</v>
      </c>
      <c r="AE814" s="1">
        <v>74</v>
      </c>
      <c r="AF814" s="1">
        <v>533</v>
      </c>
      <c r="AG814" s="1">
        <v>130</v>
      </c>
    </row>
    <row r="815" spans="1:33">
      <c r="A815" s="58">
        <v>38443</v>
      </c>
      <c r="B815" s="1">
        <v>13045</v>
      </c>
      <c r="C815" s="1">
        <v>10192</v>
      </c>
      <c r="D815" s="21">
        <f t="shared" si="26"/>
        <v>-5.1732552464616886E-3</v>
      </c>
      <c r="E815" s="1">
        <v>10192</v>
      </c>
      <c r="F815" s="1">
        <v>0</v>
      </c>
      <c r="H815" s="1">
        <v>2853</v>
      </c>
      <c r="I815" s="21">
        <f t="shared" si="25"/>
        <v>-3.8746630727762806E-2</v>
      </c>
      <c r="J815" s="1">
        <v>928</v>
      </c>
      <c r="K815" s="1">
        <v>544</v>
      </c>
      <c r="L815" s="1">
        <v>195</v>
      </c>
      <c r="O815" s="1">
        <v>349</v>
      </c>
      <c r="T815" s="1">
        <v>385</v>
      </c>
      <c r="Z815" s="1">
        <v>128</v>
      </c>
      <c r="AA815" s="1">
        <v>300</v>
      </c>
      <c r="AB815" s="1">
        <v>8</v>
      </c>
      <c r="AC815" s="1">
        <v>145</v>
      </c>
      <c r="AD815" s="1">
        <v>86</v>
      </c>
      <c r="AE815" s="1">
        <v>61</v>
      </c>
      <c r="AF815" s="1">
        <v>480</v>
      </c>
      <c r="AG815" s="1">
        <v>119</v>
      </c>
    </row>
    <row r="816" spans="1:33">
      <c r="A816" s="58">
        <v>38450</v>
      </c>
      <c r="B816" s="1">
        <v>13020</v>
      </c>
      <c r="C816" s="1">
        <v>10148</v>
      </c>
      <c r="D816" s="21">
        <f t="shared" si="26"/>
        <v>-4.3171114599686025E-3</v>
      </c>
      <c r="E816" s="1">
        <v>10148</v>
      </c>
      <c r="F816" s="1">
        <v>0</v>
      </c>
      <c r="H816" s="1">
        <v>2872</v>
      </c>
      <c r="I816" s="21">
        <f t="shared" si="25"/>
        <v>6.6596565019277952E-3</v>
      </c>
      <c r="J816" s="1">
        <v>938</v>
      </c>
      <c r="K816" s="1">
        <v>545</v>
      </c>
      <c r="L816" s="1">
        <v>207</v>
      </c>
      <c r="O816" s="1">
        <v>338</v>
      </c>
      <c r="T816" s="1">
        <v>393</v>
      </c>
      <c r="Z816" s="1">
        <v>121</v>
      </c>
      <c r="AA816" s="1">
        <v>287</v>
      </c>
      <c r="AB816" s="1">
        <v>0</v>
      </c>
      <c r="AC816" s="1">
        <v>123</v>
      </c>
      <c r="AD816" s="1">
        <v>113</v>
      </c>
      <c r="AE816" s="1">
        <v>51</v>
      </c>
      <c r="AF816" s="1">
        <v>395</v>
      </c>
      <c r="AG816" s="1">
        <v>154</v>
      </c>
    </row>
    <row r="817" spans="1:33">
      <c r="A817" s="58">
        <v>38457</v>
      </c>
      <c r="B817" s="1">
        <v>12825</v>
      </c>
      <c r="C817" s="1">
        <v>10010</v>
      </c>
      <c r="D817" s="21">
        <f t="shared" si="26"/>
        <v>-1.3598738667717778E-2</v>
      </c>
      <c r="E817" s="1">
        <v>10010</v>
      </c>
      <c r="F817" s="1">
        <v>0</v>
      </c>
      <c r="H817" s="1">
        <v>2816</v>
      </c>
      <c r="I817" s="21">
        <f t="shared" si="25"/>
        <v>-1.9498607242339833E-2</v>
      </c>
      <c r="J817" s="1">
        <v>966</v>
      </c>
      <c r="K817" s="1">
        <v>586</v>
      </c>
      <c r="L817" s="1">
        <v>215</v>
      </c>
      <c r="O817" s="1">
        <v>371</v>
      </c>
      <c r="T817" s="1">
        <v>380</v>
      </c>
      <c r="Z817" s="1">
        <v>127</v>
      </c>
      <c r="AA817" s="1">
        <v>272</v>
      </c>
      <c r="AB817" s="1">
        <v>0</v>
      </c>
      <c r="AC817" s="1">
        <v>107</v>
      </c>
      <c r="AD817" s="1">
        <v>126</v>
      </c>
      <c r="AE817" s="1">
        <v>39</v>
      </c>
      <c r="AF817" s="1">
        <v>351</v>
      </c>
      <c r="AG817" s="1">
        <v>151</v>
      </c>
    </row>
    <row r="818" spans="1:33">
      <c r="A818" s="58">
        <v>38464</v>
      </c>
      <c r="B818" s="1">
        <v>12900</v>
      </c>
      <c r="C818" s="1">
        <v>10084</v>
      </c>
      <c r="D818" s="21">
        <f t="shared" si="26"/>
        <v>7.3926073926073926E-3</v>
      </c>
      <c r="E818" s="1">
        <v>10084</v>
      </c>
      <c r="F818" s="1">
        <v>0</v>
      </c>
      <c r="H818" s="1">
        <v>2817</v>
      </c>
      <c r="I818" s="21">
        <f t="shared" si="25"/>
        <v>3.5511363636363637E-4</v>
      </c>
      <c r="J818" s="1">
        <v>1016</v>
      </c>
      <c r="K818" s="1">
        <v>593</v>
      </c>
      <c r="L818" s="1">
        <v>228</v>
      </c>
      <c r="O818" s="1">
        <v>365</v>
      </c>
      <c r="T818" s="1">
        <v>424</v>
      </c>
      <c r="Z818" s="1">
        <v>103</v>
      </c>
      <c r="AA818" s="1">
        <v>250</v>
      </c>
      <c r="AB818" s="1">
        <v>0</v>
      </c>
      <c r="AC818" s="1">
        <v>97</v>
      </c>
      <c r="AD818" s="1">
        <v>131</v>
      </c>
      <c r="AE818" s="1">
        <v>22</v>
      </c>
      <c r="AF818" s="1">
        <v>376</v>
      </c>
      <c r="AG818" s="1">
        <v>152</v>
      </c>
    </row>
    <row r="819" spans="1:33">
      <c r="A819" s="58">
        <v>38471</v>
      </c>
      <c r="B819" s="1">
        <v>13142</v>
      </c>
      <c r="C819" s="1">
        <v>10176</v>
      </c>
      <c r="D819" s="21">
        <f t="shared" si="26"/>
        <v>9.1233637445458145E-3</v>
      </c>
      <c r="E819" s="1">
        <v>10176</v>
      </c>
      <c r="F819" s="1">
        <v>0</v>
      </c>
      <c r="H819" s="1">
        <v>2966</v>
      </c>
      <c r="I819" s="21">
        <f t="shared" si="25"/>
        <v>5.2893148739794109E-2</v>
      </c>
      <c r="J819" s="1">
        <v>1053</v>
      </c>
      <c r="K819" s="1">
        <v>584</v>
      </c>
      <c r="L819" s="1">
        <v>251</v>
      </c>
      <c r="O819" s="1">
        <v>333</v>
      </c>
      <c r="T819" s="1">
        <v>469</v>
      </c>
      <c r="Z819" s="1">
        <v>72</v>
      </c>
      <c r="AA819" s="1">
        <v>248</v>
      </c>
      <c r="AB819" s="1">
        <v>0</v>
      </c>
      <c r="AC819" s="1">
        <v>78</v>
      </c>
      <c r="AD819" s="1">
        <v>157</v>
      </c>
      <c r="AE819" s="1">
        <v>13</v>
      </c>
      <c r="AF819" s="1">
        <v>359</v>
      </c>
      <c r="AG819" s="1">
        <v>184</v>
      </c>
    </row>
    <row r="820" spans="1:33">
      <c r="A820" s="58">
        <v>38478</v>
      </c>
      <c r="B820" s="1">
        <v>13280</v>
      </c>
      <c r="C820" s="1">
        <v>10208</v>
      </c>
      <c r="D820" s="21">
        <f t="shared" si="26"/>
        <v>3.1446540880503146E-3</v>
      </c>
      <c r="E820" s="1">
        <v>10208</v>
      </c>
      <c r="F820" s="1">
        <v>0</v>
      </c>
      <c r="H820" s="1">
        <v>3072</v>
      </c>
      <c r="I820" s="21">
        <f t="shared" si="25"/>
        <v>3.5738368172623061E-2</v>
      </c>
      <c r="J820" s="1">
        <v>1077</v>
      </c>
      <c r="K820" s="1">
        <v>619</v>
      </c>
      <c r="L820" s="1">
        <v>262</v>
      </c>
      <c r="O820" s="1">
        <v>357</v>
      </c>
      <c r="T820" s="1">
        <v>458</v>
      </c>
      <c r="Z820" s="1">
        <v>101</v>
      </c>
      <c r="AA820" s="1">
        <v>242</v>
      </c>
      <c r="AB820" s="1">
        <v>0</v>
      </c>
      <c r="AC820" s="1">
        <v>76</v>
      </c>
      <c r="AD820" s="1">
        <v>152</v>
      </c>
      <c r="AE820" s="1">
        <v>14</v>
      </c>
      <c r="AF820" s="1">
        <v>404</v>
      </c>
      <c r="AG820" s="1">
        <v>135</v>
      </c>
    </row>
    <row r="821" spans="1:33">
      <c r="A821" s="58">
        <v>38485</v>
      </c>
      <c r="B821" s="1">
        <v>13594</v>
      </c>
      <c r="C821" s="1">
        <v>10493</v>
      </c>
      <c r="D821" s="21">
        <f t="shared" si="26"/>
        <v>2.7919278996865204E-2</v>
      </c>
      <c r="E821" s="1">
        <v>10493</v>
      </c>
      <c r="F821" s="1">
        <v>0</v>
      </c>
      <c r="H821" s="1">
        <v>3101</v>
      </c>
      <c r="I821" s="21">
        <f t="shared" si="25"/>
        <v>9.4401041666666661E-3</v>
      </c>
      <c r="J821" s="1">
        <v>1051</v>
      </c>
      <c r="K821" s="1">
        <v>619</v>
      </c>
      <c r="L821" s="1">
        <v>216</v>
      </c>
      <c r="O821" s="1">
        <v>403</v>
      </c>
      <c r="T821" s="1">
        <v>432</v>
      </c>
      <c r="Z821" s="1">
        <v>99</v>
      </c>
      <c r="AA821" s="1">
        <v>234</v>
      </c>
      <c r="AB821" s="1">
        <v>0</v>
      </c>
      <c r="AC821" s="1">
        <v>80</v>
      </c>
      <c r="AD821" s="1">
        <v>130</v>
      </c>
      <c r="AE821" s="1">
        <v>24</v>
      </c>
      <c r="AF821" s="1">
        <v>402</v>
      </c>
      <c r="AG821" s="1">
        <v>152</v>
      </c>
    </row>
    <row r="822" spans="1:33">
      <c r="A822" s="58">
        <v>38492</v>
      </c>
      <c r="B822" s="1">
        <v>13549</v>
      </c>
      <c r="C822" s="1">
        <v>10355</v>
      </c>
      <c r="D822" s="21">
        <f t="shared" si="26"/>
        <v>-1.3151624892785667E-2</v>
      </c>
      <c r="E822" s="1">
        <v>10355</v>
      </c>
      <c r="F822" s="1">
        <v>0</v>
      </c>
      <c r="H822" s="1">
        <v>3194</v>
      </c>
      <c r="I822" s="21">
        <f t="shared" si="25"/>
        <v>2.9990325701386648E-2</v>
      </c>
      <c r="J822" s="1">
        <v>1057</v>
      </c>
      <c r="K822" s="1">
        <v>629</v>
      </c>
      <c r="L822" s="1">
        <v>222</v>
      </c>
      <c r="O822" s="1">
        <v>407</v>
      </c>
      <c r="T822" s="1">
        <v>428</v>
      </c>
      <c r="Z822" s="1">
        <v>115</v>
      </c>
      <c r="AA822" s="1">
        <v>237</v>
      </c>
      <c r="AB822" s="1">
        <v>0</v>
      </c>
      <c r="AC822" s="1">
        <v>86</v>
      </c>
      <c r="AD822" s="1">
        <v>118</v>
      </c>
      <c r="AE822" s="1">
        <v>32</v>
      </c>
      <c r="AF822" s="1">
        <v>405</v>
      </c>
      <c r="AG822" s="1">
        <v>178</v>
      </c>
    </row>
    <row r="823" spans="1:33">
      <c r="A823" s="58">
        <v>38499</v>
      </c>
      <c r="B823" s="1">
        <v>13638</v>
      </c>
      <c r="C823" s="1">
        <v>10465</v>
      </c>
      <c r="D823" s="21">
        <f t="shared" si="26"/>
        <v>1.0622887493964268E-2</v>
      </c>
      <c r="E823" s="1">
        <v>10465</v>
      </c>
      <c r="F823" s="1">
        <v>0</v>
      </c>
      <c r="H823" s="1">
        <v>3173</v>
      </c>
      <c r="I823" s="21">
        <f t="shared" si="25"/>
        <v>-6.5748278021289918E-3</v>
      </c>
      <c r="J823" s="1">
        <v>1049</v>
      </c>
      <c r="K823" s="1">
        <v>637</v>
      </c>
      <c r="L823" s="1">
        <v>205</v>
      </c>
      <c r="O823" s="1">
        <v>432</v>
      </c>
      <c r="T823" s="1">
        <v>412</v>
      </c>
      <c r="Z823" s="1">
        <v>106</v>
      </c>
      <c r="AA823" s="1">
        <v>247</v>
      </c>
      <c r="AB823" s="1">
        <v>0</v>
      </c>
      <c r="AC823" s="1">
        <v>99</v>
      </c>
      <c r="AD823" s="1">
        <v>95</v>
      </c>
      <c r="AE823" s="1">
        <v>53</v>
      </c>
      <c r="AF823" s="1">
        <v>456</v>
      </c>
      <c r="AG823" s="1">
        <v>163</v>
      </c>
    </row>
    <row r="824" spans="1:33">
      <c r="A824" s="58">
        <v>38506</v>
      </c>
      <c r="B824" s="1">
        <v>13545</v>
      </c>
      <c r="C824" s="1">
        <v>10522</v>
      </c>
      <c r="D824" s="21">
        <f t="shared" si="26"/>
        <v>5.4467271858576203E-3</v>
      </c>
      <c r="E824" s="1">
        <v>10522</v>
      </c>
      <c r="F824" s="1">
        <v>0</v>
      </c>
      <c r="H824" s="1">
        <v>3023</v>
      </c>
      <c r="I824" s="21">
        <f t="shared" si="25"/>
        <v>-4.7273873306019537E-2</v>
      </c>
      <c r="J824" s="1">
        <v>983</v>
      </c>
      <c r="K824" s="1">
        <v>567</v>
      </c>
      <c r="L824" s="1">
        <v>183</v>
      </c>
      <c r="O824" s="1">
        <v>384</v>
      </c>
      <c r="T824" s="1">
        <v>416</v>
      </c>
      <c r="Z824" s="1">
        <v>76</v>
      </c>
      <c r="AA824" s="1">
        <v>230</v>
      </c>
      <c r="AB824" s="1">
        <v>0</v>
      </c>
      <c r="AC824" s="1">
        <v>93</v>
      </c>
      <c r="AD824" s="1">
        <v>85</v>
      </c>
      <c r="AE824" s="1">
        <v>52</v>
      </c>
      <c r="AF824" s="1">
        <v>455</v>
      </c>
      <c r="AG824" s="1">
        <v>200</v>
      </c>
    </row>
    <row r="825" spans="1:33">
      <c r="A825" s="58">
        <v>38513</v>
      </c>
      <c r="B825" s="1">
        <v>13500</v>
      </c>
      <c r="C825" s="1">
        <v>10462</v>
      </c>
      <c r="D825" s="21">
        <f t="shared" si="26"/>
        <v>-5.7023379585630111E-3</v>
      </c>
      <c r="E825" s="1">
        <v>10462</v>
      </c>
      <c r="F825" s="1">
        <v>0</v>
      </c>
      <c r="H825" s="1">
        <v>3038</v>
      </c>
      <c r="I825" s="21">
        <f t="shared" si="25"/>
        <v>4.9619583195501154E-3</v>
      </c>
      <c r="J825" s="1">
        <v>997</v>
      </c>
      <c r="K825" s="1">
        <v>509</v>
      </c>
      <c r="L825" s="1">
        <v>207</v>
      </c>
      <c r="O825" s="1">
        <v>302</v>
      </c>
      <c r="T825" s="1">
        <v>489</v>
      </c>
      <c r="Z825" s="1">
        <v>70</v>
      </c>
      <c r="AA825" s="1">
        <v>242</v>
      </c>
      <c r="AB825" s="1">
        <v>0</v>
      </c>
      <c r="AC825" s="1">
        <v>97</v>
      </c>
      <c r="AD825" s="1">
        <v>97</v>
      </c>
      <c r="AE825" s="1">
        <v>49</v>
      </c>
      <c r="AF825" s="1">
        <v>427</v>
      </c>
      <c r="AG825" s="1">
        <v>161</v>
      </c>
    </row>
    <row r="826" spans="1:33">
      <c r="A826" s="58">
        <v>38520</v>
      </c>
      <c r="B826" s="1">
        <v>13375</v>
      </c>
      <c r="C826" s="1">
        <v>10428</v>
      </c>
      <c r="D826" s="21">
        <f t="shared" si="26"/>
        <v>-3.249856623972472E-3</v>
      </c>
      <c r="E826" s="1">
        <v>10428</v>
      </c>
      <c r="F826" s="1">
        <v>0</v>
      </c>
      <c r="H826" s="1">
        <v>2947</v>
      </c>
      <c r="I826" s="21">
        <f t="shared" si="25"/>
        <v>-2.9953917050691243E-2</v>
      </c>
      <c r="J826" s="1">
        <v>1009</v>
      </c>
      <c r="K826" s="1">
        <v>510</v>
      </c>
      <c r="L826" s="1">
        <v>214</v>
      </c>
      <c r="O826" s="1">
        <v>296</v>
      </c>
      <c r="T826" s="1">
        <v>500</v>
      </c>
      <c r="Z826" s="1">
        <v>62</v>
      </c>
      <c r="AA826" s="1">
        <v>232</v>
      </c>
      <c r="AB826" s="1">
        <v>0</v>
      </c>
      <c r="AC826" s="1">
        <v>82</v>
      </c>
      <c r="AD826" s="1">
        <v>111</v>
      </c>
      <c r="AE826" s="1">
        <v>39</v>
      </c>
      <c r="AF826" s="1">
        <v>361</v>
      </c>
      <c r="AG826" s="1">
        <v>156</v>
      </c>
    </row>
    <row r="827" spans="1:33">
      <c r="A827" s="58">
        <v>38527</v>
      </c>
      <c r="B827" s="1">
        <v>13412</v>
      </c>
      <c r="C827" s="1">
        <v>10496</v>
      </c>
      <c r="D827" s="21">
        <f t="shared" si="26"/>
        <v>6.5209052550824704E-3</v>
      </c>
      <c r="E827" s="1">
        <v>10496</v>
      </c>
      <c r="F827" s="1">
        <v>0</v>
      </c>
      <c r="H827" s="1">
        <v>2915</v>
      </c>
      <c r="I827" s="21">
        <f t="shared" si="25"/>
        <v>-1.0858500169664066E-2</v>
      </c>
      <c r="J827" s="1">
        <v>1013</v>
      </c>
      <c r="K827" s="1">
        <v>497</v>
      </c>
      <c r="L827" s="1">
        <v>232</v>
      </c>
      <c r="O827" s="1">
        <v>265</v>
      </c>
      <c r="T827" s="1">
        <v>516</v>
      </c>
      <c r="Z827" s="1">
        <v>79</v>
      </c>
      <c r="AA827" s="1">
        <v>200</v>
      </c>
      <c r="AB827" s="1">
        <v>0</v>
      </c>
      <c r="AC827" s="1">
        <v>80</v>
      </c>
      <c r="AD827" s="1">
        <v>99</v>
      </c>
      <c r="AE827" s="1">
        <v>21</v>
      </c>
      <c r="AF827" s="1">
        <v>354</v>
      </c>
      <c r="AG827" s="1">
        <v>153</v>
      </c>
    </row>
    <row r="828" spans="1:33">
      <c r="A828" s="58">
        <v>38534</v>
      </c>
      <c r="B828" s="1">
        <v>13623</v>
      </c>
      <c r="C828" s="1">
        <v>10496</v>
      </c>
      <c r="D828" s="21">
        <f t="shared" si="26"/>
        <v>0</v>
      </c>
      <c r="E828" s="1">
        <v>10496</v>
      </c>
      <c r="F828" s="1">
        <v>0</v>
      </c>
      <c r="H828" s="1">
        <v>3127</v>
      </c>
      <c r="I828" s="21">
        <f t="shared" si="25"/>
        <v>7.2727272727272724E-2</v>
      </c>
      <c r="J828" s="1">
        <v>1058</v>
      </c>
      <c r="K828" s="1">
        <v>543</v>
      </c>
      <c r="L828" s="1">
        <v>269</v>
      </c>
      <c r="O828" s="1">
        <v>274</v>
      </c>
      <c r="T828" s="1">
        <v>515</v>
      </c>
      <c r="Z828" s="1">
        <v>81</v>
      </c>
      <c r="AA828" s="1">
        <v>240</v>
      </c>
      <c r="AB828" s="1">
        <v>0</v>
      </c>
      <c r="AC828" s="1">
        <v>104</v>
      </c>
      <c r="AD828" s="1">
        <v>96</v>
      </c>
      <c r="AE828" s="1">
        <v>41</v>
      </c>
      <c r="AF828" s="1">
        <v>356</v>
      </c>
      <c r="AG828" s="1">
        <v>166</v>
      </c>
    </row>
    <row r="829" spans="1:33">
      <c r="A829" s="58">
        <v>38541</v>
      </c>
      <c r="B829" s="1">
        <v>13444</v>
      </c>
      <c r="C829" s="1">
        <v>10330</v>
      </c>
      <c r="D829" s="21">
        <f t="shared" si="26"/>
        <v>-1.5815548780487805E-2</v>
      </c>
      <c r="E829" s="1">
        <v>10330</v>
      </c>
      <c r="F829" s="1">
        <v>0</v>
      </c>
      <c r="H829" s="1">
        <v>3114</v>
      </c>
      <c r="I829" s="21">
        <f t="shared" si="25"/>
        <v>-4.1573393028461782E-3</v>
      </c>
      <c r="J829" s="1">
        <v>1035</v>
      </c>
      <c r="K829" s="1">
        <v>582</v>
      </c>
      <c r="L829" s="1">
        <v>262</v>
      </c>
      <c r="O829" s="1">
        <v>320</v>
      </c>
      <c r="T829" s="1">
        <v>453</v>
      </c>
      <c r="Z829" s="1">
        <v>68</v>
      </c>
      <c r="AA829" s="1">
        <v>232</v>
      </c>
      <c r="AB829" s="1">
        <v>0</v>
      </c>
      <c r="AC829" s="1">
        <v>100</v>
      </c>
      <c r="AD829" s="1">
        <v>100</v>
      </c>
      <c r="AE829" s="1">
        <v>32</v>
      </c>
      <c r="AF829" s="1">
        <v>380</v>
      </c>
      <c r="AG829" s="1">
        <v>172</v>
      </c>
    </row>
    <row r="830" spans="1:33">
      <c r="A830" s="58">
        <v>38548</v>
      </c>
      <c r="B830" s="1">
        <v>13642</v>
      </c>
      <c r="C830" s="1">
        <v>10492</v>
      </c>
      <c r="D830" s="21">
        <f t="shared" si="26"/>
        <v>1.5682478218780251E-2</v>
      </c>
      <c r="E830" s="1">
        <v>10492</v>
      </c>
      <c r="F830" s="1">
        <v>0</v>
      </c>
      <c r="H830" s="1">
        <v>3150</v>
      </c>
      <c r="I830" s="21">
        <f t="shared" si="25"/>
        <v>1.1560693641618497E-2</v>
      </c>
      <c r="J830" s="1">
        <v>952</v>
      </c>
      <c r="K830" s="1">
        <v>540</v>
      </c>
      <c r="L830" s="1">
        <v>267</v>
      </c>
      <c r="O830" s="1">
        <v>273</v>
      </c>
      <c r="T830" s="1">
        <v>413</v>
      </c>
      <c r="Z830" s="1">
        <v>88</v>
      </c>
      <c r="AA830" s="1">
        <v>245</v>
      </c>
      <c r="AB830" s="1">
        <v>0</v>
      </c>
      <c r="AC830" s="1">
        <v>119</v>
      </c>
      <c r="AD830" s="1">
        <v>95</v>
      </c>
      <c r="AE830" s="1">
        <v>32</v>
      </c>
      <c r="AF830" s="1">
        <v>384</v>
      </c>
      <c r="AG830" s="1">
        <v>181</v>
      </c>
    </row>
    <row r="831" spans="1:33">
      <c r="A831" s="58">
        <v>38555</v>
      </c>
      <c r="B831" s="1">
        <v>13413</v>
      </c>
      <c r="C831" s="1">
        <v>10235</v>
      </c>
      <c r="D831" s="21">
        <f t="shared" si="26"/>
        <v>-2.4494853221502098E-2</v>
      </c>
      <c r="E831" s="1">
        <v>10235</v>
      </c>
      <c r="F831" s="1">
        <v>0</v>
      </c>
      <c r="H831" s="1">
        <v>3179</v>
      </c>
      <c r="I831" s="21">
        <f t="shared" si="25"/>
        <v>9.2063492063492059E-3</v>
      </c>
      <c r="J831" s="1">
        <v>958</v>
      </c>
      <c r="K831" s="1">
        <v>549</v>
      </c>
      <c r="L831" s="1">
        <v>255</v>
      </c>
      <c r="O831" s="1">
        <v>294</v>
      </c>
      <c r="T831" s="1">
        <v>409</v>
      </c>
      <c r="Z831" s="1">
        <v>81</v>
      </c>
      <c r="AA831" s="1">
        <v>259</v>
      </c>
      <c r="AB831" s="1">
        <v>0</v>
      </c>
      <c r="AC831" s="1">
        <v>114</v>
      </c>
      <c r="AD831" s="1">
        <v>108</v>
      </c>
      <c r="AE831" s="1">
        <v>37</v>
      </c>
      <c r="AF831" s="1">
        <v>367</v>
      </c>
      <c r="AG831" s="1">
        <v>171</v>
      </c>
    </row>
    <row r="832" spans="1:33">
      <c r="A832" s="58">
        <v>38562</v>
      </c>
      <c r="B832" s="1">
        <v>13505</v>
      </c>
      <c r="C832" s="1">
        <v>10419</v>
      </c>
      <c r="D832" s="21">
        <f t="shared" si="26"/>
        <v>1.7977528089887642E-2</v>
      </c>
      <c r="E832" s="1">
        <v>10419</v>
      </c>
      <c r="F832" s="1">
        <v>0</v>
      </c>
      <c r="H832" s="1">
        <v>3087</v>
      </c>
      <c r="I832" s="21">
        <f t="shared" si="25"/>
        <v>-2.8939918213274615E-2</v>
      </c>
      <c r="J832" s="1">
        <v>957</v>
      </c>
      <c r="K832" s="1">
        <v>563</v>
      </c>
      <c r="L832" s="1">
        <v>238</v>
      </c>
      <c r="O832" s="1">
        <v>325</v>
      </c>
      <c r="T832" s="1">
        <v>395</v>
      </c>
      <c r="Z832" s="1">
        <v>84</v>
      </c>
      <c r="AA832" s="1">
        <v>230</v>
      </c>
      <c r="AB832" s="1">
        <v>0</v>
      </c>
      <c r="AC832" s="1">
        <v>86</v>
      </c>
      <c r="AD832" s="1">
        <v>119</v>
      </c>
      <c r="AE832" s="1">
        <v>25</v>
      </c>
      <c r="AF832" s="1">
        <v>390</v>
      </c>
      <c r="AG832" s="1">
        <v>150</v>
      </c>
    </row>
    <row r="833" spans="1:33">
      <c r="A833" s="58">
        <v>38569</v>
      </c>
      <c r="B833" s="1">
        <v>13878</v>
      </c>
      <c r="C833" s="1">
        <v>10695</v>
      </c>
      <c r="D833" s="21">
        <f t="shared" si="26"/>
        <v>2.6490066225165563E-2</v>
      </c>
      <c r="E833" s="1">
        <v>10695</v>
      </c>
      <c r="F833" s="1">
        <v>0</v>
      </c>
      <c r="H833" s="1">
        <v>3184</v>
      </c>
      <c r="I833" s="21">
        <f t="shared" si="25"/>
        <v>3.1422092646582439E-2</v>
      </c>
      <c r="J833" s="1">
        <v>1015</v>
      </c>
      <c r="K833" s="1">
        <v>561</v>
      </c>
      <c r="L833" s="1">
        <v>247</v>
      </c>
      <c r="O833" s="1">
        <v>314</v>
      </c>
      <c r="T833" s="1">
        <v>454</v>
      </c>
      <c r="Z833" s="1">
        <v>99</v>
      </c>
      <c r="AA833" s="1">
        <v>210</v>
      </c>
      <c r="AB833" s="1">
        <v>0</v>
      </c>
      <c r="AC833" s="1">
        <v>88</v>
      </c>
      <c r="AD833" s="1">
        <v>93</v>
      </c>
      <c r="AE833" s="1">
        <v>29</v>
      </c>
      <c r="AF833" s="1">
        <v>387</v>
      </c>
      <c r="AG833" s="1">
        <v>178</v>
      </c>
    </row>
    <row r="834" spans="1:33">
      <c r="A834" s="58">
        <v>38576</v>
      </c>
      <c r="B834" s="1">
        <v>13730</v>
      </c>
      <c r="C834" s="1">
        <v>10565</v>
      </c>
      <c r="D834" s="21">
        <f t="shared" si="26"/>
        <v>-1.2155212716222535E-2</v>
      </c>
      <c r="E834" s="1">
        <v>10565</v>
      </c>
      <c r="F834" s="1">
        <v>0</v>
      </c>
      <c r="H834" s="1">
        <v>3165</v>
      </c>
      <c r="I834" s="21">
        <f t="shared" si="25"/>
        <v>-5.9673366834170852E-3</v>
      </c>
      <c r="J834" s="1">
        <v>1056</v>
      </c>
      <c r="K834" s="1">
        <v>545</v>
      </c>
      <c r="L834" s="1">
        <v>220</v>
      </c>
      <c r="O834" s="1">
        <v>325</v>
      </c>
      <c r="T834" s="1">
        <v>511</v>
      </c>
      <c r="Z834" s="1">
        <v>67</v>
      </c>
      <c r="AA834" s="1">
        <v>201</v>
      </c>
      <c r="AB834" s="1">
        <v>0</v>
      </c>
      <c r="AC834" s="1">
        <v>74</v>
      </c>
      <c r="AD834" s="1">
        <v>89</v>
      </c>
      <c r="AE834" s="1">
        <v>39</v>
      </c>
      <c r="AF834" s="1">
        <v>348</v>
      </c>
      <c r="AG834" s="1">
        <v>169</v>
      </c>
    </row>
    <row r="835" spans="1:33">
      <c r="A835" s="58">
        <v>38583</v>
      </c>
      <c r="B835" s="1">
        <v>14010</v>
      </c>
      <c r="C835" s="1">
        <v>10724</v>
      </c>
      <c r="D835" s="21">
        <f t="shared" si="26"/>
        <v>1.5049692380501656E-2</v>
      </c>
      <c r="E835" s="1">
        <v>10724</v>
      </c>
      <c r="F835" s="1">
        <v>0</v>
      </c>
      <c r="H835" s="1">
        <v>3287</v>
      </c>
      <c r="I835" s="21">
        <f t="shared" si="25"/>
        <v>3.8546603475513426E-2</v>
      </c>
      <c r="J835" s="1">
        <v>1099</v>
      </c>
      <c r="K835" s="1">
        <v>579</v>
      </c>
      <c r="L835" s="1">
        <v>276</v>
      </c>
      <c r="O835" s="1">
        <v>303</v>
      </c>
      <c r="T835" s="1">
        <v>521</v>
      </c>
      <c r="Z835" s="1">
        <v>55</v>
      </c>
      <c r="AA835" s="1">
        <v>195</v>
      </c>
      <c r="AB835" s="1">
        <v>0</v>
      </c>
      <c r="AC835" s="1">
        <v>70</v>
      </c>
      <c r="AD835" s="1">
        <v>78</v>
      </c>
      <c r="AE835" s="1">
        <v>46</v>
      </c>
      <c r="AF835" s="1">
        <v>381</v>
      </c>
      <c r="AG835" s="1">
        <v>200</v>
      </c>
    </row>
    <row r="836" spans="1:33">
      <c r="A836" s="58">
        <v>38590</v>
      </c>
      <c r="B836" s="1">
        <v>13996</v>
      </c>
      <c r="C836" s="1">
        <v>10601</v>
      </c>
      <c r="D836" s="21">
        <f t="shared" si="26"/>
        <v>-1.1469600895188363E-2</v>
      </c>
      <c r="E836" s="1">
        <v>10601</v>
      </c>
      <c r="F836" s="1">
        <v>0</v>
      </c>
      <c r="H836" s="1">
        <v>3395</v>
      </c>
      <c r="I836" s="21">
        <f t="shared" si="25"/>
        <v>3.2856708244599936E-2</v>
      </c>
      <c r="J836" s="1">
        <v>1164</v>
      </c>
      <c r="K836" s="1">
        <v>602</v>
      </c>
      <c r="L836" s="1">
        <v>310</v>
      </c>
      <c r="O836" s="1">
        <v>292</v>
      </c>
      <c r="T836" s="1">
        <v>562</v>
      </c>
      <c r="Z836" s="1">
        <v>79</v>
      </c>
      <c r="AA836" s="1">
        <v>221</v>
      </c>
      <c r="AB836" s="1">
        <v>0</v>
      </c>
      <c r="AC836" s="1">
        <v>89</v>
      </c>
      <c r="AD836" s="1">
        <v>70</v>
      </c>
      <c r="AE836" s="1">
        <v>63</v>
      </c>
      <c r="AF836" s="1">
        <v>420</v>
      </c>
      <c r="AG836" s="1">
        <v>187</v>
      </c>
    </row>
    <row r="837" spans="1:33">
      <c r="A837" s="58">
        <v>38597</v>
      </c>
      <c r="B837" s="1">
        <v>13483</v>
      </c>
      <c r="C837" s="1">
        <v>10219</v>
      </c>
      <c r="D837" s="21">
        <f t="shared" si="26"/>
        <v>-3.6034336383360059E-2</v>
      </c>
      <c r="E837" s="1">
        <v>10219</v>
      </c>
      <c r="F837" s="1">
        <v>0</v>
      </c>
      <c r="H837" s="1">
        <v>3264</v>
      </c>
      <c r="I837" s="21">
        <f t="shared" si="25"/>
        <v>-3.8586156111929309E-2</v>
      </c>
      <c r="J837" s="1">
        <v>1083</v>
      </c>
      <c r="K837" s="1">
        <v>581</v>
      </c>
      <c r="L837" s="1">
        <v>319</v>
      </c>
      <c r="O837" s="1">
        <v>262</v>
      </c>
      <c r="T837" s="1">
        <v>502</v>
      </c>
      <c r="Z837" s="1">
        <v>85</v>
      </c>
      <c r="AA837" s="1">
        <v>246</v>
      </c>
      <c r="AB837" s="1">
        <v>0</v>
      </c>
      <c r="AC837" s="1">
        <v>92</v>
      </c>
      <c r="AD837" s="1">
        <v>76</v>
      </c>
      <c r="AE837" s="1">
        <v>78</v>
      </c>
      <c r="AF837" s="1">
        <v>466</v>
      </c>
      <c r="AG837" s="1">
        <v>158</v>
      </c>
    </row>
    <row r="838" spans="1:33">
      <c r="A838" s="58">
        <v>38604</v>
      </c>
      <c r="B838" s="1">
        <v>13300</v>
      </c>
      <c r="C838" s="1">
        <v>9925</v>
      </c>
      <c r="D838" s="21">
        <f t="shared" si="26"/>
        <v>-2.8769938350132106E-2</v>
      </c>
      <c r="E838" s="1">
        <v>9925</v>
      </c>
      <c r="F838" s="1">
        <v>0</v>
      </c>
      <c r="H838" s="1">
        <v>3375</v>
      </c>
      <c r="I838" s="21">
        <f t="shared" si="25"/>
        <v>3.4007352941176468E-2</v>
      </c>
      <c r="J838" s="1">
        <v>1114</v>
      </c>
      <c r="K838" s="1">
        <v>611</v>
      </c>
      <c r="L838" s="1">
        <v>323</v>
      </c>
      <c r="O838" s="1">
        <v>288</v>
      </c>
      <c r="T838" s="1">
        <v>503</v>
      </c>
      <c r="Z838" s="1">
        <v>111</v>
      </c>
      <c r="AA838" s="1">
        <v>250</v>
      </c>
      <c r="AB838" s="1">
        <v>0</v>
      </c>
      <c r="AC838" s="1">
        <v>102</v>
      </c>
      <c r="AD838" s="1">
        <v>75</v>
      </c>
      <c r="AE838" s="1">
        <v>73</v>
      </c>
      <c r="AF838" s="1">
        <v>523</v>
      </c>
      <c r="AG838" s="1">
        <v>164</v>
      </c>
    </row>
    <row r="839" spans="1:33">
      <c r="A839" s="58">
        <v>38611</v>
      </c>
      <c r="B839" s="1">
        <v>13216</v>
      </c>
      <c r="C839" s="1">
        <v>9739</v>
      </c>
      <c r="D839" s="21">
        <f t="shared" si="26"/>
        <v>-1.8740554156171284E-2</v>
      </c>
      <c r="E839" s="1">
        <v>9739</v>
      </c>
      <c r="F839" s="1">
        <v>0</v>
      </c>
      <c r="H839" s="1">
        <v>3478</v>
      </c>
      <c r="I839" s="21">
        <f t="shared" si="25"/>
        <v>3.0518518518518518E-2</v>
      </c>
      <c r="J839" s="1">
        <v>1042</v>
      </c>
      <c r="K839" s="1">
        <v>561</v>
      </c>
      <c r="L839" s="1">
        <v>274</v>
      </c>
      <c r="O839" s="1">
        <v>287</v>
      </c>
      <c r="T839" s="1">
        <v>482</v>
      </c>
      <c r="Z839" s="1">
        <v>150</v>
      </c>
      <c r="AA839" s="1">
        <v>239</v>
      </c>
      <c r="AB839" s="1">
        <v>0</v>
      </c>
      <c r="AC839" s="1">
        <v>105</v>
      </c>
      <c r="AD839" s="1">
        <v>71</v>
      </c>
      <c r="AE839" s="1">
        <v>63</v>
      </c>
      <c r="AF839" s="1">
        <v>576</v>
      </c>
      <c r="AG839" s="1">
        <v>148</v>
      </c>
    </row>
    <row r="840" spans="1:33">
      <c r="A840" s="58">
        <v>38618</v>
      </c>
      <c r="B840" s="1">
        <v>13009</v>
      </c>
      <c r="C840" s="1">
        <v>9546</v>
      </c>
      <c r="D840" s="21">
        <f t="shared" si="26"/>
        <v>-1.9817229695040559E-2</v>
      </c>
      <c r="E840" s="1">
        <v>9546</v>
      </c>
      <c r="F840" s="1">
        <v>0</v>
      </c>
      <c r="H840" s="1">
        <v>3463</v>
      </c>
      <c r="I840" s="21">
        <f t="shared" si="25"/>
        <v>-4.3128234617596318E-3</v>
      </c>
      <c r="J840" s="1">
        <v>1026</v>
      </c>
      <c r="K840" s="1">
        <v>607</v>
      </c>
      <c r="L840" s="1">
        <v>256</v>
      </c>
      <c r="O840" s="1">
        <v>351</v>
      </c>
      <c r="T840" s="1">
        <v>420</v>
      </c>
      <c r="Z840" s="1">
        <v>156</v>
      </c>
      <c r="AA840" s="1">
        <v>206</v>
      </c>
      <c r="AB840" s="1">
        <v>9</v>
      </c>
      <c r="AC840" s="1">
        <v>85</v>
      </c>
      <c r="AD840" s="1">
        <v>72</v>
      </c>
      <c r="AE840" s="1">
        <v>40</v>
      </c>
      <c r="AF840" s="1">
        <v>513</v>
      </c>
      <c r="AG840" s="1">
        <v>157</v>
      </c>
    </row>
    <row r="841" spans="1:33">
      <c r="A841" s="58">
        <v>38625</v>
      </c>
      <c r="B841" s="1">
        <v>13066</v>
      </c>
      <c r="C841" s="1">
        <v>9193</v>
      </c>
      <c r="D841" s="21">
        <f t="shared" si="26"/>
        <v>-3.6978839304420696E-2</v>
      </c>
      <c r="E841" s="1">
        <v>9193</v>
      </c>
      <c r="F841" s="1">
        <v>0</v>
      </c>
      <c r="H841" s="1">
        <v>3873</v>
      </c>
      <c r="I841" s="21">
        <f t="shared" si="25"/>
        <v>0.11839445567427086</v>
      </c>
      <c r="J841" s="1">
        <v>1167</v>
      </c>
      <c r="K841" s="1">
        <v>690</v>
      </c>
      <c r="L841" s="1">
        <v>294</v>
      </c>
      <c r="O841" s="1">
        <v>396</v>
      </c>
      <c r="T841" s="1">
        <v>477</v>
      </c>
      <c r="Z841" s="1">
        <v>170</v>
      </c>
      <c r="AA841" s="1">
        <v>214</v>
      </c>
      <c r="AB841" s="1">
        <v>9</v>
      </c>
      <c r="AC841" s="1">
        <v>90</v>
      </c>
      <c r="AD841" s="1">
        <v>81</v>
      </c>
      <c r="AE841" s="1">
        <v>34</v>
      </c>
      <c r="AF841" s="1">
        <v>545</v>
      </c>
      <c r="AG841" s="1">
        <v>220</v>
      </c>
    </row>
    <row r="842" spans="1:33">
      <c r="A842" s="58">
        <v>38632</v>
      </c>
      <c r="B842" s="1">
        <v>13174</v>
      </c>
      <c r="C842" s="1">
        <v>9066</v>
      </c>
      <c r="D842" s="21">
        <f t="shared" si="26"/>
        <v>-1.3814859131948222E-2</v>
      </c>
      <c r="E842" s="1">
        <v>9066</v>
      </c>
      <c r="F842" s="1">
        <v>0</v>
      </c>
      <c r="H842" s="1">
        <v>4108</v>
      </c>
      <c r="I842" s="21">
        <f t="shared" si="25"/>
        <v>6.0676478182287635E-2</v>
      </c>
      <c r="J842" s="1">
        <v>1250</v>
      </c>
      <c r="K842" s="1">
        <v>782</v>
      </c>
      <c r="L842" s="1">
        <v>313</v>
      </c>
      <c r="O842" s="1">
        <v>469</v>
      </c>
      <c r="T842" s="1">
        <v>468</v>
      </c>
      <c r="Z842" s="1">
        <v>179</v>
      </c>
      <c r="AA842" s="1">
        <v>237</v>
      </c>
      <c r="AB842" s="1">
        <v>9</v>
      </c>
      <c r="AC842" s="1">
        <v>100</v>
      </c>
      <c r="AD842" s="1">
        <v>87</v>
      </c>
      <c r="AE842" s="1">
        <v>41</v>
      </c>
      <c r="AF842" s="1">
        <v>602</v>
      </c>
      <c r="AG842" s="1">
        <v>225</v>
      </c>
    </row>
    <row r="843" spans="1:33">
      <c r="A843" s="58">
        <v>38639</v>
      </c>
      <c r="B843" s="1">
        <v>13292</v>
      </c>
      <c r="C843" s="1">
        <v>8910</v>
      </c>
      <c r="D843" s="21">
        <f t="shared" si="26"/>
        <v>-1.7207147584381206E-2</v>
      </c>
      <c r="E843" s="1">
        <v>8910</v>
      </c>
      <c r="F843" s="1">
        <v>0</v>
      </c>
      <c r="H843" s="1">
        <v>4382</v>
      </c>
      <c r="I843" s="21">
        <f t="shared" si="25"/>
        <v>6.6699123661148982E-2</v>
      </c>
      <c r="J843" s="1">
        <v>1401</v>
      </c>
      <c r="K843" s="1">
        <v>885</v>
      </c>
      <c r="L843" s="1">
        <v>309</v>
      </c>
      <c r="O843" s="1">
        <v>576</v>
      </c>
      <c r="T843" s="1">
        <v>516</v>
      </c>
      <c r="Z843" s="1">
        <v>188</v>
      </c>
      <c r="AA843" s="1">
        <v>269</v>
      </c>
      <c r="AB843" s="1">
        <v>9</v>
      </c>
      <c r="AC843" s="1">
        <v>116</v>
      </c>
      <c r="AD843" s="1">
        <v>88</v>
      </c>
      <c r="AE843" s="1">
        <v>56</v>
      </c>
      <c r="AF843" s="1">
        <v>605</v>
      </c>
      <c r="AG843" s="1">
        <v>307</v>
      </c>
    </row>
    <row r="844" spans="1:33">
      <c r="A844" s="58">
        <v>38646</v>
      </c>
      <c r="B844" s="1">
        <v>13534</v>
      </c>
      <c r="C844" s="1">
        <v>8976</v>
      </c>
      <c r="D844" s="21">
        <f t="shared" si="26"/>
        <v>7.4074074074074077E-3</v>
      </c>
      <c r="E844" s="1">
        <v>8976</v>
      </c>
      <c r="F844" s="1">
        <v>0</v>
      </c>
      <c r="H844" s="1">
        <v>4559</v>
      </c>
      <c r="I844" s="21">
        <f t="shared" si="25"/>
        <v>4.0392514833409401E-2</v>
      </c>
      <c r="J844" s="1">
        <v>1356</v>
      </c>
      <c r="K844" s="1">
        <v>785</v>
      </c>
      <c r="L844" s="1">
        <v>299</v>
      </c>
      <c r="O844" s="1">
        <v>486</v>
      </c>
      <c r="T844" s="1">
        <v>570</v>
      </c>
      <c r="Z844" s="1">
        <v>220</v>
      </c>
      <c r="AA844" s="1">
        <v>351</v>
      </c>
      <c r="AB844" s="1">
        <v>23</v>
      </c>
      <c r="AC844" s="1">
        <v>170</v>
      </c>
      <c r="AD844" s="1">
        <v>100</v>
      </c>
      <c r="AE844" s="1">
        <v>59</v>
      </c>
      <c r="AF844" s="1">
        <v>651</v>
      </c>
      <c r="AG844" s="1">
        <v>396</v>
      </c>
    </row>
    <row r="845" spans="1:33">
      <c r="A845" s="58">
        <v>38653</v>
      </c>
      <c r="B845" s="1">
        <v>13890</v>
      </c>
      <c r="C845" s="1">
        <v>9461</v>
      </c>
      <c r="D845" s="21">
        <f t="shared" si="26"/>
        <v>5.4032976827094473E-2</v>
      </c>
      <c r="E845" s="1">
        <v>9461</v>
      </c>
      <c r="F845" s="1">
        <v>0</v>
      </c>
      <c r="H845" s="1">
        <v>4429</v>
      </c>
      <c r="I845" s="21">
        <f t="shared" si="25"/>
        <v>-2.8515025224830008E-2</v>
      </c>
      <c r="J845" s="1">
        <v>1305</v>
      </c>
      <c r="K845" s="1">
        <v>736</v>
      </c>
      <c r="L845" s="1">
        <v>244</v>
      </c>
      <c r="O845" s="1">
        <v>492</v>
      </c>
      <c r="T845" s="1">
        <v>570</v>
      </c>
      <c r="Z845" s="1">
        <v>255</v>
      </c>
      <c r="AA845" s="1">
        <v>354</v>
      </c>
      <c r="AB845" s="1">
        <v>23</v>
      </c>
      <c r="AC845" s="1">
        <v>174</v>
      </c>
      <c r="AD845" s="1">
        <v>102</v>
      </c>
      <c r="AE845" s="1">
        <v>57</v>
      </c>
      <c r="AF845" s="1">
        <v>621</v>
      </c>
      <c r="AG845" s="1">
        <v>407</v>
      </c>
    </row>
    <row r="846" spans="1:33">
      <c r="A846" s="58">
        <v>38660</v>
      </c>
      <c r="B846" s="1">
        <v>14436</v>
      </c>
      <c r="C846" s="1">
        <v>9952</v>
      </c>
      <c r="D846" s="21">
        <f t="shared" si="26"/>
        <v>5.1897262445830247E-2</v>
      </c>
      <c r="E846" s="1">
        <v>9952</v>
      </c>
      <c r="F846" s="1">
        <v>0</v>
      </c>
      <c r="H846" s="1">
        <v>4484</v>
      </c>
      <c r="I846" s="21">
        <f t="shared" si="25"/>
        <v>1.241815308195981E-2</v>
      </c>
      <c r="J846" s="1">
        <v>1230</v>
      </c>
      <c r="K846" s="1">
        <v>705</v>
      </c>
      <c r="L846" s="1">
        <v>260</v>
      </c>
      <c r="O846" s="1">
        <v>445</v>
      </c>
      <c r="T846" s="1">
        <v>525</v>
      </c>
      <c r="Z846" s="1">
        <v>321</v>
      </c>
      <c r="AA846" s="1">
        <v>411</v>
      </c>
      <c r="AB846" s="1">
        <v>32</v>
      </c>
      <c r="AC846" s="1">
        <v>183</v>
      </c>
      <c r="AD846" s="1">
        <v>129</v>
      </c>
      <c r="AE846" s="1">
        <v>68</v>
      </c>
      <c r="AF846" s="1">
        <v>638</v>
      </c>
      <c r="AG846" s="1">
        <v>434</v>
      </c>
    </row>
    <row r="847" spans="1:33">
      <c r="A847" s="58">
        <v>38667</v>
      </c>
      <c r="B847" s="1">
        <v>14334</v>
      </c>
      <c r="C847" s="1">
        <v>10075</v>
      </c>
      <c r="D847" s="21">
        <f t="shared" si="26"/>
        <v>1.2359324758842443E-2</v>
      </c>
      <c r="E847" s="1">
        <v>10075</v>
      </c>
      <c r="F847" s="1">
        <v>0</v>
      </c>
      <c r="H847" s="1">
        <v>4259</v>
      </c>
      <c r="I847" s="21">
        <f t="shared" si="25"/>
        <v>-5.017841213202498E-2</v>
      </c>
      <c r="J847" s="1">
        <v>1119</v>
      </c>
      <c r="K847" s="1">
        <v>613</v>
      </c>
      <c r="L847" s="1">
        <v>246</v>
      </c>
      <c r="O847" s="1">
        <v>367</v>
      </c>
      <c r="T847" s="1">
        <v>506</v>
      </c>
      <c r="Z847" s="1">
        <v>328</v>
      </c>
      <c r="AA847" s="1">
        <v>470</v>
      </c>
      <c r="AB847" s="1">
        <v>32</v>
      </c>
      <c r="AC847" s="1">
        <v>224</v>
      </c>
      <c r="AD847" s="1">
        <v>147</v>
      </c>
      <c r="AE847" s="1">
        <v>67</v>
      </c>
      <c r="AF847" s="1">
        <v>689</v>
      </c>
      <c r="AG847" s="1">
        <v>377</v>
      </c>
    </row>
    <row r="848" spans="1:33">
      <c r="A848" s="58">
        <v>38674</v>
      </c>
      <c r="B848" s="1">
        <v>14218</v>
      </c>
      <c r="C848" s="1">
        <v>10141</v>
      </c>
      <c r="D848" s="21">
        <f t="shared" si="26"/>
        <v>6.5508684863523573E-3</v>
      </c>
      <c r="E848" s="1">
        <v>10141</v>
      </c>
      <c r="F848" s="1">
        <v>0</v>
      </c>
      <c r="H848" s="1">
        <v>4077</v>
      </c>
      <c r="I848" s="21">
        <f t="shared" si="25"/>
        <v>-4.2733035923925806E-2</v>
      </c>
      <c r="J848" s="1">
        <v>1144</v>
      </c>
      <c r="K848" s="1">
        <v>636</v>
      </c>
      <c r="L848" s="1">
        <v>224</v>
      </c>
      <c r="O848" s="1">
        <v>412</v>
      </c>
      <c r="T848" s="1">
        <v>509</v>
      </c>
      <c r="Z848" s="1">
        <v>283</v>
      </c>
      <c r="AA848" s="1">
        <v>449</v>
      </c>
      <c r="AB848" s="1">
        <v>9</v>
      </c>
      <c r="AC848" s="1">
        <v>202</v>
      </c>
      <c r="AD848" s="1">
        <v>160</v>
      </c>
      <c r="AE848" s="1">
        <v>78</v>
      </c>
      <c r="AF848" s="1">
        <v>690</v>
      </c>
      <c r="AG848" s="1">
        <v>330</v>
      </c>
    </row>
    <row r="849" spans="1:33">
      <c r="A849" s="58">
        <v>38681</v>
      </c>
      <c r="B849" s="1">
        <v>14062</v>
      </c>
      <c r="C849" s="1">
        <v>10049</v>
      </c>
      <c r="D849" s="21">
        <f t="shared" si="26"/>
        <v>-9.0720836209446792E-3</v>
      </c>
      <c r="E849" s="1">
        <v>10049</v>
      </c>
      <c r="F849" s="1">
        <v>0</v>
      </c>
      <c r="H849" s="1">
        <v>4013</v>
      </c>
      <c r="I849" s="21">
        <f t="shared" si="25"/>
        <v>-1.5697817022320332E-2</v>
      </c>
      <c r="J849" s="1">
        <v>985</v>
      </c>
      <c r="K849" s="1">
        <v>555</v>
      </c>
      <c r="L849" s="1">
        <v>218</v>
      </c>
      <c r="O849" s="1">
        <v>337</v>
      </c>
      <c r="T849" s="1">
        <v>431</v>
      </c>
      <c r="Z849" s="1">
        <v>254</v>
      </c>
      <c r="AA849" s="1">
        <v>463</v>
      </c>
      <c r="AB849" s="1">
        <v>9</v>
      </c>
      <c r="AC849" s="1">
        <v>213</v>
      </c>
      <c r="AD849" s="1">
        <v>157</v>
      </c>
      <c r="AE849" s="1">
        <v>84</v>
      </c>
      <c r="AF849" s="1">
        <v>674</v>
      </c>
      <c r="AG849" s="1">
        <v>350</v>
      </c>
    </row>
    <row r="850" spans="1:33">
      <c r="A850" s="58">
        <v>38688</v>
      </c>
      <c r="B850" s="1">
        <v>13729</v>
      </c>
      <c r="C850" s="1">
        <v>10048</v>
      </c>
      <c r="D850" s="21">
        <f t="shared" si="26"/>
        <v>-9.9512389292466907E-5</v>
      </c>
      <c r="E850" s="1">
        <v>10048</v>
      </c>
      <c r="F850" s="1">
        <v>0</v>
      </c>
      <c r="H850" s="1">
        <v>3681</v>
      </c>
      <c r="I850" s="21">
        <f t="shared" si="25"/>
        <v>-8.2731123847495633E-2</v>
      </c>
      <c r="J850" s="1">
        <v>940</v>
      </c>
      <c r="K850" s="1">
        <v>523</v>
      </c>
      <c r="L850" s="1">
        <v>192</v>
      </c>
      <c r="O850" s="1">
        <v>331</v>
      </c>
      <c r="T850" s="1">
        <v>417</v>
      </c>
      <c r="Z850" s="1">
        <v>189</v>
      </c>
      <c r="AA850" s="1">
        <v>439</v>
      </c>
      <c r="AB850" s="1">
        <v>0</v>
      </c>
      <c r="AC850" s="1">
        <v>219</v>
      </c>
      <c r="AD850" s="1">
        <v>153</v>
      </c>
      <c r="AE850" s="1">
        <v>68</v>
      </c>
      <c r="AF850" s="1">
        <v>596</v>
      </c>
      <c r="AG850" s="1">
        <v>340</v>
      </c>
    </row>
    <row r="851" spans="1:33">
      <c r="A851" s="58">
        <v>38695</v>
      </c>
      <c r="B851" s="1">
        <v>13949</v>
      </c>
      <c r="C851" s="1">
        <v>10230</v>
      </c>
      <c r="D851" s="21">
        <f t="shared" si="26"/>
        <v>1.8113057324840764E-2</v>
      </c>
      <c r="E851" s="1">
        <v>10230</v>
      </c>
      <c r="F851" s="1">
        <v>0</v>
      </c>
      <c r="H851" s="1">
        <v>3719</v>
      </c>
      <c r="I851" s="21">
        <f t="shared" si="25"/>
        <v>1.0323281716924749E-2</v>
      </c>
      <c r="J851" s="1">
        <v>980</v>
      </c>
      <c r="K851" s="1">
        <v>561</v>
      </c>
      <c r="L851" s="1">
        <v>217</v>
      </c>
      <c r="O851" s="1">
        <v>344</v>
      </c>
      <c r="T851" s="1">
        <v>419</v>
      </c>
      <c r="Z851" s="1">
        <v>226</v>
      </c>
      <c r="AA851" s="1">
        <v>409</v>
      </c>
      <c r="AB851" s="1">
        <v>0</v>
      </c>
      <c r="AC851" s="1">
        <v>200</v>
      </c>
      <c r="AD851" s="1">
        <v>154</v>
      </c>
      <c r="AE851" s="1">
        <v>55</v>
      </c>
      <c r="AF851" s="1">
        <v>538</v>
      </c>
      <c r="AG851" s="1">
        <v>316</v>
      </c>
    </row>
    <row r="852" spans="1:33">
      <c r="A852" s="58">
        <v>38702</v>
      </c>
      <c r="B852" s="1">
        <v>13885</v>
      </c>
      <c r="C852" s="1">
        <v>10140</v>
      </c>
      <c r="D852" s="21">
        <f t="shared" si="26"/>
        <v>-8.7976539589442824E-3</v>
      </c>
      <c r="E852" s="1">
        <v>10140</v>
      </c>
      <c r="F852" s="1">
        <v>0</v>
      </c>
      <c r="H852" s="1">
        <v>3745</v>
      </c>
      <c r="I852" s="21">
        <f t="shared" si="25"/>
        <v>6.9911266469481047E-3</v>
      </c>
      <c r="J852" s="1">
        <v>946</v>
      </c>
      <c r="K852" s="1">
        <v>576</v>
      </c>
      <c r="L852" s="1">
        <v>241</v>
      </c>
      <c r="O852" s="1">
        <v>335</v>
      </c>
      <c r="T852" s="1">
        <v>370</v>
      </c>
      <c r="Z852" s="1">
        <v>226</v>
      </c>
      <c r="AA852" s="1">
        <v>412</v>
      </c>
      <c r="AB852" s="1">
        <v>0</v>
      </c>
      <c r="AC852" s="1">
        <v>201</v>
      </c>
      <c r="AD852" s="1">
        <v>145</v>
      </c>
      <c r="AE852" s="1">
        <v>66</v>
      </c>
      <c r="AF852" s="1">
        <v>513</v>
      </c>
      <c r="AG852" s="1">
        <v>304</v>
      </c>
    </row>
    <row r="853" spans="1:33">
      <c r="A853" s="58">
        <v>38709</v>
      </c>
      <c r="B853" s="1">
        <v>13935</v>
      </c>
      <c r="C853" s="1">
        <v>10264</v>
      </c>
      <c r="D853" s="21">
        <f t="shared" si="26"/>
        <v>1.2228796844181459E-2</v>
      </c>
      <c r="E853" s="1">
        <v>10264</v>
      </c>
      <c r="F853" s="1">
        <v>0</v>
      </c>
      <c r="H853" s="1">
        <v>3671</v>
      </c>
      <c r="I853" s="21">
        <f t="shared" si="25"/>
        <v>-1.9759679572763686E-2</v>
      </c>
      <c r="J853" s="1">
        <v>1040</v>
      </c>
      <c r="K853" s="1">
        <v>569</v>
      </c>
      <c r="L853" s="1">
        <v>238</v>
      </c>
      <c r="O853" s="1">
        <v>331</v>
      </c>
      <c r="T853" s="1">
        <v>471</v>
      </c>
      <c r="Z853" s="1">
        <v>245</v>
      </c>
      <c r="AA853" s="1">
        <v>401</v>
      </c>
      <c r="AB853" s="1">
        <v>0</v>
      </c>
      <c r="AC853" s="1">
        <v>193</v>
      </c>
      <c r="AD853" s="1">
        <v>146</v>
      </c>
      <c r="AE853" s="1">
        <v>62</v>
      </c>
      <c r="AF853" s="1">
        <v>549</v>
      </c>
      <c r="AG853" s="1">
        <v>255</v>
      </c>
    </row>
    <row r="854" spans="1:33">
      <c r="A854" s="58">
        <v>38716</v>
      </c>
      <c r="B854" s="1">
        <v>13755</v>
      </c>
      <c r="C854" s="1">
        <v>10134</v>
      </c>
      <c r="D854" s="21">
        <f t="shared" si="26"/>
        <v>-1.2665627435697584E-2</v>
      </c>
      <c r="E854" s="1">
        <v>10134</v>
      </c>
      <c r="F854" s="1">
        <v>0</v>
      </c>
      <c r="H854" s="1">
        <v>3622</v>
      </c>
      <c r="I854" s="21">
        <f t="shared" si="25"/>
        <v>-1.3347861618087714E-2</v>
      </c>
      <c r="J854" s="1">
        <v>1033</v>
      </c>
      <c r="K854" s="1">
        <v>531</v>
      </c>
      <c r="L854" s="1">
        <v>229</v>
      </c>
      <c r="O854" s="1">
        <v>302</v>
      </c>
      <c r="T854" s="1">
        <v>502</v>
      </c>
      <c r="Z854" s="1">
        <v>241</v>
      </c>
      <c r="AA854" s="1">
        <v>374</v>
      </c>
      <c r="AB854" s="1">
        <v>1</v>
      </c>
      <c r="AC854" s="1">
        <v>172</v>
      </c>
      <c r="AD854" s="1">
        <v>131</v>
      </c>
      <c r="AE854" s="1">
        <v>70</v>
      </c>
      <c r="AF854" s="1">
        <v>609</v>
      </c>
      <c r="AG854" s="1">
        <v>235</v>
      </c>
    </row>
    <row r="855" spans="1:33">
      <c r="A855" s="58">
        <v>38723</v>
      </c>
      <c r="B855" s="1">
        <v>13532</v>
      </c>
      <c r="C855" s="1">
        <v>9994</v>
      </c>
      <c r="D855" s="21">
        <f t="shared" si="26"/>
        <v>-1.3814880599960529E-2</v>
      </c>
      <c r="E855" s="1">
        <v>9994</v>
      </c>
      <c r="F855" s="1">
        <v>0</v>
      </c>
      <c r="H855" s="1">
        <v>3538</v>
      </c>
      <c r="I855" s="21">
        <f t="shared" si="25"/>
        <v>-2.3191606847045829E-2</v>
      </c>
      <c r="J855" s="1">
        <v>971</v>
      </c>
      <c r="K855" s="1">
        <v>506</v>
      </c>
      <c r="L855" s="1">
        <v>238</v>
      </c>
      <c r="O855" s="1">
        <v>268</v>
      </c>
      <c r="T855" s="1">
        <v>465</v>
      </c>
      <c r="Z855" s="1">
        <v>171</v>
      </c>
      <c r="AA855" s="1">
        <v>423</v>
      </c>
      <c r="AB855" s="1">
        <v>1</v>
      </c>
      <c r="AC855" s="1">
        <v>153</v>
      </c>
      <c r="AD855" s="1">
        <v>176</v>
      </c>
      <c r="AE855" s="1">
        <v>93</v>
      </c>
      <c r="AF855" s="1">
        <v>629</v>
      </c>
      <c r="AG855" s="1">
        <v>262</v>
      </c>
    </row>
    <row r="856" spans="1:33">
      <c r="A856" s="58">
        <v>38730</v>
      </c>
      <c r="B856" s="1">
        <v>13665</v>
      </c>
      <c r="C856" s="1">
        <v>9991</v>
      </c>
      <c r="D856" s="21">
        <f t="shared" si="26"/>
        <v>-3.0018010806483891E-4</v>
      </c>
      <c r="E856" s="1">
        <v>9991</v>
      </c>
      <c r="F856" s="1">
        <v>0</v>
      </c>
      <c r="H856" s="1">
        <v>3675</v>
      </c>
      <c r="I856" s="21">
        <f t="shared" si="25"/>
        <v>3.8722442057659692E-2</v>
      </c>
      <c r="J856" s="1">
        <v>978</v>
      </c>
      <c r="K856" s="1">
        <v>490</v>
      </c>
      <c r="L856" s="1">
        <v>223</v>
      </c>
      <c r="O856" s="1">
        <v>267</v>
      </c>
      <c r="T856" s="1">
        <v>489</v>
      </c>
      <c r="Z856" s="1">
        <v>175</v>
      </c>
      <c r="AA856" s="1">
        <v>429</v>
      </c>
      <c r="AB856" s="1">
        <v>1</v>
      </c>
      <c r="AC856" s="1">
        <v>171</v>
      </c>
      <c r="AD856" s="1">
        <v>175</v>
      </c>
      <c r="AE856" s="1">
        <v>81</v>
      </c>
      <c r="AF856" s="1">
        <v>743</v>
      </c>
      <c r="AG856" s="1">
        <v>232</v>
      </c>
    </row>
    <row r="857" spans="1:33">
      <c r="A857" s="58">
        <v>38737</v>
      </c>
      <c r="B857" s="1">
        <v>13515</v>
      </c>
      <c r="C857" s="1">
        <v>9758</v>
      </c>
      <c r="D857" s="21">
        <f t="shared" si="26"/>
        <v>-2.3320988890001001E-2</v>
      </c>
      <c r="E857" s="1">
        <v>9758</v>
      </c>
      <c r="F857" s="1">
        <v>0</v>
      </c>
      <c r="H857" s="1">
        <v>3757</v>
      </c>
      <c r="I857" s="21">
        <f t="shared" si="25"/>
        <v>2.2312925170068026E-2</v>
      </c>
      <c r="J857" s="1">
        <v>967</v>
      </c>
      <c r="K857" s="1">
        <v>532</v>
      </c>
      <c r="L857" s="1">
        <v>241</v>
      </c>
      <c r="O857" s="1">
        <v>291</v>
      </c>
      <c r="T857" s="1">
        <v>436</v>
      </c>
      <c r="Z857" s="1">
        <v>156</v>
      </c>
      <c r="AA857" s="1">
        <v>521</v>
      </c>
      <c r="AB857" s="1">
        <v>1</v>
      </c>
      <c r="AC857" s="1">
        <v>163</v>
      </c>
      <c r="AD857" s="1">
        <v>267</v>
      </c>
      <c r="AE857" s="1">
        <v>90</v>
      </c>
      <c r="AF857" s="1">
        <v>746</v>
      </c>
      <c r="AG857" s="1">
        <v>211</v>
      </c>
    </row>
    <row r="858" spans="1:33">
      <c r="A858" s="58">
        <v>38744</v>
      </c>
      <c r="B858" s="1">
        <v>13452</v>
      </c>
      <c r="C858" s="1">
        <v>9642</v>
      </c>
      <c r="D858" s="21">
        <f t="shared" si="26"/>
        <v>-1.1887681902029105E-2</v>
      </c>
      <c r="E858" s="1">
        <v>9642</v>
      </c>
      <c r="F858" s="1">
        <v>0</v>
      </c>
      <c r="H858" s="1">
        <v>3810</v>
      </c>
      <c r="I858" s="21">
        <f t="shared" ref="I858:I921" si="27">(H858-H857)/H857</f>
        <v>1.4107000266169817E-2</v>
      </c>
      <c r="J858" s="1">
        <v>971</v>
      </c>
      <c r="K858" s="1">
        <v>566</v>
      </c>
      <c r="L858" s="1">
        <v>237</v>
      </c>
      <c r="O858" s="1">
        <v>329</v>
      </c>
      <c r="T858" s="1">
        <v>405</v>
      </c>
      <c r="Z858" s="1">
        <v>125</v>
      </c>
      <c r="AA858" s="1">
        <v>542</v>
      </c>
      <c r="AB858" s="1">
        <v>0</v>
      </c>
      <c r="AC858" s="1">
        <v>168</v>
      </c>
      <c r="AD858" s="1">
        <v>279</v>
      </c>
      <c r="AE858" s="1">
        <v>95</v>
      </c>
      <c r="AF858" s="1">
        <v>713</v>
      </c>
      <c r="AG858" s="1">
        <v>194</v>
      </c>
    </row>
    <row r="859" spans="1:33">
      <c r="A859" s="58">
        <v>38751</v>
      </c>
      <c r="B859" s="1">
        <v>13354</v>
      </c>
      <c r="C859" s="1">
        <v>9640</v>
      </c>
      <c r="D859" s="21">
        <f t="shared" si="26"/>
        <v>-2.0742584526031943E-4</v>
      </c>
      <c r="E859" s="1">
        <v>9640</v>
      </c>
      <c r="F859" s="1">
        <v>0</v>
      </c>
      <c r="H859" s="1">
        <v>3715</v>
      </c>
      <c r="I859" s="21">
        <f t="shared" si="27"/>
        <v>-2.4934383202099737E-2</v>
      </c>
      <c r="J859" s="1">
        <v>1016</v>
      </c>
      <c r="K859" s="1">
        <v>612</v>
      </c>
      <c r="L859" s="1">
        <v>209</v>
      </c>
      <c r="O859" s="1">
        <v>403</v>
      </c>
      <c r="T859" s="1">
        <v>403</v>
      </c>
      <c r="Z859" s="1">
        <v>138</v>
      </c>
      <c r="AA859" s="1">
        <v>483</v>
      </c>
      <c r="AB859" s="1">
        <v>0</v>
      </c>
      <c r="AC859" s="1">
        <v>159</v>
      </c>
      <c r="AD859" s="1">
        <v>255</v>
      </c>
      <c r="AE859" s="1">
        <v>69</v>
      </c>
      <c r="AF859" s="1">
        <v>641</v>
      </c>
      <c r="AG859" s="1">
        <v>186</v>
      </c>
    </row>
    <row r="860" spans="1:33">
      <c r="A860" s="58">
        <v>38758</v>
      </c>
      <c r="B860" s="1">
        <v>13420</v>
      </c>
      <c r="C860" s="1">
        <v>9744</v>
      </c>
      <c r="D860" s="21">
        <f t="shared" si="26"/>
        <v>1.0788381742738589E-2</v>
      </c>
      <c r="E860" s="1">
        <v>9744</v>
      </c>
      <c r="F860" s="1">
        <v>0</v>
      </c>
      <c r="H860" s="1">
        <v>3676</v>
      </c>
      <c r="I860" s="21">
        <f t="shared" si="27"/>
        <v>-1.0497981157469718E-2</v>
      </c>
      <c r="J860" s="1">
        <v>1034</v>
      </c>
      <c r="K860" s="1">
        <v>657</v>
      </c>
      <c r="L860" s="1">
        <v>208</v>
      </c>
      <c r="O860" s="1">
        <v>449</v>
      </c>
      <c r="T860" s="1">
        <v>377</v>
      </c>
      <c r="Z860" s="1">
        <v>116</v>
      </c>
      <c r="AA860" s="1">
        <v>537</v>
      </c>
      <c r="AB860" s="1">
        <v>2</v>
      </c>
      <c r="AC860" s="1">
        <v>121</v>
      </c>
      <c r="AD860" s="1">
        <v>332</v>
      </c>
      <c r="AE860" s="1">
        <v>82</v>
      </c>
      <c r="AF860" s="1">
        <v>544</v>
      </c>
      <c r="AG860" s="1">
        <v>186</v>
      </c>
    </row>
    <row r="861" spans="1:33">
      <c r="A861" s="58">
        <v>38765</v>
      </c>
      <c r="B861" s="1">
        <v>13604</v>
      </c>
      <c r="C861" s="1">
        <v>9920</v>
      </c>
      <c r="D861" s="21">
        <f t="shared" ref="D861:D924" si="28">(C861-C860)/C860</f>
        <v>1.8062397372742199E-2</v>
      </c>
      <c r="E861" s="1">
        <v>9920</v>
      </c>
      <c r="F861" s="1">
        <v>0</v>
      </c>
      <c r="H861" s="1">
        <v>3685</v>
      </c>
      <c r="I861" s="21">
        <f t="shared" si="27"/>
        <v>2.4483133841131663E-3</v>
      </c>
      <c r="J861" s="1">
        <v>1103</v>
      </c>
      <c r="K861" s="1">
        <v>669</v>
      </c>
      <c r="L861" s="1">
        <v>197</v>
      </c>
      <c r="O861" s="1">
        <v>472</v>
      </c>
      <c r="T861" s="1">
        <v>434</v>
      </c>
      <c r="Z861" s="1">
        <v>106</v>
      </c>
      <c r="AA861" s="1">
        <v>485</v>
      </c>
      <c r="AB861" s="1">
        <v>2</v>
      </c>
      <c r="AC861" s="1">
        <v>123</v>
      </c>
      <c r="AD861" s="1">
        <v>261</v>
      </c>
      <c r="AE861" s="1">
        <v>100</v>
      </c>
      <c r="AF861" s="1">
        <v>524</v>
      </c>
      <c r="AG861" s="1">
        <v>217</v>
      </c>
    </row>
    <row r="862" spans="1:33">
      <c r="A862" s="58">
        <v>38772</v>
      </c>
      <c r="B862" s="1">
        <v>13693</v>
      </c>
      <c r="C862" s="1">
        <v>9990</v>
      </c>
      <c r="D862" s="21">
        <f t="shared" si="28"/>
        <v>7.0564516129032256E-3</v>
      </c>
      <c r="E862" s="1">
        <v>9990</v>
      </c>
      <c r="F862" s="1">
        <v>0</v>
      </c>
      <c r="H862" s="1">
        <v>3703</v>
      </c>
      <c r="I862" s="21">
        <f t="shared" si="27"/>
        <v>4.8846675712347354E-3</v>
      </c>
      <c r="J862" s="1">
        <v>1176</v>
      </c>
      <c r="K862" s="1">
        <v>662</v>
      </c>
      <c r="L862" s="1">
        <v>207</v>
      </c>
      <c r="O862" s="1">
        <v>455</v>
      </c>
      <c r="T862" s="1">
        <v>515</v>
      </c>
      <c r="Z862" s="1">
        <v>118</v>
      </c>
      <c r="AA862" s="1">
        <v>467</v>
      </c>
      <c r="AB862" s="1">
        <v>2</v>
      </c>
      <c r="AC862" s="1">
        <v>121</v>
      </c>
      <c r="AD862" s="1">
        <v>252</v>
      </c>
      <c r="AE862" s="1">
        <v>93</v>
      </c>
      <c r="AF862" s="1">
        <v>487</v>
      </c>
      <c r="AG862" s="1">
        <v>224</v>
      </c>
    </row>
    <row r="863" spans="1:33">
      <c r="A863" s="58">
        <v>38779</v>
      </c>
      <c r="B863" s="1">
        <v>13632</v>
      </c>
      <c r="C863" s="1">
        <v>10062</v>
      </c>
      <c r="D863" s="21">
        <f t="shared" si="28"/>
        <v>7.2072072072072073E-3</v>
      </c>
      <c r="E863" s="1">
        <v>10062</v>
      </c>
      <c r="F863" s="1">
        <v>0</v>
      </c>
      <c r="H863" s="1">
        <v>3571</v>
      </c>
      <c r="I863" s="21">
        <f t="shared" si="27"/>
        <v>-3.5646772886848505E-2</v>
      </c>
      <c r="J863" s="1">
        <v>1157</v>
      </c>
      <c r="K863" s="1">
        <v>622</v>
      </c>
      <c r="L863" s="1">
        <v>216</v>
      </c>
      <c r="O863" s="1">
        <v>406</v>
      </c>
      <c r="T863" s="1">
        <v>535</v>
      </c>
      <c r="Z863" s="1">
        <v>100</v>
      </c>
      <c r="AA863" s="1">
        <v>451</v>
      </c>
      <c r="AB863" s="1">
        <v>2</v>
      </c>
      <c r="AC863" s="1">
        <v>122</v>
      </c>
      <c r="AD863" s="1">
        <v>224</v>
      </c>
      <c r="AE863" s="1">
        <v>103</v>
      </c>
      <c r="AF863" s="1">
        <v>473</v>
      </c>
      <c r="AG863" s="1">
        <v>199</v>
      </c>
    </row>
    <row r="864" spans="1:33">
      <c r="A864" s="58">
        <v>38786</v>
      </c>
      <c r="B864" s="1">
        <v>13362</v>
      </c>
      <c r="C864" s="1">
        <v>9981</v>
      </c>
      <c r="D864" s="21">
        <f t="shared" si="28"/>
        <v>-8.0500894454382833E-3</v>
      </c>
      <c r="E864" s="1">
        <v>9981</v>
      </c>
      <c r="F864" s="1">
        <v>0</v>
      </c>
      <c r="H864" s="1">
        <v>3382</v>
      </c>
      <c r="I864" s="21">
        <f t="shared" si="27"/>
        <v>-5.2926351162139458E-2</v>
      </c>
      <c r="J864" s="1">
        <v>1200</v>
      </c>
      <c r="K864" s="1">
        <v>655</v>
      </c>
      <c r="L864" s="1">
        <v>229</v>
      </c>
      <c r="O864" s="1">
        <v>426</v>
      </c>
      <c r="T864" s="1">
        <v>546</v>
      </c>
      <c r="Z864" s="1">
        <v>110</v>
      </c>
      <c r="AA864" s="1">
        <v>351</v>
      </c>
      <c r="AB864" s="1">
        <v>0</v>
      </c>
      <c r="AC864" s="1">
        <v>118</v>
      </c>
      <c r="AD864" s="1">
        <v>144</v>
      </c>
      <c r="AE864" s="1">
        <v>90</v>
      </c>
      <c r="AF864" s="1">
        <v>416</v>
      </c>
      <c r="AG864" s="1">
        <v>191</v>
      </c>
    </row>
    <row r="865" spans="1:33">
      <c r="A865" s="58">
        <v>38793</v>
      </c>
      <c r="B865" s="1">
        <v>13071</v>
      </c>
      <c r="C865" s="1">
        <v>9824</v>
      </c>
      <c r="D865" s="21">
        <f t="shared" si="28"/>
        <v>-1.5729886784891293E-2</v>
      </c>
      <c r="E865" s="1">
        <v>9824</v>
      </c>
      <c r="F865" s="1">
        <v>0</v>
      </c>
      <c r="H865" s="1">
        <v>3247</v>
      </c>
      <c r="I865" s="21">
        <f t="shared" si="27"/>
        <v>-3.9917208752217624E-2</v>
      </c>
      <c r="J865" s="1">
        <v>1180</v>
      </c>
      <c r="K865" s="1">
        <v>704</v>
      </c>
      <c r="L865" s="1">
        <v>237</v>
      </c>
      <c r="O865" s="1">
        <v>467</v>
      </c>
      <c r="T865" s="1">
        <v>477</v>
      </c>
      <c r="Z865" s="1">
        <v>100</v>
      </c>
      <c r="AA865" s="1">
        <v>283</v>
      </c>
      <c r="AB865" s="1">
        <v>0</v>
      </c>
      <c r="AC865" s="1">
        <v>114</v>
      </c>
      <c r="AD865" s="1">
        <v>108</v>
      </c>
      <c r="AE865" s="1">
        <v>61</v>
      </c>
      <c r="AF865" s="1">
        <v>373</v>
      </c>
      <c r="AG865" s="1">
        <v>169</v>
      </c>
    </row>
    <row r="866" spans="1:33">
      <c r="A866" s="58">
        <v>38800</v>
      </c>
      <c r="B866" s="1">
        <v>13036</v>
      </c>
      <c r="C866" s="1">
        <v>9879</v>
      </c>
      <c r="D866" s="21">
        <f t="shared" si="28"/>
        <v>5.5985342019543973E-3</v>
      </c>
      <c r="E866" s="1">
        <v>9879</v>
      </c>
      <c r="F866" s="1">
        <v>0</v>
      </c>
      <c r="H866" s="1">
        <v>3157</v>
      </c>
      <c r="I866" s="21">
        <f t="shared" si="27"/>
        <v>-2.7717893440098552E-2</v>
      </c>
      <c r="J866" s="1">
        <v>1135</v>
      </c>
      <c r="K866" s="1">
        <v>680</v>
      </c>
      <c r="L866" s="1">
        <v>199</v>
      </c>
      <c r="O866" s="1">
        <v>481</v>
      </c>
      <c r="T866" s="1">
        <v>455</v>
      </c>
      <c r="Z866" s="1">
        <v>118</v>
      </c>
      <c r="AA866" s="1">
        <v>262</v>
      </c>
      <c r="AB866" s="1">
        <v>10</v>
      </c>
      <c r="AC866" s="1">
        <v>102</v>
      </c>
      <c r="AD866" s="1">
        <v>87</v>
      </c>
      <c r="AE866" s="1">
        <v>63</v>
      </c>
      <c r="AF866" s="1">
        <v>370</v>
      </c>
      <c r="AG866" s="1">
        <v>179</v>
      </c>
    </row>
    <row r="867" spans="1:33">
      <c r="A867" s="58">
        <v>38807</v>
      </c>
      <c r="B867" s="1">
        <v>12940</v>
      </c>
      <c r="C867" s="1">
        <v>9831</v>
      </c>
      <c r="D867" s="21">
        <f t="shared" si="28"/>
        <v>-4.8587913756453086E-3</v>
      </c>
      <c r="E867" s="1">
        <v>9831</v>
      </c>
      <c r="F867" s="1">
        <v>0</v>
      </c>
      <c r="H867" s="1">
        <v>3109</v>
      </c>
      <c r="I867" s="21">
        <f t="shared" si="27"/>
        <v>-1.5204307887234716E-2</v>
      </c>
      <c r="J867" s="1">
        <v>1129</v>
      </c>
      <c r="K867" s="1">
        <v>630</v>
      </c>
      <c r="L867" s="1">
        <v>154</v>
      </c>
      <c r="O867" s="1">
        <v>476</v>
      </c>
      <c r="T867" s="1">
        <v>499</v>
      </c>
      <c r="Z867" s="1">
        <v>123</v>
      </c>
      <c r="AA867" s="1">
        <v>258</v>
      </c>
      <c r="AB867" s="1">
        <v>10</v>
      </c>
      <c r="AC867" s="1">
        <v>116</v>
      </c>
      <c r="AD867" s="1">
        <v>69</v>
      </c>
      <c r="AE867" s="1">
        <v>64</v>
      </c>
      <c r="AF867" s="1">
        <v>375</v>
      </c>
      <c r="AG867" s="1">
        <v>165</v>
      </c>
    </row>
    <row r="868" spans="1:33">
      <c r="A868" s="58">
        <v>38814</v>
      </c>
      <c r="B868" s="1">
        <v>12806</v>
      </c>
      <c r="C868" s="1">
        <v>9731</v>
      </c>
      <c r="D868" s="21">
        <f t="shared" si="28"/>
        <v>-1.0171905197843556E-2</v>
      </c>
      <c r="E868" s="1">
        <v>9731</v>
      </c>
      <c r="F868" s="1">
        <v>0</v>
      </c>
      <c r="H868" s="1">
        <v>3075</v>
      </c>
      <c r="I868" s="21">
        <f t="shared" si="27"/>
        <v>-1.0935992280476037E-2</v>
      </c>
      <c r="J868" s="1">
        <v>1087</v>
      </c>
      <c r="K868" s="1">
        <v>525</v>
      </c>
      <c r="L868" s="1">
        <v>109</v>
      </c>
      <c r="O868" s="1">
        <v>416</v>
      </c>
      <c r="T868" s="1">
        <v>562</v>
      </c>
      <c r="Z868" s="1">
        <v>114</v>
      </c>
      <c r="AA868" s="1">
        <v>243</v>
      </c>
      <c r="AB868" s="1">
        <v>10</v>
      </c>
      <c r="AC868" s="1">
        <v>121</v>
      </c>
      <c r="AD868" s="1">
        <v>51</v>
      </c>
      <c r="AE868" s="1">
        <v>62</v>
      </c>
      <c r="AF868" s="1">
        <v>402</v>
      </c>
      <c r="AG868" s="1">
        <v>190</v>
      </c>
    </row>
    <row r="869" spans="1:33">
      <c r="A869" s="58">
        <v>38821</v>
      </c>
      <c r="B869" s="1">
        <v>12773</v>
      </c>
      <c r="C869" s="1">
        <v>9814</v>
      </c>
      <c r="D869" s="21">
        <f t="shared" si="28"/>
        <v>8.5294419895180357E-3</v>
      </c>
      <c r="E869" s="1">
        <v>9814</v>
      </c>
      <c r="F869" s="1">
        <v>0</v>
      </c>
      <c r="H869" s="1">
        <v>2959</v>
      </c>
      <c r="I869" s="21">
        <f t="shared" si="27"/>
        <v>-3.7723577235772361E-2</v>
      </c>
      <c r="J869" s="1">
        <v>1036</v>
      </c>
      <c r="K869" s="1">
        <v>431</v>
      </c>
      <c r="L869" s="1">
        <v>62</v>
      </c>
      <c r="O869" s="1">
        <v>369</v>
      </c>
      <c r="T869" s="1">
        <v>606</v>
      </c>
      <c r="Z869" s="1">
        <v>152</v>
      </c>
      <c r="AA869" s="1">
        <v>219</v>
      </c>
      <c r="AB869" s="1">
        <v>10</v>
      </c>
      <c r="AC869" s="1">
        <v>113</v>
      </c>
      <c r="AD869" s="1">
        <v>45</v>
      </c>
      <c r="AE869" s="1">
        <v>52</v>
      </c>
      <c r="AF869" s="1">
        <v>368</v>
      </c>
      <c r="AG869" s="1">
        <v>171</v>
      </c>
    </row>
    <row r="870" spans="1:33">
      <c r="A870" s="58">
        <v>38828</v>
      </c>
      <c r="B870" s="1">
        <v>12943</v>
      </c>
      <c r="C870" s="1">
        <v>9755</v>
      </c>
      <c r="D870" s="21">
        <f t="shared" si="28"/>
        <v>-6.0118198491950275E-3</v>
      </c>
      <c r="E870" s="1">
        <v>9755</v>
      </c>
      <c r="F870" s="1">
        <v>0</v>
      </c>
      <c r="H870" s="1">
        <v>3187</v>
      </c>
      <c r="I870" s="21">
        <f t="shared" si="27"/>
        <v>7.7053058465697877E-2</v>
      </c>
      <c r="J870" s="1">
        <v>1108</v>
      </c>
      <c r="K870" s="1">
        <v>440</v>
      </c>
      <c r="L870" s="1">
        <v>50</v>
      </c>
      <c r="O870" s="1">
        <v>390</v>
      </c>
      <c r="T870" s="1">
        <v>669</v>
      </c>
      <c r="Z870" s="1">
        <v>159</v>
      </c>
      <c r="AA870" s="1">
        <v>259</v>
      </c>
      <c r="AB870" s="1">
        <v>14</v>
      </c>
      <c r="AC870" s="1">
        <v>130</v>
      </c>
      <c r="AD870" s="1">
        <v>58</v>
      </c>
      <c r="AE870" s="1">
        <v>57</v>
      </c>
      <c r="AF870" s="1">
        <v>389</v>
      </c>
      <c r="AG870" s="1">
        <v>177</v>
      </c>
    </row>
    <row r="871" spans="1:33">
      <c r="A871" s="58">
        <v>38835</v>
      </c>
      <c r="B871" s="1">
        <v>12943</v>
      </c>
      <c r="C871" s="1">
        <v>9720</v>
      </c>
      <c r="D871" s="21">
        <f t="shared" si="28"/>
        <v>-3.5879036391594054E-3</v>
      </c>
      <c r="E871" s="1">
        <v>9720</v>
      </c>
      <c r="F871" s="1">
        <v>0</v>
      </c>
      <c r="H871" s="1">
        <v>3223</v>
      </c>
      <c r="I871" s="21">
        <f t="shared" si="27"/>
        <v>1.1295889551302165E-2</v>
      </c>
      <c r="J871" s="1">
        <v>1091</v>
      </c>
      <c r="K871" s="1">
        <v>427</v>
      </c>
      <c r="L871" s="1">
        <v>28</v>
      </c>
      <c r="O871" s="1">
        <v>399</v>
      </c>
      <c r="T871" s="1">
        <v>665</v>
      </c>
      <c r="Z871" s="1">
        <v>194</v>
      </c>
      <c r="AA871" s="1">
        <v>255</v>
      </c>
      <c r="AB871" s="1">
        <v>20</v>
      </c>
      <c r="AC871" s="1">
        <v>124</v>
      </c>
      <c r="AD871" s="1">
        <v>75</v>
      </c>
      <c r="AE871" s="1">
        <v>36</v>
      </c>
      <c r="AF871" s="1">
        <v>351</v>
      </c>
      <c r="AG871" s="1">
        <v>172</v>
      </c>
    </row>
    <row r="872" spans="1:33">
      <c r="A872" s="58">
        <v>38842</v>
      </c>
      <c r="B872" s="1">
        <v>13323</v>
      </c>
      <c r="C872" s="1">
        <v>9837</v>
      </c>
      <c r="D872" s="21">
        <f t="shared" si="28"/>
        <v>1.2037037037037037E-2</v>
      </c>
      <c r="E872" s="1">
        <v>9837</v>
      </c>
      <c r="F872" s="1">
        <v>0</v>
      </c>
      <c r="H872" s="1">
        <v>3486</v>
      </c>
      <c r="I872" s="21">
        <f t="shared" si="27"/>
        <v>8.1600992863791494E-2</v>
      </c>
      <c r="J872" s="1">
        <v>1228</v>
      </c>
      <c r="K872" s="1">
        <v>475</v>
      </c>
      <c r="L872" s="1">
        <v>28</v>
      </c>
      <c r="O872" s="1">
        <v>447</v>
      </c>
      <c r="T872" s="1">
        <v>754</v>
      </c>
      <c r="Z872" s="1">
        <v>229</v>
      </c>
      <c r="AA872" s="1">
        <v>281</v>
      </c>
      <c r="AB872" s="1">
        <v>36</v>
      </c>
      <c r="AC872" s="1">
        <v>131</v>
      </c>
      <c r="AD872" s="1">
        <v>89</v>
      </c>
      <c r="AE872" s="1">
        <v>25</v>
      </c>
      <c r="AF872" s="1">
        <v>405</v>
      </c>
      <c r="AG872" s="1">
        <v>153</v>
      </c>
    </row>
    <row r="873" spans="1:33">
      <c r="A873" s="58">
        <v>38849</v>
      </c>
      <c r="B873" s="1">
        <v>13665</v>
      </c>
      <c r="C873" s="1">
        <v>10016</v>
      </c>
      <c r="D873" s="21">
        <f t="shared" si="28"/>
        <v>1.8196604655891024E-2</v>
      </c>
      <c r="E873" s="1">
        <v>10016</v>
      </c>
      <c r="F873" s="1">
        <v>0</v>
      </c>
      <c r="H873" s="1">
        <v>3648</v>
      </c>
      <c r="I873" s="21">
        <f t="shared" si="27"/>
        <v>4.6471600688468159E-2</v>
      </c>
      <c r="J873" s="1">
        <v>1364</v>
      </c>
      <c r="K873" s="1">
        <v>475</v>
      </c>
      <c r="L873" s="1">
        <v>23</v>
      </c>
      <c r="O873" s="1">
        <v>452</v>
      </c>
      <c r="T873" s="1">
        <v>890</v>
      </c>
      <c r="Z873" s="1">
        <v>193</v>
      </c>
      <c r="AA873" s="1">
        <v>332</v>
      </c>
      <c r="AB873" s="1">
        <v>41</v>
      </c>
      <c r="AC873" s="1">
        <v>148</v>
      </c>
      <c r="AD873" s="1">
        <v>118</v>
      </c>
      <c r="AE873" s="1">
        <v>25</v>
      </c>
      <c r="AF873" s="1">
        <v>481</v>
      </c>
      <c r="AG873" s="1">
        <v>147</v>
      </c>
    </row>
    <row r="874" spans="1:33">
      <c r="A874" s="58">
        <v>38856</v>
      </c>
      <c r="B874" s="1">
        <v>13650</v>
      </c>
      <c r="C874" s="1">
        <v>9940</v>
      </c>
      <c r="D874" s="21">
        <f t="shared" si="28"/>
        <v>-7.5878594249201275E-3</v>
      </c>
      <c r="E874" s="1">
        <v>9940</v>
      </c>
      <c r="F874" s="1">
        <v>0</v>
      </c>
      <c r="H874" s="1">
        <v>3711</v>
      </c>
      <c r="I874" s="21">
        <f t="shared" si="27"/>
        <v>1.7269736842105265E-2</v>
      </c>
      <c r="J874" s="1">
        <v>1436</v>
      </c>
      <c r="K874" s="1">
        <v>471</v>
      </c>
      <c r="L874" s="1">
        <v>11</v>
      </c>
      <c r="O874" s="1">
        <v>460</v>
      </c>
      <c r="T874" s="1">
        <v>965</v>
      </c>
      <c r="Z874" s="1">
        <v>210</v>
      </c>
      <c r="AA874" s="1">
        <v>326</v>
      </c>
      <c r="AB874" s="1">
        <v>37</v>
      </c>
      <c r="AC874" s="1">
        <v>133</v>
      </c>
      <c r="AD874" s="1">
        <v>132</v>
      </c>
      <c r="AE874" s="1">
        <v>24</v>
      </c>
      <c r="AF874" s="1">
        <v>453</v>
      </c>
      <c r="AG874" s="1">
        <v>123</v>
      </c>
    </row>
    <row r="875" spans="1:33">
      <c r="A875" s="58">
        <v>38863</v>
      </c>
      <c r="B875" s="1">
        <v>14246</v>
      </c>
      <c r="C875" s="1">
        <v>10197</v>
      </c>
      <c r="D875" s="21">
        <f t="shared" si="28"/>
        <v>2.585513078470825E-2</v>
      </c>
      <c r="E875" s="1">
        <v>10197</v>
      </c>
      <c r="F875" s="1">
        <v>0</v>
      </c>
      <c r="H875" s="1">
        <v>4048</v>
      </c>
      <c r="I875" s="21">
        <f t="shared" si="27"/>
        <v>9.0811102128806248E-2</v>
      </c>
      <c r="J875" s="1">
        <v>1569</v>
      </c>
      <c r="K875" s="1">
        <v>524</v>
      </c>
      <c r="L875" s="1">
        <v>22</v>
      </c>
      <c r="O875" s="1">
        <v>502</v>
      </c>
      <c r="T875" s="1">
        <v>1046</v>
      </c>
      <c r="Z875" s="1">
        <v>231</v>
      </c>
      <c r="AA875" s="1">
        <v>373</v>
      </c>
      <c r="AB875" s="1">
        <v>64</v>
      </c>
      <c r="AC875" s="1">
        <v>148</v>
      </c>
      <c r="AD875" s="1">
        <v>137</v>
      </c>
      <c r="AE875" s="1">
        <v>24</v>
      </c>
      <c r="AF875" s="1">
        <v>479</v>
      </c>
      <c r="AG875" s="1">
        <v>170</v>
      </c>
    </row>
    <row r="876" spans="1:33">
      <c r="A876" s="58">
        <v>38870</v>
      </c>
      <c r="B876" s="1">
        <v>14302</v>
      </c>
      <c r="C876" s="1">
        <v>10416</v>
      </c>
      <c r="D876" s="21">
        <f t="shared" si="28"/>
        <v>2.1476904972050605E-2</v>
      </c>
      <c r="E876" s="1">
        <v>10416</v>
      </c>
      <c r="F876" s="1">
        <v>0</v>
      </c>
      <c r="H876" s="1">
        <v>3886</v>
      </c>
      <c r="I876" s="21">
        <f t="shared" si="27"/>
        <v>-4.00197628458498E-2</v>
      </c>
      <c r="J876" s="1">
        <v>1507</v>
      </c>
      <c r="K876" s="1">
        <v>498</v>
      </c>
      <c r="L876" s="1">
        <v>11</v>
      </c>
      <c r="O876" s="1">
        <v>487</v>
      </c>
      <c r="T876" s="1">
        <v>1009</v>
      </c>
      <c r="Z876" s="1">
        <v>234</v>
      </c>
      <c r="AA876" s="1">
        <v>366</v>
      </c>
      <c r="AB876" s="1">
        <v>63</v>
      </c>
      <c r="AC876" s="1">
        <v>146</v>
      </c>
      <c r="AD876" s="1">
        <v>126</v>
      </c>
      <c r="AE876" s="1">
        <v>32</v>
      </c>
      <c r="AF876" s="1">
        <v>414</v>
      </c>
      <c r="AG876" s="1">
        <v>166</v>
      </c>
    </row>
    <row r="877" spans="1:33">
      <c r="A877" s="58">
        <v>38877</v>
      </c>
      <c r="B877" s="1">
        <v>14415</v>
      </c>
      <c r="C877" s="1">
        <v>10457</v>
      </c>
      <c r="D877" s="21">
        <f t="shared" si="28"/>
        <v>3.9362519201228876E-3</v>
      </c>
      <c r="E877" s="1">
        <v>10457</v>
      </c>
      <c r="F877" s="1">
        <v>0</v>
      </c>
      <c r="H877" s="1">
        <v>3958</v>
      </c>
      <c r="I877" s="21">
        <f t="shared" si="27"/>
        <v>1.8528049408131755E-2</v>
      </c>
      <c r="J877" s="1">
        <v>1497</v>
      </c>
      <c r="K877" s="1">
        <v>520</v>
      </c>
      <c r="L877" s="1">
        <v>22</v>
      </c>
      <c r="O877" s="1">
        <v>498</v>
      </c>
      <c r="T877" s="1">
        <v>977</v>
      </c>
      <c r="Z877" s="1">
        <v>231</v>
      </c>
      <c r="AA877" s="1">
        <v>374</v>
      </c>
      <c r="AB877" s="1">
        <v>65</v>
      </c>
      <c r="AC877" s="1">
        <v>150</v>
      </c>
      <c r="AD877" s="1">
        <v>118</v>
      </c>
      <c r="AE877" s="1">
        <v>40</v>
      </c>
      <c r="AF877" s="1">
        <v>416</v>
      </c>
      <c r="AG877" s="1">
        <v>179</v>
      </c>
    </row>
    <row r="878" spans="1:33">
      <c r="A878" s="58">
        <v>38884</v>
      </c>
      <c r="B878" s="1">
        <v>14659</v>
      </c>
      <c r="C878" s="1">
        <v>10816</v>
      </c>
      <c r="D878" s="21">
        <f t="shared" si="28"/>
        <v>3.4331070096586022E-2</v>
      </c>
      <c r="E878" s="1">
        <v>10816</v>
      </c>
      <c r="F878" s="1">
        <v>0</v>
      </c>
      <c r="H878" s="1">
        <v>3843</v>
      </c>
      <c r="I878" s="21">
        <f t="shared" si="27"/>
        <v>-2.9055078322385044E-2</v>
      </c>
      <c r="J878" s="1">
        <v>1361</v>
      </c>
      <c r="K878" s="1">
        <v>480</v>
      </c>
      <c r="L878" s="1">
        <v>22</v>
      </c>
      <c r="O878" s="1">
        <v>458</v>
      </c>
      <c r="T878" s="1">
        <v>881</v>
      </c>
      <c r="Z878" s="1">
        <v>212</v>
      </c>
      <c r="AA878" s="1">
        <v>357</v>
      </c>
      <c r="AB878" s="1">
        <v>71</v>
      </c>
      <c r="AC878" s="1">
        <v>155</v>
      </c>
      <c r="AD878" s="1">
        <v>98</v>
      </c>
      <c r="AE878" s="1">
        <v>33</v>
      </c>
      <c r="AF878" s="1">
        <v>464</v>
      </c>
      <c r="AG878" s="1">
        <v>186</v>
      </c>
    </row>
    <row r="879" spans="1:33">
      <c r="A879" s="58">
        <v>38891</v>
      </c>
      <c r="B879" s="1">
        <v>14291</v>
      </c>
      <c r="C879" s="1">
        <v>10742</v>
      </c>
      <c r="D879" s="21">
        <f t="shared" si="28"/>
        <v>-6.8417159763313612E-3</v>
      </c>
      <c r="E879" s="1">
        <v>10742</v>
      </c>
      <c r="F879" s="1">
        <v>0</v>
      </c>
      <c r="H879" s="1">
        <v>3549</v>
      </c>
      <c r="I879" s="21">
        <f t="shared" si="27"/>
        <v>-7.650273224043716E-2</v>
      </c>
      <c r="J879" s="1">
        <v>1213</v>
      </c>
      <c r="K879" s="1">
        <v>409</v>
      </c>
      <c r="L879" s="1">
        <v>11</v>
      </c>
      <c r="O879" s="1">
        <v>398</v>
      </c>
      <c r="T879" s="1">
        <v>804</v>
      </c>
      <c r="Z879" s="1">
        <v>173</v>
      </c>
      <c r="AA879" s="1">
        <v>302</v>
      </c>
      <c r="AB879" s="1">
        <v>53</v>
      </c>
      <c r="AC879" s="1">
        <v>126</v>
      </c>
      <c r="AD879" s="1">
        <v>85</v>
      </c>
      <c r="AE879" s="1">
        <v>37</v>
      </c>
      <c r="AF879" s="1">
        <v>481</v>
      </c>
      <c r="AG879" s="1">
        <v>159</v>
      </c>
    </row>
    <row r="880" spans="1:33">
      <c r="A880" s="58">
        <v>38898</v>
      </c>
      <c r="B880" s="1">
        <v>14131</v>
      </c>
      <c r="C880" s="1">
        <v>10657</v>
      </c>
      <c r="D880" s="21">
        <f t="shared" si="28"/>
        <v>-7.9128653881958659E-3</v>
      </c>
      <c r="E880" s="1">
        <v>10657</v>
      </c>
      <c r="F880" s="1">
        <v>0</v>
      </c>
      <c r="H880" s="1">
        <v>3474</v>
      </c>
      <c r="I880" s="21">
        <f t="shared" si="27"/>
        <v>-2.1132713440405747E-2</v>
      </c>
      <c r="J880" s="1">
        <v>1181</v>
      </c>
      <c r="K880" s="1">
        <v>422</v>
      </c>
      <c r="L880" s="1">
        <v>11</v>
      </c>
      <c r="O880" s="1">
        <v>411</v>
      </c>
      <c r="T880" s="1">
        <v>759</v>
      </c>
      <c r="Z880" s="1">
        <v>184</v>
      </c>
      <c r="AA880" s="1">
        <v>292</v>
      </c>
      <c r="AB880" s="1">
        <v>39</v>
      </c>
      <c r="AC880" s="1">
        <v>141</v>
      </c>
      <c r="AD880" s="1">
        <v>73</v>
      </c>
      <c r="AE880" s="1">
        <v>40</v>
      </c>
      <c r="AF880" s="1">
        <v>431</v>
      </c>
      <c r="AG880" s="1">
        <v>150</v>
      </c>
    </row>
    <row r="881" spans="1:33">
      <c r="A881" s="58">
        <v>38905</v>
      </c>
      <c r="B881" s="1">
        <v>13867</v>
      </c>
      <c r="C881" s="1">
        <v>10425</v>
      </c>
      <c r="D881" s="21">
        <f t="shared" si="28"/>
        <v>-2.1769728816740171E-2</v>
      </c>
      <c r="E881" s="1">
        <v>10425</v>
      </c>
      <c r="F881" s="1">
        <v>0</v>
      </c>
      <c r="H881" s="1">
        <v>3442</v>
      </c>
      <c r="I881" s="21">
        <f t="shared" si="27"/>
        <v>-9.2112838226827871E-3</v>
      </c>
      <c r="J881" s="1">
        <v>1103</v>
      </c>
      <c r="K881" s="1">
        <v>406</v>
      </c>
      <c r="L881" s="1">
        <v>0</v>
      </c>
      <c r="O881" s="1">
        <v>406</v>
      </c>
      <c r="T881" s="1">
        <v>698</v>
      </c>
      <c r="Z881" s="1">
        <v>215</v>
      </c>
      <c r="AA881" s="1">
        <v>286</v>
      </c>
      <c r="AB881" s="1">
        <v>41</v>
      </c>
      <c r="AC881" s="1">
        <v>138</v>
      </c>
      <c r="AD881" s="1">
        <v>60</v>
      </c>
      <c r="AE881" s="1">
        <v>47</v>
      </c>
      <c r="AF881" s="1">
        <v>363</v>
      </c>
      <c r="AG881" s="1">
        <v>152</v>
      </c>
    </row>
    <row r="882" spans="1:33">
      <c r="A882" s="58">
        <v>38912</v>
      </c>
      <c r="B882" s="1">
        <v>13721</v>
      </c>
      <c r="C882" s="1">
        <v>10351</v>
      </c>
      <c r="D882" s="21">
        <f t="shared" si="28"/>
        <v>-7.0983213429256595E-3</v>
      </c>
      <c r="E882" s="1">
        <v>10351</v>
      </c>
      <c r="F882" s="1">
        <v>0</v>
      </c>
      <c r="H882" s="1">
        <v>3369</v>
      </c>
      <c r="I882" s="21">
        <f t="shared" si="27"/>
        <v>-2.1208599651365484E-2</v>
      </c>
      <c r="J882" s="1">
        <v>1095</v>
      </c>
      <c r="K882" s="1">
        <v>442</v>
      </c>
      <c r="L882" s="1">
        <v>0</v>
      </c>
      <c r="O882" s="1">
        <v>442</v>
      </c>
      <c r="T882" s="1">
        <v>653</v>
      </c>
      <c r="Z882" s="1">
        <v>212</v>
      </c>
      <c r="AA882" s="1">
        <v>270</v>
      </c>
      <c r="AB882" s="1">
        <v>42</v>
      </c>
      <c r="AC882" s="1">
        <v>135</v>
      </c>
      <c r="AD882" s="1">
        <v>56</v>
      </c>
      <c r="AE882" s="1">
        <v>37</v>
      </c>
      <c r="AF882" s="1">
        <v>283</v>
      </c>
      <c r="AG882" s="1">
        <v>123</v>
      </c>
    </row>
    <row r="883" spans="1:33">
      <c r="A883" s="58">
        <v>38919</v>
      </c>
      <c r="B883" s="1">
        <v>13792</v>
      </c>
      <c r="C883" s="1">
        <v>10342</v>
      </c>
      <c r="D883" s="21">
        <f t="shared" si="28"/>
        <v>-8.6948120954497151E-4</v>
      </c>
      <c r="E883" s="1">
        <v>10342</v>
      </c>
      <c r="F883" s="1">
        <v>0</v>
      </c>
      <c r="H883" s="1">
        <v>3450</v>
      </c>
      <c r="I883" s="21">
        <f t="shared" si="27"/>
        <v>2.4042742653606411E-2</v>
      </c>
      <c r="J883" s="1">
        <v>1107</v>
      </c>
      <c r="K883" s="1">
        <v>468</v>
      </c>
      <c r="L883" s="1">
        <v>0</v>
      </c>
      <c r="O883" s="1">
        <v>468</v>
      </c>
      <c r="T883" s="1">
        <v>640</v>
      </c>
      <c r="Z883" s="1">
        <v>207</v>
      </c>
      <c r="AA883" s="1">
        <v>346</v>
      </c>
      <c r="AB883" s="1">
        <v>105</v>
      </c>
      <c r="AC883" s="1">
        <v>111</v>
      </c>
      <c r="AD883" s="1">
        <v>63</v>
      </c>
      <c r="AE883" s="1">
        <v>67</v>
      </c>
      <c r="AF883" s="1">
        <v>289</v>
      </c>
      <c r="AG883" s="1">
        <v>131</v>
      </c>
    </row>
    <row r="884" spans="1:33">
      <c r="A884" s="58">
        <v>38926</v>
      </c>
      <c r="B884" s="1">
        <v>14088</v>
      </c>
      <c r="C884" s="1">
        <v>10315</v>
      </c>
      <c r="D884" s="21">
        <f t="shared" si="28"/>
        <v>-2.6107135950493134E-3</v>
      </c>
      <c r="E884" s="1">
        <v>10315</v>
      </c>
      <c r="F884" s="1">
        <v>0</v>
      </c>
      <c r="H884" s="1">
        <v>3773</v>
      </c>
      <c r="I884" s="21">
        <f t="shared" si="27"/>
        <v>9.36231884057971E-2</v>
      </c>
      <c r="J884" s="1">
        <v>1121</v>
      </c>
      <c r="K884" s="1">
        <v>465</v>
      </c>
      <c r="L884" s="1">
        <v>0</v>
      </c>
      <c r="O884" s="1">
        <v>465</v>
      </c>
      <c r="T884" s="1">
        <v>656</v>
      </c>
      <c r="Z884" s="1">
        <v>197</v>
      </c>
      <c r="AA884" s="1">
        <v>400</v>
      </c>
      <c r="AB884" s="1">
        <v>163</v>
      </c>
      <c r="AC884" s="1">
        <v>70</v>
      </c>
      <c r="AD884" s="1">
        <v>101</v>
      </c>
      <c r="AE884" s="1">
        <v>66</v>
      </c>
      <c r="AF884" s="1">
        <v>377</v>
      </c>
      <c r="AG884" s="1">
        <v>173</v>
      </c>
    </row>
    <row r="885" spans="1:33">
      <c r="A885" s="58">
        <v>38933</v>
      </c>
      <c r="B885" s="1">
        <v>14170</v>
      </c>
      <c r="C885" s="1">
        <v>10451</v>
      </c>
      <c r="D885" s="21">
        <f t="shared" si="28"/>
        <v>1.3184682501211827E-2</v>
      </c>
      <c r="E885" s="1">
        <v>10451</v>
      </c>
      <c r="F885" s="1">
        <v>0</v>
      </c>
      <c r="H885" s="1">
        <v>3719</v>
      </c>
      <c r="I885" s="21">
        <f t="shared" si="27"/>
        <v>-1.4312218393851047E-2</v>
      </c>
      <c r="J885" s="1">
        <v>1150</v>
      </c>
      <c r="K885" s="1">
        <v>477</v>
      </c>
      <c r="L885" s="1">
        <v>0</v>
      </c>
      <c r="O885" s="1">
        <v>477</v>
      </c>
      <c r="T885" s="1">
        <v>673</v>
      </c>
      <c r="Z885" s="1">
        <v>192</v>
      </c>
      <c r="AA885" s="1">
        <v>399</v>
      </c>
      <c r="AB885" s="1">
        <v>186</v>
      </c>
      <c r="AC885" s="1">
        <v>34</v>
      </c>
      <c r="AD885" s="1">
        <v>110</v>
      </c>
      <c r="AE885" s="1">
        <v>69</v>
      </c>
      <c r="AF885" s="1">
        <v>344</v>
      </c>
      <c r="AG885" s="1">
        <v>168</v>
      </c>
    </row>
    <row r="886" spans="1:33">
      <c r="A886" s="58">
        <v>38940</v>
      </c>
      <c r="B886" s="1">
        <v>14098</v>
      </c>
      <c r="C886" s="1">
        <v>10281</v>
      </c>
      <c r="D886" s="21">
        <f t="shared" si="28"/>
        <v>-1.6266385991771121E-2</v>
      </c>
      <c r="E886" s="1">
        <v>10281</v>
      </c>
      <c r="F886" s="1">
        <v>0</v>
      </c>
      <c r="H886" s="1">
        <v>3817</v>
      </c>
      <c r="I886" s="21">
        <f t="shared" si="27"/>
        <v>2.6351169669265932E-2</v>
      </c>
      <c r="J886" s="1">
        <v>1235</v>
      </c>
      <c r="K886" s="1">
        <v>440</v>
      </c>
      <c r="L886" s="1">
        <v>0</v>
      </c>
      <c r="O886" s="1">
        <v>440</v>
      </c>
      <c r="T886" s="1">
        <v>795</v>
      </c>
      <c r="Z886" s="1">
        <v>224</v>
      </c>
      <c r="AA886" s="1">
        <v>409</v>
      </c>
      <c r="AB886" s="1">
        <v>196</v>
      </c>
      <c r="AC886" s="1">
        <v>25</v>
      </c>
      <c r="AD886" s="1">
        <v>118</v>
      </c>
      <c r="AE886" s="1">
        <v>70</v>
      </c>
      <c r="AF886" s="1">
        <v>353</v>
      </c>
      <c r="AG886" s="1">
        <v>218</v>
      </c>
    </row>
    <row r="887" spans="1:33">
      <c r="A887" s="58">
        <v>38947</v>
      </c>
      <c r="B887" s="1">
        <v>14258</v>
      </c>
      <c r="C887" s="1">
        <v>10204</v>
      </c>
      <c r="D887" s="21">
        <f t="shared" si="28"/>
        <v>-7.4895438186946793E-3</v>
      </c>
      <c r="E887" s="1">
        <v>10204</v>
      </c>
      <c r="F887" s="1">
        <v>0</v>
      </c>
      <c r="H887" s="1">
        <v>4055</v>
      </c>
      <c r="I887" s="21">
        <f t="shared" si="27"/>
        <v>6.235263295782028E-2</v>
      </c>
      <c r="J887" s="1">
        <v>1314</v>
      </c>
      <c r="K887" s="1">
        <v>423</v>
      </c>
      <c r="L887" s="1">
        <v>0</v>
      </c>
      <c r="O887" s="1">
        <v>423</v>
      </c>
      <c r="T887" s="1">
        <v>891</v>
      </c>
      <c r="Z887" s="1">
        <v>282</v>
      </c>
      <c r="AA887" s="1">
        <v>397</v>
      </c>
      <c r="AB887" s="1">
        <v>169</v>
      </c>
      <c r="AC887" s="1">
        <v>35</v>
      </c>
      <c r="AD887" s="1">
        <v>126</v>
      </c>
      <c r="AE887" s="1">
        <v>68</v>
      </c>
      <c r="AF887" s="1">
        <v>306</v>
      </c>
      <c r="AG887" s="1">
        <v>208</v>
      </c>
    </row>
    <row r="888" spans="1:33">
      <c r="A888" s="58">
        <v>38954</v>
      </c>
      <c r="B888" s="1">
        <v>14213</v>
      </c>
      <c r="C888" s="1">
        <v>10384</v>
      </c>
      <c r="D888" s="21">
        <f t="shared" si="28"/>
        <v>1.764014112112897E-2</v>
      </c>
      <c r="E888" s="1">
        <v>10384</v>
      </c>
      <c r="F888" s="1">
        <v>0</v>
      </c>
      <c r="H888" s="1">
        <v>3829</v>
      </c>
      <c r="I888" s="21">
        <f t="shared" si="27"/>
        <v>-5.5733662145499387E-2</v>
      </c>
      <c r="J888" s="1">
        <v>1278</v>
      </c>
      <c r="K888" s="1">
        <v>407</v>
      </c>
      <c r="L888" s="1">
        <v>0</v>
      </c>
      <c r="O888" s="1">
        <v>407</v>
      </c>
      <c r="T888" s="1">
        <v>871</v>
      </c>
      <c r="Z888" s="1">
        <v>293</v>
      </c>
      <c r="AA888" s="1">
        <v>369</v>
      </c>
      <c r="AB888" s="1">
        <v>141</v>
      </c>
      <c r="AC888" s="1">
        <v>66</v>
      </c>
      <c r="AD888" s="1">
        <v>103</v>
      </c>
      <c r="AE888" s="1">
        <v>59</v>
      </c>
      <c r="AF888" s="1">
        <v>231</v>
      </c>
      <c r="AG888" s="1">
        <v>229</v>
      </c>
    </row>
    <row r="889" spans="1:33">
      <c r="A889" s="58">
        <v>38961</v>
      </c>
      <c r="B889" s="1">
        <v>14239</v>
      </c>
      <c r="C889" s="1">
        <v>10434</v>
      </c>
      <c r="D889" s="21">
        <f t="shared" si="28"/>
        <v>4.8151001540832046E-3</v>
      </c>
      <c r="E889" s="1">
        <v>10434</v>
      </c>
      <c r="F889" s="1">
        <v>0</v>
      </c>
      <c r="H889" s="1">
        <v>3804</v>
      </c>
      <c r="I889" s="21">
        <f t="shared" si="27"/>
        <v>-6.5291198746408987E-3</v>
      </c>
      <c r="J889" s="1">
        <v>1231</v>
      </c>
      <c r="K889" s="1">
        <v>418</v>
      </c>
      <c r="L889" s="1">
        <v>0</v>
      </c>
      <c r="O889" s="1">
        <v>418</v>
      </c>
      <c r="T889" s="1">
        <v>812</v>
      </c>
      <c r="Z889" s="1">
        <v>271</v>
      </c>
      <c r="AA889" s="1">
        <v>416</v>
      </c>
      <c r="AB889" s="1">
        <v>175</v>
      </c>
      <c r="AC889" s="1">
        <v>90</v>
      </c>
      <c r="AD889" s="1">
        <v>95</v>
      </c>
      <c r="AE889" s="1">
        <v>57</v>
      </c>
      <c r="AF889" s="1">
        <v>273</v>
      </c>
      <c r="AG889" s="1">
        <v>255</v>
      </c>
    </row>
    <row r="890" spans="1:33">
      <c r="A890" s="58">
        <v>38968</v>
      </c>
      <c r="B890" s="1">
        <v>14297</v>
      </c>
      <c r="C890" s="1">
        <v>10578</v>
      </c>
      <c r="D890" s="21">
        <f t="shared" si="28"/>
        <v>1.3801035077630822E-2</v>
      </c>
      <c r="E890" s="1">
        <v>10578</v>
      </c>
      <c r="F890" s="1">
        <v>0</v>
      </c>
      <c r="H890" s="1">
        <v>3719</v>
      </c>
      <c r="I890" s="21">
        <f t="shared" si="27"/>
        <v>-2.2344900105152471E-2</v>
      </c>
      <c r="J890" s="1">
        <v>1155</v>
      </c>
      <c r="K890" s="1">
        <v>399</v>
      </c>
      <c r="L890" s="1">
        <v>0</v>
      </c>
      <c r="O890" s="1">
        <v>399</v>
      </c>
      <c r="T890" s="1">
        <v>755</v>
      </c>
      <c r="Z890" s="1">
        <v>227</v>
      </c>
      <c r="AA890" s="1">
        <v>447</v>
      </c>
      <c r="AB890" s="1">
        <v>212</v>
      </c>
      <c r="AC890" s="1">
        <v>98</v>
      </c>
      <c r="AD890" s="1">
        <v>81</v>
      </c>
      <c r="AE890" s="1">
        <v>56</v>
      </c>
      <c r="AF890" s="1">
        <v>286</v>
      </c>
      <c r="AG890" s="1">
        <v>246</v>
      </c>
    </row>
    <row r="891" spans="1:33">
      <c r="A891" s="58">
        <v>38975</v>
      </c>
      <c r="B891" s="1">
        <v>14135</v>
      </c>
      <c r="C891" s="1">
        <v>10677</v>
      </c>
      <c r="D891" s="21">
        <f t="shared" si="28"/>
        <v>9.3590470788428807E-3</v>
      </c>
      <c r="E891" s="1">
        <v>10677</v>
      </c>
      <c r="F891" s="1">
        <v>0</v>
      </c>
      <c r="H891" s="1">
        <v>3458</v>
      </c>
      <c r="I891" s="21">
        <f t="shared" si="27"/>
        <v>-7.0180155955902129E-2</v>
      </c>
      <c r="J891" s="1">
        <v>1023</v>
      </c>
      <c r="K891" s="1">
        <v>359</v>
      </c>
      <c r="L891" s="1">
        <v>0</v>
      </c>
      <c r="O891" s="1">
        <v>359</v>
      </c>
      <c r="T891" s="1">
        <v>665</v>
      </c>
      <c r="Z891" s="1">
        <v>200</v>
      </c>
      <c r="AA891" s="1">
        <v>434</v>
      </c>
      <c r="AB891" s="1">
        <v>231</v>
      </c>
      <c r="AC891" s="1">
        <v>95</v>
      </c>
      <c r="AD891" s="1">
        <v>73</v>
      </c>
      <c r="AE891" s="1">
        <v>35</v>
      </c>
      <c r="AF891" s="1">
        <v>359</v>
      </c>
      <c r="AG891" s="1">
        <v>246</v>
      </c>
    </row>
    <row r="892" spans="1:33">
      <c r="A892" s="58">
        <v>38982</v>
      </c>
      <c r="B892" s="1">
        <v>14122</v>
      </c>
      <c r="C892" s="1">
        <v>10659</v>
      </c>
      <c r="D892" s="21">
        <f t="shared" si="28"/>
        <v>-1.6858668165214948E-3</v>
      </c>
      <c r="E892" s="1">
        <v>10659</v>
      </c>
      <c r="F892" s="1">
        <v>0</v>
      </c>
      <c r="H892" s="1">
        <v>3463</v>
      </c>
      <c r="I892" s="21">
        <f t="shared" si="27"/>
        <v>1.4459224985540775E-3</v>
      </c>
      <c r="J892" s="1">
        <v>1092</v>
      </c>
      <c r="K892" s="1">
        <v>433</v>
      </c>
      <c r="L892" s="1">
        <v>0</v>
      </c>
      <c r="O892" s="1">
        <v>433</v>
      </c>
      <c r="T892" s="1">
        <v>659</v>
      </c>
      <c r="Z892" s="1">
        <v>173</v>
      </c>
      <c r="AA892" s="1">
        <v>445</v>
      </c>
      <c r="AB892" s="1">
        <v>250</v>
      </c>
      <c r="AC892" s="1">
        <v>63</v>
      </c>
      <c r="AD892" s="1">
        <v>76</v>
      </c>
      <c r="AE892" s="1">
        <v>57</v>
      </c>
      <c r="AF892" s="1">
        <v>368</v>
      </c>
      <c r="AG892" s="1">
        <v>200</v>
      </c>
    </row>
    <row r="893" spans="1:33">
      <c r="A893" s="58">
        <v>38989</v>
      </c>
      <c r="B893" s="1">
        <v>14002</v>
      </c>
      <c r="C893" s="1">
        <v>10696</v>
      </c>
      <c r="D893" s="21">
        <f t="shared" si="28"/>
        <v>3.4712449573130687E-3</v>
      </c>
      <c r="E893" s="1">
        <v>10696</v>
      </c>
      <c r="F893" s="1">
        <v>0</v>
      </c>
      <c r="H893" s="1">
        <v>3305</v>
      </c>
      <c r="I893" s="21">
        <f t="shared" si="27"/>
        <v>-4.5625180479353163E-2</v>
      </c>
      <c r="J893" s="1">
        <v>1114</v>
      </c>
      <c r="K893" s="1">
        <v>409</v>
      </c>
      <c r="L893" s="1">
        <v>0</v>
      </c>
      <c r="O893" s="1">
        <v>409</v>
      </c>
      <c r="T893" s="1">
        <v>705</v>
      </c>
      <c r="Z893" s="1">
        <v>194</v>
      </c>
      <c r="AA893" s="1">
        <v>391</v>
      </c>
      <c r="AB893" s="1">
        <v>224</v>
      </c>
      <c r="AC893" s="1">
        <v>37</v>
      </c>
      <c r="AD893" s="1">
        <v>82</v>
      </c>
      <c r="AE893" s="1">
        <v>48</v>
      </c>
      <c r="AF893" s="1">
        <v>337</v>
      </c>
      <c r="AG893" s="1">
        <v>194</v>
      </c>
    </row>
    <row r="894" spans="1:33">
      <c r="A894" s="58">
        <v>38996</v>
      </c>
      <c r="B894" s="1">
        <v>13826</v>
      </c>
      <c r="C894" s="1">
        <v>10638</v>
      </c>
      <c r="D894" s="21">
        <f t="shared" si="28"/>
        <v>-5.4225878833208674E-3</v>
      </c>
      <c r="E894" s="1">
        <v>10638</v>
      </c>
      <c r="F894" s="1">
        <v>0</v>
      </c>
      <c r="H894" s="1">
        <v>3188</v>
      </c>
      <c r="I894" s="21">
        <f t="shared" si="27"/>
        <v>-3.540090771558245E-2</v>
      </c>
      <c r="J894" s="1">
        <v>1111</v>
      </c>
      <c r="K894" s="1">
        <v>465</v>
      </c>
      <c r="L894" s="1">
        <v>0</v>
      </c>
      <c r="O894" s="1">
        <v>465</v>
      </c>
      <c r="T894" s="1">
        <v>646</v>
      </c>
      <c r="Z894" s="1">
        <v>216</v>
      </c>
      <c r="AA894" s="1">
        <v>362</v>
      </c>
      <c r="AB894" s="1">
        <v>179</v>
      </c>
      <c r="AC894" s="1">
        <v>21</v>
      </c>
      <c r="AD894" s="1">
        <v>96</v>
      </c>
      <c r="AE894" s="1">
        <v>66</v>
      </c>
      <c r="AF894" s="1">
        <v>305</v>
      </c>
      <c r="AG894" s="1">
        <v>199</v>
      </c>
    </row>
    <row r="895" spans="1:33">
      <c r="A895" s="58">
        <v>39003</v>
      </c>
      <c r="B895" s="1">
        <v>13665</v>
      </c>
      <c r="C895" s="1">
        <v>10598</v>
      </c>
      <c r="D895" s="21">
        <f t="shared" si="28"/>
        <v>-3.7601052829479226E-3</v>
      </c>
      <c r="E895" s="1">
        <v>10598</v>
      </c>
      <c r="F895" s="1">
        <v>0</v>
      </c>
      <c r="H895" s="1">
        <v>3067</v>
      </c>
      <c r="I895" s="21">
        <f t="shared" si="27"/>
        <v>-3.7954830614805521E-2</v>
      </c>
      <c r="J895" s="1">
        <v>1080</v>
      </c>
      <c r="K895" s="1">
        <v>506</v>
      </c>
      <c r="L895" s="1">
        <v>0</v>
      </c>
      <c r="O895" s="1">
        <v>506</v>
      </c>
      <c r="T895" s="1">
        <v>574</v>
      </c>
      <c r="Z895" s="1">
        <v>243</v>
      </c>
      <c r="AA895" s="1">
        <v>312</v>
      </c>
      <c r="AB895" s="1">
        <v>138</v>
      </c>
      <c r="AC895" s="1">
        <v>15</v>
      </c>
      <c r="AD895" s="1">
        <v>105</v>
      </c>
      <c r="AE895" s="1">
        <v>55</v>
      </c>
      <c r="AF895" s="1">
        <v>211</v>
      </c>
      <c r="AG895" s="1">
        <v>223</v>
      </c>
    </row>
    <row r="896" spans="1:33">
      <c r="A896" s="58">
        <v>39010</v>
      </c>
      <c r="B896" s="1">
        <v>13150</v>
      </c>
      <c r="C896" s="1">
        <v>10200</v>
      </c>
      <c r="D896" s="21">
        <f t="shared" si="28"/>
        <v>-3.7554255519909416E-2</v>
      </c>
      <c r="E896" s="1">
        <v>10200</v>
      </c>
      <c r="F896" s="1">
        <v>0</v>
      </c>
      <c r="H896" s="1">
        <v>2949</v>
      </c>
      <c r="I896" s="21">
        <f t="shared" si="27"/>
        <v>-3.8474078904466906E-2</v>
      </c>
      <c r="J896" s="1">
        <v>954</v>
      </c>
      <c r="K896" s="1">
        <v>427</v>
      </c>
      <c r="L896" s="1">
        <v>0</v>
      </c>
      <c r="O896" s="1">
        <v>427</v>
      </c>
      <c r="T896" s="1">
        <v>527</v>
      </c>
      <c r="Z896" s="1">
        <v>249</v>
      </c>
      <c r="AA896" s="1">
        <v>271</v>
      </c>
      <c r="AB896" s="1">
        <v>111</v>
      </c>
      <c r="AC896" s="1">
        <v>17</v>
      </c>
      <c r="AD896" s="1">
        <v>100</v>
      </c>
      <c r="AE896" s="1">
        <v>43</v>
      </c>
      <c r="AF896" s="1">
        <v>196</v>
      </c>
      <c r="AG896" s="1">
        <v>247</v>
      </c>
    </row>
    <row r="897" spans="1:33">
      <c r="A897" s="58">
        <v>39017</v>
      </c>
      <c r="B897" s="1">
        <v>13166</v>
      </c>
      <c r="C897" s="1">
        <v>10095</v>
      </c>
      <c r="D897" s="21">
        <f t="shared" si="28"/>
        <v>-1.0294117647058823E-2</v>
      </c>
      <c r="E897" s="1">
        <v>10095</v>
      </c>
      <c r="F897" s="1">
        <v>0</v>
      </c>
      <c r="H897" s="1">
        <v>3071</v>
      </c>
      <c r="I897" s="21">
        <f t="shared" si="27"/>
        <v>4.1369955917260087E-2</v>
      </c>
      <c r="J897" s="1">
        <v>981</v>
      </c>
      <c r="K897" s="1">
        <v>466</v>
      </c>
      <c r="L897" s="1">
        <v>0</v>
      </c>
      <c r="O897" s="1">
        <v>466</v>
      </c>
      <c r="T897" s="1">
        <v>515</v>
      </c>
      <c r="Z897" s="1">
        <v>249</v>
      </c>
      <c r="AA897" s="1">
        <v>261</v>
      </c>
      <c r="AB897" s="1">
        <v>113</v>
      </c>
      <c r="AC897" s="1">
        <v>17</v>
      </c>
      <c r="AD897" s="1">
        <v>89</v>
      </c>
      <c r="AE897" s="1">
        <v>44</v>
      </c>
      <c r="AF897" s="1">
        <v>262</v>
      </c>
      <c r="AG897" s="1">
        <v>244</v>
      </c>
    </row>
    <row r="898" spans="1:33">
      <c r="A898" s="58">
        <v>39024</v>
      </c>
      <c r="B898" s="1">
        <v>12994</v>
      </c>
      <c r="C898" s="1">
        <v>9951</v>
      </c>
      <c r="D898" s="21">
        <f t="shared" si="28"/>
        <v>-1.4264487369985141E-2</v>
      </c>
      <c r="E898" s="1">
        <v>9951</v>
      </c>
      <c r="F898" s="1">
        <v>0</v>
      </c>
      <c r="H898" s="1">
        <v>3043</v>
      </c>
      <c r="I898" s="21">
        <f t="shared" si="27"/>
        <v>-9.1175512862259854E-3</v>
      </c>
      <c r="J898" s="1">
        <v>961</v>
      </c>
      <c r="K898" s="1">
        <v>466</v>
      </c>
      <c r="L898" s="1">
        <v>0</v>
      </c>
      <c r="O898" s="1">
        <v>466</v>
      </c>
      <c r="T898" s="1">
        <v>495</v>
      </c>
      <c r="Z898" s="1">
        <v>242</v>
      </c>
      <c r="AA898" s="1">
        <v>250</v>
      </c>
      <c r="AB898" s="1">
        <v>112</v>
      </c>
      <c r="AC898" s="1">
        <v>13</v>
      </c>
      <c r="AD898" s="1">
        <v>90</v>
      </c>
      <c r="AE898" s="1">
        <v>36</v>
      </c>
      <c r="AF898" s="1">
        <v>271</v>
      </c>
      <c r="AG898" s="1">
        <v>243</v>
      </c>
    </row>
    <row r="899" spans="1:33">
      <c r="A899" s="58">
        <v>39031</v>
      </c>
      <c r="B899" s="1">
        <v>12777</v>
      </c>
      <c r="C899" s="1">
        <v>9706</v>
      </c>
      <c r="D899" s="21">
        <f t="shared" si="28"/>
        <v>-2.4620641141593808E-2</v>
      </c>
      <c r="E899" s="1">
        <v>9706</v>
      </c>
      <c r="F899" s="1">
        <v>0</v>
      </c>
      <c r="H899" s="1">
        <v>3071</v>
      </c>
      <c r="I899" s="21">
        <f t="shared" si="27"/>
        <v>9.2014459415050934E-3</v>
      </c>
      <c r="J899" s="1">
        <v>1064</v>
      </c>
      <c r="K899" s="1">
        <v>486</v>
      </c>
      <c r="L899" s="1">
        <v>0</v>
      </c>
      <c r="O899" s="1">
        <v>486</v>
      </c>
      <c r="T899" s="1">
        <v>578</v>
      </c>
      <c r="Z899" s="1">
        <v>162</v>
      </c>
      <c r="AA899" s="1">
        <v>265</v>
      </c>
      <c r="AB899" s="1">
        <v>116</v>
      </c>
      <c r="AC899" s="1">
        <v>18</v>
      </c>
      <c r="AD899" s="1">
        <v>86</v>
      </c>
      <c r="AE899" s="1">
        <v>45</v>
      </c>
      <c r="AF899" s="1">
        <v>308</v>
      </c>
      <c r="AG899" s="1">
        <v>236</v>
      </c>
    </row>
    <row r="900" spans="1:33">
      <c r="A900" s="58">
        <v>39038</v>
      </c>
      <c r="B900" s="1">
        <v>13017</v>
      </c>
      <c r="C900" s="1">
        <v>9955</v>
      </c>
      <c r="D900" s="21">
        <f t="shared" si="28"/>
        <v>2.5654234494127345E-2</v>
      </c>
      <c r="E900" s="1">
        <v>9955</v>
      </c>
      <c r="F900" s="1">
        <v>0</v>
      </c>
      <c r="H900" s="1">
        <v>3062</v>
      </c>
      <c r="I900" s="21">
        <f t="shared" si="27"/>
        <v>-2.9306414848583521E-3</v>
      </c>
      <c r="J900" s="1">
        <v>1124</v>
      </c>
      <c r="K900" s="1">
        <v>508</v>
      </c>
      <c r="L900" s="1">
        <v>0</v>
      </c>
      <c r="O900" s="1">
        <v>508</v>
      </c>
      <c r="T900" s="1">
        <v>617</v>
      </c>
      <c r="Z900" s="1">
        <v>148</v>
      </c>
      <c r="AA900" s="1">
        <v>256</v>
      </c>
      <c r="AB900" s="1">
        <v>125</v>
      </c>
      <c r="AC900" s="1">
        <v>15</v>
      </c>
      <c r="AD900" s="1">
        <v>71</v>
      </c>
      <c r="AE900" s="1">
        <v>46</v>
      </c>
      <c r="AF900" s="1">
        <v>333</v>
      </c>
      <c r="AG900" s="1">
        <v>208</v>
      </c>
    </row>
    <row r="901" spans="1:33">
      <c r="A901" s="58">
        <v>39045</v>
      </c>
      <c r="B901" s="1">
        <v>12886</v>
      </c>
      <c r="C901" s="1">
        <v>9871</v>
      </c>
      <c r="D901" s="21">
        <f t="shared" si="28"/>
        <v>-8.4379708689100962E-3</v>
      </c>
      <c r="E901" s="1">
        <v>9871</v>
      </c>
      <c r="F901" s="1">
        <v>0</v>
      </c>
      <c r="H901" s="1">
        <v>3014</v>
      </c>
      <c r="I901" s="21">
        <f t="shared" si="27"/>
        <v>-1.5676028739386023E-2</v>
      </c>
      <c r="J901" s="1">
        <v>1054</v>
      </c>
      <c r="K901" s="1">
        <v>494</v>
      </c>
      <c r="L901" s="1">
        <v>0</v>
      </c>
      <c r="O901" s="1">
        <v>494</v>
      </c>
      <c r="T901" s="1">
        <v>561</v>
      </c>
      <c r="Z901" s="1">
        <v>122</v>
      </c>
      <c r="AA901" s="1">
        <v>264</v>
      </c>
      <c r="AB901" s="1">
        <v>113</v>
      </c>
      <c r="AC901" s="1">
        <v>12</v>
      </c>
      <c r="AD901" s="1">
        <v>93</v>
      </c>
      <c r="AE901" s="1">
        <v>45</v>
      </c>
      <c r="AF901" s="1">
        <v>282</v>
      </c>
      <c r="AG901" s="1">
        <v>199</v>
      </c>
    </row>
    <row r="902" spans="1:33">
      <c r="A902" s="58">
        <v>39052</v>
      </c>
      <c r="B902" s="1">
        <v>13015</v>
      </c>
      <c r="C902" s="1">
        <v>9999</v>
      </c>
      <c r="D902" s="21">
        <f t="shared" si="28"/>
        <v>1.2967277884712795E-2</v>
      </c>
      <c r="E902" s="1">
        <v>9999</v>
      </c>
      <c r="F902" s="1">
        <v>0</v>
      </c>
      <c r="H902" s="1">
        <v>3016</v>
      </c>
      <c r="I902" s="21">
        <f t="shared" si="27"/>
        <v>6.6357000663570006E-4</v>
      </c>
      <c r="J902" s="1">
        <v>1026</v>
      </c>
      <c r="K902" s="1">
        <v>481</v>
      </c>
      <c r="L902" s="1">
        <v>0</v>
      </c>
      <c r="O902" s="1">
        <v>481</v>
      </c>
      <c r="T902" s="1">
        <v>545</v>
      </c>
      <c r="Z902" s="1">
        <v>111</v>
      </c>
      <c r="AA902" s="1">
        <v>284</v>
      </c>
      <c r="AB902" s="1">
        <v>134</v>
      </c>
      <c r="AC902" s="1">
        <v>11</v>
      </c>
      <c r="AD902" s="1">
        <v>94</v>
      </c>
      <c r="AE902" s="1">
        <v>45</v>
      </c>
      <c r="AF902" s="1">
        <v>322</v>
      </c>
      <c r="AG902" s="1">
        <v>176</v>
      </c>
    </row>
    <row r="903" spans="1:33">
      <c r="A903" s="58">
        <v>39059</v>
      </c>
      <c r="B903" s="1">
        <v>13142</v>
      </c>
      <c r="C903" s="1">
        <v>10036</v>
      </c>
      <c r="D903" s="21">
        <f t="shared" si="28"/>
        <v>3.7003700370037006E-3</v>
      </c>
      <c r="E903" s="1">
        <v>10036</v>
      </c>
      <c r="F903" s="1">
        <v>0</v>
      </c>
      <c r="H903" s="1">
        <v>3106</v>
      </c>
      <c r="I903" s="21">
        <f t="shared" si="27"/>
        <v>2.9840848806366047E-2</v>
      </c>
      <c r="J903" s="1">
        <v>996</v>
      </c>
      <c r="K903" s="1">
        <v>466</v>
      </c>
      <c r="L903" s="1">
        <v>0</v>
      </c>
      <c r="O903" s="1">
        <v>466</v>
      </c>
      <c r="T903" s="1">
        <v>530</v>
      </c>
      <c r="Z903" s="1">
        <v>153</v>
      </c>
      <c r="AA903" s="1">
        <v>318</v>
      </c>
      <c r="AB903" s="1">
        <v>142</v>
      </c>
      <c r="AC903" s="1">
        <v>5</v>
      </c>
      <c r="AD903" s="1">
        <v>117</v>
      </c>
      <c r="AE903" s="1">
        <v>54</v>
      </c>
      <c r="AF903" s="1">
        <v>313</v>
      </c>
      <c r="AG903" s="1">
        <v>172</v>
      </c>
    </row>
    <row r="904" spans="1:33">
      <c r="A904" s="58">
        <v>39066</v>
      </c>
      <c r="B904" s="1">
        <v>12662</v>
      </c>
      <c r="C904" s="1">
        <v>9639</v>
      </c>
      <c r="D904" s="21">
        <f t="shared" si="28"/>
        <v>-3.9557592666400958E-2</v>
      </c>
      <c r="E904" s="1">
        <v>9639</v>
      </c>
      <c r="F904" s="1">
        <v>0</v>
      </c>
      <c r="H904" s="1">
        <v>3023</v>
      </c>
      <c r="I904" s="21">
        <f t="shared" si="27"/>
        <v>-2.6722472633612365E-2</v>
      </c>
      <c r="J904" s="1">
        <v>907</v>
      </c>
      <c r="K904" s="1">
        <v>414</v>
      </c>
      <c r="L904" s="1">
        <v>0</v>
      </c>
      <c r="O904" s="1">
        <v>414</v>
      </c>
      <c r="T904" s="1">
        <v>493</v>
      </c>
      <c r="Z904" s="1">
        <v>148</v>
      </c>
      <c r="AA904" s="1">
        <v>402</v>
      </c>
      <c r="AB904" s="1">
        <v>170</v>
      </c>
      <c r="AC904" s="1">
        <v>5</v>
      </c>
      <c r="AD904" s="1">
        <v>165</v>
      </c>
      <c r="AE904" s="1">
        <v>63</v>
      </c>
      <c r="AF904" s="1">
        <v>291</v>
      </c>
      <c r="AG904" s="1">
        <v>175</v>
      </c>
    </row>
    <row r="905" spans="1:33">
      <c r="A905" s="58">
        <v>39073</v>
      </c>
      <c r="B905" s="1">
        <v>12500</v>
      </c>
      <c r="C905" s="1">
        <v>9482</v>
      </c>
      <c r="D905" s="21">
        <f t="shared" si="28"/>
        <v>-1.6287996680153544E-2</v>
      </c>
      <c r="E905" s="1">
        <v>9482</v>
      </c>
      <c r="F905" s="1">
        <v>0</v>
      </c>
      <c r="H905" s="1">
        <v>3018</v>
      </c>
      <c r="I905" s="21">
        <f t="shared" si="27"/>
        <v>-1.6539861065167053E-3</v>
      </c>
      <c r="J905" s="1">
        <v>914</v>
      </c>
      <c r="K905" s="1">
        <v>408</v>
      </c>
      <c r="L905" s="1">
        <v>0</v>
      </c>
      <c r="O905" s="1">
        <v>408</v>
      </c>
      <c r="T905" s="1">
        <v>506</v>
      </c>
      <c r="Z905" s="1">
        <v>165</v>
      </c>
      <c r="AA905" s="1">
        <v>435</v>
      </c>
      <c r="AB905" s="1">
        <v>223</v>
      </c>
      <c r="AC905" s="1">
        <v>5</v>
      </c>
      <c r="AD905" s="1">
        <v>152</v>
      </c>
      <c r="AE905" s="1">
        <v>55</v>
      </c>
      <c r="AF905" s="1">
        <v>271</v>
      </c>
      <c r="AG905" s="1">
        <v>186</v>
      </c>
    </row>
    <row r="906" spans="1:33">
      <c r="A906" s="58">
        <v>39080</v>
      </c>
      <c r="B906" s="1">
        <v>12478</v>
      </c>
      <c r="C906" s="1">
        <v>9439</v>
      </c>
      <c r="D906" s="21">
        <f t="shared" si="28"/>
        <v>-4.5349082472052309E-3</v>
      </c>
      <c r="E906" s="1">
        <v>9439</v>
      </c>
      <c r="F906" s="1">
        <v>0</v>
      </c>
      <c r="H906" s="1">
        <v>3039</v>
      </c>
      <c r="I906" s="21">
        <f t="shared" si="27"/>
        <v>6.958250497017893E-3</v>
      </c>
      <c r="J906" s="1">
        <v>1008</v>
      </c>
      <c r="K906" s="1">
        <v>386</v>
      </c>
      <c r="L906" s="1">
        <v>0</v>
      </c>
      <c r="O906" s="1">
        <v>386</v>
      </c>
      <c r="T906" s="1">
        <v>622</v>
      </c>
      <c r="Z906" s="1">
        <v>192</v>
      </c>
      <c r="AA906" s="1">
        <v>456</v>
      </c>
      <c r="AB906" s="1">
        <v>224</v>
      </c>
      <c r="AC906" s="1">
        <v>4</v>
      </c>
      <c r="AD906" s="1">
        <v>173</v>
      </c>
      <c r="AE906" s="1">
        <v>55</v>
      </c>
      <c r="AF906" s="1">
        <v>197</v>
      </c>
      <c r="AG906" s="1">
        <v>211</v>
      </c>
    </row>
    <row r="907" spans="1:33">
      <c r="A907" s="58">
        <v>39087</v>
      </c>
      <c r="B907" s="1">
        <v>12509</v>
      </c>
      <c r="C907" s="1">
        <v>9416</v>
      </c>
      <c r="D907" s="21">
        <f t="shared" si="28"/>
        <v>-2.4366988028392839E-3</v>
      </c>
      <c r="E907" s="1">
        <v>9416</v>
      </c>
      <c r="F907" s="1">
        <v>0</v>
      </c>
      <c r="H907" s="1">
        <v>3094</v>
      </c>
      <c r="I907" s="21">
        <f t="shared" si="27"/>
        <v>1.809805857189865E-2</v>
      </c>
      <c r="J907" s="1">
        <v>1025</v>
      </c>
      <c r="K907" s="1">
        <v>397</v>
      </c>
      <c r="L907" s="1">
        <v>0</v>
      </c>
      <c r="O907" s="1">
        <v>397</v>
      </c>
      <c r="T907" s="1">
        <v>628</v>
      </c>
      <c r="Z907" s="1">
        <v>197</v>
      </c>
      <c r="AA907" s="1">
        <v>458</v>
      </c>
      <c r="AB907" s="1">
        <v>228</v>
      </c>
      <c r="AC907" s="1">
        <v>18</v>
      </c>
      <c r="AD907" s="1">
        <v>146</v>
      </c>
      <c r="AE907" s="1">
        <v>66</v>
      </c>
      <c r="AF907" s="1">
        <v>235</v>
      </c>
      <c r="AG907" s="1">
        <v>197</v>
      </c>
    </row>
    <row r="908" spans="1:33">
      <c r="A908" s="58">
        <v>39094</v>
      </c>
      <c r="B908" s="1">
        <v>13149</v>
      </c>
      <c r="C908" s="1">
        <v>9954</v>
      </c>
      <c r="D908" s="21">
        <f t="shared" si="28"/>
        <v>5.7136788445199663E-2</v>
      </c>
      <c r="E908" s="1">
        <v>9954</v>
      </c>
      <c r="F908" s="1">
        <v>0</v>
      </c>
      <c r="H908" s="1">
        <v>3195</v>
      </c>
      <c r="I908" s="21">
        <f t="shared" si="27"/>
        <v>3.2643826761473822E-2</v>
      </c>
      <c r="J908" s="1">
        <v>1073</v>
      </c>
      <c r="K908" s="1">
        <v>418</v>
      </c>
      <c r="L908" s="1">
        <v>0</v>
      </c>
      <c r="O908" s="1">
        <v>418</v>
      </c>
      <c r="T908" s="1">
        <v>655</v>
      </c>
      <c r="Z908" s="1">
        <v>205</v>
      </c>
      <c r="AA908" s="1">
        <v>392</v>
      </c>
      <c r="AB908" s="1">
        <v>204</v>
      </c>
      <c r="AC908" s="1">
        <v>18</v>
      </c>
      <c r="AD908" s="1">
        <v>115</v>
      </c>
      <c r="AE908" s="1">
        <v>56</v>
      </c>
      <c r="AF908" s="1">
        <v>297</v>
      </c>
      <c r="AG908" s="1">
        <v>219</v>
      </c>
    </row>
    <row r="909" spans="1:33">
      <c r="A909" s="58">
        <v>39101</v>
      </c>
      <c r="B909" s="1">
        <v>13431</v>
      </c>
      <c r="C909" s="1">
        <v>10124</v>
      </c>
      <c r="D909" s="21">
        <f t="shared" si="28"/>
        <v>1.7078561382358852E-2</v>
      </c>
      <c r="E909" s="1">
        <v>10124</v>
      </c>
      <c r="F909" s="1">
        <v>0</v>
      </c>
      <c r="H909" s="1">
        <v>3307</v>
      </c>
      <c r="I909" s="21">
        <f t="shared" si="27"/>
        <v>3.5054773082942095E-2</v>
      </c>
      <c r="J909" s="1">
        <v>1058</v>
      </c>
      <c r="K909" s="1">
        <v>382</v>
      </c>
      <c r="L909" s="1">
        <v>0</v>
      </c>
      <c r="O909" s="1">
        <v>382</v>
      </c>
      <c r="T909" s="1">
        <v>676</v>
      </c>
      <c r="Z909" s="1">
        <v>213</v>
      </c>
      <c r="AA909" s="1">
        <v>393</v>
      </c>
      <c r="AB909" s="1">
        <v>169</v>
      </c>
      <c r="AC909" s="1">
        <v>23</v>
      </c>
      <c r="AD909" s="1">
        <v>132</v>
      </c>
      <c r="AE909" s="1">
        <v>69</v>
      </c>
      <c r="AF909" s="1">
        <v>339</v>
      </c>
      <c r="AG909" s="1">
        <v>217</v>
      </c>
    </row>
    <row r="910" spans="1:33">
      <c r="A910" s="58">
        <v>39108</v>
      </c>
      <c r="B910" s="1">
        <v>13543</v>
      </c>
      <c r="C910" s="1">
        <v>10084</v>
      </c>
      <c r="D910" s="21">
        <f t="shared" si="28"/>
        <v>-3.9510075069142635E-3</v>
      </c>
      <c r="E910" s="1">
        <v>10084</v>
      </c>
      <c r="F910" s="1">
        <v>0</v>
      </c>
      <c r="H910" s="1">
        <v>3458</v>
      </c>
      <c r="I910" s="21">
        <f t="shared" si="27"/>
        <v>4.566071968551557E-2</v>
      </c>
      <c r="J910" s="1">
        <v>1064</v>
      </c>
      <c r="K910" s="1">
        <v>372</v>
      </c>
      <c r="L910" s="1">
        <v>0</v>
      </c>
      <c r="O910" s="1">
        <v>372</v>
      </c>
      <c r="T910" s="1">
        <v>692</v>
      </c>
      <c r="Z910" s="1">
        <v>216</v>
      </c>
      <c r="AA910" s="1">
        <v>388</v>
      </c>
      <c r="AB910" s="1">
        <v>178</v>
      </c>
      <c r="AC910" s="1">
        <v>24</v>
      </c>
      <c r="AD910" s="1">
        <v>118</v>
      </c>
      <c r="AE910" s="1">
        <v>69</v>
      </c>
      <c r="AF910" s="1">
        <v>388</v>
      </c>
      <c r="AG910" s="1">
        <v>221</v>
      </c>
    </row>
    <row r="911" spans="1:33">
      <c r="A911" s="58">
        <v>39115</v>
      </c>
      <c r="B911" s="1">
        <v>13477</v>
      </c>
      <c r="C911" s="1">
        <v>10095</v>
      </c>
      <c r="D911" s="21">
        <f t="shared" si="28"/>
        <v>1.0908369694565649E-3</v>
      </c>
      <c r="E911" s="1">
        <v>10095</v>
      </c>
      <c r="F911" s="1">
        <v>0</v>
      </c>
      <c r="H911" s="1">
        <v>3383</v>
      </c>
      <c r="I911" s="21">
        <f t="shared" si="27"/>
        <v>-2.1688837478311164E-2</v>
      </c>
      <c r="J911" s="1">
        <v>1051</v>
      </c>
      <c r="K911" s="1">
        <v>353</v>
      </c>
      <c r="L911" s="1">
        <v>0</v>
      </c>
      <c r="O911" s="1">
        <v>353</v>
      </c>
      <c r="T911" s="1">
        <v>698</v>
      </c>
      <c r="Z911" s="1">
        <v>199</v>
      </c>
      <c r="AA911" s="1">
        <v>354</v>
      </c>
      <c r="AB911" s="1">
        <v>171</v>
      </c>
      <c r="AC911" s="1">
        <v>20</v>
      </c>
      <c r="AD911" s="1">
        <v>112</v>
      </c>
      <c r="AE911" s="1">
        <v>51</v>
      </c>
      <c r="AF911" s="1">
        <v>376</v>
      </c>
      <c r="AG911" s="1">
        <v>245</v>
      </c>
    </row>
    <row r="912" spans="1:33">
      <c r="A912" s="58">
        <v>39122</v>
      </c>
      <c r="B912" s="1">
        <v>13106</v>
      </c>
      <c r="C912" s="1">
        <v>9727</v>
      </c>
      <c r="D912" s="21">
        <f t="shared" si="28"/>
        <v>-3.6453689945517585E-2</v>
      </c>
      <c r="E912" s="1">
        <v>9727</v>
      </c>
      <c r="F912" s="1">
        <v>0</v>
      </c>
      <c r="H912" s="1">
        <v>3379</v>
      </c>
      <c r="I912" s="21">
        <f t="shared" si="27"/>
        <v>-1.1823825007389892E-3</v>
      </c>
      <c r="J912" s="1">
        <v>998</v>
      </c>
      <c r="K912" s="1">
        <v>299</v>
      </c>
      <c r="L912" s="1">
        <v>0</v>
      </c>
      <c r="O912" s="1">
        <v>299</v>
      </c>
      <c r="T912" s="1">
        <v>698</v>
      </c>
      <c r="Z912" s="1">
        <v>223</v>
      </c>
      <c r="AA912" s="1">
        <v>374</v>
      </c>
      <c r="AB912" s="1">
        <v>176</v>
      </c>
      <c r="AC912" s="1">
        <v>19</v>
      </c>
      <c r="AD912" s="1">
        <v>127</v>
      </c>
      <c r="AE912" s="1">
        <v>53</v>
      </c>
      <c r="AF912" s="1">
        <v>349</v>
      </c>
      <c r="AG912" s="1">
        <v>223</v>
      </c>
    </row>
    <row r="913" spans="1:33">
      <c r="A913" s="58">
        <v>39129</v>
      </c>
      <c r="B913" s="1">
        <v>13068</v>
      </c>
      <c r="C913" s="1">
        <v>9710</v>
      </c>
      <c r="D913" s="21">
        <f t="shared" si="28"/>
        <v>-1.7477125526883931E-3</v>
      </c>
      <c r="E913" s="1">
        <v>9710</v>
      </c>
      <c r="F913" s="1">
        <v>0</v>
      </c>
      <c r="H913" s="1">
        <v>3358</v>
      </c>
      <c r="I913" s="21">
        <f t="shared" si="27"/>
        <v>-6.2148564664101808E-3</v>
      </c>
      <c r="J913" s="1">
        <v>1007</v>
      </c>
      <c r="K913" s="1">
        <v>352</v>
      </c>
      <c r="L913" s="1">
        <v>0</v>
      </c>
      <c r="O913" s="1">
        <v>352</v>
      </c>
      <c r="T913" s="1">
        <v>655</v>
      </c>
      <c r="Z913" s="1">
        <v>229</v>
      </c>
      <c r="AA913" s="1">
        <v>349</v>
      </c>
      <c r="AB913" s="1">
        <v>171</v>
      </c>
      <c r="AC913" s="1">
        <v>28</v>
      </c>
      <c r="AD913" s="1">
        <v>109</v>
      </c>
      <c r="AE913" s="1">
        <v>41</v>
      </c>
      <c r="AF913" s="1">
        <v>352</v>
      </c>
      <c r="AG913" s="1">
        <v>199</v>
      </c>
    </row>
    <row r="914" spans="1:33">
      <c r="A914" s="58">
        <v>39136</v>
      </c>
      <c r="B914" s="1">
        <v>12913</v>
      </c>
      <c r="C914" s="1">
        <v>9599</v>
      </c>
      <c r="D914" s="21">
        <f t="shared" si="28"/>
        <v>-1.1431513903192586E-2</v>
      </c>
      <c r="E914" s="1">
        <v>9599</v>
      </c>
      <c r="F914" s="1">
        <v>0</v>
      </c>
      <c r="H914" s="1">
        <v>3314</v>
      </c>
      <c r="I914" s="21">
        <f t="shared" si="27"/>
        <v>-1.3103037522334724E-2</v>
      </c>
      <c r="J914" s="1">
        <v>910</v>
      </c>
      <c r="K914" s="1">
        <v>373</v>
      </c>
      <c r="L914" s="1">
        <v>0</v>
      </c>
      <c r="O914" s="1">
        <v>373</v>
      </c>
      <c r="T914" s="1">
        <v>537</v>
      </c>
      <c r="Z914" s="1">
        <v>236</v>
      </c>
      <c r="AA914" s="1">
        <v>353</v>
      </c>
      <c r="AB914" s="1">
        <v>158</v>
      </c>
      <c r="AC914" s="1">
        <v>43</v>
      </c>
      <c r="AD914" s="1">
        <v>99</v>
      </c>
      <c r="AE914" s="1">
        <v>52</v>
      </c>
      <c r="AF914" s="1">
        <v>408</v>
      </c>
      <c r="AG914" s="1">
        <v>192</v>
      </c>
    </row>
    <row r="915" spans="1:33">
      <c r="A915" s="58">
        <v>39143</v>
      </c>
      <c r="B915" s="1">
        <v>12620</v>
      </c>
      <c r="C915" s="1">
        <v>9430</v>
      </c>
      <c r="D915" s="21">
        <f t="shared" si="28"/>
        <v>-1.7606000625065111E-2</v>
      </c>
      <c r="E915" s="1">
        <v>9430</v>
      </c>
      <c r="F915" s="1">
        <v>0</v>
      </c>
      <c r="H915" s="1">
        <v>3190</v>
      </c>
      <c r="I915" s="21">
        <f t="shared" si="27"/>
        <v>-3.7417018708509352E-2</v>
      </c>
      <c r="J915" s="1">
        <v>861</v>
      </c>
      <c r="K915" s="1">
        <v>337</v>
      </c>
      <c r="L915" s="1">
        <v>0</v>
      </c>
      <c r="O915" s="1">
        <v>337</v>
      </c>
      <c r="T915" s="1">
        <v>524</v>
      </c>
      <c r="Z915" s="1">
        <v>232</v>
      </c>
      <c r="AA915" s="1">
        <v>376</v>
      </c>
      <c r="AB915" s="1">
        <v>167</v>
      </c>
      <c r="AC915" s="1">
        <v>43</v>
      </c>
      <c r="AD915" s="1">
        <v>100</v>
      </c>
      <c r="AE915" s="1">
        <v>66</v>
      </c>
      <c r="AF915" s="1">
        <v>403</v>
      </c>
      <c r="AG915" s="1">
        <v>165</v>
      </c>
    </row>
    <row r="916" spans="1:33">
      <c r="A916" s="58">
        <v>39150</v>
      </c>
      <c r="B916" s="1">
        <v>12781</v>
      </c>
      <c r="C916" s="1">
        <v>9485</v>
      </c>
      <c r="D916" s="21">
        <f t="shared" si="28"/>
        <v>5.8324496288441148E-3</v>
      </c>
      <c r="E916" s="1">
        <v>9485</v>
      </c>
      <c r="F916" s="1">
        <v>0</v>
      </c>
      <c r="H916" s="1">
        <v>3297</v>
      </c>
      <c r="I916" s="21">
        <f t="shared" si="27"/>
        <v>3.3542319749216301E-2</v>
      </c>
      <c r="J916" s="1">
        <v>884</v>
      </c>
      <c r="K916" s="1">
        <v>356</v>
      </c>
      <c r="L916" s="1">
        <v>0</v>
      </c>
      <c r="O916" s="1">
        <v>356</v>
      </c>
      <c r="T916" s="1">
        <v>528</v>
      </c>
      <c r="Z916" s="1">
        <v>267</v>
      </c>
      <c r="AA916" s="1">
        <v>367</v>
      </c>
      <c r="AB916" s="1">
        <v>173</v>
      </c>
      <c r="AC916" s="1">
        <v>57</v>
      </c>
      <c r="AD916" s="1">
        <v>73</v>
      </c>
      <c r="AE916" s="1">
        <v>64</v>
      </c>
      <c r="AF916" s="1">
        <v>401</v>
      </c>
      <c r="AG916" s="1">
        <v>166</v>
      </c>
    </row>
    <row r="917" spans="1:33">
      <c r="A917" s="58">
        <v>39157</v>
      </c>
      <c r="B917" s="1">
        <v>12957</v>
      </c>
      <c r="C917" s="1">
        <v>9654</v>
      </c>
      <c r="D917" s="21">
        <f t="shared" si="28"/>
        <v>1.7817606747496047E-2</v>
      </c>
      <c r="E917" s="1">
        <v>9654</v>
      </c>
      <c r="F917" s="1">
        <v>0</v>
      </c>
      <c r="H917" s="1">
        <v>3304</v>
      </c>
      <c r="I917" s="21">
        <f t="shared" si="27"/>
        <v>2.1231422505307855E-3</v>
      </c>
      <c r="J917" s="1">
        <v>848</v>
      </c>
      <c r="K917" s="1">
        <v>341</v>
      </c>
      <c r="L917" s="1">
        <v>0</v>
      </c>
      <c r="O917" s="1">
        <v>341</v>
      </c>
      <c r="T917" s="1">
        <v>507</v>
      </c>
      <c r="Z917" s="1">
        <v>271</v>
      </c>
      <c r="AA917" s="1">
        <v>339</v>
      </c>
      <c r="AB917" s="1">
        <v>166</v>
      </c>
      <c r="AC917" s="1">
        <v>42</v>
      </c>
      <c r="AD917" s="1">
        <v>68</v>
      </c>
      <c r="AE917" s="1">
        <v>63</v>
      </c>
      <c r="AF917" s="1">
        <v>458</v>
      </c>
      <c r="AG917" s="1">
        <v>189</v>
      </c>
    </row>
    <row r="918" spans="1:33">
      <c r="A918" s="58">
        <v>39164</v>
      </c>
      <c r="B918" s="1">
        <v>13080</v>
      </c>
      <c r="C918" s="1">
        <v>9681</v>
      </c>
      <c r="D918" s="21">
        <f t="shared" si="28"/>
        <v>2.7967681789931634E-3</v>
      </c>
      <c r="E918" s="1">
        <v>9681</v>
      </c>
      <c r="F918" s="1">
        <v>0</v>
      </c>
      <c r="H918" s="1">
        <v>3399</v>
      </c>
      <c r="I918" s="21">
        <f t="shared" si="27"/>
        <v>2.8753026634382568E-2</v>
      </c>
      <c r="J918" s="1">
        <v>909</v>
      </c>
      <c r="K918" s="1">
        <v>341</v>
      </c>
      <c r="L918" s="1">
        <v>0</v>
      </c>
      <c r="O918" s="1">
        <v>341</v>
      </c>
      <c r="T918" s="1">
        <v>568</v>
      </c>
      <c r="Z918" s="1">
        <v>265</v>
      </c>
      <c r="AA918" s="1">
        <v>331</v>
      </c>
      <c r="AB918" s="1">
        <v>179</v>
      </c>
      <c r="AC918" s="1">
        <v>38</v>
      </c>
      <c r="AD918" s="1">
        <v>66</v>
      </c>
      <c r="AE918" s="1">
        <v>48</v>
      </c>
      <c r="AF918" s="1">
        <v>472</v>
      </c>
      <c r="AG918" s="1">
        <v>182</v>
      </c>
    </row>
    <row r="919" spans="1:33">
      <c r="A919" s="58">
        <v>39171</v>
      </c>
      <c r="B919" s="1">
        <v>13602</v>
      </c>
      <c r="C919" s="1">
        <v>10024</v>
      </c>
      <c r="D919" s="21">
        <f t="shared" si="28"/>
        <v>3.5430224150397684E-2</v>
      </c>
      <c r="E919" s="1">
        <v>10024</v>
      </c>
      <c r="F919" s="1">
        <v>0</v>
      </c>
      <c r="H919" s="1">
        <v>3578</v>
      </c>
      <c r="I919" s="21">
        <f t="shared" si="27"/>
        <v>5.2662547808178875E-2</v>
      </c>
      <c r="J919" s="1">
        <v>964</v>
      </c>
      <c r="K919" s="1">
        <v>407</v>
      </c>
      <c r="L919" s="1">
        <v>0</v>
      </c>
      <c r="O919" s="1">
        <v>407</v>
      </c>
      <c r="T919" s="1">
        <v>558</v>
      </c>
      <c r="Z919" s="1">
        <v>260</v>
      </c>
      <c r="AA919" s="1">
        <v>317</v>
      </c>
      <c r="AB919" s="1">
        <v>191</v>
      </c>
      <c r="AC919" s="1">
        <v>27</v>
      </c>
      <c r="AD919" s="1">
        <v>75</v>
      </c>
      <c r="AE919" s="1">
        <v>23</v>
      </c>
      <c r="AF919" s="1">
        <v>534</v>
      </c>
      <c r="AG919" s="1">
        <v>207</v>
      </c>
    </row>
    <row r="920" spans="1:33">
      <c r="A920" s="58">
        <v>39178</v>
      </c>
      <c r="B920" s="1">
        <v>13538</v>
      </c>
      <c r="C920" s="1">
        <v>10025</v>
      </c>
      <c r="D920" s="21">
        <f t="shared" si="28"/>
        <v>9.9760574620909822E-5</v>
      </c>
      <c r="E920" s="1">
        <v>10025</v>
      </c>
      <c r="F920" s="1">
        <v>0</v>
      </c>
      <c r="H920" s="1">
        <v>3514</v>
      </c>
      <c r="I920" s="21">
        <f t="shared" si="27"/>
        <v>-1.7887087758524316E-2</v>
      </c>
      <c r="J920" s="1">
        <v>975</v>
      </c>
      <c r="K920" s="1">
        <v>414</v>
      </c>
      <c r="L920" s="1">
        <v>0</v>
      </c>
      <c r="O920" s="1">
        <v>414</v>
      </c>
      <c r="T920" s="1">
        <v>561</v>
      </c>
      <c r="Z920" s="1">
        <v>240</v>
      </c>
      <c r="AA920" s="1">
        <v>301</v>
      </c>
      <c r="AB920" s="1">
        <v>192</v>
      </c>
      <c r="AC920" s="1">
        <v>14</v>
      </c>
      <c r="AD920" s="1">
        <v>82</v>
      </c>
      <c r="AE920" s="1">
        <v>14</v>
      </c>
      <c r="AF920" s="1">
        <v>569</v>
      </c>
      <c r="AG920" s="1">
        <v>183</v>
      </c>
    </row>
    <row r="921" spans="1:33">
      <c r="A921" s="58">
        <v>39185</v>
      </c>
      <c r="B921" s="1">
        <v>13454</v>
      </c>
      <c r="C921" s="1">
        <v>9900</v>
      </c>
      <c r="D921" s="21">
        <f t="shared" si="28"/>
        <v>-1.2468827930174564E-2</v>
      </c>
      <c r="E921" s="1">
        <v>9900</v>
      </c>
      <c r="F921" s="1">
        <v>0</v>
      </c>
      <c r="H921" s="1">
        <v>3554</v>
      </c>
      <c r="I921" s="21">
        <f t="shared" si="27"/>
        <v>1.1383039271485486E-2</v>
      </c>
      <c r="J921" s="1">
        <v>1034</v>
      </c>
      <c r="K921" s="1">
        <v>419</v>
      </c>
      <c r="L921" s="1">
        <v>0</v>
      </c>
      <c r="O921" s="1">
        <v>419</v>
      </c>
      <c r="T921" s="1">
        <v>615</v>
      </c>
      <c r="Z921" s="1">
        <v>265</v>
      </c>
      <c r="AA921" s="1">
        <v>312</v>
      </c>
      <c r="AB921" s="1">
        <v>203</v>
      </c>
      <c r="AC921" s="1">
        <v>14</v>
      </c>
      <c r="AD921" s="1">
        <v>82</v>
      </c>
      <c r="AE921" s="1">
        <v>13</v>
      </c>
      <c r="AF921" s="1">
        <v>542</v>
      </c>
      <c r="AG921" s="1">
        <v>154</v>
      </c>
    </row>
    <row r="922" spans="1:33">
      <c r="A922" s="58">
        <v>39192</v>
      </c>
      <c r="B922" s="1">
        <v>13523</v>
      </c>
      <c r="C922" s="1">
        <v>10001</v>
      </c>
      <c r="D922" s="21">
        <f t="shared" si="28"/>
        <v>1.0202020202020202E-2</v>
      </c>
      <c r="E922" s="1">
        <v>10001</v>
      </c>
      <c r="F922" s="1">
        <v>0</v>
      </c>
      <c r="H922" s="1">
        <v>3522</v>
      </c>
      <c r="I922" s="21">
        <f t="shared" ref="I922:I985" si="29">(H922-H921)/H921</f>
        <v>-9.0039392234102424E-3</v>
      </c>
      <c r="J922" s="1">
        <v>1041</v>
      </c>
      <c r="K922" s="1">
        <v>465</v>
      </c>
      <c r="L922" s="1">
        <v>0</v>
      </c>
      <c r="O922" s="1">
        <v>465</v>
      </c>
      <c r="T922" s="1">
        <v>576</v>
      </c>
      <c r="Z922" s="1">
        <v>273</v>
      </c>
      <c r="AA922" s="1">
        <v>302</v>
      </c>
      <c r="AB922" s="1">
        <v>183</v>
      </c>
      <c r="AC922" s="1">
        <v>35</v>
      </c>
      <c r="AD922" s="1">
        <v>73</v>
      </c>
      <c r="AE922" s="1">
        <v>11</v>
      </c>
      <c r="AF922" s="1">
        <v>509</v>
      </c>
      <c r="AG922" s="1">
        <v>158</v>
      </c>
    </row>
    <row r="923" spans="1:33">
      <c r="A923" s="58">
        <v>39199</v>
      </c>
      <c r="B923" s="1">
        <v>13543</v>
      </c>
      <c r="C923" s="1">
        <v>10006</v>
      </c>
      <c r="D923" s="21">
        <f t="shared" si="28"/>
        <v>4.9995000499950004E-4</v>
      </c>
      <c r="E923" s="1">
        <v>10006</v>
      </c>
      <c r="F923" s="1">
        <v>0</v>
      </c>
      <c r="H923" s="1">
        <v>3537</v>
      </c>
      <c r="I923" s="21">
        <f t="shared" si="29"/>
        <v>4.2589437819420782E-3</v>
      </c>
      <c r="J923" s="1">
        <v>1077</v>
      </c>
      <c r="K923" s="1">
        <v>464</v>
      </c>
      <c r="L923" s="1">
        <v>0</v>
      </c>
      <c r="O923" s="1">
        <v>464</v>
      </c>
      <c r="T923" s="1">
        <v>614</v>
      </c>
      <c r="Z923" s="1">
        <v>290</v>
      </c>
      <c r="AA923" s="1">
        <v>292</v>
      </c>
      <c r="AB923" s="1">
        <v>202</v>
      </c>
      <c r="AC923" s="1">
        <v>35</v>
      </c>
      <c r="AD923" s="1">
        <v>45</v>
      </c>
      <c r="AE923" s="1">
        <v>10</v>
      </c>
      <c r="AF923" s="1">
        <v>439</v>
      </c>
      <c r="AG923" s="1">
        <v>137</v>
      </c>
    </row>
    <row r="924" spans="1:33">
      <c r="A924" s="58">
        <v>39206</v>
      </c>
      <c r="B924" s="1">
        <v>13882</v>
      </c>
      <c r="C924" s="1">
        <v>10302</v>
      </c>
      <c r="D924" s="21">
        <f t="shared" si="28"/>
        <v>2.9582250649610235E-2</v>
      </c>
      <c r="E924" s="1">
        <v>10302</v>
      </c>
      <c r="F924" s="1">
        <v>0</v>
      </c>
      <c r="H924" s="1">
        <v>3580</v>
      </c>
      <c r="I924" s="21">
        <f t="shared" si="29"/>
        <v>1.2157195363302233E-2</v>
      </c>
      <c r="J924" s="1">
        <v>1144</v>
      </c>
      <c r="K924" s="1">
        <v>546</v>
      </c>
      <c r="L924" s="1">
        <v>0</v>
      </c>
      <c r="O924" s="1">
        <v>546</v>
      </c>
      <c r="T924" s="1">
        <v>598</v>
      </c>
      <c r="Z924" s="1">
        <v>298</v>
      </c>
      <c r="AA924" s="1">
        <v>309</v>
      </c>
      <c r="AB924" s="1">
        <v>214</v>
      </c>
      <c r="AC924" s="1">
        <v>40</v>
      </c>
      <c r="AD924" s="1">
        <v>44</v>
      </c>
      <c r="AE924" s="1">
        <v>12</v>
      </c>
      <c r="AF924" s="1">
        <v>360</v>
      </c>
      <c r="AG924" s="1">
        <v>145</v>
      </c>
    </row>
    <row r="925" spans="1:33">
      <c r="A925" s="58">
        <v>39213</v>
      </c>
      <c r="B925" s="1">
        <v>14167</v>
      </c>
      <c r="C925" s="1">
        <v>10406</v>
      </c>
      <c r="D925" s="21">
        <f t="shared" ref="D925:D988" si="30">(C925-C924)/C924</f>
        <v>1.0095127159774802E-2</v>
      </c>
      <c r="E925" s="1">
        <v>10406</v>
      </c>
      <c r="F925" s="1">
        <v>0</v>
      </c>
      <c r="H925" s="1">
        <v>3761</v>
      </c>
      <c r="I925" s="21">
        <f t="shared" si="29"/>
        <v>5.0558659217877097E-2</v>
      </c>
      <c r="J925" s="1">
        <v>1267</v>
      </c>
      <c r="K925" s="1">
        <v>587</v>
      </c>
      <c r="L925" s="1">
        <v>0</v>
      </c>
      <c r="O925" s="1">
        <v>587</v>
      </c>
      <c r="T925" s="1">
        <v>679</v>
      </c>
      <c r="Z925" s="1">
        <v>280</v>
      </c>
      <c r="AA925" s="1">
        <v>306</v>
      </c>
      <c r="AB925" s="1">
        <v>218</v>
      </c>
      <c r="AC925" s="1">
        <v>40</v>
      </c>
      <c r="AD925" s="1">
        <v>38</v>
      </c>
      <c r="AE925" s="1">
        <v>10</v>
      </c>
      <c r="AF925" s="1">
        <v>332</v>
      </c>
      <c r="AG925" s="1">
        <v>156</v>
      </c>
    </row>
    <row r="926" spans="1:33">
      <c r="A926" s="58">
        <v>39220</v>
      </c>
      <c r="B926" s="1">
        <v>14357</v>
      </c>
      <c r="C926" s="1">
        <v>10620</v>
      </c>
      <c r="D926" s="21">
        <f t="shared" si="30"/>
        <v>2.0565058620026909E-2</v>
      </c>
      <c r="E926" s="1">
        <v>10620</v>
      </c>
      <c r="F926" s="1">
        <v>0</v>
      </c>
      <c r="H926" s="1">
        <v>3737</v>
      </c>
      <c r="I926" s="21">
        <f t="shared" si="29"/>
        <v>-6.3812815740494546E-3</v>
      </c>
      <c r="J926" s="1">
        <v>1299</v>
      </c>
      <c r="K926" s="1">
        <v>590</v>
      </c>
      <c r="L926" s="1">
        <v>0</v>
      </c>
      <c r="O926" s="1">
        <v>590</v>
      </c>
      <c r="T926" s="1">
        <v>710</v>
      </c>
      <c r="Z926" s="1">
        <v>246</v>
      </c>
      <c r="AA926" s="1">
        <v>276</v>
      </c>
      <c r="AB926" s="1">
        <v>224</v>
      </c>
      <c r="AC926" s="1">
        <v>8</v>
      </c>
      <c r="AD926" s="1">
        <v>37</v>
      </c>
      <c r="AE926" s="1">
        <v>8</v>
      </c>
      <c r="AF926" s="1">
        <v>277</v>
      </c>
      <c r="AG926" s="1">
        <v>132</v>
      </c>
    </row>
    <row r="927" spans="1:33">
      <c r="A927" s="58">
        <v>39227</v>
      </c>
      <c r="B927" s="1">
        <v>14419</v>
      </c>
      <c r="C927" s="1">
        <v>10558</v>
      </c>
      <c r="D927" s="21">
        <f t="shared" si="30"/>
        <v>-5.8380414312617706E-3</v>
      </c>
      <c r="E927" s="1">
        <v>10558</v>
      </c>
      <c r="F927" s="1">
        <v>0</v>
      </c>
      <c r="H927" s="1">
        <v>3860</v>
      </c>
      <c r="I927" s="21">
        <f t="shared" si="29"/>
        <v>3.2914102221032915E-2</v>
      </c>
      <c r="J927" s="1">
        <v>1414</v>
      </c>
      <c r="K927" s="1">
        <v>620</v>
      </c>
      <c r="L927" s="1">
        <v>0</v>
      </c>
      <c r="O927" s="1">
        <v>620</v>
      </c>
      <c r="T927" s="1">
        <v>794</v>
      </c>
      <c r="Z927" s="1">
        <v>261</v>
      </c>
      <c r="AA927" s="1">
        <v>241</v>
      </c>
      <c r="AB927" s="1">
        <v>189</v>
      </c>
      <c r="AC927" s="1">
        <v>8</v>
      </c>
      <c r="AD927" s="1">
        <v>37</v>
      </c>
      <c r="AE927" s="1">
        <v>8</v>
      </c>
      <c r="AF927" s="1">
        <v>308</v>
      </c>
      <c r="AG927" s="1">
        <v>121</v>
      </c>
    </row>
    <row r="928" spans="1:33">
      <c r="A928" s="58">
        <v>39234</v>
      </c>
      <c r="B928" s="1">
        <v>14328</v>
      </c>
      <c r="C928" s="1">
        <v>10371</v>
      </c>
      <c r="D928" s="21">
        <f t="shared" si="30"/>
        <v>-1.7711687819662814E-2</v>
      </c>
      <c r="E928" s="1">
        <v>10371</v>
      </c>
      <c r="F928" s="1">
        <v>0</v>
      </c>
      <c r="H928" s="1">
        <v>3958</v>
      </c>
      <c r="I928" s="21">
        <f t="shared" si="29"/>
        <v>2.5388601036269429E-2</v>
      </c>
      <c r="J928" s="1">
        <v>1485</v>
      </c>
      <c r="K928" s="1">
        <v>620</v>
      </c>
      <c r="L928" s="1">
        <v>0</v>
      </c>
      <c r="O928" s="1">
        <v>620</v>
      </c>
      <c r="T928" s="1">
        <v>865</v>
      </c>
      <c r="Z928" s="1">
        <v>239</v>
      </c>
      <c r="AA928" s="1">
        <v>217</v>
      </c>
      <c r="AB928" s="1">
        <v>186</v>
      </c>
      <c r="AC928" s="1">
        <v>2</v>
      </c>
      <c r="AD928" s="1">
        <v>24</v>
      </c>
      <c r="AE928" s="1">
        <v>5</v>
      </c>
      <c r="AF928" s="1">
        <v>312</v>
      </c>
      <c r="AG928" s="1">
        <v>142</v>
      </c>
    </row>
    <row r="929" spans="1:33">
      <c r="A929" s="58">
        <v>39241</v>
      </c>
      <c r="B929" s="1">
        <v>14132</v>
      </c>
      <c r="C929" s="1">
        <v>10323</v>
      </c>
      <c r="D929" s="21">
        <f t="shared" si="30"/>
        <v>-4.6282904252241824E-3</v>
      </c>
      <c r="E929" s="1">
        <v>10323</v>
      </c>
      <c r="F929" s="1">
        <v>0</v>
      </c>
      <c r="H929" s="1">
        <v>3809</v>
      </c>
      <c r="I929" s="21">
        <f t="shared" si="29"/>
        <v>-3.7645275391611922E-2</v>
      </c>
      <c r="J929" s="1">
        <v>1392</v>
      </c>
      <c r="K929" s="1">
        <v>596</v>
      </c>
      <c r="L929" s="1">
        <v>0</v>
      </c>
      <c r="O929" s="1">
        <v>596</v>
      </c>
      <c r="T929" s="1">
        <v>797</v>
      </c>
      <c r="Z929" s="1">
        <v>251</v>
      </c>
      <c r="AA929" s="1">
        <v>199</v>
      </c>
      <c r="AB929" s="1">
        <v>162</v>
      </c>
      <c r="AC929" s="1">
        <v>2</v>
      </c>
      <c r="AD929" s="1">
        <v>26</v>
      </c>
      <c r="AE929" s="1">
        <v>10</v>
      </c>
      <c r="AF929" s="1">
        <v>296</v>
      </c>
      <c r="AG929" s="1">
        <v>140</v>
      </c>
    </row>
    <row r="930" spans="1:33">
      <c r="A930" s="58">
        <v>39248</v>
      </c>
      <c r="B930" s="1">
        <v>14170</v>
      </c>
      <c r="C930" s="1">
        <v>10298</v>
      </c>
      <c r="D930" s="21">
        <f t="shared" si="30"/>
        <v>-2.4217766153250024E-3</v>
      </c>
      <c r="E930" s="1">
        <v>10298</v>
      </c>
      <c r="F930" s="1">
        <v>0</v>
      </c>
      <c r="H930" s="1">
        <v>3872</v>
      </c>
      <c r="I930" s="21">
        <f t="shared" si="29"/>
        <v>1.6539774218955108E-2</v>
      </c>
      <c r="J930" s="1">
        <v>1389</v>
      </c>
      <c r="K930" s="1">
        <v>543</v>
      </c>
      <c r="L930" s="1">
        <v>0</v>
      </c>
      <c r="O930" s="1">
        <v>543</v>
      </c>
      <c r="T930" s="1">
        <v>846</v>
      </c>
      <c r="Z930" s="1">
        <v>259</v>
      </c>
      <c r="AA930" s="1">
        <v>216</v>
      </c>
      <c r="AB930" s="1">
        <v>172</v>
      </c>
      <c r="AC930" s="1">
        <v>2</v>
      </c>
      <c r="AD930" s="1">
        <v>32</v>
      </c>
      <c r="AE930" s="1">
        <v>10</v>
      </c>
      <c r="AF930" s="1">
        <v>334</v>
      </c>
      <c r="AG930" s="1">
        <v>139</v>
      </c>
    </row>
    <row r="931" spans="1:33">
      <c r="A931" s="58">
        <v>39255</v>
      </c>
      <c r="B931" s="1">
        <v>14138</v>
      </c>
      <c r="C931" s="1">
        <v>10418</v>
      </c>
      <c r="D931" s="21">
        <f t="shared" si="30"/>
        <v>1.1652748106428433E-2</v>
      </c>
      <c r="E931" s="1">
        <v>10418</v>
      </c>
      <c r="F931" s="1">
        <v>0</v>
      </c>
      <c r="H931" s="1">
        <v>3720</v>
      </c>
      <c r="I931" s="21">
        <f t="shared" si="29"/>
        <v>-3.9256198347107439E-2</v>
      </c>
      <c r="J931" s="1">
        <v>1265</v>
      </c>
      <c r="K931" s="1">
        <v>509</v>
      </c>
      <c r="L931" s="1">
        <v>0</v>
      </c>
      <c r="O931" s="1">
        <v>509</v>
      </c>
      <c r="T931" s="1">
        <v>756</v>
      </c>
      <c r="Z931" s="1">
        <v>243</v>
      </c>
      <c r="AA931" s="1">
        <v>220</v>
      </c>
      <c r="AB931" s="1">
        <v>167</v>
      </c>
      <c r="AC931" s="1">
        <v>2</v>
      </c>
      <c r="AD931" s="1">
        <v>41</v>
      </c>
      <c r="AE931" s="1">
        <v>10</v>
      </c>
      <c r="AF931" s="1">
        <v>322</v>
      </c>
      <c r="AG931" s="1">
        <v>153</v>
      </c>
    </row>
    <row r="932" spans="1:33">
      <c r="A932" s="58">
        <v>39262</v>
      </c>
      <c r="B932" s="1">
        <v>14218</v>
      </c>
      <c r="C932" s="1">
        <v>10553</v>
      </c>
      <c r="D932" s="21">
        <f t="shared" si="30"/>
        <v>1.2958341332309465E-2</v>
      </c>
      <c r="E932" s="1">
        <v>10553</v>
      </c>
      <c r="F932" s="1">
        <v>0</v>
      </c>
      <c r="H932" s="1">
        <v>3665</v>
      </c>
      <c r="I932" s="21">
        <f t="shared" si="29"/>
        <v>-1.4784946236559141E-2</v>
      </c>
      <c r="J932" s="1">
        <v>1236</v>
      </c>
      <c r="K932" s="1">
        <v>473</v>
      </c>
      <c r="L932" s="1">
        <v>0</v>
      </c>
      <c r="O932" s="1">
        <v>473</v>
      </c>
      <c r="T932" s="1">
        <v>763</v>
      </c>
      <c r="Z932" s="1">
        <v>257</v>
      </c>
      <c r="AA932" s="1">
        <v>241</v>
      </c>
      <c r="AB932" s="1">
        <v>148</v>
      </c>
      <c r="AC932" s="1">
        <v>16</v>
      </c>
      <c r="AD932" s="1">
        <v>53</v>
      </c>
      <c r="AE932" s="1">
        <v>24</v>
      </c>
      <c r="AF932" s="1">
        <v>328</v>
      </c>
      <c r="AG932" s="1">
        <v>137</v>
      </c>
    </row>
    <row r="933" spans="1:33">
      <c r="A933" s="58">
        <v>39269</v>
      </c>
      <c r="B933" s="1">
        <v>14271</v>
      </c>
      <c r="C933" s="1">
        <v>10524</v>
      </c>
      <c r="D933" s="21">
        <f t="shared" si="30"/>
        <v>-2.7480337344830854E-3</v>
      </c>
      <c r="E933" s="1">
        <v>10524</v>
      </c>
      <c r="F933" s="1">
        <v>0</v>
      </c>
      <c r="H933" s="1">
        <v>3747</v>
      </c>
      <c r="I933" s="21">
        <f t="shared" si="29"/>
        <v>2.2373806275579809E-2</v>
      </c>
      <c r="J933" s="1">
        <v>1303</v>
      </c>
      <c r="K933" s="1">
        <v>467</v>
      </c>
      <c r="L933" s="1">
        <v>0</v>
      </c>
      <c r="O933" s="1">
        <v>467</v>
      </c>
      <c r="T933" s="1">
        <v>836</v>
      </c>
      <c r="Z933" s="1">
        <v>255</v>
      </c>
      <c r="AA933" s="1">
        <v>265</v>
      </c>
      <c r="AB933" s="1">
        <v>176</v>
      </c>
      <c r="AC933" s="1">
        <v>23</v>
      </c>
      <c r="AD933" s="1">
        <v>48</v>
      </c>
      <c r="AE933" s="1">
        <v>19</v>
      </c>
      <c r="AF933" s="1">
        <v>356</v>
      </c>
      <c r="AG933" s="1">
        <v>159</v>
      </c>
    </row>
    <row r="934" spans="1:33">
      <c r="A934" s="58">
        <v>39276</v>
      </c>
      <c r="B934" s="1">
        <v>14085</v>
      </c>
      <c r="C934" s="1">
        <v>10420</v>
      </c>
      <c r="D934" s="21">
        <f t="shared" si="30"/>
        <v>-9.8821740782972251E-3</v>
      </c>
      <c r="E934" s="1">
        <v>10420</v>
      </c>
      <c r="F934" s="1">
        <v>0</v>
      </c>
      <c r="H934" s="1">
        <v>3665</v>
      </c>
      <c r="I934" s="21">
        <f t="shared" si="29"/>
        <v>-2.1884174005871365E-2</v>
      </c>
      <c r="J934" s="1">
        <v>1211</v>
      </c>
      <c r="K934" s="1">
        <v>470</v>
      </c>
      <c r="L934" s="1">
        <v>0</v>
      </c>
      <c r="O934" s="1">
        <v>470</v>
      </c>
      <c r="T934" s="1">
        <v>741</v>
      </c>
      <c r="Z934" s="1">
        <v>256</v>
      </c>
      <c r="AA934" s="1">
        <v>264</v>
      </c>
      <c r="AB934" s="1">
        <v>168</v>
      </c>
      <c r="AC934" s="1">
        <v>23</v>
      </c>
      <c r="AD934" s="1">
        <v>52</v>
      </c>
      <c r="AE934" s="1">
        <v>22</v>
      </c>
      <c r="AF934" s="1">
        <v>373</v>
      </c>
      <c r="AG934" s="1">
        <v>190</v>
      </c>
    </row>
    <row r="935" spans="1:33">
      <c r="A935" s="58">
        <v>39283</v>
      </c>
      <c r="B935" s="1">
        <v>14183</v>
      </c>
      <c r="C935" s="1">
        <v>10389</v>
      </c>
      <c r="D935" s="21">
        <f t="shared" si="30"/>
        <v>-2.9750479846449135E-3</v>
      </c>
      <c r="E935" s="1">
        <v>10389</v>
      </c>
      <c r="F935" s="1">
        <v>0</v>
      </c>
      <c r="H935" s="1">
        <v>3794</v>
      </c>
      <c r="I935" s="21">
        <f t="shared" si="29"/>
        <v>3.519781718963165E-2</v>
      </c>
      <c r="J935" s="1">
        <v>1346</v>
      </c>
      <c r="K935" s="1">
        <v>488</v>
      </c>
      <c r="L935" s="1">
        <v>0</v>
      </c>
      <c r="O935" s="1">
        <v>488</v>
      </c>
      <c r="T935" s="1">
        <v>858</v>
      </c>
      <c r="Z935" s="1">
        <v>245</v>
      </c>
      <c r="AA935" s="1">
        <v>275</v>
      </c>
      <c r="AB935" s="1">
        <v>178</v>
      </c>
      <c r="AC935" s="1">
        <v>23</v>
      </c>
      <c r="AD935" s="1">
        <v>51</v>
      </c>
      <c r="AE935" s="1">
        <v>23</v>
      </c>
      <c r="AF935" s="1">
        <v>357</v>
      </c>
      <c r="AG935" s="1">
        <v>170</v>
      </c>
    </row>
    <row r="936" spans="1:33">
      <c r="A936" s="58">
        <v>39290</v>
      </c>
      <c r="B936" s="1">
        <v>13934</v>
      </c>
      <c r="C936" s="1">
        <v>10236</v>
      </c>
      <c r="D936" s="21">
        <f t="shared" si="30"/>
        <v>-1.4727115218019058E-2</v>
      </c>
      <c r="E936" s="1">
        <v>10236</v>
      </c>
      <c r="F936" s="1">
        <v>0</v>
      </c>
      <c r="H936" s="1">
        <v>3698</v>
      </c>
      <c r="I936" s="21">
        <f t="shared" si="29"/>
        <v>-2.5303110173958882E-2</v>
      </c>
      <c r="J936" s="1">
        <v>1304</v>
      </c>
      <c r="K936" s="1">
        <v>451</v>
      </c>
      <c r="L936" s="1">
        <v>0</v>
      </c>
      <c r="O936" s="1">
        <v>451</v>
      </c>
      <c r="T936" s="1">
        <v>853</v>
      </c>
      <c r="Z936" s="1">
        <v>238</v>
      </c>
      <c r="AA936" s="1">
        <v>281</v>
      </c>
      <c r="AB936" s="1">
        <v>187</v>
      </c>
      <c r="AC936" s="1">
        <v>9</v>
      </c>
      <c r="AD936" s="1">
        <v>59</v>
      </c>
      <c r="AE936" s="1">
        <v>27</v>
      </c>
      <c r="AF936" s="1">
        <v>375</v>
      </c>
      <c r="AG936" s="1">
        <v>152</v>
      </c>
    </row>
    <row r="937" spans="1:33">
      <c r="A937" s="58">
        <v>39297</v>
      </c>
      <c r="B937" s="1">
        <v>13840</v>
      </c>
      <c r="C937" s="1">
        <v>10229</v>
      </c>
      <c r="D937" s="21">
        <f t="shared" si="30"/>
        <v>-6.8386088315748334E-4</v>
      </c>
      <c r="E937" s="1">
        <v>10229</v>
      </c>
      <c r="F937" s="1">
        <v>0</v>
      </c>
      <c r="H937" s="1">
        <v>3611</v>
      </c>
      <c r="I937" s="21">
        <f t="shared" si="29"/>
        <v>-2.3526230394808004E-2</v>
      </c>
      <c r="J937" s="1">
        <v>1297</v>
      </c>
      <c r="K937" s="1">
        <v>420</v>
      </c>
      <c r="L937" s="1">
        <v>0</v>
      </c>
      <c r="O937" s="1">
        <v>420</v>
      </c>
      <c r="T937" s="1">
        <v>877</v>
      </c>
      <c r="Z937" s="1">
        <v>224</v>
      </c>
      <c r="AA937" s="1">
        <v>288</v>
      </c>
      <c r="AB937" s="1">
        <v>185</v>
      </c>
      <c r="AC937" s="1">
        <v>6</v>
      </c>
      <c r="AD937" s="1">
        <v>70</v>
      </c>
      <c r="AE937" s="1">
        <v>27</v>
      </c>
      <c r="AF937" s="1">
        <v>369</v>
      </c>
      <c r="AG937" s="1">
        <v>116</v>
      </c>
    </row>
    <row r="938" spans="1:33">
      <c r="A938" s="58">
        <v>39304</v>
      </c>
      <c r="B938" s="1">
        <v>13650</v>
      </c>
      <c r="C938" s="1">
        <v>10104</v>
      </c>
      <c r="D938" s="21">
        <f t="shared" si="30"/>
        <v>-1.2220158373252517E-2</v>
      </c>
      <c r="E938" s="1">
        <v>10104</v>
      </c>
      <c r="F938" s="1">
        <v>0</v>
      </c>
      <c r="H938" s="1">
        <v>3547</v>
      </c>
      <c r="I938" s="21">
        <f t="shared" si="29"/>
        <v>-1.772362226530047E-2</v>
      </c>
      <c r="J938" s="1">
        <v>1372</v>
      </c>
      <c r="K938" s="1">
        <v>410</v>
      </c>
      <c r="L938" s="1">
        <v>0</v>
      </c>
      <c r="O938" s="1">
        <v>410</v>
      </c>
      <c r="T938" s="1">
        <v>962</v>
      </c>
      <c r="Z938" s="1">
        <v>233</v>
      </c>
      <c r="AA938" s="1">
        <v>283</v>
      </c>
      <c r="AB938" s="1">
        <v>170</v>
      </c>
      <c r="AC938" s="1">
        <v>5</v>
      </c>
      <c r="AD938" s="1">
        <v>63</v>
      </c>
      <c r="AE938" s="1">
        <v>44</v>
      </c>
      <c r="AF938" s="1">
        <v>303</v>
      </c>
      <c r="AG938" s="1">
        <v>88</v>
      </c>
    </row>
    <row r="939" spans="1:33">
      <c r="A939" s="58">
        <v>39311</v>
      </c>
      <c r="B939" s="1">
        <v>13577</v>
      </c>
      <c r="C939" s="1">
        <v>10213</v>
      </c>
      <c r="D939" s="21">
        <f t="shared" si="30"/>
        <v>1.0787806809184482E-2</v>
      </c>
      <c r="E939" s="1">
        <v>10213</v>
      </c>
      <c r="F939" s="1">
        <v>0</v>
      </c>
      <c r="H939" s="1">
        <v>3364</v>
      </c>
      <c r="I939" s="21">
        <f t="shared" si="29"/>
        <v>-5.1592895404567241E-2</v>
      </c>
      <c r="J939" s="1">
        <v>1191</v>
      </c>
      <c r="K939" s="1">
        <v>358</v>
      </c>
      <c r="L939" s="1">
        <v>0</v>
      </c>
      <c r="O939" s="1">
        <v>358</v>
      </c>
      <c r="T939" s="1">
        <v>832</v>
      </c>
      <c r="Z939" s="1">
        <v>257</v>
      </c>
      <c r="AA939" s="1">
        <v>326</v>
      </c>
      <c r="AB939" s="1">
        <v>178</v>
      </c>
      <c r="AC939" s="1">
        <v>6</v>
      </c>
      <c r="AD939" s="1">
        <v>92</v>
      </c>
      <c r="AE939" s="1">
        <v>50</v>
      </c>
      <c r="AF939" s="1">
        <v>286</v>
      </c>
      <c r="AG939" s="1">
        <v>114</v>
      </c>
    </row>
    <row r="940" spans="1:33">
      <c r="A940" s="58">
        <v>39318</v>
      </c>
      <c r="B940" s="1">
        <v>13596</v>
      </c>
      <c r="C940" s="1">
        <v>10127</v>
      </c>
      <c r="D940" s="21">
        <f t="shared" si="30"/>
        <v>-8.4206403603250754E-3</v>
      </c>
      <c r="E940" s="1">
        <v>10127</v>
      </c>
      <c r="F940" s="1">
        <v>0</v>
      </c>
      <c r="H940" s="1">
        <v>3469</v>
      </c>
      <c r="I940" s="21">
        <f t="shared" si="29"/>
        <v>3.12128418549346E-2</v>
      </c>
      <c r="J940" s="1">
        <v>1133</v>
      </c>
      <c r="K940" s="1">
        <v>388</v>
      </c>
      <c r="L940" s="1">
        <v>0</v>
      </c>
      <c r="O940" s="1">
        <v>388</v>
      </c>
      <c r="T940" s="1">
        <v>745</v>
      </c>
      <c r="Z940" s="1">
        <v>241</v>
      </c>
      <c r="AA940" s="1">
        <v>321</v>
      </c>
      <c r="AB940" s="1">
        <v>178</v>
      </c>
      <c r="AC940" s="1">
        <v>16</v>
      </c>
      <c r="AD940" s="1">
        <v>85</v>
      </c>
      <c r="AE940" s="1">
        <v>42</v>
      </c>
      <c r="AF940" s="1">
        <v>394</v>
      </c>
      <c r="AG940" s="1">
        <v>142</v>
      </c>
    </row>
    <row r="941" spans="1:33">
      <c r="A941" s="58">
        <v>39325</v>
      </c>
      <c r="B941" s="1">
        <v>13511</v>
      </c>
      <c r="C941" s="1">
        <v>10187</v>
      </c>
      <c r="D941" s="21">
        <f t="shared" si="30"/>
        <v>5.924755603831342E-3</v>
      </c>
      <c r="E941" s="1">
        <v>10187</v>
      </c>
      <c r="F941" s="1">
        <v>0</v>
      </c>
      <c r="H941" s="1">
        <v>3324</v>
      </c>
      <c r="I941" s="21">
        <f t="shared" si="29"/>
        <v>-4.1798789276448547E-2</v>
      </c>
      <c r="J941" s="1">
        <v>1112</v>
      </c>
      <c r="K941" s="1">
        <v>399</v>
      </c>
      <c r="L941" s="1">
        <v>0</v>
      </c>
      <c r="O941" s="1">
        <v>399</v>
      </c>
      <c r="T941" s="1">
        <v>713</v>
      </c>
      <c r="Z941" s="1">
        <v>235</v>
      </c>
      <c r="AA941" s="1">
        <v>342</v>
      </c>
      <c r="AB941" s="1">
        <v>190</v>
      </c>
      <c r="AC941" s="1">
        <v>12</v>
      </c>
      <c r="AD941" s="1">
        <v>97</v>
      </c>
      <c r="AE941" s="1">
        <v>44</v>
      </c>
      <c r="AF941" s="1">
        <v>334</v>
      </c>
      <c r="AG941" s="1">
        <v>153</v>
      </c>
    </row>
    <row r="942" spans="1:33">
      <c r="A942" s="58">
        <v>39332</v>
      </c>
      <c r="B942" s="1">
        <v>13419</v>
      </c>
      <c r="C942" s="1">
        <v>10109</v>
      </c>
      <c r="D942" s="21">
        <f t="shared" si="30"/>
        <v>-7.6568175125159513E-3</v>
      </c>
      <c r="E942" s="1">
        <v>10109</v>
      </c>
      <c r="F942" s="1">
        <v>0</v>
      </c>
      <c r="H942" s="1">
        <v>3310</v>
      </c>
      <c r="I942" s="21">
        <f t="shared" si="29"/>
        <v>-4.2117930204572801E-3</v>
      </c>
      <c r="J942" s="1">
        <v>1063</v>
      </c>
      <c r="K942" s="1">
        <v>418</v>
      </c>
      <c r="L942" s="1">
        <v>0</v>
      </c>
      <c r="O942" s="1">
        <v>418</v>
      </c>
      <c r="T942" s="1">
        <v>645</v>
      </c>
      <c r="Z942" s="1">
        <v>226</v>
      </c>
      <c r="AA942" s="1">
        <v>372</v>
      </c>
      <c r="AB942" s="1">
        <v>214</v>
      </c>
      <c r="AC942" s="1">
        <v>12</v>
      </c>
      <c r="AD942" s="1">
        <v>122</v>
      </c>
      <c r="AE942" s="1">
        <v>24</v>
      </c>
      <c r="AF942" s="1">
        <v>386</v>
      </c>
      <c r="AG942" s="1">
        <v>182</v>
      </c>
    </row>
    <row r="943" spans="1:33">
      <c r="A943" s="58">
        <v>39339</v>
      </c>
      <c r="B943" s="1">
        <v>13157</v>
      </c>
      <c r="C943" s="1">
        <v>9857</v>
      </c>
      <c r="D943" s="21">
        <f t="shared" si="30"/>
        <v>-2.4928281729152242E-2</v>
      </c>
      <c r="E943" s="1">
        <v>9857</v>
      </c>
      <c r="F943" s="1">
        <v>0</v>
      </c>
      <c r="H943" s="1">
        <v>3300</v>
      </c>
      <c r="I943" s="21">
        <f t="shared" si="29"/>
        <v>-3.0211480362537764E-3</v>
      </c>
      <c r="J943" s="1">
        <v>1084</v>
      </c>
      <c r="K943" s="1">
        <v>423</v>
      </c>
      <c r="L943" s="1">
        <v>0</v>
      </c>
      <c r="O943" s="1">
        <v>423</v>
      </c>
      <c r="T943" s="1">
        <v>661</v>
      </c>
      <c r="Z943" s="1">
        <v>205</v>
      </c>
      <c r="AA943" s="1">
        <v>342</v>
      </c>
      <c r="AB943" s="1">
        <v>190</v>
      </c>
      <c r="AC943" s="1">
        <v>12</v>
      </c>
      <c r="AD943" s="1">
        <v>124</v>
      </c>
      <c r="AE943" s="1">
        <v>16</v>
      </c>
      <c r="AF943" s="1">
        <v>408</v>
      </c>
      <c r="AG943" s="1">
        <v>226</v>
      </c>
    </row>
    <row r="944" spans="1:33">
      <c r="A944" s="58">
        <v>39346</v>
      </c>
      <c r="B944" s="1">
        <v>13193</v>
      </c>
      <c r="C944" s="1">
        <v>10012</v>
      </c>
      <c r="D944" s="21">
        <f t="shared" si="30"/>
        <v>1.5724865577761996E-2</v>
      </c>
      <c r="E944" s="1">
        <v>10012</v>
      </c>
      <c r="F944" s="1">
        <v>0</v>
      </c>
      <c r="H944" s="1">
        <v>3181</v>
      </c>
      <c r="I944" s="21">
        <f t="shared" si="29"/>
        <v>-3.6060606060606064E-2</v>
      </c>
      <c r="J944" s="1">
        <v>1098</v>
      </c>
      <c r="K944" s="1">
        <v>432</v>
      </c>
      <c r="L944" s="1">
        <v>0</v>
      </c>
      <c r="O944" s="1">
        <v>432</v>
      </c>
      <c r="T944" s="1">
        <v>667</v>
      </c>
      <c r="Z944" s="1">
        <v>222</v>
      </c>
      <c r="AA944" s="1">
        <v>341</v>
      </c>
      <c r="AB944" s="1">
        <v>184</v>
      </c>
      <c r="AC944" s="1">
        <v>2</v>
      </c>
      <c r="AD944" s="1">
        <v>131</v>
      </c>
      <c r="AE944" s="1">
        <v>25</v>
      </c>
      <c r="AF944" s="1">
        <v>307</v>
      </c>
      <c r="AG944" s="1">
        <v>224</v>
      </c>
    </row>
    <row r="945" spans="1:33">
      <c r="A945" s="58">
        <v>39353</v>
      </c>
      <c r="B945" s="1">
        <v>13246</v>
      </c>
      <c r="C945" s="1">
        <v>10016</v>
      </c>
      <c r="D945" s="21">
        <f t="shared" si="30"/>
        <v>3.9952057530962844E-4</v>
      </c>
      <c r="E945" s="1">
        <v>10016</v>
      </c>
      <c r="F945" s="1">
        <v>0</v>
      </c>
      <c r="H945" s="1">
        <v>3230</v>
      </c>
      <c r="I945" s="21">
        <f t="shared" si="29"/>
        <v>1.5403961018547626E-2</v>
      </c>
      <c r="J945" s="1">
        <v>1058</v>
      </c>
      <c r="K945" s="1">
        <v>453</v>
      </c>
      <c r="L945" s="1">
        <v>0</v>
      </c>
      <c r="O945" s="1">
        <v>453</v>
      </c>
      <c r="T945" s="1">
        <v>606</v>
      </c>
      <c r="Z945" s="1">
        <v>194</v>
      </c>
      <c r="AA945" s="1">
        <v>291</v>
      </c>
      <c r="AB945" s="1">
        <v>152</v>
      </c>
      <c r="AC945" s="1">
        <v>4</v>
      </c>
      <c r="AD945" s="1">
        <v>111</v>
      </c>
      <c r="AE945" s="1">
        <v>24</v>
      </c>
      <c r="AF945" s="1">
        <v>350</v>
      </c>
      <c r="AG945" s="1">
        <v>234</v>
      </c>
    </row>
    <row r="946" spans="1:33">
      <c r="A946" s="58">
        <v>39360</v>
      </c>
      <c r="B946" s="1">
        <v>13448</v>
      </c>
      <c r="C946" s="1">
        <v>10092</v>
      </c>
      <c r="D946" s="21">
        <f t="shared" si="30"/>
        <v>7.5878594249201275E-3</v>
      </c>
      <c r="E946" s="1">
        <v>10092</v>
      </c>
      <c r="F946" s="1">
        <v>0</v>
      </c>
      <c r="H946" s="1">
        <v>3356</v>
      </c>
      <c r="I946" s="21">
        <f t="shared" si="29"/>
        <v>3.9009287925696592E-2</v>
      </c>
      <c r="J946" s="1">
        <v>1135</v>
      </c>
      <c r="K946" s="1">
        <v>499</v>
      </c>
      <c r="L946" s="1">
        <v>0</v>
      </c>
      <c r="O946" s="1">
        <v>499</v>
      </c>
      <c r="T946" s="1">
        <v>636</v>
      </c>
      <c r="Z946" s="1">
        <v>207</v>
      </c>
      <c r="AA946" s="1">
        <v>300</v>
      </c>
      <c r="AB946" s="1">
        <v>136</v>
      </c>
      <c r="AC946" s="1">
        <v>23</v>
      </c>
      <c r="AD946" s="1">
        <v>117</v>
      </c>
      <c r="AE946" s="1">
        <v>25</v>
      </c>
      <c r="AF946" s="1">
        <v>331</v>
      </c>
      <c r="AG946" s="1">
        <v>213</v>
      </c>
    </row>
    <row r="947" spans="1:33">
      <c r="A947" s="58">
        <v>39367</v>
      </c>
      <c r="B947" s="1">
        <v>13772</v>
      </c>
      <c r="C947" s="1">
        <v>10243</v>
      </c>
      <c r="D947" s="21">
        <f t="shared" si="30"/>
        <v>1.4962346413000396E-2</v>
      </c>
      <c r="E947" s="1">
        <v>10243</v>
      </c>
      <c r="F947" s="1">
        <v>0</v>
      </c>
      <c r="H947" s="1">
        <v>3529</v>
      </c>
      <c r="I947" s="21">
        <f t="shared" si="29"/>
        <v>5.1549463647199048E-2</v>
      </c>
      <c r="J947" s="1">
        <v>1156</v>
      </c>
      <c r="K947" s="1">
        <v>540</v>
      </c>
      <c r="L947" s="1">
        <v>0</v>
      </c>
      <c r="O947" s="1">
        <v>540</v>
      </c>
      <c r="T947" s="1">
        <v>615</v>
      </c>
      <c r="Z947" s="1">
        <v>204</v>
      </c>
      <c r="AA947" s="1">
        <v>298</v>
      </c>
      <c r="AB947" s="1">
        <v>134</v>
      </c>
      <c r="AC947" s="1">
        <v>35</v>
      </c>
      <c r="AD947" s="1">
        <v>100</v>
      </c>
      <c r="AE947" s="1">
        <v>30</v>
      </c>
      <c r="AF947" s="1">
        <v>374</v>
      </c>
      <c r="AG947" s="1">
        <v>175</v>
      </c>
    </row>
    <row r="948" spans="1:33">
      <c r="A948" s="58">
        <v>39374</v>
      </c>
      <c r="B948" s="1">
        <v>13406</v>
      </c>
      <c r="C948" s="1">
        <v>9908</v>
      </c>
      <c r="D948" s="21">
        <f t="shared" si="30"/>
        <v>-3.270526213023528E-2</v>
      </c>
      <c r="E948" s="1">
        <v>9908</v>
      </c>
      <c r="F948" s="1">
        <v>0</v>
      </c>
      <c r="H948" s="1">
        <v>3498</v>
      </c>
      <c r="I948" s="21">
        <f t="shared" si="29"/>
        <v>-8.7843581751204311E-3</v>
      </c>
      <c r="J948" s="1">
        <v>1102</v>
      </c>
      <c r="K948" s="1">
        <v>515</v>
      </c>
      <c r="L948" s="1">
        <v>0</v>
      </c>
      <c r="O948" s="1">
        <v>515</v>
      </c>
      <c r="T948" s="1">
        <v>587</v>
      </c>
      <c r="Z948" s="1">
        <v>196</v>
      </c>
      <c r="AA948" s="1">
        <v>279</v>
      </c>
      <c r="AB948" s="1">
        <v>126</v>
      </c>
      <c r="AC948" s="1">
        <v>38</v>
      </c>
      <c r="AD948" s="1">
        <v>93</v>
      </c>
      <c r="AE948" s="1">
        <v>22</v>
      </c>
      <c r="AF948" s="1">
        <v>361</v>
      </c>
      <c r="AG948" s="1">
        <v>175</v>
      </c>
    </row>
    <row r="949" spans="1:33">
      <c r="A949" s="58">
        <v>39381</v>
      </c>
      <c r="B949" s="1">
        <v>13303</v>
      </c>
      <c r="C949" s="1">
        <v>9690</v>
      </c>
      <c r="D949" s="21">
        <f t="shared" si="30"/>
        <v>-2.2002422285022204E-2</v>
      </c>
      <c r="E949" s="1">
        <v>9690</v>
      </c>
      <c r="F949" s="1">
        <v>0</v>
      </c>
      <c r="H949" s="1">
        <v>3613</v>
      </c>
      <c r="I949" s="21">
        <f t="shared" si="29"/>
        <v>3.2875929102344194E-2</v>
      </c>
      <c r="J949" s="1">
        <v>1123</v>
      </c>
      <c r="K949" s="1">
        <v>543</v>
      </c>
      <c r="L949" s="1">
        <v>0</v>
      </c>
      <c r="O949" s="1">
        <v>543</v>
      </c>
      <c r="T949" s="1">
        <v>581</v>
      </c>
      <c r="Z949" s="1">
        <v>212</v>
      </c>
      <c r="AA949" s="1">
        <v>312</v>
      </c>
      <c r="AB949" s="1">
        <v>152</v>
      </c>
      <c r="AC949" s="1">
        <v>36</v>
      </c>
      <c r="AD949" s="1">
        <v>92</v>
      </c>
      <c r="AE949" s="1">
        <v>32</v>
      </c>
      <c r="AF949" s="1">
        <v>336</v>
      </c>
      <c r="AG949" s="1">
        <v>188</v>
      </c>
    </row>
    <row r="950" spans="1:33">
      <c r="A950" s="58">
        <v>39388</v>
      </c>
      <c r="B950" s="1">
        <v>13243</v>
      </c>
      <c r="C950" s="1">
        <v>9637</v>
      </c>
      <c r="D950" s="21">
        <f t="shared" si="30"/>
        <v>-5.4695562435500512E-3</v>
      </c>
      <c r="E950" s="1">
        <v>9637</v>
      </c>
      <c r="F950" s="1">
        <v>0</v>
      </c>
      <c r="H950" s="1">
        <v>3606</v>
      </c>
      <c r="I950" s="21">
        <f t="shared" si="29"/>
        <v>-1.9374481040686411E-3</v>
      </c>
      <c r="J950" s="1">
        <v>1075</v>
      </c>
      <c r="K950" s="1">
        <v>516</v>
      </c>
      <c r="L950" s="1">
        <v>0</v>
      </c>
      <c r="O950" s="1">
        <v>516</v>
      </c>
      <c r="T950" s="1">
        <v>559</v>
      </c>
      <c r="Z950" s="1">
        <v>198</v>
      </c>
      <c r="AA950" s="1">
        <v>283</v>
      </c>
      <c r="AB950" s="1">
        <v>163</v>
      </c>
      <c r="AC950" s="1">
        <v>24</v>
      </c>
      <c r="AD950" s="1">
        <v>65</v>
      </c>
      <c r="AE950" s="1">
        <v>32</v>
      </c>
      <c r="AF950" s="1">
        <v>355</v>
      </c>
      <c r="AG950" s="1">
        <v>189</v>
      </c>
    </row>
    <row r="951" spans="1:33">
      <c r="A951" s="58">
        <v>39395</v>
      </c>
      <c r="B951" s="1">
        <v>13094</v>
      </c>
      <c r="C951" s="1">
        <v>9657</v>
      </c>
      <c r="D951" s="21">
        <f t="shared" si="30"/>
        <v>2.0753346477119434E-3</v>
      </c>
      <c r="E951" s="1">
        <v>9657</v>
      </c>
      <c r="F951" s="1">
        <v>0</v>
      </c>
      <c r="H951" s="1">
        <v>3437</v>
      </c>
      <c r="I951" s="21">
        <f t="shared" si="29"/>
        <v>-4.6866333887964504E-2</v>
      </c>
      <c r="J951" s="1">
        <v>1055</v>
      </c>
      <c r="K951" s="1">
        <v>488</v>
      </c>
      <c r="L951" s="1">
        <v>0</v>
      </c>
      <c r="O951" s="1">
        <v>488</v>
      </c>
      <c r="T951" s="1">
        <v>567</v>
      </c>
      <c r="Z951" s="1">
        <v>188</v>
      </c>
      <c r="AA951" s="1">
        <v>260</v>
      </c>
      <c r="AB951" s="1">
        <v>145</v>
      </c>
      <c r="AC951" s="1">
        <v>20</v>
      </c>
      <c r="AD951" s="1">
        <v>51</v>
      </c>
      <c r="AE951" s="1">
        <v>44</v>
      </c>
      <c r="AF951" s="1">
        <v>289</v>
      </c>
      <c r="AG951" s="1">
        <v>169</v>
      </c>
    </row>
    <row r="952" spans="1:33">
      <c r="A952" s="58">
        <v>39402</v>
      </c>
      <c r="B952" s="1">
        <v>13356</v>
      </c>
      <c r="C952" s="1">
        <v>9836</v>
      </c>
      <c r="D952" s="21">
        <f t="shared" si="30"/>
        <v>1.8535777156466812E-2</v>
      </c>
      <c r="E952" s="1">
        <v>9836</v>
      </c>
      <c r="F952" s="1">
        <v>0</v>
      </c>
      <c r="H952" s="1">
        <v>3520</v>
      </c>
      <c r="I952" s="21">
        <f t="shared" si="29"/>
        <v>2.4148967122490542E-2</v>
      </c>
      <c r="J952" s="1">
        <v>1127</v>
      </c>
      <c r="K952" s="1">
        <v>490</v>
      </c>
      <c r="L952" s="1">
        <v>0</v>
      </c>
      <c r="O952" s="1">
        <v>490</v>
      </c>
      <c r="T952" s="1">
        <v>637</v>
      </c>
      <c r="Z952" s="1">
        <v>178</v>
      </c>
      <c r="AA952" s="1">
        <v>268</v>
      </c>
      <c r="AB952" s="1">
        <v>169</v>
      </c>
      <c r="AC952" s="1">
        <v>17</v>
      </c>
      <c r="AD952" s="1">
        <v>47</v>
      </c>
      <c r="AE952" s="1">
        <v>35</v>
      </c>
      <c r="AF952" s="1">
        <v>291</v>
      </c>
      <c r="AG952" s="1">
        <v>186</v>
      </c>
    </row>
    <row r="953" spans="1:33">
      <c r="A953" s="58">
        <v>39409</v>
      </c>
      <c r="B953" s="1">
        <v>13434</v>
      </c>
      <c r="C953" s="1">
        <v>10079</v>
      </c>
      <c r="D953" s="21">
        <f t="shared" si="30"/>
        <v>2.4705164701098008E-2</v>
      </c>
      <c r="E953" s="1">
        <v>10079</v>
      </c>
      <c r="F953" s="1">
        <v>0</v>
      </c>
      <c r="H953" s="1">
        <v>3355</v>
      </c>
      <c r="I953" s="21">
        <f t="shared" si="29"/>
        <v>-4.6875E-2</v>
      </c>
      <c r="J953" s="1">
        <v>1026</v>
      </c>
      <c r="K953" s="1">
        <v>443</v>
      </c>
      <c r="L953" s="1">
        <v>0</v>
      </c>
      <c r="O953" s="1">
        <v>443</v>
      </c>
      <c r="T953" s="1">
        <v>583</v>
      </c>
      <c r="Z953" s="1">
        <v>190</v>
      </c>
      <c r="AA953" s="1">
        <v>238</v>
      </c>
      <c r="AB953" s="1">
        <v>140</v>
      </c>
      <c r="AC953" s="1">
        <v>17</v>
      </c>
      <c r="AD953" s="1">
        <v>49</v>
      </c>
      <c r="AE953" s="1">
        <v>32</v>
      </c>
      <c r="AF953" s="1">
        <v>286</v>
      </c>
      <c r="AG953" s="1">
        <v>175</v>
      </c>
    </row>
    <row r="954" spans="1:33">
      <c r="A954" s="58">
        <v>39416</v>
      </c>
      <c r="B954" s="1">
        <v>13397</v>
      </c>
      <c r="C954" s="1">
        <v>10009</v>
      </c>
      <c r="D954" s="21">
        <f t="shared" si="30"/>
        <v>-6.9451334457783509E-3</v>
      </c>
      <c r="E954" s="1">
        <v>10009</v>
      </c>
      <c r="F954" s="1">
        <v>0</v>
      </c>
      <c r="H954" s="1">
        <v>3388</v>
      </c>
      <c r="I954" s="21">
        <f t="shared" si="29"/>
        <v>9.8360655737704927E-3</v>
      </c>
      <c r="J954" s="1">
        <v>1036</v>
      </c>
      <c r="K954" s="1">
        <v>428</v>
      </c>
      <c r="L954" s="1">
        <v>0</v>
      </c>
      <c r="O954" s="1">
        <v>428</v>
      </c>
      <c r="T954" s="1">
        <v>607</v>
      </c>
      <c r="Z954" s="1">
        <v>202</v>
      </c>
      <c r="AA954" s="1">
        <v>245</v>
      </c>
      <c r="AB954" s="1">
        <v>138</v>
      </c>
      <c r="AC954" s="1">
        <v>11</v>
      </c>
      <c r="AD954" s="1">
        <v>55</v>
      </c>
      <c r="AE954" s="1">
        <v>41</v>
      </c>
      <c r="AF954" s="1">
        <v>277</v>
      </c>
      <c r="AG954" s="1">
        <v>188</v>
      </c>
    </row>
    <row r="955" spans="1:33">
      <c r="A955" s="58">
        <v>39423</v>
      </c>
      <c r="B955" s="1">
        <v>13360</v>
      </c>
      <c r="C955" s="1">
        <v>9903</v>
      </c>
      <c r="D955" s="21">
        <f t="shared" si="30"/>
        <v>-1.0590468578279548E-2</v>
      </c>
      <c r="E955" s="1">
        <v>9903</v>
      </c>
      <c r="F955" s="1">
        <v>0</v>
      </c>
      <c r="H955" s="1">
        <v>3457</v>
      </c>
      <c r="I955" s="21">
        <f t="shared" si="29"/>
        <v>2.036599763872491E-2</v>
      </c>
      <c r="J955" s="1">
        <v>1028</v>
      </c>
      <c r="K955" s="1">
        <v>433</v>
      </c>
      <c r="L955" s="1">
        <v>0</v>
      </c>
      <c r="O955" s="1">
        <v>433</v>
      </c>
      <c r="T955" s="1">
        <v>595</v>
      </c>
      <c r="Z955" s="1">
        <v>201</v>
      </c>
      <c r="AA955" s="1">
        <v>235</v>
      </c>
      <c r="AB955" s="1">
        <v>145</v>
      </c>
      <c r="AC955" s="1">
        <v>2</v>
      </c>
      <c r="AD955" s="1">
        <v>58</v>
      </c>
      <c r="AE955" s="1">
        <v>30</v>
      </c>
      <c r="AF955" s="1">
        <v>301</v>
      </c>
      <c r="AG955" s="1">
        <v>215</v>
      </c>
    </row>
    <row r="956" spans="1:33">
      <c r="A956" s="58">
        <v>39430</v>
      </c>
      <c r="B956" s="1">
        <v>13178</v>
      </c>
      <c r="C956" s="1">
        <v>9726</v>
      </c>
      <c r="D956" s="21">
        <f t="shared" si="30"/>
        <v>-1.7873371705543775E-2</v>
      </c>
      <c r="E956" s="1">
        <v>9726</v>
      </c>
      <c r="F956" s="1">
        <v>0</v>
      </c>
      <c r="H956" s="1">
        <v>3453</v>
      </c>
      <c r="I956" s="21">
        <f t="shared" si="29"/>
        <v>-1.1570726063060456E-3</v>
      </c>
      <c r="J956" s="1">
        <v>1024</v>
      </c>
      <c r="K956" s="1">
        <v>432</v>
      </c>
      <c r="L956" s="1">
        <v>0</v>
      </c>
      <c r="O956" s="1">
        <v>432</v>
      </c>
      <c r="T956" s="1">
        <v>593</v>
      </c>
      <c r="Z956" s="1">
        <v>199</v>
      </c>
      <c r="AA956" s="1">
        <v>230</v>
      </c>
      <c r="AB956" s="1">
        <v>125</v>
      </c>
      <c r="AC956" s="1">
        <v>2</v>
      </c>
      <c r="AD956" s="1">
        <v>73</v>
      </c>
      <c r="AE956" s="1">
        <v>31</v>
      </c>
      <c r="AF956" s="1">
        <v>378</v>
      </c>
      <c r="AG956" s="1">
        <v>194</v>
      </c>
    </row>
    <row r="957" spans="1:33">
      <c r="A957" s="58">
        <v>39437</v>
      </c>
      <c r="B957" s="1">
        <v>13050</v>
      </c>
      <c r="C957" s="1">
        <v>9588</v>
      </c>
      <c r="D957" s="21">
        <f t="shared" si="30"/>
        <v>-1.4188772362739049E-2</v>
      </c>
      <c r="E957" s="1">
        <v>9588</v>
      </c>
      <c r="F957" s="1">
        <v>0</v>
      </c>
      <c r="H957" s="1">
        <v>3462</v>
      </c>
      <c r="I957" s="21">
        <f t="shared" si="29"/>
        <v>2.6064291920069507E-3</v>
      </c>
      <c r="J957" s="1">
        <v>1069</v>
      </c>
      <c r="K957" s="1">
        <v>426</v>
      </c>
      <c r="L957" s="1">
        <v>0</v>
      </c>
      <c r="O957" s="1">
        <v>426</v>
      </c>
      <c r="T957" s="1">
        <v>644</v>
      </c>
      <c r="Z957" s="1">
        <v>182</v>
      </c>
      <c r="AA957" s="1">
        <v>215</v>
      </c>
      <c r="AB957" s="1">
        <v>114</v>
      </c>
      <c r="AC957" s="1">
        <v>2</v>
      </c>
      <c r="AD957" s="1">
        <v>77</v>
      </c>
      <c r="AE957" s="1">
        <v>24</v>
      </c>
      <c r="AF957" s="1">
        <v>391</v>
      </c>
      <c r="AG957" s="1">
        <v>184</v>
      </c>
    </row>
    <row r="958" spans="1:33">
      <c r="A958" s="58">
        <v>39444</v>
      </c>
      <c r="B958" s="1">
        <v>13082</v>
      </c>
      <c r="C958" s="1">
        <v>9747</v>
      </c>
      <c r="D958" s="21">
        <f t="shared" si="30"/>
        <v>1.6583229036295371E-2</v>
      </c>
      <c r="E958" s="1">
        <v>9747</v>
      </c>
      <c r="F958" s="1">
        <v>0</v>
      </c>
      <c r="H958" s="1">
        <v>3335</v>
      </c>
      <c r="I958" s="21">
        <f t="shared" si="29"/>
        <v>-3.6683997689196994E-2</v>
      </c>
      <c r="J958" s="1">
        <v>1065</v>
      </c>
      <c r="K958" s="1">
        <v>426</v>
      </c>
      <c r="L958" s="1">
        <v>0</v>
      </c>
      <c r="O958" s="1">
        <v>426</v>
      </c>
      <c r="T958" s="1">
        <v>639</v>
      </c>
      <c r="Z958" s="1">
        <v>156</v>
      </c>
      <c r="AA958" s="1">
        <v>222</v>
      </c>
      <c r="AB958" s="1">
        <v>106</v>
      </c>
      <c r="AC958" s="1">
        <v>2</v>
      </c>
      <c r="AD958" s="1">
        <v>99</v>
      </c>
      <c r="AE958" s="1">
        <v>16</v>
      </c>
      <c r="AF958" s="1">
        <v>369</v>
      </c>
      <c r="AG958" s="1">
        <v>186</v>
      </c>
    </row>
    <row r="959" spans="1:33">
      <c r="A959" s="58">
        <v>39451</v>
      </c>
      <c r="B959" s="1">
        <v>12933</v>
      </c>
      <c r="C959" s="1">
        <v>9683</v>
      </c>
      <c r="D959" s="21">
        <f t="shared" si="30"/>
        <v>-6.5661229096132144E-3</v>
      </c>
      <c r="E959" s="1">
        <v>9683</v>
      </c>
      <c r="F959" s="1">
        <v>0</v>
      </c>
      <c r="H959" s="1">
        <v>3250</v>
      </c>
      <c r="I959" s="21">
        <f t="shared" si="29"/>
        <v>-2.5487256371814093E-2</v>
      </c>
      <c r="J959" s="1">
        <v>1074</v>
      </c>
      <c r="K959" s="1">
        <v>446</v>
      </c>
      <c r="L959" s="1">
        <v>0</v>
      </c>
      <c r="O959" s="1">
        <v>446</v>
      </c>
      <c r="T959" s="1">
        <v>628</v>
      </c>
      <c r="Z959" s="1">
        <v>161</v>
      </c>
      <c r="AA959" s="1">
        <v>212</v>
      </c>
      <c r="AB959" s="1">
        <v>105</v>
      </c>
      <c r="AC959" s="1">
        <v>1</v>
      </c>
      <c r="AD959" s="1">
        <v>95</v>
      </c>
      <c r="AE959" s="1">
        <v>11</v>
      </c>
      <c r="AF959" s="1">
        <v>380</v>
      </c>
      <c r="AG959" s="1">
        <v>158</v>
      </c>
    </row>
    <row r="960" spans="1:33">
      <c r="A960" s="58">
        <v>39458</v>
      </c>
      <c r="B960" s="1">
        <v>13163</v>
      </c>
      <c r="C960" s="1">
        <v>10002</v>
      </c>
      <c r="D960" s="21">
        <f t="shared" si="30"/>
        <v>3.2944335433233503E-2</v>
      </c>
      <c r="E960" s="1">
        <v>10002</v>
      </c>
      <c r="F960" s="1">
        <v>0</v>
      </c>
      <c r="H960" s="1">
        <v>3160</v>
      </c>
      <c r="I960" s="21">
        <f t="shared" si="29"/>
        <v>-2.7692307692307693E-2</v>
      </c>
      <c r="J960" s="1">
        <v>1031</v>
      </c>
      <c r="K960" s="1">
        <v>454</v>
      </c>
      <c r="L960" s="1">
        <v>0</v>
      </c>
      <c r="O960" s="1">
        <v>454</v>
      </c>
      <c r="T960" s="1">
        <v>577</v>
      </c>
      <c r="Z960" s="1">
        <v>135</v>
      </c>
      <c r="AA960" s="1">
        <v>227</v>
      </c>
      <c r="AB960" s="1">
        <v>103</v>
      </c>
      <c r="AC960" s="1">
        <v>1</v>
      </c>
      <c r="AD960" s="1">
        <v>112</v>
      </c>
      <c r="AE960" s="1">
        <v>11</v>
      </c>
      <c r="AF960" s="1">
        <v>281</v>
      </c>
      <c r="AG960" s="1">
        <v>173</v>
      </c>
    </row>
    <row r="961" spans="1:33">
      <c r="A961" s="58">
        <v>39465</v>
      </c>
      <c r="B961" s="1">
        <v>13374</v>
      </c>
      <c r="C961" s="1">
        <v>10090</v>
      </c>
      <c r="D961" s="21">
        <f t="shared" si="30"/>
        <v>8.7982403519296145E-3</v>
      </c>
      <c r="E961" s="1">
        <v>10090</v>
      </c>
      <c r="F961" s="1">
        <v>0</v>
      </c>
      <c r="H961" s="1">
        <v>3284</v>
      </c>
      <c r="I961" s="21">
        <f t="shared" si="29"/>
        <v>3.9240506329113925E-2</v>
      </c>
      <c r="J961" s="1">
        <v>1084</v>
      </c>
      <c r="K961" s="1">
        <v>451</v>
      </c>
      <c r="L961" s="1">
        <v>0</v>
      </c>
      <c r="O961" s="1">
        <v>451</v>
      </c>
      <c r="T961" s="1">
        <v>634</v>
      </c>
      <c r="Z961" s="1">
        <v>111</v>
      </c>
      <c r="AA961" s="1">
        <v>252</v>
      </c>
      <c r="AB961" s="1">
        <v>128</v>
      </c>
      <c r="AC961" s="1">
        <v>1</v>
      </c>
      <c r="AD961" s="1">
        <v>112</v>
      </c>
      <c r="AE961" s="1">
        <v>12</v>
      </c>
      <c r="AF961" s="1">
        <v>358</v>
      </c>
      <c r="AG961" s="1">
        <v>206</v>
      </c>
    </row>
    <row r="962" spans="1:33">
      <c r="A962" s="58">
        <v>39472</v>
      </c>
      <c r="B962" s="1">
        <v>13396</v>
      </c>
      <c r="C962" s="1">
        <v>10102</v>
      </c>
      <c r="D962" s="21">
        <f t="shared" si="30"/>
        <v>1.1892963330029733E-3</v>
      </c>
      <c r="E962" s="1">
        <v>10102</v>
      </c>
      <c r="F962" s="1">
        <v>0</v>
      </c>
      <c r="H962" s="1">
        <v>3295</v>
      </c>
      <c r="I962" s="21">
        <f t="shared" si="29"/>
        <v>3.3495736906211937E-3</v>
      </c>
      <c r="J962" s="1">
        <v>1086</v>
      </c>
      <c r="K962" s="1">
        <v>456</v>
      </c>
      <c r="L962" s="1">
        <v>0</v>
      </c>
      <c r="O962" s="1">
        <v>456</v>
      </c>
      <c r="T962" s="1">
        <v>630</v>
      </c>
      <c r="Z962" s="1">
        <v>122</v>
      </c>
      <c r="AA962" s="1">
        <v>240</v>
      </c>
      <c r="AB962" s="1">
        <v>123</v>
      </c>
      <c r="AC962" s="1">
        <v>0</v>
      </c>
      <c r="AD962" s="1">
        <v>105</v>
      </c>
      <c r="AE962" s="1">
        <v>12</v>
      </c>
      <c r="AF962" s="1">
        <v>345</v>
      </c>
      <c r="AG962" s="1">
        <v>207</v>
      </c>
    </row>
    <row r="963" spans="1:33">
      <c r="A963" s="58">
        <v>39479</v>
      </c>
      <c r="B963" s="1">
        <v>13853</v>
      </c>
      <c r="C963" s="1">
        <v>10279</v>
      </c>
      <c r="D963" s="21">
        <f t="shared" si="30"/>
        <v>1.7521282914274402E-2</v>
      </c>
      <c r="E963" s="1">
        <v>10279</v>
      </c>
      <c r="F963" s="1">
        <v>0</v>
      </c>
      <c r="H963" s="1">
        <v>3574</v>
      </c>
      <c r="I963" s="21">
        <f t="shared" si="29"/>
        <v>8.4673748103186647E-2</v>
      </c>
      <c r="J963" s="1">
        <v>1117</v>
      </c>
      <c r="K963" s="1">
        <v>456</v>
      </c>
      <c r="L963" s="1">
        <v>0</v>
      </c>
      <c r="O963" s="1">
        <v>456</v>
      </c>
      <c r="T963" s="1">
        <v>660</v>
      </c>
      <c r="Z963" s="1">
        <v>133</v>
      </c>
      <c r="AA963" s="1">
        <v>300</v>
      </c>
      <c r="AB963" s="1">
        <v>148</v>
      </c>
      <c r="AC963" s="1">
        <v>0</v>
      </c>
      <c r="AD963" s="1">
        <v>141</v>
      </c>
      <c r="AE963" s="1">
        <v>12</v>
      </c>
      <c r="AF963" s="1">
        <v>323</v>
      </c>
      <c r="AG963" s="1">
        <v>246</v>
      </c>
    </row>
    <row r="964" spans="1:33">
      <c r="A964" s="58">
        <v>39486</v>
      </c>
      <c r="B964" s="1">
        <v>13743</v>
      </c>
      <c r="C964" s="1">
        <v>10116</v>
      </c>
      <c r="D964" s="21">
        <f t="shared" si="30"/>
        <v>-1.58575736939391E-2</v>
      </c>
      <c r="E964" s="1">
        <v>10116</v>
      </c>
      <c r="F964" s="1">
        <v>0</v>
      </c>
      <c r="H964" s="1">
        <v>3628</v>
      </c>
      <c r="I964" s="21">
        <f t="shared" si="29"/>
        <v>1.510912143256855E-2</v>
      </c>
      <c r="J964" s="1">
        <v>1092</v>
      </c>
      <c r="K964" s="1">
        <v>444</v>
      </c>
      <c r="L964" s="1">
        <v>0</v>
      </c>
      <c r="O964" s="1">
        <v>444</v>
      </c>
      <c r="T964" s="1">
        <v>648</v>
      </c>
      <c r="Z964" s="1">
        <v>151</v>
      </c>
      <c r="AA964" s="1">
        <v>293</v>
      </c>
      <c r="AB964" s="1">
        <v>158</v>
      </c>
      <c r="AC964" s="1">
        <v>0</v>
      </c>
      <c r="AD964" s="1">
        <v>125</v>
      </c>
      <c r="AE964" s="1">
        <v>11</v>
      </c>
      <c r="AF964" s="1">
        <v>319</v>
      </c>
      <c r="AG964" s="1">
        <v>233</v>
      </c>
    </row>
    <row r="965" spans="1:33">
      <c r="A965" s="58">
        <v>39493</v>
      </c>
      <c r="B965" s="1">
        <v>13723</v>
      </c>
      <c r="C965" s="1">
        <v>10102</v>
      </c>
      <c r="D965" s="21">
        <f t="shared" si="30"/>
        <v>-1.383946223803875E-3</v>
      </c>
      <c r="E965" s="1">
        <v>10102</v>
      </c>
      <c r="F965" s="1">
        <v>0</v>
      </c>
      <c r="H965" s="1">
        <v>3621</v>
      </c>
      <c r="I965" s="21">
        <f t="shared" si="29"/>
        <v>-1.9294377067254685E-3</v>
      </c>
      <c r="J965" s="1">
        <v>992</v>
      </c>
      <c r="K965" s="1">
        <v>452</v>
      </c>
      <c r="L965" s="1">
        <v>0</v>
      </c>
      <c r="O965" s="1">
        <v>452</v>
      </c>
      <c r="T965" s="1">
        <v>540</v>
      </c>
      <c r="Z965" s="1">
        <v>155</v>
      </c>
      <c r="AA965" s="1">
        <v>328</v>
      </c>
      <c r="AB965" s="1">
        <v>149</v>
      </c>
      <c r="AC965" s="1">
        <v>22</v>
      </c>
      <c r="AD965" s="1">
        <v>145</v>
      </c>
      <c r="AE965" s="1">
        <v>12</v>
      </c>
      <c r="AF965" s="1">
        <v>276</v>
      </c>
      <c r="AG965" s="1">
        <v>217</v>
      </c>
    </row>
    <row r="966" spans="1:33">
      <c r="A966" s="58">
        <v>39500</v>
      </c>
      <c r="B966" s="1">
        <v>13751</v>
      </c>
      <c r="C966" s="1">
        <v>10078</v>
      </c>
      <c r="D966" s="21">
        <f t="shared" si="30"/>
        <v>-2.375767174816868E-3</v>
      </c>
      <c r="E966" s="1">
        <v>10078</v>
      </c>
      <c r="F966" s="1">
        <v>0</v>
      </c>
      <c r="H966" s="1">
        <v>3673</v>
      </c>
      <c r="I966" s="21">
        <f t="shared" si="29"/>
        <v>1.436067384700359E-2</v>
      </c>
      <c r="J966" s="1">
        <v>1042</v>
      </c>
      <c r="K966" s="1">
        <v>459</v>
      </c>
      <c r="L966" s="1">
        <v>0</v>
      </c>
      <c r="O966" s="1">
        <v>459</v>
      </c>
      <c r="T966" s="1">
        <v>583</v>
      </c>
      <c r="Z966" s="1">
        <v>142</v>
      </c>
      <c r="AA966" s="1">
        <v>307</v>
      </c>
      <c r="AB966" s="1">
        <v>146</v>
      </c>
      <c r="AC966" s="1">
        <v>22</v>
      </c>
      <c r="AD966" s="1">
        <v>127</v>
      </c>
      <c r="AE966" s="1">
        <v>12</v>
      </c>
      <c r="AF966" s="1">
        <v>270</v>
      </c>
      <c r="AG966" s="1">
        <v>232</v>
      </c>
    </row>
    <row r="967" spans="1:33">
      <c r="A967" s="58">
        <v>39507</v>
      </c>
      <c r="B967" s="1">
        <v>13213</v>
      </c>
      <c r="C967" s="1">
        <v>9809</v>
      </c>
      <c r="D967" s="21">
        <f t="shared" si="30"/>
        <v>-2.6691803929351061E-2</v>
      </c>
      <c r="E967" s="1">
        <v>9809</v>
      </c>
      <c r="F967" s="1">
        <v>0</v>
      </c>
      <c r="H967" s="1">
        <v>3405</v>
      </c>
      <c r="I967" s="21">
        <f t="shared" si="29"/>
        <v>-7.2964878845630271E-2</v>
      </c>
      <c r="J967" s="1">
        <v>956</v>
      </c>
      <c r="K967" s="1">
        <v>418</v>
      </c>
      <c r="L967" s="1">
        <v>0</v>
      </c>
      <c r="O967" s="1">
        <v>418</v>
      </c>
      <c r="T967" s="1">
        <v>538</v>
      </c>
      <c r="Z967" s="1">
        <v>112</v>
      </c>
      <c r="AA967" s="1">
        <v>261</v>
      </c>
      <c r="AB967" s="1">
        <v>122</v>
      </c>
      <c r="AC967" s="1">
        <v>22</v>
      </c>
      <c r="AD967" s="1">
        <v>104</v>
      </c>
      <c r="AE967" s="1">
        <v>13</v>
      </c>
      <c r="AF967" s="1">
        <v>272</v>
      </c>
      <c r="AG967" s="1">
        <v>193</v>
      </c>
    </row>
    <row r="968" spans="1:33">
      <c r="A968" s="58">
        <v>39514</v>
      </c>
      <c r="B968" s="1">
        <v>13404</v>
      </c>
      <c r="C968" s="1">
        <v>10011</v>
      </c>
      <c r="D968" s="21">
        <f t="shared" si="30"/>
        <v>2.0593332653685389E-2</v>
      </c>
      <c r="E968" s="1">
        <v>10011</v>
      </c>
      <c r="F968" s="1">
        <v>0</v>
      </c>
      <c r="H968" s="1">
        <v>3393</v>
      </c>
      <c r="I968" s="21">
        <f t="shared" si="29"/>
        <v>-3.524229074889868E-3</v>
      </c>
      <c r="J968" s="1">
        <v>932</v>
      </c>
      <c r="K968" s="1">
        <v>413</v>
      </c>
      <c r="L968" s="1">
        <v>0</v>
      </c>
      <c r="O968" s="1">
        <v>413</v>
      </c>
      <c r="T968" s="1">
        <v>518</v>
      </c>
      <c r="Z968" s="1">
        <v>137</v>
      </c>
      <c r="AA968" s="1">
        <v>224</v>
      </c>
      <c r="AB968" s="1">
        <v>94</v>
      </c>
      <c r="AC968" s="1">
        <v>36</v>
      </c>
      <c r="AD968" s="1">
        <v>82</v>
      </c>
      <c r="AE968" s="1">
        <v>13</v>
      </c>
      <c r="AF968" s="1">
        <v>288</v>
      </c>
      <c r="AG968" s="1">
        <v>200</v>
      </c>
    </row>
    <row r="969" spans="1:33">
      <c r="A969" s="58">
        <v>39521</v>
      </c>
      <c r="B969" s="1">
        <v>13132</v>
      </c>
      <c r="C969" s="1">
        <v>9853</v>
      </c>
      <c r="D969" s="21">
        <f t="shared" si="30"/>
        <v>-1.5782639096993307E-2</v>
      </c>
      <c r="E969" s="1">
        <v>9853</v>
      </c>
      <c r="F969" s="1">
        <v>0</v>
      </c>
      <c r="H969" s="1">
        <v>3279</v>
      </c>
      <c r="I969" s="21">
        <f t="shared" si="29"/>
        <v>-3.3598585322723251E-2</v>
      </c>
      <c r="J969" s="1">
        <v>950</v>
      </c>
      <c r="K969" s="1">
        <v>386</v>
      </c>
      <c r="L969" s="1">
        <v>0</v>
      </c>
      <c r="O969" s="1">
        <v>386</v>
      </c>
      <c r="T969" s="1">
        <v>565</v>
      </c>
      <c r="Z969" s="1">
        <v>194</v>
      </c>
      <c r="AA969" s="1">
        <v>202</v>
      </c>
      <c r="AB969" s="1">
        <v>106</v>
      </c>
      <c r="AC969" s="1">
        <v>21</v>
      </c>
      <c r="AD969" s="1">
        <v>53</v>
      </c>
      <c r="AE969" s="1">
        <v>22</v>
      </c>
      <c r="AF969" s="1">
        <v>291</v>
      </c>
      <c r="AG969" s="1">
        <v>221</v>
      </c>
    </row>
    <row r="970" spans="1:33">
      <c r="A970" s="58">
        <v>39528</v>
      </c>
      <c r="B970" s="1">
        <v>12790</v>
      </c>
      <c r="C970" s="1">
        <v>9588</v>
      </c>
      <c r="D970" s="21">
        <f t="shared" si="30"/>
        <v>-2.6895361818735409E-2</v>
      </c>
      <c r="E970" s="1">
        <v>9588</v>
      </c>
      <c r="F970" s="1">
        <v>0</v>
      </c>
      <c r="H970" s="1">
        <v>3202</v>
      </c>
      <c r="I970" s="21">
        <f t="shared" si="29"/>
        <v>-2.3482769136931991E-2</v>
      </c>
      <c r="J970" s="1">
        <v>852</v>
      </c>
      <c r="K970" s="1">
        <v>346</v>
      </c>
      <c r="L970" s="1">
        <v>0</v>
      </c>
      <c r="O970" s="1">
        <v>346</v>
      </c>
      <c r="T970" s="1">
        <v>506</v>
      </c>
      <c r="Z970" s="1">
        <v>171</v>
      </c>
      <c r="AA970" s="1">
        <v>214</v>
      </c>
      <c r="AB970" s="1">
        <v>103</v>
      </c>
      <c r="AC970" s="1">
        <v>27</v>
      </c>
      <c r="AD970" s="1">
        <v>62</v>
      </c>
      <c r="AE970" s="1">
        <v>22</v>
      </c>
      <c r="AF970" s="1">
        <v>352</v>
      </c>
      <c r="AG970" s="1">
        <v>190</v>
      </c>
    </row>
    <row r="971" spans="1:33">
      <c r="A971" s="58">
        <v>39535</v>
      </c>
      <c r="B971" s="1">
        <v>13013</v>
      </c>
      <c r="C971" s="1">
        <v>9799</v>
      </c>
      <c r="D971" s="21">
        <f t="shared" si="30"/>
        <v>2.2006675010429702E-2</v>
      </c>
      <c r="E971" s="1">
        <v>9799</v>
      </c>
      <c r="F971" s="1">
        <v>0</v>
      </c>
      <c r="H971" s="1">
        <v>3214</v>
      </c>
      <c r="I971" s="21">
        <f t="shared" si="29"/>
        <v>3.7476577139287947E-3</v>
      </c>
      <c r="J971" s="1">
        <v>888</v>
      </c>
      <c r="K971" s="1">
        <v>350</v>
      </c>
      <c r="L971" s="1">
        <v>0</v>
      </c>
      <c r="O971" s="1">
        <v>350</v>
      </c>
      <c r="T971" s="1">
        <v>539</v>
      </c>
      <c r="Z971" s="1">
        <v>177</v>
      </c>
      <c r="AA971" s="1">
        <v>248</v>
      </c>
      <c r="AB971" s="1">
        <v>114</v>
      </c>
      <c r="AC971" s="1">
        <v>27</v>
      </c>
      <c r="AD971" s="1">
        <v>86</v>
      </c>
      <c r="AE971" s="1">
        <v>21</v>
      </c>
      <c r="AF971" s="1">
        <v>356</v>
      </c>
      <c r="AG971" s="1">
        <v>200</v>
      </c>
    </row>
    <row r="972" spans="1:33">
      <c r="A972" s="58">
        <v>39542</v>
      </c>
      <c r="B972" s="1">
        <v>12584</v>
      </c>
      <c r="C972" s="1">
        <v>9390</v>
      </c>
      <c r="D972" s="21">
        <f t="shared" si="30"/>
        <v>-4.1738952954383103E-2</v>
      </c>
      <c r="E972" s="1">
        <v>9390</v>
      </c>
      <c r="F972" s="1">
        <v>0</v>
      </c>
      <c r="H972" s="1">
        <v>3194</v>
      </c>
      <c r="I972" s="21">
        <f t="shared" si="29"/>
        <v>-6.222775357809583E-3</v>
      </c>
      <c r="J972" s="1">
        <v>929</v>
      </c>
      <c r="K972" s="1">
        <v>364</v>
      </c>
      <c r="L972" s="1">
        <v>0</v>
      </c>
      <c r="O972" s="1">
        <v>364</v>
      </c>
      <c r="T972" s="1">
        <v>565</v>
      </c>
      <c r="Z972" s="1">
        <v>163</v>
      </c>
      <c r="AA972" s="1">
        <v>255</v>
      </c>
      <c r="AB972" s="1">
        <v>134</v>
      </c>
      <c r="AC972" s="1">
        <v>14</v>
      </c>
      <c r="AD972" s="1">
        <v>87</v>
      </c>
      <c r="AE972" s="1">
        <v>20</v>
      </c>
      <c r="AF972" s="1">
        <v>386</v>
      </c>
      <c r="AG972" s="1">
        <v>201</v>
      </c>
    </row>
    <row r="973" spans="1:33">
      <c r="A973" s="58">
        <v>39549</v>
      </c>
      <c r="B973" s="1">
        <v>12446</v>
      </c>
      <c r="C973" s="1">
        <v>9243</v>
      </c>
      <c r="D973" s="21">
        <f t="shared" si="30"/>
        <v>-1.5654952076677317E-2</v>
      </c>
      <c r="E973" s="1">
        <v>9243</v>
      </c>
      <c r="F973" s="1">
        <v>0</v>
      </c>
      <c r="H973" s="1">
        <v>3203</v>
      </c>
      <c r="I973" s="21">
        <f t="shared" si="29"/>
        <v>2.8177833437695679E-3</v>
      </c>
      <c r="J973" s="1">
        <v>941</v>
      </c>
      <c r="K973" s="1">
        <v>351</v>
      </c>
      <c r="L973" s="1">
        <v>0</v>
      </c>
      <c r="O973" s="1">
        <v>351</v>
      </c>
      <c r="T973" s="1">
        <v>590</v>
      </c>
      <c r="Z973" s="1">
        <v>168</v>
      </c>
      <c r="AA973" s="1">
        <v>246</v>
      </c>
      <c r="AB973" s="1">
        <v>117</v>
      </c>
      <c r="AC973" s="1">
        <v>7</v>
      </c>
      <c r="AD973" s="1">
        <v>113</v>
      </c>
      <c r="AE973" s="1">
        <v>10</v>
      </c>
      <c r="AF973" s="1">
        <v>361</v>
      </c>
      <c r="AG973" s="1">
        <v>169</v>
      </c>
    </row>
    <row r="974" spans="1:33">
      <c r="A974" s="58">
        <v>39556</v>
      </c>
      <c r="B974" s="1">
        <v>12828</v>
      </c>
      <c r="C974" s="1">
        <v>9529</v>
      </c>
      <c r="D974" s="21">
        <f t="shared" si="30"/>
        <v>3.0942334739803096E-2</v>
      </c>
      <c r="E974" s="1">
        <v>9529</v>
      </c>
      <c r="F974" s="1">
        <v>0</v>
      </c>
      <c r="H974" s="1">
        <v>3299</v>
      </c>
      <c r="I974" s="21">
        <f t="shared" si="29"/>
        <v>2.9971901342491416E-2</v>
      </c>
      <c r="J974" s="1">
        <v>952</v>
      </c>
      <c r="K974" s="1">
        <v>362</v>
      </c>
      <c r="L974" s="1">
        <v>0</v>
      </c>
      <c r="O974" s="1">
        <v>362</v>
      </c>
      <c r="T974" s="1">
        <v>590</v>
      </c>
      <c r="Z974" s="1">
        <v>203</v>
      </c>
      <c r="AA974" s="1">
        <v>251</v>
      </c>
      <c r="AB974" s="1">
        <v>123</v>
      </c>
      <c r="AC974" s="1">
        <v>0</v>
      </c>
      <c r="AD974" s="1">
        <v>120</v>
      </c>
      <c r="AE974" s="1">
        <v>9</v>
      </c>
      <c r="AF974" s="1">
        <v>407</v>
      </c>
      <c r="AG974" s="1">
        <v>194</v>
      </c>
    </row>
    <row r="975" spans="1:33">
      <c r="A975" s="58">
        <v>39563</v>
      </c>
      <c r="B975" s="1">
        <v>12957</v>
      </c>
      <c r="C975" s="1">
        <v>9512</v>
      </c>
      <c r="D975" s="21">
        <f t="shared" si="30"/>
        <v>-1.784027704900829E-3</v>
      </c>
      <c r="E975" s="1">
        <v>9512</v>
      </c>
      <c r="F975" s="1">
        <v>0</v>
      </c>
      <c r="H975" s="1">
        <v>3445</v>
      </c>
      <c r="I975" s="21">
        <f t="shared" si="29"/>
        <v>4.4255835101545925E-2</v>
      </c>
      <c r="J975" s="1">
        <v>1062</v>
      </c>
      <c r="K975" s="1">
        <v>381</v>
      </c>
      <c r="L975" s="1">
        <v>0</v>
      </c>
      <c r="O975" s="1">
        <v>381</v>
      </c>
      <c r="T975" s="1">
        <v>681</v>
      </c>
      <c r="Z975" s="1">
        <v>203</v>
      </c>
      <c r="AA975" s="1">
        <v>239</v>
      </c>
      <c r="AB975" s="1">
        <v>143</v>
      </c>
      <c r="AC975" s="1">
        <v>0</v>
      </c>
      <c r="AD975" s="1">
        <v>86</v>
      </c>
      <c r="AE975" s="1">
        <v>11</v>
      </c>
      <c r="AF975" s="1">
        <v>434</v>
      </c>
      <c r="AG975" s="1">
        <v>185</v>
      </c>
    </row>
    <row r="976" spans="1:33">
      <c r="A976" s="58">
        <v>39570</v>
      </c>
      <c r="B976" s="1">
        <v>13426</v>
      </c>
      <c r="C976" s="1">
        <v>9941</v>
      </c>
      <c r="D976" s="21">
        <f t="shared" si="30"/>
        <v>4.5100925147182509E-2</v>
      </c>
      <c r="E976" s="1">
        <v>9941</v>
      </c>
      <c r="F976" s="1">
        <v>0</v>
      </c>
      <c r="H976" s="1">
        <v>3485</v>
      </c>
      <c r="I976" s="21">
        <f t="shared" si="29"/>
        <v>1.1611030478955007E-2</v>
      </c>
      <c r="J976" s="1">
        <v>1209</v>
      </c>
      <c r="K976" s="1">
        <v>373</v>
      </c>
      <c r="L976" s="1">
        <v>0</v>
      </c>
      <c r="O976" s="1">
        <v>373</v>
      </c>
      <c r="T976" s="1">
        <v>836</v>
      </c>
      <c r="Z976" s="1">
        <v>185</v>
      </c>
      <c r="AA976" s="1">
        <v>245</v>
      </c>
      <c r="AB976" s="1">
        <v>136</v>
      </c>
      <c r="AC976" s="1">
        <v>0</v>
      </c>
      <c r="AD976" s="1">
        <v>100</v>
      </c>
      <c r="AE976" s="1">
        <v>9</v>
      </c>
      <c r="AF976" s="1">
        <v>417</v>
      </c>
      <c r="AG976" s="1">
        <v>171</v>
      </c>
    </row>
    <row r="977" spans="1:33">
      <c r="A977" s="58">
        <v>39577</v>
      </c>
      <c r="B977" s="1">
        <v>13767</v>
      </c>
      <c r="C977" s="1">
        <v>10204</v>
      </c>
      <c r="D977" s="21">
        <f t="shared" si="30"/>
        <v>2.6456090936525501E-2</v>
      </c>
      <c r="E977" s="1">
        <v>10204</v>
      </c>
      <c r="F977" s="1">
        <v>0</v>
      </c>
      <c r="H977" s="1">
        <v>3563</v>
      </c>
      <c r="I977" s="21">
        <f t="shared" si="29"/>
        <v>2.2381635581061692E-2</v>
      </c>
      <c r="J977" s="1">
        <v>1200</v>
      </c>
      <c r="K977" s="1">
        <v>378</v>
      </c>
      <c r="L977" s="1">
        <v>0</v>
      </c>
      <c r="O977" s="1">
        <v>378</v>
      </c>
      <c r="T977" s="1">
        <v>822</v>
      </c>
      <c r="Z977" s="1">
        <v>181</v>
      </c>
      <c r="AA977" s="1">
        <v>234</v>
      </c>
      <c r="AB977" s="1">
        <v>141</v>
      </c>
      <c r="AC977" s="1">
        <v>0</v>
      </c>
      <c r="AD977" s="1">
        <v>86</v>
      </c>
      <c r="AE977" s="1">
        <v>8</v>
      </c>
      <c r="AF977" s="1">
        <v>430</v>
      </c>
      <c r="AG977" s="1">
        <v>163</v>
      </c>
    </row>
    <row r="978" spans="1:33">
      <c r="A978" s="58">
        <v>39584</v>
      </c>
      <c r="B978" s="1">
        <v>13538</v>
      </c>
      <c r="C978" s="1">
        <v>10003</v>
      </c>
      <c r="D978" s="21">
        <f t="shared" si="30"/>
        <v>-1.9698157585260681E-2</v>
      </c>
      <c r="E978" s="1">
        <v>10003</v>
      </c>
      <c r="F978" s="1">
        <v>0</v>
      </c>
      <c r="H978" s="1">
        <v>3534</v>
      </c>
      <c r="I978" s="21">
        <f t="shared" si="29"/>
        <v>-8.1392085321358408E-3</v>
      </c>
      <c r="J978" s="1">
        <v>1234</v>
      </c>
      <c r="K978" s="1">
        <v>403</v>
      </c>
      <c r="L978" s="1">
        <v>0</v>
      </c>
      <c r="O978" s="1">
        <v>403</v>
      </c>
      <c r="T978" s="1">
        <v>831</v>
      </c>
      <c r="Z978" s="1">
        <v>177</v>
      </c>
      <c r="AA978" s="1">
        <v>219</v>
      </c>
      <c r="AB978" s="1">
        <v>144</v>
      </c>
      <c r="AC978" s="1">
        <v>0</v>
      </c>
      <c r="AD978" s="1">
        <v>66</v>
      </c>
      <c r="AE978" s="1">
        <v>9</v>
      </c>
      <c r="AF978" s="1">
        <v>399</v>
      </c>
      <c r="AG978" s="1">
        <v>143</v>
      </c>
    </row>
    <row r="979" spans="1:33">
      <c r="A979" s="58">
        <v>39591</v>
      </c>
      <c r="B979" s="1">
        <v>13009</v>
      </c>
      <c r="C979" s="1">
        <v>9689</v>
      </c>
      <c r="D979" s="21">
        <f t="shared" si="30"/>
        <v>-3.1390582825152454E-2</v>
      </c>
      <c r="E979" s="1">
        <v>9689</v>
      </c>
      <c r="F979" s="1">
        <v>0</v>
      </c>
      <c r="H979" s="1">
        <v>3320</v>
      </c>
      <c r="I979" s="21">
        <f t="shared" si="29"/>
        <v>-6.0554612337294852E-2</v>
      </c>
      <c r="J979" s="1">
        <v>1144</v>
      </c>
      <c r="K979" s="1">
        <v>397</v>
      </c>
      <c r="L979" s="1">
        <v>0</v>
      </c>
      <c r="O979" s="1">
        <v>397</v>
      </c>
      <c r="T979" s="1">
        <v>747</v>
      </c>
      <c r="Z979" s="1">
        <v>177</v>
      </c>
      <c r="AA979" s="1">
        <v>213</v>
      </c>
      <c r="AB979" s="1">
        <v>131</v>
      </c>
      <c r="AC979" s="1">
        <v>7</v>
      </c>
      <c r="AD979" s="1">
        <v>68</v>
      </c>
      <c r="AE979" s="1">
        <v>7</v>
      </c>
      <c r="AF979" s="1">
        <v>368</v>
      </c>
      <c r="AG979" s="1">
        <v>184</v>
      </c>
    </row>
    <row r="980" spans="1:33">
      <c r="A980" s="58">
        <v>39598</v>
      </c>
      <c r="B980" s="1">
        <v>12768</v>
      </c>
      <c r="C980" s="1">
        <v>9479</v>
      </c>
      <c r="D980" s="21">
        <f t="shared" si="30"/>
        <v>-2.1674063370832903E-2</v>
      </c>
      <c r="E980" s="1">
        <v>9479</v>
      </c>
      <c r="F980" s="1">
        <v>0</v>
      </c>
      <c r="H980" s="1">
        <v>3290</v>
      </c>
      <c r="I980" s="21">
        <f t="shared" si="29"/>
        <v>-9.0361445783132526E-3</v>
      </c>
      <c r="J980" s="1">
        <v>1098</v>
      </c>
      <c r="K980" s="1">
        <v>397</v>
      </c>
      <c r="L980" s="1">
        <v>0</v>
      </c>
      <c r="M980" s="1">
        <v>0</v>
      </c>
      <c r="O980" s="1">
        <v>397</v>
      </c>
      <c r="P980" s="1">
        <v>0</v>
      </c>
      <c r="S980" s="1">
        <v>397</v>
      </c>
      <c r="T980" s="1">
        <v>701</v>
      </c>
      <c r="V980" s="1">
        <v>0</v>
      </c>
      <c r="X980" s="1">
        <v>348</v>
      </c>
      <c r="Z980" s="1">
        <v>185</v>
      </c>
      <c r="AA980" s="1">
        <v>219</v>
      </c>
      <c r="AB980" s="1">
        <v>143</v>
      </c>
      <c r="AC980" s="1">
        <v>7</v>
      </c>
      <c r="AD980" s="1">
        <v>62</v>
      </c>
      <c r="AE980" s="1">
        <v>7</v>
      </c>
      <c r="AF980" s="1">
        <v>342</v>
      </c>
      <c r="AG980" s="1">
        <v>181</v>
      </c>
    </row>
    <row r="981" spans="1:33">
      <c r="A981" s="58">
        <v>39605</v>
      </c>
      <c r="B981" s="1">
        <v>12696</v>
      </c>
      <c r="C981" s="1">
        <v>9418</v>
      </c>
      <c r="D981" s="21">
        <f t="shared" si="30"/>
        <v>-6.4352779829095893E-3</v>
      </c>
      <c r="E981" s="1">
        <v>9418</v>
      </c>
      <c r="F981" s="1">
        <v>0</v>
      </c>
      <c r="H981" s="1">
        <v>3278</v>
      </c>
      <c r="I981" s="21">
        <f t="shared" si="29"/>
        <v>-3.64741641337386E-3</v>
      </c>
      <c r="J981" s="1">
        <v>1168</v>
      </c>
      <c r="K981" s="1">
        <v>463</v>
      </c>
      <c r="L981" s="1">
        <v>0</v>
      </c>
      <c r="M981" s="1">
        <v>0</v>
      </c>
      <c r="O981" s="1">
        <v>463</v>
      </c>
      <c r="P981" s="1">
        <v>0</v>
      </c>
      <c r="S981" s="1">
        <v>463</v>
      </c>
      <c r="T981" s="1">
        <v>705</v>
      </c>
      <c r="V981" s="1">
        <v>0</v>
      </c>
      <c r="X981" s="1">
        <v>354</v>
      </c>
      <c r="Z981" s="1">
        <v>137</v>
      </c>
      <c r="AA981" s="1">
        <v>197</v>
      </c>
      <c r="AB981" s="1">
        <v>133</v>
      </c>
      <c r="AC981" s="1">
        <v>7</v>
      </c>
      <c r="AD981" s="1">
        <v>50</v>
      </c>
      <c r="AE981" s="1">
        <v>7</v>
      </c>
      <c r="AF981" s="1">
        <v>351</v>
      </c>
      <c r="AG981" s="1">
        <v>177</v>
      </c>
    </row>
    <row r="982" spans="1:33">
      <c r="A982" s="58">
        <v>39612</v>
      </c>
      <c r="B982" s="1">
        <v>12843</v>
      </c>
      <c r="C982" s="1">
        <v>9673</v>
      </c>
      <c r="D982" s="21">
        <f t="shared" si="30"/>
        <v>2.7075812274368231E-2</v>
      </c>
      <c r="E982" s="1">
        <v>9673</v>
      </c>
      <c r="F982" s="1">
        <v>0</v>
      </c>
      <c r="H982" s="1">
        <v>3170</v>
      </c>
      <c r="I982" s="21">
        <f t="shared" si="29"/>
        <v>-3.2946918852959119E-2</v>
      </c>
      <c r="J982" s="1">
        <v>1143</v>
      </c>
      <c r="K982" s="1">
        <v>465</v>
      </c>
      <c r="L982" s="1">
        <v>0</v>
      </c>
      <c r="M982" s="1">
        <v>0</v>
      </c>
      <c r="O982" s="1">
        <v>465</v>
      </c>
      <c r="P982" s="1">
        <v>0</v>
      </c>
      <c r="S982" s="1">
        <v>465</v>
      </c>
      <c r="T982" s="1">
        <v>678</v>
      </c>
      <c r="V982" s="1">
        <v>0</v>
      </c>
      <c r="X982" s="1">
        <v>368</v>
      </c>
      <c r="Z982" s="1">
        <v>118</v>
      </c>
      <c r="AA982" s="1">
        <v>211</v>
      </c>
      <c r="AB982" s="1">
        <v>133</v>
      </c>
      <c r="AC982" s="1">
        <v>7</v>
      </c>
      <c r="AD982" s="1">
        <v>66</v>
      </c>
      <c r="AE982" s="1">
        <v>5</v>
      </c>
      <c r="AF982" s="1">
        <v>331</v>
      </c>
      <c r="AG982" s="1">
        <v>167</v>
      </c>
    </row>
    <row r="983" spans="1:33">
      <c r="A983" s="58">
        <v>39619</v>
      </c>
      <c r="B983" s="1">
        <v>13261</v>
      </c>
      <c r="C983" s="1">
        <v>9996</v>
      </c>
      <c r="D983" s="21">
        <f t="shared" si="30"/>
        <v>3.3391915641476276E-2</v>
      </c>
      <c r="E983" s="1">
        <v>9996</v>
      </c>
      <c r="F983" s="1">
        <v>0</v>
      </c>
      <c r="H983" s="1">
        <v>3265</v>
      </c>
      <c r="I983" s="21">
        <f t="shared" si="29"/>
        <v>2.996845425867508E-2</v>
      </c>
      <c r="J983" s="1">
        <v>1177</v>
      </c>
      <c r="K983" s="1">
        <v>464</v>
      </c>
      <c r="L983" s="1">
        <v>0</v>
      </c>
      <c r="M983" s="1">
        <v>0</v>
      </c>
      <c r="O983" s="1">
        <v>464</v>
      </c>
      <c r="P983" s="1">
        <v>0</v>
      </c>
      <c r="S983" s="1">
        <v>464</v>
      </c>
      <c r="T983" s="1">
        <v>713</v>
      </c>
      <c r="V983" s="1">
        <v>0</v>
      </c>
      <c r="X983" s="1">
        <v>401</v>
      </c>
      <c r="Z983" s="1">
        <v>118</v>
      </c>
      <c r="AA983" s="1">
        <v>176</v>
      </c>
      <c r="AB983" s="1">
        <v>112</v>
      </c>
      <c r="AC983" s="1">
        <v>0</v>
      </c>
      <c r="AD983" s="1">
        <v>59</v>
      </c>
      <c r="AE983" s="1">
        <v>5</v>
      </c>
      <c r="AF983" s="1">
        <v>340</v>
      </c>
      <c r="AG983" s="1">
        <v>113</v>
      </c>
    </row>
    <row r="984" spans="1:33">
      <c r="A984" s="58">
        <v>39626</v>
      </c>
      <c r="B984" s="1">
        <v>13433</v>
      </c>
      <c r="C984" s="1">
        <v>10092</v>
      </c>
      <c r="D984" s="21">
        <f t="shared" si="30"/>
        <v>9.6038415366146452E-3</v>
      </c>
      <c r="E984" s="1">
        <v>10092</v>
      </c>
      <c r="F984" s="1">
        <v>0</v>
      </c>
      <c r="H984" s="1">
        <v>3341</v>
      </c>
      <c r="I984" s="21">
        <f t="shared" si="29"/>
        <v>2.3277182235834609E-2</v>
      </c>
      <c r="J984" s="1">
        <v>1189</v>
      </c>
      <c r="K984" s="1">
        <v>490</v>
      </c>
      <c r="L984" s="1">
        <v>0</v>
      </c>
      <c r="M984" s="1">
        <v>0</v>
      </c>
      <c r="O984" s="1">
        <v>490</v>
      </c>
      <c r="P984" s="1">
        <v>0</v>
      </c>
      <c r="S984" s="1">
        <v>490</v>
      </c>
      <c r="T984" s="1">
        <v>699</v>
      </c>
      <c r="V984" s="1">
        <v>0</v>
      </c>
      <c r="X984" s="1">
        <v>374</v>
      </c>
      <c r="Z984" s="1">
        <v>94</v>
      </c>
      <c r="AA984" s="1">
        <v>160</v>
      </c>
      <c r="AB984" s="1">
        <v>100</v>
      </c>
      <c r="AC984" s="1">
        <v>0</v>
      </c>
      <c r="AD984" s="1">
        <v>52</v>
      </c>
      <c r="AE984" s="1">
        <v>8</v>
      </c>
      <c r="AF984" s="1">
        <v>378</v>
      </c>
      <c r="AG984" s="1">
        <v>108</v>
      </c>
    </row>
    <row r="985" spans="1:33">
      <c r="A985" s="58">
        <v>39633</v>
      </c>
      <c r="B985" s="1">
        <v>13292</v>
      </c>
      <c r="C985" s="1">
        <v>10056</v>
      </c>
      <c r="D985" s="21">
        <f t="shared" si="30"/>
        <v>-3.5671819262782403E-3</v>
      </c>
      <c r="E985" s="1">
        <v>10056</v>
      </c>
      <c r="F985" s="1">
        <v>0</v>
      </c>
      <c r="H985" s="1">
        <v>3235</v>
      </c>
      <c r="I985" s="21">
        <f t="shared" si="29"/>
        <v>-3.1727027835977251E-2</v>
      </c>
      <c r="J985" s="1">
        <v>1181</v>
      </c>
      <c r="K985" s="1">
        <v>487</v>
      </c>
      <c r="L985" s="1">
        <v>0</v>
      </c>
      <c r="M985" s="1">
        <v>0</v>
      </c>
      <c r="O985" s="1">
        <v>487</v>
      </c>
      <c r="P985" s="1">
        <v>0</v>
      </c>
      <c r="S985" s="1">
        <v>487</v>
      </c>
      <c r="T985" s="1">
        <v>694</v>
      </c>
      <c r="V985" s="1">
        <v>0</v>
      </c>
      <c r="X985" s="1">
        <v>384</v>
      </c>
      <c r="Z985" s="1">
        <v>75</v>
      </c>
      <c r="AA985" s="1">
        <v>164</v>
      </c>
      <c r="AB985" s="1">
        <v>87</v>
      </c>
      <c r="AC985" s="1">
        <v>9</v>
      </c>
      <c r="AD985" s="1">
        <v>61</v>
      </c>
      <c r="AE985" s="1">
        <v>7</v>
      </c>
      <c r="AF985" s="1">
        <v>342</v>
      </c>
      <c r="AG985" s="1">
        <v>99</v>
      </c>
    </row>
    <row r="986" spans="1:33">
      <c r="A986" s="58">
        <v>39640</v>
      </c>
      <c r="B986" s="1">
        <v>13444</v>
      </c>
      <c r="C986" s="1">
        <v>10189</v>
      </c>
      <c r="D986" s="21">
        <f t="shared" si="30"/>
        <v>1.3225934765314241E-2</v>
      </c>
      <c r="E986" s="1">
        <v>10189</v>
      </c>
      <c r="F986" s="1">
        <v>0</v>
      </c>
      <c r="H986" s="1">
        <v>3255</v>
      </c>
      <c r="I986" s="21">
        <f t="shared" ref="I986:I1049" si="31">(H986-H985)/H985</f>
        <v>6.1823802163833074E-3</v>
      </c>
      <c r="J986" s="1">
        <v>1174</v>
      </c>
      <c r="K986" s="1">
        <v>476</v>
      </c>
      <c r="L986" s="1">
        <v>0</v>
      </c>
      <c r="M986" s="1">
        <v>0</v>
      </c>
      <c r="O986" s="1">
        <v>476</v>
      </c>
      <c r="P986" s="1">
        <v>0</v>
      </c>
      <c r="S986" s="1">
        <v>476</v>
      </c>
      <c r="T986" s="1">
        <v>699</v>
      </c>
      <c r="V986" s="1">
        <v>0</v>
      </c>
      <c r="X986" s="1">
        <v>374</v>
      </c>
      <c r="Z986" s="1">
        <v>78</v>
      </c>
      <c r="AA986" s="1">
        <v>137</v>
      </c>
      <c r="AB986" s="1">
        <v>85</v>
      </c>
      <c r="AC986" s="1">
        <v>9</v>
      </c>
      <c r="AD986" s="1">
        <v>38</v>
      </c>
      <c r="AE986" s="1">
        <v>6</v>
      </c>
      <c r="AF986" s="1">
        <v>296</v>
      </c>
      <c r="AG986" s="1">
        <v>93</v>
      </c>
    </row>
    <row r="987" spans="1:33">
      <c r="A987" s="58">
        <v>39647</v>
      </c>
      <c r="B987" s="1">
        <v>13281</v>
      </c>
      <c r="C987" s="1">
        <v>10078</v>
      </c>
      <c r="D987" s="21">
        <f t="shared" si="30"/>
        <v>-1.0894101481990381E-2</v>
      </c>
      <c r="E987" s="1">
        <v>10078</v>
      </c>
      <c r="F987" s="1">
        <v>0</v>
      </c>
      <c r="H987" s="1">
        <v>3203</v>
      </c>
      <c r="I987" s="21">
        <f t="shared" si="31"/>
        <v>-1.597542242703533E-2</v>
      </c>
      <c r="J987" s="1">
        <v>1170</v>
      </c>
      <c r="K987" s="1">
        <v>471</v>
      </c>
      <c r="L987" s="1">
        <v>0</v>
      </c>
      <c r="M987" s="1">
        <v>0</v>
      </c>
      <c r="O987" s="1">
        <v>471</v>
      </c>
      <c r="P987" s="1">
        <v>0</v>
      </c>
      <c r="S987" s="1">
        <v>471</v>
      </c>
      <c r="T987" s="1">
        <v>700</v>
      </c>
      <c r="V987" s="1">
        <v>0</v>
      </c>
      <c r="X987" s="1">
        <v>355</v>
      </c>
      <c r="Z987" s="1">
        <v>65</v>
      </c>
      <c r="AA987" s="1">
        <v>136</v>
      </c>
      <c r="AB987" s="1">
        <v>86</v>
      </c>
      <c r="AC987" s="1">
        <v>9</v>
      </c>
      <c r="AD987" s="1">
        <v>36</v>
      </c>
      <c r="AE987" s="1">
        <v>5</v>
      </c>
      <c r="AF987" s="1">
        <v>250</v>
      </c>
      <c r="AG987" s="1">
        <v>92</v>
      </c>
    </row>
    <row r="988" spans="1:33">
      <c r="A988" s="58">
        <v>39654</v>
      </c>
      <c r="B988" s="1">
        <v>13148</v>
      </c>
      <c r="C988" s="1">
        <v>10037</v>
      </c>
      <c r="D988" s="21">
        <f t="shared" si="30"/>
        <v>-4.0682675133955149E-3</v>
      </c>
      <c r="E988" s="1">
        <v>10037</v>
      </c>
      <c r="F988" s="1">
        <v>0</v>
      </c>
      <c r="H988" s="1">
        <v>3111</v>
      </c>
      <c r="I988" s="21">
        <f t="shared" si="31"/>
        <v>-2.8723072119887606E-2</v>
      </c>
      <c r="J988" s="1">
        <v>1072</v>
      </c>
      <c r="K988" s="1">
        <v>380</v>
      </c>
      <c r="L988" s="1">
        <v>0</v>
      </c>
      <c r="M988" s="1">
        <v>0</v>
      </c>
      <c r="O988" s="1">
        <v>380</v>
      </c>
      <c r="P988" s="1">
        <v>0</v>
      </c>
      <c r="S988" s="1">
        <v>380</v>
      </c>
      <c r="T988" s="1">
        <v>693</v>
      </c>
      <c r="V988" s="1">
        <v>7</v>
      </c>
      <c r="X988" s="1">
        <v>395</v>
      </c>
      <c r="Z988" s="1">
        <v>79</v>
      </c>
      <c r="AA988" s="1">
        <v>129</v>
      </c>
      <c r="AB988" s="1">
        <v>78</v>
      </c>
      <c r="AC988" s="1">
        <v>14</v>
      </c>
      <c r="AD988" s="1">
        <v>35</v>
      </c>
      <c r="AE988" s="1">
        <v>2</v>
      </c>
      <c r="AF988" s="1">
        <v>254</v>
      </c>
      <c r="AG988" s="1">
        <v>86</v>
      </c>
    </row>
    <row r="989" spans="1:33">
      <c r="A989" s="58">
        <v>39661</v>
      </c>
      <c r="B989" s="1">
        <v>13347</v>
      </c>
      <c r="C989" s="1">
        <v>10199</v>
      </c>
      <c r="D989" s="21">
        <f t="shared" ref="D989:D1052" si="32">(C989-C988)/C988</f>
        <v>1.6140280960446347E-2</v>
      </c>
      <c r="E989" s="1">
        <v>10199</v>
      </c>
      <c r="F989" s="1">
        <v>0</v>
      </c>
      <c r="H989" s="1">
        <v>3148</v>
      </c>
      <c r="I989" s="21">
        <f t="shared" si="31"/>
        <v>1.1893281902925105E-2</v>
      </c>
      <c r="J989" s="1">
        <v>998</v>
      </c>
      <c r="K989" s="1">
        <v>274</v>
      </c>
      <c r="L989" s="1">
        <v>0</v>
      </c>
      <c r="M989" s="1">
        <v>0</v>
      </c>
      <c r="O989" s="1">
        <v>274</v>
      </c>
      <c r="P989" s="1">
        <v>0</v>
      </c>
      <c r="S989" s="1">
        <v>274</v>
      </c>
      <c r="T989" s="1">
        <v>723</v>
      </c>
      <c r="V989" s="1">
        <v>16</v>
      </c>
      <c r="X989" s="1">
        <v>390</v>
      </c>
      <c r="Z989" s="1">
        <v>85</v>
      </c>
      <c r="AA989" s="1">
        <v>166</v>
      </c>
      <c r="AB989" s="1">
        <v>103</v>
      </c>
      <c r="AC989" s="1">
        <v>16</v>
      </c>
      <c r="AD989" s="1">
        <v>45</v>
      </c>
      <c r="AE989" s="1">
        <v>3</v>
      </c>
      <c r="AF989" s="1">
        <v>275</v>
      </c>
      <c r="AG989" s="1">
        <v>117</v>
      </c>
    </row>
    <row r="990" spans="1:33">
      <c r="A990" s="58">
        <v>39668</v>
      </c>
      <c r="B990" s="1">
        <v>12926</v>
      </c>
      <c r="C990" s="1">
        <v>9915</v>
      </c>
      <c r="D990" s="21">
        <f t="shared" si="32"/>
        <v>-2.7845867241886459E-2</v>
      </c>
      <c r="E990" s="1">
        <v>9915</v>
      </c>
      <c r="F990" s="1">
        <v>0</v>
      </c>
      <c r="H990" s="1">
        <v>3011</v>
      </c>
      <c r="I990" s="21">
        <f t="shared" si="31"/>
        <v>-4.351969504447268E-2</v>
      </c>
      <c r="J990" s="1">
        <v>940</v>
      </c>
      <c r="K990" s="1">
        <v>186</v>
      </c>
      <c r="L990" s="1">
        <v>0</v>
      </c>
      <c r="M990" s="1">
        <v>0</v>
      </c>
      <c r="O990" s="1">
        <v>186</v>
      </c>
      <c r="P990" s="1">
        <v>0</v>
      </c>
      <c r="S990" s="1">
        <v>186</v>
      </c>
      <c r="T990" s="1">
        <v>754</v>
      </c>
      <c r="V990" s="1">
        <v>33</v>
      </c>
      <c r="X990" s="1">
        <v>402</v>
      </c>
      <c r="Z990" s="1">
        <v>79</v>
      </c>
      <c r="AA990" s="1">
        <v>163</v>
      </c>
      <c r="AB990" s="1">
        <v>96</v>
      </c>
      <c r="AC990" s="1">
        <v>16</v>
      </c>
      <c r="AD990" s="1">
        <v>46</v>
      </c>
      <c r="AE990" s="1">
        <v>5</v>
      </c>
      <c r="AF990" s="1">
        <v>297</v>
      </c>
      <c r="AG990" s="1">
        <v>131</v>
      </c>
    </row>
    <row r="991" spans="1:33">
      <c r="A991" s="58">
        <v>39675</v>
      </c>
      <c r="B991" s="1">
        <v>13181</v>
      </c>
      <c r="C991" s="1">
        <v>10211</v>
      </c>
      <c r="D991" s="21">
        <f t="shared" si="32"/>
        <v>2.9853756933938477E-2</v>
      </c>
      <c r="E991" s="1">
        <v>10211</v>
      </c>
      <c r="F991" s="1">
        <v>0</v>
      </c>
      <c r="H991" s="1">
        <v>2970</v>
      </c>
      <c r="I991" s="21">
        <f t="shared" si="31"/>
        <v>-1.3616738625041515E-2</v>
      </c>
      <c r="J991" s="1">
        <v>852</v>
      </c>
      <c r="K991" s="1">
        <v>117</v>
      </c>
      <c r="L991" s="1">
        <v>0</v>
      </c>
      <c r="M991" s="1">
        <v>0</v>
      </c>
      <c r="O991" s="1">
        <v>117</v>
      </c>
      <c r="P991" s="1">
        <v>0</v>
      </c>
      <c r="S991" s="1">
        <v>117</v>
      </c>
      <c r="T991" s="1">
        <v>735</v>
      </c>
      <c r="V991" s="1">
        <v>51</v>
      </c>
      <c r="X991" s="1">
        <v>388</v>
      </c>
      <c r="Z991" s="1">
        <v>87</v>
      </c>
      <c r="AA991" s="1">
        <v>156</v>
      </c>
      <c r="AB991" s="1">
        <v>91</v>
      </c>
      <c r="AC991" s="1">
        <v>20</v>
      </c>
      <c r="AD991" s="1">
        <v>40</v>
      </c>
      <c r="AE991" s="1">
        <v>6</v>
      </c>
      <c r="AF991" s="1">
        <v>385</v>
      </c>
      <c r="AG991" s="1">
        <v>142</v>
      </c>
    </row>
    <row r="992" spans="1:33">
      <c r="A992" s="58">
        <v>39682</v>
      </c>
      <c r="B992" s="1">
        <v>13156</v>
      </c>
      <c r="C992" s="1">
        <v>10205</v>
      </c>
      <c r="D992" s="21">
        <f t="shared" si="32"/>
        <v>-5.8760160611105673E-4</v>
      </c>
      <c r="E992" s="1">
        <v>10205</v>
      </c>
      <c r="F992" s="1">
        <v>0</v>
      </c>
      <c r="H992" s="1">
        <v>2952</v>
      </c>
      <c r="I992" s="21">
        <f t="shared" si="31"/>
        <v>-6.0606060606060606E-3</v>
      </c>
      <c r="J992" s="1">
        <v>953</v>
      </c>
      <c r="K992" s="1">
        <v>150</v>
      </c>
      <c r="L992" s="1">
        <v>0</v>
      </c>
      <c r="M992" s="1">
        <v>0</v>
      </c>
      <c r="O992" s="1">
        <v>150</v>
      </c>
      <c r="P992" s="1">
        <v>0</v>
      </c>
      <c r="S992" s="1">
        <v>150</v>
      </c>
      <c r="T992" s="1">
        <v>803</v>
      </c>
      <c r="V992" s="1">
        <v>60</v>
      </c>
      <c r="X992" s="1">
        <v>417</v>
      </c>
      <c r="Z992" s="1">
        <v>74</v>
      </c>
      <c r="AA992" s="1">
        <v>156</v>
      </c>
      <c r="AB992" s="1">
        <v>94</v>
      </c>
      <c r="AC992" s="1">
        <v>18</v>
      </c>
      <c r="AD992" s="1">
        <v>39</v>
      </c>
      <c r="AE992" s="1">
        <v>6</v>
      </c>
      <c r="AF992" s="1">
        <v>384</v>
      </c>
      <c r="AG992" s="1">
        <v>158</v>
      </c>
    </row>
    <row r="993" spans="1:33">
      <c r="A993" s="58">
        <v>39689</v>
      </c>
      <c r="B993" s="1">
        <v>12981</v>
      </c>
      <c r="C993" s="1">
        <v>10114</v>
      </c>
      <c r="D993" s="21">
        <f t="shared" si="32"/>
        <v>-8.9171974522292991E-3</v>
      </c>
      <c r="E993" s="1">
        <v>10114</v>
      </c>
      <c r="F993" s="1">
        <v>0</v>
      </c>
      <c r="H993" s="1">
        <v>2868</v>
      </c>
      <c r="I993" s="21">
        <f t="shared" si="31"/>
        <v>-2.8455284552845527E-2</v>
      </c>
      <c r="J993" s="1">
        <v>958</v>
      </c>
      <c r="K993" s="1">
        <v>182</v>
      </c>
      <c r="L993" s="1">
        <v>0</v>
      </c>
      <c r="M993" s="1">
        <v>0</v>
      </c>
      <c r="O993" s="1">
        <v>182</v>
      </c>
      <c r="P993" s="1">
        <v>0</v>
      </c>
      <c r="S993" s="1">
        <v>182</v>
      </c>
      <c r="T993" s="1">
        <v>776</v>
      </c>
      <c r="V993" s="1">
        <v>68</v>
      </c>
      <c r="X993" s="1">
        <v>429</v>
      </c>
      <c r="Z993" s="1">
        <v>72</v>
      </c>
      <c r="AA993" s="1">
        <v>106</v>
      </c>
      <c r="AB993" s="1">
        <v>79</v>
      </c>
      <c r="AC993" s="1">
        <v>7</v>
      </c>
      <c r="AD993" s="1">
        <v>15</v>
      </c>
      <c r="AE993" s="1">
        <v>6</v>
      </c>
      <c r="AF993" s="1">
        <v>388</v>
      </c>
      <c r="AG993" s="1">
        <v>173</v>
      </c>
    </row>
    <row r="994" spans="1:33">
      <c r="A994" s="58">
        <v>39696</v>
      </c>
      <c r="B994" s="1">
        <v>12764</v>
      </c>
      <c r="C994" s="1">
        <v>9845</v>
      </c>
      <c r="D994" s="21">
        <f t="shared" si="32"/>
        <v>-2.6596796519675697E-2</v>
      </c>
      <c r="E994" s="1">
        <v>9845</v>
      </c>
      <c r="F994" s="1">
        <v>0</v>
      </c>
      <c r="H994" s="1">
        <v>2919</v>
      </c>
      <c r="I994" s="21">
        <f t="shared" si="31"/>
        <v>1.7782426778242679E-2</v>
      </c>
      <c r="J994" s="1">
        <v>1042</v>
      </c>
      <c r="K994" s="1">
        <v>223</v>
      </c>
      <c r="L994" s="1">
        <v>0</v>
      </c>
      <c r="M994" s="1">
        <v>0</v>
      </c>
      <c r="O994" s="1">
        <v>223</v>
      </c>
      <c r="P994" s="1">
        <v>0</v>
      </c>
      <c r="S994" s="1">
        <v>223</v>
      </c>
      <c r="T994" s="1">
        <v>819</v>
      </c>
      <c r="V994" s="1">
        <v>67</v>
      </c>
      <c r="X994" s="1">
        <v>483</v>
      </c>
      <c r="Z994" s="1">
        <v>60</v>
      </c>
      <c r="AA994" s="1">
        <v>102</v>
      </c>
      <c r="AB994" s="1">
        <v>75</v>
      </c>
      <c r="AC994" s="1">
        <v>10</v>
      </c>
      <c r="AD994" s="1">
        <v>14</v>
      </c>
      <c r="AE994" s="1">
        <v>4</v>
      </c>
      <c r="AF994" s="1">
        <v>392</v>
      </c>
      <c r="AG994" s="1">
        <v>173</v>
      </c>
    </row>
    <row r="995" spans="1:33">
      <c r="A995" s="58">
        <v>39703</v>
      </c>
      <c r="B995" s="1">
        <v>12128</v>
      </c>
      <c r="C995" s="1">
        <v>9225</v>
      </c>
      <c r="D995" s="21">
        <f t="shared" si="32"/>
        <v>-6.2976130015236165E-2</v>
      </c>
      <c r="E995" s="1">
        <v>9225</v>
      </c>
      <c r="F995" s="1">
        <v>0</v>
      </c>
      <c r="H995" s="1">
        <v>2903</v>
      </c>
      <c r="I995" s="21">
        <f t="shared" si="31"/>
        <v>-5.4813292223364167E-3</v>
      </c>
      <c r="J995" s="1">
        <v>1087</v>
      </c>
      <c r="K995" s="1">
        <v>281</v>
      </c>
      <c r="L995" s="1">
        <v>0</v>
      </c>
      <c r="M995" s="1">
        <v>0</v>
      </c>
      <c r="O995" s="1">
        <v>281</v>
      </c>
      <c r="P995" s="1">
        <v>0</v>
      </c>
      <c r="S995" s="1">
        <v>281</v>
      </c>
      <c r="T995" s="1">
        <v>807</v>
      </c>
      <c r="V995" s="1">
        <v>60</v>
      </c>
      <c r="X995" s="1">
        <v>492</v>
      </c>
      <c r="Z995" s="1">
        <v>56</v>
      </c>
      <c r="AA995" s="1">
        <v>116</v>
      </c>
      <c r="AB995" s="1">
        <v>84</v>
      </c>
      <c r="AC995" s="1">
        <v>8</v>
      </c>
      <c r="AD995" s="1">
        <v>20</v>
      </c>
      <c r="AE995" s="1">
        <v>4</v>
      </c>
      <c r="AF995" s="1">
        <v>331</v>
      </c>
      <c r="AG995" s="1">
        <v>186</v>
      </c>
    </row>
    <row r="996" spans="1:33">
      <c r="A996" s="58">
        <v>39710</v>
      </c>
      <c r="B996" s="1">
        <v>11475</v>
      </c>
      <c r="C996" s="1">
        <v>8516</v>
      </c>
      <c r="D996" s="21">
        <f t="shared" si="32"/>
        <v>-7.6856368563685634E-2</v>
      </c>
      <c r="E996" s="1">
        <v>8516</v>
      </c>
      <c r="F996" s="1">
        <v>0</v>
      </c>
      <c r="H996" s="1">
        <v>2959</v>
      </c>
      <c r="I996" s="21">
        <f t="shared" si="31"/>
        <v>1.9290389252497417E-2</v>
      </c>
      <c r="J996" s="1">
        <v>1048</v>
      </c>
      <c r="K996" s="1">
        <v>326</v>
      </c>
      <c r="L996" s="1">
        <v>0</v>
      </c>
      <c r="M996" s="1">
        <v>0</v>
      </c>
      <c r="O996" s="1">
        <v>326</v>
      </c>
      <c r="P996" s="1">
        <v>0</v>
      </c>
      <c r="S996" s="1">
        <v>326</v>
      </c>
      <c r="T996" s="1">
        <v>723</v>
      </c>
      <c r="V996" s="1">
        <v>68</v>
      </c>
      <c r="X996" s="1">
        <v>426</v>
      </c>
      <c r="Z996" s="1">
        <v>56</v>
      </c>
      <c r="AA996" s="1">
        <v>135</v>
      </c>
      <c r="AB996" s="1">
        <v>97</v>
      </c>
      <c r="AC996" s="1">
        <v>5</v>
      </c>
      <c r="AD996" s="1">
        <v>29</v>
      </c>
      <c r="AE996" s="1">
        <v>4</v>
      </c>
      <c r="AF996" s="1">
        <v>345</v>
      </c>
      <c r="AG996" s="1">
        <v>213</v>
      </c>
    </row>
    <row r="997" spans="1:33">
      <c r="A997" s="58">
        <v>39717</v>
      </c>
      <c r="B997" s="1">
        <v>11483</v>
      </c>
      <c r="C997" s="1">
        <v>8306</v>
      </c>
      <c r="D997" s="21">
        <f t="shared" si="32"/>
        <v>-2.4659464537341476E-2</v>
      </c>
      <c r="E997" s="1">
        <v>8306</v>
      </c>
      <c r="F997" s="1">
        <v>0</v>
      </c>
      <c r="H997" s="1">
        <v>3177</v>
      </c>
      <c r="I997" s="21">
        <f t="shared" si="31"/>
        <v>7.3673538357553234E-2</v>
      </c>
      <c r="J997" s="1">
        <v>1143</v>
      </c>
      <c r="K997" s="1">
        <v>339</v>
      </c>
      <c r="L997" s="1">
        <v>0</v>
      </c>
      <c r="M997" s="1">
        <v>0</v>
      </c>
      <c r="O997" s="1">
        <v>339</v>
      </c>
      <c r="P997" s="1">
        <v>0</v>
      </c>
      <c r="S997" s="1">
        <v>339</v>
      </c>
      <c r="T997" s="1">
        <v>804</v>
      </c>
      <c r="V997" s="1">
        <v>73</v>
      </c>
      <c r="X997" s="1">
        <v>512</v>
      </c>
      <c r="Z997" s="1">
        <v>80</v>
      </c>
      <c r="AA997" s="1">
        <v>161</v>
      </c>
      <c r="AB997" s="1">
        <v>112</v>
      </c>
      <c r="AC997" s="1">
        <v>12</v>
      </c>
      <c r="AD997" s="1">
        <v>32</v>
      </c>
      <c r="AE997" s="1">
        <v>5</v>
      </c>
      <c r="AF997" s="1">
        <v>350</v>
      </c>
      <c r="AG997" s="1">
        <v>212</v>
      </c>
    </row>
    <row r="998" spans="1:33">
      <c r="A998" s="58">
        <v>39724</v>
      </c>
      <c r="B998" s="1">
        <v>12184</v>
      </c>
      <c r="C998" s="1">
        <v>8747</v>
      </c>
      <c r="D998" s="21">
        <f t="shared" si="32"/>
        <v>5.309414880809054E-2</v>
      </c>
      <c r="E998" s="1">
        <v>8747</v>
      </c>
      <c r="F998" s="1">
        <v>0</v>
      </c>
      <c r="H998" s="1">
        <v>3437</v>
      </c>
      <c r="I998" s="21">
        <f t="shared" si="31"/>
        <v>8.1838212149826881E-2</v>
      </c>
      <c r="J998" s="1">
        <v>1221</v>
      </c>
      <c r="K998" s="1">
        <v>390</v>
      </c>
      <c r="L998" s="1">
        <v>0</v>
      </c>
      <c r="M998" s="1">
        <v>0</v>
      </c>
      <c r="O998" s="1">
        <v>390</v>
      </c>
      <c r="P998" s="1">
        <v>0</v>
      </c>
      <c r="S998" s="1">
        <v>390</v>
      </c>
      <c r="T998" s="1">
        <v>831</v>
      </c>
      <c r="V998" s="1">
        <v>68</v>
      </c>
      <c r="X998" s="1">
        <v>504</v>
      </c>
      <c r="Z998" s="1">
        <v>111</v>
      </c>
      <c r="AA998" s="1">
        <v>173</v>
      </c>
      <c r="AB998" s="1">
        <v>124</v>
      </c>
      <c r="AC998" s="1">
        <v>9</v>
      </c>
      <c r="AD998" s="1">
        <v>34</v>
      </c>
      <c r="AE998" s="1">
        <v>6</v>
      </c>
      <c r="AF998" s="1">
        <v>376</v>
      </c>
      <c r="AG998" s="1">
        <v>191</v>
      </c>
    </row>
    <row r="999" spans="1:33">
      <c r="A999" s="58">
        <v>39731</v>
      </c>
      <c r="B999" s="1">
        <v>12759</v>
      </c>
      <c r="C999" s="1">
        <v>9160</v>
      </c>
      <c r="D999" s="21">
        <f t="shared" si="32"/>
        <v>4.7216188407453986E-2</v>
      </c>
      <c r="E999" s="1">
        <v>9160</v>
      </c>
      <c r="F999" s="1">
        <v>0</v>
      </c>
      <c r="H999" s="1">
        <v>3599</v>
      </c>
      <c r="I999" s="21">
        <f t="shared" si="31"/>
        <v>4.7134128600523711E-2</v>
      </c>
      <c r="J999" s="1">
        <v>1340</v>
      </c>
      <c r="K999" s="1">
        <v>419</v>
      </c>
      <c r="L999" s="1">
        <v>10</v>
      </c>
      <c r="M999" s="1">
        <v>0</v>
      </c>
      <c r="O999" s="1">
        <v>409</v>
      </c>
      <c r="P999" s="1">
        <v>0</v>
      </c>
      <c r="S999" s="1">
        <v>409</v>
      </c>
      <c r="T999" s="1">
        <v>920</v>
      </c>
      <c r="V999" s="1">
        <v>66</v>
      </c>
      <c r="X999" s="1">
        <v>565</v>
      </c>
      <c r="Z999" s="1">
        <v>109</v>
      </c>
      <c r="AA999" s="1">
        <v>163</v>
      </c>
      <c r="AB999" s="1">
        <v>115</v>
      </c>
      <c r="AC999" s="1">
        <v>6</v>
      </c>
      <c r="AD999" s="1">
        <v>36</v>
      </c>
      <c r="AE999" s="1">
        <v>6</v>
      </c>
      <c r="AF999" s="1">
        <v>376</v>
      </c>
      <c r="AG999" s="1">
        <v>176</v>
      </c>
    </row>
    <row r="1000" spans="1:33">
      <c r="A1000" s="58">
        <v>39738</v>
      </c>
      <c r="B1000" s="1">
        <v>13579</v>
      </c>
      <c r="C1000" s="1">
        <v>9974</v>
      </c>
      <c r="D1000" s="21">
        <f t="shared" si="32"/>
        <v>8.8864628820960703E-2</v>
      </c>
      <c r="E1000" s="1">
        <v>9974</v>
      </c>
      <c r="F1000" s="1">
        <v>0</v>
      </c>
      <c r="H1000" s="1">
        <v>3605</v>
      </c>
      <c r="I1000" s="21">
        <f t="shared" si="31"/>
        <v>1.6671297582661851E-3</v>
      </c>
      <c r="J1000" s="1">
        <v>1302</v>
      </c>
      <c r="K1000" s="1">
        <v>387</v>
      </c>
      <c r="L1000" s="1">
        <v>10</v>
      </c>
      <c r="M1000" s="1">
        <v>0</v>
      </c>
      <c r="O1000" s="1">
        <v>377</v>
      </c>
      <c r="P1000" s="1">
        <v>0</v>
      </c>
      <c r="S1000" s="1">
        <v>377</v>
      </c>
      <c r="T1000" s="1">
        <v>915</v>
      </c>
      <c r="V1000" s="1">
        <v>48</v>
      </c>
      <c r="X1000" s="1">
        <v>547</v>
      </c>
      <c r="Z1000" s="1">
        <v>114</v>
      </c>
      <c r="AA1000" s="1">
        <v>158</v>
      </c>
      <c r="AB1000" s="1">
        <v>108</v>
      </c>
      <c r="AC1000" s="1">
        <v>9</v>
      </c>
      <c r="AD1000" s="1">
        <v>35</v>
      </c>
      <c r="AE1000" s="1">
        <v>7</v>
      </c>
      <c r="AF1000" s="1">
        <v>313</v>
      </c>
      <c r="AG1000" s="1">
        <v>174</v>
      </c>
    </row>
    <row r="1001" spans="1:33">
      <c r="A1001" s="58">
        <v>39745</v>
      </c>
      <c r="B1001" s="1">
        <v>13743</v>
      </c>
      <c r="C1001" s="1">
        <v>10311</v>
      </c>
      <c r="D1001" s="21">
        <f t="shared" si="32"/>
        <v>3.3787848405855227E-2</v>
      </c>
      <c r="E1001" s="1">
        <v>10311</v>
      </c>
      <c r="F1001" s="1">
        <v>0</v>
      </c>
      <c r="H1001" s="1">
        <v>3432</v>
      </c>
      <c r="I1001" s="21">
        <f t="shared" si="31"/>
        <v>-4.7988904299583912E-2</v>
      </c>
      <c r="J1001" s="1">
        <v>1195</v>
      </c>
      <c r="K1001" s="1">
        <v>365</v>
      </c>
      <c r="L1001" s="1">
        <v>10</v>
      </c>
      <c r="M1001" s="1">
        <v>0</v>
      </c>
      <c r="O1001" s="1">
        <v>355</v>
      </c>
      <c r="P1001" s="1">
        <v>0</v>
      </c>
      <c r="S1001" s="1">
        <v>355</v>
      </c>
      <c r="T1001" s="1">
        <v>830</v>
      </c>
      <c r="V1001" s="1">
        <v>33</v>
      </c>
      <c r="X1001" s="1">
        <v>437</v>
      </c>
      <c r="Z1001" s="1">
        <v>87</v>
      </c>
      <c r="AA1001" s="1">
        <v>178</v>
      </c>
      <c r="AB1001" s="1">
        <v>107</v>
      </c>
      <c r="AC1001" s="1">
        <v>18</v>
      </c>
      <c r="AD1001" s="1">
        <v>34</v>
      </c>
      <c r="AE1001" s="1">
        <v>19</v>
      </c>
      <c r="AF1001" s="1">
        <v>305</v>
      </c>
      <c r="AG1001" s="1">
        <v>147</v>
      </c>
    </row>
    <row r="1002" spans="1:33">
      <c r="A1002" s="58">
        <v>39752</v>
      </c>
      <c r="B1002" s="1">
        <v>13494</v>
      </c>
      <c r="C1002" s="1">
        <v>10218</v>
      </c>
      <c r="D1002" s="21">
        <f t="shared" si="32"/>
        <v>-9.0194937445446603E-3</v>
      </c>
      <c r="E1002" s="1">
        <v>10218</v>
      </c>
      <c r="F1002" s="1">
        <v>0</v>
      </c>
      <c r="H1002" s="1">
        <v>3277</v>
      </c>
      <c r="I1002" s="21">
        <f t="shared" si="31"/>
        <v>-4.516317016317016E-2</v>
      </c>
      <c r="J1002" s="1">
        <v>1096</v>
      </c>
      <c r="K1002" s="1">
        <v>297</v>
      </c>
      <c r="L1002" s="1">
        <v>10</v>
      </c>
      <c r="M1002" s="1">
        <v>0</v>
      </c>
      <c r="O1002" s="1">
        <v>287</v>
      </c>
      <c r="P1002" s="1">
        <v>0</v>
      </c>
      <c r="S1002" s="1">
        <v>287</v>
      </c>
      <c r="T1002" s="1">
        <v>799</v>
      </c>
      <c r="V1002" s="1">
        <v>38</v>
      </c>
      <c r="X1002" s="1">
        <v>387</v>
      </c>
      <c r="Z1002" s="1">
        <v>83</v>
      </c>
      <c r="AA1002" s="1">
        <v>174</v>
      </c>
      <c r="AB1002" s="1">
        <v>110</v>
      </c>
      <c r="AC1002" s="1">
        <v>18</v>
      </c>
      <c r="AD1002" s="1">
        <v>27</v>
      </c>
      <c r="AE1002" s="1">
        <v>19</v>
      </c>
      <c r="AF1002" s="1">
        <v>285</v>
      </c>
      <c r="AG1002" s="1">
        <v>189</v>
      </c>
    </row>
    <row r="1003" spans="1:33">
      <c r="A1003" s="58">
        <v>39759</v>
      </c>
      <c r="B1003" s="1">
        <v>13098</v>
      </c>
      <c r="C1003" s="1">
        <v>10053</v>
      </c>
      <c r="D1003" s="21">
        <f t="shared" si="32"/>
        <v>-1.614797416324134E-2</v>
      </c>
      <c r="E1003" s="1">
        <v>10053</v>
      </c>
      <c r="F1003" s="1">
        <v>0</v>
      </c>
      <c r="H1003" s="1">
        <v>3045</v>
      </c>
      <c r="I1003" s="21">
        <f t="shared" si="31"/>
        <v>-7.0796460176991149E-2</v>
      </c>
      <c r="J1003" s="1">
        <v>881</v>
      </c>
      <c r="K1003" s="1">
        <v>218</v>
      </c>
      <c r="L1003" s="1">
        <v>0</v>
      </c>
      <c r="M1003" s="1">
        <v>0</v>
      </c>
      <c r="O1003" s="1">
        <v>218</v>
      </c>
      <c r="P1003" s="1">
        <v>0</v>
      </c>
      <c r="S1003" s="1">
        <v>218</v>
      </c>
      <c r="T1003" s="1">
        <v>663</v>
      </c>
      <c r="V1003" s="1">
        <v>39</v>
      </c>
      <c r="X1003" s="1">
        <v>279</v>
      </c>
      <c r="Z1003" s="1">
        <v>74</v>
      </c>
      <c r="AA1003" s="1">
        <v>179</v>
      </c>
      <c r="AB1003" s="1">
        <v>119</v>
      </c>
      <c r="AC1003" s="1">
        <v>18</v>
      </c>
      <c r="AD1003" s="1">
        <v>23</v>
      </c>
      <c r="AE1003" s="1">
        <v>20</v>
      </c>
      <c r="AF1003" s="1">
        <v>278</v>
      </c>
      <c r="AG1003" s="1">
        <v>214</v>
      </c>
    </row>
    <row r="1004" spans="1:33">
      <c r="A1004" s="58">
        <v>39766</v>
      </c>
      <c r="B1004" s="1">
        <v>12784</v>
      </c>
      <c r="C1004" s="1">
        <v>9921</v>
      </c>
      <c r="D1004" s="21">
        <f t="shared" si="32"/>
        <v>-1.3130408833184124E-2</v>
      </c>
      <c r="E1004" s="1">
        <v>9921</v>
      </c>
      <c r="F1004" s="1">
        <v>0</v>
      </c>
      <c r="H1004" s="1">
        <v>2863</v>
      </c>
      <c r="I1004" s="21">
        <f t="shared" si="31"/>
        <v>-5.9770114942528735E-2</v>
      </c>
      <c r="J1004" s="1">
        <v>830</v>
      </c>
      <c r="K1004" s="1">
        <v>198</v>
      </c>
      <c r="L1004" s="1">
        <v>0</v>
      </c>
      <c r="M1004" s="1">
        <v>0</v>
      </c>
      <c r="O1004" s="1">
        <v>198</v>
      </c>
      <c r="P1004" s="1">
        <v>0</v>
      </c>
      <c r="S1004" s="1">
        <v>198</v>
      </c>
      <c r="T1004" s="1">
        <v>633</v>
      </c>
      <c r="V1004" s="1">
        <v>40</v>
      </c>
      <c r="X1004" s="1">
        <v>295</v>
      </c>
      <c r="Z1004" s="1">
        <v>75</v>
      </c>
      <c r="AA1004" s="1">
        <v>165</v>
      </c>
      <c r="AB1004" s="1">
        <v>113</v>
      </c>
      <c r="AC1004" s="1">
        <v>18</v>
      </c>
      <c r="AD1004" s="1">
        <v>14</v>
      </c>
      <c r="AE1004" s="1">
        <v>20</v>
      </c>
      <c r="AF1004" s="1">
        <v>292</v>
      </c>
      <c r="AG1004" s="1">
        <v>193</v>
      </c>
    </row>
    <row r="1005" spans="1:33">
      <c r="A1005" s="58">
        <v>39773</v>
      </c>
      <c r="B1005" s="1">
        <v>12956</v>
      </c>
      <c r="C1005" s="1">
        <v>10076</v>
      </c>
      <c r="D1005" s="21">
        <f t="shared" si="32"/>
        <v>1.5623425057957867E-2</v>
      </c>
      <c r="E1005" s="1">
        <v>10076</v>
      </c>
      <c r="F1005" s="1">
        <v>0</v>
      </c>
      <c r="H1005" s="1">
        <v>2879</v>
      </c>
      <c r="I1005" s="21">
        <f t="shared" si="31"/>
        <v>5.588543485853999E-3</v>
      </c>
      <c r="J1005" s="1">
        <v>867</v>
      </c>
      <c r="K1005" s="1">
        <v>163</v>
      </c>
      <c r="L1005" s="1">
        <v>0</v>
      </c>
      <c r="M1005" s="1">
        <v>0</v>
      </c>
      <c r="O1005" s="1">
        <v>163</v>
      </c>
      <c r="P1005" s="1">
        <v>0</v>
      </c>
      <c r="S1005" s="1">
        <v>163</v>
      </c>
      <c r="T1005" s="1">
        <v>704</v>
      </c>
      <c r="V1005" s="1">
        <v>45</v>
      </c>
      <c r="X1005" s="1">
        <v>359</v>
      </c>
      <c r="Z1005" s="1">
        <v>84</v>
      </c>
      <c r="AA1005" s="1">
        <v>155</v>
      </c>
      <c r="AB1005" s="1">
        <v>108</v>
      </c>
      <c r="AC1005" s="1">
        <v>14</v>
      </c>
      <c r="AD1005" s="1">
        <v>25</v>
      </c>
      <c r="AE1005" s="1">
        <v>8</v>
      </c>
      <c r="AF1005" s="1">
        <v>303</v>
      </c>
      <c r="AG1005" s="1">
        <v>220</v>
      </c>
    </row>
    <row r="1006" spans="1:33">
      <c r="A1006" s="58">
        <v>39780</v>
      </c>
      <c r="B1006" s="1">
        <v>12811</v>
      </c>
      <c r="C1006" s="1">
        <v>9959</v>
      </c>
      <c r="D1006" s="21">
        <f t="shared" si="32"/>
        <v>-1.1611750694720127E-2</v>
      </c>
      <c r="E1006" s="1">
        <v>9959</v>
      </c>
      <c r="F1006" s="1">
        <v>0</v>
      </c>
      <c r="H1006" s="1">
        <v>2851</v>
      </c>
      <c r="I1006" s="21">
        <f t="shared" si="31"/>
        <v>-9.7255991663772138E-3</v>
      </c>
      <c r="J1006" s="1">
        <v>828</v>
      </c>
      <c r="K1006" s="1">
        <v>137</v>
      </c>
      <c r="L1006" s="1">
        <v>0</v>
      </c>
      <c r="M1006" s="1">
        <v>0</v>
      </c>
      <c r="O1006" s="1">
        <v>137</v>
      </c>
      <c r="P1006" s="1">
        <v>0</v>
      </c>
      <c r="S1006" s="1">
        <v>137</v>
      </c>
      <c r="T1006" s="1">
        <v>691</v>
      </c>
      <c r="V1006" s="1">
        <v>38</v>
      </c>
      <c r="X1006" s="1">
        <v>354</v>
      </c>
      <c r="Z1006" s="1">
        <v>62</v>
      </c>
      <c r="AA1006" s="1">
        <v>147</v>
      </c>
      <c r="AB1006" s="1">
        <v>93</v>
      </c>
      <c r="AC1006" s="1">
        <v>15</v>
      </c>
      <c r="AD1006" s="1">
        <v>23</v>
      </c>
      <c r="AE1006" s="1">
        <v>16</v>
      </c>
      <c r="AF1006" s="1">
        <v>359</v>
      </c>
      <c r="AG1006" s="1">
        <v>209</v>
      </c>
    </row>
    <row r="1007" spans="1:33">
      <c r="A1007" s="58">
        <v>39787</v>
      </c>
      <c r="B1007" s="1">
        <v>12982</v>
      </c>
      <c r="C1007" s="1">
        <v>10073</v>
      </c>
      <c r="D1007" s="21">
        <f t="shared" si="32"/>
        <v>1.144693242293403E-2</v>
      </c>
      <c r="E1007" s="1">
        <v>10073</v>
      </c>
      <c r="F1007" s="1">
        <v>0</v>
      </c>
      <c r="H1007" s="1">
        <v>2909</v>
      </c>
      <c r="I1007" s="21">
        <f t="shared" si="31"/>
        <v>2.0343739038933707E-2</v>
      </c>
      <c r="J1007" s="1">
        <v>958</v>
      </c>
      <c r="K1007" s="1">
        <v>143</v>
      </c>
      <c r="L1007" s="1">
        <v>0</v>
      </c>
      <c r="M1007" s="1">
        <v>0</v>
      </c>
      <c r="O1007" s="1">
        <v>143</v>
      </c>
      <c r="P1007" s="1">
        <v>0</v>
      </c>
      <c r="S1007" s="1">
        <v>143</v>
      </c>
      <c r="T1007" s="1">
        <v>815</v>
      </c>
      <c r="V1007" s="1">
        <v>60</v>
      </c>
      <c r="X1007" s="1">
        <v>432</v>
      </c>
      <c r="Z1007" s="1">
        <v>59</v>
      </c>
      <c r="AA1007" s="1">
        <v>144</v>
      </c>
      <c r="AB1007" s="1">
        <v>93</v>
      </c>
      <c r="AC1007" s="1">
        <v>16</v>
      </c>
      <c r="AD1007" s="1">
        <v>20</v>
      </c>
      <c r="AE1007" s="1">
        <v>15</v>
      </c>
      <c r="AF1007" s="1">
        <v>380</v>
      </c>
      <c r="AG1007" s="1">
        <v>210</v>
      </c>
    </row>
    <row r="1008" spans="1:33">
      <c r="A1008" s="58">
        <v>39794</v>
      </c>
      <c r="B1008" s="1">
        <v>13002</v>
      </c>
      <c r="C1008" s="1">
        <v>10024</v>
      </c>
      <c r="D1008" s="21">
        <f t="shared" si="32"/>
        <v>-4.864489228630994E-3</v>
      </c>
      <c r="E1008" s="1">
        <v>10024</v>
      </c>
      <c r="F1008" s="1">
        <v>0</v>
      </c>
      <c r="H1008" s="1">
        <v>2978</v>
      </c>
      <c r="I1008" s="21">
        <f t="shared" si="31"/>
        <v>2.3719491234101067E-2</v>
      </c>
      <c r="J1008" s="1">
        <v>943</v>
      </c>
      <c r="K1008" s="1">
        <v>118</v>
      </c>
      <c r="L1008" s="1">
        <v>0</v>
      </c>
      <c r="M1008" s="1">
        <v>0</v>
      </c>
      <c r="O1008" s="1">
        <v>118</v>
      </c>
      <c r="P1008" s="1">
        <v>0</v>
      </c>
      <c r="S1008" s="1">
        <v>118</v>
      </c>
      <c r="T1008" s="1">
        <v>825</v>
      </c>
      <c r="V1008" s="1">
        <v>71</v>
      </c>
      <c r="X1008" s="1">
        <v>448</v>
      </c>
      <c r="Z1008" s="1">
        <v>48</v>
      </c>
      <c r="AA1008" s="1">
        <v>157</v>
      </c>
      <c r="AB1008" s="1">
        <v>96</v>
      </c>
      <c r="AC1008" s="1">
        <v>21</v>
      </c>
      <c r="AD1008" s="1">
        <v>24</v>
      </c>
      <c r="AE1008" s="1">
        <v>16</v>
      </c>
      <c r="AF1008" s="1">
        <v>389</v>
      </c>
      <c r="AG1008" s="1">
        <v>244</v>
      </c>
    </row>
    <row r="1009" spans="1:33">
      <c r="A1009" s="58">
        <v>39801</v>
      </c>
      <c r="B1009" s="1">
        <v>12695</v>
      </c>
      <c r="C1009" s="1">
        <v>9564</v>
      </c>
      <c r="D1009" s="21">
        <f t="shared" si="32"/>
        <v>-4.5889864325618514E-2</v>
      </c>
      <c r="E1009" s="1">
        <v>9564</v>
      </c>
      <c r="F1009" s="1">
        <v>0</v>
      </c>
      <c r="H1009" s="1">
        <v>3132</v>
      </c>
      <c r="I1009" s="21">
        <f t="shared" si="31"/>
        <v>5.1712558764271326E-2</v>
      </c>
      <c r="J1009" s="1">
        <v>1012</v>
      </c>
      <c r="K1009" s="1">
        <v>148</v>
      </c>
      <c r="L1009" s="1">
        <v>0</v>
      </c>
      <c r="M1009" s="1">
        <v>0</v>
      </c>
      <c r="O1009" s="1">
        <v>148</v>
      </c>
      <c r="P1009" s="1">
        <v>0</v>
      </c>
      <c r="S1009" s="1">
        <v>148</v>
      </c>
      <c r="T1009" s="1">
        <v>864</v>
      </c>
      <c r="V1009" s="1">
        <v>80</v>
      </c>
      <c r="X1009" s="1">
        <v>469</v>
      </c>
      <c r="Z1009" s="1">
        <v>57</v>
      </c>
      <c r="AA1009" s="1">
        <v>159</v>
      </c>
      <c r="AB1009" s="1">
        <v>93</v>
      </c>
      <c r="AC1009" s="1">
        <v>20</v>
      </c>
      <c r="AD1009" s="1">
        <v>29</v>
      </c>
      <c r="AE1009" s="1">
        <v>17</v>
      </c>
      <c r="AF1009" s="1">
        <v>447</v>
      </c>
      <c r="AG1009" s="1">
        <v>240</v>
      </c>
    </row>
    <row r="1010" spans="1:33">
      <c r="A1010" s="58">
        <v>39808</v>
      </c>
      <c r="B1010" s="1">
        <v>12638</v>
      </c>
      <c r="C1010" s="1">
        <v>9500</v>
      </c>
      <c r="D1010" s="21">
        <f t="shared" si="32"/>
        <v>-6.6917607695524883E-3</v>
      </c>
      <c r="E1010" s="1">
        <v>9500</v>
      </c>
      <c r="F1010" s="1">
        <v>0</v>
      </c>
      <c r="H1010" s="1">
        <v>3138</v>
      </c>
      <c r="I1010" s="21">
        <f t="shared" si="31"/>
        <v>1.9157088122605363E-3</v>
      </c>
      <c r="J1010" s="1">
        <v>1077</v>
      </c>
      <c r="K1010" s="1">
        <v>167</v>
      </c>
      <c r="L1010" s="1">
        <v>0</v>
      </c>
      <c r="M1010" s="1">
        <v>0</v>
      </c>
      <c r="O1010" s="1">
        <v>167</v>
      </c>
      <c r="P1010" s="1">
        <v>0</v>
      </c>
      <c r="S1010" s="1">
        <v>167</v>
      </c>
      <c r="T1010" s="1">
        <v>910</v>
      </c>
      <c r="V1010" s="1">
        <v>92</v>
      </c>
      <c r="X1010" s="1">
        <v>561</v>
      </c>
      <c r="Z1010" s="1">
        <v>59</v>
      </c>
      <c r="AA1010" s="1">
        <v>167</v>
      </c>
      <c r="AB1010" s="1">
        <v>93</v>
      </c>
      <c r="AC1010" s="1">
        <v>19</v>
      </c>
      <c r="AD1010" s="1">
        <v>46</v>
      </c>
      <c r="AE1010" s="1">
        <v>10</v>
      </c>
      <c r="AF1010" s="1">
        <v>409</v>
      </c>
      <c r="AG1010" s="1">
        <v>230</v>
      </c>
    </row>
    <row r="1011" spans="1:33">
      <c r="A1011" s="58">
        <v>39815</v>
      </c>
      <c r="B1011" s="1">
        <v>12869</v>
      </c>
      <c r="C1011" s="1">
        <v>9631</v>
      </c>
      <c r="D1011" s="21">
        <f t="shared" si="32"/>
        <v>1.3789473684210527E-2</v>
      </c>
      <c r="E1011" s="1">
        <v>9631</v>
      </c>
      <c r="F1011" s="1">
        <v>0</v>
      </c>
      <c r="H1011" s="1">
        <v>3238</v>
      </c>
      <c r="I1011" s="21">
        <f t="shared" si="31"/>
        <v>3.1867431485022309E-2</v>
      </c>
      <c r="J1011" s="1">
        <v>1013</v>
      </c>
      <c r="K1011" s="1">
        <v>176</v>
      </c>
      <c r="L1011" s="1">
        <v>0</v>
      </c>
      <c r="M1011" s="1">
        <v>0</v>
      </c>
      <c r="O1011" s="1">
        <v>176</v>
      </c>
      <c r="P1011" s="1">
        <v>0</v>
      </c>
      <c r="S1011" s="1">
        <v>176</v>
      </c>
      <c r="T1011" s="1">
        <v>838</v>
      </c>
      <c r="V1011" s="1">
        <v>77</v>
      </c>
      <c r="X1011" s="1">
        <v>505</v>
      </c>
      <c r="Z1011" s="1">
        <v>67</v>
      </c>
      <c r="AA1011" s="1">
        <v>218</v>
      </c>
      <c r="AB1011" s="1">
        <v>101</v>
      </c>
      <c r="AC1011" s="1">
        <v>18</v>
      </c>
      <c r="AD1011" s="1">
        <v>69</v>
      </c>
      <c r="AE1011" s="1">
        <v>30</v>
      </c>
      <c r="AF1011" s="1">
        <v>412</v>
      </c>
      <c r="AG1011" s="1">
        <v>239</v>
      </c>
    </row>
    <row r="1012" spans="1:33">
      <c r="A1012" s="58">
        <v>39822</v>
      </c>
      <c r="B1012" s="1">
        <v>12899</v>
      </c>
      <c r="C1012" s="1">
        <v>9645</v>
      </c>
      <c r="D1012" s="21">
        <f t="shared" si="32"/>
        <v>1.4536392897933756E-3</v>
      </c>
      <c r="E1012" s="1">
        <v>9645</v>
      </c>
      <c r="F1012" s="1">
        <v>0</v>
      </c>
      <c r="H1012" s="1">
        <v>3254</v>
      </c>
      <c r="I1012" s="21">
        <f t="shared" si="31"/>
        <v>4.9413218035824586E-3</v>
      </c>
      <c r="J1012" s="1">
        <v>1012</v>
      </c>
      <c r="K1012" s="1">
        <v>171</v>
      </c>
      <c r="L1012" s="1">
        <v>0</v>
      </c>
      <c r="M1012" s="1">
        <v>0</v>
      </c>
      <c r="O1012" s="1">
        <v>171</v>
      </c>
      <c r="P1012" s="1">
        <v>0</v>
      </c>
      <c r="S1012" s="1">
        <v>171</v>
      </c>
      <c r="T1012" s="1">
        <v>841</v>
      </c>
      <c r="V1012" s="1">
        <v>84</v>
      </c>
      <c r="X1012" s="1">
        <v>500</v>
      </c>
      <c r="Z1012" s="1">
        <v>58</v>
      </c>
      <c r="AA1012" s="1">
        <v>228</v>
      </c>
      <c r="AB1012" s="1">
        <v>95</v>
      </c>
      <c r="AC1012" s="1">
        <v>28</v>
      </c>
      <c r="AD1012" s="1">
        <v>72</v>
      </c>
      <c r="AE1012" s="1">
        <v>33</v>
      </c>
      <c r="AF1012" s="1">
        <v>451</v>
      </c>
      <c r="AG1012" s="1">
        <v>205</v>
      </c>
    </row>
    <row r="1013" spans="1:33">
      <c r="A1013" s="58">
        <v>39829</v>
      </c>
      <c r="B1013" s="1">
        <v>13100</v>
      </c>
      <c r="C1013" s="1">
        <v>9832</v>
      </c>
      <c r="D1013" s="21">
        <f t="shared" si="32"/>
        <v>1.9388284085018144E-2</v>
      </c>
      <c r="E1013" s="1">
        <v>9832</v>
      </c>
      <c r="F1013" s="1">
        <v>0</v>
      </c>
      <c r="H1013" s="1">
        <v>3268</v>
      </c>
      <c r="I1013" s="21">
        <f t="shared" si="31"/>
        <v>4.3023970497848806E-3</v>
      </c>
      <c r="J1013" s="1">
        <v>987</v>
      </c>
      <c r="K1013" s="1">
        <v>173</v>
      </c>
      <c r="L1013" s="1">
        <v>0</v>
      </c>
      <c r="M1013" s="1">
        <v>0</v>
      </c>
      <c r="O1013" s="1">
        <v>173</v>
      </c>
      <c r="P1013" s="1">
        <v>0</v>
      </c>
      <c r="S1013" s="1">
        <v>173</v>
      </c>
      <c r="T1013" s="1">
        <v>814</v>
      </c>
      <c r="V1013" s="1">
        <v>64</v>
      </c>
      <c r="X1013" s="1">
        <v>499</v>
      </c>
      <c r="Z1013" s="1">
        <v>47</v>
      </c>
      <c r="AA1013" s="1">
        <v>259</v>
      </c>
      <c r="AB1013" s="1">
        <v>94</v>
      </c>
      <c r="AC1013" s="1">
        <v>27</v>
      </c>
      <c r="AD1013" s="1">
        <v>102</v>
      </c>
      <c r="AE1013" s="1">
        <v>35</v>
      </c>
      <c r="AF1013" s="1">
        <v>413</v>
      </c>
      <c r="AG1013" s="1">
        <v>204</v>
      </c>
    </row>
    <row r="1014" spans="1:33">
      <c r="A1014" s="58">
        <v>39836</v>
      </c>
      <c r="B1014" s="1">
        <v>13327</v>
      </c>
      <c r="C1014" s="1">
        <v>9947</v>
      </c>
      <c r="D1014" s="21">
        <f t="shared" si="32"/>
        <v>1.1696501220504476E-2</v>
      </c>
      <c r="E1014" s="1">
        <v>9947</v>
      </c>
      <c r="F1014" s="1">
        <v>0</v>
      </c>
      <c r="H1014" s="1">
        <v>3380</v>
      </c>
      <c r="I1014" s="21">
        <f t="shared" si="31"/>
        <v>3.4271725826193387E-2</v>
      </c>
      <c r="J1014" s="1">
        <v>989</v>
      </c>
      <c r="K1014" s="1">
        <v>207</v>
      </c>
      <c r="L1014" s="1">
        <v>0</v>
      </c>
      <c r="M1014" s="1">
        <v>0</v>
      </c>
      <c r="O1014" s="1">
        <v>207</v>
      </c>
      <c r="P1014" s="1">
        <v>0</v>
      </c>
      <c r="S1014" s="1">
        <v>207</v>
      </c>
      <c r="T1014" s="1">
        <v>782</v>
      </c>
      <c r="V1014" s="1">
        <v>88</v>
      </c>
      <c r="X1014" s="1">
        <v>442</v>
      </c>
      <c r="Z1014" s="1">
        <v>59</v>
      </c>
      <c r="AA1014" s="1">
        <v>287</v>
      </c>
      <c r="AB1014" s="1">
        <v>97</v>
      </c>
      <c r="AC1014" s="1">
        <v>39</v>
      </c>
      <c r="AD1014" s="1">
        <v>104</v>
      </c>
      <c r="AE1014" s="1">
        <v>48</v>
      </c>
      <c r="AF1014" s="1">
        <v>437</v>
      </c>
      <c r="AG1014" s="1">
        <v>233</v>
      </c>
    </row>
    <row r="1015" spans="1:33">
      <c r="A1015" s="58">
        <v>39843</v>
      </c>
      <c r="B1015" s="1">
        <v>13183</v>
      </c>
      <c r="C1015" s="1">
        <v>9835</v>
      </c>
      <c r="D1015" s="21">
        <f t="shared" si="32"/>
        <v>-1.1259676284306826E-2</v>
      </c>
      <c r="E1015" s="1">
        <v>9835</v>
      </c>
      <c r="F1015" s="1">
        <v>0</v>
      </c>
      <c r="H1015" s="1">
        <v>3348</v>
      </c>
      <c r="I1015" s="21">
        <f t="shared" si="31"/>
        <v>-9.4674556213017753E-3</v>
      </c>
      <c r="J1015" s="1">
        <v>984</v>
      </c>
      <c r="K1015" s="1">
        <v>217</v>
      </c>
      <c r="L1015" s="1">
        <v>0</v>
      </c>
      <c r="M1015" s="1">
        <v>0</v>
      </c>
      <c r="O1015" s="1">
        <v>217</v>
      </c>
      <c r="P1015" s="1">
        <v>0</v>
      </c>
      <c r="S1015" s="1">
        <v>217</v>
      </c>
      <c r="T1015" s="1">
        <v>766</v>
      </c>
      <c r="V1015" s="1">
        <v>86</v>
      </c>
      <c r="X1015" s="1">
        <v>468</v>
      </c>
      <c r="Z1015" s="1">
        <v>49</v>
      </c>
      <c r="AA1015" s="1">
        <v>255</v>
      </c>
      <c r="AB1015" s="1">
        <v>93</v>
      </c>
      <c r="AC1015" s="1">
        <v>41</v>
      </c>
      <c r="AD1015" s="1">
        <v>91</v>
      </c>
      <c r="AE1015" s="1">
        <v>30</v>
      </c>
      <c r="AF1015" s="1">
        <v>491</v>
      </c>
      <c r="AG1015" s="1">
        <v>232</v>
      </c>
    </row>
    <row r="1016" spans="1:33">
      <c r="A1016" s="58">
        <v>39850</v>
      </c>
      <c r="B1016" s="1">
        <v>13210</v>
      </c>
      <c r="C1016" s="1">
        <v>9816</v>
      </c>
      <c r="D1016" s="21">
        <f t="shared" si="32"/>
        <v>-1.9318759532282665E-3</v>
      </c>
      <c r="E1016" s="1">
        <v>9816</v>
      </c>
      <c r="F1016" s="1">
        <v>0</v>
      </c>
      <c r="H1016" s="1">
        <v>3394</v>
      </c>
      <c r="I1016" s="21">
        <f t="shared" si="31"/>
        <v>1.3739545997610514E-2</v>
      </c>
      <c r="J1016" s="1">
        <v>1114</v>
      </c>
      <c r="K1016" s="1">
        <v>265</v>
      </c>
      <c r="L1016" s="1">
        <v>0</v>
      </c>
      <c r="M1016" s="1">
        <v>0</v>
      </c>
      <c r="O1016" s="1">
        <v>265</v>
      </c>
      <c r="P1016" s="1">
        <v>0</v>
      </c>
      <c r="S1016" s="1">
        <v>265</v>
      </c>
      <c r="T1016" s="1">
        <v>849</v>
      </c>
      <c r="V1016" s="1">
        <v>75</v>
      </c>
      <c r="X1016" s="1">
        <v>549</v>
      </c>
      <c r="Z1016" s="1">
        <v>74</v>
      </c>
      <c r="AA1016" s="1">
        <v>237</v>
      </c>
      <c r="AB1016" s="1">
        <v>93</v>
      </c>
      <c r="AC1016" s="1">
        <v>25</v>
      </c>
      <c r="AD1016" s="1">
        <v>92</v>
      </c>
      <c r="AE1016" s="1">
        <v>27</v>
      </c>
      <c r="AF1016" s="1">
        <v>498</v>
      </c>
      <c r="AG1016" s="1">
        <v>258</v>
      </c>
    </row>
    <row r="1017" spans="1:33">
      <c r="A1017" s="58">
        <v>39857</v>
      </c>
      <c r="B1017" s="1">
        <v>12688</v>
      </c>
      <c r="C1017" s="1">
        <v>9548</v>
      </c>
      <c r="D1017" s="21">
        <f t="shared" si="32"/>
        <v>-2.730236348818256E-2</v>
      </c>
      <c r="E1017" s="1">
        <v>9548</v>
      </c>
      <c r="F1017" s="1">
        <v>0</v>
      </c>
      <c r="H1017" s="1">
        <v>3141</v>
      </c>
      <c r="I1017" s="21">
        <f t="shared" si="31"/>
        <v>-7.4543311726576314E-2</v>
      </c>
      <c r="J1017" s="1">
        <v>1032</v>
      </c>
      <c r="K1017" s="1">
        <v>251</v>
      </c>
      <c r="L1017" s="1">
        <v>0</v>
      </c>
      <c r="M1017" s="1">
        <v>0</v>
      </c>
      <c r="O1017" s="1">
        <v>251</v>
      </c>
      <c r="P1017" s="1">
        <v>0</v>
      </c>
      <c r="S1017" s="1">
        <v>251</v>
      </c>
      <c r="T1017" s="1">
        <v>781</v>
      </c>
      <c r="V1017" s="1">
        <v>84</v>
      </c>
      <c r="X1017" s="1">
        <v>491</v>
      </c>
      <c r="Z1017" s="1">
        <v>63</v>
      </c>
      <c r="AA1017" s="1">
        <v>266</v>
      </c>
      <c r="AB1017" s="1">
        <v>113</v>
      </c>
      <c r="AC1017" s="1">
        <v>36</v>
      </c>
      <c r="AD1017" s="1">
        <v>92</v>
      </c>
      <c r="AE1017" s="1">
        <v>26</v>
      </c>
      <c r="AF1017" s="1">
        <v>497</v>
      </c>
      <c r="AG1017" s="1">
        <v>249</v>
      </c>
    </row>
    <row r="1018" spans="1:33">
      <c r="A1018" s="58">
        <v>39864</v>
      </c>
      <c r="B1018" s="1">
        <v>12259</v>
      </c>
      <c r="C1018" s="1">
        <v>9313</v>
      </c>
      <c r="D1018" s="21">
        <f t="shared" si="32"/>
        <v>-2.4612484289903643E-2</v>
      </c>
      <c r="E1018" s="1">
        <v>9313</v>
      </c>
      <c r="F1018" s="1">
        <v>0</v>
      </c>
      <c r="H1018" s="1">
        <v>2946</v>
      </c>
      <c r="I1018" s="21">
        <f t="shared" si="31"/>
        <v>-6.2082139446036293E-2</v>
      </c>
      <c r="J1018" s="1">
        <v>945</v>
      </c>
      <c r="K1018" s="1">
        <v>213</v>
      </c>
      <c r="L1018" s="1">
        <v>0</v>
      </c>
      <c r="M1018" s="1">
        <v>0</v>
      </c>
      <c r="O1018" s="1">
        <v>213</v>
      </c>
      <c r="P1018" s="1">
        <v>0</v>
      </c>
      <c r="S1018" s="1">
        <v>213</v>
      </c>
      <c r="T1018" s="1">
        <v>732</v>
      </c>
      <c r="V1018" s="1">
        <v>55</v>
      </c>
      <c r="X1018" s="1">
        <v>487</v>
      </c>
      <c r="Z1018" s="1">
        <v>53</v>
      </c>
      <c r="AA1018" s="1">
        <v>271</v>
      </c>
      <c r="AB1018" s="1">
        <v>126</v>
      </c>
      <c r="AC1018" s="1">
        <v>42</v>
      </c>
      <c r="AD1018" s="1">
        <v>79</v>
      </c>
      <c r="AE1018" s="1">
        <v>24</v>
      </c>
      <c r="AF1018" s="1">
        <v>442</v>
      </c>
      <c r="AG1018" s="1">
        <v>234</v>
      </c>
    </row>
    <row r="1019" spans="1:33">
      <c r="A1019" s="58">
        <v>39871</v>
      </c>
      <c r="B1019" s="1">
        <v>12109</v>
      </c>
      <c r="C1019" s="1">
        <v>9061</v>
      </c>
      <c r="D1019" s="21">
        <f t="shared" si="32"/>
        <v>-2.7058949855041339E-2</v>
      </c>
      <c r="E1019" s="1">
        <v>9061</v>
      </c>
      <c r="F1019" s="1">
        <v>0</v>
      </c>
      <c r="H1019" s="1">
        <v>3049</v>
      </c>
      <c r="I1019" s="21">
        <f t="shared" si="31"/>
        <v>3.4962661235573657E-2</v>
      </c>
      <c r="J1019" s="1">
        <v>1030</v>
      </c>
      <c r="K1019" s="1">
        <v>169</v>
      </c>
      <c r="L1019" s="1">
        <v>0</v>
      </c>
      <c r="M1019" s="1">
        <v>0</v>
      </c>
      <c r="O1019" s="1">
        <v>169</v>
      </c>
      <c r="P1019" s="1">
        <v>0</v>
      </c>
      <c r="S1019" s="1">
        <v>169</v>
      </c>
      <c r="T1019" s="1">
        <v>861</v>
      </c>
      <c r="V1019" s="1">
        <v>70</v>
      </c>
      <c r="X1019" s="1">
        <v>568</v>
      </c>
      <c r="Z1019" s="1">
        <v>63</v>
      </c>
      <c r="AA1019" s="1">
        <v>300</v>
      </c>
      <c r="AB1019" s="1">
        <v>134</v>
      </c>
      <c r="AC1019" s="1">
        <v>45</v>
      </c>
      <c r="AD1019" s="1">
        <v>98</v>
      </c>
      <c r="AE1019" s="1">
        <v>23</v>
      </c>
      <c r="AF1019" s="1">
        <v>417</v>
      </c>
      <c r="AG1019" s="1">
        <v>307</v>
      </c>
    </row>
    <row r="1020" spans="1:33">
      <c r="A1020" s="58">
        <v>39878</v>
      </c>
      <c r="B1020" s="1">
        <v>11996</v>
      </c>
      <c r="C1020" s="1">
        <v>8928</v>
      </c>
      <c r="D1020" s="21">
        <f t="shared" si="32"/>
        <v>-1.4678291579295883E-2</v>
      </c>
      <c r="E1020" s="1">
        <v>8928</v>
      </c>
      <c r="F1020" s="1">
        <v>0</v>
      </c>
      <c r="H1020" s="1">
        <v>3069</v>
      </c>
      <c r="I1020" s="21">
        <f t="shared" si="31"/>
        <v>6.5595277140045915E-3</v>
      </c>
      <c r="J1020" s="1">
        <v>1015</v>
      </c>
      <c r="K1020" s="1">
        <v>206</v>
      </c>
      <c r="L1020" s="1">
        <v>0</v>
      </c>
      <c r="M1020" s="1">
        <v>0</v>
      </c>
      <c r="O1020" s="1">
        <v>206</v>
      </c>
      <c r="P1020" s="1">
        <v>0</v>
      </c>
      <c r="S1020" s="1">
        <v>206</v>
      </c>
      <c r="T1020" s="1">
        <v>808</v>
      </c>
      <c r="V1020" s="1">
        <v>71</v>
      </c>
      <c r="X1020" s="1">
        <v>458</v>
      </c>
      <c r="Z1020" s="1">
        <v>47</v>
      </c>
      <c r="AA1020" s="1">
        <v>339</v>
      </c>
      <c r="AB1020" s="1">
        <v>152</v>
      </c>
      <c r="AC1020" s="1">
        <v>45</v>
      </c>
      <c r="AD1020" s="1">
        <v>109</v>
      </c>
      <c r="AE1020" s="1">
        <v>32</v>
      </c>
      <c r="AF1020" s="1">
        <v>427</v>
      </c>
      <c r="AG1020" s="1">
        <v>291</v>
      </c>
    </row>
    <row r="1021" spans="1:33">
      <c r="A1021" s="58">
        <v>39885</v>
      </c>
      <c r="B1021" s="1">
        <v>12163</v>
      </c>
      <c r="C1021" s="1">
        <v>9025</v>
      </c>
      <c r="D1021" s="21">
        <f t="shared" si="32"/>
        <v>1.0864695340501792E-2</v>
      </c>
      <c r="E1021" s="1">
        <v>9025</v>
      </c>
      <c r="F1021" s="1">
        <v>0</v>
      </c>
      <c r="H1021" s="1">
        <v>3139</v>
      </c>
      <c r="I1021" s="21">
        <f t="shared" si="31"/>
        <v>2.2808732486151843E-2</v>
      </c>
      <c r="J1021" s="1">
        <v>1095</v>
      </c>
      <c r="K1021" s="1">
        <v>216</v>
      </c>
      <c r="L1021" s="1">
        <v>0</v>
      </c>
      <c r="M1021" s="1">
        <v>0</v>
      </c>
      <c r="O1021" s="1">
        <v>216</v>
      </c>
      <c r="P1021" s="1">
        <v>0</v>
      </c>
      <c r="S1021" s="1">
        <v>216</v>
      </c>
      <c r="T1021" s="1">
        <v>880</v>
      </c>
      <c r="V1021" s="1">
        <v>75</v>
      </c>
      <c r="X1021" s="1">
        <v>506</v>
      </c>
      <c r="Z1021" s="1">
        <v>80</v>
      </c>
      <c r="AA1021" s="1">
        <v>245</v>
      </c>
      <c r="AB1021" s="1">
        <v>122</v>
      </c>
      <c r="AC1021" s="1">
        <v>27</v>
      </c>
      <c r="AD1021" s="1">
        <v>64</v>
      </c>
      <c r="AE1021" s="1">
        <v>32</v>
      </c>
      <c r="AF1021" s="1">
        <v>377</v>
      </c>
      <c r="AG1021" s="1">
        <v>345</v>
      </c>
    </row>
    <row r="1022" spans="1:33">
      <c r="A1022" s="58">
        <v>39892</v>
      </c>
      <c r="B1022" s="1">
        <v>12418</v>
      </c>
      <c r="C1022" s="1">
        <v>9178</v>
      </c>
      <c r="D1022" s="21">
        <f t="shared" si="32"/>
        <v>1.6952908587257617E-2</v>
      </c>
      <c r="E1022" s="1">
        <v>9178</v>
      </c>
      <c r="F1022" s="1">
        <v>0</v>
      </c>
      <c r="H1022" s="1">
        <v>3239</v>
      </c>
      <c r="I1022" s="21">
        <f t="shared" si="31"/>
        <v>3.1857279388340237E-2</v>
      </c>
      <c r="J1022" s="1">
        <v>1178</v>
      </c>
      <c r="K1022" s="1">
        <v>260</v>
      </c>
      <c r="L1022" s="1">
        <v>0</v>
      </c>
      <c r="M1022" s="1">
        <v>0</v>
      </c>
      <c r="O1022" s="1">
        <v>260</v>
      </c>
      <c r="P1022" s="1">
        <v>0</v>
      </c>
      <c r="S1022" s="1">
        <v>260</v>
      </c>
      <c r="T1022" s="1">
        <v>918</v>
      </c>
      <c r="V1022" s="1">
        <v>85</v>
      </c>
      <c r="X1022" s="1">
        <v>485</v>
      </c>
      <c r="Z1022" s="1">
        <v>79</v>
      </c>
      <c r="AA1022" s="1">
        <v>287</v>
      </c>
      <c r="AB1022" s="1">
        <v>112</v>
      </c>
      <c r="AC1022" s="1">
        <v>65</v>
      </c>
      <c r="AD1022" s="1">
        <v>89</v>
      </c>
      <c r="AE1022" s="1">
        <v>21</v>
      </c>
      <c r="AF1022" s="1">
        <v>395</v>
      </c>
      <c r="AG1022" s="1">
        <v>331</v>
      </c>
    </row>
    <row r="1023" spans="1:33">
      <c r="A1023" s="58">
        <v>39899</v>
      </c>
      <c r="B1023" s="1">
        <v>12466</v>
      </c>
      <c r="C1023" s="1">
        <v>9310</v>
      </c>
      <c r="D1023" s="21">
        <f t="shared" si="32"/>
        <v>1.4382218348224014E-2</v>
      </c>
      <c r="E1023" s="1">
        <v>9310</v>
      </c>
      <c r="F1023" s="1">
        <v>0</v>
      </c>
      <c r="H1023" s="1">
        <v>3156</v>
      </c>
      <c r="I1023" s="21">
        <f t="shared" si="31"/>
        <v>-2.5625192960790369E-2</v>
      </c>
      <c r="J1023" s="1">
        <v>1188</v>
      </c>
      <c r="K1023" s="1">
        <v>324</v>
      </c>
      <c r="L1023" s="1">
        <v>0</v>
      </c>
      <c r="M1023" s="1">
        <v>0</v>
      </c>
      <c r="O1023" s="1">
        <v>324</v>
      </c>
      <c r="P1023" s="1">
        <v>0</v>
      </c>
      <c r="S1023" s="1">
        <v>324</v>
      </c>
      <c r="T1023" s="1">
        <v>864</v>
      </c>
      <c r="V1023" s="1">
        <v>64</v>
      </c>
      <c r="X1023" s="1">
        <v>443</v>
      </c>
      <c r="Z1023" s="1">
        <v>102</v>
      </c>
      <c r="AA1023" s="1">
        <v>279</v>
      </c>
      <c r="AB1023" s="1">
        <v>93</v>
      </c>
      <c r="AC1023" s="1">
        <v>87</v>
      </c>
      <c r="AD1023" s="1">
        <v>78</v>
      </c>
      <c r="AE1023" s="1">
        <v>21</v>
      </c>
      <c r="AF1023" s="1">
        <v>378</v>
      </c>
      <c r="AG1023" s="1">
        <v>266</v>
      </c>
    </row>
    <row r="1024" spans="1:33">
      <c r="A1024" s="58">
        <v>39906</v>
      </c>
      <c r="B1024" s="1">
        <v>12450</v>
      </c>
      <c r="C1024" s="1">
        <v>9363</v>
      </c>
      <c r="D1024" s="21">
        <f t="shared" si="32"/>
        <v>5.6928034371643392E-3</v>
      </c>
      <c r="E1024" s="1">
        <v>9363</v>
      </c>
      <c r="F1024" s="1">
        <v>0</v>
      </c>
      <c r="H1024" s="1">
        <v>3087</v>
      </c>
      <c r="I1024" s="21">
        <f t="shared" si="31"/>
        <v>-2.1863117870722433E-2</v>
      </c>
      <c r="J1024" s="1">
        <v>1126</v>
      </c>
      <c r="K1024" s="1">
        <v>265</v>
      </c>
      <c r="L1024" s="1">
        <v>0</v>
      </c>
      <c r="M1024" s="1">
        <v>0</v>
      </c>
      <c r="O1024" s="1">
        <v>265</v>
      </c>
      <c r="P1024" s="1">
        <v>0</v>
      </c>
      <c r="S1024" s="1">
        <v>265</v>
      </c>
      <c r="T1024" s="1">
        <v>861</v>
      </c>
      <c r="V1024" s="1">
        <v>76</v>
      </c>
      <c r="X1024" s="1">
        <v>463</v>
      </c>
      <c r="Z1024" s="1">
        <v>98</v>
      </c>
      <c r="AA1024" s="1">
        <v>244</v>
      </c>
      <c r="AB1024" s="1">
        <v>71</v>
      </c>
      <c r="AC1024" s="1">
        <v>88</v>
      </c>
      <c r="AD1024" s="1">
        <v>66</v>
      </c>
      <c r="AE1024" s="1">
        <v>19</v>
      </c>
      <c r="AF1024" s="1">
        <v>333</v>
      </c>
      <c r="AG1024" s="1">
        <v>286</v>
      </c>
    </row>
    <row r="1025" spans="1:33">
      <c r="A1025" s="58">
        <v>39913</v>
      </c>
      <c r="B1025" s="1">
        <v>12474</v>
      </c>
      <c r="C1025" s="1">
        <v>9415</v>
      </c>
      <c r="D1025" s="21">
        <f t="shared" si="32"/>
        <v>5.5537754993057777E-3</v>
      </c>
      <c r="E1025" s="1">
        <v>9415</v>
      </c>
      <c r="F1025" s="1">
        <v>0</v>
      </c>
      <c r="H1025" s="1">
        <v>3059</v>
      </c>
      <c r="I1025" s="21">
        <f t="shared" si="31"/>
        <v>-9.0702947845804991E-3</v>
      </c>
      <c r="J1025" s="1">
        <v>1107</v>
      </c>
      <c r="K1025" s="1">
        <v>309</v>
      </c>
      <c r="L1025" s="1">
        <v>0</v>
      </c>
      <c r="M1025" s="1">
        <v>0</v>
      </c>
      <c r="O1025" s="1">
        <v>309</v>
      </c>
      <c r="P1025" s="1">
        <v>0</v>
      </c>
      <c r="S1025" s="1">
        <v>309</v>
      </c>
      <c r="T1025" s="1">
        <v>798</v>
      </c>
      <c r="V1025" s="1">
        <v>69</v>
      </c>
      <c r="X1025" s="1">
        <v>423</v>
      </c>
      <c r="Z1025" s="1">
        <v>78</v>
      </c>
      <c r="AA1025" s="1">
        <v>254</v>
      </c>
      <c r="AB1025" s="1">
        <v>86</v>
      </c>
      <c r="AC1025" s="1">
        <v>89</v>
      </c>
      <c r="AD1025" s="1">
        <v>62</v>
      </c>
      <c r="AE1025" s="1">
        <v>18</v>
      </c>
      <c r="AF1025" s="1">
        <v>378</v>
      </c>
      <c r="AG1025" s="1">
        <v>211</v>
      </c>
    </row>
    <row r="1026" spans="1:33">
      <c r="A1026" s="58">
        <v>39920</v>
      </c>
      <c r="B1026" s="1">
        <v>12524</v>
      </c>
      <c r="C1026" s="1">
        <v>9533</v>
      </c>
      <c r="D1026" s="21">
        <f t="shared" si="32"/>
        <v>1.2533191715347849E-2</v>
      </c>
      <c r="E1026" s="1">
        <v>9533</v>
      </c>
      <c r="F1026" s="1">
        <v>0</v>
      </c>
      <c r="H1026" s="1">
        <v>2991</v>
      </c>
      <c r="I1026" s="21">
        <f t="shared" si="31"/>
        <v>-2.2229486760379207E-2</v>
      </c>
      <c r="J1026" s="1">
        <v>1102</v>
      </c>
      <c r="K1026" s="1">
        <v>264</v>
      </c>
      <c r="L1026" s="1">
        <v>0</v>
      </c>
      <c r="M1026" s="1">
        <v>0</v>
      </c>
      <c r="O1026" s="1">
        <v>264</v>
      </c>
      <c r="P1026" s="1">
        <v>0</v>
      </c>
      <c r="S1026" s="1">
        <v>264</v>
      </c>
      <c r="T1026" s="1">
        <v>839</v>
      </c>
      <c r="V1026" s="1">
        <v>55</v>
      </c>
      <c r="X1026" s="1">
        <v>479</v>
      </c>
      <c r="Z1026" s="1">
        <v>93</v>
      </c>
      <c r="AA1026" s="1">
        <v>190</v>
      </c>
      <c r="AB1026" s="1">
        <v>93</v>
      </c>
      <c r="AC1026" s="1">
        <v>36</v>
      </c>
      <c r="AD1026" s="1">
        <v>45</v>
      </c>
      <c r="AE1026" s="1">
        <v>17</v>
      </c>
      <c r="AF1026" s="1">
        <v>380</v>
      </c>
      <c r="AG1026" s="1">
        <v>188</v>
      </c>
    </row>
    <row r="1027" spans="1:33">
      <c r="A1027" s="58">
        <v>39927</v>
      </c>
      <c r="B1027" s="1">
        <v>12456</v>
      </c>
      <c r="C1027" s="1">
        <v>9601</v>
      </c>
      <c r="D1027" s="21">
        <f t="shared" si="32"/>
        <v>7.1331165425364525E-3</v>
      </c>
      <c r="E1027" s="1">
        <v>9601</v>
      </c>
      <c r="F1027" s="1">
        <v>0</v>
      </c>
      <c r="H1027" s="1">
        <v>2855</v>
      </c>
      <c r="I1027" s="21">
        <f t="shared" si="31"/>
        <v>-4.546974256101638E-2</v>
      </c>
      <c r="J1027" s="1">
        <v>1010</v>
      </c>
      <c r="K1027" s="1">
        <v>222</v>
      </c>
      <c r="L1027" s="1">
        <v>0</v>
      </c>
      <c r="M1027" s="1">
        <v>0</v>
      </c>
      <c r="O1027" s="1">
        <v>222</v>
      </c>
      <c r="P1027" s="1">
        <v>0</v>
      </c>
      <c r="S1027" s="1">
        <v>222</v>
      </c>
      <c r="T1027" s="1">
        <v>788</v>
      </c>
      <c r="V1027" s="1">
        <v>67</v>
      </c>
      <c r="X1027" s="1">
        <v>424</v>
      </c>
      <c r="Z1027" s="1">
        <v>69</v>
      </c>
      <c r="AA1027" s="1">
        <v>155</v>
      </c>
      <c r="AB1027" s="1">
        <v>97</v>
      </c>
      <c r="AC1027" s="1">
        <v>10</v>
      </c>
      <c r="AD1027" s="1">
        <v>34</v>
      </c>
      <c r="AE1027" s="1">
        <v>15</v>
      </c>
      <c r="AF1027" s="1">
        <v>384</v>
      </c>
      <c r="AG1027" s="1">
        <v>161</v>
      </c>
    </row>
    <row r="1028" spans="1:33">
      <c r="A1028" s="58">
        <v>39934</v>
      </c>
      <c r="B1028" s="1">
        <v>12487</v>
      </c>
      <c r="C1028" s="1">
        <v>9748</v>
      </c>
      <c r="D1028" s="21">
        <f t="shared" si="32"/>
        <v>1.5310905114050619E-2</v>
      </c>
      <c r="E1028" s="1">
        <v>9748</v>
      </c>
      <c r="F1028" s="1">
        <v>0</v>
      </c>
      <c r="H1028" s="1">
        <v>2739</v>
      </c>
      <c r="I1028" s="21">
        <f t="shared" si="31"/>
        <v>-4.0630472854640984E-2</v>
      </c>
      <c r="J1028" s="1">
        <v>964</v>
      </c>
      <c r="K1028" s="1">
        <v>219</v>
      </c>
      <c r="L1028" s="1">
        <v>0</v>
      </c>
      <c r="M1028" s="1">
        <v>0</v>
      </c>
      <c r="O1028" s="1">
        <v>219</v>
      </c>
      <c r="P1028" s="1">
        <v>0</v>
      </c>
      <c r="S1028" s="1">
        <v>219</v>
      </c>
      <c r="T1028" s="1">
        <v>745</v>
      </c>
      <c r="V1028" s="1">
        <v>45</v>
      </c>
      <c r="X1028" s="1">
        <v>415</v>
      </c>
      <c r="Z1028" s="1">
        <v>93</v>
      </c>
      <c r="AA1028" s="1">
        <v>156</v>
      </c>
      <c r="AB1028" s="1">
        <v>107</v>
      </c>
      <c r="AC1028" s="1">
        <v>15</v>
      </c>
      <c r="AD1028" s="1">
        <v>29</v>
      </c>
      <c r="AE1028" s="1">
        <v>5</v>
      </c>
      <c r="AF1028" s="1">
        <v>403</v>
      </c>
      <c r="AG1028" s="1">
        <v>124</v>
      </c>
    </row>
    <row r="1029" spans="1:33">
      <c r="A1029" s="58">
        <v>39941</v>
      </c>
      <c r="B1029" s="1">
        <v>12212</v>
      </c>
      <c r="C1029" s="1">
        <v>9577</v>
      </c>
      <c r="D1029" s="21">
        <f t="shared" si="32"/>
        <v>-1.7542059909725072E-2</v>
      </c>
      <c r="E1029" s="1">
        <v>9577</v>
      </c>
      <c r="F1029" s="1">
        <v>0</v>
      </c>
      <c r="H1029" s="1">
        <v>2636</v>
      </c>
      <c r="I1029" s="21">
        <f t="shared" si="31"/>
        <v>-3.7604965315808689E-2</v>
      </c>
      <c r="J1029" s="1">
        <v>882</v>
      </c>
      <c r="K1029" s="1">
        <v>206</v>
      </c>
      <c r="L1029" s="1">
        <v>0</v>
      </c>
      <c r="M1029" s="1">
        <v>0</v>
      </c>
      <c r="O1029" s="1">
        <v>206</v>
      </c>
      <c r="P1029" s="1">
        <v>0</v>
      </c>
      <c r="S1029" s="1">
        <v>206</v>
      </c>
      <c r="T1029" s="1">
        <v>676</v>
      </c>
      <c r="V1029" s="1">
        <v>62</v>
      </c>
      <c r="X1029" s="1">
        <v>380</v>
      </c>
      <c r="Z1029" s="1">
        <v>88</v>
      </c>
      <c r="AA1029" s="1">
        <v>172</v>
      </c>
      <c r="AB1029" s="1">
        <v>105</v>
      </c>
      <c r="AC1029" s="1">
        <v>13</v>
      </c>
      <c r="AD1029" s="1">
        <v>49</v>
      </c>
      <c r="AE1029" s="1">
        <v>5</v>
      </c>
      <c r="AF1029" s="1">
        <v>363</v>
      </c>
      <c r="AG1029" s="1">
        <v>119</v>
      </c>
    </row>
    <row r="1030" spans="1:33">
      <c r="A1030" s="58">
        <v>39948</v>
      </c>
      <c r="B1030" s="1">
        <v>11901</v>
      </c>
      <c r="C1030" s="1">
        <v>9311</v>
      </c>
      <c r="D1030" s="21">
        <f t="shared" si="32"/>
        <v>-2.7774877310222407E-2</v>
      </c>
      <c r="E1030" s="1">
        <v>9311</v>
      </c>
      <c r="F1030" s="1">
        <v>0</v>
      </c>
      <c r="H1030" s="1">
        <v>2590</v>
      </c>
      <c r="I1030" s="21">
        <f t="shared" si="31"/>
        <v>-1.7450682852807285E-2</v>
      </c>
      <c r="J1030" s="1">
        <v>837</v>
      </c>
      <c r="K1030" s="1">
        <v>245</v>
      </c>
      <c r="L1030" s="1">
        <v>0</v>
      </c>
      <c r="M1030" s="1">
        <v>0</v>
      </c>
      <c r="O1030" s="1">
        <v>245</v>
      </c>
      <c r="P1030" s="1">
        <v>0</v>
      </c>
      <c r="S1030" s="1">
        <v>245</v>
      </c>
      <c r="T1030" s="1">
        <v>592</v>
      </c>
      <c r="V1030" s="1">
        <v>76</v>
      </c>
      <c r="X1030" s="1">
        <v>291</v>
      </c>
      <c r="Z1030" s="1">
        <v>102</v>
      </c>
      <c r="AA1030" s="1">
        <v>167</v>
      </c>
      <c r="AB1030" s="1">
        <v>104</v>
      </c>
      <c r="AC1030" s="1">
        <v>19</v>
      </c>
      <c r="AD1030" s="1">
        <v>40</v>
      </c>
      <c r="AE1030" s="1">
        <v>5</v>
      </c>
      <c r="AF1030" s="1">
        <v>345</v>
      </c>
      <c r="AG1030" s="1">
        <v>127</v>
      </c>
    </row>
    <row r="1031" spans="1:33">
      <c r="A1031" s="58">
        <v>39955</v>
      </c>
      <c r="B1031" s="1">
        <v>11776</v>
      </c>
      <c r="C1031" s="1">
        <v>9049</v>
      </c>
      <c r="D1031" s="21">
        <f t="shared" si="32"/>
        <v>-2.8138760605735152E-2</v>
      </c>
      <c r="E1031" s="1">
        <v>9049</v>
      </c>
      <c r="F1031" s="1">
        <v>0</v>
      </c>
      <c r="H1031" s="1">
        <v>2727</v>
      </c>
      <c r="I1031" s="21">
        <f t="shared" si="31"/>
        <v>5.2895752895752893E-2</v>
      </c>
      <c r="J1031" s="1">
        <v>878</v>
      </c>
      <c r="K1031" s="1">
        <v>271</v>
      </c>
      <c r="L1031" s="1">
        <v>0</v>
      </c>
      <c r="M1031" s="1">
        <v>0</v>
      </c>
      <c r="O1031" s="1">
        <v>271</v>
      </c>
      <c r="P1031" s="1">
        <v>0</v>
      </c>
      <c r="S1031" s="1">
        <v>271</v>
      </c>
      <c r="T1031" s="1">
        <v>607</v>
      </c>
      <c r="V1031" s="1">
        <v>79</v>
      </c>
      <c r="X1031" s="1">
        <v>291</v>
      </c>
      <c r="Z1031" s="1">
        <v>106</v>
      </c>
      <c r="AA1031" s="1">
        <v>187</v>
      </c>
      <c r="AB1031" s="1">
        <v>123</v>
      </c>
      <c r="AC1031" s="1">
        <v>21</v>
      </c>
      <c r="AD1031" s="1">
        <v>38</v>
      </c>
      <c r="AE1031" s="1">
        <v>5</v>
      </c>
      <c r="AF1031" s="1">
        <v>370</v>
      </c>
      <c r="AG1031" s="1">
        <v>116</v>
      </c>
    </row>
    <row r="1032" spans="1:33">
      <c r="A1032" s="58">
        <v>39962</v>
      </c>
      <c r="B1032" s="1">
        <v>11809</v>
      </c>
      <c r="C1032" s="1">
        <v>8981</v>
      </c>
      <c r="D1032" s="21">
        <f t="shared" si="32"/>
        <v>-7.5146425019339156E-3</v>
      </c>
      <c r="E1032" s="1">
        <v>8981</v>
      </c>
      <c r="F1032" s="1">
        <v>0</v>
      </c>
      <c r="H1032" s="1">
        <v>2828</v>
      </c>
      <c r="I1032" s="21">
        <f t="shared" si="31"/>
        <v>3.7037037037037035E-2</v>
      </c>
      <c r="J1032" s="1">
        <v>910</v>
      </c>
      <c r="K1032" s="1">
        <v>290</v>
      </c>
      <c r="L1032" s="1">
        <v>0</v>
      </c>
      <c r="M1032" s="1">
        <v>0</v>
      </c>
      <c r="O1032" s="1">
        <v>290</v>
      </c>
      <c r="P1032" s="1">
        <v>0</v>
      </c>
      <c r="S1032" s="1">
        <v>290</v>
      </c>
      <c r="T1032" s="1">
        <v>620</v>
      </c>
      <c r="V1032" s="1">
        <v>92</v>
      </c>
      <c r="X1032" s="1">
        <v>310</v>
      </c>
      <c r="Z1032" s="1">
        <v>101</v>
      </c>
      <c r="AA1032" s="1">
        <v>198</v>
      </c>
      <c r="AB1032" s="1">
        <v>141</v>
      </c>
      <c r="AC1032" s="1">
        <v>15</v>
      </c>
      <c r="AD1032" s="1">
        <v>39</v>
      </c>
      <c r="AE1032" s="1">
        <v>4</v>
      </c>
      <c r="AF1032" s="1">
        <v>378</v>
      </c>
      <c r="AG1032" s="1">
        <v>103</v>
      </c>
    </row>
    <row r="1033" spans="1:33">
      <c r="A1033" s="58">
        <v>39969</v>
      </c>
      <c r="B1033" s="1">
        <v>11899</v>
      </c>
      <c r="C1033" s="1">
        <v>9046</v>
      </c>
      <c r="D1033" s="21">
        <f t="shared" si="32"/>
        <v>7.2375013918271908E-3</v>
      </c>
      <c r="E1033" s="1">
        <v>9046</v>
      </c>
      <c r="F1033" s="1">
        <v>0</v>
      </c>
      <c r="H1033" s="1">
        <v>2852</v>
      </c>
      <c r="I1033" s="21">
        <f t="shared" si="31"/>
        <v>8.4865629420084864E-3</v>
      </c>
      <c r="J1033" s="1">
        <v>941</v>
      </c>
      <c r="K1033" s="1">
        <v>279</v>
      </c>
      <c r="L1033" s="1">
        <v>0</v>
      </c>
      <c r="M1033" s="1">
        <v>0</v>
      </c>
      <c r="O1033" s="1">
        <v>279</v>
      </c>
      <c r="P1033" s="1">
        <v>0</v>
      </c>
      <c r="S1033" s="1">
        <v>279</v>
      </c>
      <c r="T1033" s="1">
        <v>662</v>
      </c>
      <c r="V1033" s="1">
        <v>89</v>
      </c>
      <c r="X1033" s="1">
        <v>339</v>
      </c>
      <c r="Z1033" s="1">
        <v>103</v>
      </c>
      <c r="AA1033" s="1">
        <v>187</v>
      </c>
      <c r="AB1033" s="1">
        <v>141</v>
      </c>
      <c r="AC1033" s="1">
        <v>15</v>
      </c>
      <c r="AD1033" s="1">
        <v>28</v>
      </c>
      <c r="AE1033" s="1">
        <v>4</v>
      </c>
      <c r="AF1033" s="1">
        <v>435</v>
      </c>
      <c r="AG1033" s="1">
        <v>98</v>
      </c>
    </row>
    <row r="1034" spans="1:33">
      <c r="A1034" s="58">
        <v>39976</v>
      </c>
      <c r="B1034" s="1">
        <v>11979</v>
      </c>
      <c r="C1034" s="1">
        <v>9108</v>
      </c>
      <c r="D1034" s="21">
        <f t="shared" si="32"/>
        <v>6.8538580588105242E-3</v>
      </c>
      <c r="E1034" s="1">
        <v>9108</v>
      </c>
      <c r="F1034" s="1">
        <v>0</v>
      </c>
      <c r="H1034" s="1">
        <v>2871</v>
      </c>
      <c r="I1034" s="21">
        <f t="shared" si="31"/>
        <v>6.6619915848527347E-3</v>
      </c>
      <c r="J1034" s="1">
        <v>979</v>
      </c>
      <c r="K1034" s="1">
        <v>278</v>
      </c>
      <c r="L1034" s="1">
        <v>0</v>
      </c>
      <c r="M1034" s="1">
        <v>0</v>
      </c>
      <c r="O1034" s="1">
        <v>278</v>
      </c>
      <c r="P1034" s="1">
        <v>0</v>
      </c>
      <c r="S1034" s="1">
        <v>278</v>
      </c>
      <c r="T1034" s="1">
        <v>701</v>
      </c>
      <c r="V1034" s="1">
        <v>81</v>
      </c>
      <c r="X1034" s="1">
        <v>411</v>
      </c>
      <c r="Z1034" s="1">
        <v>73</v>
      </c>
      <c r="AA1034" s="1">
        <v>191</v>
      </c>
      <c r="AB1034" s="1">
        <v>142</v>
      </c>
      <c r="AC1034" s="1">
        <v>8</v>
      </c>
      <c r="AD1034" s="1">
        <v>37</v>
      </c>
      <c r="AE1034" s="1">
        <v>4</v>
      </c>
      <c r="AF1034" s="1">
        <v>437</v>
      </c>
      <c r="AG1034" s="1">
        <v>104</v>
      </c>
    </row>
    <row r="1035" spans="1:33">
      <c r="A1035" s="58">
        <v>39983</v>
      </c>
      <c r="B1035" s="1">
        <v>11909</v>
      </c>
      <c r="C1035" s="1">
        <v>9234</v>
      </c>
      <c r="D1035" s="21">
        <f t="shared" si="32"/>
        <v>1.383399209486166E-2</v>
      </c>
      <c r="E1035" s="1">
        <v>9234</v>
      </c>
      <c r="F1035" s="1">
        <v>0</v>
      </c>
      <c r="H1035" s="1">
        <v>2675</v>
      </c>
      <c r="I1035" s="21">
        <f t="shared" si="31"/>
        <v>-6.8268895855102749E-2</v>
      </c>
      <c r="J1035" s="1">
        <v>971</v>
      </c>
      <c r="K1035" s="1">
        <v>291</v>
      </c>
      <c r="L1035" s="1">
        <v>0</v>
      </c>
      <c r="M1035" s="1">
        <v>0</v>
      </c>
      <c r="O1035" s="1">
        <v>291</v>
      </c>
      <c r="P1035" s="1">
        <v>0</v>
      </c>
      <c r="S1035" s="1">
        <v>291</v>
      </c>
      <c r="T1035" s="1">
        <v>680</v>
      </c>
      <c r="V1035" s="1">
        <v>91</v>
      </c>
      <c r="X1035" s="1">
        <v>381</v>
      </c>
      <c r="Z1035" s="1">
        <v>80</v>
      </c>
      <c r="AA1035" s="1">
        <v>213</v>
      </c>
      <c r="AB1035" s="1">
        <v>139</v>
      </c>
      <c r="AC1035" s="1">
        <v>21</v>
      </c>
      <c r="AD1035" s="1">
        <v>49</v>
      </c>
      <c r="AE1035" s="1">
        <v>4</v>
      </c>
      <c r="AF1035" s="1">
        <v>366</v>
      </c>
      <c r="AG1035" s="1">
        <v>94</v>
      </c>
    </row>
    <row r="1036" spans="1:33">
      <c r="A1036" s="58">
        <v>39990</v>
      </c>
      <c r="B1036" s="1">
        <v>11736</v>
      </c>
      <c r="C1036" s="1">
        <v>9164</v>
      </c>
      <c r="D1036" s="21">
        <f t="shared" si="32"/>
        <v>-7.5806800952999782E-3</v>
      </c>
      <c r="E1036" s="1">
        <v>9164</v>
      </c>
      <c r="F1036" s="1">
        <v>0</v>
      </c>
      <c r="H1036" s="1">
        <v>2572</v>
      </c>
      <c r="I1036" s="21">
        <f t="shared" si="31"/>
        <v>-3.8504672897196258E-2</v>
      </c>
      <c r="J1036" s="1">
        <v>978</v>
      </c>
      <c r="K1036" s="1">
        <v>282</v>
      </c>
      <c r="L1036" s="1">
        <v>0</v>
      </c>
      <c r="M1036" s="1">
        <v>0</v>
      </c>
      <c r="O1036" s="1">
        <v>282</v>
      </c>
      <c r="P1036" s="1">
        <v>0</v>
      </c>
      <c r="S1036" s="1">
        <v>282</v>
      </c>
      <c r="T1036" s="1">
        <v>696</v>
      </c>
      <c r="V1036" s="1">
        <v>87</v>
      </c>
      <c r="X1036" s="1">
        <v>389</v>
      </c>
      <c r="Z1036" s="1">
        <v>69</v>
      </c>
      <c r="AA1036" s="1">
        <v>202</v>
      </c>
      <c r="AB1036" s="1">
        <v>124</v>
      </c>
      <c r="AC1036" s="1">
        <v>22</v>
      </c>
      <c r="AD1036" s="1">
        <v>52</v>
      </c>
      <c r="AE1036" s="1">
        <v>4</v>
      </c>
      <c r="AF1036" s="1">
        <v>336</v>
      </c>
      <c r="AG1036" s="1">
        <v>95</v>
      </c>
    </row>
    <row r="1037" spans="1:33">
      <c r="A1037" s="58">
        <v>39997</v>
      </c>
      <c r="B1037" s="1">
        <v>11878</v>
      </c>
      <c r="C1037" s="1">
        <v>9227</v>
      </c>
      <c r="D1037" s="21">
        <f t="shared" si="32"/>
        <v>6.8747271933653426E-3</v>
      </c>
      <c r="E1037" s="1">
        <v>9227</v>
      </c>
      <c r="F1037" s="1">
        <v>0</v>
      </c>
      <c r="H1037" s="1">
        <v>2651</v>
      </c>
      <c r="I1037" s="21">
        <f t="shared" si="31"/>
        <v>3.0715396578538102E-2</v>
      </c>
      <c r="J1037" s="1">
        <v>1062</v>
      </c>
      <c r="K1037" s="1">
        <v>283</v>
      </c>
      <c r="L1037" s="1">
        <v>0</v>
      </c>
      <c r="M1037" s="1">
        <v>0</v>
      </c>
      <c r="O1037" s="1">
        <v>283</v>
      </c>
      <c r="P1037" s="1">
        <v>0</v>
      </c>
      <c r="S1037" s="1">
        <v>283</v>
      </c>
      <c r="T1037" s="1">
        <v>779</v>
      </c>
      <c r="V1037" s="1">
        <v>82</v>
      </c>
      <c r="X1037" s="1">
        <v>428</v>
      </c>
      <c r="Z1037" s="1">
        <v>77</v>
      </c>
      <c r="AA1037" s="1">
        <v>217</v>
      </c>
      <c r="AB1037" s="1">
        <v>137</v>
      </c>
      <c r="AC1037" s="1">
        <v>32</v>
      </c>
      <c r="AD1037" s="1">
        <v>44</v>
      </c>
      <c r="AE1037" s="1">
        <v>4</v>
      </c>
      <c r="AF1037" s="1">
        <v>313</v>
      </c>
      <c r="AG1037" s="1">
        <v>99</v>
      </c>
    </row>
    <row r="1038" spans="1:33">
      <c r="A1038" s="58">
        <v>40004</v>
      </c>
      <c r="B1038" s="1">
        <v>11935</v>
      </c>
      <c r="C1038" s="1">
        <v>9355</v>
      </c>
      <c r="D1038" s="21">
        <f t="shared" si="32"/>
        <v>1.3872331201907446E-2</v>
      </c>
      <c r="E1038" s="1">
        <v>9355</v>
      </c>
      <c r="F1038" s="1">
        <v>0</v>
      </c>
      <c r="H1038" s="1">
        <v>2580</v>
      </c>
      <c r="I1038" s="21">
        <f t="shared" si="31"/>
        <v>-2.6782346284420975E-2</v>
      </c>
      <c r="J1038" s="1">
        <v>1022</v>
      </c>
      <c r="K1038" s="1">
        <v>271</v>
      </c>
      <c r="L1038" s="1">
        <v>0</v>
      </c>
      <c r="M1038" s="1">
        <v>0</v>
      </c>
      <c r="O1038" s="1">
        <v>271</v>
      </c>
      <c r="P1038" s="1">
        <v>0</v>
      </c>
      <c r="S1038" s="1">
        <v>271</v>
      </c>
      <c r="T1038" s="1">
        <v>751</v>
      </c>
      <c r="V1038" s="1">
        <v>91</v>
      </c>
      <c r="X1038" s="1">
        <v>401</v>
      </c>
      <c r="Z1038" s="1">
        <v>84</v>
      </c>
      <c r="AA1038" s="1">
        <v>209</v>
      </c>
      <c r="AB1038" s="1">
        <v>137</v>
      </c>
      <c r="AC1038" s="1">
        <v>34</v>
      </c>
      <c r="AD1038" s="1">
        <v>35</v>
      </c>
      <c r="AE1038" s="1">
        <v>3</v>
      </c>
      <c r="AF1038" s="1">
        <v>318</v>
      </c>
      <c r="AG1038" s="1">
        <v>109</v>
      </c>
    </row>
    <row r="1039" spans="1:33">
      <c r="A1039" s="58">
        <v>40011</v>
      </c>
      <c r="B1039" s="1">
        <v>12038</v>
      </c>
      <c r="C1039" s="1">
        <v>9335</v>
      </c>
      <c r="D1039" s="21">
        <f t="shared" si="32"/>
        <v>-2.137894174238375E-3</v>
      </c>
      <c r="E1039" s="1">
        <v>9335</v>
      </c>
      <c r="F1039" s="1">
        <v>0</v>
      </c>
      <c r="H1039" s="1">
        <v>2703</v>
      </c>
      <c r="I1039" s="21">
        <f t="shared" si="31"/>
        <v>4.7674418604651166E-2</v>
      </c>
      <c r="J1039" s="1">
        <v>1036</v>
      </c>
      <c r="K1039" s="1">
        <v>240</v>
      </c>
      <c r="L1039" s="1">
        <v>0</v>
      </c>
      <c r="M1039" s="1">
        <v>0</v>
      </c>
      <c r="O1039" s="1">
        <v>240</v>
      </c>
      <c r="P1039" s="1">
        <v>0</v>
      </c>
      <c r="S1039" s="1">
        <v>240</v>
      </c>
      <c r="T1039" s="1">
        <v>796</v>
      </c>
      <c r="V1039" s="1">
        <v>80</v>
      </c>
      <c r="X1039" s="1">
        <v>428</v>
      </c>
      <c r="Z1039" s="1">
        <v>82</v>
      </c>
      <c r="AA1039" s="1">
        <v>199</v>
      </c>
      <c r="AB1039" s="1">
        <v>131</v>
      </c>
      <c r="AC1039" s="1">
        <v>32</v>
      </c>
      <c r="AD1039" s="1">
        <v>34</v>
      </c>
      <c r="AE1039" s="1">
        <v>3</v>
      </c>
      <c r="AF1039" s="1">
        <v>335</v>
      </c>
      <c r="AG1039" s="1">
        <v>107</v>
      </c>
    </row>
    <row r="1040" spans="1:33">
      <c r="A1040" s="58">
        <v>40018</v>
      </c>
      <c r="B1040" s="1">
        <v>12171</v>
      </c>
      <c r="C1040" s="1">
        <v>9500</v>
      </c>
      <c r="D1040" s="21">
        <f t="shared" si="32"/>
        <v>1.7675415104445636E-2</v>
      </c>
      <c r="E1040" s="1">
        <v>9500</v>
      </c>
      <c r="F1040" s="1">
        <v>0</v>
      </c>
      <c r="H1040" s="1">
        <v>2671</v>
      </c>
      <c r="I1040" s="21">
        <f t="shared" si="31"/>
        <v>-1.1838697743248243E-2</v>
      </c>
      <c r="J1040" s="1">
        <v>1039</v>
      </c>
      <c r="K1040" s="1">
        <v>259</v>
      </c>
      <c r="L1040" s="1">
        <v>0</v>
      </c>
      <c r="M1040" s="1">
        <v>0</v>
      </c>
      <c r="O1040" s="1">
        <v>259</v>
      </c>
      <c r="P1040" s="1">
        <v>0</v>
      </c>
      <c r="S1040" s="1">
        <v>259</v>
      </c>
      <c r="T1040" s="1">
        <v>780</v>
      </c>
      <c r="V1040" s="1">
        <v>80</v>
      </c>
      <c r="X1040" s="1">
        <v>408</v>
      </c>
      <c r="Z1040" s="1">
        <v>84</v>
      </c>
      <c r="AA1040" s="1">
        <v>222</v>
      </c>
      <c r="AB1040" s="1">
        <v>145</v>
      </c>
      <c r="AC1040" s="1">
        <v>33</v>
      </c>
      <c r="AD1040" s="1">
        <v>42</v>
      </c>
      <c r="AE1040" s="1">
        <v>2</v>
      </c>
      <c r="AF1040" s="1">
        <v>300</v>
      </c>
      <c r="AG1040" s="1">
        <v>125</v>
      </c>
    </row>
    <row r="1041" spans="1:33">
      <c r="A1041" s="58">
        <v>40025</v>
      </c>
      <c r="B1041" s="1">
        <v>12056</v>
      </c>
      <c r="C1041" s="1">
        <v>9516</v>
      </c>
      <c r="D1041" s="21">
        <f t="shared" si="32"/>
        <v>1.6842105263157896E-3</v>
      </c>
      <c r="E1041" s="1">
        <v>9516</v>
      </c>
      <c r="F1041" s="1">
        <v>0</v>
      </c>
      <c r="H1041" s="1">
        <v>2540</v>
      </c>
      <c r="I1041" s="21">
        <f t="shared" si="31"/>
        <v>-4.9045301385248971E-2</v>
      </c>
      <c r="J1041" s="1">
        <v>992</v>
      </c>
      <c r="K1041" s="1">
        <v>262</v>
      </c>
      <c r="L1041" s="1">
        <v>0</v>
      </c>
      <c r="M1041" s="1">
        <v>0</v>
      </c>
      <c r="O1041" s="1">
        <v>262</v>
      </c>
      <c r="P1041" s="1">
        <v>0</v>
      </c>
      <c r="S1041" s="1">
        <v>262</v>
      </c>
      <c r="T1041" s="1">
        <v>731</v>
      </c>
      <c r="V1041" s="1">
        <v>90</v>
      </c>
      <c r="X1041" s="1">
        <v>361</v>
      </c>
      <c r="Z1041" s="1">
        <v>100</v>
      </c>
      <c r="AA1041" s="1">
        <v>202</v>
      </c>
      <c r="AB1041" s="1">
        <v>134</v>
      </c>
      <c r="AC1041" s="1">
        <v>22</v>
      </c>
      <c r="AD1041" s="1">
        <v>43</v>
      </c>
      <c r="AE1041" s="1">
        <v>2</v>
      </c>
      <c r="AF1041" s="1">
        <v>213</v>
      </c>
      <c r="AG1041" s="1">
        <v>124</v>
      </c>
    </row>
    <row r="1042" spans="1:33">
      <c r="A1042" s="58">
        <v>40032</v>
      </c>
      <c r="B1042" s="1">
        <v>11981</v>
      </c>
      <c r="C1042" s="1">
        <v>9511</v>
      </c>
      <c r="D1042" s="21">
        <f t="shared" si="32"/>
        <v>-5.2543085329970576E-4</v>
      </c>
      <c r="E1042" s="1">
        <v>9511</v>
      </c>
      <c r="F1042" s="1">
        <v>0</v>
      </c>
      <c r="H1042" s="1">
        <v>2470</v>
      </c>
      <c r="I1042" s="21">
        <f t="shared" si="31"/>
        <v>-2.7559055118110236E-2</v>
      </c>
      <c r="J1042" s="1">
        <v>1003</v>
      </c>
      <c r="K1042" s="1">
        <v>254</v>
      </c>
      <c r="L1042" s="1">
        <v>0</v>
      </c>
      <c r="M1042" s="1">
        <v>0</v>
      </c>
      <c r="O1042" s="1">
        <v>254</v>
      </c>
      <c r="P1042" s="1">
        <v>0</v>
      </c>
      <c r="S1042" s="1">
        <v>254</v>
      </c>
      <c r="T1042" s="1">
        <v>749</v>
      </c>
      <c r="V1042" s="1">
        <v>83</v>
      </c>
      <c r="X1042" s="1">
        <v>344</v>
      </c>
      <c r="Z1042" s="1">
        <v>100</v>
      </c>
      <c r="AA1042" s="1">
        <v>202</v>
      </c>
      <c r="AB1042" s="1">
        <v>136</v>
      </c>
      <c r="AC1042" s="1">
        <v>20</v>
      </c>
      <c r="AD1042" s="1">
        <v>44</v>
      </c>
      <c r="AE1042" s="1">
        <v>2</v>
      </c>
      <c r="AF1042" s="1">
        <v>204</v>
      </c>
      <c r="AG1042" s="1">
        <v>105</v>
      </c>
    </row>
    <row r="1043" spans="1:33">
      <c r="A1043" s="58">
        <v>40039</v>
      </c>
      <c r="B1043" s="1">
        <v>11544</v>
      </c>
      <c r="C1043" s="1">
        <v>9239</v>
      </c>
      <c r="D1043" s="21">
        <f t="shared" si="32"/>
        <v>-2.859846493533803E-2</v>
      </c>
      <c r="E1043" s="1">
        <v>9239</v>
      </c>
      <c r="F1043" s="1">
        <v>0</v>
      </c>
      <c r="H1043" s="1">
        <v>2306</v>
      </c>
      <c r="I1043" s="21">
        <f t="shared" si="31"/>
        <v>-6.6396761133603238E-2</v>
      </c>
      <c r="J1043" s="1">
        <v>982</v>
      </c>
      <c r="K1043" s="1">
        <v>283</v>
      </c>
      <c r="L1043" s="1">
        <v>0</v>
      </c>
      <c r="M1043" s="1">
        <v>0</v>
      </c>
      <c r="O1043" s="1">
        <v>283</v>
      </c>
      <c r="P1043" s="1">
        <v>0</v>
      </c>
      <c r="S1043" s="1">
        <v>283</v>
      </c>
      <c r="T1043" s="1">
        <v>699</v>
      </c>
      <c r="V1043" s="1">
        <v>79</v>
      </c>
      <c r="X1043" s="1">
        <v>322</v>
      </c>
      <c r="Z1043" s="1">
        <v>93</v>
      </c>
      <c r="AA1043" s="1">
        <v>184</v>
      </c>
      <c r="AB1043" s="1">
        <v>141</v>
      </c>
      <c r="AC1043" s="1">
        <v>9</v>
      </c>
      <c r="AD1043" s="1">
        <v>32</v>
      </c>
      <c r="AE1043" s="1">
        <v>2</v>
      </c>
      <c r="AF1043" s="1">
        <v>188</v>
      </c>
      <c r="AG1043" s="1">
        <v>100</v>
      </c>
    </row>
    <row r="1044" spans="1:33">
      <c r="A1044" s="58">
        <v>40046</v>
      </c>
      <c r="B1044" s="1">
        <v>11395</v>
      </c>
      <c r="C1044" s="1">
        <v>9039</v>
      </c>
      <c r="D1044" s="21">
        <f t="shared" si="32"/>
        <v>-2.1647364433380237E-2</v>
      </c>
      <c r="E1044" s="1">
        <v>9039</v>
      </c>
      <c r="F1044" s="1">
        <v>0</v>
      </c>
      <c r="H1044" s="1">
        <v>2356</v>
      </c>
      <c r="I1044" s="21">
        <f t="shared" si="31"/>
        <v>2.1682567215958369E-2</v>
      </c>
      <c r="J1044" s="1">
        <v>1010</v>
      </c>
      <c r="K1044" s="1">
        <v>296</v>
      </c>
      <c r="L1044" s="1">
        <v>0</v>
      </c>
      <c r="M1044" s="1">
        <v>0</v>
      </c>
      <c r="O1044" s="1">
        <v>296</v>
      </c>
      <c r="P1044" s="1">
        <v>0</v>
      </c>
      <c r="S1044" s="1">
        <v>296</v>
      </c>
      <c r="T1044" s="1">
        <v>714</v>
      </c>
      <c r="V1044" s="1">
        <v>98</v>
      </c>
      <c r="X1044" s="1">
        <v>317</v>
      </c>
      <c r="Z1044" s="1">
        <v>101</v>
      </c>
      <c r="AA1044" s="1">
        <v>154</v>
      </c>
      <c r="AB1044" s="1">
        <v>115</v>
      </c>
      <c r="AC1044" s="1">
        <v>13</v>
      </c>
      <c r="AD1044" s="1">
        <v>25</v>
      </c>
      <c r="AE1044" s="1">
        <v>1</v>
      </c>
      <c r="AF1044" s="1">
        <v>234</v>
      </c>
      <c r="AG1044" s="1">
        <v>77</v>
      </c>
    </row>
    <row r="1045" spans="1:33">
      <c r="A1045" s="58">
        <v>40053</v>
      </c>
      <c r="B1045" s="1">
        <v>11436</v>
      </c>
      <c r="C1045" s="1">
        <v>9111</v>
      </c>
      <c r="D1045" s="21">
        <f t="shared" si="32"/>
        <v>7.9654829074012612E-3</v>
      </c>
      <c r="E1045" s="1">
        <v>9111</v>
      </c>
      <c r="F1045" s="1">
        <v>0</v>
      </c>
      <c r="H1045" s="1">
        <v>2325</v>
      </c>
      <c r="I1045" s="21">
        <f t="shared" si="31"/>
        <v>-1.3157894736842105E-2</v>
      </c>
      <c r="J1045" s="1">
        <v>974</v>
      </c>
      <c r="K1045" s="1">
        <v>309</v>
      </c>
      <c r="L1045" s="1">
        <v>0</v>
      </c>
      <c r="M1045" s="1">
        <v>0</v>
      </c>
      <c r="O1045" s="1">
        <v>309</v>
      </c>
      <c r="P1045" s="1">
        <v>0</v>
      </c>
      <c r="S1045" s="1">
        <v>309</v>
      </c>
      <c r="T1045" s="1">
        <v>665</v>
      </c>
      <c r="V1045" s="1">
        <v>97</v>
      </c>
      <c r="X1045" s="1">
        <v>276</v>
      </c>
      <c r="Z1045" s="1">
        <v>88</v>
      </c>
      <c r="AA1045" s="1">
        <v>157</v>
      </c>
      <c r="AB1045" s="1">
        <v>122</v>
      </c>
      <c r="AC1045" s="1">
        <v>13</v>
      </c>
      <c r="AD1045" s="1">
        <v>23</v>
      </c>
      <c r="AE1045" s="1">
        <v>1</v>
      </c>
      <c r="AF1045" s="1">
        <v>248</v>
      </c>
      <c r="AG1045" s="1">
        <v>77</v>
      </c>
    </row>
    <row r="1046" spans="1:33">
      <c r="A1046" s="58">
        <v>40060</v>
      </c>
      <c r="B1046" s="1">
        <v>11399</v>
      </c>
      <c r="C1046" s="1">
        <v>9002</v>
      </c>
      <c r="D1046" s="21">
        <f t="shared" si="32"/>
        <v>-1.196356053122599E-2</v>
      </c>
      <c r="E1046" s="1">
        <v>9002</v>
      </c>
      <c r="F1046" s="1">
        <v>0</v>
      </c>
      <c r="H1046" s="1">
        <v>2397</v>
      </c>
      <c r="I1046" s="21">
        <f t="shared" si="31"/>
        <v>3.0967741935483871E-2</v>
      </c>
      <c r="J1046" s="1">
        <v>977</v>
      </c>
      <c r="K1046" s="1">
        <v>299</v>
      </c>
      <c r="L1046" s="1">
        <v>0</v>
      </c>
      <c r="M1046" s="1">
        <v>0</v>
      </c>
      <c r="O1046" s="1">
        <v>299</v>
      </c>
      <c r="P1046" s="1">
        <v>0</v>
      </c>
      <c r="S1046" s="1">
        <v>299</v>
      </c>
      <c r="T1046" s="1">
        <v>678</v>
      </c>
      <c r="V1046" s="1">
        <v>103</v>
      </c>
      <c r="X1046" s="1">
        <v>288</v>
      </c>
      <c r="Z1046" s="1">
        <v>93</v>
      </c>
      <c r="AA1046" s="1">
        <v>176</v>
      </c>
      <c r="AB1046" s="1">
        <v>133</v>
      </c>
      <c r="AC1046" s="1">
        <v>16</v>
      </c>
      <c r="AD1046" s="1">
        <v>27</v>
      </c>
      <c r="AE1046" s="1">
        <v>0</v>
      </c>
      <c r="AF1046" s="1">
        <v>271</v>
      </c>
      <c r="AG1046" s="1">
        <v>99</v>
      </c>
    </row>
    <row r="1047" spans="1:33">
      <c r="A1047" s="58">
        <v>40067</v>
      </c>
      <c r="B1047" s="1">
        <v>11630</v>
      </c>
      <c r="C1047" s="1">
        <v>9200</v>
      </c>
      <c r="D1047" s="21">
        <f t="shared" si="32"/>
        <v>2.1995112197289491E-2</v>
      </c>
      <c r="E1047" s="1">
        <v>9200</v>
      </c>
      <c r="F1047" s="1">
        <v>0</v>
      </c>
      <c r="H1047" s="1">
        <v>2430</v>
      </c>
      <c r="I1047" s="21">
        <f t="shared" si="31"/>
        <v>1.3767209011264081E-2</v>
      </c>
      <c r="J1047" s="1">
        <v>917</v>
      </c>
      <c r="K1047" s="1">
        <v>262</v>
      </c>
      <c r="L1047" s="1">
        <v>0</v>
      </c>
      <c r="M1047" s="1">
        <v>0</v>
      </c>
      <c r="O1047" s="1">
        <v>262</v>
      </c>
      <c r="P1047" s="1">
        <v>0</v>
      </c>
      <c r="S1047" s="1">
        <v>262</v>
      </c>
      <c r="T1047" s="1">
        <v>655</v>
      </c>
      <c r="V1047" s="1">
        <v>102</v>
      </c>
      <c r="X1047" s="1">
        <v>306</v>
      </c>
      <c r="Z1047" s="1">
        <v>97</v>
      </c>
      <c r="AA1047" s="1">
        <v>168</v>
      </c>
      <c r="AB1047" s="1">
        <v>125</v>
      </c>
      <c r="AC1047" s="1">
        <v>14</v>
      </c>
      <c r="AD1047" s="1">
        <v>29</v>
      </c>
      <c r="AE1047" s="1">
        <v>0</v>
      </c>
      <c r="AF1047" s="1">
        <v>286</v>
      </c>
      <c r="AG1047" s="1">
        <v>106</v>
      </c>
    </row>
    <row r="1048" spans="1:33">
      <c r="A1048" s="58">
        <v>40074</v>
      </c>
      <c r="B1048" s="1">
        <v>11771</v>
      </c>
      <c r="C1048" s="1">
        <v>9342</v>
      </c>
      <c r="D1048" s="21">
        <f t="shared" si="32"/>
        <v>1.5434782608695652E-2</v>
      </c>
      <c r="E1048" s="1">
        <v>9342</v>
      </c>
      <c r="F1048" s="1">
        <v>0</v>
      </c>
      <c r="H1048" s="1">
        <v>2429</v>
      </c>
      <c r="I1048" s="21">
        <f t="shared" si="31"/>
        <v>-4.1152263374485596E-4</v>
      </c>
      <c r="J1048" s="1">
        <v>898</v>
      </c>
      <c r="K1048" s="1">
        <v>218</v>
      </c>
      <c r="L1048" s="1">
        <v>0</v>
      </c>
      <c r="M1048" s="1">
        <v>0</v>
      </c>
      <c r="O1048" s="1">
        <v>218</v>
      </c>
      <c r="P1048" s="1">
        <v>0</v>
      </c>
      <c r="S1048" s="1">
        <v>218</v>
      </c>
      <c r="T1048" s="1">
        <v>680</v>
      </c>
      <c r="V1048" s="1">
        <v>95</v>
      </c>
      <c r="X1048" s="1">
        <v>310</v>
      </c>
      <c r="Z1048" s="1">
        <v>103</v>
      </c>
      <c r="AA1048" s="1">
        <v>181</v>
      </c>
      <c r="AB1048" s="1">
        <v>136</v>
      </c>
      <c r="AC1048" s="1">
        <v>16</v>
      </c>
      <c r="AD1048" s="1">
        <v>28</v>
      </c>
      <c r="AE1048" s="1">
        <v>0</v>
      </c>
      <c r="AF1048" s="1">
        <v>243</v>
      </c>
      <c r="AG1048" s="1">
        <v>109</v>
      </c>
    </row>
    <row r="1049" spans="1:33">
      <c r="A1049" s="58">
        <v>40081</v>
      </c>
      <c r="B1049" s="1">
        <v>11880</v>
      </c>
      <c r="C1049" s="1">
        <v>9331</v>
      </c>
      <c r="D1049" s="21">
        <f t="shared" si="32"/>
        <v>-1.1774780560907729E-3</v>
      </c>
      <c r="E1049" s="1">
        <v>9331</v>
      </c>
      <c r="F1049" s="1">
        <v>0</v>
      </c>
      <c r="H1049" s="1">
        <v>2548</v>
      </c>
      <c r="I1049" s="21">
        <f t="shared" si="31"/>
        <v>4.8991354466858789E-2</v>
      </c>
      <c r="J1049" s="1">
        <v>891</v>
      </c>
      <c r="K1049" s="1">
        <v>191</v>
      </c>
      <c r="L1049" s="1">
        <v>0</v>
      </c>
      <c r="M1049" s="1">
        <v>0</v>
      </c>
      <c r="O1049" s="1">
        <v>191</v>
      </c>
      <c r="P1049" s="1">
        <v>0</v>
      </c>
      <c r="S1049" s="1">
        <v>191</v>
      </c>
      <c r="T1049" s="1">
        <v>701</v>
      </c>
      <c r="V1049" s="1">
        <v>92</v>
      </c>
      <c r="X1049" s="1">
        <v>354</v>
      </c>
      <c r="Z1049" s="1">
        <v>104</v>
      </c>
      <c r="AA1049" s="1">
        <v>179</v>
      </c>
      <c r="AB1049" s="1">
        <v>135</v>
      </c>
      <c r="AC1049" s="1">
        <v>16</v>
      </c>
      <c r="AD1049" s="1">
        <v>29</v>
      </c>
      <c r="AE1049" s="1">
        <v>0</v>
      </c>
      <c r="AF1049" s="1">
        <v>303</v>
      </c>
      <c r="AG1049" s="1">
        <v>123</v>
      </c>
    </row>
    <row r="1050" spans="1:33">
      <c r="A1050" s="58">
        <v>40088</v>
      </c>
      <c r="B1050" s="1">
        <v>11966</v>
      </c>
      <c r="C1050" s="1">
        <v>9332</v>
      </c>
      <c r="D1050" s="21">
        <f t="shared" si="32"/>
        <v>1.0716964955524595E-4</v>
      </c>
      <c r="E1050" s="1">
        <v>9332</v>
      </c>
      <c r="F1050" s="1">
        <v>0</v>
      </c>
      <c r="H1050" s="1">
        <v>2634</v>
      </c>
      <c r="I1050" s="21">
        <f t="shared" ref="I1050:I1113" si="33">(H1050-H1049)/H1049</f>
        <v>3.3751962323390894E-2</v>
      </c>
      <c r="J1050" s="1">
        <v>898</v>
      </c>
      <c r="K1050" s="1">
        <v>167</v>
      </c>
      <c r="L1050" s="1">
        <v>0</v>
      </c>
      <c r="M1050" s="1">
        <v>0</v>
      </c>
      <c r="O1050" s="1">
        <v>167</v>
      </c>
      <c r="P1050" s="1">
        <v>0</v>
      </c>
      <c r="S1050" s="1">
        <v>167</v>
      </c>
      <c r="T1050" s="1">
        <v>731</v>
      </c>
      <c r="V1050" s="1">
        <v>85</v>
      </c>
      <c r="X1050" s="1">
        <v>364</v>
      </c>
      <c r="Z1050" s="1">
        <v>104</v>
      </c>
      <c r="AA1050" s="1">
        <v>174</v>
      </c>
      <c r="AB1050" s="1">
        <v>117</v>
      </c>
      <c r="AC1050" s="1">
        <v>13</v>
      </c>
      <c r="AD1050" s="1">
        <v>45</v>
      </c>
      <c r="AE1050" s="1">
        <v>0</v>
      </c>
      <c r="AF1050" s="1">
        <v>271</v>
      </c>
      <c r="AG1050" s="1">
        <v>106</v>
      </c>
    </row>
    <row r="1051" spans="1:33">
      <c r="A1051" s="58">
        <v>40095</v>
      </c>
      <c r="B1051" s="1">
        <v>11970</v>
      </c>
      <c r="C1051" s="1">
        <v>9289</v>
      </c>
      <c r="D1051" s="21">
        <f t="shared" si="32"/>
        <v>-4.6078011144449205E-3</v>
      </c>
      <c r="E1051" s="1">
        <v>9289</v>
      </c>
      <c r="F1051" s="1">
        <v>0</v>
      </c>
      <c r="H1051" s="1">
        <v>2681</v>
      </c>
      <c r="I1051" s="21">
        <f t="shared" si="33"/>
        <v>1.7843583902809414E-2</v>
      </c>
      <c r="J1051" s="1">
        <v>895</v>
      </c>
      <c r="K1051" s="1">
        <v>178</v>
      </c>
      <c r="L1051" s="1">
        <v>0</v>
      </c>
      <c r="M1051" s="1">
        <v>0</v>
      </c>
      <c r="O1051" s="1">
        <v>178</v>
      </c>
      <c r="P1051" s="1">
        <v>0</v>
      </c>
      <c r="S1051" s="1">
        <v>178</v>
      </c>
      <c r="T1051" s="1">
        <v>717</v>
      </c>
      <c r="V1051" s="1">
        <v>92</v>
      </c>
      <c r="X1051" s="1">
        <v>326</v>
      </c>
      <c r="Z1051" s="1">
        <v>105</v>
      </c>
      <c r="AA1051" s="1">
        <v>178</v>
      </c>
      <c r="AB1051" s="1">
        <v>110</v>
      </c>
      <c r="AC1051" s="1">
        <v>13</v>
      </c>
      <c r="AD1051" s="1">
        <v>56</v>
      </c>
      <c r="AE1051" s="1">
        <v>0</v>
      </c>
      <c r="AF1051" s="1">
        <v>266</v>
      </c>
      <c r="AG1051" s="1">
        <v>125</v>
      </c>
    </row>
    <row r="1052" spans="1:33">
      <c r="A1052" s="58">
        <v>40102</v>
      </c>
      <c r="B1052" s="1">
        <v>11646</v>
      </c>
      <c r="C1052" s="1">
        <v>9015</v>
      </c>
      <c r="D1052" s="21">
        <f t="shared" si="32"/>
        <v>-2.9497254817526106E-2</v>
      </c>
      <c r="E1052" s="1">
        <v>9015</v>
      </c>
      <c r="F1052" s="1">
        <v>0</v>
      </c>
      <c r="H1052" s="1">
        <v>2631</v>
      </c>
      <c r="I1052" s="21">
        <f t="shared" si="33"/>
        <v>-1.8649757553151809E-2</v>
      </c>
      <c r="J1052" s="1">
        <v>800</v>
      </c>
      <c r="K1052" s="1">
        <v>146</v>
      </c>
      <c r="L1052" s="1">
        <v>0</v>
      </c>
      <c r="M1052" s="1">
        <v>0</v>
      </c>
      <c r="O1052" s="1">
        <v>146</v>
      </c>
      <c r="P1052" s="1">
        <v>0</v>
      </c>
      <c r="S1052" s="1">
        <v>146</v>
      </c>
      <c r="T1052" s="1">
        <v>654</v>
      </c>
      <c r="V1052" s="1">
        <v>83</v>
      </c>
      <c r="X1052" s="1">
        <v>297</v>
      </c>
      <c r="Z1052" s="1">
        <v>93</v>
      </c>
      <c r="AA1052" s="1">
        <v>162</v>
      </c>
      <c r="AB1052" s="1">
        <v>95</v>
      </c>
      <c r="AC1052" s="1">
        <v>6</v>
      </c>
      <c r="AD1052" s="1">
        <v>61</v>
      </c>
      <c r="AE1052" s="1">
        <v>0</v>
      </c>
      <c r="AF1052" s="1">
        <v>277</v>
      </c>
      <c r="AG1052" s="1">
        <v>132</v>
      </c>
    </row>
    <row r="1053" spans="1:33">
      <c r="A1053" s="58">
        <v>40109</v>
      </c>
      <c r="B1053" s="1">
        <v>11447</v>
      </c>
      <c r="C1053" s="1">
        <v>8855</v>
      </c>
      <c r="D1053" s="21">
        <f t="shared" ref="D1053:D1116" si="34">(C1053-C1052)/C1052</f>
        <v>-1.7748197448696618E-2</v>
      </c>
      <c r="E1053" s="1">
        <v>8855</v>
      </c>
      <c r="F1053" s="1">
        <v>0</v>
      </c>
      <c r="H1053" s="1">
        <v>2593</v>
      </c>
      <c r="I1053" s="21">
        <f t="shared" si="33"/>
        <v>-1.4443177499049791E-2</v>
      </c>
      <c r="J1053" s="1">
        <v>777</v>
      </c>
      <c r="K1053" s="1">
        <v>129</v>
      </c>
      <c r="L1053" s="1">
        <v>0</v>
      </c>
      <c r="M1053" s="1">
        <v>0</v>
      </c>
      <c r="O1053" s="1">
        <v>129</v>
      </c>
      <c r="P1053" s="1">
        <v>0</v>
      </c>
      <c r="S1053" s="1">
        <v>129</v>
      </c>
      <c r="T1053" s="1">
        <v>648</v>
      </c>
      <c r="V1053" s="1">
        <v>89</v>
      </c>
      <c r="X1053" s="1">
        <v>289</v>
      </c>
      <c r="Z1053" s="1">
        <v>91</v>
      </c>
      <c r="AA1053" s="1">
        <v>171</v>
      </c>
      <c r="AB1053" s="1">
        <v>87</v>
      </c>
      <c r="AC1053" s="1">
        <v>6</v>
      </c>
      <c r="AD1053" s="1">
        <v>78</v>
      </c>
      <c r="AE1053" s="1">
        <v>0</v>
      </c>
      <c r="AF1053" s="1">
        <v>305</v>
      </c>
      <c r="AG1053" s="1">
        <v>138</v>
      </c>
    </row>
    <row r="1054" spans="1:33">
      <c r="A1054" s="58">
        <v>40116</v>
      </c>
      <c r="B1054" s="1">
        <v>11129</v>
      </c>
      <c r="C1054" s="1">
        <v>8612</v>
      </c>
      <c r="D1054" s="21">
        <f t="shared" si="34"/>
        <v>-2.7442123094297007E-2</v>
      </c>
      <c r="E1054" s="1">
        <v>8612</v>
      </c>
      <c r="F1054" s="1">
        <v>0</v>
      </c>
      <c r="H1054" s="1">
        <v>2518</v>
      </c>
      <c r="I1054" s="21">
        <f t="shared" si="33"/>
        <v>-2.8924026224450443E-2</v>
      </c>
      <c r="J1054" s="1">
        <v>793</v>
      </c>
      <c r="K1054" s="1">
        <v>154</v>
      </c>
      <c r="L1054" s="1">
        <v>0</v>
      </c>
      <c r="M1054" s="1">
        <v>0</v>
      </c>
      <c r="O1054" s="1">
        <v>154</v>
      </c>
      <c r="P1054" s="1">
        <v>0</v>
      </c>
      <c r="S1054" s="1">
        <v>154</v>
      </c>
      <c r="T1054" s="1">
        <v>639</v>
      </c>
      <c r="V1054" s="1">
        <v>89</v>
      </c>
      <c r="X1054" s="1">
        <v>277</v>
      </c>
      <c r="Z1054" s="1">
        <v>89</v>
      </c>
      <c r="AA1054" s="1">
        <v>166</v>
      </c>
      <c r="AB1054" s="1">
        <v>92</v>
      </c>
      <c r="AC1054" s="1">
        <v>6</v>
      </c>
      <c r="AD1054" s="1">
        <v>69</v>
      </c>
      <c r="AE1054" s="1">
        <v>0</v>
      </c>
      <c r="AF1054" s="1">
        <v>326</v>
      </c>
      <c r="AG1054" s="1">
        <v>142</v>
      </c>
    </row>
    <row r="1055" spans="1:33">
      <c r="A1055" s="58">
        <v>40123</v>
      </c>
      <c r="B1055" s="1">
        <v>11105</v>
      </c>
      <c r="C1055" s="1">
        <v>8593</v>
      </c>
      <c r="D1055" s="21">
        <f t="shared" si="34"/>
        <v>-2.2062238736646539E-3</v>
      </c>
      <c r="E1055" s="1">
        <v>8593</v>
      </c>
      <c r="F1055" s="1">
        <v>0</v>
      </c>
      <c r="H1055" s="1">
        <v>2513</v>
      </c>
      <c r="I1055" s="21">
        <f t="shared" si="33"/>
        <v>-1.9857029388403494E-3</v>
      </c>
      <c r="J1055" s="1">
        <v>804</v>
      </c>
      <c r="K1055" s="1">
        <v>151</v>
      </c>
      <c r="L1055" s="1">
        <v>0</v>
      </c>
      <c r="M1055" s="1">
        <v>0</v>
      </c>
      <c r="O1055" s="1">
        <v>151</v>
      </c>
      <c r="P1055" s="1">
        <v>0</v>
      </c>
      <c r="S1055" s="1">
        <v>151</v>
      </c>
      <c r="T1055" s="1">
        <v>653</v>
      </c>
      <c r="V1055" s="1">
        <v>68</v>
      </c>
      <c r="X1055" s="1">
        <v>299</v>
      </c>
      <c r="Z1055" s="1">
        <v>76</v>
      </c>
      <c r="AA1055" s="1">
        <v>170</v>
      </c>
      <c r="AB1055" s="1">
        <v>100</v>
      </c>
      <c r="AC1055" s="1">
        <v>8</v>
      </c>
      <c r="AD1055" s="1">
        <v>62</v>
      </c>
      <c r="AE1055" s="1">
        <v>0</v>
      </c>
      <c r="AF1055" s="1">
        <v>326</v>
      </c>
      <c r="AG1055" s="1">
        <v>134</v>
      </c>
    </row>
    <row r="1056" spans="1:33">
      <c r="A1056" s="58">
        <v>40130</v>
      </c>
      <c r="B1056" s="1">
        <v>11089</v>
      </c>
      <c r="C1056" s="1">
        <v>8563</v>
      </c>
      <c r="D1056" s="21">
        <f t="shared" si="34"/>
        <v>-3.4912137786570463E-3</v>
      </c>
      <c r="E1056" s="1">
        <v>8563</v>
      </c>
      <c r="F1056" s="1">
        <v>0</v>
      </c>
      <c r="H1056" s="1">
        <v>2527</v>
      </c>
      <c r="I1056" s="21">
        <f t="shared" si="33"/>
        <v>5.5710306406685237E-3</v>
      </c>
      <c r="J1056" s="1">
        <v>787</v>
      </c>
      <c r="K1056" s="1">
        <v>171</v>
      </c>
      <c r="L1056" s="1">
        <v>0</v>
      </c>
      <c r="M1056" s="1">
        <v>0</v>
      </c>
      <c r="O1056" s="1">
        <v>171</v>
      </c>
      <c r="P1056" s="1">
        <v>0</v>
      </c>
      <c r="S1056" s="1">
        <v>171</v>
      </c>
      <c r="T1056" s="1">
        <v>616</v>
      </c>
      <c r="V1056" s="1">
        <v>50</v>
      </c>
      <c r="X1056" s="1">
        <v>297</v>
      </c>
      <c r="Z1056" s="1">
        <v>78</v>
      </c>
      <c r="AA1056" s="1">
        <v>178</v>
      </c>
      <c r="AB1056" s="1">
        <v>111</v>
      </c>
      <c r="AC1056" s="1">
        <v>13</v>
      </c>
      <c r="AD1056" s="1">
        <v>54</v>
      </c>
      <c r="AE1056" s="1">
        <v>0</v>
      </c>
      <c r="AF1056" s="1">
        <v>338</v>
      </c>
      <c r="AG1056" s="1">
        <v>147</v>
      </c>
    </row>
    <row r="1057" spans="1:33">
      <c r="A1057" s="58">
        <v>40137</v>
      </c>
      <c r="B1057" s="1">
        <v>11161</v>
      </c>
      <c r="C1057" s="1">
        <v>8578</v>
      </c>
      <c r="D1057" s="21">
        <f t="shared" si="34"/>
        <v>1.7517225271516991E-3</v>
      </c>
      <c r="E1057" s="1">
        <v>8578</v>
      </c>
      <c r="F1057" s="1">
        <v>0</v>
      </c>
      <c r="H1057" s="1">
        <v>2583</v>
      </c>
      <c r="I1057" s="21">
        <f t="shared" si="33"/>
        <v>2.2160664819944598E-2</v>
      </c>
      <c r="J1057" s="1">
        <v>830</v>
      </c>
      <c r="K1057" s="1">
        <v>170</v>
      </c>
      <c r="L1057" s="1">
        <v>0</v>
      </c>
      <c r="M1057" s="1">
        <v>0</v>
      </c>
      <c r="O1057" s="1">
        <v>170</v>
      </c>
      <c r="P1057" s="1">
        <v>0</v>
      </c>
      <c r="S1057" s="1">
        <v>170</v>
      </c>
      <c r="T1057" s="1">
        <v>661</v>
      </c>
      <c r="V1057" s="1">
        <v>24</v>
      </c>
      <c r="X1057" s="1">
        <v>322</v>
      </c>
      <c r="Z1057" s="1">
        <v>76</v>
      </c>
      <c r="AA1057" s="1">
        <v>190</v>
      </c>
      <c r="AB1057" s="1">
        <v>116</v>
      </c>
      <c r="AC1057" s="1">
        <v>14</v>
      </c>
      <c r="AD1057" s="1">
        <v>60</v>
      </c>
      <c r="AE1057" s="1">
        <v>0</v>
      </c>
      <c r="AF1057" s="1">
        <v>298</v>
      </c>
      <c r="AG1057" s="1">
        <v>145</v>
      </c>
    </row>
    <row r="1058" spans="1:33">
      <c r="A1058" s="58">
        <v>40144</v>
      </c>
      <c r="B1058" s="1">
        <v>11368</v>
      </c>
      <c r="C1058" s="1">
        <v>8647</v>
      </c>
      <c r="D1058" s="21">
        <f t="shared" si="34"/>
        <v>8.0438330613196544E-3</v>
      </c>
      <c r="E1058" s="1">
        <v>8647</v>
      </c>
      <c r="F1058" s="1">
        <v>0</v>
      </c>
      <c r="H1058" s="1">
        <v>2722</v>
      </c>
      <c r="I1058" s="21">
        <f t="shared" si="33"/>
        <v>5.3813395276809908E-2</v>
      </c>
      <c r="J1058" s="1">
        <v>836</v>
      </c>
      <c r="K1058" s="1">
        <v>172</v>
      </c>
      <c r="L1058" s="1">
        <v>0</v>
      </c>
      <c r="M1058" s="1">
        <v>0</v>
      </c>
      <c r="O1058" s="1">
        <v>172</v>
      </c>
      <c r="P1058" s="1">
        <v>0</v>
      </c>
      <c r="S1058" s="1">
        <v>172</v>
      </c>
      <c r="T1058" s="1">
        <v>664</v>
      </c>
      <c r="V1058" s="1">
        <v>47</v>
      </c>
      <c r="X1058" s="1">
        <v>347</v>
      </c>
      <c r="Z1058" s="1">
        <v>71</v>
      </c>
      <c r="AA1058" s="1">
        <v>175</v>
      </c>
      <c r="AB1058" s="1">
        <v>111</v>
      </c>
      <c r="AC1058" s="1">
        <v>15</v>
      </c>
      <c r="AD1058" s="1">
        <v>48</v>
      </c>
      <c r="AE1058" s="1">
        <v>0</v>
      </c>
      <c r="AF1058" s="1">
        <v>305</v>
      </c>
      <c r="AG1058" s="1">
        <v>177</v>
      </c>
    </row>
    <row r="1059" spans="1:33">
      <c r="A1059" s="58">
        <v>40151</v>
      </c>
      <c r="B1059" s="1">
        <v>11238</v>
      </c>
      <c r="C1059" s="1">
        <v>8517</v>
      </c>
      <c r="D1059" s="21">
        <f t="shared" si="34"/>
        <v>-1.5034115878339308E-2</v>
      </c>
      <c r="E1059" s="1">
        <v>8517</v>
      </c>
      <c r="F1059" s="1">
        <v>0</v>
      </c>
      <c r="H1059" s="1">
        <v>2721</v>
      </c>
      <c r="I1059" s="21">
        <f t="shared" si="33"/>
        <v>-3.673769287288758E-4</v>
      </c>
      <c r="J1059" s="1">
        <v>841</v>
      </c>
      <c r="K1059" s="1">
        <v>152</v>
      </c>
      <c r="L1059" s="1">
        <v>0</v>
      </c>
      <c r="M1059" s="1">
        <v>0</v>
      </c>
      <c r="O1059" s="1">
        <v>152</v>
      </c>
      <c r="P1059" s="1">
        <v>0</v>
      </c>
      <c r="S1059" s="1">
        <v>152</v>
      </c>
      <c r="T1059" s="1">
        <v>689</v>
      </c>
      <c r="V1059" s="1">
        <v>63</v>
      </c>
      <c r="X1059" s="1">
        <v>387</v>
      </c>
      <c r="Z1059" s="1">
        <v>86</v>
      </c>
      <c r="AA1059" s="1">
        <v>177</v>
      </c>
      <c r="AB1059" s="1">
        <v>108</v>
      </c>
      <c r="AC1059" s="1">
        <v>17</v>
      </c>
      <c r="AD1059" s="1">
        <v>52</v>
      </c>
      <c r="AE1059" s="1">
        <v>0</v>
      </c>
      <c r="AF1059" s="1">
        <v>300</v>
      </c>
      <c r="AG1059" s="1">
        <v>178</v>
      </c>
    </row>
    <row r="1060" spans="1:33">
      <c r="A1060" s="58">
        <v>40158</v>
      </c>
      <c r="B1060" s="1">
        <v>11082</v>
      </c>
      <c r="C1060" s="1">
        <v>8315</v>
      </c>
      <c r="D1060" s="21">
        <f t="shared" si="34"/>
        <v>-2.3717271339673593E-2</v>
      </c>
      <c r="E1060" s="1">
        <v>8315</v>
      </c>
      <c r="F1060" s="1">
        <v>0</v>
      </c>
      <c r="H1060" s="1">
        <v>2767</v>
      </c>
      <c r="I1060" s="21">
        <f t="shared" si="33"/>
        <v>1.6905549430356485E-2</v>
      </c>
      <c r="J1060" s="1">
        <v>936</v>
      </c>
      <c r="K1060" s="1">
        <v>175</v>
      </c>
      <c r="L1060" s="1">
        <v>0</v>
      </c>
      <c r="M1060" s="1">
        <v>0</v>
      </c>
      <c r="O1060" s="1">
        <v>175</v>
      </c>
      <c r="P1060" s="1">
        <v>0</v>
      </c>
      <c r="S1060" s="1">
        <v>175</v>
      </c>
      <c r="T1060" s="1">
        <v>762</v>
      </c>
      <c r="V1060" s="1">
        <v>86</v>
      </c>
      <c r="X1060" s="1">
        <v>424</v>
      </c>
      <c r="Z1060" s="1">
        <v>80</v>
      </c>
      <c r="AA1060" s="1">
        <v>196</v>
      </c>
      <c r="AB1060" s="1">
        <v>114</v>
      </c>
      <c r="AC1060" s="1">
        <v>15</v>
      </c>
      <c r="AD1060" s="1">
        <v>67</v>
      </c>
      <c r="AE1060" s="1">
        <v>0</v>
      </c>
      <c r="AF1060" s="1">
        <v>316</v>
      </c>
      <c r="AG1060" s="1">
        <v>184</v>
      </c>
    </row>
    <row r="1061" spans="1:33">
      <c r="A1061" s="58">
        <v>40165</v>
      </c>
      <c r="B1061" s="1">
        <v>10684</v>
      </c>
      <c r="C1061" s="1">
        <v>8004</v>
      </c>
      <c r="D1061" s="21">
        <f t="shared" si="34"/>
        <v>-3.7402285027059529E-2</v>
      </c>
      <c r="E1061" s="1">
        <v>8004</v>
      </c>
      <c r="F1061" s="1">
        <v>0</v>
      </c>
      <c r="H1061" s="1">
        <v>2680</v>
      </c>
      <c r="I1061" s="21">
        <f t="shared" si="33"/>
        <v>-3.1441994940368631E-2</v>
      </c>
      <c r="J1061" s="1">
        <v>916</v>
      </c>
      <c r="K1061" s="1">
        <v>193</v>
      </c>
      <c r="L1061" s="1">
        <v>0</v>
      </c>
      <c r="M1061" s="1">
        <v>0</v>
      </c>
      <c r="O1061" s="1">
        <v>193</v>
      </c>
      <c r="P1061" s="1">
        <v>0</v>
      </c>
      <c r="S1061" s="1">
        <v>193</v>
      </c>
      <c r="T1061" s="1">
        <v>724</v>
      </c>
      <c r="V1061" s="1">
        <v>107</v>
      </c>
      <c r="X1061" s="1">
        <v>386</v>
      </c>
      <c r="Z1061" s="1">
        <v>73</v>
      </c>
      <c r="AA1061" s="1">
        <v>221</v>
      </c>
      <c r="AB1061" s="1">
        <v>136</v>
      </c>
      <c r="AC1061" s="1">
        <v>23</v>
      </c>
      <c r="AD1061" s="1">
        <v>63</v>
      </c>
      <c r="AE1061" s="1">
        <v>0</v>
      </c>
      <c r="AF1061" s="1">
        <v>325</v>
      </c>
      <c r="AG1061" s="1">
        <v>192</v>
      </c>
    </row>
    <row r="1062" spans="1:33">
      <c r="A1062" s="58">
        <v>40172</v>
      </c>
      <c r="B1062" s="1">
        <v>10399</v>
      </c>
      <c r="C1062" s="1">
        <v>7911</v>
      </c>
      <c r="D1062" s="21">
        <f t="shared" si="34"/>
        <v>-1.1619190404797601E-2</v>
      </c>
      <c r="E1062" s="1">
        <v>7911</v>
      </c>
      <c r="F1062" s="1">
        <v>0</v>
      </c>
      <c r="H1062" s="1">
        <v>2488</v>
      </c>
      <c r="I1062" s="21">
        <f t="shared" si="33"/>
        <v>-7.1641791044776124E-2</v>
      </c>
      <c r="J1062" s="1">
        <v>830</v>
      </c>
      <c r="K1062" s="1">
        <v>187</v>
      </c>
      <c r="L1062" s="1">
        <v>0</v>
      </c>
      <c r="M1062" s="1">
        <v>0</v>
      </c>
      <c r="O1062" s="1">
        <v>187</v>
      </c>
      <c r="P1062" s="1">
        <v>0</v>
      </c>
      <c r="S1062" s="1">
        <v>187</v>
      </c>
      <c r="T1062" s="1">
        <v>643</v>
      </c>
      <c r="V1062" s="1">
        <v>80</v>
      </c>
      <c r="X1062" s="1">
        <v>347</v>
      </c>
      <c r="Z1062" s="1">
        <v>74</v>
      </c>
      <c r="AA1062" s="1">
        <v>247</v>
      </c>
      <c r="AB1062" s="1">
        <v>143</v>
      </c>
      <c r="AC1062" s="1">
        <v>32</v>
      </c>
      <c r="AD1062" s="1">
        <v>72</v>
      </c>
      <c r="AE1062" s="1">
        <v>0</v>
      </c>
      <c r="AF1062" s="1">
        <v>328</v>
      </c>
      <c r="AG1062" s="1">
        <v>189</v>
      </c>
    </row>
    <row r="1063" spans="1:33">
      <c r="A1063" s="58">
        <v>40179</v>
      </c>
      <c r="B1063" s="1">
        <v>10475</v>
      </c>
      <c r="C1063" s="1">
        <v>7965</v>
      </c>
      <c r="D1063" s="21">
        <f t="shared" si="34"/>
        <v>6.8259385665529011E-3</v>
      </c>
      <c r="E1063" s="1">
        <v>7965</v>
      </c>
      <c r="F1063" s="1">
        <v>0</v>
      </c>
      <c r="H1063" s="1">
        <v>2510</v>
      </c>
      <c r="I1063" s="21">
        <f t="shared" si="33"/>
        <v>8.8424437299035371E-3</v>
      </c>
      <c r="J1063" s="1">
        <v>838</v>
      </c>
      <c r="K1063" s="1">
        <v>211</v>
      </c>
      <c r="L1063" s="1">
        <v>0</v>
      </c>
      <c r="M1063" s="1">
        <v>0</v>
      </c>
      <c r="O1063" s="1">
        <v>211</v>
      </c>
      <c r="P1063" s="1">
        <v>1</v>
      </c>
      <c r="S1063" s="1">
        <v>211</v>
      </c>
      <c r="T1063" s="1">
        <v>627</v>
      </c>
      <c r="V1063" s="1">
        <v>81</v>
      </c>
      <c r="X1063" s="1">
        <v>308</v>
      </c>
      <c r="Z1063" s="1">
        <v>75</v>
      </c>
      <c r="AA1063" s="1">
        <v>273</v>
      </c>
      <c r="AB1063" s="1">
        <v>144</v>
      </c>
      <c r="AC1063" s="1">
        <v>30</v>
      </c>
      <c r="AD1063" s="1">
        <v>98</v>
      </c>
      <c r="AE1063" s="1">
        <v>0</v>
      </c>
      <c r="AF1063" s="1">
        <v>362</v>
      </c>
      <c r="AG1063" s="1">
        <v>195</v>
      </c>
    </row>
    <row r="1064" spans="1:33">
      <c r="A1064" s="58">
        <v>40186</v>
      </c>
      <c r="B1064" s="1">
        <v>10779</v>
      </c>
      <c r="C1064" s="1">
        <v>8246</v>
      </c>
      <c r="D1064" s="21">
        <f t="shared" si="34"/>
        <v>3.5279347143753921E-2</v>
      </c>
      <c r="E1064" s="1">
        <v>8246</v>
      </c>
      <c r="F1064" s="1">
        <v>0</v>
      </c>
      <c r="H1064" s="1">
        <v>2533</v>
      </c>
      <c r="I1064" s="21">
        <f t="shared" si="33"/>
        <v>9.1633466135458159E-3</v>
      </c>
      <c r="J1064" s="1">
        <v>819</v>
      </c>
      <c r="K1064" s="1">
        <v>210</v>
      </c>
      <c r="L1064" s="1">
        <v>0</v>
      </c>
      <c r="M1064" s="1">
        <v>0</v>
      </c>
      <c r="O1064" s="1">
        <v>210</v>
      </c>
      <c r="P1064" s="1">
        <v>1</v>
      </c>
      <c r="S1064" s="1">
        <v>209</v>
      </c>
      <c r="T1064" s="1">
        <v>610</v>
      </c>
      <c r="V1064" s="1">
        <v>75</v>
      </c>
      <c r="X1064" s="1">
        <v>291</v>
      </c>
      <c r="Z1064" s="1">
        <v>83</v>
      </c>
      <c r="AA1064" s="1">
        <v>350</v>
      </c>
      <c r="AB1064" s="1">
        <v>141</v>
      </c>
      <c r="AC1064" s="1">
        <v>51</v>
      </c>
      <c r="AD1064" s="1">
        <v>157</v>
      </c>
      <c r="AE1064" s="1">
        <v>0</v>
      </c>
      <c r="AF1064" s="1">
        <v>371</v>
      </c>
      <c r="AG1064" s="1">
        <v>183</v>
      </c>
    </row>
    <row r="1065" spans="1:33">
      <c r="A1065" s="58">
        <v>40193</v>
      </c>
      <c r="B1065" s="1">
        <v>11036</v>
      </c>
      <c r="C1065" s="1">
        <v>8454</v>
      </c>
      <c r="D1065" s="21">
        <f t="shared" si="34"/>
        <v>2.5224351200582102E-2</v>
      </c>
      <c r="E1065" s="1">
        <v>8454</v>
      </c>
      <c r="F1065" s="1">
        <v>0</v>
      </c>
      <c r="H1065" s="1">
        <v>2581</v>
      </c>
      <c r="I1065" s="21">
        <f t="shared" si="33"/>
        <v>1.8949861823924202E-2</v>
      </c>
      <c r="J1065" s="1">
        <v>790</v>
      </c>
      <c r="K1065" s="1">
        <v>212</v>
      </c>
      <c r="L1065" s="1">
        <v>0</v>
      </c>
      <c r="M1065" s="1">
        <v>0</v>
      </c>
      <c r="O1065" s="1">
        <v>212</v>
      </c>
      <c r="P1065" s="1">
        <v>1</v>
      </c>
      <c r="S1065" s="1">
        <v>212</v>
      </c>
      <c r="T1065" s="1">
        <v>578</v>
      </c>
      <c r="V1065" s="1">
        <v>70</v>
      </c>
      <c r="X1065" s="1">
        <v>255</v>
      </c>
      <c r="Z1065" s="1">
        <v>91</v>
      </c>
      <c r="AA1065" s="1">
        <v>334</v>
      </c>
      <c r="AB1065" s="1">
        <v>120</v>
      </c>
      <c r="AC1065" s="1">
        <v>46</v>
      </c>
      <c r="AD1065" s="1">
        <v>168</v>
      </c>
      <c r="AE1065" s="1">
        <v>0</v>
      </c>
      <c r="AF1065" s="1">
        <v>382</v>
      </c>
      <c r="AG1065" s="1">
        <v>197</v>
      </c>
    </row>
    <row r="1066" spans="1:33">
      <c r="A1066" s="58">
        <v>40200</v>
      </c>
      <c r="B1066" s="1">
        <v>11117</v>
      </c>
      <c r="C1066" s="1">
        <v>8414</v>
      </c>
      <c r="D1066" s="21">
        <f t="shared" si="34"/>
        <v>-4.7314880529926665E-3</v>
      </c>
      <c r="E1066" s="1">
        <v>8414</v>
      </c>
      <c r="F1066" s="1">
        <v>0</v>
      </c>
      <c r="H1066" s="1">
        <v>2703</v>
      </c>
      <c r="I1066" s="21">
        <f t="shared" si="33"/>
        <v>4.7268500581170089E-2</v>
      </c>
      <c r="J1066" s="1">
        <v>807</v>
      </c>
      <c r="K1066" s="1">
        <v>213</v>
      </c>
      <c r="L1066" s="1">
        <v>0</v>
      </c>
      <c r="M1066" s="1">
        <v>0</v>
      </c>
      <c r="O1066" s="1">
        <v>213</v>
      </c>
      <c r="P1066" s="1">
        <v>0</v>
      </c>
      <c r="S1066" s="1">
        <v>213</v>
      </c>
      <c r="T1066" s="1">
        <v>594</v>
      </c>
      <c r="V1066" s="1">
        <v>71</v>
      </c>
      <c r="X1066" s="1">
        <v>253</v>
      </c>
      <c r="Z1066" s="1">
        <v>109</v>
      </c>
      <c r="AA1066" s="1">
        <v>439</v>
      </c>
      <c r="AB1066" s="1">
        <v>145</v>
      </c>
      <c r="AC1066" s="1">
        <v>93</v>
      </c>
      <c r="AD1066" s="1">
        <v>202</v>
      </c>
      <c r="AE1066" s="1">
        <v>0</v>
      </c>
      <c r="AF1066" s="1">
        <v>334</v>
      </c>
      <c r="AG1066" s="1">
        <v>180</v>
      </c>
    </row>
    <row r="1067" spans="1:33">
      <c r="A1067" s="58">
        <v>40207</v>
      </c>
      <c r="B1067" s="1">
        <v>11222</v>
      </c>
      <c r="C1067" s="1">
        <v>8432</v>
      </c>
      <c r="D1067" s="21">
        <f t="shared" si="34"/>
        <v>2.1392916567625386E-3</v>
      </c>
      <c r="E1067" s="1">
        <v>8432</v>
      </c>
      <c r="F1067" s="1">
        <v>0</v>
      </c>
      <c r="H1067" s="1">
        <v>2790</v>
      </c>
      <c r="I1067" s="21">
        <f t="shared" si="33"/>
        <v>3.2186459489456157E-2</v>
      </c>
      <c r="J1067" s="1">
        <v>843</v>
      </c>
      <c r="K1067" s="1">
        <v>215</v>
      </c>
      <c r="L1067" s="1">
        <v>0</v>
      </c>
      <c r="M1067" s="1">
        <v>0</v>
      </c>
      <c r="O1067" s="1">
        <v>215</v>
      </c>
      <c r="P1067" s="1">
        <v>0</v>
      </c>
      <c r="S1067" s="1">
        <v>215</v>
      </c>
      <c r="T1067" s="1">
        <v>628</v>
      </c>
      <c r="V1067" s="1">
        <v>58</v>
      </c>
      <c r="X1067" s="1">
        <v>299</v>
      </c>
      <c r="Z1067" s="1">
        <v>113</v>
      </c>
      <c r="AA1067" s="1">
        <v>476</v>
      </c>
      <c r="AB1067" s="1">
        <v>146</v>
      </c>
      <c r="AC1067" s="1">
        <v>114</v>
      </c>
      <c r="AD1067" s="1">
        <v>216</v>
      </c>
      <c r="AE1067" s="1">
        <v>0</v>
      </c>
      <c r="AF1067" s="1">
        <v>367</v>
      </c>
      <c r="AG1067" s="1">
        <v>169</v>
      </c>
    </row>
    <row r="1068" spans="1:33">
      <c r="A1068" s="58">
        <v>40214</v>
      </c>
      <c r="B1068" s="1">
        <v>11251</v>
      </c>
      <c r="C1068" s="1">
        <v>8294</v>
      </c>
      <c r="D1068" s="21">
        <f t="shared" si="34"/>
        <v>-1.6366223908918405E-2</v>
      </c>
      <c r="E1068" s="1">
        <v>8294</v>
      </c>
      <c r="F1068" s="1">
        <v>0</v>
      </c>
      <c r="H1068" s="1">
        <v>2957</v>
      </c>
      <c r="I1068" s="21">
        <f t="shared" si="33"/>
        <v>5.9856630824372759E-2</v>
      </c>
      <c r="J1068" s="1">
        <v>912</v>
      </c>
      <c r="K1068" s="1">
        <v>223</v>
      </c>
      <c r="L1068" s="1">
        <v>0</v>
      </c>
      <c r="M1068" s="1">
        <v>0</v>
      </c>
      <c r="O1068" s="1">
        <v>223</v>
      </c>
      <c r="P1068" s="1">
        <v>0</v>
      </c>
      <c r="S1068" s="1">
        <v>223</v>
      </c>
      <c r="T1068" s="1">
        <v>689</v>
      </c>
      <c r="V1068" s="1">
        <v>63</v>
      </c>
      <c r="X1068" s="1">
        <v>344</v>
      </c>
      <c r="Z1068" s="1">
        <v>118</v>
      </c>
      <c r="AA1068" s="1">
        <v>500</v>
      </c>
      <c r="AB1068" s="1">
        <v>191</v>
      </c>
      <c r="AC1068" s="1">
        <v>132</v>
      </c>
      <c r="AD1068" s="1">
        <v>176</v>
      </c>
      <c r="AE1068" s="1">
        <v>0</v>
      </c>
      <c r="AF1068" s="1">
        <v>420</v>
      </c>
      <c r="AG1068" s="1">
        <v>214</v>
      </c>
    </row>
    <row r="1069" spans="1:33">
      <c r="A1069" s="58">
        <v>40221</v>
      </c>
      <c r="B1069" s="1">
        <v>11187</v>
      </c>
      <c r="C1069" s="1">
        <v>8296</v>
      </c>
      <c r="D1069" s="21">
        <f t="shared" si="34"/>
        <v>2.4113817217265494E-4</v>
      </c>
      <c r="E1069" s="1">
        <v>8296</v>
      </c>
      <c r="F1069" s="1">
        <v>0</v>
      </c>
      <c r="H1069" s="1">
        <v>2891</v>
      </c>
      <c r="I1069" s="21">
        <f t="shared" si="33"/>
        <v>-2.2319918836658775E-2</v>
      </c>
      <c r="J1069" s="1">
        <v>907</v>
      </c>
      <c r="K1069" s="1">
        <v>217</v>
      </c>
      <c r="L1069" s="1">
        <v>0</v>
      </c>
      <c r="M1069" s="1">
        <v>0</v>
      </c>
      <c r="O1069" s="1">
        <v>217</v>
      </c>
      <c r="P1069" s="1">
        <v>0</v>
      </c>
      <c r="S1069" s="1">
        <v>216</v>
      </c>
      <c r="T1069" s="1">
        <v>690</v>
      </c>
      <c r="V1069" s="1">
        <v>47</v>
      </c>
      <c r="X1069" s="1">
        <v>358</v>
      </c>
      <c r="Z1069" s="1">
        <v>107</v>
      </c>
      <c r="AA1069" s="1">
        <v>529</v>
      </c>
      <c r="AB1069" s="1">
        <v>191</v>
      </c>
      <c r="AC1069" s="1">
        <v>168</v>
      </c>
      <c r="AD1069" s="1">
        <v>171</v>
      </c>
      <c r="AE1069" s="1">
        <v>0</v>
      </c>
      <c r="AF1069" s="1">
        <v>410</v>
      </c>
      <c r="AG1069" s="1">
        <v>175</v>
      </c>
    </row>
    <row r="1070" spans="1:33">
      <c r="A1070" s="58">
        <v>40228</v>
      </c>
      <c r="B1070" s="1">
        <v>11460</v>
      </c>
      <c r="C1070" s="1">
        <v>8600</v>
      </c>
      <c r="D1070" s="21">
        <f t="shared" si="34"/>
        <v>3.6644165863066541E-2</v>
      </c>
      <c r="E1070" s="1">
        <v>8600</v>
      </c>
      <c r="F1070" s="1">
        <v>0</v>
      </c>
      <c r="H1070" s="1">
        <v>2860</v>
      </c>
      <c r="I1070" s="21">
        <f t="shared" si="33"/>
        <v>-1.0722933241093047E-2</v>
      </c>
      <c r="J1070" s="1">
        <v>912</v>
      </c>
      <c r="K1070" s="1">
        <v>226</v>
      </c>
      <c r="L1070" s="1">
        <v>0</v>
      </c>
      <c r="M1070" s="1">
        <v>0</v>
      </c>
      <c r="O1070" s="1">
        <v>226</v>
      </c>
      <c r="P1070" s="1">
        <v>1</v>
      </c>
      <c r="S1070" s="1">
        <v>226</v>
      </c>
      <c r="T1070" s="1">
        <v>686</v>
      </c>
      <c r="V1070" s="1">
        <v>46</v>
      </c>
      <c r="X1070" s="1">
        <v>395</v>
      </c>
      <c r="Z1070" s="1">
        <v>98</v>
      </c>
      <c r="AA1070" s="1">
        <v>476</v>
      </c>
      <c r="AB1070" s="1">
        <v>171</v>
      </c>
      <c r="AC1070" s="1">
        <v>132</v>
      </c>
      <c r="AD1070" s="1">
        <v>173</v>
      </c>
      <c r="AE1070" s="1">
        <v>0</v>
      </c>
      <c r="AF1070" s="1">
        <v>491</v>
      </c>
      <c r="AG1070" s="1">
        <v>172</v>
      </c>
    </row>
    <row r="1071" spans="1:33">
      <c r="A1071" s="58">
        <v>40235</v>
      </c>
      <c r="B1071" s="1">
        <v>11604</v>
      </c>
      <c r="C1071" s="1">
        <v>8803</v>
      </c>
      <c r="D1071" s="21">
        <f t="shared" si="34"/>
        <v>2.3604651162790698E-2</v>
      </c>
      <c r="E1071" s="1">
        <v>8803</v>
      </c>
      <c r="F1071" s="1">
        <v>0</v>
      </c>
      <c r="H1071" s="1">
        <v>2802</v>
      </c>
      <c r="I1071" s="21">
        <f t="shared" si="33"/>
        <v>-2.0279720279720279E-2</v>
      </c>
      <c r="J1071" s="1">
        <v>875</v>
      </c>
      <c r="K1071" s="1">
        <v>222</v>
      </c>
      <c r="L1071" s="1">
        <v>0</v>
      </c>
      <c r="M1071" s="1">
        <v>0</v>
      </c>
      <c r="O1071" s="1">
        <v>222</v>
      </c>
      <c r="P1071" s="1">
        <v>1</v>
      </c>
      <c r="S1071" s="1">
        <v>221</v>
      </c>
      <c r="T1071" s="1">
        <v>653</v>
      </c>
      <c r="V1071" s="1">
        <v>46</v>
      </c>
      <c r="X1071" s="1">
        <v>391</v>
      </c>
      <c r="Z1071" s="1">
        <v>84</v>
      </c>
      <c r="AA1071" s="1">
        <v>455</v>
      </c>
      <c r="AB1071" s="1">
        <v>176</v>
      </c>
      <c r="AC1071" s="1">
        <v>131</v>
      </c>
      <c r="AD1071" s="1">
        <v>148</v>
      </c>
      <c r="AE1071" s="1">
        <v>0</v>
      </c>
      <c r="AF1071" s="1">
        <v>477</v>
      </c>
      <c r="AG1071" s="1">
        <v>199</v>
      </c>
    </row>
    <row r="1072" spans="1:33">
      <c r="A1072" s="58">
        <v>40242</v>
      </c>
      <c r="B1072" s="1">
        <v>11436</v>
      </c>
      <c r="C1072" s="1">
        <v>8840</v>
      </c>
      <c r="D1072" s="21">
        <f t="shared" si="34"/>
        <v>4.2031125752584348E-3</v>
      </c>
      <c r="E1072" s="1">
        <v>8840</v>
      </c>
      <c r="F1072" s="1">
        <v>0</v>
      </c>
      <c r="H1072" s="1">
        <v>2596</v>
      </c>
      <c r="I1072" s="21">
        <f t="shared" si="33"/>
        <v>-7.3518915060670945E-2</v>
      </c>
      <c r="J1072" s="1">
        <v>784</v>
      </c>
      <c r="K1072" s="1">
        <v>181</v>
      </c>
      <c r="L1072" s="1">
        <v>0</v>
      </c>
      <c r="M1072" s="1">
        <v>0</v>
      </c>
      <c r="O1072" s="1">
        <v>181</v>
      </c>
      <c r="P1072" s="1">
        <v>1</v>
      </c>
      <c r="S1072" s="1">
        <v>180</v>
      </c>
      <c r="T1072" s="1">
        <v>604</v>
      </c>
      <c r="V1072" s="1">
        <v>37</v>
      </c>
      <c r="X1072" s="1">
        <v>361</v>
      </c>
      <c r="Z1072" s="1">
        <v>82</v>
      </c>
      <c r="AA1072" s="1">
        <v>330</v>
      </c>
      <c r="AB1072" s="1">
        <v>123</v>
      </c>
      <c r="AC1072" s="1">
        <v>92</v>
      </c>
      <c r="AD1072" s="1">
        <v>115</v>
      </c>
      <c r="AE1072" s="1">
        <v>0</v>
      </c>
      <c r="AF1072" s="1">
        <v>403</v>
      </c>
      <c r="AG1072" s="1">
        <v>179</v>
      </c>
    </row>
    <row r="1073" spans="1:36">
      <c r="A1073" s="58">
        <v>40249</v>
      </c>
      <c r="B1073" s="1">
        <v>11359</v>
      </c>
      <c r="C1073" s="1">
        <v>8810</v>
      </c>
      <c r="D1073" s="21">
        <f t="shared" si="34"/>
        <v>-3.3936651583710408E-3</v>
      </c>
      <c r="E1073" s="1">
        <v>8810</v>
      </c>
      <c r="F1073" s="1">
        <v>0</v>
      </c>
      <c r="H1073" s="1">
        <v>2549</v>
      </c>
      <c r="I1073" s="21">
        <f t="shared" si="33"/>
        <v>-1.810477657935285E-2</v>
      </c>
      <c r="J1073" s="1">
        <v>759</v>
      </c>
      <c r="K1073" s="1">
        <v>168</v>
      </c>
      <c r="L1073" s="1">
        <v>0</v>
      </c>
      <c r="M1073" s="1">
        <v>0</v>
      </c>
      <c r="O1073" s="1">
        <v>168</v>
      </c>
      <c r="P1073" s="1">
        <v>1</v>
      </c>
      <c r="S1073" s="1">
        <v>167</v>
      </c>
      <c r="T1073" s="1">
        <v>591</v>
      </c>
      <c r="V1073" s="1">
        <v>44</v>
      </c>
      <c r="X1073" s="1">
        <v>397</v>
      </c>
      <c r="Z1073" s="1">
        <v>71</v>
      </c>
      <c r="AA1073" s="1">
        <v>273</v>
      </c>
      <c r="AB1073" s="1">
        <v>116</v>
      </c>
      <c r="AC1073" s="1">
        <v>62</v>
      </c>
      <c r="AD1073" s="1">
        <v>95</v>
      </c>
      <c r="AE1073" s="1">
        <v>0</v>
      </c>
      <c r="AF1073" s="1">
        <v>396</v>
      </c>
      <c r="AG1073" s="1">
        <v>186</v>
      </c>
    </row>
    <row r="1074" spans="1:36">
      <c r="A1074" s="58">
        <v>40256</v>
      </c>
      <c r="B1074" s="1">
        <v>11268</v>
      </c>
      <c r="C1074" s="1">
        <v>8888</v>
      </c>
      <c r="D1074" s="21">
        <f t="shared" si="34"/>
        <v>8.8535754824063569E-3</v>
      </c>
      <c r="E1074" s="1">
        <v>8888</v>
      </c>
      <c r="F1074" s="1">
        <v>0</v>
      </c>
      <c r="H1074" s="1">
        <v>2379</v>
      </c>
      <c r="I1074" s="21">
        <f t="shared" si="33"/>
        <v>-6.6692820714005493E-2</v>
      </c>
      <c r="J1074" s="1">
        <v>703</v>
      </c>
      <c r="K1074" s="1">
        <v>136</v>
      </c>
      <c r="L1074" s="1">
        <v>0</v>
      </c>
      <c r="M1074" s="1">
        <v>0</v>
      </c>
      <c r="O1074" s="1">
        <v>136</v>
      </c>
      <c r="P1074" s="1">
        <v>1</v>
      </c>
      <c r="S1074" s="1">
        <v>135</v>
      </c>
      <c r="T1074" s="1">
        <v>567</v>
      </c>
      <c r="V1074" s="1">
        <v>30</v>
      </c>
      <c r="X1074" s="1">
        <v>377</v>
      </c>
      <c r="Z1074" s="1">
        <v>64</v>
      </c>
      <c r="AA1074" s="1">
        <v>204</v>
      </c>
      <c r="AB1074" s="1">
        <v>97</v>
      </c>
      <c r="AC1074" s="1">
        <v>53</v>
      </c>
      <c r="AD1074" s="1">
        <v>54</v>
      </c>
      <c r="AE1074" s="1">
        <v>0</v>
      </c>
      <c r="AF1074" s="1">
        <v>350</v>
      </c>
      <c r="AG1074" s="1">
        <v>174</v>
      </c>
    </row>
    <row r="1075" spans="1:36">
      <c r="A1075" s="58">
        <v>40263</v>
      </c>
      <c r="B1075" s="1">
        <v>11187</v>
      </c>
      <c r="C1075" s="1">
        <v>8844</v>
      </c>
      <c r="D1075" s="21">
        <f t="shared" si="34"/>
        <v>-4.9504950495049506E-3</v>
      </c>
      <c r="E1075" s="1">
        <v>8844</v>
      </c>
      <c r="F1075" s="1">
        <v>0</v>
      </c>
      <c r="H1075" s="1">
        <v>2343</v>
      </c>
      <c r="I1075" s="21">
        <f t="shared" si="33"/>
        <v>-1.5132408575031526E-2</v>
      </c>
      <c r="J1075" s="1">
        <v>687</v>
      </c>
      <c r="K1075" s="1">
        <v>103</v>
      </c>
      <c r="L1075" s="1">
        <v>0</v>
      </c>
      <c r="M1075" s="1">
        <v>0</v>
      </c>
      <c r="O1075" s="1">
        <v>103</v>
      </c>
      <c r="P1075" s="1">
        <v>1</v>
      </c>
      <c r="S1075" s="1">
        <v>103</v>
      </c>
      <c r="T1075" s="1">
        <v>584</v>
      </c>
      <c r="V1075" s="1">
        <v>45</v>
      </c>
      <c r="X1075" s="1">
        <v>360</v>
      </c>
      <c r="Z1075" s="1">
        <v>72</v>
      </c>
      <c r="AA1075" s="1">
        <v>196</v>
      </c>
      <c r="AB1075" s="1">
        <v>86</v>
      </c>
      <c r="AC1075" s="1">
        <v>71</v>
      </c>
      <c r="AD1075" s="1">
        <v>39</v>
      </c>
      <c r="AE1075" s="1">
        <v>0</v>
      </c>
      <c r="AF1075" s="1">
        <v>383</v>
      </c>
      <c r="AG1075" s="1">
        <v>155</v>
      </c>
    </row>
    <row r="1076" spans="1:36">
      <c r="A1076" s="58">
        <v>40270</v>
      </c>
      <c r="B1076" s="1">
        <v>11502</v>
      </c>
      <c r="C1076" s="1">
        <v>9112</v>
      </c>
      <c r="D1076" s="21">
        <f t="shared" si="34"/>
        <v>3.0303030303030304E-2</v>
      </c>
      <c r="E1076" s="1">
        <v>9112</v>
      </c>
      <c r="F1076" s="1">
        <v>0</v>
      </c>
      <c r="H1076" s="1">
        <v>2390</v>
      </c>
      <c r="I1076" s="21">
        <f t="shared" si="33"/>
        <v>2.0059752454118653E-2</v>
      </c>
      <c r="J1076" s="1">
        <v>674</v>
      </c>
      <c r="K1076" s="1">
        <v>96</v>
      </c>
      <c r="L1076" s="1">
        <v>0</v>
      </c>
      <c r="M1076" s="1">
        <v>0</v>
      </c>
      <c r="O1076" s="1">
        <v>96</v>
      </c>
      <c r="P1076" s="1">
        <v>0</v>
      </c>
      <c r="S1076" s="1">
        <v>96</v>
      </c>
      <c r="T1076" s="1">
        <v>578</v>
      </c>
      <c r="V1076" s="1">
        <v>56</v>
      </c>
      <c r="X1076" s="1">
        <v>338</v>
      </c>
      <c r="Z1076" s="1">
        <v>61</v>
      </c>
      <c r="AA1076" s="1">
        <v>201</v>
      </c>
      <c r="AB1076" s="1">
        <v>82</v>
      </c>
      <c r="AC1076" s="1">
        <v>68</v>
      </c>
      <c r="AD1076" s="1">
        <v>52</v>
      </c>
      <c r="AE1076" s="1">
        <v>0</v>
      </c>
      <c r="AF1076" s="1">
        <v>436</v>
      </c>
      <c r="AG1076" s="1">
        <v>162</v>
      </c>
    </row>
    <row r="1077" spans="1:36">
      <c r="A1077" s="58">
        <v>40277</v>
      </c>
      <c r="B1077" s="1">
        <v>11618</v>
      </c>
      <c r="C1077" s="1">
        <v>9225</v>
      </c>
      <c r="D1077" s="21">
        <f t="shared" si="34"/>
        <v>1.2401229148375768E-2</v>
      </c>
      <c r="E1077" s="1">
        <v>9225</v>
      </c>
      <c r="F1077" s="1">
        <v>0</v>
      </c>
      <c r="H1077" s="1">
        <v>2394</v>
      </c>
      <c r="I1077" s="21">
        <f t="shared" si="33"/>
        <v>1.6736401673640166E-3</v>
      </c>
      <c r="J1077" s="1">
        <v>665</v>
      </c>
      <c r="K1077" s="1">
        <v>91</v>
      </c>
      <c r="L1077" s="1">
        <v>0</v>
      </c>
      <c r="M1077" s="1">
        <v>0</v>
      </c>
      <c r="O1077" s="1">
        <v>91</v>
      </c>
      <c r="P1077" s="1">
        <v>0</v>
      </c>
      <c r="S1077" s="1">
        <v>91</v>
      </c>
      <c r="T1077" s="1">
        <v>575</v>
      </c>
      <c r="V1077" s="1">
        <v>55</v>
      </c>
      <c r="X1077" s="1">
        <v>329</v>
      </c>
      <c r="Z1077" s="1">
        <v>78</v>
      </c>
      <c r="AA1077" s="1">
        <v>207</v>
      </c>
      <c r="AB1077" s="1">
        <v>85</v>
      </c>
      <c r="AC1077" s="1">
        <v>57</v>
      </c>
      <c r="AD1077" s="1">
        <v>65</v>
      </c>
      <c r="AE1077" s="1">
        <v>0</v>
      </c>
      <c r="AF1077" s="1">
        <v>470</v>
      </c>
      <c r="AG1077" s="1">
        <v>160</v>
      </c>
    </row>
    <row r="1078" spans="1:36">
      <c r="A1078" s="58">
        <v>40284</v>
      </c>
      <c r="B1078" s="1">
        <v>11876</v>
      </c>
      <c r="C1078" s="1">
        <v>9279</v>
      </c>
      <c r="D1078" s="21">
        <f t="shared" si="34"/>
        <v>5.8536585365853658E-3</v>
      </c>
      <c r="E1078" s="1">
        <v>9279</v>
      </c>
      <c r="F1078" s="1">
        <v>0</v>
      </c>
      <c r="H1078" s="1">
        <v>2597</v>
      </c>
      <c r="I1078" s="21">
        <f t="shared" si="33"/>
        <v>8.4795321637426896E-2</v>
      </c>
      <c r="J1078" s="1">
        <v>698</v>
      </c>
      <c r="K1078" s="1">
        <v>106</v>
      </c>
      <c r="L1078" s="1">
        <v>0</v>
      </c>
      <c r="M1078" s="1">
        <v>0</v>
      </c>
      <c r="O1078" s="1">
        <v>106</v>
      </c>
      <c r="P1078" s="1">
        <v>0</v>
      </c>
      <c r="S1078" s="1">
        <v>105</v>
      </c>
      <c r="T1078" s="1">
        <v>593</v>
      </c>
      <c r="V1078" s="1">
        <v>92</v>
      </c>
      <c r="X1078" s="1">
        <v>327</v>
      </c>
      <c r="Z1078" s="1">
        <v>83</v>
      </c>
      <c r="AA1078" s="1">
        <v>191</v>
      </c>
      <c r="AB1078" s="1">
        <v>88</v>
      </c>
      <c r="AC1078" s="1">
        <v>45</v>
      </c>
      <c r="AD1078" s="1">
        <v>59</v>
      </c>
      <c r="AE1078" s="1">
        <v>0</v>
      </c>
      <c r="AF1078" s="1">
        <v>540</v>
      </c>
      <c r="AG1078" s="1">
        <v>153</v>
      </c>
    </row>
    <row r="1079" spans="1:36">
      <c r="A1079" s="58">
        <v>40291</v>
      </c>
      <c r="B1079" s="1">
        <v>12094</v>
      </c>
      <c r="C1079" s="1">
        <v>9434</v>
      </c>
      <c r="D1079" s="21">
        <f t="shared" si="34"/>
        <v>1.6704386248518159E-2</v>
      </c>
      <c r="E1079" s="1">
        <v>9434</v>
      </c>
      <c r="F1079" s="1">
        <v>0</v>
      </c>
      <c r="H1079" s="1">
        <v>2660</v>
      </c>
      <c r="I1079" s="21">
        <f t="shared" si="33"/>
        <v>2.4258760107816711E-2</v>
      </c>
      <c r="J1079" s="1">
        <v>767</v>
      </c>
      <c r="K1079" s="1">
        <v>141</v>
      </c>
      <c r="L1079" s="1">
        <v>0</v>
      </c>
      <c r="M1079" s="1">
        <v>0</v>
      </c>
      <c r="O1079" s="1">
        <v>141</v>
      </c>
      <c r="P1079" s="1">
        <v>0</v>
      </c>
      <c r="S1079" s="1">
        <v>140</v>
      </c>
      <c r="T1079" s="1">
        <v>627</v>
      </c>
      <c r="V1079" s="1">
        <v>92</v>
      </c>
      <c r="X1079" s="1">
        <v>309</v>
      </c>
      <c r="Z1079" s="1">
        <v>83</v>
      </c>
      <c r="AA1079" s="1">
        <v>174</v>
      </c>
      <c r="AB1079" s="1">
        <v>88</v>
      </c>
      <c r="AC1079" s="1">
        <v>12</v>
      </c>
      <c r="AD1079" s="1">
        <v>74</v>
      </c>
      <c r="AE1079" s="1">
        <v>0</v>
      </c>
      <c r="AF1079" s="1">
        <v>509</v>
      </c>
      <c r="AG1079" s="1">
        <v>140</v>
      </c>
    </row>
    <row r="1080" spans="1:36">
      <c r="A1080" s="58">
        <v>40298</v>
      </c>
      <c r="B1080" s="1">
        <v>12277</v>
      </c>
      <c r="C1080" s="1">
        <v>9531</v>
      </c>
      <c r="D1080" s="21">
        <f t="shared" si="34"/>
        <v>1.0281958872164512E-2</v>
      </c>
      <c r="E1080" s="1">
        <v>9531</v>
      </c>
      <c r="F1080" s="1">
        <v>0</v>
      </c>
      <c r="H1080" s="1">
        <v>2746</v>
      </c>
      <c r="I1080" s="21">
        <f t="shared" si="33"/>
        <v>3.2330827067669175E-2</v>
      </c>
      <c r="J1080" s="1">
        <v>865</v>
      </c>
      <c r="K1080" s="1">
        <v>152</v>
      </c>
      <c r="L1080" s="1">
        <v>0</v>
      </c>
      <c r="M1080" s="1">
        <v>0</v>
      </c>
      <c r="O1080" s="1">
        <v>152</v>
      </c>
      <c r="P1080" s="1">
        <v>0</v>
      </c>
      <c r="S1080" s="1">
        <v>152</v>
      </c>
      <c r="T1080" s="1">
        <v>713</v>
      </c>
      <c r="V1080" s="1">
        <v>125</v>
      </c>
      <c r="X1080" s="1">
        <v>364</v>
      </c>
      <c r="Z1080" s="1">
        <v>101</v>
      </c>
      <c r="AA1080" s="1">
        <v>192</v>
      </c>
      <c r="AB1080" s="1">
        <v>97</v>
      </c>
      <c r="AC1080" s="1">
        <v>14</v>
      </c>
      <c r="AD1080" s="1">
        <v>78</v>
      </c>
      <c r="AE1080" s="1">
        <v>3</v>
      </c>
      <c r="AF1080" s="1">
        <v>504</v>
      </c>
      <c r="AG1080" s="1">
        <v>93</v>
      </c>
    </row>
    <row r="1081" spans="1:36">
      <c r="A1081" s="58">
        <v>40305</v>
      </c>
      <c r="B1081" s="1">
        <v>12474</v>
      </c>
      <c r="C1081" s="1">
        <v>9733</v>
      </c>
      <c r="D1081" s="21">
        <f t="shared" si="34"/>
        <v>2.1193998531109013E-2</v>
      </c>
      <c r="E1081" s="1">
        <v>9733</v>
      </c>
      <c r="F1081" s="1">
        <v>0</v>
      </c>
      <c r="H1081" s="1">
        <v>2741</v>
      </c>
      <c r="I1081" s="21">
        <f t="shared" si="33"/>
        <v>-1.820830298616169E-3</v>
      </c>
      <c r="J1081" s="1">
        <v>937</v>
      </c>
      <c r="K1081" s="1">
        <v>167</v>
      </c>
      <c r="L1081" s="1">
        <v>0</v>
      </c>
      <c r="M1081" s="1">
        <v>0</v>
      </c>
      <c r="O1081" s="1">
        <v>167</v>
      </c>
      <c r="P1081" s="1">
        <v>0</v>
      </c>
      <c r="S1081" s="1">
        <v>166</v>
      </c>
      <c r="T1081" s="1">
        <v>770</v>
      </c>
      <c r="V1081" s="1">
        <v>133</v>
      </c>
      <c r="X1081" s="1">
        <v>366</v>
      </c>
      <c r="Z1081" s="1">
        <v>96</v>
      </c>
      <c r="AA1081" s="1">
        <v>194</v>
      </c>
      <c r="AB1081" s="1">
        <v>100</v>
      </c>
      <c r="AC1081" s="1">
        <v>16</v>
      </c>
      <c r="AD1081" s="1">
        <v>75</v>
      </c>
      <c r="AE1081" s="1">
        <v>3</v>
      </c>
      <c r="AF1081" s="1">
        <v>473</v>
      </c>
      <c r="AG1081" s="1">
        <v>110</v>
      </c>
    </row>
    <row r="1082" spans="1:36">
      <c r="A1082" s="58">
        <v>40312</v>
      </c>
      <c r="B1082" s="1">
        <v>12374</v>
      </c>
      <c r="C1082" s="1">
        <v>9787</v>
      </c>
      <c r="D1082" s="21">
        <f t="shared" si="34"/>
        <v>5.5481352101099356E-3</v>
      </c>
      <c r="E1082" s="1">
        <v>9787</v>
      </c>
      <c r="F1082" s="1">
        <v>0</v>
      </c>
      <c r="H1082" s="1">
        <v>2587</v>
      </c>
      <c r="I1082" s="21">
        <f t="shared" si="33"/>
        <v>-5.6183874498358266E-2</v>
      </c>
      <c r="J1082" s="1">
        <v>957</v>
      </c>
      <c r="K1082" s="1">
        <v>149</v>
      </c>
      <c r="L1082" s="1">
        <v>0</v>
      </c>
      <c r="M1082" s="1">
        <v>0</v>
      </c>
      <c r="O1082" s="1">
        <v>149</v>
      </c>
      <c r="P1082" s="1">
        <v>0</v>
      </c>
      <c r="S1082" s="1">
        <v>149</v>
      </c>
      <c r="T1082" s="1">
        <v>807</v>
      </c>
      <c r="V1082" s="1">
        <v>112</v>
      </c>
      <c r="X1082" s="1">
        <v>386</v>
      </c>
      <c r="Z1082" s="1">
        <v>81</v>
      </c>
      <c r="AA1082" s="1">
        <v>213</v>
      </c>
      <c r="AB1082" s="1">
        <v>109</v>
      </c>
      <c r="AC1082" s="1">
        <v>26</v>
      </c>
      <c r="AD1082" s="1">
        <v>76</v>
      </c>
      <c r="AE1082" s="1">
        <v>3</v>
      </c>
      <c r="AF1082" s="1">
        <v>401</v>
      </c>
      <c r="AG1082" s="1">
        <v>117</v>
      </c>
    </row>
    <row r="1083" spans="1:36">
      <c r="A1083" s="58">
        <v>40319</v>
      </c>
      <c r="B1083" s="1">
        <v>12436</v>
      </c>
      <c r="C1083" s="1">
        <v>9849</v>
      </c>
      <c r="D1083" s="21">
        <f t="shared" si="34"/>
        <v>6.3349340962501281E-3</v>
      </c>
      <c r="E1083" s="1">
        <v>9849</v>
      </c>
      <c r="F1083" s="1">
        <v>0</v>
      </c>
      <c r="H1083" s="1">
        <v>2587</v>
      </c>
      <c r="I1083" s="21">
        <f t="shared" si="33"/>
        <v>0</v>
      </c>
      <c r="J1083" s="1">
        <v>986</v>
      </c>
      <c r="K1083" s="1">
        <v>127</v>
      </c>
      <c r="L1083" s="1">
        <v>0</v>
      </c>
      <c r="M1083" s="1">
        <v>0</v>
      </c>
      <c r="O1083" s="1">
        <v>127</v>
      </c>
      <c r="P1083" s="1">
        <v>0</v>
      </c>
      <c r="S1083" s="1">
        <v>127</v>
      </c>
      <c r="T1083" s="1">
        <v>859</v>
      </c>
      <c r="V1083" s="1">
        <v>106</v>
      </c>
      <c r="X1083" s="1">
        <v>445</v>
      </c>
      <c r="Z1083" s="1">
        <v>75</v>
      </c>
      <c r="AA1083" s="1">
        <v>213</v>
      </c>
      <c r="AB1083" s="1">
        <v>132</v>
      </c>
      <c r="AC1083" s="1">
        <v>18</v>
      </c>
      <c r="AD1083" s="1">
        <v>61</v>
      </c>
      <c r="AE1083" s="1">
        <v>3</v>
      </c>
      <c r="AF1083" s="1">
        <v>418</v>
      </c>
      <c r="AG1083" s="1">
        <v>112</v>
      </c>
    </row>
    <row r="1084" spans="1:36">
      <c r="A1084" s="58">
        <v>40326</v>
      </c>
      <c r="B1084" s="1">
        <v>12179</v>
      </c>
      <c r="C1084" s="1">
        <v>9725</v>
      </c>
      <c r="D1084" s="21">
        <f t="shared" si="34"/>
        <v>-1.2590110671134126E-2</v>
      </c>
      <c r="E1084" s="1">
        <v>9725</v>
      </c>
      <c r="F1084" s="1">
        <v>0</v>
      </c>
      <c r="H1084" s="1">
        <v>2455</v>
      </c>
      <c r="I1084" s="21">
        <f t="shared" si="33"/>
        <v>-5.1024352531890221E-2</v>
      </c>
      <c r="J1084" s="1">
        <v>937</v>
      </c>
      <c r="K1084" s="1">
        <v>111</v>
      </c>
      <c r="L1084" s="1">
        <v>0</v>
      </c>
      <c r="M1084" s="1">
        <v>0</v>
      </c>
      <c r="O1084" s="1">
        <v>111</v>
      </c>
      <c r="P1084" s="1">
        <v>0</v>
      </c>
      <c r="S1084" s="1">
        <v>111</v>
      </c>
      <c r="T1084" s="1">
        <v>827</v>
      </c>
      <c r="V1084" s="1">
        <v>73</v>
      </c>
      <c r="X1084" s="1">
        <v>383</v>
      </c>
      <c r="Z1084" s="1">
        <v>64</v>
      </c>
      <c r="AA1084" s="1">
        <v>210</v>
      </c>
      <c r="AB1084" s="1">
        <v>138</v>
      </c>
      <c r="AC1084" s="1">
        <v>15</v>
      </c>
      <c r="AD1084" s="1">
        <v>58</v>
      </c>
      <c r="AE1084" s="1">
        <v>0</v>
      </c>
      <c r="AF1084" s="1">
        <v>408</v>
      </c>
      <c r="AG1084" s="1">
        <v>123</v>
      </c>
    </row>
    <row r="1085" spans="1:36">
      <c r="A1085" s="58">
        <v>40333</v>
      </c>
      <c r="B1085" s="1">
        <v>12105</v>
      </c>
      <c r="C1085" s="1">
        <v>9687</v>
      </c>
      <c r="D1085" s="21">
        <f t="shared" si="34"/>
        <v>-3.9074550128534707E-3</v>
      </c>
      <c r="E1085" s="1">
        <v>9687</v>
      </c>
      <c r="F1085" s="1">
        <v>0</v>
      </c>
      <c r="H1085" s="1">
        <v>2419</v>
      </c>
      <c r="I1085" s="21">
        <f t="shared" si="33"/>
        <v>-1.4663951120162933E-2</v>
      </c>
      <c r="J1085" s="1">
        <v>920</v>
      </c>
      <c r="L1085" s="1">
        <v>0</v>
      </c>
      <c r="M1085" s="1">
        <v>0</v>
      </c>
      <c r="O1085" s="1">
        <v>73</v>
      </c>
      <c r="P1085" s="1">
        <v>0</v>
      </c>
      <c r="S1085" s="1">
        <v>73</v>
      </c>
      <c r="T1085" s="1">
        <v>847</v>
      </c>
      <c r="V1085" s="1">
        <v>85</v>
      </c>
      <c r="X1085" s="1">
        <v>389</v>
      </c>
      <c r="Z1085" s="1">
        <v>63</v>
      </c>
      <c r="AA1085" s="1">
        <v>221</v>
      </c>
      <c r="AB1085" s="1">
        <v>135</v>
      </c>
      <c r="AC1085" s="1">
        <v>14</v>
      </c>
      <c r="AD1085" s="1">
        <v>71</v>
      </c>
      <c r="AE1085" s="1">
        <v>1</v>
      </c>
      <c r="AF1085" s="1">
        <v>380</v>
      </c>
      <c r="AG1085" s="1">
        <v>95</v>
      </c>
    </row>
    <row r="1086" spans="1:36">
      <c r="A1086" s="58">
        <v>40340</v>
      </c>
      <c r="B1086" s="1">
        <v>12034</v>
      </c>
      <c r="C1086" s="1">
        <v>9654</v>
      </c>
      <c r="D1086" s="21">
        <f t="shared" si="34"/>
        <v>-3.4066274388355527E-3</v>
      </c>
      <c r="E1086" s="1">
        <v>9654</v>
      </c>
      <c r="F1086" s="1">
        <v>0</v>
      </c>
      <c r="H1086" s="1">
        <v>2380</v>
      </c>
      <c r="I1086" s="21">
        <f t="shared" si="33"/>
        <v>-1.6122364613476645E-2</v>
      </c>
      <c r="J1086" s="1">
        <v>921</v>
      </c>
      <c r="L1086" s="1">
        <v>0</v>
      </c>
      <c r="M1086" s="1">
        <v>0</v>
      </c>
      <c r="O1086" s="1">
        <v>86</v>
      </c>
      <c r="P1086" s="1">
        <v>0</v>
      </c>
      <c r="S1086" s="1">
        <v>86</v>
      </c>
      <c r="T1086" s="1">
        <v>835</v>
      </c>
      <c r="V1086" s="1">
        <v>99</v>
      </c>
      <c r="X1086" s="1">
        <v>358</v>
      </c>
      <c r="Z1086" s="1">
        <v>70</v>
      </c>
      <c r="AA1086" s="1">
        <v>243</v>
      </c>
      <c r="AB1086" s="1">
        <v>150</v>
      </c>
      <c r="AC1086" s="1">
        <v>15</v>
      </c>
      <c r="AD1086" s="1">
        <v>76</v>
      </c>
      <c r="AE1086" s="1">
        <v>1</v>
      </c>
      <c r="AF1086" s="1">
        <v>330</v>
      </c>
      <c r="AG1086" s="1">
        <v>84</v>
      </c>
    </row>
    <row r="1087" spans="1:36">
      <c r="A1087" s="58">
        <v>40347</v>
      </c>
      <c r="B1087" s="1">
        <v>11955</v>
      </c>
      <c r="C1087" s="1">
        <v>9700</v>
      </c>
      <c r="D1087" s="21">
        <f t="shared" si="34"/>
        <v>4.7648643049513157E-3</v>
      </c>
      <c r="E1087" s="1">
        <v>9700</v>
      </c>
      <c r="F1087" s="1">
        <v>0</v>
      </c>
      <c r="H1087" s="1">
        <v>2255</v>
      </c>
      <c r="I1087" s="21">
        <f t="shared" si="33"/>
        <v>-5.2521008403361345E-2</v>
      </c>
      <c r="J1087" s="1">
        <v>856</v>
      </c>
      <c r="K1087" s="1">
        <v>105</v>
      </c>
      <c r="L1087" s="1">
        <v>0</v>
      </c>
      <c r="M1087" s="1">
        <v>0</v>
      </c>
      <c r="O1087" s="1">
        <v>105</v>
      </c>
      <c r="P1087" s="1">
        <v>0</v>
      </c>
      <c r="S1087" s="1">
        <v>104</v>
      </c>
      <c r="T1087" s="1">
        <v>751</v>
      </c>
      <c r="V1087" s="1">
        <v>103</v>
      </c>
      <c r="X1087" s="1">
        <v>303</v>
      </c>
      <c r="Z1087" s="1">
        <v>65</v>
      </c>
      <c r="AA1087" s="1">
        <v>222</v>
      </c>
      <c r="AB1087" s="1">
        <v>131</v>
      </c>
      <c r="AC1087" s="1">
        <v>15</v>
      </c>
      <c r="AD1087" s="1">
        <v>76</v>
      </c>
      <c r="AE1087" s="1">
        <v>1</v>
      </c>
      <c r="AF1087" s="1">
        <v>271</v>
      </c>
      <c r="AG1087" s="1">
        <v>78</v>
      </c>
    </row>
    <row r="1088" spans="1:36">
      <c r="A1088" s="58">
        <v>40354</v>
      </c>
      <c r="B1088" s="1">
        <v>11972</v>
      </c>
      <c r="C1088" s="1">
        <v>9707</v>
      </c>
      <c r="D1088" s="21">
        <f t="shared" si="34"/>
        <v>7.2164948453608247E-4</v>
      </c>
      <c r="E1088" s="1">
        <v>9707</v>
      </c>
      <c r="F1088" s="1">
        <v>0</v>
      </c>
      <c r="G1088" s="1">
        <v>0</v>
      </c>
      <c r="H1088" s="1">
        <v>2265</v>
      </c>
      <c r="I1088" s="21">
        <f t="shared" si="33"/>
        <v>4.434589800443459E-3</v>
      </c>
      <c r="J1088" s="1">
        <v>875</v>
      </c>
      <c r="K1088" s="1">
        <v>120</v>
      </c>
      <c r="L1088" s="1">
        <v>0</v>
      </c>
      <c r="M1088" s="1">
        <v>0</v>
      </c>
      <c r="N1088" s="1">
        <v>0</v>
      </c>
      <c r="O1088" s="1">
        <v>120</v>
      </c>
      <c r="P1088" s="1">
        <v>0</v>
      </c>
      <c r="Q1088" s="1">
        <v>0</v>
      </c>
      <c r="R1088" s="1">
        <v>0</v>
      </c>
      <c r="S1088" s="1">
        <v>119</v>
      </c>
      <c r="T1088" s="1">
        <v>756</v>
      </c>
      <c r="U1088" s="1">
        <v>236</v>
      </c>
      <c r="V1088" s="1">
        <v>99</v>
      </c>
      <c r="W1088" s="1">
        <v>96</v>
      </c>
      <c r="X1088" s="1">
        <v>324</v>
      </c>
      <c r="Y1088" s="1">
        <v>0</v>
      </c>
      <c r="Z1088" s="1">
        <v>58</v>
      </c>
      <c r="AA1088" s="1">
        <v>215</v>
      </c>
      <c r="AB1088" s="1">
        <v>137</v>
      </c>
      <c r="AC1088" s="1">
        <v>15</v>
      </c>
      <c r="AD1088" s="1">
        <v>63</v>
      </c>
      <c r="AE1088" s="1">
        <v>1</v>
      </c>
      <c r="AF1088" s="1">
        <v>234</v>
      </c>
      <c r="AG1088" s="1">
        <v>62</v>
      </c>
      <c r="AH1088" s="1">
        <v>821</v>
      </c>
      <c r="AI1088" s="1">
        <v>0</v>
      </c>
      <c r="AJ1088" s="1">
        <v>53</v>
      </c>
    </row>
    <row r="1089" spans="1:36">
      <c r="A1089" s="58">
        <v>40361</v>
      </c>
      <c r="B1089" s="1">
        <v>12186</v>
      </c>
      <c r="C1089" s="1">
        <v>9676</v>
      </c>
      <c r="D1089" s="21">
        <f t="shared" si="34"/>
        <v>-3.1935716493252291E-3</v>
      </c>
      <c r="E1089" s="1">
        <v>9676</v>
      </c>
      <c r="F1089" s="1">
        <v>0</v>
      </c>
      <c r="G1089" s="1">
        <v>0</v>
      </c>
      <c r="H1089" s="1">
        <v>2518</v>
      </c>
      <c r="I1089" s="21">
        <f t="shared" si="33"/>
        <v>0.11169977924944813</v>
      </c>
      <c r="J1089" s="1">
        <v>992</v>
      </c>
      <c r="K1089" s="1">
        <v>148</v>
      </c>
      <c r="L1089" s="1">
        <v>0</v>
      </c>
      <c r="M1089" s="1">
        <v>0</v>
      </c>
      <c r="N1089" s="1">
        <v>0</v>
      </c>
      <c r="O1089" s="1">
        <v>148</v>
      </c>
      <c r="P1089" s="1">
        <v>0</v>
      </c>
      <c r="Q1089" s="1">
        <v>0</v>
      </c>
      <c r="R1089" s="1">
        <v>0</v>
      </c>
      <c r="S1089" s="1">
        <v>147</v>
      </c>
      <c r="T1089" s="1">
        <v>844</v>
      </c>
      <c r="U1089" s="1">
        <v>227</v>
      </c>
      <c r="V1089" s="1">
        <v>90</v>
      </c>
      <c r="W1089" s="1">
        <v>141</v>
      </c>
      <c r="X1089" s="1">
        <v>386</v>
      </c>
      <c r="Y1089" s="1">
        <v>0</v>
      </c>
      <c r="Z1089" s="1">
        <v>71</v>
      </c>
      <c r="AA1089" s="1">
        <v>230</v>
      </c>
      <c r="AB1089" s="1">
        <v>143</v>
      </c>
      <c r="AC1089" s="1">
        <v>15</v>
      </c>
      <c r="AD1089" s="1">
        <v>72</v>
      </c>
      <c r="AE1089" s="1">
        <v>0</v>
      </c>
      <c r="AF1089" s="1">
        <v>254</v>
      </c>
      <c r="AG1089" s="1">
        <v>59</v>
      </c>
      <c r="AH1089" s="1">
        <v>912</v>
      </c>
      <c r="AI1089" s="1">
        <v>9</v>
      </c>
      <c r="AJ1089" s="1">
        <v>65</v>
      </c>
    </row>
    <row r="1090" spans="1:36">
      <c r="A1090" s="58">
        <v>40368</v>
      </c>
      <c r="B1090" s="1">
        <v>12141</v>
      </c>
      <c r="C1090" s="1">
        <v>9572</v>
      </c>
      <c r="D1090" s="21">
        <f t="shared" si="34"/>
        <v>-1.0748243075651096E-2</v>
      </c>
      <c r="E1090" s="1">
        <v>9572</v>
      </c>
      <c r="F1090" s="1">
        <v>0</v>
      </c>
      <c r="G1090" s="1">
        <v>0</v>
      </c>
      <c r="H1090" s="1">
        <v>2578</v>
      </c>
      <c r="I1090" s="21">
        <f t="shared" si="33"/>
        <v>2.3828435266084195E-2</v>
      </c>
      <c r="J1090" s="1">
        <v>1013</v>
      </c>
      <c r="K1090" s="1">
        <v>131</v>
      </c>
      <c r="L1090" s="1">
        <v>0</v>
      </c>
      <c r="M1090" s="1">
        <v>0</v>
      </c>
      <c r="N1090" s="1">
        <v>0</v>
      </c>
      <c r="O1090" s="1">
        <v>131</v>
      </c>
      <c r="P1090" s="1">
        <v>0</v>
      </c>
      <c r="Q1090" s="1">
        <v>0</v>
      </c>
      <c r="R1090" s="1">
        <v>0</v>
      </c>
      <c r="S1090" s="1">
        <v>131</v>
      </c>
      <c r="T1090" s="1">
        <v>881</v>
      </c>
      <c r="U1090" s="1">
        <v>201</v>
      </c>
      <c r="V1090" s="1">
        <v>96</v>
      </c>
      <c r="W1090" s="1">
        <v>140</v>
      </c>
      <c r="X1090" s="1">
        <v>444</v>
      </c>
      <c r="Y1090" s="1">
        <v>0</v>
      </c>
      <c r="Z1090" s="1">
        <v>71</v>
      </c>
      <c r="AA1090" s="1">
        <v>199</v>
      </c>
      <c r="AB1090" s="1">
        <v>125</v>
      </c>
      <c r="AC1090" s="1">
        <v>10</v>
      </c>
      <c r="AD1090" s="1">
        <v>65</v>
      </c>
      <c r="AE1090" s="1">
        <v>0</v>
      </c>
      <c r="AF1090" s="1">
        <v>291</v>
      </c>
      <c r="AG1090" s="1">
        <v>57</v>
      </c>
      <c r="AH1090" s="1">
        <v>947</v>
      </c>
      <c r="AI1090" s="1">
        <v>9</v>
      </c>
      <c r="AJ1090" s="1">
        <v>58</v>
      </c>
    </row>
    <row r="1091" spans="1:36">
      <c r="A1091" s="58">
        <v>40375</v>
      </c>
      <c r="B1091" s="1">
        <v>12135</v>
      </c>
      <c r="C1091" s="1">
        <v>9538</v>
      </c>
      <c r="D1091" s="21">
        <f t="shared" si="34"/>
        <v>-3.5520267446719597E-3</v>
      </c>
      <c r="E1091" s="1">
        <v>9538</v>
      </c>
      <c r="F1091" s="1">
        <v>0</v>
      </c>
      <c r="G1091" s="1">
        <v>0</v>
      </c>
      <c r="H1091" s="1">
        <v>2606</v>
      </c>
      <c r="I1091" s="21">
        <f t="shared" si="33"/>
        <v>1.0861132660977503E-2</v>
      </c>
      <c r="J1091" s="1">
        <v>1095</v>
      </c>
      <c r="K1091" s="1">
        <v>116</v>
      </c>
      <c r="L1091" s="1">
        <v>0</v>
      </c>
      <c r="M1091" s="1">
        <v>0</v>
      </c>
      <c r="N1091" s="1">
        <v>0</v>
      </c>
      <c r="O1091" s="1">
        <v>116</v>
      </c>
      <c r="P1091" s="1">
        <v>0</v>
      </c>
      <c r="Q1091" s="1">
        <v>0</v>
      </c>
      <c r="R1091" s="1">
        <v>0</v>
      </c>
      <c r="S1091" s="1">
        <v>116</v>
      </c>
      <c r="T1091" s="1">
        <v>979</v>
      </c>
      <c r="U1091" s="1">
        <v>214</v>
      </c>
      <c r="V1091" s="1">
        <v>91</v>
      </c>
      <c r="W1091" s="1">
        <v>174</v>
      </c>
      <c r="X1091" s="1">
        <v>500</v>
      </c>
      <c r="Y1091" s="1">
        <v>0</v>
      </c>
      <c r="Z1091" s="1">
        <v>77</v>
      </c>
      <c r="AA1091" s="1">
        <v>200</v>
      </c>
      <c r="AB1091" s="1">
        <v>124</v>
      </c>
      <c r="AC1091" s="1">
        <v>12</v>
      </c>
      <c r="AD1091" s="1">
        <v>65</v>
      </c>
      <c r="AE1091" s="1">
        <v>0</v>
      </c>
      <c r="AF1091" s="1">
        <v>305</v>
      </c>
      <c r="AG1091" s="1">
        <v>59</v>
      </c>
      <c r="AH1091" s="1">
        <v>869</v>
      </c>
      <c r="AI1091" s="1">
        <v>9</v>
      </c>
      <c r="AJ1091" s="1">
        <v>55</v>
      </c>
    </row>
    <row r="1092" spans="1:36">
      <c r="A1092" s="58">
        <v>40382</v>
      </c>
      <c r="B1092" s="1">
        <v>12508</v>
      </c>
      <c r="C1092" s="1">
        <v>9956</v>
      </c>
      <c r="D1092" s="21">
        <f t="shared" si="34"/>
        <v>4.3824701195219126E-2</v>
      </c>
      <c r="E1092" s="1">
        <v>9956</v>
      </c>
      <c r="F1092" s="1">
        <v>0</v>
      </c>
      <c r="G1092" s="1">
        <v>0</v>
      </c>
      <c r="H1092" s="1">
        <v>2561</v>
      </c>
      <c r="I1092" s="21">
        <f t="shared" si="33"/>
        <v>-1.7267843438219493E-2</v>
      </c>
      <c r="J1092" s="1">
        <v>1108</v>
      </c>
      <c r="K1092" s="1">
        <v>118</v>
      </c>
      <c r="L1092" s="1">
        <v>0</v>
      </c>
      <c r="M1092" s="1">
        <v>0</v>
      </c>
      <c r="N1092" s="1">
        <v>0</v>
      </c>
      <c r="O1092" s="1">
        <v>118</v>
      </c>
      <c r="P1092" s="1">
        <v>0</v>
      </c>
      <c r="Q1092" s="1">
        <v>0</v>
      </c>
      <c r="R1092" s="1">
        <v>0</v>
      </c>
      <c r="S1092" s="1">
        <v>118</v>
      </c>
      <c r="T1092" s="1">
        <v>989</v>
      </c>
      <c r="U1092" s="1">
        <v>181</v>
      </c>
      <c r="V1092" s="1">
        <v>102</v>
      </c>
      <c r="W1092" s="1">
        <v>162</v>
      </c>
      <c r="X1092" s="1">
        <v>544</v>
      </c>
      <c r="Y1092" s="1">
        <v>0</v>
      </c>
      <c r="Z1092" s="1">
        <v>85</v>
      </c>
      <c r="AA1092" s="1">
        <v>192</v>
      </c>
      <c r="AB1092" s="1">
        <v>102</v>
      </c>
      <c r="AC1092" s="1">
        <v>14</v>
      </c>
      <c r="AD1092" s="1">
        <v>76</v>
      </c>
      <c r="AE1092" s="1">
        <v>0</v>
      </c>
      <c r="AF1092" s="1">
        <v>317</v>
      </c>
      <c r="AG1092" s="1">
        <v>58</v>
      </c>
      <c r="AH1092" s="1">
        <v>801</v>
      </c>
      <c r="AI1092" s="1">
        <v>9</v>
      </c>
      <c r="AJ1092" s="1">
        <v>48</v>
      </c>
    </row>
    <row r="1093" spans="1:36">
      <c r="A1093" s="58">
        <v>40389</v>
      </c>
      <c r="B1093" s="1">
        <v>12532</v>
      </c>
      <c r="C1093" s="1">
        <v>10010</v>
      </c>
      <c r="D1093" s="21">
        <f t="shared" si="34"/>
        <v>5.4238650060265169E-3</v>
      </c>
      <c r="E1093" s="1">
        <v>10010</v>
      </c>
      <c r="F1093" s="1">
        <v>0</v>
      </c>
      <c r="G1093" s="1">
        <v>0</v>
      </c>
      <c r="H1093" s="1">
        <v>2522</v>
      </c>
      <c r="I1093" s="21">
        <f t="shared" si="33"/>
        <v>-1.5228426395939087E-2</v>
      </c>
      <c r="J1093" s="1">
        <v>1103</v>
      </c>
      <c r="K1093" s="1">
        <v>108</v>
      </c>
      <c r="L1093" s="1">
        <v>0</v>
      </c>
      <c r="M1093" s="1">
        <v>0</v>
      </c>
      <c r="N1093" s="1">
        <v>0</v>
      </c>
      <c r="O1093" s="1">
        <v>108</v>
      </c>
      <c r="P1093" s="1">
        <v>0</v>
      </c>
      <c r="Q1093" s="1">
        <v>0</v>
      </c>
      <c r="R1093" s="1">
        <v>0</v>
      </c>
      <c r="S1093" s="1">
        <v>108</v>
      </c>
      <c r="T1093" s="1">
        <v>994</v>
      </c>
      <c r="U1093" s="1">
        <v>192</v>
      </c>
      <c r="V1093" s="1">
        <v>99</v>
      </c>
      <c r="W1093" s="1">
        <v>142</v>
      </c>
      <c r="X1093" s="1">
        <v>561</v>
      </c>
      <c r="Y1093" s="1">
        <v>0</v>
      </c>
      <c r="Z1093" s="1">
        <v>72</v>
      </c>
      <c r="AA1093" s="1">
        <v>164</v>
      </c>
      <c r="AB1093" s="1">
        <v>104</v>
      </c>
      <c r="AC1093" s="1">
        <v>13</v>
      </c>
      <c r="AD1093" s="1">
        <v>47</v>
      </c>
      <c r="AE1093" s="1">
        <v>0</v>
      </c>
      <c r="AF1093" s="1">
        <v>343</v>
      </c>
      <c r="AG1093" s="1">
        <v>62</v>
      </c>
      <c r="AH1093" s="1">
        <v>779</v>
      </c>
      <c r="AI1093" s="1">
        <v>0</v>
      </c>
      <c r="AJ1093" s="1">
        <v>38</v>
      </c>
    </row>
    <row r="1094" spans="1:36">
      <c r="A1094" s="58">
        <v>40396</v>
      </c>
      <c r="B1094" s="1">
        <v>12678</v>
      </c>
      <c r="C1094" s="1">
        <v>10050</v>
      </c>
      <c r="D1094" s="21">
        <f t="shared" si="34"/>
        <v>3.996003996003996E-3</v>
      </c>
      <c r="E1094" s="1">
        <v>10050</v>
      </c>
      <c r="F1094" s="1">
        <v>0</v>
      </c>
      <c r="G1094" s="1">
        <v>0</v>
      </c>
      <c r="H1094" s="1">
        <v>2629</v>
      </c>
      <c r="I1094" s="21">
        <f t="shared" si="33"/>
        <v>4.2426645519429027E-2</v>
      </c>
      <c r="J1094" s="1">
        <v>1112</v>
      </c>
      <c r="K1094" s="1">
        <v>115</v>
      </c>
      <c r="L1094" s="1">
        <v>0</v>
      </c>
      <c r="M1094" s="1">
        <v>0</v>
      </c>
      <c r="N1094" s="1">
        <v>0</v>
      </c>
      <c r="O1094" s="1">
        <v>115</v>
      </c>
      <c r="P1094" s="1">
        <v>0</v>
      </c>
      <c r="Q1094" s="1">
        <v>0</v>
      </c>
      <c r="R1094" s="1">
        <v>0</v>
      </c>
      <c r="S1094" s="1">
        <v>114</v>
      </c>
      <c r="T1094" s="1">
        <v>997</v>
      </c>
      <c r="U1094" s="1">
        <v>205</v>
      </c>
      <c r="V1094" s="1">
        <v>79</v>
      </c>
      <c r="W1094" s="1">
        <v>150</v>
      </c>
      <c r="X1094" s="1">
        <v>564</v>
      </c>
      <c r="Y1094" s="1">
        <v>0</v>
      </c>
      <c r="Z1094" s="1">
        <v>75</v>
      </c>
      <c r="AA1094" s="1">
        <v>206</v>
      </c>
      <c r="AB1094" s="1">
        <v>143</v>
      </c>
      <c r="AC1094" s="1">
        <v>17</v>
      </c>
      <c r="AD1094" s="1">
        <v>47</v>
      </c>
      <c r="AE1094" s="1">
        <v>0</v>
      </c>
      <c r="AF1094" s="1">
        <v>387</v>
      </c>
      <c r="AG1094" s="1">
        <v>63</v>
      </c>
      <c r="AH1094" s="1">
        <v>786</v>
      </c>
      <c r="AI1094" s="1">
        <v>0</v>
      </c>
      <c r="AJ1094" s="1">
        <v>29</v>
      </c>
    </row>
    <row r="1095" spans="1:36">
      <c r="A1095" s="58">
        <v>40403</v>
      </c>
      <c r="B1095" s="1">
        <v>12694</v>
      </c>
      <c r="C1095" s="1">
        <v>9946</v>
      </c>
      <c r="D1095" s="21">
        <f t="shared" si="34"/>
        <v>-1.0348258706467661E-2</v>
      </c>
      <c r="E1095" s="1">
        <v>9946</v>
      </c>
      <c r="F1095" s="1">
        <v>0</v>
      </c>
      <c r="G1095" s="1">
        <v>0</v>
      </c>
      <c r="H1095" s="1">
        <v>2748</v>
      </c>
      <c r="I1095" s="21">
        <f t="shared" si="33"/>
        <v>4.5264359071890456E-2</v>
      </c>
      <c r="J1095" s="1">
        <v>1088</v>
      </c>
      <c r="K1095" s="1">
        <v>124</v>
      </c>
      <c r="L1095" s="1">
        <v>0</v>
      </c>
      <c r="M1095" s="1">
        <v>0</v>
      </c>
      <c r="N1095" s="1">
        <v>0</v>
      </c>
      <c r="O1095" s="1">
        <v>124</v>
      </c>
      <c r="P1095" s="1">
        <v>0</v>
      </c>
      <c r="Q1095" s="1">
        <v>0</v>
      </c>
      <c r="R1095" s="1">
        <v>0</v>
      </c>
      <c r="S1095" s="1">
        <v>123</v>
      </c>
      <c r="T1095" s="1">
        <v>964</v>
      </c>
      <c r="U1095" s="1">
        <v>190</v>
      </c>
      <c r="V1095" s="1">
        <v>108</v>
      </c>
      <c r="W1095" s="1">
        <v>140</v>
      </c>
      <c r="X1095" s="1">
        <v>526</v>
      </c>
      <c r="Y1095" s="1">
        <v>0</v>
      </c>
      <c r="Z1095" s="1">
        <v>75</v>
      </c>
      <c r="AA1095" s="1">
        <v>228</v>
      </c>
      <c r="AB1095" s="1">
        <v>169</v>
      </c>
      <c r="AC1095" s="1">
        <v>18</v>
      </c>
      <c r="AD1095" s="1">
        <v>41</v>
      </c>
      <c r="AE1095" s="1">
        <v>0</v>
      </c>
      <c r="AF1095" s="1">
        <v>412</v>
      </c>
      <c r="AG1095" s="1">
        <v>62</v>
      </c>
      <c r="AH1095" s="1">
        <v>883</v>
      </c>
      <c r="AI1095" s="1">
        <v>0</v>
      </c>
      <c r="AJ1095" s="1">
        <v>41</v>
      </c>
    </row>
    <row r="1096" spans="1:36">
      <c r="A1096" s="58">
        <v>40410</v>
      </c>
      <c r="B1096" s="1">
        <v>12516</v>
      </c>
      <c r="C1096" s="1">
        <v>9628</v>
      </c>
      <c r="D1096" s="21">
        <f t="shared" si="34"/>
        <v>-3.1972652322541727E-2</v>
      </c>
      <c r="E1096" s="1">
        <v>9628</v>
      </c>
      <c r="F1096" s="1">
        <v>0</v>
      </c>
      <c r="G1096" s="1">
        <v>0</v>
      </c>
      <c r="H1096" s="1">
        <v>2888</v>
      </c>
      <c r="I1096" s="21">
        <f t="shared" si="33"/>
        <v>5.0946142649199416E-2</v>
      </c>
      <c r="J1096" s="1">
        <v>1170</v>
      </c>
      <c r="K1096" s="1">
        <v>119</v>
      </c>
      <c r="L1096" s="1">
        <v>0</v>
      </c>
      <c r="M1096" s="1">
        <v>0</v>
      </c>
      <c r="N1096" s="1">
        <v>0</v>
      </c>
      <c r="O1096" s="1">
        <v>119</v>
      </c>
      <c r="P1096" s="1">
        <v>1</v>
      </c>
      <c r="Q1096" s="1">
        <v>1</v>
      </c>
      <c r="R1096" s="1">
        <v>0</v>
      </c>
      <c r="S1096" s="1">
        <v>118</v>
      </c>
      <c r="T1096" s="1">
        <v>1051</v>
      </c>
      <c r="U1096" s="1">
        <v>210</v>
      </c>
      <c r="V1096" s="1">
        <v>110</v>
      </c>
      <c r="W1096" s="1">
        <v>194</v>
      </c>
      <c r="X1096" s="1">
        <v>536</v>
      </c>
      <c r="Y1096" s="1">
        <v>0</v>
      </c>
      <c r="Z1096" s="1">
        <v>76</v>
      </c>
      <c r="AA1096" s="1">
        <v>231</v>
      </c>
      <c r="AB1096" s="1">
        <v>182</v>
      </c>
      <c r="AC1096" s="1">
        <v>17</v>
      </c>
      <c r="AD1096" s="1">
        <v>32</v>
      </c>
      <c r="AE1096" s="1">
        <v>0</v>
      </c>
      <c r="AF1096" s="1">
        <v>397</v>
      </c>
      <c r="AG1096" s="1">
        <v>66</v>
      </c>
      <c r="AH1096" s="1">
        <v>947</v>
      </c>
      <c r="AI1096" s="1">
        <v>0</v>
      </c>
      <c r="AJ1096" s="1">
        <v>44</v>
      </c>
    </row>
    <row r="1097" spans="1:36">
      <c r="A1097" s="58">
        <v>40417</v>
      </c>
      <c r="B1097" s="1">
        <v>12497</v>
      </c>
      <c r="C1097" s="1">
        <v>9641</v>
      </c>
      <c r="D1097" s="21">
        <f t="shared" si="34"/>
        <v>1.3502285002077274E-3</v>
      </c>
      <c r="E1097" s="1">
        <v>9641</v>
      </c>
      <c r="F1097" s="1">
        <v>0</v>
      </c>
      <c r="G1097" s="1">
        <v>0</v>
      </c>
      <c r="H1097" s="1">
        <v>2856</v>
      </c>
      <c r="I1097" s="21">
        <f t="shared" si="33"/>
        <v>-1.1080332409972299E-2</v>
      </c>
      <c r="J1097" s="1">
        <v>1147</v>
      </c>
      <c r="K1097" s="1">
        <v>115</v>
      </c>
      <c r="L1097" s="1">
        <v>0</v>
      </c>
      <c r="M1097" s="1">
        <v>0</v>
      </c>
      <c r="N1097" s="1">
        <v>0</v>
      </c>
      <c r="O1097" s="1">
        <v>115</v>
      </c>
      <c r="P1097" s="1">
        <v>0</v>
      </c>
      <c r="Q1097" s="1">
        <v>0</v>
      </c>
      <c r="R1097" s="1">
        <v>0</v>
      </c>
      <c r="S1097" s="1">
        <v>114</v>
      </c>
      <c r="T1097" s="1">
        <v>1032</v>
      </c>
      <c r="U1097" s="1">
        <v>201</v>
      </c>
      <c r="V1097" s="1">
        <v>118</v>
      </c>
      <c r="W1097" s="1">
        <v>196</v>
      </c>
      <c r="X1097" s="1">
        <v>517</v>
      </c>
      <c r="Y1097" s="1">
        <v>0</v>
      </c>
      <c r="Z1097" s="1">
        <v>77</v>
      </c>
      <c r="AA1097" s="1">
        <v>233</v>
      </c>
      <c r="AB1097" s="1">
        <v>179</v>
      </c>
      <c r="AC1097" s="1">
        <v>16</v>
      </c>
      <c r="AD1097" s="1">
        <v>38</v>
      </c>
      <c r="AE1097" s="1">
        <v>0</v>
      </c>
      <c r="AF1097" s="1">
        <v>377</v>
      </c>
      <c r="AG1097" s="1">
        <v>63</v>
      </c>
      <c r="AH1097" s="1">
        <v>959</v>
      </c>
      <c r="AI1097" s="1">
        <v>0</v>
      </c>
      <c r="AJ1097" s="1">
        <v>46</v>
      </c>
    </row>
    <row r="1098" spans="1:36">
      <c r="A1098" s="58">
        <v>40424</v>
      </c>
      <c r="B1098" s="1">
        <v>12364</v>
      </c>
      <c r="C1098" s="1">
        <v>9502</v>
      </c>
      <c r="D1098" s="21">
        <f t="shared" si="34"/>
        <v>-1.4417591536147703E-2</v>
      </c>
      <c r="E1098" s="1">
        <v>9502</v>
      </c>
      <c r="F1098" s="1">
        <v>0</v>
      </c>
      <c r="G1098" s="1">
        <v>0</v>
      </c>
      <c r="H1098" s="1">
        <v>2863</v>
      </c>
      <c r="I1098" s="21">
        <f t="shared" si="33"/>
        <v>2.4509803921568627E-3</v>
      </c>
      <c r="J1098" s="1">
        <v>1178</v>
      </c>
      <c r="K1098" s="1">
        <v>102</v>
      </c>
      <c r="L1098" s="1">
        <v>0</v>
      </c>
      <c r="M1098" s="1">
        <v>0</v>
      </c>
      <c r="N1098" s="1">
        <v>0</v>
      </c>
      <c r="O1098" s="1">
        <v>102</v>
      </c>
      <c r="P1098" s="1">
        <v>0</v>
      </c>
      <c r="Q1098" s="1">
        <v>0</v>
      </c>
      <c r="R1098" s="1">
        <v>0</v>
      </c>
      <c r="S1098" s="1">
        <v>102</v>
      </c>
      <c r="T1098" s="1">
        <v>1076</v>
      </c>
      <c r="U1098" s="1">
        <v>235</v>
      </c>
      <c r="V1098" s="1">
        <v>117</v>
      </c>
      <c r="W1098" s="1">
        <v>195</v>
      </c>
      <c r="X1098" s="1">
        <v>529</v>
      </c>
      <c r="Y1098" s="1">
        <v>0</v>
      </c>
      <c r="Z1098" s="1">
        <v>83</v>
      </c>
      <c r="AA1098" s="1">
        <v>218</v>
      </c>
      <c r="AB1098" s="1">
        <v>160</v>
      </c>
      <c r="AC1098" s="1">
        <v>8</v>
      </c>
      <c r="AD1098" s="1">
        <v>50</v>
      </c>
      <c r="AE1098" s="1">
        <v>0</v>
      </c>
      <c r="AF1098" s="1">
        <v>352</v>
      </c>
      <c r="AG1098" s="1">
        <v>61</v>
      </c>
      <c r="AH1098" s="1">
        <v>970</v>
      </c>
      <c r="AI1098" s="1">
        <v>0</v>
      </c>
      <c r="AJ1098" s="1">
        <v>42</v>
      </c>
    </row>
    <row r="1099" spans="1:36">
      <c r="A1099" s="58">
        <v>40431</v>
      </c>
      <c r="B1099" s="1">
        <v>12063</v>
      </c>
      <c r="C1099" s="1">
        <v>9368</v>
      </c>
      <c r="D1099" s="21">
        <f t="shared" si="34"/>
        <v>-1.4102294253841297E-2</v>
      </c>
      <c r="E1099" s="1">
        <v>9368</v>
      </c>
      <c r="F1099" s="1">
        <v>0</v>
      </c>
      <c r="G1099" s="1">
        <v>0</v>
      </c>
      <c r="H1099" s="1">
        <v>2695</v>
      </c>
      <c r="I1099" s="21">
        <f t="shared" si="33"/>
        <v>-5.8679706601466992E-2</v>
      </c>
      <c r="J1099" s="1">
        <v>1070</v>
      </c>
      <c r="K1099" s="1">
        <v>71</v>
      </c>
      <c r="L1099" s="1">
        <v>0</v>
      </c>
      <c r="M1099" s="1">
        <v>0</v>
      </c>
      <c r="N1099" s="1">
        <v>0</v>
      </c>
      <c r="O1099" s="1">
        <v>71</v>
      </c>
      <c r="P1099" s="1">
        <v>0</v>
      </c>
      <c r="Q1099" s="1">
        <v>0</v>
      </c>
      <c r="R1099" s="1">
        <v>0</v>
      </c>
      <c r="S1099" s="1">
        <v>71</v>
      </c>
      <c r="T1099" s="1">
        <v>999</v>
      </c>
      <c r="U1099" s="1">
        <v>217</v>
      </c>
      <c r="V1099" s="1">
        <v>80</v>
      </c>
      <c r="W1099" s="1">
        <v>165</v>
      </c>
      <c r="X1099" s="1">
        <v>537</v>
      </c>
      <c r="Y1099" s="1">
        <v>0</v>
      </c>
      <c r="Z1099" s="1">
        <v>98</v>
      </c>
      <c r="AA1099" s="1">
        <v>201</v>
      </c>
      <c r="AB1099" s="1">
        <v>148</v>
      </c>
      <c r="AC1099" s="1">
        <v>6</v>
      </c>
      <c r="AD1099" s="1">
        <v>47</v>
      </c>
      <c r="AE1099" s="1">
        <v>0</v>
      </c>
      <c r="AF1099" s="1">
        <v>311</v>
      </c>
      <c r="AG1099" s="1">
        <v>58</v>
      </c>
      <c r="AH1099" s="1">
        <v>957</v>
      </c>
      <c r="AI1099" s="1">
        <v>0</v>
      </c>
      <c r="AJ1099" s="1">
        <v>36</v>
      </c>
    </row>
    <row r="1100" spans="1:36">
      <c r="A1100" s="58">
        <v>40438</v>
      </c>
      <c r="B1100" s="1">
        <v>11798</v>
      </c>
      <c r="C1100" s="1">
        <v>9228</v>
      </c>
      <c r="D1100" s="21">
        <f t="shared" si="34"/>
        <v>-1.4944491887275833E-2</v>
      </c>
      <c r="E1100" s="1">
        <v>9228</v>
      </c>
      <c r="F1100" s="1">
        <v>0</v>
      </c>
      <c r="G1100" s="1">
        <v>0</v>
      </c>
      <c r="H1100" s="1">
        <v>2570</v>
      </c>
      <c r="I1100" s="21">
        <f t="shared" si="33"/>
        <v>-4.6382189239332093E-2</v>
      </c>
      <c r="J1100" s="1">
        <v>930</v>
      </c>
      <c r="K1100" s="1">
        <v>75</v>
      </c>
      <c r="L1100" s="1">
        <v>0</v>
      </c>
      <c r="M1100" s="1">
        <v>0</v>
      </c>
      <c r="N1100" s="1">
        <v>0</v>
      </c>
      <c r="O1100" s="1">
        <v>75</v>
      </c>
      <c r="P1100" s="1">
        <v>0</v>
      </c>
      <c r="Q1100" s="1">
        <v>0</v>
      </c>
      <c r="R1100" s="1">
        <v>0</v>
      </c>
      <c r="S1100" s="1">
        <v>75</v>
      </c>
      <c r="T1100" s="1">
        <v>855</v>
      </c>
      <c r="U1100" s="1">
        <v>210</v>
      </c>
      <c r="V1100" s="1">
        <v>72</v>
      </c>
      <c r="W1100" s="1">
        <v>105</v>
      </c>
      <c r="X1100" s="1">
        <v>469</v>
      </c>
      <c r="Y1100" s="1">
        <v>0</v>
      </c>
      <c r="Z1100" s="1">
        <v>99</v>
      </c>
      <c r="AA1100" s="1">
        <v>211</v>
      </c>
      <c r="AB1100" s="1">
        <v>158</v>
      </c>
      <c r="AC1100" s="1">
        <v>7</v>
      </c>
      <c r="AD1100" s="1">
        <v>46</v>
      </c>
      <c r="AE1100" s="1">
        <v>0</v>
      </c>
      <c r="AF1100" s="1">
        <v>331</v>
      </c>
      <c r="AG1100" s="1">
        <v>65</v>
      </c>
      <c r="AH1100" s="1">
        <v>934</v>
      </c>
      <c r="AI1100" s="1">
        <v>0</v>
      </c>
      <c r="AJ1100" s="1">
        <v>36</v>
      </c>
    </row>
    <row r="1101" spans="1:36">
      <c r="A1101" s="58">
        <v>40445</v>
      </c>
      <c r="B1101" s="1">
        <v>11591</v>
      </c>
      <c r="C1101" s="1">
        <v>9060</v>
      </c>
      <c r="D1101" s="21">
        <f t="shared" si="34"/>
        <v>-1.8205461638491547E-2</v>
      </c>
      <c r="E1101" s="1">
        <v>9060</v>
      </c>
      <c r="F1101" s="1">
        <v>0</v>
      </c>
      <c r="G1101" s="1">
        <v>0</v>
      </c>
      <c r="H1101" s="1">
        <v>2531</v>
      </c>
      <c r="I1101" s="21">
        <f t="shared" si="33"/>
        <v>-1.5175097276264591E-2</v>
      </c>
      <c r="J1101" s="1">
        <v>864</v>
      </c>
      <c r="K1101" s="1">
        <v>78</v>
      </c>
      <c r="L1101" s="1">
        <v>0</v>
      </c>
      <c r="M1101" s="1">
        <v>0</v>
      </c>
      <c r="N1101" s="1">
        <v>0</v>
      </c>
      <c r="O1101" s="1">
        <v>78</v>
      </c>
      <c r="P1101" s="1">
        <v>0</v>
      </c>
      <c r="Q1101" s="1">
        <v>0</v>
      </c>
      <c r="R1101" s="1">
        <v>0</v>
      </c>
      <c r="S1101" s="1">
        <v>78</v>
      </c>
      <c r="T1101" s="1">
        <v>786</v>
      </c>
      <c r="U1101" s="1">
        <v>229</v>
      </c>
      <c r="V1101" s="1">
        <v>70</v>
      </c>
      <c r="W1101" s="1">
        <v>97</v>
      </c>
      <c r="X1101" s="1">
        <v>391</v>
      </c>
      <c r="Y1101" s="1">
        <v>0</v>
      </c>
      <c r="Z1101" s="1">
        <v>112</v>
      </c>
      <c r="AA1101" s="1">
        <v>211</v>
      </c>
      <c r="AB1101" s="1">
        <v>169</v>
      </c>
      <c r="AC1101" s="1">
        <v>6</v>
      </c>
      <c r="AD1101" s="1">
        <v>36</v>
      </c>
      <c r="AE1101" s="1">
        <v>0</v>
      </c>
      <c r="AF1101" s="1">
        <v>323</v>
      </c>
      <c r="AG1101" s="1">
        <v>77</v>
      </c>
      <c r="AH1101" s="1">
        <v>943</v>
      </c>
      <c r="AI1101" s="1">
        <v>0</v>
      </c>
      <c r="AJ1101" s="1">
        <v>46</v>
      </c>
    </row>
    <row r="1102" spans="1:36">
      <c r="A1102" s="58">
        <v>40452</v>
      </c>
      <c r="B1102" s="1">
        <v>11477</v>
      </c>
      <c r="C1102" s="1">
        <v>9070</v>
      </c>
      <c r="D1102" s="21">
        <f t="shared" si="34"/>
        <v>1.1037527593818985E-3</v>
      </c>
      <c r="E1102" s="1">
        <v>9070</v>
      </c>
      <c r="F1102" s="1">
        <v>0</v>
      </c>
      <c r="G1102" s="1">
        <v>0</v>
      </c>
      <c r="H1102" s="1">
        <v>2415</v>
      </c>
      <c r="I1102" s="21">
        <f t="shared" si="33"/>
        <v>-4.5831687080205449E-2</v>
      </c>
      <c r="J1102" s="1">
        <v>772</v>
      </c>
      <c r="K1102" s="1">
        <v>117</v>
      </c>
      <c r="L1102" s="1">
        <v>0</v>
      </c>
      <c r="M1102" s="1">
        <v>0</v>
      </c>
      <c r="N1102" s="1">
        <v>0</v>
      </c>
      <c r="O1102" s="1">
        <v>117</v>
      </c>
      <c r="P1102" s="1">
        <v>0</v>
      </c>
      <c r="Q1102" s="1">
        <v>0</v>
      </c>
      <c r="R1102" s="1">
        <v>0</v>
      </c>
      <c r="S1102" s="1">
        <v>117</v>
      </c>
      <c r="T1102" s="1">
        <v>655</v>
      </c>
      <c r="U1102" s="1">
        <v>182</v>
      </c>
      <c r="V1102" s="1">
        <v>77</v>
      </c>
      <c r="W1102" s="1">
        <v>101</v>
      </c>
      <c r="X1102" s="1">
        <v>294</v>
      </c>
      <c r="Y1102" s="1">
        <v>0</v>
      </c>
      <c r="Z1102" s="1">
        <v>96</v>
      </c>
      <c r="AA1102" s="1">
        <v>193</v>
      </c>
      <c r="AB1102" s="1">
        <v>147</v>
      </c>
      <c r="AC1102" s="1">
        <v>7</v>
      </c>
      <c r="AD1102" s="1">
        <v>39</v>
      </c>
      <c r="AE1102" s="1">
        <v>0</v>
      </c>
      <c r="AF1102" s="1">
        <v>312</v>
      </c>
      <c r="AG1102" s="1">
        <v>93</v>
      </c>
      <c r="AH1102" s="1">
        <v>950</v>
      </c>
      <c r="AI1102" s="1">
        <v>8</v>
      </c>
      <c r="AJ1102" s="1">
        <v>48</v>
      </c>
    </row>
    <row r="1103" spans="1:36">
      <c r="A1103" s="58">
        <v>40459</v>
      </c>
      <c r="B1103" s="1">
        <v>11265</v>
      </c>
      <c r="C1103" s="1">
        <v>8845</v>
      </c>
      <c r="D1103" s="21">
        <f t="shared" si="34"/>
        <v>-2.4807056229327454E-2</v>
      </c>
      <c r="E1103" s="1">
        <v>8845</v>
      </c>
      <c r="F1103" s="1">
        <v>0</v>
      </c>
      <c r="G1103" s="1">
        <v>0</v>
      </c>
      <c r="H1103" s="1">
        <v>2435</v>
      </c>
      <c r="I1103" s="21">
        <f t="shared" si="33"/>
        <v>8.2815734989648039E-3</v>
      </c>
      <c r="J1103" s="1">
        <v>788</v>
      </c>
      <c r="K1103" s="1">
        <v>128</v>
      </c>
      <c r="L1103" s="1">
        <v>0</v>
      </c>
      <c r="M1103" s="1">
        <v>0</v>
      </c>
      <c r="N1103" s="1">
        <v>0</v>
      </c>
      <c r="O1103" s="1">
        <v>128</v>
      </c>
      <c r="P1103" s="1">
        <v>0</v>
      </c>
      <c r="Q1103" s="1">
        <v>0</v>
      </c>
      <c r="R1103" s="1">
        <v>0</v>
      </c>
      <c r="S1103" s="1">
        <v>128</v>
      </c>
      <c r="T1103" s="1">
        <v>660</v>
      </c>
      <c r="U1103" s="1">
        <v>204</v>
      </c>
      <c r="V1103" s="1">
        <v>83</v>
      </c>
      <c r="W1103" s="1">
        <v>119</v>
      </c>
      <c r="X1103" s="1">
        <v>255</v>
      </c>
      <c r="Y1103" s="1">
        <v>0</v>
      </c>
      <c r="Z1103" s="1">
        <v>77</v>
      </c>
      <c r="AA1103" s="1">
        <v>191</v>
      </c>
      <c r="AB1103" s="1">
        <v>140</v>
      </c>
      <c r="AC1103" s="1">
        <v>7</v>
      </c>
      <c r="AD1103" s="1">
        <v>44</v>
      </c>
      <c r="AE1103" s="1">
        <v>0</v>
      </c>
      <c r="AF1103" s="1">
        <v>336</v>
      </c>
      <c r="AG1103" s="1">
        <v>102</v>
      </c>
      <c r="AH1103" s="1">
        <v>940</v>
      </c>
      <c r="AI1103" s="1">
        <v>15</v>
      </c>
      <c r="AJ1103" s="1">
        <v>50</v>
      </c>
    </row>
    <row r="1104" spans="1:36">
      <c r="A1104" s="58">
        <v>40466</v>
      </c>
      <c r="B1104" s="1">
        <v>11072</v>
      </c>
      <c r="C1104" s="1">
        <v>8665</v>
      </c>
      <c r="D1104" s="21">
        <f t="shared" si="34"/>
        <v>-2.0350480497456191E-2</v>
      </c>
      <c r="E1104" s="1">
        <v>8665</v>
      </c>
      <c r="F1104" s="1">
        <v>0</v>
      </c>
      <c r="G1104" s="1">
        <v>0</v>
      </c>
      <c r="H1104" s="1">
        <v>2424</v>
      </c>
      <c r="I1104" s="21">
        <f t="shared" si="33"/>
        <v>-4.517453798767967E-3</v>
      </c>
      <c r="J1104" s="1">
        <v>770</v>
      </c>
      <c r="K1104" s="1">
        <v>136</v>
      </c>
      <c r="L1104" s="1">
        <v>0</v>
      </c>
      <c r="M1104" s="1">
        <v>0</v>
      </c>
      <c r="N1104" s="1">
        <v>0</v>
      </c>
      <c r="O1104" s="1">
        <v>136</v>
      </c>
      <c r="P1104" s="1">
        <v>0</v>
      </c>
      <c r="Q1104" s="1">
        <v>0</v>
      </c>
      <c r="R1104" s="1">
        <v>0</v>
      </c>
      <c r="S1104" s="1">
        <v>136</v>
      </c>
      <c r="T1104" s="1">
        <v>634</v>
      </c>
      <c r="U1104" s="1">
        <v>202</v>
      </c>
      <c r="V1104" s="1">
        <v>73</v>
      </c>
      <c r="W1104" s="1">
        <v>106</v>
      </c>
      <c r="X1104" s="1">
        <v>253</v>
      </c>
      <c r="Y1104" s="1">
        <v>0</v>
      </c>
      <c r="Z1104" s="1">
        <v>73</v>
      </c>
      <c r="AA1104" s="1">
        <v>176</v>
      </c>
      <c r="AB1104" s="1">
        <v>124</v>
      </c>
      <c r="AC1104" s="1">
        <v>8</v>
      </c>
      <c r="AD1104" s="1">
        <v>44</v>
      </c>
      <c r="AE1104" s="1">
        <v>0</v>
      </c>
      <c r="AF1104" s="1">
        <v>321</v>
      </c>
      <c r="AG1104" s="1">
        <v>104</v>
      </c>
      <c r="AH1104" s="1">
        <v>980</v>
      </c>
      <c r="AI1104" s="1">
        <v>17</v>
      </c>
      <c r="AJ1104" s="1">
        <v>50</v>
      </c>
    </row>
    <row r="1105" spans="1:36">
      <c r="A1105" s="58">
        <v>40473</v>
      </c>
      <c r="B1105" s="1">
        <v>11216</v>
      </c>
      <c r="C1105" s="1">
        <v>8779</v>
      </c>
      <c r="D1105" s="21">
        <f t="shared" si="34"/>
        <v>1.3156376226197346E-2</v>
      </c>
      <c r="E1105" s="1">
        <v>8779</v>
      </c>
      <c r="F1105" s="1">
        <v>0</v>
      </c>
      <c r="G1105" s="1">
        <v>0</v>
      </c>
      <c r="H1105" s="1">
        <v>2454</v>
      </c>
      <c r="I1105" s="21">
        <f t="shared" si="33"/>
        <v>1.2376237623762377E-2</v>
      </c>
      <c r="J1105" s="1">
        <v>800</v>
      </c>
      <c r="K1105" s="1">
        <v>145</v>
      </c>
      <c r="L1105" s="1">
        <v>0</v>
      </c>
      <c r="M1105" s="1">
        <v>0</v>
      </c>
      <c r="N1105" s="1">
        <v>0</v>
      </c>
      <c r="O1105" s="1">
        <v>145</v>
      </c>
      <c r="P1105" s="1">
        <v>0</v>
      </c>
      <c r="Q1105" s="1">
        <v>0</v>
      </c>
      <c r="R1105" s="1">
        <v>0</v>
      </c>
      <c r="S1105" s="1">
        <v>145</v>
      </c>
      <c r="T1105" s="1">
        <v>655</v>
      </c>
      <c r="U1105" s="1">
        <v>195</v>
      </c>
      <c r="V1105" s="1">
        <v>98</v>
      </c>
      <c r="W1105" s="1">
        <v>80</v>
      </c>
      <c r="X1105" s="1">
        <v>283</v>
      </c>
      <c r="Y1105" s="1">
        <v>0</v>
      </c>
      <c r="Z1105" s="1">
        <v>52</v>
      </c>
      <c r="AA1105" s="1">
        <v>174</v>
      </c>
      <c r="AB1105" s="1">
        <v>115</v>
      </c>
      <c r="AC1105" s="1">
        <v>8</v>
      </c>
      <c r="AD1105" s="1">
        <v>52</v>
      </c>
      <c r="AE1105" s="1">
        <v>0</v>
      </c>
      <c r="AF1105" s="1">
        <v>340</v>
      </c>
      <c r="AG1105" s="1">
        <v>143</v>
      </c>
      <c r="AH1105" s="1">
        <v>945</v>
      </c>
      <c r="AI1105" s="1">
        <v>17</v>
      </c>
      <c r="AJ1105" s="1">
        <v>38</v>
      </c>
    </row>
    <row r="1106" spans="1:36">
      <c r="A1106" s="58">
        <v>40480</v>
      </c>
      <c r="B1106" s="1">
        <v>11145</v>
      </c>
      <c r="C1106" s="1">
        <v>8692</v>
      </c>
      <c r="D1106" s="21">
        <f t="shared" si="34"/>
        <v>-9.9100125299009002E-3</v>
      </c>
      <c r="E1106" s="1">
        <v>8692</v>
      </c>
      <c r="F1106" s="1">
        <v>0</v>
      </c>
      <c r="G1106" s="1">
        <v>0</v>
      </c>
      <c r="H1106" s="1">
        <v>2461</v>
      </c>
      <c r="I1106" s="21">
        <f t="shared" si="33"/>
        <v>2.8524857375713123E-3</v>
      </c>
      <c r="J1106" s="1">
        <v>839</v>
      </c>
      <c r="K1106" s="1">
        <v>130</v>
      </c>
      <c r="L1106" s="1">
        <v>0</v>
      </c>
      <c r="M1106" s="1">
        <v>0</v>
      </c>
      <c r="N1106" s="1">
        <v>0</v>
      </c>
      <c r="O1106" s="1">
        <v>130</v>
      </c>
      <c r="P1106" s="1">
        <v>0</v>
      </c>
      <c r="Q1106" s="1">
        <v>0</v>
      </c>
      <c r="R1106" s="1">
        <v>0</v>
      </c>
      <c r="S1106" s="1">
        <v>130</v>
      </c>
      <c r="T1106" s="1">
        <v>710</v>
      </c>
      <c r="U1106" s="1">
        <v>212</v>
      </c>
      <c r="V1106" s="1">
        <v>83</v>
      </c>
      <c r="W1106" s="1">
        <v>109</v>
      </c>
      <c r="X1106" s="1">
        <v>307</v>
      </c>
      <c r="Y1106" s="1">
        <v>0</v>
      </c>
      <c r="Z1106" s="1">
        <v>64</v>
      </c>
      <c r="AA1106" s="1">
        <v>153</v>
      </c>
      <c r="AB1106" s="1">
        <v>109</v>
      </c>
      <c r="AC1106" s="1">
        <v>7</v>
      </c>
      <c r="AD1106" s="1">
        <v>36</v>
      </c>
      <c r="AE1106" s="1">
        <v>0</v>
      </c>
      <c r="AF1106" s="1">
        <v>345</v>
      </c>
      <c r="AG1106" s="1">
        <v>136</v>
      </c>
      <c r="AH1106" s="1">
        <v>924</v>
      </c>
      <c r="AI1106" s="1">
        <v>8</v>
      </c>
      <c r="AJ1106" s="1">
        <v>40</v>
      </c>
    </row>
    <row r="1107" spans="1:36">
      <c r="A1107" s="58">
        <v>40487</v>
      </c>
      <c r="B1107" s="1">
        <v>11154</v>
      </c>
      <c r="C1107" s="1">
        <v>8683</v>
      </c>
      <c r="D1107" s="21">
        <f t="shared" si="34"/>
        <v>-1.0354348826507134E-3</v>
      </c>
      <c r="E1107" s="1">
        <v>8683</v>
      </c>
      <c r="F1107" s="1">
        <v>0</v>
      </c>
      <c r="G1107" s="1">
        <v>0</v>
      </c>
      <c r="H1107" s="1">
        <v>2474</v>
      </c>
      <c r="I1107" s="21">
        <f t="shared" si="33"/>
        <v>5.2824055262088582E-3</v>
      </c>
      <c r="J1107" s="1">
        <v>863</v>
      </c>
      <c r="K1107" s="1">
        <v>133</v>
      </c>
      <c r="L1107" s="1">
        <v>0</v>
      </c>
      <c r="M1107" s="1">
        <v>0</v>
      </c>
      <c r="N1107" s="1">
        <v>0</v>
      </c>
      <c r="O1107" s="1">
        <v>133</v>
      </c>
      <c r="P1107" s="1">
        <v>0</v>
      </c>
      <c r="Q1107" s="1">
        <v>0</v>
      </c>
      <c r="R1107" s="1">
        <v>0</v>
      </c>
      <c r="S1107" s="1">
        <v>133</v>
      </c>
      <c r="T1107" s="1">
        <v>730</v>
      </c>
      <c r="U1107" s="1">
        <v>204</v>
      </c>
      <c r="V1107" s="1">
        <v>97</v>
      </c>
      <c r="W1107" s="1">
        <v>79</v>
      </c>
      <c r="X1107" s="1">
        <v>349</v>
      </c>
      <c r="Y1107" s="1">
        <v>0</v>
      </c>
      <c r="Z1107" s="1">
        <v>61</v>
      </c>
      <c r="AA1107" s="1">
        <v>151</v>
      </c>
      <c r="AB1107" s="1">
        <v>107</v>
      </c>
      <c r="AC1107" s="1">
        <v>9</v>
      </c>
      <c r="AD1107" s="1">
        <v>35</v>
      </c>
      <c r="AE1107" s="1">
        <v>0</v>
      </c>
      <c r="AF1107" s="1">
        <v>339</v>
      </c>
      <c r="AG1107" s="1">
        <v>130</v>
      </c>
      <c r="AH1107" s="1">
        <v>931</v>
      </c>
      <c r="AI1107" s="1">
        <v>2</v>
      </c>
      <c r="AJ1107" s="1">
        <v>39</v>
      </c>
    </row>
    <row r="1108" spans="1:36">
      <c r="A1108" s="58">
        <v>40494</v>
      </c>
      <c r="B1108" s="1">
        <v>10939</v>
      </c>
      <c r="C1108" s="1">
        <v>8499</v>
      </c>
      <c r="D1108" s="21">
        <f t="shared" si="34"/>
        <v>-2.1190832661522514E-2</v>
      </c>
      <c r="E1108" s="1">
        <v>8499</v>
      </c>
      <c r="F1108" s="1">
        <v>0</v>
      </c>
      <c r="G1108" s="1">
        <v>0</v>
      </c>
      <c r="H1108" s="1">
        <v>2441</v>
      </c>
      <c r="I1108" s="21">
        <f t="shared" si="33"/>
        <v>-1.333872271624899E-2</v>
      </c>
      <c r="J1108" s="1">
        <v>808</v>
      </c>
      <c r="K1108" s="1">
        <v>103</v>
      </c>
      <c r="L1108" s="1">
        <v>0</v>
      </c>
      <c r="M1108" s="1">
        <v>0</v>
      </c>
      <c r="N1108" s="1">
        <v>0</v>
      </c>
      <c r="O1108" s="1">
        <v>103</v>
      </c>
      <c r="P1108" s="1">
        <v>0</v>
      </c>
      <c r="Q1108" s="1">
        <v>0</v>
      </c>
      <c r="R1108" s="1">
        <v>0</v>
      </c>
      <c r="S1108" s="1">
        <v>103</v>
      </c>
      <c r="T1108" s="1">
        <v>706</v>
      </c>
      <c r="U1108" s="1">
        <v>182</v>
      </c>
      <c r="V1108" s="1">
        <v>88</v>
      </c>
      <c r="W1108" s="1">
        <v>64</v>
      </c>
      <c r="X1108" s="1">
        <v>371</v>
      </c>
      <c r="Y1108" s="1">
        <v>0</v>
      </c>
      <c r="Z1108" s="1">
        <v>49</v>
      </c>
      <c r="AA1108" s="1">
        <v>137</v>
      </c>
      <c r="AB1108" s="1">
        <v>99</v>
      </c>
      <c r="AC1108" s="1">
        <v>9</v>
      </c>
      <c r="AD1108" s="1">
        <v>29</v>
      </c>
      <c r="AE1108" s="1">
        <v>0</v>
      </c>
      <c r="AF1108" s="1">
        <v>373</v>
      </c>
      <c r="AG1108" s="1">
        <v>140</v>
      </c>
      <c r="AH1108" s="1">
        <v>933</v>
      </c>
      <c r="AI1108" s="1">
        <v>0</v>
      </c>
      <c r="AJ1108" s="1">
        <v>46</v>
      </c>
    </row>
    <row r="1109" spans="1:36">
      <c r="A1109" s="58">
        <v>40501</v>
      </c>
      <c r="B1109" s="1">
        <v>10773</v>
      </c>
      <c r="C1109" s="1">
        <v>8389</v>
      </c>
      <c r="D1109" s="21">
        <f t="shared" si="34"/>
        <v>-1.2942699141075421E-2</v>
      </c>
      <c r="E1109" s="1">
        <v>8389</v>
      </c>
      <c r="F1109" s="1">
        <v>0</v>
      </c>
      <c r="G1109" s="1">
        <v>0</v>
      </c>
      <c r="H1109" s="1">
        <v>2385</v>
      </c>
      <c r="I1109" s="21">
        <f t="shared" si="33"/>
        <v>-2.2941417451863989E-2</v>
      </c>
      <c r="J1109" s="1">
        <v>755</v>
      </c>
      <c r="K1109" s="1">
        <v>107</v>
      </c>
      <c r="L1109" s="1">
        <v>0</v>
      </c>
      <c r="M1109" s="1">
        <v>0</v>
      </c>
      <c r="N1109" s="1">
        <v>0</v>
      </c>
      <c r="O1109" s="1">
        <v>107</v>
      </c>
      <c r="P1109" s="1">
        <v>0</v>
      </c>
      <c r="Q1109" s="1">
        <v>0</v>
      </c>
      <c r="R1109" s="1">
        <v>0</v>
      </c>
      <c r="S1109" s="1">
        <v>107</v>
      </c>
      <c r="T1109" s="1">
        <v>648</v>
      </c>
      <c r="U1109" s="1">
        <v>147</v>
      </c>
      <c r="V1109" s="1">
        <v>70</v>
      </c>
      <c r="W1109" s="1">
        <v>69</v>
      </c>
      <c r="X1109" s="1">
        <v>361</v>
      </c>
      <c r="Y1109" s="1">
        <v>0</v>
      </c>
      <c r="Z1109" s="1">
        <v>68</v>
      </c>
      <c r="AA1109" s="1">
        <v>123</v>
      </c>
      <c r="AB1109" s="1">
        <v>88</v>
      </c>
      <c r="AC1109" s="1">
        <v>8</v>
      </c>
      <c r="AD1109" s="1">
        <v>26</v>
      </c>
      <c r="AE1109" s="1">
        <v>0</v>
      </c>
      <c r="AF1109" s="1">
        <v>362</v>
      </c>
      <c r="AG1109" s="1">
        <v>99</v>
      </c>
      <c r="AH1109" s="1">
        <v>979</v>
      </c>
      <c r="AI1109" s="1">
        <v>0</v>
      </c>
      <c r="AJ1109" s="1">
        <v>56</v>
      </c>
    </row>
    <row r="1110" spans="1:36">
      <c r="A1110" s="58">
        <v>40508</v>
      </c>
      <c r="B1110" s="1">
        <v>10684</v>
      </c>
      <c r="C1110" s="1">
        <v>8356</v>
      </c>
      <c r="D1110" s="21">
        <f t="shared" si="34"/>
        <v>-3.9337227321492429E-3</v>
      </c>
      <c r="E1110" s="1">
        <v>8356</v>
      </c>
      <c r="F1110" s="1">
        <v>0</v>
      </c>
      <c r="G1110" s="1">
        <v>0</v>
      </c>
      <c r="H1110" s="1">
        <v>2329</v>
      </c>
      <c r="I1110" s="21">
        <f t="shared" si="33"/>
        <v>-2.3480083857442349E-2</v>
      </c>
      <c r="J1110" s="1">
        <v>712</v>
      </c>
      <c r="K1110" s="1">
        <v>94</v>
      </c>
      <c r="L1110" s="1">
        <v>0</v>
      </c>
      <c r="M1110" s="1">
        <v>0</v>
      </c>
      <c r="N1110" s="1">
        <v>0</v>
      </c>
      <c r="O1110" s="1">
        <v>94</v>
      </c>
      <c r="P1110" s="1">
        <v>0</v>
      </c>
      <c r="Q1110" s="1">
        <v>0</v>
      </c>
      <c r="R1110" s="1">
        <v>0</v>
      </c>
      <c r="S1110" s="1">
        <v>94</v>
      </c>
      <c r="T1110" s="1">
        <v>618</v>
      </c>
      <c r="U1110" s="1">
        <v>144</v>
      </c>
      <c r="V1110" s="1">
        <v>79</v>
      </c>
      <c r="W1110" s="1">
        <v>47</v>
      </c>
      <c r="X1110" s="1">
        <v>348</v>
      </c>
      <c r="Y1110" s="1">
        <v>0</v>
      </c>
      <c r="Z1110" s="1">
        <v>58</v>
      </c>
      <c r="AA1110" s="1">
        <v>128</v>
      </c>
      <c r="AB1110" s="1">
        <v>88</v>
      </c>
      <c r="AC1110" s="1">
        <v>6</v>
      </c>
      <c r="AD1110" s="1">
        <v>34</v>
      </c>
      <c r="AE1110" s="1">
        <v>0</v>
      </c>
      <c r="AF1110" s="1">
        <v>355</v>
      </c>
      <c r="AG1110" s="1">
        <v>100</v>
      </c>
      <c r="AH1110" s="1">
        <v>977</v>
      </c>
      <c r="AI1110" s="1">
        <v>0</v>
      </c>
      <c r="AJ1110" s="1">
        <v>61</v>
      </c>
    </row>
    <row r="1111" spans="1:36">
      <c r="A1111" s="58">
        <v>40515</v>
      </c>
      <c r="B1111" s="1">
        <v>10993</v>
      </c>
      <c r="C1111" s="1">
        <v>8597</v>
      </c>
      <c r="D1111" s="21">
        <f t="shared" si="34"/>
        <v>2.8841550981330781E-2</v>
      </c>
      <c r="E1111" s="1">
        <v>8597</v>
      </c>
      <c r="F1111" s="1">
        <v>0</v>
      </c>
      <c r="G1111" s="1">
        <v>0</v>
      </c>
      <c r="H1111" s="1">
        <v>2396</v>
      </c>
      <c r="I1111" s="21">
        <f t="shared" si="33"/>
        <v>2.8767711464147704E-2</v>
      </c>
      <c r="J1111" s="1">
        <v>728</v>
      </c>
      <c r="K1111" s="1">
        <v>109</v>
      </c>
      <c r="L1111" s="1">
        <v>0</v>
      </c>
      <c r="M1111" s="1">
        <v>0</v>
      </c>
      <c r="N1111" s="1">
        <v>0</v>
      </c>
      <c r="O1111" s="1">
        <v>109</v>
      </c>
      <c r="P1111" s="1">
        <v>0</v>
      </c>
      <c r="Q1111" s="1">
        <v>0</v>
      </c>
      <c r="R1111" s="1">
        <v>0</v>
      </c>
      <c r="S1111" s="1">
        <v>109</v>
      </c>
      <c r="T1111" s="1">
        <v>619</v>
      </c>
      <c r="U1111" s="1">
        <v>146</v>
      </c>
      <c r="V1111" s="1">
        <v>79</v>
      </c>
      <c r="W1111" s="1">
        <v>65</v>
      </c>
      <c r="X1111" s="1">
        <v>328</v>
      </c>
      <c r="Y1111" s="1">
        <v>0</v>
      </c>
      <c r="Z1111" s="1">
        <v>77</v>
      </c>
      <c r="AA1111" s="1">
        <v>147</v>
      </c>
      <c r="AB1111" s="1">
        <v>99</v>
      </c>
      <c r="AC1111" s="1">
        <v>7</v>
      </c>
      <c r="AD1111" s="1">
        <v>34</v>
      </c>
      <c r="AE1111" s="1">
        <v>7</v>
      </c>
      <c r="AF1111" s="1">
        <v>381</v>
      </c>
      <c r="AG1111" s="1">
        <v>123</v>
      </c>
      <c r="AH1111" s="1">
        <v>941</v>
      </c>
      <c r="AI1111" s="1">
        <v>0</v>
      </c>
      <c r="AJ1111" s="1">
        <v>57</v>
      </c>
    </row>
    <row r="1112" spans="1:36">
      <c r="A1112" s="58">
        <v>40522</v>
      </c>
      <c r="B1112" s="1">
        <v>10958</v>
      </c>
      <c r="C1112" s="1">
        <v>8553</v>
      </c>
      <c r="D1112" s="21">
        <f t="shared" si="34"/>
        <v>-5.1180644410840992E-3</v>
      </c>
      <c r="E1112" s="1">
        <v>8553</v>
      </c>
      <c r="F1112" s="1">
        <v>0</v>
      </c>
      <c r="G1112" s="1">
        <v>0</v>
      </c>
      <c r="H1112" s="1">
        <v>2404</v>
      </c>
      <c r="I1112" s="21">
        <f t="shared" si="33"/>
        <v>3.3388981636060101E-3</v>
      </c>
      <c r="J1112" s="1">
        <v>806</v>
      </c>
      <c r="K1112" s="1">
        <v>132</v>
      </c>
      <c r="L1112" s="1">
        <v>0</v>
      </c>
      <c r="M1112" s="1">
        <v>0</v>
      </c>
      <c r="N1112" s="1">
        <v>0</v>
      </c>
      <c r="O1112" s="1">
        <v>132</v>
      </c>
      <c r="P1112" s="1">
        <v>0</v>
      </c>
      <c r="Q1112" s="1">
        <v>0</v>
      </c>
      <c r="R1112" s="1">
        <v>0</v>
      </c>
      <c r="S1112" s="1">
        <v>132</v>
      </c>
      <c r="T1112" s="1">
        <v>674</v>
      </c>
      <c r="U1112" s="1">
        <v>188</v>
      </c>
      <c r="V1112" s="1">
        <v>94</v>
      </c>
      <c r="W1112" s="1">
        <v>72</v>
      </c>
      <c r="X1112" s="1">
        <v>320</v>
      </c>
      <c r="Y1112" s="1">
        <v>0</v>
      </c>
      <c r="Z1112" s="1">
        <v>77</v>
      </c>
      <c r="AA1112" s="1">
        <v>191</v>
      </c>
      <c r="AB1112" s="1">
        <v>127</v>
      </c>
      <c r="AC1112" s="1">
        <v>11</v>
      </c>
      <c r="AD1112" s="1">
        <v>46</v>
      </c>
      <c r="AE1112" s="1">
        <v>7</v>
      </c>
      <c r="AF1112" s="1">
        <v>354</v>
      </c>
      <c r="AG1112" s="1">
        <v>119</v>
      </c>
      <c r="AH1112" s="1">
        <v>858</v>
      </c>
      <c r="AI1112" s="1">
        <v>0</v>
      </c>
      <c r="AJ1112" s="1">
        <v>78</v>
      </c>
    </row>
    <row r="1113" spans="1:36">
      <c r="A1113" s="58">
        <v>40529</v>
      </c>
      <c r="B1113" s="1">
        <v>11005</v>
      </c>
      <c r="C1113" s="1">
        <v>8483</v>
      </c>
      <c r="D1113" s="21">
        <f t="shared" si="34"/>
        <v>-8.1842628317549404E-3</v>
      </c>
      <c r="E1113" s="1">
        <v>8483</v>
      </c>
      <c r="F1113" s="1">
        <v>0</v>
      </c>
      <c r="G1113" s="1">
        <v>0</v>
      </c>
      <c r="H1113" s="1">
        <v>2522</v>
      </c>
      <c r="I1113" s="21">
        <f t="shared" si="33"/>
        <v>4.9084858569051579E-2</v>
      </c>
      <c r="J1113" s="1">
        <v>862</v>
      </c>
      <c r="K1113" s="1">
        <v>112</v>
      </c>
      <c r="L1113" s="1">
        <v>0</v>
      </c>
      <c r="M1113" s="1">
        <v>0</v>
      </c>
      <c r="N1113" s="1">
        <v>0</v>
      </c>
      <c r="O1113" s="1">
        <v>112</v>
      </c>
      <c r="P1113" s="1">
        <v>1</v>
      </c>
      <c r="Q1113" s="1">
        <v>1</v>
      </c>
      <c r="R1113" s="1">
        <v>0</v>
      </c>
      <c r="S1113" s="1">
        <v>111</v>
      </c>
      <c r="T1113" s="1">
        <v>750</v>
      </c>
      <c r="U1113" s="1">
        <v>226</v>
      </c>
      <c r="V1113" s="1">
        <v>83</v>
      </c>
      <c r="W1113" s="1">
        <v>69</v>
      </c>
      <c r="X1113" s="1">
        <v>373</v>
      </c>
      <c r="Y1113" s="1">
        <v>0</v>
      </c>
      <c r="Z1113" s="1">
        <v>64</v>
      </c>
      <c r="AA1113" s="1">
        <v>212</v>
      </c>
      <c r="AB1113" s="1">
        <v>140</v>
      </c>
      <c r="AC1113" s="1">
        <v>11</v>
      </c>
      <c r="AD1113" s="1">
        <v>55</v>
      </c>
      <c r="AE1113" s="1">
        <v>7</v>
      </c>
      <c r="AF1113" s="1">
        <v>387</v>
      </c>
      <c r="AG1113" s="1">
        <v>173</v>
      </c>
      <c r="AH1113" s="1">
        <v>825</v>
      </c>
      <c r="AI1113" s="1">
        <v>0</v>
      </c>
      <c r="AJ1113" s="1">
        <v>65</v>
      </c>
    </row>
    <row r="1114" spans="1:36">
      <c r="A1114" s="58">
        <v>40536</v>
      </c>
      <c r="B1114" s="1">
        <v>11228</v>
      </c>
      <c r="C1114" s="1">
        <v>8574</v>
      </c>
      <c r="D1114" s="21">
        <f t="shared" si="34"/>
        <v>1.0727337026995167E-2</v>
      </c>
      <c r="E1114" s="1">
        <v>8574</v>
      </c>
      <c r="F1114" s="1">
        <v>0</v>
      </c>
      <c r="G1114" s="1">
        <v>0</v>
      </c>
      <c r="H1114" s="1">
        <v>2653</v>
      </c>
      <c r="I1114" s="21">
        <f t="shared" ref="I1114:I1177" si="35">(H1114-H1113)/H1113</f>
        <v>5.1942902458366379E-2</v>
      </c>
      <c r="J1114" s="1">
        <v>881</v>
      </c>
      <c r="K1114" s="1">
        <v>108</v>
      </c>
      <c r="L1114" s="1">
        <v>0</v>
      </c>
      <c r="M1114" s="1">
        <v>0</v>
      </c>
      <c r="N1114" s="1">
        <v>0</v>
      </c>
      <c r="O1114" s="1">
        <v>108</v>
      </c>
      <c r="P1114" s="1">
        <v>1</v>
      </c>
      <c r="Q1114" s="1">
        <v>1</v>
      </c>
      <c r="R1114" s="1">
        <v>0</v>
      </c>
      <c r="S1114" s="1">
        <v>108</v>
      </c>
      <c r="T1114" s="1">
        <v>773</v>
      </c>
      <c r="U1114" s="1">
        <v>233</v>
      </c>
      <c r="V1114" s="1">
        <v>68</v>
      </c>
      <c r="W1114" s="1">
        <v>58</v>
      </c>
      <c r="X1114" s="1">
        <v>413</v>
      </c>
      <c r="Y1114" s="1">
        <v>0</v>
      </c>
      <c r="Z1114" s="1">
        <v>65</v>
      </c>
      <c r="AA1114" s="1">
        <v>247</v>
      </c>
      <c r="AB1114" s="1">
        <v>151</v>
      </c>
      <c r="AC1114" s="1">
        <v>11</v>
      </c>
      <c r="AD1114" s="1">
        <v>78</v>
      </c>
      <c r="AE1114" s="1">
        <v>7</v>
      </c>
      <c r="AF1114" s="1">
        <v>445</v>
      </c>
      <c r="AG1114" s="1">
        <v>196</v>
      </c>
      <c r="AH1114" s="1">
        <v>820</v>
      </c>
      <c r="AI1114" s="1">
        <v>0</v>
      </c>
      <c r="AJ1114" s="1">
        <v>52</v>
      </c>
    </row>
    <row r="1115" spans="1:36">
      <c r="A1115" s="58">
        <v>40543</v>
      </c>
      <c r="B1115" s="1">
        <v>10851</v>
      </c>
      <c r="C1115" s="1">
        <v>8423</v>
      </c>
      <c r="D1115" s="21">
        <f t="shared" si="34"/>
        <v>-1.7611383251691159E-2</v>
      </c>
      <c r="E1115" s="1">
        <v>8423</v>
      </c>
      <c r="F1115" s="1">
        <v>0</v>
      </c>
      <c r="G1115" s="1">
        <v>0</v>
      </c>
      <c r="H1115" s="1">
        <v>2429</v>
      </c>
      <c r="I1115" s="21">
        <f t="shared" si="35"/>
        <v>-8.4432717678100261E-2</v>
      </c>
      <c r="J1115" s="1">
        <v>793</v>
      </c>
      <c r="K1115" s="1">
        <v>81</v>
      </c>
      <c r="L1115" s="1">
        <v>0</v>
      </c>
      <c r="M1115" s="1">
        <v>0</v>
      </c>
      <c r="N1115" s="1">
        <v>0</v>
      </c>
      <c r="O1115" s="1">
        <v>81</v>
      </c>
      <c r="P1115" s="1">
        <v>1</v>
      </c>
      <c r="Q1115" s="1">
        <v>1</v>
      </c>
      <c r="R1115" s="1">
        <v>0</v>
      </c>
      <c r="S1115" s="1">
        <v>80</v>
      </c>
      <c r="T1115" s="1">
        <v>712</v>
      </c>
      <c r="U1115" s="1">
        <v>223</v>
      </c>
      <c r="V1115" s="1">
        <v>42</v>
      </c>
      <c r="W1115" s="1">
        <v>60</v>
      </c>
      <c r="X1115" s="1">
        <v>386</v>
      </c>
      <c r="Y1115" s="1">
        <v>0</v>
      </c>
      <c r="Z1115" s="1">
        <v>53</v>
      </c>
      <c r="AA1115" s="1">
        <v>222</v>
      </c>
      <c r="AB1115" s="1">
        <v>141</v>
      </c>
      <c r="AC1115" s="1">
        <v>7</v>
      </c>
      <c r="AD1115" s="1">
        <v>74</v>
      </c>
      <c r="AE1115" s="1">
        <v>0</v>
      </c>
      <c r="AF1115" s="1">
        <v>377</v>
      </c>
      <c r="AG1115" s="1">
        <v>181</v>
      </c>
      <c r="AH1115" s="1">
        <v>803</v>
      </c>
      <c r="AI1115" s="1">
        <v>0</v>
      </c>
      <c r="AJ1115" s="1">
        <v>52</v>
      </c>
    </row>
    <row r="1116" spans="1:36">
      <c r="A1116" s="58">
        <v>40550</v>
      </c>
      <c r="B1116" s="1">
        <v>11231</v>
      </c>
      <c r="C1116" s="1">
        <v>8724</v>
      </c>
      <c r="D1116" s="21">
        <f t="shared" si="34"/>
        <v>3.5735486168823459E-2</v>
      </c>
      <c r="E1116" s="1">
        <v>8724</v>
      </c>
      <c r="F1116" s="1">
        <v>0</v>
      </c>
      <c r="G1116" s="1">
        <v>0</v>
      </c>
      <c r="H1116" s="1">
        <v>2507</v>
      </c>
      <c r="I1116" s="21">
        <f t="shared" si="35"/>
        <v>3.2111980238781389E-2</v>
      </c>
      <c r="J1116" s="1">
        <v>792</v>
      </c>
      <c r="K1116" s="1">
        <v>68</v>
      </c>
      <c r="L1116" s="1">
        <v>0</v>
      </c>
      <c r="M1116" s="1">
        <v>0</v>
      </c>
      <c r="N1116" s="1">
        <v>0</v>
      </c>
      <c r="O1116" s="1">
        <v>68</v>
      </c>
      <c r="P1116" s="1">
        <v>1</v>
      </c>
      <c r="Q1116" s="1">
        <v>1</v>
      </c>
      <c r="R1116" s="1">
        <v>0</v>
      </c>
      <c r="S1116" s="1">
        <v>67</v>
      </c>
      <c r="T1116" s="1">
        <v>724</v>
      </c>
      <c r="U1116" s="1">
        <v>215</v>
      </c>
      <c r="V1116" s="1">
        <v>25</v>
      </c>
      <c r="W1116" s="1">
        <v>73</v>
      </c>
      <c r="X1116" s="1">
        <v>410</v>
      </c>
      <c r="Y1116" s="1">
        <v>0</v>
      </c>
      <c r="Z1116" s="1">
        <v>65</v>
      </c>
      <c r="AA1116" s="1">
        <v>248</v>
      </c>
      <c r="AB1116" s="1">
        <v>126</v>
      </c>
      <c r="AC1116" s="1">
        <v>29</v>
      </c>
      <c r="AD1116" s="1">
        <v>93</v>
      </c>
      <c r="AE1116" s="1">
        <v>0</v>
      </c>
      <c r="AF1116" s="1">
        <v>402</v>
      </c>
      <c r="AG1116" s="1">
        <v>179</v>
      </c>
      <c r="AH1116" s="1">
        <v>822</v>
      </c>
      <c r="AI1116" s="1">
        <v>0</v>
      </c>
      <c r="AJ1116" s="1">
        <v>26</v>
      </c>
    </row>
    <row r="1117" spans="1:36">
      <c r="A1117" s="58">
        <v>40557</v>
      </c>
      <c r="B1117" s="1">
        <v>11238</v>
      </c>
      <c r="C1117" s="1">
        <v>8788</v>
      </c>
      <c r="D1117" s="21">
        <f t="shared" ref="D1117:D1180" si="36">(C1117-C1116)/C1116</f>
        <v>7.336084364970197E-3</v>
      </c>
      <c r="E1117" s="1">
        <v>8788</v>
      </c>
      <c r="F1117" s="1">
        <v>0</v>
      </c>
      <c r="G1117" s="1">
        <v>0</v>
      </c>
      <c r="H1117" s="1">
        <v>2450</v>
      </c>
      <c r="I1117" s="21">
        <f t="shared" si="35"/>
        <v>-2.2736338252891904E-2</v>
      </c>
      <c r="J1117" s="1">
        <v>720</v>
      </c>
      <c r="K1117" s="1">
        <v>67</v>
      </c>
      <c r="L1117" s="1">
        <v>0</v>
      </c>
      <c r="M1117" s="1">
        <v>0</v>
      </c>
      <c r="N1117" s="1">
        <v>0</v>
      </c>
      <c r="O1117" s="1">
        <v>67</v>
      </c>
      <c r="P1117" s="1">
        <v>1</v>
      </c>
      <c r="Q1117" s="1">
        <v>1</v>
      </c>
      <c r="R1117" s="1">
        <v>0</v>
      </c>
      <c r="S1117" s="1">
        <v>66</v>
      </c>
      <c r="T1117" s="1">
        <v>654</v>
      </c>
      <c r="U1117" s="1">
        <v>201</v>
      </c>
      <c r="V1117" s="1">
        <v>30</v>
      </c>
      <c r="W1117" s="1">
        <v>58</v>
      </c>
      <c r="X1117" s="1">
        <v>364</v>
      </c>
      <c r="Y1117" s="1">
        <v>0</v>
      </c>
      <c r="Z1117" s="1">
        <v>66</v>
      </c>
      <c r="AA1117" s="1">
        <v>254</v>
      </c>
      <c r="AB1117" s="1">
        <v>119</v>
      </c>
      <c r="AC1117" s="1">
        <v>29</v>
      </c>
      <c r="AD1117" s="1">
        <v>96</v>
      </c>
      <c r="AE1117" s="1">
        <v>10</v>
      </c>
      <c r="AF1117" s="1">
        <v>424</v>
      </c>
      <c r="AG1117" s="1">
        <v>128</v>
      </c>
      <c r="AH1117" s="1">
        <v>858</v>
      </c>
      <c r="AI1117" s="1">
        <v>0</v>
      </c>
      <c r="AJ1117" s="1">
        <v>29</v>
      </c>
    </row>
    <row r="1118" spans="1:36">
      <c r="A1118" s="58">
        <v>40564</v>
      </c>
      <c r="B1118" s="1">
        <v>11353</v>
      </c>
      <c r="C1118" s="1">
        <v>8931</v>
      </c>
      <c r="D1118" s="21">
        <f t="shared" si="36"/>
        <v>1.6272189349112426E-2</v>
      </c>
      <c r="E1118" s="1">
        <v>8931</v>
      </c>
      <c r="F1118" s="1">
        <v>0</v>
      </c>
      <c r="G1118" s="1">
        <v>0</v>
      </c>
      <c r="H1118" s="1">
        <v>2422</v>
      </c>
      <c r="I1118" s="21">
        <f t="shared" si="35"/>
        <v>-1.1428571428571429E-2</v>
      </c>
      <c r="J1118" s="1">
        <v>687</v>
      </c>
      <c r="K1118" s="1">
        <v>62</v>
      </c>
      <c r="L1118" s="1">
        <v>0</v>
      </c>
      <c r="M1118" s="1">
        <v>0</v>
      </c>
      <c r="N1118" s="1">
        <v>0</v>
      </c>
      <c r="O1118" s="1">
        <v>62</v>
      </c>
      <c r="P1118" s="1">
        <v>1</v>
      </c>
      <c r="Q1118" s="1">
        <v>1</v>
      </c>
      <c r="R1118" s="1">
        <v>0</v>
      </c>
      <c r="S1118" s="1">
        <v>61</v>
      </c>
      <c r="T1118" s="1">
        <v>625</v>
      </c>
      <c r="U1118" s="1">
        <v>188</v>
      </c>
      <c r="V1118" s="1">
        <v>53</v>
      </c>
      <c r="W1118" s="1">
        <v>56</v>
      </c>
      <c r="X1118" s="1">
        <v>328</v>
      </c>
      <c r="Y1118" s="1">
        <v>0</v>
      </c>
      <c r="Z1118" s="1">
        <v>60</v>
      </c>
      <c r="AA1118" s="1">
        <v>255</v>
      </c>
      <c r="AB1118" s="1">
        <v>125</v>
      </c>
      <c r="AC1118" s="1">
        <v>28</v>
      </c>
      <c r="AD1118" s="1">
        <v>91</v>
      </c>
      <c r="AE1118" s="1">
        <v>10</v>
      </c>
      <c r="AF1118" s="1">
        <v>379</v>
      </c>
      <c r="AG1118" s="1">
        <v>146</v>
      </c>
      <c r="AH1118" s="1">
        <v>895</v>
      </c>
      <c r="AI1118" s="1">
        <v>0</v>
      </c>
      <c r="AJ1118" s="1">
        <v>30</v>
      </c>
    </row>
    <row r="1119" spans="1:36">
      <c r="A1119" s="58">
        <v>40571</v>
      </c>
      <c r="B1119" s="1">
        <v>11786</v>
      </c>
      <c r="C1119" s="1">
        <v>9073</v>
      </c>
      <c r="D1119" s="21">
        <f t="shared" si="36"/>
        <v>1.5899675288321577E-2</v>
      </c>
      <c r="E1119" s="1">
        <v>9073</v>
      </c>
      <c r="F1119" s="1">
        <v>0</v>
      </c>
      <c r="G1119" s="1">
        <v>0</v>
      </c>
      <c r="H1119" s="1">
        <v>2713</v>
      </c>
      <c r="I1119" s="21">
        <f t="shared" si="35"/>
        <v>0.12014863748967795</v>
      </c>
      <c r="J1119" s="1">
        <v>852</v>
      </c>
      <c r="K1119" s="1">
        <v>83</v>
      </c>
      <c r="L1119" s="1">
        <v>0</v>
      </c>
      <c r="M1119" s="1">
        <v>0</v>
      </c>
      <c r="N1119" s="1">
        <v>0</v>
      </c>
      <c r="O1119" s="1">
        <v>83</v>
      </c>
      <c r="P1119" s="1">
        <v>1</v>
      </c>
      <c r="Q1119" s="1">
        <v>1</v>
      </c>
      <c r="R1119" s="1">
        <v>0</v>
      </c>
      <c r="S1119" s="1">
        <v>82</v>
      </c>
      <c r="T1119" s="1">
        <v>769</v>
      </c>
      <c r="U1119" s="1">
        <v>237</v>
      </c>
      <c r="V1119" s="1">
        <v>82</v>
      </c>
      <c r="W1119" s="1">
        <v>68</v>
      </c>
      <c r="X1119" s="1">
        <v>383</v>
      </c>
      <c r="Y1119" s="1">
        <v>0</v>
      </c>
      <c r="Z1119" s="1">
        <v>71</v>
      </c>
      <c r="AA1119" s="1">
        <v>295</v>
      </c>
      <c r="AB1119" s="1">
        <v>144</v>
      </c>
      <c r="AC1119" s="1">
        <v>40</v>
      </c>
      <c r="AD1119" s="1">
        <v>101</v>
      </c>
      <c r="AE1119" s="1">
        <v>10</v>
      </c>
      <c r="AF1119" s="1">
        <v>409</v>
      </c>
      <c r="AG1119" s="1">
        <v>158</v>
      </c>
      <c r="AH1119" s="1">
        <v>927</v>
      </c>
      <c r="AI1119" s="1">
        <v>0</v>
      </c>
      <c r="AJ1119" s="1">
        <v>34</v>
      </c>
    </row>
    <row r="1120" spans="1:36">
      <c r="A1120" s="58">
        <v>40578</v>
      </c>
      <c r="B1120" s="1">
        <v>11851</v>
      </c>
      <c r="C1120" s="1">
        <v>9077</v>
      </c>
      <c r="D1120" s="21">
        <f t="shared" si="36"/>
        <v>4.4086851096660423E-4</v>
      </c>
      <c r="E1120" s="1">
        <v>9077</v>
      </c>
      <c r="F1120" s="1">
        <v>0</v>
      </c>
      <c r="G1120" s="1">
        <v>0</v>
      </c>
      <c r="H1120" s="1">
        <v>2783</v>
      </c>
      <c r="I1120" s="21">
        <f t="shared" si="35"/>
        <v>2.5801695539992626E-2</v>
      </c>
      <c r="J1120" s="1">
        <v>894</v>
      </c>
      <c r="K1120" s="1">
        <v>99</v>
      </c>
      <c r="L1120" s="1">
        <v>0</v>
      </c>
      <c r="M1120" s="1">
        <v>0</v>
      </c>
      <c r="N1120" s="1">
        <v>0</v>
      </c>
      <c r="O1120" s="1">
        <v>99</v>
      </c>
      <c r="P1120" s="1">
        <v>1</v>
      </c>
      <c r="Q1120" s="1">
        <v>1</v>
      </c>
      <c r="R1120" s="1">
        <v>0</v>
      </c>
      <c r="S1120" s="1">
        <v>98</v>
      </c>
      <c r="T1120" s="1">
        <v>795</v>
      </c>
      <c r="U1120" s="1">
        <v>227</v>
      </c>
      <c r="V1120" s="1">
        <v>108</v>
      </c>
      <c r="W1120" s="1">
        <v>57</v>
      </c>
      <c r="X1120" s="1">
        <v>403</v>
      </c>
      <c r="Y1120" s="1">
        <v>0</v>
      </c>
      <c r="Z1120" s="1">
        <v>67</v>
      </c>
      <c r="AA1120" s="1">
        <v>277</v>
      </c>
      <c r="AB1120" s="1">
        <v>154</v>
      </c>
      <c r="AC1120" s="1">
        <v>12</v>
      </c>
      <c r="AD1120" s="1">
        <v>82</v>
      </c>
      <c r="AE1120" s="1">
        <v>29</v>
      </c>
      <c r="AF1120" s="1">
        <v>417</v>
      </c>
      <c r="AG1120" s="1">
        <v>152</v>
      </c>
      <c r="AH1120" s="1">
        <v>975</v>
      </c>
      <c r="AI1120" s="1">
        <v>8</v>
      </c>
      <c r="AJ1120" s="1">
        <v>33</v>
      </c>
    </row>
    <row r="1121" spans="1:36">
      <c r="A1121" s="58">
        <v>40585</v>
      </c>
      <c r="B1121" s="1">
        <v>11619</v>
      </c>
      <c r="C1121" s="1">
        <v>8894</v>
      </c>
      <c r="D1121" s="21">
        <f t="shared" si="36"/>
        <v>-2.0160846094524624E-2</v>
      </c>
      <c r="E1121" s="1">
        <v>8894</v>
      </c>
      <c r="F1121" s="1">
        <v>0</v>
      </c>
      <c r="G1121" s="1">
        <v>0</v>
      </c>
      <c r="H1121" s="1">
        <v>2734</v>
      </c>
      <c r="I1121" s="21">
        <f t="shared" si="35"/>
        <v>-1.760689902982393E-2</v>
      </c>
      <c r="J1121" s="1">
        <v>947</v>
      </c>
      <c r="K1121" s="1">
        <v>110</v>
      </c>
      <c r="L1121" s="1">
        <v>0</v>
      </c>
      <c r="M1121" s="1">
        <v>0</v>
      </c>
      <c r="N1121" s="1">
        <v>0</v>
      </c>
      <c r="O1121" s="1">
        <v>110</v>
      </c>
      <c r="P1121" s="1">
        <v>1</v>
      </c>
      <c r="Q1121" s="1">
        <v>1</v>
      </c>
      <c r="R1121" s="1">
        <v>0</v>
      </c>
      <c r="S1121" s="1">
        <v>109</v>
      </c>
      <c r="T1121" s="1">
        <v>837</v>
      </c>
      <c r="U1121" s="1">
        <v>241</v>
      </c>
      <c r="V1121" s="1">
        <v>108</v>
      </c>
      <c r="W1121" s="1">
        <v>100</v>
      </c>
      <c r="X1121" s="1">
        <v>389</v>
      </c>
      <c r="Y1121" s="1">
        <v>0</v>
      </c>
      <c r="Z1121" s="1">
        <v>66</v>
      </c>
      <c r="AA1121" s="1">
        <v>270</v>
      </c>
      <c r="AB1121" s="1">
        <v>162</v>
      </c>
      <c r="AC1121" s="1">
        <v>12</v>
      </c>
      <c r="AD1121" s="1">
        <v>77</v>
      </c>
      <c r="AE1121" s="1">
        <v>19</v>
      </c>
      <c r="AF1121" s="1">
        <v>408</v>
      </c>
      <c r="AG1121" s="1">
        <v>165</v>
      </c>
      <c r="AH1121" s="1">
        <v>877</v>
      </c>
      <c r="AI1121" s="1">
        <v>8</v>
      </c>
      <c r="AJ1121" s="1">
        <v>36</v>
      </c>
    </row>
    <row r="1122" spans="1:36">
      <c r="A1122" s="58">
        <v>40592</v>
      </c>
      <c r="B1122" s="1">
        <v>11219</v>
      </c>
      <c r="C1122" s="1">
        <v>8574</v>
      </c>
      <c r="D1122" s="21">
        <f t="shared" si="36"/>
        <v>-3.5979311895659997E-2</v>
      </c>
      <c r="E1122" s="1">
        <v>8574</v>
      </c>
      <c r="F1122" s="1">
        <v>0</v>
      </c>
      <c r="G1122" s="1">
        <v>0</v>
      </c>
      <c r="H1122" s="1">
        <v>2654</v>
      </c>
      <c r="I1122" s="21">
        <f t="shared" si="35"/>
        <v>-2.9261155815654718E-2</v>
      </c>
      <c r="J1122" s="1">
        <v>988</v>
      </c>
      <c r="K1122" s="1">
        <v>123</v>
      </c>
      <c r="L1122" s="1">
        <v>0</v>
      </c>
      <c r="M1122" s="1">
        <v>0</v>
      </c>
      <c r="N1122" s="1">
        <v>0</v>
      </c>
      <c r="O1122" s="1">
        <v>123</v>
      </c>
      <c r="P1122" s="1">
        <v>2</v>
      </c>
      <c r="Q1122" s="1">
        <v>2</v>
      </c>
      <c r="R1122" s="1">
        <v>0</v>
      </c>
      <c r="S1122" s="1">
        <v>122</v>
      </c>
      <c r="T1122" s="1">
        <v>865</v>
      </c>
      <c r="U1122" s="1">
        <v>242</v>
      </c>
      <c r="V1122" s="1">
        <v>117</v>
      </c>
      <c r="W1122" s="1">
        <v>99</v>
      </c>
      <c r="X1122" s="1">
        <v>407</v>
      </c>
      <c r="Y1122" s="1">
        <v>0</v>
      </c>
      <c r="Z1122" s="1">
        <v>68</v>
      </c>
      <c r="AA1122" s="1">
        <v>249</v>
      </c>
      <c r="AB1122" s="1">
        <v>152</v>
      </c>
      <c r="AC1122" s="1">
        <v>12</v>
      </c>
      <c r="AD1122" s="1">
        <v>66</v>
      </c>
      <c r="AE1122" s="1">
        <v>19</v>
      </c>
      <c r="AF1122" s="1">
        <v>362</v>
      </c>
      <c r="AG1122" s="1">
        <v>127</v>
      </c>
      <c r="AH1122" s="1">
        <v>860</v>
      </c>
      <c r="AI1122" s="1">
        <v>8</v>
      </c>
      <c r="AJ1122" s="1">
        <v>36</v>
      </c>
    </row>
    <row r="1123" spans="1:36">
      <c r="A1123" s="58">
        <v>40599</v>
      </c>
      <c r="B1123" s="1">
        <v>10796</v>
      </c>
      <c r="C1123" s="1">
        <v>8323</v>
      </c>
      <c r="D1123" s="21">
        <f t="shared" si="36"/>
        <v>-2.927455096804292E-2</v>
      </c>
      <c r="E1123" s="1">
        <v>8323</v>
      </c>
      <c r="F1123" s="1">
        <v>0</v>
      </c>
      <c r="G1123" s="1">
        <v>0</v>
      </c>
      <c r="H1123" s="1">
        <v>2482</v>
      </c>
      <c r="I1123" s="21">
        <f t="shared" si="35"/>
        <v>-6.4807837226827425E-2</v>
      </c>
      <c r="J1123" s="1">
        <v>897</v>
      </c>
      <c r="K1123" s="1">
        <v>119</v>
      </c>
      <c r="L1123" s="1">
        <v>0</v>
      </c>
      <c r="M1123" s="1">
        <v>0</v>
      </c>
      <c r="N1123" s="1">
        <v>0</v>
      </c>
      <c r="O1123" s="1">
        <v>119</v>
      </c>
      <c r="P1123" s="1">
        <v>2</v>
      </c>
      <c r="Q1123" s="1">
        <v>2</v>
      </c>
      <c r="R1123" s="1">
        <v>0</v>
      </c>
      <c r="S1123" s="1">
        <v>117</v>
      </c>
      <c r="T1123" s="1">
        <v>778</v>
      </c>
      <c r="U1123" s="1">
        <v>193</v>
      </c>
      <c r="V1123" s="1">
        <v>100</v>
      </c>
      <c r="W1123" s="1">
        <v>75</v>
      </c>
      <c r="X1123" s="1">
        <v>410</v>
      </c>
      <c r="Y1123" s="1">
        <v>0</v>
      </c>
      <c r="Z1123" s="1">
        <v>49</v>
      </c>
      <c r="AA1123" s="1">
        <v>212</v>
      </c>
      <c r="AB1123" s="1">
        <v>133</v>
      </c>
      <c r="AC1123" s="1">
        <v>1</v>
      </c>
      <c r="AD1123" s="1">
        <v>60</v>
      </c>
      <c r="AE1123" s="1">
        <v>19</v>
      </c>
      <c r="AF1123" s="1">
        <v>364</v>
      </c>
      <c r="AG1123" s="1">
        <v>131</v>
      </c>
      <c r="AH1123" s="1">
        <v>829</v>
      </c>
      <c r="AI1123" s="1">
        <v>8</v>
      </c>
      <c r="AJ1123" s="1">
        <v>50</v>
      </c>
    </row>
    <row r="1124" spans="1:36">
      <c r="A1124" s="58">
        <v>40606</v>
      </c>
      <c r="B1124" s="1">
        <v>10521</v>
      </c>
      <c r="C1124" s="1">
        <v>8171</v>
      </c>
      <c r="D1124" s="21">
        <f t="shared" si="36"/>
        <v>-1.8262645680643997E-2</v>
      </c>
      <c r="E1124" s="1">
        <v>8171</v>
      </c>
      <c r="F1124" s="1">
        <v>0</v>
      </c>
      <c r="G1124" s="1">
        <v>0</v>
      </c>
      <c r="H1124" s="1">
        <v>2351</v>
      </c>
      <c r="I1124" s="21">
        <f t="shared" si="35"/>
        <v>-5.2780016116035458E-2</v>
      </c>
      <c r="J1124" s="1">
        <v>828</v>
      </c>
      <c r="K1124" s="1">
        <v>111</v>
      </c>
      <c r="L1124" s="1">
        <v>0</v>
      </c>
      <c r="M1124" s="1">
        <v>0</v>
      </c>
      <c r="N1124" s="1">
        <v>0</v>
      </c>
      <c r="O1124" s="1">
        <v>111</v>
      </c>
      <c r="P1124" s="1">
        <v>1</v>
      </c>
      <c r="Q1124" s="1">
        <v>1</v>
      </c>
      <c r="R1124" s="1">
        <v>0</v>
      </c>
      <c r="S1124" s="1">
        <v>109</v>
      </c>
      <c r="T1124" s="1">
        <v>717</v>
      </c>
      <c r="U1124" s="1">
        <v>182</v>
      </c>
      <c r="V1124" s="1">
        <v>99</v>
      </c>
      <c r="W1124" s="1">
        <v>62</v>
      </c>
      <c r="X1124" s="1">
        <v>374</v>
      </c>
      <c r="Y1124" s="1">
        <v>0</v>
      </c>
      <c r="Z1124" s="1">
        <v>38</v>
      </c>
      <c r="AA1124" s="1">
        <v>201</v>
      </c>
      <c r="AB1124" s="1">
        <v>128</v>
      </c>
      <c r="AC1124" s="1">
        <v>1</v>
      </c>
      <c r="AD1124" s="1">
        <v>58</v>
      </c>
      <c r="AE1124" s="1">
        <v>15</v>
      </c>
      <c r="AF1124" s="1">
        <v>353</v>
      </c>
      <c r="AG1124" s="1">
        <v>141</v>
      </c>
      <c r="AH1124" s="1">
        <v>790</v>
      </c>
      <c r="AI1124" s="1">
        <v>0</v>
      </c>
      <c r="AJ1124" s="1">
        <v>52</v>
      </c>
    </row>
    <row r="1125" spans="1:36">
      <c r="A1125" s="58">
        <v>40613</v>
      </c>
      <c r="B1125" s="1">
        <v>10500</v>
      </c>
      <c r="C1125" s="1">
        <v>8274</v>
      </c>
      <c r="D1125" s="21">
        <f t="shared" si="36"/>
        <v>1.2605556235466895E-2</v>
      </c>
      <c r="E1125" s="1">
        <v>8274</v>
      </c>
      <c r="F1125" s="1">
        <v>0</v>
      </c>
      <c r="G1125" s="1">
        <v>0</v>
      </c>
      <c r="H1125" s="1">
        <v>2226</v>
      </c>
      <c r="I1125" s="21">
        <f t="shared" si="35"/>
        <v>-5.316886431305827E-2</v>
      </c>
      <c r="J1125" s="1">
        <v>756</v>
      </c>
      <c r="K1125" s="1">
        <v>93</v>
      </c>
      <c r="L1125" s="1">
        <v>0</v>
      </c>
      <c r="M1125" s="1">
        <v>0</v>
      </c>
      <c r="N1125" s="1">
        <v>0</v>
      </c>
      <c r="O1125" s="1">
        <v>93</v>
      </c>
      <c r="P1125" s="1">
        <v>1</v>
      </c>
      <c r="Q1125" s="1">
        <v>1</v>
      </c>
      <c r="R1125" s="1">
        <v>0</v>
      </c>
      <c r="S1125" s="1">
        <v>92</v>
      </c>
      <c r="T1125" s="1">
        <v>663</v>
      </c>
      <c r="U1125" s="1">
        <v>147</v>
      </c>
      <c r="V1125" s="1">
        <v>92</v>
      </c>
      <c r="W1125" s="1">
        <v>25</v>
      </c>
      <c r="X1125" s="1">
        <v>399</v>
      </c>
      <c r="Y1125" s="1">
        <v>0</v>
      </c>
      <c r="Z1125" s="1">
        <v>26</v>
      </c>
      <c r="AA1125" s="1">
        <v>189</v>
      </c>
      <c r="AB1125" s="1">
        <v>115</v>
      </c>
      <c r="AC1125" s="1">
        <v>6</v>
      </c>
      <c r="AD1125" s="1">
        <v>52</v>
      </c>
      <c r="AE1125" s="1">
        <v>15</v>
      </c>
      <c r="AF1125" s="1">
        <v>341</v>
      </c>
      <c r="AG1125" s="1">
        <v>137</v>
      </c>
      <c r="AH1125" s="1">
        <v>777</v>
      </c>
      <c r="AI1125" s="1">
        <v>0</v>
      </c>
      <c r="AJ1125" s="1">
        <v>50</v>
      </c>
    </row>
    <row r="1126" spans="1:36">
      <c r="A1126" s="58">
        <v>40620</v>
      </c>
      <c r="B1126" s="1">
        <v>10807</v>
      </c>
      <c r="C1126" s="1">
        <v>8495</v>
      </c>
      <c r="D1126" s="21">
        <f t="shared" si="36"/>
        <v>2.6710176456369351E-2</v>
      </c>
      <c r="E1126" s="1">
        <v>8495</v>
      </c>
      <c r="F1126" s="1">
        <v>0</v>
      </c>
      <c r="G1126" s="1">
        <v>0</v>
      </c>
      <c r="H1126" s="1">
        <v>2312</v>
      </c>
      <c r="I1126" s="21">
        <f t="shared" si="35"/>
        <v>3.8634321653189578E-2</v>
      </c>
      <c r="J1126" s="1">
        <v>728</v>
      </c>
      <c r="K1126" s="1">
        <v>87</v>
      </c>
      <c r="L1126" s="1">
        <v>0</v>
      </c>
      <c r="M1126" s="1">
        <v>0</v>
      </c>
      <c r="N1126" s="1">
        <v>0</v>
      </c>
      <c r="O1126" s="1">
        <v>87</v>
      </c>
      <c r="P1126" s="1">
        <v>0</v>
      </c>
      <c r="Q1126" s="1">
        <v>0</v>
      </c>
      <c r="R1126" s="1">
        <v>0</v>
      </c>
      <c r="S1126" s="1">
        <v>87</v>
      </c>
      <c r="T1126" s="1">
        <v>641</v>
      </c>
      <c r="U1126" s="1">
        <v>130</v>
      </c>
      <c r="V1126" s="1">
        <v>74</v>
      </c>
      <c r="W1126" s="1">
        <v>20</v>
      </c>
      <c r="X1126" s="1">
        <v>418</v>
      </c>
      <c r="Y1126" s="1">
        <v>0</v>
      </c>
      <c r="Z1126" s="1">
        <v>27</v>
      </c>
      <c r="AA1126" s="1">
        <v>194</v>
      </c>
      <c r="AB1126" s="1">
        <v>118</v>
      </c>
      <c r="AC1126" s="1">
        <v>6</v>
      </c>
      <c r="AD1126" s="1">
        <v>46</v>
      </c>
      <c r="AE1126" s="1">
        <v>24</v>
      </c>
      <c r="AF1126" s="1">
        <v>407</v>
      </c>
      <c r="AG1126" s="1">
        <v>132</v>
      </c>
      <c r="AH1126" s="1">
        <v>824</v>
      </c>
      <c r="AI1126" s="1">
        <v>0</v>
      </c>
      <c r="AJ1126" s="1">
        <v>55</v>
      </c>
    </row>
    <row r="1127" spans="1:36">
      <c r="A1127" s="58">
        <v>40627</v>
      </c>
      <c r="B1127" s="1">
        <v>11129</v>
      </c>
      <c r="C1127" s="1">
        <v>8774</v>
      </c>
      <c r="D1127" s="21">
        <f t="shared" si="36"/>
        <v>3.2842848734549734E-2</v>
      </c>
      <c r="E1127" s="1">
        <v>8774</v>
      </c>
      <c r="F1127" s="1">
        <v>0</v>
      </c>
      <c r="G1127" s="1">
        <v>0</v>
      </c>
      <c r="H1127" s="1">
        <v>2355</v>
      </c>
      <c r="I1127" s="21">
        <f t="shared" si="35"/>
        <v>1.8598615916955018E-2</v>
      </c>
      <c r="J1127" s="1">
        <v>747</v>
      </c>
      <c r="K1127" s="1">
        <v>91</v>
      </c>
      <c r="L1127" s="1">
        <v>0</v>
      </c>
      <c r="M1127" s="1">
        <v>0</v>
      </c>
      <c r="N1127" s="1">
        <v>0</v>
      </c>
      <c r="O1127" s="1">
        <v>91</v>
      </c>
      <c r="P1127" s="1">
        <v>0</v>
      </c>
      <c r="Q1127" s="1">
        <v>0</v>
      </c>
      <c r="R1127" s="1">
        <v>0</v>
      </c>
      <c r="S1127" s="1">
        <v>91</v>
      </c>
      <c r="T1127" s="1">
        <v>656</v>
      </c>
      <c r="U1127" s="1">
        <v>128</v>
      </c>
      <c r="V1127" s="1">
        <v>80</v>
      </c>
      <c r="W1127" s="1">
        <v>33</v>
      </c>
      <c r="X1127" s="1">
        <v>415</v>
      </c>
      <c r="Y1127" s="1">
        <v>0</v>
      </c>
      <c r="Z1127" s="1">
        <v>40</v>
      </c>
      <c r="AA1127" s="1">
        <v>212</v>
      </c>
      <c r="AB1127" s="1">
        <v>123</v>
      </c>
      <c r="AC1127" s="1">
        <v>17</v>
      </c>
      <c r="AD1127" s="1">
        <v>48</v>
      </c>
      <c r="AE1127" s="1">
        <v>24</v>
      </c>
      <c r="AF1127" s="1">
        <v>447</v>
      </c>
      <c r="AG1127" s="1">
        <v>108</v>
      </c>
      <c r="AH1127" s="1">
        <v>802</v>
      </c>
      <c r="AI1127" s="1">
        <v>0</v>
      </c>
      <c r="AJ1127" s="1">
        <v>38</v>
      </c>
    </row>
    <row r="1128" spans="1:36">
      <c r="A1128" s="58">
        <v>40634</v>
      </c>
      <c r="B1128" s="1">
        <v>11343</v>
      </c>
      <c r="C1128" s="1">
        <v>8937</v>
      </c>
      <c r="D1128" s="21">
        <f t="shared" si="36"/>
        <v>1.8577615682698882E-2</v>
      </c>
      <c r="E1128" s="1">
        <v>8937</v>
      </c>
      <c r="F1128" s="1">
        <v>0</v>
      </c>
      <c r="G1128" s="1">
        <v>0</v>
      </c>
      <c r="H1128" s="1">
        <v>2407</v>
      </c>
      <c r="I1128" s="21">
        <f t="shared" si="35"/>
        <v>2.2080679405520168E-2</v>
      </c>
      <c r="J1128" s="1">
        <v>826</v>
      </c>
      <c r="K1128" s="1">
        <v>88</v>
      </c>
      <c r="L1128" s="1">
        <v>0</v>
      </c>
      <c r="M1128" s="1">
        <v>0</v>
      </c>
      <c r="N1128" s="1">
        <v>0</v>
      </c>
      <c r="O1128" s="1">
        <v>88</v>
      </c>
      <c r="P1128" s="1">
        <v>0</v>
      </c>
      <c r="Q1128" s="1">
        <v>0</v>
      </c>
      <c r="R1128" s="1">
        <v>0</v>
      </c>
      <c r="S1128" s="1">
        <v>88</v>
      </c>
      <c r="T1128" s="1">
        <v>738</v>
      </c>
      <c r="U1128" s="1">
        <v>130</v>
      </c>
      <c r="V1128" s="1">
        <v>77</v>
      </c>
      <c r="W1128" s="1">
        <v>63</v>
      </c>
      <c r="X1128" s="1">
        <v>468</v>
      </c>
      <c r="Y1128" s="1">
        <v>0</v>
      </c>
      <c r="Z1128" s="1">
        <v>52</v>
      </c>
      <c r="AA1128" s="1">
        <v>182</v>
      </c>
      <c r="AB1128" s="1">
        <v>105</v>
      </c>
      <c r="AC1128" s="1">
        <v>17</v>
      </c>
      <c r="AD1128" s="1">
        <v>42</v>
      </c>
      <c r="AE1128" s="1">
        <v>18</v>
      </c>
      <c r="AF1128" s="1">
        <v>419</v>
      </c>
      <c r="AG1128" s="1">
        <v>95</v>
      </c>
      <c r="AH1128" s="1">
        <v>834</v>
      </c>
      <c r="AI1128" s="1">
        <v>0</v>
      </c>
      <c r="AJ1128" s="1">
        <v>46</v>
      </c>
    </row>
    <row r="1129" spans="1:36">
      <c r="A1129" s="58">
        <v>40641</v>
      </c>
      <c r="B1129" s="1">
        <v>11417</v>
      </c>
      <c r="C1129" s="1">
        <v>8909</v>
      </c>
      <c r="D1129" s="21">
        <f t="shared" si="36"/>
        <v>-3.1330424079668794E-3</v>
      </c>
      <c r="E1129" s="1">
        <v>8909</v>
      </c>
      <c r="F1129" s="1">
        <v>0</v>
      </c>
      <c r="G1129" s="1">
        <v>0</v>
      </c>
      <c r="H1129" s="1">
        <v>2508</v>
      </c>
      <c r="I1129" s="21">
        <f t="shared" si="35"/>
        <v>4.1960947237224759E-2</v>
      </c>
      <c r="J1129" s="1">
        <v>886</v>
      </c>
      <c r="K1129" s="1">
        <v>113</v>
      </c>
      <c r="L1129" s="1">
        <v>0</v>
      </c>
      <c r="M1129" s="1">
        <v>0</v>
      </c>
      <c r="N1129" s="1">
        <v>0</v>
      </c>
      <c r="O1129" s="1">
        <v>113</v>
      </c>
      <c r="P1129" s="1">
        <v>0</v>
      </c>
      <c r="Q1129" s="1">
        <v>0</v>
      </c>
      <c r="R1129" s="1">
        <v>0</v>
      </c>
      <c r="S1129" s="1">
        <v>113</v>
      </c>
      <c r="T1129" s="1">
        <v>774</v>
      </c>
      <c r="U1129" s="1">
        <v>129</v>
      </c>
      <c r="V1129" s="1">
        <v>72</v>
      </c>
      <c r="W1129" s="1">
        <v>79</v>
      </c>
      <c r="X1129" s="1">
        <v>492</v>
      </c>
      <c r="Y1129" s="1">
        <v>0</v>
      </c>
      <c r="Z1129" s="1">
        <v>65</v>
      </c>
      <c r="AA1129" s="1">
        <v>167</v>
      </c>
      <c r="AB1129" s="1">
        <v>94</v>
      </c>
      <c r="AC1129" s="1">
        <v>11</v>
      </c>
      <c r="AD1129" s="1">
        <v>41</v>
      </c>
      <c r="AE1129" s="1">
        <v>21</v>
      </c>
      <c r="AF1129" s="1">
        <v>423</v>
      </c>
      <c r="AG1129" s="1">
        <v>87</v>
      </c>
      <c r="AH1129" s="1">
        <v>881</v>
      </c>
      <c r="AI1129" s="1">
        <v>0</v>
      </c>
      <c r="AJ1129" s="1">
        <v>64</v>
      </c>
    </row>
    <row r="1130" spans="1:36">
      <c r="A1130" s="58">
        <v>40648</v>
      </c>
      <c r="B1130" s="1">
        <v>11190</v>
      </c>
      <c r="C1130" s="1">
        <v>8676</v>
      </c>
      <c r="D1130" s="21">
        <f t="shared" si="36"/>
        <v>-2.6153328095184645E-2</v>
      </c>
      <c r="E1130" s="1">
        <v>8676</v>
      </c>
      <c r="F1130" s="1">
        <v>0</v>
      </c>
      <c r="G1130" s="1">
        <v>0</v>
      </c>
      <c r="H1130" s="1">
        <v>2515</v>
      </c>
      <c r="I1130" s="21">
        <f t="shared" si="35"/>
        <v>2.7910685805422647E-3</v>
      </c>
      <c r="J1130" s="1">
        <v>926</v>
      </c>
      <c r="K1130" s="1">
        <v>116</v>
      </c>
      <c r="L1130" s="1">
        <v>0</v>
      </c>
      <c r="M1130" s="1">
        <v>0</v>
      </c>
      <c r="N1130" s="1">
        <v>0</v>
      </c>
      <c r="O1130" s="1">
        <v>116</v>
      </c>
      <c r="P1130" s="1">
        <v>0</v>
      </c>
      <c r="Q1130" s="1">
        <v>0</v>
      </c>
      <c r="R1130" s="1">
        <v>0</v>
      </c>
      <c r="S1130" s="1">
        <v>116</v>
      </c>
      <c r="T1130" s="1">
        <v>810</v>
      </c>
      <c r="U1130" s="1">
        <v>123</v>
      </c>
      <c r="V1130" s="1">
        <v>72</v>
      </c>
      <c r="W1130" s="1">
        <v>110</v>
      </c>
      <c r="X1130" s="1">
        <v>505</v>
      </c>
      <c r="Y1130" s="1">
        <v>0</v>
      </c>
      <c r="Z1130" s="1">
        <v>78</v>
      </c>
      <c r="AA1130" s="1">
        <v>192</v>
      </c>
      <c r="AB1130" s="1">
        <v>107</v>
      </c>
      <c r="AC1130" s="1">
        <v>22</v>
      </c>
      <c r="AD1130" s="1">
        <v>51</v>
      </c>
      <c r="AE1130" s="1">
        <v>12</v>
      </c>
      <c r="AF1130" s="1">
        <v>405</v>
      </c>
      <c r="AG1130" s="1">
        <v>82</v>
      </c>
      <c r="AH1130" s="1">
        <v>831</v>
      </c>
      <c r="AI1130" s="1">
        <v>0</v>
      </c>
      <c r="AJ1130" s="1">
        <v>78</v>
      </c>
    </row>
    <row r="1131" spans="1:36">
      <c r="A1131" s="58">
        <v>40655</v>
      </c>
      <c r="B1131" s="1">
        <v>11398</v>
      </c>
      <c r="C1131" s="1">
        <v>8710</v>
      </c>
      <c r="D1131" s="21">
        <f t="shared" si="36"/>
        <v>3.9188566159520516E-3</v>
      </c>
      <c r="E1131" s="1">
        <v>8710</v>
      </c>
      <c r="F1131" s="1">
        <v>0</v>
      </c>
      <c r="G1131" s="1">
        <v>0</v>
      </c>
      <c r="H1131" s="1">
        <v>2689</v>
      </c>
      <c r="I1131" s="21">
        <f t="shared" si="35"/>
        <v>6.9184890656063619E-2</v>
      </c>
      <c r="J1131" s="1">
        <v>967</v>
      </c>
      <c r="K1131" s="1">
        <v>149</v>
      </c>
      <c r="L1131" s="1">
        <v>0</v>
      </c>
      <c r="M1131" s="1">
        <v>0</v>
      </c>
      <c r="N1131" s="1">
        <v>0</v>
      </c>
      <c r="O1131" s="1">
        <v>149</v>
      </c>
      <c r="P1131" s="1">
        <v>0</v>
      </c>
      <c r="Q1131" s="1">
        <v>0</v>
      </c>
      <c r="R1131" s="1">
        <v>0</v>
      </c>
      <c r="S1131" s="1">
        <v>149</v>
      </c>
      <c r="T1131" s="1">
        <v>818</v>
      </c>
      <c r="U1131" s="1">
        <v>132</v>
      </c>
      <c r="V1131" s="1">
        <v>74</v>
      </c>
      <c r="W1131" s="1">
        <v>113</v>
      </c>
      <c r="X1131" s="1">
        <v>500</v>
      </c>
      <c r="Y1131" s="1">
        <v>0</v>
      </c>
      <c r="Z1131" s="1">
        <v>85</v>
      </c>
      <c r="AA1131" s="1">
        <v>162</v>
      </c>
      <c r="AB1131" s="1">
        <v>88</v>
      </c>
      <c r="AC1131" s="1">
        <v>11</v>
      </c>
      <c r="AD1131" s="1">
        <v>50</v>
      </c>
      <c r="AE1131" s="1">
        <v>12</v>
      </c>
      <c r="AF1131" s="1">
        <v>412</v>
      </c>
      <c r="AG1131" s="1">
        <v>80</v>
      </c>
      <c r="AH1131" s="1">
        <v>984</v>
      </c>
      <c r="AI1131" s="1">
        <v>0</v>
      </c>
      <c r="AJ1131" s="1">
        <v>77</v>
      </c>
    </row>
    <row r="1132" spans="1:36">
      <c r="A1132" s="58">
        <v>40662</v>
      </c>
      <c r="B1132" s="1">
        <v>11450</v>
      </c>
      <c r="C1132" s="1">
        <v>8692</v>
      </c>
      <c r="D1132" s="21">
        <f t="shared" si="36"/>
        <v>-2.0665901262916187E-3</v>
      </c>
      <c r="E1132" s="1">
        <v>8692</v>
      </c>
      <c r="F1132" s="1">
        <v>0</v>
      </c>
      <c r="G1132" s="1">
        <v>0</v>
      </c>
      <c r="H1132" s="1">
        <v>2759</v>
      </c>
      <c r="I1132" s="21">
        <f t="shared" si="35"/>
        <v>2.6031982149497954E-2</v>
      </c>
      <c r="J1132" s="1">
        <v>974</v>
      </c>
      <c r="K1132" s="1">
        <v>163</v>
      </c>
      <c r="L1132" s="1">
        <v>0</v>
      </c>
      <c r="M1132" s="1">
        <v>0</v>
      </c>
      <c r="N1132" s="1">
        <v>0</v>
      </c>
      <c r="O1132" s="1">
        <v>163</v>
      </c>
      <c r="P1132" s="1">
        <v>0</v>
      </c>
      <c r="Q1132" s="1">
        <v>0</v>
      </c>
      <c r="R1132" s="1">
        <v>0</v>
      </c>
      <c r="S1132" s="1">
        <v>163</v>
      </c>
      <c r="T1132" s="1">
        <v>812</v>
      </c>
      <c r="U1132" s="1">
        <v>170</v>
      </c>
      <c r="V1132" s="1">
        <v>70</v>
      </c>
      <c r="W1132" s="1">
        <v>105</v>
      </c>
      <c r="X1132" s="1">
        <v>467</v>
      </c>
      <c r="Y1132" s="1">
        <v>0</v>
      </c>
      <c r="Z1132" s="1">
        <v>82</v>
      </c>
      <c r="AA1132" s="1">
        <v>178</v>
      </c>
      <c r="AB1132" s="1">
        <v>88</v>
      </c>
      <c r="AC1132" s="1">
        <v>15</v>
      </c>
      <c r="AD1132" s="1">
        <v>69</v>
      </c>
      <c r="AE1132" s="1">
        <v>6</v>
      </c>
      <c r="AF1132" s="1">
        <v>452</v>
      </c>
      <c r="AG1132" s="1">
        <v>75</v>
      </c>
      <c r="AH1132" s="1">
        <v>997</v>
      </c>
      <c r="AI1132" s="1">
        <v>0</v>
      </c>
      <c r="AJ1132" s="1">
        <v>93</v>
      </c>
    </row>
    <row r="1133" spans="1:36">
      <c r="A1133" s="58">
        <v>40669</v>
      </c>
      <c r="B1133" s="1">
        <v>11594</v>
      </c>
      <c r="C1133" s="1">
        <v>8790</v>
      </c>
      <c r="D1133" s="21">
        <f t="shared" si="36"/>
        <v>1.1274735388863323E-2</v>
      </c>
      <c r="E1133" s="1">
        <v>8790</v>
      </c>
      <c r="F1133" s="1">
        <v>0</v>
      </c>
      <c r="G1133" s="1">
        <v>0</v>
      </c>
      <c r="H1133" s="1">
        <v>2805</v>
      </c>
      <c r="I1133" s="21">
        <f t="shared" si="35"/>
        <v>1.6672707502718376E-2</v>
      </c>
      <c r="J1133" s="1">
        <v>1055</v>
      </c>
      <c r="K1133" s="1">
        <v>155</v>
      </c>
      <c r="L1133" s="1">
        <v>0</v>
      </c>
      <c r="M1133" s="1">
        <v>0</v>
      </c>
      <c r="N1133" s="1">
        <v>0</v>
      </c>
      <c r="O1133" s="1">
        <v>155</v>
      </c>
      <c r="P1133" s="1">
        <v>0</v>
      </c>
      <c r="Q1133" s="1">
        <v>0</v>
      </c>
      <c r="R1133" s="1">
        <v>0</v>
      </c>
      <c r="S1133" s="1">
        <v>155</v>
      </c>
      <c r="T1133" s="1">
        <v>900</v>
      </c>
      <c r="U1133" s="1">
        <v>201</v>
      </c>
      <c r="V1133" s="1">
        <v>88</v>
      </c>
      <c r="W1133" s="1">
        <v>94</v>
      </c>
      <c r="X1133" s="1">
        <v>517</v>
      </c>
      <c r="Y1133" s="1">
        <v>0</v>
      </c>
      <c r="Z1133" s="1">
        <v>83</v>
      </c>
      <c r="AA1133" s="1">
        <v>194</v>
      </c>
      <c r="AB1133" s="1">
        <v>110</v>
      </c>
      <c r="AC1133" s="1">
        <v>15</v>
      </c>
      <c r="AD1133" s="1">
        <v>66</v>
      </c>
      <c r="AE1133" s="1">
        <v>3</v>
      </c>
      <c r="AF1133" s="1">
        <v>419</v>
      </c>
      <c r="AG1133" s="1">
        <v>71</v>
      </c>
      <c r="AH1133" s="1">
        <v>982</v>
      </c>
      <c r="AI1133" s="1">
        <v>0</v>
      </c>
      <c r="AJ1133" s="1">
        <v>70</v>
      </c>
    </row>
    <row r="1134" spans="1:36">
      <c r="A1134" s="58">
        <v>40676</v>
      </c>
      <c r="B1134" s="1">
        <v>11637</v>
      </c>
      <c r="C1134" s="1">
        <v>8919</v>
      </c>
      <c r="D1134" s="21">
        <f t="shared" si="36"/>
        <v>1.4675767918088738E-2</v>
      </c>
      <c r="E1134" s="1">
        <v>8919</v>
      </c>
      <c r="F1134" s="1">
        <v>0</v>
      </c>
      <c r="G1134" s="1">
        <v>0</v>
      </c>
      <c r="H1134" s="1">
        <v>2719</v>
      </c>
      <c r="I1134" s="21">
        <f t="shared" si="35"/>
        <v>-3.0659536541889482E-2</v>
      </c>
      <c r="J1134" s="1">
        <v>1058</v>
      </c>
      <c r="K1134" s="1">
        <v>143</v>
      </c>
      <c r="L1134" s="1">
        <v>0</v>
      </c>
      <c r="M1134" s="1">
        <v>0</v>
      </c>
      <c r="N1134" s="1">
        <v>0</v>
      </c>
      <c r="O1134" s="1">
        <v>143</v>
      </c>
      <c r="P1134" s="1">
        <v>0</v>
      </c>
      <c r="Q1134" s="1">
        <v>0</v>
      </c>
      <c r="R1134" s="1">
        <v>0</v>
      </c>
      <c r="S1134" s="1">
        <v>143</v>
      </c>
      <c r="T1134" s="1">
        <v>915</v>
      </c>
      <c r="U1134" s="1">
        <v>216</v>
      </c>
      <c r="V1134" s="1">
        <v>83</v>
      </c>
      <c r="W1134" s="1">
        <v>104</v>
      </c>
      <c r="X1134" s="1">
        <v>512</v>
      </c>
      <c r="Y1134" s="1">
        <v>0</v>
      </c>
      <c r="Z1134" s="1">
        <v>89</v>
      </c>
      <c r="AA1134" s="1">
        <v>149</v>
      </c>
      <c r="AB1134" s="1">
        <v>86</v>
      </c>
      <c r="AC1134" s="1">
        <v>4</v>
      </c>
      <c r="AD1134" s="1">
        <v>56</v>
      </c>
      <c r="AE1134" s="1">
        <v>3</v>
      </c>
      <c r="AF1134" s="1">
        <v>376</v>
      </c>
      <c r="AG1134" s="1">
        <v>81</v>
      </c>
      <c r="AH1134" s="1">
        <v>966</v>
      </c>
      <c r="AI1134" s="1">
        <v>0</v>
      </c>
      <c r="AJ1134" s="1">
        <v>57</v>
      </c>
    </row>
    <row r="1135" spans="1:36">
      <c r="A1135" s="58">
        <v>40683</v>
      </c>
      <c r="B1135" s="1">
        <v>11611</v>
      </c>
      <c r="C1135" s="1">
        <v>8911</v>
      </c>
      <c r="D1135" s="21">
        <f t="shared" si="36"/>
        <v>-8.9696154277385358E-4</v>
      </c>
      <c r="E1135" s="1">
        <v>8911</v>
      </c>
      <c r="F1135" s="1">
        <v>0</v>
      </c>
      <c r="G1135" s="1">
        <v>0</v>
      </c>
      <c r="H1135" s="1">
        <v>2700</v>
      </c>
      <c r="I1135" s="21">
        <f t="shared" si="35"/>
        <v>-6.9878631849944837E-3</v>
      </c>
      <c r="J1135" s="1">
        <v>1157</v>
      </c>
      <c r="K1135" s="1">
        <v>115</v>
      </c>
      <c r="L1135" s="1">
        <v>0</v>
      </c>
      <c r="M1135" s="1">
        <v>0</v>
      </c>
      <c r="N1135" s="1">
        <v>0</v>
      </c>
      <c r="O1135" s="1">
        <v>115</v>
      </c>
      <c r="P1135" s="1">
        <v>0</v>
      </c>
      <c r="Q1135" s="1">
        <v>0</v>
      </c>
      <c r="R1135" s="1">
        <v>0</v>
      </c>
      <c r="S1135" s="1">
        <v>115</v>
      </c>
      <c r="T1135" s="1">
        <v>1042</v>
      </c>
      <c r="U1135" s="1">
        <v>248</v>
      </c>
      <c r="V1135" s="1">
        <v>72</v>
      </c>
      <c r="W1135" s="1">
        <v>133</v>
      </c>
      <c r="X1135" s="1">
        <v>588</v>
      </c>
      <c r="Y1135" s="1">
        <v>0</v>
      </c>
      <c r="Z1135" s="1">
        <v>75</v>
      </c>
      <c r="AA1135" s="1">
        <v>145</v>
      </c>
      <c r="AB1135" s="1">
        <v>81</v>
      </c>
      <c r="AC1135" s="1">
        <v>4</v>
      </c>
      <c r="AD1135" s="1">
        <v>56</v>
      </c>
      <c r="AE1135" s="1">
        <v>3</v>
      </c>
      <c r="AF1135" s="1">
        <v>394</v>
      </c>
      <c r="AG1135" s="1">
        <v>85</v>
      </c>
      <c r="AH1135" s="1">
        <v>845</v>
      </c>
      <c r="AI1135" s="1">
        <v>0</v>
      </c>
      <c r="AJ1135" s="1">
        <v>55</v>
      </c>
    </row>
    <row r="1136" spans="1:36">
      <c r="A1136" s="58">
        <v>40690</v>
      </c>
      <c r="B1136" s="1">
        <v>11784</v>
      </c>
      <c r="C1136" s="1">
        <v>9071</v>
      </c>
      <c r="D1136" s="21">
        <f t="shared" si="36"/>
        <v>1.7955336101447648E-2</v>
      </c>
      <c r="E1136" s="1">
        <v>9071</v>
      </c>
      <c r="F1136" s="1">
        <v>0</v>
      </c>
      <c r="G1136" s="1">
        <v>0</v>
      </c>
      <c r="H1136" s="1">
        <v>2713</v>
      </c>
      <c r="I1136" s="21">
        <f t="shared" si="35"/>
        <v>4.8148148148148152E-3</v>
      </c>
      <c r="J1136" s="1">
        <v>1190</v>
      </c>
      <c r="K1136" s="1">
        <v>116</v>
      </c>
      <c r="L1136" s="1">
        <v>0</v>
      </c>
      <c r="M1136" s="1">
        <v>0</v>
      </c>
      <c r="N1136" s="1">
        <v>0</v>
      </c>
      <c r="O1136" s="1">
        <v>116</v>
      </c>
      <c r="P1136" s="1">
        <v>0</v>
      </c>
      <c r="Q1136" s="1">
        <v>0</v>
      </c>
      <c r="R1136" s="1">
        <v>0</v>
      </c>
      <c r="S1136" s="1">
        <v>116</v>
      </c>
      <c r="T1136" s="1">
        <v>1074</v>
      </c>
      <c r="U1136" s="1">
        <v>251</v>
      </c>
      <c r="V1136" s="1">
        <v>59</v>
      </c>
      <c r="W1136" s="1">
        <v>127</v>
      </c>
      <c r="X1136" s="1">
        <v>637</v>
      </c>
      <c r="Y1136" s="1">
        <v>0</v>
      </c>
      <c r="Z1136" s="1">
        <v>77</v>
      </c>
      <c r="AA1136" s="1">
        <v>126</v>
      </c>
      <c r="AB1136" s="1">
        <v>83</v>
      </c>
      <c r="AC1136" s="1">
        <v>2</v>
      </c>
      <c r="AD1136" s="1">
        <v>39</v>
      </c>
      <c r="AE1136" s="1">
        <v>3</v>
      </c>
      <c r="AF1136" s="1">
        <v>372</v>
      </c>
      <c r="AG1136" s="1">
        <v>87</v>
      </c>
      <c r="AH1136" s="1">
        <v>861</v>
      </c>
      <c r="AI1136" s="1">
        <v>0</v>
      </c>
      <c r="AJ1136" s="1">
        <v>35</v>
      </c>
    </row>
    <row r="1137" spans="1:36">
      <c r="A1137" s="58">
        <v>40697</v>
      </c>
      <c r="B1137" s="1">
        <v>11730</v>
      </c>
      <c r="C1137" s="1">
        <v>8980</v>
      </c>
      <c r="D1137" s="21">
        <f t="shared" si="36"/>
        <v>-1.0031970014331386E-2</v>
      </c>
      <c r="E1137" s="1">
        <v>8980</v>
      </c>
      <c r="F1137" s="1">
        <v>0</v>
      </c>
      <c r="G1137" s="1">
        <v>0</v>
      </c>
      <c r="H1137" s="1">
        <v>2750</v>
      </c>
      <c r="I1137" s="21">
        <f t="shared" si="35"/>
        <v>1.363803907113896E-2</v>
      </c>
      <c r="J1137" s="1">
        <v>1176</v>
      </c>
      <c r="K1137" s="1">
        <v>111</v>
      </c>
      <c r="L1137" s="1">
        <v>0</v>
      </c>
      <c r="M1137" s="1">
        <v>0</v>
      </c>
      <c r="N1137" s="1">
        <v>0</v>
      </c>
      <c r="O1137" s="1">
        <v>111</v>
      </c>
      <c r="P1137" s="1">
        <v>0</v>
      </c>
      <c r="Q1137" s="1">
        <v>0</v>
      </c>
      <c r="R1137" s="1">
        <v>0</v>
      </c>
      <c r="S1137" s="1">
        <v>111</v>
      </c>
      <c r="T1137" s="1">
        <v>1065</v>
      </c>
      <c r="U1137" s="1">
        <v>235</v>
      </c>
      <c r="V1137" s="1">
        <v>47</v>
      </c>
      <c r="W1137" s="1">
        <v>171</v>
      </c>
      <c r="X1137" s="1">
        <v>613</v>
      </c>
      <c r="Y1137" s="1">
        <v>0</v>
      </c>
      <c r="Z1137" s="1">
        <v>84</v>
      </c>
      <c r="AA1137" s="1">
        <v>123</v>
      </c>
      <c r="AB1137" s="1">
        <v>80</v>
      </c>
      <c r="AC1137" s="1">
        <v>2</v>
      </c>
      <c r="AD1137" s="1">
        <v>39</v>
      </c>
      <c r="AE1137" s="1">
        <v>3</v>
      </c>
      <c r="AF1137" s="1">
        <v>370</v>
      </c>
      <c r="AG1137" s="1">
        <v>76</v>
      </c>
      <c r="AH1137" s="1">
        <v>921</v>
      </c>
      <c r="AI1137" s="1">
        <v>0</v>
      </c>
      <c r="AJ1137" s="1">
        <v>61</v>
      </c>
    </row>
    <row r="1138" spans="1:36">
      <c r="A1138" s="58">
        <v>40704</v>
      </c>
      <c r="B1138" s="1">
        <v>11783</v>
      </c>
      <c r="C1138" s="1">
        <v>8997</v>
      </c>
      <c r="D1138" s="21">
        <f t="shared" si="36"/>
        <v>1.8930957683741649E-3</v>
      </c>
      <c r="E1138" s="1">
        <v>8997</v>
      </c>
      <c r="F1138" s="1">
        <v>0</v>
      </c>
      <c r="G1138" s="1">
        <v>0</v>
      </c>
      <c r="H1138" s="1">
        <v>2786</v>
      </c>
      <c r="I1138" s="21">
        <f t="shared" si="35"/>
        <v>1.3090909090909091E-2</v>
      </c>
      <c r="J1138" s="1">
        <v>1240</v>
      </c>
      <c r="K1138" s="1">
        <v>144</v>
      </c>
      <c r="L1138" s="1">
        <v>0</v>
      </c>
      <c r="M1138" s="1">
        <v>0</v>
      </c>
      <c r="N1138" s="1">
        <v>0</v>
      </c>
      <c r="O1138" s="1">
        <v>144</v>
      </c>
      <c r="P1138" s="1">
        <v>0</v>
      </c>
      <c r="Q1138" s="1">
        <v>0</v>
      </c>
      <c r="R1138" s="1">
        <v>0</v>
      </c>
      <c r="S1138" s="1">
        <v>144</v>
      </c>
      <c r="T1138" s="1">
        <v>1095</v>
      </c>
      <c r="U1138" s="1">
        <v>252</v>
      </c>
      <c r="V1138" s="1">
        <v>56</v>
      </c>
      <c r="W1138" s="1">
        <v>155</v>
      </c>
      <c r="X1138" s="1">
        <v>632</v>
      </c>
      <c r="Y1138" s="1">
        <v>0</v>
      </c>
      <c r="Z1138" s="1">
        <v>80</v>
      </c>
      <c r="AA1138" s="1">
        <v>127</v>
      </c>
      <c r="AB1138" s="1">
        <v>92</v>
      </c>
      <c r="AC1138" s="1">
        <v>2</v>
      </c>
      <c r="AD1138" s="1">
        <v>30</v>
      </c>
      <c r="AE1138" s="1">
        <v>3</v>
      </c>
      <c r="AF1138" s="1">
        <v>383</v>
      </c>
      <c r="AG1138" s="1">
        <v>71</v>
      </c>
      <c r="AH1138" s="1">
        <v>885</v>
      </c>
      <c r="AI1138" s="1">
        <v>0</v>
      </c>
      <c r="AJ1138" s="1">
        <v>52</v>
      </c>
    </row>
    <row r="1139" spans="1:36">
      <c r="A1139" s="58">
        <v>40711</v>
      </c>
      <c r="B1139" s="1">
        <v>11625</v>
      </c>
      <c r="C1139" s="1">
        <v>8976</v>
      </c>
      <c r="D1139" s="21">
        <f t="shared" si="36"/>
        <v>-2.3341113704568191E-3</v>
      </c>
      <c r="E1139" s="1">
        <v>8976</v>
      </c>
      <c r="F1139" s="1">
        <v>0</v>
      </c>
      <c r="G1139" s="1">
        <v>0</v>
      </c>
      <c r="H1139" s="1">
        <v>2648</v>
      </c>
      <c r="I1139" s="21">
        <f t="shared" si="35"/>
        <v>-4.9533381191672651E-2</v>
      </c>
      <c r="J1139" s="1">
        <v>1095</v>
      </c>
      <c r="K1139" s="1">
        <v>143</v>
      </c>
      <c r="L1139" s="1">
        <v>0</v>
      </c>
      <c r="M1139" s="1">
        <v>0</v>
      </c>
      <c r="N1139" s="1">
        <v>0</v>
      </c>
      <c r="O1139" s="1">
        <v>143</v>
      </c>
      <c r="P1139" s="1">
        <v>0</v>
      </c>
      <c r="Q1139" s="1">
        <v>0</v>
      </c>
      <c r="R1139" s="1">
        <v>0</v>
      </c>
      <c r="S1139" s="1">
        <v>143</v>
      </c>
      <c r="T1139" s="1">
        <v>952</v>
      </c>
      <c r="U1139" s="1">
        <v>217</v>
      </c>
      <c r="V1139" s="1">
        <v>50</v>
      </c>
      <c r="W1139" s="1">
        <v>138</v>
      </c>
      <c r="X1139" s="1">
        <v>547</v>
      </c>
      <c r="Y1139" s="1">
        <v>0</v>
      </c>
      <c r="Z1139" s="1">
        <v>80</v>
      </c>
      <c r="AA1139" s="1">
        <v>132</v>
      </c>
      <c r="AB1139" s="1">
        <v>96</v>
      </c>
      <c r="AC1139" s="1">
        <v>2</v>
      </c>
      <c r="AD1139" s="1">
        <v>31</v>
      </c>
      <c r="AE1139" s="1">
        <v>3</v>
      </c>
      <c r="AF1139" s="1">
        <v>348</v>
      </c>
      <c r="AG1139" s="1">
        <v>65</v>
      </c>
      <c r="AH1139" s="1">
        <v>929</v>
      </c>
      <c r="AI1139" s="1">
        <v>0</v>
      </c>
      <c r="AJ1139" s="1">
        <v>61</v>
      </c>
    </row>
    <row r="1140" spans="1:36">
      <c r="A1140" s="58">
        <v>40718</v>
      </c>
      <c r="B1140" s="1">
        <v>11281</v>
      </c>
      <c r="C1140" s="1">
        <v>8816</v>
      </c>
      <c r="D1140" s="21">
        <f t="shared" si="36"/>
        <v>-1.7825311942959002E-2</v>
      </c>
      <c r="E1140" s="1">
        <v>8816</v>
      </c>
      <c r="F1140" s="1">
        <v>0</v>
      </c>
      <c r="G1140" s="1">
        <v>0</v>
      </c>
      <c r="H1140" s="1">
        <v>2467</v>
      </c>
      <c r="I1140" s="21">
        <f t="shared" si="35"/>
        <v>-6.8353474320241692E-2</v>
      </c>
      <c r="J1140" s="1">
        <v>956</v>
      </c>
      <c r="K1140" s="1">
        <v>139</v>
      </c>
      <c r="L1140" s="1">
        <v>0</v>
      </c>
      <c r="M1140" s="1">
        <v>0</v>
      </c>
      <c r="N1140" s="1">
        <v>0</v>
      </c>
      <c r="O1140" s="1">
        <v>139</v>
      </c>
      <c r="P1140" s="1">
        <v>0</v>
      </c>
      <c r="Q1140" s="1">
        <v>0</v>
      </c>
      <c r="R1140" s="1">
        <v>0</v>
      </c>
      <c r="S1140" s="1">
        <v>139</v>
      </c>
      <c r="T1140" s="1">
        <v>817</v>
      </c>
      <c r="U1140" s="1">
        <v>176</v>
      </c>
      <c r="V1140" s="1">
        <v>55</v>
      </c>
      <c r="W1140" s="1">
        <v>126</v>
      </c>
      <c r="X1140" s="1">
        <v>461</v>
      </c>
      <c r="Y1140" s="1">
        <v>3</v>
      </c>
      <c r="Z1140" s="1">
        <v>77</v>
      </c>
      <c r="AA1140" s="1">
        <v>121</v>
      </c>
      <c r="AB1140" s="1">
        <v>95</v>
      </c>
      <c r="AC1140" s="1">
        <v>0</v>
      </c>
      <c r="AD1140" s="1">
        <v>23</v>
      </c>
      <c r="AE1140" s="1">
        <v>3</v>
      </c>
      <c r="AF1140" s="1">
        <v>342</v>
      </c>
      <c r="AG1140" s="1">
        <v>58</v>
      </c>
      <c r="AH1140" s="1">
        <v>911</v>
      </c>
      <c r="AI1140" s="1">
        <v>0</v>
      </c>
      <c r="AJ1140" s="1">
        <v>70</v>
      </c>
    </row>
    <row r="1141" spans="1:36">
      <c r="A1141" s="58">
        <v>40725</v>
      </c>
      <c r="B1141" s="1">
        <v>11433</v>
      </c>
      <c r="C1141" s="1">
        <v>9130</v>
      </c>
      <c r="D1141" s="21">
        <f t="shared" si="36"/>
        <v>3.5617059891107077E-2</v>
      </c>
      <c r="E1141" s="1">
        <v>9130</v>
      </c>
      <c r="F1141" s="1">
        <v>0</v>
      </c>
      <c r="G1141" s="1">
        <v>0</v>
      </c>
      <c r="H1141" s="1">
        <v>2306</v>
      </c>
      <c r="I1141" s="21">
        <f t="shared" si="35"/>
        <v>-6.5261451155249284E-2</v>
      </c>
      <c r="J1141" s="1">
        <v>841</v>
      </c>
      <c r="K1141" s="1">
        <v>138</v>
      </c>
      <c r="L1141" s="1">
        <v>0</v>
      </c>
      <c r="M1141" s="1">
        <v>0</v>
      </c>
      <c r="N1141" s="1">
        <v>0</v>
      </c>
      <c r="O1141" s="1">
        <v>138</v>
      </c>
      <c r="P1141" s="1">
        <v>0</v>
      </c>
      <c r="Q1141" s="1">
        <v>0</v>
      </c>
      <c r="R1141" s="1">
        <v>0</v>
      </c>
      <c r="S1141" s="1">
        <v>138</v>
      </c>
      <c r="T1141" s="1">
        <v>703</v>
      </c>
      <c r="U1141" s="1">
        <v>162</v>
      </c>
      <c r="V1141" s="1">
        <v>55</v>
      </c>
      <c r="W1141" s="1">
        <v>81</v>
      </c>
      <c r="X1141" s="1">
        <v>405</v>
      </c>
      <c r="Y1141" s="1">
        <v>3</v>
      </c>
      <c r="Z1141" s="1">
        <v>66</v>
      </c>
      <c r="AA1141" s="1">
        <v>113</v>
      </c>
      <c r="AB1141" s="1">
        <v>91</v>
      </c>
      <c r="AC1141" s="1">
        <v>0</v>
      </c>
      <c r="AD1141" s="1">
        <v>19</v>
      </c>
      <c r="AE1141" s="1">
        <v>3</v>
      </c>
      <c r="AF1141" s="1">
        <v>351</v>
      </c>
      <c r="AG1141" s="1">
        <v>56</v>
      </c>
      <c r="AH1141" s="1">
        <v>876</v>
      </c>
      <c r="AI1141" s="1">
        <v>0</v>
      </c>
      <c r="AJ1141" s="1">
        <v>74</v>
      </c>
    </row>
    <row r="1142" spans="1:36">
      <c r="A1142" s="58">
        <v>40732</v>
      </c>
      <c r="B1142" s="1">
        <v>11524</v>
      </c>
      <c r="C1142" s="1">
        <v>9220</v>
      </c>
      <c r="D1142" s="21">
        <f t="shared" si="36"/>
        <v>9.8576122672508221E-3</v>
      </c>
      <c r="E1142" s="1">
        <v>9220</v>
      </c>
      <c r="F1142" s="1">
        <v>0</v>
      </c>
      <c r="G1142" s="1">
        <v>0</v>
      </c>
      <c r="H1142" s="1">
        <v>2306</v>
      </c>
      <c r="I1142" s="21">
        <f t="shared" si="35"/>
        <v>0</v>
      </c>
      <c r="J1142" s="1">
        <v>751</v>
      </c>
      <c r="K1142" s="1">
        <v>104</v>
      </c>
      <c r="L1142" s="1">
        <v>0</v>
      </c>
      <c r="M1142" s="1">
        <v>0</v>
      </c>
      <c r="N1142" s="1">
        <v>0</v>
      </c>
      <c r="O1142" s="1">
        <v>104</v>
      </c>
      <c r="P1142" s="1">
        <v>0</v>
      </c>
      <c r="Q1142" s="1">
        <v>0</v>
      </c>
      <c r="R1142" s="1">
        <v>0</v>
      </c>
      <c r="S1142" s="1">
        <v>104</v>
      </c>
      <c r="T1142" s="1">
        <v>647</v>
      </c>
      <c r="U1142" s="1">
        <v>139</v>
      </c>
      <c r="V1142" s="1">
        <v>43</v>
      </c>
      <c r="W1142" s="1">
        <v>82</v>
      </c>
      <c r="X1142" s="1">
        <v>383</v>
      </c>
      <c r="Y1142" s="1">
        <v>3</v>
      </c>
      <c r="Z1142" s="1">
        <v>63</v>
      </c>
      <c r="AA1142" s="1">
        <v>109</v>
      </c>
      <c r="AB1142" s="1">
        <v>81</v>
      </c>
      <c r="AC1142" s="1">
        <v>0</v>
      </c>
      <c r="AD1142" s="1">
        <v>24</v>
      </c>
      <c r="AE1142" s="1">
        <v>3</v>
      </c>
      <c r="AF1142" s="1">
        <v>344</v>
      </c>
      <c r="AG1142" s="1">
        <v>46</v>
      </c>
      <c r="AH1142" s="1">
        <v>990</v>
      </c>
      <c r="AI1142" s="1">
        <v>0</v>
      </c>
      <c r="AJ1142" s="1">
        <v>77</v>
      </c>
    </row>
    <row r="1143" spans="1:36">
      <c r="A1143" s="58">
        <v>40739</v>
      </c>
      <c r="B1143" s="1">
        <v>11494</v>
      </c>
      <c r="C1143" s="1">
        <v>9269</v>
      </c>
      <c r="D1143" s="21">
        <f t="shared" si="36"/>
        <v>5.3145336225596529E-3</v>
      </c>
      <c r="E1143" s="1">
        <v>9269</v>
      </c>
      <c r="F1143" s="1">
        <v>0</v>
      </c>
      <c r="G1143" s="1">
        <v>0</v>
      </c>
      <c r="H1143" s="1">
        <v>2234</v>
      </c>
      <c r="I1143" s="21">
        <f t="shared" si="35"/>
        <v>-3.1222896790980052E-2</v>
      </c>
      <c r="J1143" s="1">
        <v>754</v>
      </c>
      <c r="K1143" s="1">
        <v>86</v>
      </c>
      <c r="L1143" s="1">
        <v>0</v>
      </c>
      <c r="M1143" s="1">
        <v>0</v>
      </c>
      <c r="N1143" s="1">
        <v>0</v>
      </c>
      <c r="O1143" s="1">
        <v>86</v>
      </c>
      <c r="P1143" s="1">
        <v>0</v>
      </c>
      <c r="Q1143" s="1">
        <v>0</v>
      </c>
      <c r="R1143" s="1">
        <v>0</v>
      </c>
      <c r="S1143" s="1">
        <v>86</v>
      </c>
      <c r="T1143" s="1">
        <v>668</v>
      </c>
      <c r="U1143" s="1">
        <v>159</v>
      </c>
      <c r="V1143" s="1">
        <v>51</v>
      </c>
      <c r="W1143" s="1">
        <v>50</v>
      </c>
      <c r="X1143" s="1">
        <v>407</v>
      </c>
      <c r="Y1143" s="1">
        <v>9</v>
      </c>
      <c r="Z1143" s="1">
        <v>73</v>
      </c>
      <c r="AA1143" s="1">
        <v>101</v>
      </c>
      <c r="AB1143" s="1">
        <v>85</v>
      </c>
      <c r="AC1143" s="1">
        <v>0</v>
      </c>
      <c r="AD1143" s="1">
        <v>13</v>
      </c>
      <c r="AE1143" s="1">
        <v>3</v>
      </c>
      <c r="AF1143" s="1">
        <v>294</v>
      </c>
      <c r="AG1143" s="1">
        <v>49</v>
      </c>
      <c r="AH1143" s="1">
        <v>954</v>
      </c>
      <c r="AI1143" s="1">
        <v>0</v>
      </c>
      <c r="AJ1143" s="1">
        <v>79</v>
      </c>
    </row>
    <row r="1144" spans="1:36">
      <c r="A1144" s="58">
        <v>40746</v>
      </c>
      <c r="B1144" s="1">
        <v>11743</v>
      </c>
      <c r="C1144" s="1">
        <v>9509</v>
      </c>
      <c r="D1144" s="21">
        <f t="shared" si="36"/>
        <v>2.5892760815621967E-2</v>
      </c>
      <c r="E1144" s="1">
        <v>9509</v>
      </c>
      <c r="F1144" s="1">
        <v>0</v>
      </c>
      <c r="G1144" s="1">
        <v>0</v>
      </c>
      <c r="H1144" s="1">
        <v>2240</v>
      </c>
      <c r="I1144" s="21">
        <f t="shared" si="35"/>
        <v>2.6857654431512983E-3</v>
      </c>
      <c r="J1144" s="1">
        <v>749</v>
      </c>
      <c r="K1144" s="1">
        <v>91</v>
      </c>
      <c r="L1144" s="1">
        <v>0</v>
      </c>
      <c r="M1144" s="1">
        <v>0</v>
      </c>
      <c r="N1144" s="1">
        <v>0</v>
      </c>
      <c r="O1144" s="1">
        <v>91</v>
      </c>
      <c r="P1144" s="1">
        <v>0</v>
      </c>
      <c r="Q1144" s="1">
        <v>0</v>
      </c>
      <c r="R1144" s="1">
        <v>0</v>
      </c>
      <c r="S1144" s="1">
        <v>91</v>
      </c>
      <c r="T1144" s="1">
        <v>658</v>
      </c>
      <c r="U1144" s="1">
        <v>164</v>
      </c>
      <c r="V1144" s="1">
        <v>51</v>
      </c>
      <c r="W1144" s="1">
        <v>62</v>
      </c>
      <c r="X1144" s="1">
        <v>381</v>
      </c>
      <c r="Y1144" s="1">
        <v>6</v>
      </c>
      <c r="Z1144" s="1">
        <v>80</v>
      </c>
      <c r="AA1144" s="1">
        <v>121</v>
      </c>
      <c r="AB1144" s="1">
        <v>105</v>
      </c>
      <c r="AC1144" s="1">
        <v>0</v>
      </c>
      <c r="AD1144" s="1">
        <v>17</v>
      </c>
      <c r="AE1144" s="1">
        <v>0</v>
      </c>
      <c r="AF1144" s="1">
        <v>276</v>
      </c>
      <c r="AG1144" s="1">
        <v>55</v>
      </c>
      <c r="AH1144" s="1">
        <v>953</v>
      </c>
      <c r="AI1144" s="1">
        <v>0</v>
      </c>
      <c r="AJ1144" s="1">
        <v>70</v>
      </c>
    </row>
    <row r="1145" spans="1:36">
      <c r="A1145" s="58">
        <v>40753</v>
      </c>
      <c r="B1145" s="1">
        <v>11594</v>
      </c>
      <c r="C1145" s="1">
        <v>9329</v>
      </c>
      <c r="D1145" s="21">
        <f t="shared" si="36"/>
        <v>-1.8929435271847723E-2</v>
      </c>
      <c r="E1145" s="1">
        <v>9329</v>
      </c>
      <c r="F1145" s="1">
        <v>0</v>
      </c>
      <c r="G1145" s="1">
        <v>0</v>
      </c>
      <c r="H1145" s="1">
        <v>2273</v>
      </c>
      <c r="I1145" s="21">
        <f t="shared" si="35"/>
        <v>1.4732142857142857E-2</v>
      </c>
      <c r="J1145" s="1">
        <v>785</v>
      </c>
      <c r="K1145" s="1">
        <v>88</v>
      </c>
      <c r="L1145" s="1">
        <v>0</v>
      </c>
      <c r="M1145" s="1">
        <v>0</v>
      </c>
      <c r="N1145" s="1">
        <v>0</v>
      </c>
      <c r="O1145" s="1">
        <v>88</v>
      </c>
      <c r="P1145" s="1">
        <v>0</v>
      </c>
      <c r="Q1145" s="1">
        <v>0</v>
      </c>
      <c r="R1145" s="1">
        <v>0</v>
      </c>
      <c r="S1145" s="1">
        <v>88</v>
      </c>
      <c r="T1145" s="1">
        <v>697</v>
      </c>
      <c r="U1145" s="1">
        <v>199</v>
      </c>
      <c r="V1145" s="1">
        <v>48</v>
      </c>
      <c r="W1145" s="1">
        <v>94</v>
      </c>
      <c r="X1145" s="1">
        <v>357</v>
      </c>
      <c r="Y1145" s="1">
        <v>9</v>
      </c>
      <c r="Z1145" s="1">
        <v>94</v>
      </c>
      <c r="AA1145" s="1">
        <v>142</v>
      </c>
      <c r="AB1145" s="1">
        <v>119</v>
      </c>
      <c r="AC1145" s="1">
        <v>0</v>
      </c>
      <c r="AD1145" s="1">
        <v>23</v>
      </c>
      <c r="AE1145" s="1">
        <v>0</v>
      </c>
      <c r="AF1145" s="1">
        <v>231</v>
      </c>
      <c r="AG1145" s="1">
        <v>60</v>
      </c>
      <c r="AH1145" s="1">
        <v>953</v>
      </c>
      <c r="AI1145" s="1">
        <v>0</v>
      </c>
      <c r="AJ1145" s="1">
        <v>75</v>
      </c>
    </row>
    <row r="1146" spans="1:36">
      <c r="A1146" s="58">
        <v>40760</v>
      </c>
      <c r="B1146" s="1">
        <v>11518</v>
      </c>
      <c r="C1146" s="1">
        <v>9354</v>
      </c>
      <c r="D1146" s="21">
        <f t="shared" si="36"/>
        <v>2.6798156286847465E-3</v>
      </c>
      <c r="E1146" s="1">
        <v>9354</v>
      </c>
      <c r="F1146" s="1">
        <v>0</v>
      </c>
      <c r="G1146" s="1">
        <v>0</v>
      </c>
      <c r="H1146" s="1">
        <v>2180</v>
      </c>
      <c r="I1146" s="21">
        <f t="shared" si="35"/>
        <v>-4.09150901891773E-2</v>
      </c>
      <c r="J1146" s="1">
        <v>755</v>
      </c>
      <c r="K1146" s="1">
        <v>106</v>
      </c>
      <c r="L1146" s="1">
        <v>0</v>
      </c>
      <c r="M1146" s="1">
        <v>0</v>
      </c>
      <c r="N1146" s="1">
        <v>0</v>
      </c>
      <c r="O1146" s="1">
        <v>106</v>
      </c>
      <c r="P1146" s="1">
        <v>0</v>
      </c>
      <c r="Q1146" s="1">
        <v>0</v>
      </c>
      <c r="R1146" s="1">
        <v>0</v>
      </c>
      <c r="S1146" s="1">
        <v>106</v>
      </c>
      <c r="T1146" s="1">
        <v>650</v>
      </c>
      <c r="U1146" s="1">
        <v>188</v>
      </c>
      <c r="V1146" s="1">
        <v>53</v>
      </c>
      <c r="W1146" s="1">
        <v>83</v>
      </c>
      <c r="X1146" s="1">
        <v>326</v>
      </c>
      <c r="Y1146" s="1">
        <v>17</v>
      </c>
      <c r="Z1146" s="1">
        <v>95</v>
      </c>
      <c r="AA1146" s="1">
        <v>139</v>
      </c>
      <c r="AB1146" s="1">
        <v>122</v>
      </c>
      <c r="AC1146" s="1">
        <v>0</v>
      </c>
      <c r="AD1146" s="1">
        <v>17</v>
      </c>
      <c r="AE1146" s="1">
        <v>0</v>
      </c>
      <c r="AF1146" s="1">
        <v>236</v>
      </c>
      <c r="AG1146" s="1">
        <v>63</v>
      </c>
      <c r="AH1146" s="1">
        <v>875</v>
      </c>
      <c r="AI1146" s="1">
        <v>0</v>
      </c>
      <c r="AJ1146" s="1">
        <v>85</v>
      </c>
    </row>
    <row r="1147" spans="1:36">
      <c r="A1147" s="58">
        <v>40767</v>
      </c>
      <c r="B1147" s="1">
        <v>11455</v>
      </c>
      <c r="C1147" s="1">
        <v>9340</v>
      </c>
      <c r="D1147" s="21">
        <f t="shared" si="36"/>
        <v>-1.4966859097712208E-3</v>
      </c>
      <c r="E1147" s="1">
        <v>9340</v>
      </c>
      <c r="F1147" s="1">
        <v>0</v>
      </c>
      <c r="G1147" s="1">
        <v>0</v>
      </c>
      <c r="H1147" s="1">
        <v>2125</v>
      </c>
      <c r="I1147" s="21">
        <f t="shared" si="35"/>
        <v>-2.5229357798165139E-2</v>
      </c>
      <c r="J1147" s="1">
        <v>704</v>
      </c>
      <c r="K1147" s="1">
        <v>119</v>
      </c>
      <c r="L1147" s="1">
        <v>0</v>
      </c>
      <c r="M1147" s="1">
        <v>0</v>
      </c>
      <c r="N1147" s="1">
        <v>0</v>
      </c>
      <c r="O1147" s="1">
        <v>119</v>
      </c>
      <c r="P1147" s="1">
        <v>0</v>
      </c>
      <c r="Q1147" s="1">
        <v>0</v>
      </c>
      <c r="R1147" s="1">
        <v>0</v>
      </c>
      <c r="S1147" s="1">
        <v>119</v>
      </c>
      <c r="T1147" s="1">
        <v>586</v>
      </c>
      <c r="U1147" s="1">
        <v>176</v>
      </c>
      <c r="V1147" s="1">
        <v>56</v>
      </c>
      <c r="W1147" s="1">
        <v>84</v>
      </c>
      <c r="X1147" s="1">
        <v>269</v>
      </c>
      <c r="Y1147" s="1">
        <v>11</v>
      </c>
      <c r="Z1147" s="1">
        <v>70</v>
      </c>
      <c r="AA1147" s="1">
        <v>140</v>
      </c>
      <c r="AB1147" s="1">
        <v>116</v>
      </c>
      <c r="AC1147" s="1">
        <v>0</v>
      </c>
      <c r="AD1147" s="1">
        <v>24</v>
      </c>
      <c r="AE1147" s="1">
        <v>0</v>
      </c>
      <c r="AF1147" s="1">
        <v>260</v>
      </c>
      <c r="AG1147" s="1">
        <v>62</v>
      </c>
      <c r="AH1147" s="1">
        <v>878</v>
      </c>
      <c r="AI1147" s="1">
        <v>0</v>
      </c>
      <c r="AJ1147" s="1">
        <v>77</v>
      </c>
    </row>
    <row r="1148" spans="1:36">
      <c r="A1148" s="58">
        <v>40774</v>
      </c>
      <c r="B1148" s="1">
        <v>11214</v>
      </c>
      <c r="C1148" s="1">
        <v>9082</v>
      </c>
      <c r="D1148" s="21">
        <f t="shared" si="36"/>
        <v>-2.7623126338329765E-2</v>
      </c>
      <c r="E1148" s="1">
        <v>9082</v>
      </c>
      <c r="F1148" s="1">
        <v>0</v>
      </c>
      <c r="G1148" s="1">
        <v>0</v>
      </c>
      <c r="H1148" s="1">
        <v>2151</v>
      </c>
      <c r="I1148" s="21">
        <f t="shared" si="35"/>
        <v>1.2235294117647059E-2</v>
      </c>
      <c r="J1148" s="1">
        <v>762</v>
      </c>
      <c r="K1148" s="1">
        <v>122</v>
      </c>
      <c r="L1148" s="1">
        <v>0</v>
      </c>
      <c r="M1148" s="1">
        <v>0</v>
      </c>
      <c r="N1148" s="1">
        <v>0</v>
      </c>
      <c r="O1148" s="1">
        <v>122</v>
      </c>
      <c r="P1148" s="1">
        <v>0</v>
      </c>
      <c r="Q1148" s="1">
        <v>0</v>
      </c>
      <c r="R1148" s="1">
        <v>0</v>
      </c>
      <c r="S1148" s="1">
        <v>122</v>
      </c>
      <c r="T1148" s="1">
        <v>640</v>
      </c>
      <c r="U1148" s="1">
        <v>190</v>
      </c>
      <c r="V1148" s="1">
        <v>63</v>
      </c>
      <c r="W1148" s="1">
        <v>91</v>
      </c>
      <c r="X1148" s="1">
        <v>297</v>
      </c>
      <c r="Y1148" s="1">
        <v>19</v>
      </c>
      <c r="Z1148" s="1">
        <v>55</v>
      </c>
      <c r="AA1148" s="1">
        <v>140</v>
      </c>
      <c r="AB1148" s="1">
        <v>108</v>
      </c>
      <c r="AC1148" s="1">
        <v>0</v>
      </c>
      <c r="AD1148" s="1">
        <v>33</v>
      </c>
      <c r="AE1148" s="1">
        <v>0</v>
      </c>
      <c r="AF1148" s="1">
        <v>269</v>
      </c>
      <c r="AG1148" s="1">
        <v>62</v>
      </c>
      <c r="AH1148" s="1">
        <v>844</v>
      </c>
      <c r="AI1148" s="1">
        <v>0</v>
      </c>
      <c r="AJ1148" s="1">
        <v>78</v>
      </c>
    </row>
    <row r="1149" spans="1:36">
      <c r="A1149" s="58">
        <v>40781</v>
      </c>
      <c r="B1149" s="1">
        <v>11249</v>
      </c>
      <c r="C1149" s="1">
        <v>9200</v>
      </c>
      <c r="D1149" s="21">
        <f t="shared" si="36"/>
        <v>1.2992732878220656E-2</v>
      </c>
      <c r="E1149" s="1">
        <v>9200</v>
      </c>
      <c r="F1149" s="1">
        <v>0</v>
      </c>
      <c r="G1149" s="1">
        <v>0</v>
      </c>
      <c r="H1149" s="1">
        <v>2066</v>
      </c>
      <c r="I1149" s="21">
        <f t="shared" si="35"/>
        <v>-3.9516503951650392E-2</v>
      </c>
      <c r="J1149" s="1">
        <v>703</v>
      </c>
      <c r="K1149" s="1">
        <v>118</v>
      </c>
      <c r="L1149" s="1">
        <v>0</v>
      </c>
      <c r="M1149" s="1">
        <v>0</v>
      </c>
      <c r="N1149" s="1">
        <v>0</v>
      </c>
      <c r="O1149" s="1">
        <v>118</v>
      </c>
      <c r="P1149" s="1">
        <v>0</v>
      </c>
      <c r="Q1149" s="1">
        <v>0</v>
      </c>
      <c r="R1149" s="1">
        <v>0</v>
      </c>
      <c r="S1149" s="1">
        <v>118</v>
      </c>
      <c r="T1149" s="1">
        <v>585</v>
      </c>
      <c r="U1149" s="1">
        <v>164</v>
      </c>
      <c r="V1149" s="1">
        <v>66</v>
      </c>
      <c r="W1149" s="1">
        <v>76</v>
      </c>
      <c r="X1149" s="1">
        <v>279</v>
      </c>
      <c r="Y1149" s="1">
        <v>17</v>
      </c>
      <c r="Z1149" s="1">
        <v>38</v>
      </c>
      <c r="AA1149" s="1">
        <v>133</v>
      </c>
      <c r="AB1149" s="1">
        <v>105</v>
      </c>
      <c r="AC1149" s="1">
        <v>0</v>
      </c>
      <c r="AD1149" s="1">
        <v>28</v>
      </c>
      <c r="AE1149" s="1">
        <v>0</v>
      </c>
      <c r="AF1149" s="1">
        <v>287</v>
      </c>
      <c r="AG1149" s="1">
        <v>66</v>
      </c>
      <c r="AH1149" s="1">
        <v>822</v>
      </c>
      <c r="AI1149" s="1">
        <v>0</v>
      </c>
      <c r="AJ1149" s="1">
        <v>59</v>
      </c>
    </row>
    <row r="1150" spans="1:36">
      <c r="A1150" s="58">
        <v>40788</v>
      </c>
      <c r="B1150" s="1">
        <v>11074</v>
      </c>
      <c r="C1150" s="1">
        <v>9066</v>
      </c>
      <c r="D1150" s="21">
        <f t="shared" si="36"/>
        <v>-1.4565217391304348E-2</v>
      </c>
      <c r="E1150" s="1">
        <v>9059</v>
      </c>
      <c r="F1150" s="1">
        <v>0</v>
      </c>
      <c r="G1150" s="1">
        <v>0</v>
      </c>
      <c r="H1150" s="1">
        <v>2019</v>
      </c>
      <c r="I1150" s="21">
        <f t="shared" si="35"/>
        <v>-2.2749273959341725E-2</v>
      </c>
      <c r="J1150" s="1">
        <v>694</v>
      </c>
      <c r="K1150" s="1">
        <v>120</v>
      </c>
      <c r="L1150" s="1">
        <v>0</v>
      </c>
      <c r="M1150" s="1">
        <v>0</v>
      </c>
      <c r="N1150" s="1">
        <v>0</v>
      </c>
      <c r="O1150" s="1">
        <v>120</v>
      </c>
      <c r="P1150" s="1">
        <v>0</v>
      </c>
      <c r="Q1150" s="1">
        <v>0</v>
      </c>
      <c r="R1150" s="1">
        <v>0</v>
      </c>
      <c r="S1150" s="1">
        <v>120</v>
      </c>
      <c r="T1150" s="1">
        <v>574</v>
      </c>
      <c r="U1150" s="1">
        <v>190</v>
      </c>
      <c r="V1150" s="1">
        <v>71</v>
      </c>
      <c r="W1150" s="1">
        <v>89</v>
      </c>
      <c r="X1150" s="1">
        <v>224</v>
      </c>
      <c r="Y1150" s="1">
        <v>11</v>
      </c>
      <c r="Z1150" s="1">
        <v>23</v>
      </c>
      <c r="AA1150" s="1">
        <v>146</v>
      </c>
      <c r="AB1150" s="1">
        <v>110</v>
      </c>
      <c r="AC1150" s="1">
        <v>0</v>
      </c>
      <c r="AD1150" s="1">
        <v>36</v>
      </c>
      <c r="AE1150" s="1">
        <v>0</v>
      </c>
      <c r="AF1150" s="1">
        <v>259</v>
      </c>
      <c r="AG1150" s="1">
        <v>69</v>
      </c>
      <c r="AH1150" s="1">
        <v>816</v>
      </c>
      <c r="AI1150" s="1">
        <v>0</v>
      </c>
      <c r="AJ1150" s="1">
        <v>55</v>
      </c>
    </row>
    <row r="1151" spans="1:36">
      <c r="A1151" s="58">
        <v>40795</v>
      </c>
      <c r="B1151" s="1">
        <v>10881</v>
      </c>
      <c r="C1151" s="1">
        <v>8881</v>
      </c>
      <c r="D1151" s="21">
        <f t="shared" si="36"/>
        <v>-2.0405912199426429E-2</v>
      </c>
      <c r="E1151" s="1">
        <v>8874</v>
      </c>
      <c r="F1151" s="1">
        <v>0</v>
      </c>
      <c r="G1151" s="1">
        <v>0</v>
      </c>
      <c r="H1151" s="1">
        <v>2011</v>
      </c>
      <c r="I1151" s="21">
        <f t="shared" si="35"/>
        <v>-3.9623576027736501E-3</v>
      </c>
      <c r="J1151" s="1">
        <v>690</v>
      </c>
      <c r="K1151" s="1">
        <v>132</v>
      </c>
      <c r="L1151" s="1">
        <v>0</v>
      </c>
      <c r="M1151" s="1">
        <v>0</v>
      </c>
      <c r="N1151" s="1">
        <v>0</v>
      </c>
      <c r="O1151" s="1">
        <v>132</v>
      </c>
      <c r="P1151" s="1">
        <v>0</v>
      </c>
      <c r="Q1151" s="1">
        <v>0</v>
      </c>
      <c r="R1151" s="1">
        <v>0</v>
      </c>
      <c r="S1151" s="1">
        <v>132</v>
      </c>
      <c r="T1151" s="1">
        <v>558</v>
      </c>
      <c r="U1151" s="1">
        <v>186</v>
      </c>
      <c r="V1151" s="1">
        <v>65</v>
      </c>
      <c r="W1151" s="1">
        <v>104</v>
      </c>
      <c r="X1151" s="1">
        <v>202</v>
      </c>
      <c r="Y1151" s="1">
        <v>11</v>
      </c>
      <c r="Z1151" s="1">
        <v>19</v>
      </c>
      <c r="AA1151" s="1">
        <v>161</v>
      </c>
      <c r="AB1151" s="1">
        <v>125</v>
      </c>
      <c r="AC1151" s="1">
        <v>0</v>
      </c>
      <c r="AD1151" s="1">
        <v>35</v>
      </c>
      <c r="AE1151" s="1">
        <v>0</v>
      </c>
      <c r="AF1151" s="1">
        <v>248</v>
      </c>
      <c r="AG1151" s="1">
        <v>73</v>
      </c>
      <c r="AH1151" s="1">
        <v>810</v>
      </c>
      <c r="AI1151" s="1">
        <v>0</v>
      </c>
      <c r="AJ1151" s="1">
        <v>57</v>
      </c>
    </row>
    <row r="1152" spans="1:36">
      <c r="A1152" s="58">
        <v>40802</v>
      </c>
      <c r="B1152" s="1">
        <v>10701</v>
      </c>
      <c r="C1152" s="1">
        <v>8766</v>
      </c>
      <c r="D1152" s="21">
        <f t="shared" si="36"/>
        <v>-1.2948992230604662E-2</v>
      </c>
      <c r="E1152" s="1">
        <v>8759</v>
      </c>
      <c r="F1152" s="1">
        <v>0</v>
      </c>
      <c r="G1152" s="1">
        <v>0</v>
      </c>
      <c r="H1152" s="1">
        <v>1947</v>
      </c>
      <c r="I1152" s="21">
        <f t="shared" si="35"/>
        <v>-3.1824962705121827E-2</v>
      </c>
      <c r="J1152" s="1">
        <v>639</v>
      </c>
      <c r="K1152" s="1">
        <v>104</v>
      </c>
      <c r="L1152" s="1">
        <v>0</v>
      </c>
      <c r="M1152" s="1">
        <v>0</v>
      </c>
      <c r="N1152" s="1">
        <v>0</v>
      </c>
      <c r="O1152" s="1">
        <v>104</v>
      </c>
      <c r="P1152" s="1">
        <v>0</v>
      </c>
      <c r="Q1152" s="1">
        <v>0</v>
      </c>
      <c r="R1152" s="1">
        <v>0</v>
      </c>
      <c r="S1152" s="1">
        <v>104</v>
      </c>
      <c r="T1152" s="1">
        <v>535</v>
      </c>
      <c r="U1152" s="1">
        <v>182</v>
      </c>
      <c r="V1152" s="1">
        <v>68</v>
      </c>
      <c r="W1152" s="1">
        <v>111</v>
      </c>
      <c r="X1152" s="1">
        <v>174</v>
      </c>
      <c r="Y1152" s="1">
        <v>12</v>
      </c>
      <c r="Z1152" s="1">
        <v>18</v>
      </c>
      <c r="AA1152" s="1">
        <v>160</v>
      </c>
      <c r="AB1152" s="1">
        <v>124</v>
      </c>
      <c r="AC1152" s="1">
        <v>10</v>
      </c>
      <c r="AD1152" s="1">
        <v>26</v>
      </c>
      <c r="AE1152" s="1">
        <v>0</v>
      </c>
      <c r="AF1152" s="1">
        <v>227</v>
      </c>
      <c r="AG1152" s="1">
        <v>78</v>
      </c>
      <c r="AH1152" s="1">
        <v>814</v>
      </c>
      <c r="AI1152" s="1">
        <v>0</v>
      </c>
      <c r="AJ1152" s="1">
        <v>44</v>
      </c>
    </row>
    <row r="1153" spans="1:36">
      <c r="A1153" s="58">
        <v>40809</v>
      </c>
      <c r="B1153" s="1">
        <v>10723</v>
      </c>
      <c r="C1153" s="1">
        <v>8790</v>
      </c>
      <c r="D1153" s="21">
        <f t="shared" si="36"/>
        <v>2.7378507871321013E-3</v>
      </c>
      <c r="E1153" s="1">
        <v>8783</v>
      </c>
      <c r="F1153" s="1">
        <v>0</v>
      </c>
      <c r="G1153" s="1">
        <v>0</v>
      </c>
      <c r="H1153" s="1">
        <v>1949</v>
      </c>
      <c r="I1153" s="21">
        <f t="shared" si="35"/>
        <v>1.0272213662044171E-3</v>
      </c>
      <c r="J1153" s="1">
        <v>622</v>
      </c>
      <c r="K1153" s="1">
        <v>96</v>
      </c>
      <c r="L1153" s="1">
        <v>0</v>
      </c>
      <c r="M1153" s="1">
        <v>0</v>
      </c>
      <c r="N1153" s="1">
        <v>0</v>
      </c>
      <c r="O1153" s="1">
        <v>96</v>
      </c>
      <c r="P1153" s="1">
        <v>0</v>
      </c>
      <c r="Q1153" s="1">
        <v>0</v>
      </c>
      <c r="R1153" s="1">
        <v>0</v>
      </c>
      <c r="S1153" s="1">
        <v>96</v>
      </c>
      <c r="T1153" s="1">
        <v>527</v>
      </c>
      <c r="U1153" s="1">
        <v>190</v>
      </c>
      <c r="V1153" s="1">
        <v>68</v>
      </c>
      <c r="W1153" s="1">
        <v>88</v>
      </c>
      <c r="X1153" s="1">
        <v>181</v>
      </c>
      <c r="Y1153" s="1">
        <v>16</v>
      </c>
      <c r="Z1153" s="1">
        <v>22</v>
      </c>
      <c r="AA1153" s="1">
        <v>153</v>
      </c>
      <c r="AB1153" s="1">
        <v>118</v>
      </c>
      <c r="AC1153" s="1">
        <v>10</v>
      </c>
      <c r="AD1153" s="1">
        <v>25</v>
      </c>
      <c r="AE1153" s="1">
        <v>0</v>
      </c>
      <c r="AF1153" s="1">
        <v>242</v>
      </c>
      <c r="AG1153" s="1">
        <v>85</v>
      </c>
      <c r="AH1153" s="1">
        <v>808</v>
      </c>
      <c r="AI1153" s="1">
        <v>0</v>
      </c>
      <c r="AJ1153" s="1">
        <v>38</v>
      </c>
    </row>
    <row r="1154" spans="1:36">
      <c r="A1154" s="58">
        <v>40816</v>
      </c>
      <c r="B1154" s="1">
        <v>10828</v>
      </c>
      <c r="C1154" s="1">
        <v>8824</v>
      </c>
      <c r="D1154" s="21">
        <f t="shared" si="36"/>
        <v>3.8680318543799774E-3</v>
      </c>
      <c r="E1154" s="1">
        <v>8824</v>
      </c>
      <c r="F1154" s="1">
        <v>0</v>
      </c>
      <c r="G1154" s="1">
        <v>0</v>
      </c>
      <c r="H1154" s="1">
        <v>2018</v>
      </c>
      <c r="I1154" s="21">
        <f t="shared" si="35"/>
        <v>3.5402770651616212E-2</v>
      </c>
      <c r="J1154" s="1">
        <v>599</v>
      </c>
      <c r="K1154" s="1">
        <v>85</v>
      </c>
      <c r="L1154" s="1">
        <v>0</v>
      </c>
      <c r="M1154" s="1">
        <v>0</v>
      </c>
      <c r="N1154" s="1">
        <v>0</v>
      </c>
      <c r="O1154" s="1">
        <v>85</v>
      </c>
      <c r="P1154" s="1">
        <v>0</v>
      </c>
      <c r="Q1154" s="1">
        <v>0</v>
      </c>
      <c r="R1154" s="1">
        <v>0</v>
      </c>
      <c r="S1154" s="1">
        <v>85</v>
      </c>
      <c r="T1154" s="1">
        <v>514</v>
      </c>
      <c r="U1154" s="1">
        <v>188</v>
      </c>
      <c r="V1154" s="1">
        <v>65</v>
      </c>
      <c r="W1154" s="1">
        <v>58</v>
      </c>
      <c r="X1154" s="1">
        <v>203</v>
      </c>
      <c r="Y1154" s="1">
        <v>14</v>
      </c>
      <c r="Z1154" s="1">
        <v>20</v>
      </c>
      <c r="AA1154" s="1">
        <v>167</v>
      </c>
      <c r="AB1154" s="1">
        <v>126</v>
      </c>
      <c r="AC1154" s="1">
        <v>10</v>
      </c>
      <c r="AD1154" s="1">
        <v>31</v>
      </c>
      <c r="AE1154" s="1">
        <v>0</v>
      </c>
      <c r="AF1154" s="1">
        <v>289</v>
      </c>
      <c r="AG1154" s="1">
        <v>103</v>
      </c>
      <c r="AH1154" s="1">
        <v>825</v>
      </c>
      <c r="AI1154" s="1">
        <v>0</v>
      </c>
      <c r="AJ1154" s="1">
        <v>39</v>
      </c>
    </row>
    <row r="1155" spans="1:36">
      <c r="A1155" s="58">
        <v>40823</v>
      </c>
      <c r="B1155" s="1">
        <v>10966</v>
      </c>
      <c r="C1155" s="1">
        <v>8960</v>
      </c>
      <c r="D1155" s="21">
        <f t="shared" si="36"/>
        <v>1.5412511332728921E-2</v>
      </c>
      <c r="E1155" s="1">
        <v>8960</v>
      </c>
      <c r="F1155" s="1">
        <v>0</v>
      </c>
      <c r="G1155" s="1">
        <v>0</v>
      </c>
      <c r="H1155" s="1">
        <v>2024</v>
      </c>
      <c r="I1155" s="21">
        <f t="shared" si="35"/>
        <v>2.973240832507433E-3</v>
      </c>
      <c r="J1155" s="1">
        <v>539</v>
      </c>
      <c r="K1155" s="1">
        <v>54</v>
      </c>
      <c r="L1155" s="1">
        <v>0</v>
      </c>
      <c r="M1155" s="1">
        <v>0</v>
      </c>
      <c r="N1155" s="1">
        <v>0</v>
      </c>
      <c r="O1155" s="1">
        <v>54</v>
      </c>
      <c r="P1155" s="1">
        <v>0</v>
      </c>
      <c r="Q1155" s="1">
        <v>0</v>
      </c>
      <c r="R1155" s="1">
        <v>0</v>
      </c>
      <c r="S1155" s="1">
        <v>54</v>
      </c>
      <c r="T1155" s="1">
        <v>485</v>
      </c>
      <c r="U1155" s="1">
        <v>166</v>
      </c>
      <c r="V1155" s="1">
        <v>66</v>
      </c>
      <c r="W1155" s="1">
        <v>55</v>
      </c>
      <c r="X1155" s="1">
        <v>198</v>
      </c>
      <c r="Y1155" s="1">
        <v>17</v>
      </c>
      <c r="Z1155" s="1">
        <v>40</v>
      </c>
      <c r="AA1155" s="1">
        <v>158</v>
      </c>
      <c r="AB1155" s="1">
        <v>108</v>
      </c>
      <c r="AC1155" s="1">
        <v>10</v>
      </c>
      <c r="AD1155" s="1">
        <v>40</v>
      </c>
      <c r="AE1155" s="1">
        <v>0</v>
      </c>
      <c r="AF1155" s="1">
        <v>288</v>
      </c>
      <c r="AG1155" s="1">
        <v>106</v>
      </c>
      <c r="AH1155" s="1">
        <v>875</v>
      </c>
      <c r="AI1155" s="1">
        <v>0</v>
      </c>
      <c r="AJ1155" s="1">
        <v>42</v>
      </c>
    </row>
    <row r="1156" spans="1:36">
      <c r="A1156" s="58">
        <v>40830</v>
      </c>
      <c r="B1156" s="1">
        <v>10693</v>
      </c>
      <c r="C1156" s="1">
        <v>8852</v>
      </c>
      <c r="D1156" s="21">
        <f t="shared" si="36"/>
        <v>-1.2053571428571429E-2</v>
      </c>
      <c r="E1156" s="1">
        <v>8852</v>
      </c>
      <c r="F1156" s="1">
        <v>0</v>
      </c>
      <c r="G1156" s="1">
        <v>0</v>
      </c>
      <c r="H1156" s="1">
        <v>1851</v>
      </c>
      <c r="I1156" s="21">
        <f t="shared" si="35"/>
        <v>-8.5474308300395263E-2</v>
      </c>
      <c r="J1156" s="1">
        <v>481</v>
      </c>
      <c r="K1156" s="1">
        <v>58</v>
      </c>
      <c r="L1156" s="1">
        <v>0</v>
      </c>
      <c r="M1156" s="1">
        <v>0</v>
      </c>
      <c r="N1156" s="1">
        <v>0</v>
      </c>
      <c r="O1156" s="1">
        <v>58</v>
      </c>
      <c r="P1156" s="1">
        <v>0</v>
      </c>
      <c r="Q1156" s="1">
        <v>0</v>
      </c>
      <c r="R1156" s="1">
        <v>0</v>
      </c>
      <c r="S1156" s="1">
        <v>58</v>
      </c>
      <c r="T1156" s="1">
        <v>422</v>
      </c>
      <c r="U1156" s="1">
        <v>145</v>
      </c>
      <c r="V1156" s="1">
        <v>49</v>
      </c>
      <c r="W1156" s="1">
        <v>71</v>
      </c>
      <c r="X1156" s="1">
        <v>157</v>
      </c>
      <c r="Y1156" s="1">
        <v>10</v>
      </c>
      <c r="Z1156" s="1">
        <v>49</v>
      </c>
      <c r="AA1156" s="1">
        <v>145</v>
      </c>
      <c r="AB1156" s="1">
        <v>106</v>
      </c>
      <c r="AC1156" s="1">
        <v>0</v>
      </c>
      <c r="AD1156" s="1">
        <v>40</v>
      </c>
      <c r="AE1156" s="1">
        <v>0</v>
      </c>
      <c r="AF1156" s="1">
        <v>285</v>
      </c>
      <c r="AG1156" s="1">
        <v>105</v>
      </c>
      <c r="AH1156" s="1">
        <v>776</v>
      </c>
      <c r="AI1156" s="1">
        <v>0</v>
      </c>
      <c r="AJ1156" s="1">
        <v>41</v>
      </c>
    </row>
    <row r="1157" spans="1:36">
      <c r="A1157" s="58">
        <v>40837</v>
      </c>
      <c r="B1157" s="1">
        <v>10636</v>
      </c>
      <c r="C1157" s="1">
        <v>8770</v>
      </c>
      <c r="D1157" s="21">
        <f t="shared" si="36"/>
        <v>-9.2634432896520555E-3</v>
      </c>
      <c r="E1157" s="1">
        <v>8770</v>
      </c>
      <c r="F1157" s="1">
        <v>0</v>
      </c>
      <c r="G1157" s="1">
        <v>0</v>
      </c>
      <c r="H1157" s="1">
        <v>1872</v>
      </c>
      <c r="I1157" s="21">
        <f t="shared" si="35"/>
        <v>1.1345218800648298E-2</v>
      </c>
      <c r="J1157" s="1">
        <v>514</v>
      </c>
      <c r="K1157" s="1">
        <v>62</v>
      </c>
      <c r="L1157" s="1">
        <v>0</v>
      </c>
      <c r="M1157" s="1">
        <v>0</v>
      </c>
      <c r="N1157" s="1">
        <v>0</v>
      </c>
      <c r="O1157" s="1">
        <v>62</v>
      </c>
      <c r="P1157" s="1">
        <v>0</v>
      </c>
      <c r="Q1157" s="1">
        <v>0</v>
      </c>
      <c r="R1157" s="1">
        <v>0</v>
      </c>
      <c r="S1157" s="1">
        <v>62</v>
      </c>
      <c r="T1157" s="1">
        <v>453</v>
      </c>
      <c r="U1157" s="1">
        <v>126</v>
      </c>
      <c r="V1157" s="1">
        <v>43</v>
      </c>
      <c r="W1157" s="1">
        <v>97</v>
      </c>
      <c r="X1157" s="1">
        <v>186</v>
      </c>
      <c r="Y1157" s="1">
        <v>6</v>
      </c>
      <c r="Z1157" s="1">
        <v>47</v>
      </c>
      <c r="AA1157" s="1">
        <v>145</v>
      </c>
      <c r="AB1157" s="1">
        <v>94</v>
      </c>
      <c r="AC1157" s="1">
        <v>0</v>
      </c>
      <c r="AD1157" s="1">
        <v>50</v>
      </c>
      <c r="AE1157" s="1">
        <v>0</v>
      </c>
      <c r="AF1157" s="1">
        <v>269</v>
      </c>
      <c r="AG1157" s="1">
        <v>97</v>
      </c>
      <c r="AH1157" s="1">
        <v>795</v>
      </c>
      <c r="AI1157" s="1">
        <v>0</v>
      </c>
      <c r="AJ1157" s="1">
        <v>47</v>
      </c>
    </row>
    <row r="1158" spans="1:36">
      <c r="A1158" s="58">
        <v>40844</v>
      </c>
      <c r="B1158" s="1">
        <v>10728</v>
      </c>
      <c r="C1158" s="1">
        <v>8834</v>
      </c>
      <c r="D1158" s="21">
        <f t="shared" si="36"/>
        <v>7.2976054732041048E-3</v>
      </c>
      <c r="E1158" s="1">
        <v>8834</v>
      </c>
      <c r="F1158" s="1">
        <v>0</v>
      </c>
      <c r="G1158" s="1">
        <v>0</v>
      </c>
      <c r="H1158" s="1">
        <v>1916</v>
      </c>
      <c r="I1158" s="21">
        <f t="shared" si="35"/>
        <v>2.3504273504273504E-2</v>
      </c>
      <c r="J1158" s="1">
        <v>583</v>
      </c>
      <c r="K1158" s="1">
        <v>49</v>
      </c>
      <c r="L1158" s="1">
        <v>0</v>
      </c>
      <c r="M1158" s="1">
        <v>0</v>
      </c>
      <c r="N1158" s="1">
        <v>0</v>
      </c>
      <c r="O1158" s="1">
        <v>49</v>
      </c>
      <c r="P1158" s="1">
        <v>0</v>
      </c>
      <c r="Q1158" s="1">
        <v>0</v>
      </c>
      <c r="R1158" s="1">
        <v>0</v>
      </c>
      <c r="S1158" s="1">
        <v>49</v>
      </c>
      <c r="T1158" s="1">
        <v>534</v>
      </c>
      <c r="U1158" s="1">
        <v>126</v>
      </c>
      <c r="V1158" s="1">
        <v>40</v>
      </c>
      <c r="W1158" s="1">
        <v>145</v>
      </c>
      <c r="X1158" s="1">
        <v>224</v>
      </c>
      <c r="Y1158" s="1">
        <v>12</v>
      </c>
      <c r="Z1158" s="1">
        <v>53</v>
      </c>
      <c r="AA1158" s="1">
        <v>123</v>
      </c>
      <c r="AB1158" s="1">
        <v>76</v>
      </c>
      <c r="AC1158" s="1">
        <v>0</v>
      </c>
      <c r="AD1158" s="1">
        <v>47</v>
      </c>
      <c r="AE1158" s="1">
        <v>0</v>
      </c>
      <c r="AF1158" s="1">
        <v>283</v>
      </c>
      <c r="AG1158" s="1">
        <v>83</v>
      </c>
      <c r="AH1158" s="1">
        <v>779</v>
      </c>
      <c r="AI1158" s="1">
        <v>10</v>
      </c>
      <c r="AJ1158" s="1">
        <v>38</v>
      </c>
    </row>
    <row r="1159" spans="1:36">
      <c r="A1159" s="58">
        <v>40851</v>
      </c>
      <c r="B1159" s="1">
        <v>10631</v>
      </c>
      <c r="C1159" s="1">
        <v>8717</v>
      </c>
      <c r="D1159" s="21">
        <f t="shared" si="36"/>
        <v>-1.3244283450305637E-2</v>
      </c>
      <c r="E1159" s="1">
        <v>8717</v>
      </c>
      <c r="F1159" s="1">
        <v>0</v>
      </c>
      <c r="G1159" s="1">
        <v>0</v>
      </c>
      <c r="H1159" s="1">
        <v>1932</v>
      </c>
      <c r="I1159" s="21">
        <f t="shared" si="35"/>
        <v>8.350730688935281E-3</v>
      </c>
      <c r="J1159" s="1">
        <v>666</v>
      </c>
      <c r="K1159" s="1">
        <v>73</v>
      </c>
      <c r="L1159" s="1">
        <v>0</v>
      </c>
      <c r="M1159" s="1">
        <v>0</v>
      </c>
      <c r="N1159" s="1">
        <v>0</v>
      </c>
      <c r="O1159" s="1">
        <v>73</v>
      </c>
      <c r="P1159" s="1">
        <v>0</v>
      </c>
      <c r="Q1159" s="1">
        <v>0</v>
      </c>
      <c r="R1159" s="1">
        <v>0</v>
      </c>
      <c r="S1159" s="1">
        <v>73</v>
      </c>
      <c r="T1159" s="1">
        <v>593</v>
      </c>
      <c r="U1159" s="1">
        <v>124</v>
      </c>
      <c r="V1159" s="1">
        <v>45</v>
      </c>
      <c r="W1159" s="1">
        <v>141</v>
      </c>
      <c r="X1159" s="1">
        <v>283</v>
      </c>
      <c r="Y1159" s="1">
        <v>8</v>
      </c>
      <c r="Z1159" s="1">
        <v>60</v>
      </c>
      <c r="AA1159" s="1">
        <v>120</v>
      </c>
      <c r="AB1159" s="1">
        <v>82</v>
      </c>
      <c r="AC1159" s="1">
        <v>0</v>
      </c>
      <c r="AD1159" s="1">
        <v>38</v>
      </c>
      <c r="AE1159" s="1">
        <v>0</v>
      </c>
      <c r="AF1159" s="1">
        <v>276</v>
      </c>
      <c r="AG1159" s="1">
        <v>87</v>
      </c>
      <c r="AH1159" s="1">
        <v>714</v>
      </c>
      <c r="AI1159" s="1">
        <v>10</v>
      </c>
      <c r="AJ1159" s="1">
        <v>38</v>
      </c>
    </row>
    <row r="1160" spans="1:36">
      <c r="A1160" s="58">
        <v>40858</v>
      </c>
      <c r="B1160" s="1">
        <v>10895</v>
      </c>
      <c r="C1160" s="1">
        <v>8878</v>
      </c>
      <c r="D1160" s="21">
        <f t="shared" si="36"/>
        <v>1.8469656992084433E-2</v>
      </c>
      <c r="E1160" s="1">
        <v>8878</v>
      </c>
      <c r="F1160" s="1">
        <v>0</v>
      </c>
      <c r="G1160" s="1">
        <v>0</v>
      </c>
      <c r="H1160" s="1">
        <v>2039</v>
      </c>
      <c r="I1160" s="21">
        <f t="shared" si="35"/>
        <v>5.538302277432712E-2</v>
      </c>
      <c r="J1160" s="1">
        <v>742</v>
      </c>
      <c r="K1160" s="1">
        <v>71</v>
      </c>
      <c r="L1160" s="1">
        <v>0</v>
      </c>
      <c r="M1160" s="1">
        <v>0</v>
      </c>
      <c r="N1160" s="1">
        <v>0</v>
      </c>
      <c r="O1160" s="1">
        <v>71</v>
      </c>
      <c r="P1160" s="1">
        <v>0</v>
      </c>
      <c r="Q1160" s="1">
        <v>0</v>
      </c>
      <c r="R1160" s="1">
        <v>0</v>
      </c>
      <c r="S1160" s="1">
        <v>71</v>
      </c>
      <c r="T1160" s="1">
        <v>671</v>
      </c>
      <c r="U1160" s="1">
        <v>127</v>
      </c>
      <c r="V1160" s="1">
        <v>58</v>
      </c>
      <c r="W1160" s="1">
        <v>126</v>
      </c>
      <c r="X1160" s="1">
        <v>361</v>
      </c>
      <c r="Y1160" s="1">
        <v>11</v>
      </c>
      <c r="Z1160" s="1">
        <v>63</v>
      </c>
      <c r="AA1160" s="1">
        <v>113</v>
      </c>
      <c r="AB1160" s="1">
        <v>72</v>
      </c>
      <c r="AC1160" s="1">
        <v>0</v>
      </c>
      <c r="AD1160" s="1">
        <v>41</v>
      </c>
      <c r="AE1160" s="1">
        <v>0</v>
      </c>
      <c r="AF1160" s="1">
        <v>302</v>
      </c>
      <c r="AG1160" s="1">
        <v>91</v>
      </c>
      <c r="AH1160" s="1">
        <v>715</v>
      </c>
      <c r="AI1160" s="1">
        <v>10</v>
      </c>
      <c r="AJ1160" s="1">
        <v>51</v>
      </c>
    </row>
    <row r="1161" spans="1:36">
      <c r="A1161" s="58">
        <v>40865</v>
      </c>
      <c r="B1161" s="1">
        <v>10758</v>
      </c>
      <c r="C1161" s="1">
        <v>8614</v>
      </c>
      <c r="D1161" s="21">
        <f t="shared" si="36"/>
        <v>-2.9736427123225953E-2</v>
      </c>
      <c r="E1161" s="1">
        <v>8614</v>
      </c>
      <c r="F1161" s="1">
        <v>0</v>
      </c>
      <c r="G1161" s="1">
        <v>0</v>
      </c>
      <c r="H1161" s="1">
        <v>2165</v>
      </c>
      <c r="I1161" s="21">
        <f t="shared" si="35"/>
        <v>6.1794997547817559E-2</v>
      </c>
      <c r="J1161" s="1">
        <v>812</v>
      </c>
      <c r="K1161" s="1">
        <v>69</v>
      </c>
      <c r="L1161" s="1">
        <v>0</v>
      </c>
      <c r="M1161" s="1">
        <v>0</v>
      </c>
      <c r="N1161" s="1">
        <v>0</v>
      </c>
      <c r="O1161" s="1">
        <v>69</v>
      </c>
      <c r="P1161" s="1">
        <v>0</v>
      </c>
      <c r="Q1161" s="1">
        <v>0</v>
      </c>
      <c r="R1161" s="1">
        <v>0</v>
      </c>
      <c r="S1161" s="1">
        <v>69</v>
      </c>
      <c r="T1161" s="1">
        <v>743</v>
      </c>
      <c r="U1161" s="1">
        <v>136</v>
      </c>
      <c r="V1161" s="1">
        <v>67</v>
      </c>
      <c r="W1161" s="1">
        <v>139</v>
      </c>
      <c r="X1161" s="1">
        <v>401</v>
      </c>
      <c r="Y1161" s="1">
        <v>11</v>
      </c>
      <c r="Z1161" s="1">
        <v>64</v>
      </c>
      <c r="AA1161" s="1">
        <v>110</v>
      </c>
      <c r="AB1161" s="1">
        <v>70</v>
      </c>
      <c r="AC1161" s="1">
        <v>0</v>
      </c>
      <c r="AD1161" s="1">
        <v>40</v>
      </c>
      <c r="AE1161" s="1">
        <v>0</v>
      </c>
      <c r="AF1161" s="1">
        <v>306</v>
      </c>
      <c r="AG1161" s="1">
        <v>93</v>
      </c>
      <c r="AH1161" s="1">
        <v>768</v>
      </c>
      <c r="AI1161" s="1">
        <v>10</v>
      </c>
      <c r="AJ1161" s="1">
        <v>35</v>
      </c>
    </row>
    <row r="1162" spans="1:36">
      <c r="A1162" s="58">
        <v>40872</v>
      </c>
      <c r="B1162" s="1">
        <v>10801</v>
      </c>
      <c r="C1162" s="1">
        <v>8641</v>
      </c>
      <c r="D1162" s="21">
        <f t="shared" si="36"/>
        <v>3.1344323194799164E-3</v>
      </c>
      <c r="E1162" s="1">
        <v>8641</v>
      </c>
      <c r="F1162" s="1">
        <v>0</v>
      </c>
      <c r="G1162" s="1">
        <v>0</v>
      </c>
      <c r="H1162" s="1">
        <v>2169</v>
      </c>
      <c r="I1162" s="21">
        <f t="shared" si="35"/>
        <v>1.8475750577367205E-3</v>
      </c>
      <c r="J1162" s="1">
        <v>772</v>
      </c>
      <c r="K1162" s="1">
        <v>73</v>
      </c>
      <c r="L1162" s="1">
        <v>0</v>
      </c>
      <c r="M1162" s="1">
        <v>0</v>
      </c>
      <c r="N1162" s="1">
        <v>0</v>
      </c>
      <c r="O1162" s="1">
        <v>73</v>
      </c>
      <c r="P1162" s="1">
        <v>0</v>
      </c>
      <c r="Q1162" s="1">
        <v>0</v>
      </c>
      <c r="R1162" s="1">
        <v>0</v>
      </c>
      <c r="S1162" s="1">
        <v>73</v>
      </c>
      <c r="T1162" s="1">
        <v>699</v>
      </c>
      <c r="U1162" s="1">
        <v>130</v>
      </c>
      <c r="V1162" s="1">
        <v>70</v>
      </c>
      <c r="W1162" s="1">
        <v>99</v>
      </c>
      <c r="X1162" s="1">
        <v>399</v>
      </c>
      <c r="Y1162" s="1">
        <v>9</v>
      </c>
      <c r="Z1162" s="1">
        <v>75</v>
      </c>
      <c r="AA1162" s="1">
        <v>117</v>
      </c>
      <c r="AB1162" s="1">
        <v>88</v>
      </c>
      <c r="AC1162" s="1">
        <v>0</v>
      </c>
      <c r="AD1162" s="1">
        <v>30</v>
      </c>
      <c r="AE1162" s="1">
        <v>0</v>
      </c>
      <c r="AF1162" s="1">
        <v>320</v>
      </c>
      <c r="AG1162" s="1">
        <v>93</v>
      </c>
      <c r="AH1162" s="1">
        <v>782</v>
      </c>
      <c r="AI1162" s="1">
        <v>0</v>
      </c>
      <c r="AJ1162" s="1">
        <v>57</v>
      </c>
    </row>
    <row r="1163" spans="1:36">
      <c r="A1163" s="58">
        <v>40879</v>
      </c>
      <c r="B1163" s="1">
        <v>11161</v>
      </c>
      <c r="C1163" s="1">
        <v>8845</v>
      </c>
      <c r="D1163" s="21">
        <f t="shared" si="36"/>
        <v>2.3608378659877329E-2</v>
      </c>
      <c r="E1163" s="1">
        <v>8845</v>
      </c>
      <c r="F1163" s="1">
        <v>0</v>
      </c>
      <c r="G1163" s="1">
        <v>0</v>
      </c>
      <c r="H1163" s="1">
        <v>2328</v>
      </c>
      <c r="I1163" s="21">
        <f t="shared" si="35"/>
        <v>7.3305670816044263E-2</v>
      </c>
      <c r="J1163" s="1">
        <v>789</v>
      </c>
      <c r="K1163" s="1">
        <v>59</v>
      </c>
      <c r="L1163" s="1">
        <v>0</v>
      </c>
      <c r="M1163" s="1">
        <v>0</v>
      </c>
      <c r="N1163" s="1">
        <v>0</v>
      </c>
      <c r="O1163" s="1">
        <v>59</v>
      </c>
      <c r="P1163" s="1">
        <v>0</v>
      </c>
      <c r="Q1163" s="1">
        <v>0</v>
      </c>
      <c r="R1163" s="1">
        <v>0</v>
      </c>
      <c r="S1163" s="1">
        <v>59</v>
      </c>
      <c r="T1163" s="1">
        <v>730</v>
      </c>
      <c r="U1163" s="1">
        <v>174</v>
      </c>
      <c r="V1163" s="1">
        <v>69</v>
      </c>
      <c r="W1163" s="1">
        <v>106</v>
      </c>
      <c r="X1163" s="1">
        <v>380</v>
      </c>
      <c r="Y1163" s="1">
        <v>12</v>
      </c>
      <c r="Z1163" s="1">
        <v>54</v>
      </c>
      <c r="AA1163" s="1">
        <v>141</v>
      </c>
      <c r="AB1163" s="1">
        <v>99</v>
      </c>
      <c r="AC1163" s="1">
        <v>0</v>
      </c>
      <c r="AD1163" s="1">
        <v>34</v>
      </c>
      <c r="AE1163" s="1">
        <v>9</v>
      </c>
      <c r="AF1163" s="1">
        <v>412</v>
      </c>
      <c r="AG1163" s="1">
        <v>97</v>
      </c>
      <c r="AH1163" s="1">
        <v>823</v>
      </c>
      <c r="AI1163" s="1">
        <v>0</v>
      </c>
      <c r="AJ1163" s="1">
        <v>55</v>
      </c>
    </row>
    <row r="1164" spans="1:36">
      <c r="A1164" s="58">
        <v>40886</v>
      </c>
      <c r="B1164" s="1">
        <v>11338</v>
      </c>
      <c r="C1164" s="1">
        <v>8785</v>
      </c>
      <c r="D1164" s="21">
        <f t="shared" si="36"/>
        <v>-6.7834934991520632E-3</v>
      </c>
      <c r="E1164" s="1">
        <v>8785</v>
      </c>
      <c r="F1164" s="1">
        <v>0</v>
      </c>
      <c r="G1164" s="1">
        <v>0</v>
      </c>
      <c r="H1164" s="1">
        <v>2564</v>
      </c>
      <c r="I1164" s="21">
        <f t="shared" si="35"/>
        <v>0.1013745704467354</v>
      </c>
      <c r="J1164" s="1">
        <v>793</v>
      </c>
      <c r="K1164" s="1">
        <v>68</v>
      </c>
      <c r="L1164" s="1">
        <v>0</v>
      </c>
      <c r="M1164" s="1">
        <v>0</v>
      </c>
      <c r="N1164" s="1">
        <v>0</v>
      </c>
      <c r="O1164" s="1">
        <v>68</v>
      </c>
      <c r="P1164" s="1">
        <v>0</v>
      </c>
      <c r="Q1164" s="1">
        <v>0</v>
      </c>
      <c r="R1164" s="1">
        <v>0</v>
      </c>
      <c r="S1164" s="1">
        <v>68</v>
      </c>
      <c r="T1164" s="1">
        <v>725</v>
      </c>
      <c r="U1164" s="1">
        <v>161</v>
      </c>
      <c r="V1164" s="1">
        <v>63</v>
      </c>
      <c r="W1164" s="1">
        <v>97</v>
      </c>
      <c r="X1164" s="1">
        <v>404</v>
      </c>
      <c r="Y1164" s="1">
        <v>11</v>
      </c>
      <c r="Z1164" s="1">
        <v>42</v>
      </c>
      <c r="AA1164" s="1">
        <v>150</v>
      </c>
      <c r="AB1164" s="1">
        <v>95</v>
      </c>
      <c r="AC1164" s="1">
        <v>0</v>
      </c>
      <c r="AD1164" s="1">
        <v>46</v>
      </c>
      <c r="AE1164" s="1">
        <v>9</v>
      </c>
      <c r="AF1164" s="1">
        <v>473</v>
      </c>
      <c r="AG1164" s="1">
        <v>101</v>
      </c>
      <c r="AH1164" s="1">
        <v>995</v>
      </c>
      <c r="AI1164" s="1">
        <v>0</v>
      </c>
      <c r="AJ1164" s="1">
        <v>97</v>
      </c>
    </row>
    <row r="1165" spans="1:36">
      <c r="A1165" s="58">
        <v>40893</v>
      </c>
      <c r="B1165" s="1">
        <v>11045</v>
      </c>
      <c r="C1165" s="1">
        <v>8600</v>
      </c>
      <c r="D1165" s="21">
        <f t="shared" si="36"/>
        <v>-2.105862265224815E-2</v>
      </c>
      <c r="E1165" s="1">
        <v>8600</v>
      </c>
      <c r="F1165" s="1">
        <v>0</v>
      </c>
      <c r="G1165" s="1">
        <v>0</v>
      </c>
      <c r="H1165" s="1">
        <v>2462</v>
      </c>
      <c r="I1165" s="21">
        <f t="shared" si="35"/>
        <v>-3.9781591263650544E-2</v>
      </c>
      <c r="J1165" s="1">
        <v>704</v>
      </c>
      <c r="K1165" s="1">
        <v>79</v>
      </c>
      <c r="L1165" s="1">
        <v>0</v>
      </c>
      <c r="M1165" s="1">
        <v>0</v>
      </c>
      <c r="N1165" s="1">
        <v>0</v>
      </c>
      <c r="O1165" s="1">
        <v>79</v>
      </c>
      <c r="P1165" s="1">
        <v>0</v>
      </c>
      <c r="Q1165" s="1">
        <v>0</v>
      </c>
      <c r="R1165" s="1">
        <v>0</v>
      </c>
      <c r="S1165" s="1">
        <v>79</v>
      </c>
      <c r="T1165" s="1">
        <v>625</v>
      </c>
      <c r="U1165" s="1">
        <v>147</v>
      </c>
      <c r="V1165" s="1">
        <v>52</v>
      </c>
      <c r="W1165" s="1">
        <v>79</v>
      </c>
      <c r="X1165" s="1">
        <v>347</v>
      </c>
      <c r="Y1165" s="1">
        <v>17</v>
      </c>
      <c r="Z1165" s="1">
        <v>32</v>
      </c>
      <c r="AA1165" s="1">
        <v>148</v>
      </c>
      <c r="AB1165" s="1">
        <v>98</v>
      </c>
      <c r="AC1165" s="1">
        <v>0</v>
      </c>
      <c r="AD1165" s="1">
        <v>41</v>
      </c>
      <c r="AE1165" s="1">
        <v>9</v>
      </c>
      <c r="AF1165" s="1">
        <v>455</v>
      </c>
      <c r="AG1165" s="1">
        <v>111</v>
      </c>
      <c r="AH1165" s="1">
        <v>994</v>
      </c>
      <c r="AI1165" s="1">
        <v>0</v>
      </c>
      <c r="AJ1165" s="1">
        <v>115</v>
      </c>
    </row>
    <row r="1166" spans="1:36">
      <c r="A1166" s="58">
        <v>40900</v>
      </c>
      <c r="B1166" s="1">
        <v>11016</v>
      </c>
      <c r="C1166" s="1">
        <v>8582</v>
      </c>
      <c r="D1166" s="21">
        <f t="shared" si="36"/>
        <v>-2.0930232558139536E-3</v>
      </c>
      <c r="E1166" s="1">
        <v>8582</v>
      </c>
      <c r="F1166" s="1">
        <v>0</v>
      </c>
      <c r="G1166" s="1">
        <v>0</v>
      </c>
      <c r="H1166" s="1">
        <v>2447</v>
      </c>
      <c r="I1166" s="21">
        <f t="shared" si="35"/>
        <v>-6.092607636068237E-3</v>
      </c>
      <c r="J1166" s="1">
        <v>680</v>
      </c>
      <c r="K1166" s="1">
        <v>100</v>
      </c>
      <c r="L1166" s="1">
        <v>0</v>
      </c>
      <c r="M1166" s="1">
        <v>0</v>
      </c>
      <c r="N1166" s="1">
        <v>0</v>
      </c>
      <c r="O1166" s="1">
        <v>100</v>
      </c>
      <c r="P1166" s="1">
        <v>0</v>
      </c>
      <c r="Q1166" s="1">
        <v>0</v>
      </c>
      <c r="R1166" s="1">
        <v>0</v>
      </c>
      <c r="S1166" s="1">
        <v>100</v>
      </c>
      <c r="T1166" s="1">
        <v>581</v>
      </c>
      <c r="U1166" s="1">
        <v>163</v>
      </c>
      <c r="V1166" s="1">
        <v>56</v>
      </c>
      <c r="W1166" s="1">
        <v>78</v>
      </c>
      <c r="X1166" s="1">
        <v>284</v>
      </c>
      <c r="Y1166" s="1">
        <v>14</v>
      </c>
      <c r="Z1166" s="1">
        <v>22</v>
      </c>
      <c r="AA1166" s="1">
        <v>152</v>
      </c>
      <c r="AB1166" s="1">
        <v>82</v>
      </c>
      <c r="AC1166" s="1">
        <v>0</v>
      </c>
      <c r="AD1166" s="1">
        <v>61</v>
      </c>
      <c r="AE1166" s="1">
        <v>9</v>
      </c>
      <c r="AF1166" s="1">
        <v>447</v>
      </c>
      <c r="AG1166" s="1">
        <v>138</v>
      </c>
      <c r="AH1166" s="1">
        <v>993</v>
      </c>
      <c r="AI1166" s="1">
        <v>0</v>
      </c>
      <c r="AJ1166" s="1">
        <v>101</v>
      </c>
    </row>
    <row r="1167" spans="1:36">
      <c r="A1167" s="58">
        <v>40907</v>
      </c>
      <c r="B1167" s="1">
        <v>10719</v>
      </c>
      <c r="C1167" s="1">
        <v>8479</v>
      </c>
      <c r="D1167" s="21">
        <f t="shared" si="36"/>
        <v>-1.2001864367280355E-2</v>
      </c>
      <c r="E1167" s="1">
        <v>8479</v>
      </c>
      <c r="F1167" s="1">
        <v>0</v>
      </c>
      <c r="G1167" s="1">
        <v>0</v>
      </c>
      <c r="H1167" s="1">
        <v>2252</v>
      </c>
      <c r="I1167" s="21">
        <f t="shared" si="35"/>
        <v>-7.9689415610952191E-2</v>
      </c>
      <c r="J1167" s="1">
        <v>659</v>
      </c>
      <c r="K1167" s="1">
        <v>88</v>
      </c>
      <c r="L1167" s="1">
        <v>0</v>
      </c>
      <c r="M1167" s="1">
        <v>0</v>
      </c>
      <c r="N1167" s="1">
        <v>0</v>
      </c>
      <c r="O1167" s="1">
        <v>88</v>
      </c>
      <c r="P1167" s="1">
        <v>0</v>
      </c>
      <c r="Q1167" s="1">
        <v>0</v>
      </c>
      <c r="R1167" s="1">
        <v>0</v>
      </c>
      <c r="S1167" s="1">
        <v>88</v>
      </c>
      <c r="T1167" s="1">
        <v>571</v>
      </c>
      <c r="U1167" s="1">
        <v>148</v>
      </c>
      <c r="V1167" s="1">
        <v>53</v>
      </c>
      <c r="W1167" s="1">
        <v>91</v>
      </c>
      <c r="X1167" s="1">
        <v>279</v>
      </c>
      <c r="Y1167" s="1">
        <v>13</v>
      </c>
      <c r="Z1167" s="1">
        <v>24</v>
      </c>
      <c r="AA1167" s="1">
        <v>160</v>
      </c>
      <c r="AB1167" s="1">
        <v>78</v>
      </c>
      <c r="AC1167" s="1">
        <v>0</v>
      </c>
      <c r="AD1167" s="1">
        <v>83</v>
      </c>
      <c r="AE1167" s="1">
        <v>0</v>
      </c>
      <c r="AF1167" s="1">
        <v>356</v>
      </c>
      <c r="AG1167" s="1">
        <v>149</v>
      </c>
      <c r="AH1167" s="1">
        <v>892</v>
      </c>
      <c r="AI1167" s="1">
        <v>0</v>
      </c>
      <c r="AJ1167" s="1">
        <v>95</v>
      </c>
    </row>
    <row r="1168" spans="1:36">
      <c r="A1168" s="58">
        <v>40914</v>
      </c>
      <c r="B1168" s="1">
        <v>10874</v>
      </c>
      <c r="C1168" s="1">
        <v>8876</v>
      </c>
      <c r="D1168" s="21">
        <f t="shared" si="36"/>
        <v>4.6821559146125721E-2</v>
      </c>
      <c r="E1168" s="1">
        <v>8876</v>
      </c>
      <c r="F1168" s="1">
        <v>0</v>
      </c>
      <c r="G1168" s="1">
        <v>0</v>
      </c>
      <c r="H1168" s="1">
        <v>2007</v>
      </c>
      <c r="I1168" s="21">
        <f t="shared" si="35"/>
        <v>-0.10879218472468917</v>
      </c>
      <c r="J1168" s="1">
        <v>576</v>
      </c>
      <c r="K1168" s="1">
        <v>67</v>
      </c>
      <c r="L1168" s="1">
        <v>0</v>
      </c>
      <c r="M1168" s="1">
        <v>0</v>
      </c>
      <c r="N1168" s="1">
        <v>0</v>
      </c>
      <c r="O1168" s="1">
        <v>67</v>
      </c>
      <c r="P1168" s="1">
        <v>0</v>
      </c>
      <c r="Q1168" s="1">
        <v>0</v>
      </c>
      <c r="R1168" s="1">
        <v>0</v>
      </c>
      <c r="S1168" s="1">
        <v>67</v>
      </c>
      <c r="T1168" s="1">
        <v>509</v>
      </c>
      <c r="U1168" s="1">
        <v>140</v>
      </c>
      <c r="V1168" s="1">
        <v>58</v>
      </c>
      <c r="W1168" s="1">
        <v>103</v>
      </c>
      <c r="X1168" s="1">
        <v>209</v>
      </c>
      <c r="Y1168" s="1">
        <v>9</v>
      </c>
      <c r="Z1168" s="1">
        <v>23</v>
      </c>
      <c r="AA1168" s="1">
        <v>171</v>
      </c>
      <c r="AB1168" s="1">
        <v>91</v>
      </c>
      <c r="AC1168" s="1">
        <v>0</v>
      </c>
      <c r="AD1168" s="1">
        <v>80</v>
      </c>
      <c r="AE1168" s="1">
        <v>0</v>
      </c>
      <c r="AF1168" s="1">
        <v>275</v>
      </c>
      <c r="AG1168" s="1">
        <v>152</v>
      </c>
      <c r="AH1168" s="1">
        <v>801</v>
      </c>
      <c r="AI1168" s="1">
        <v>0</v>
      </c>
      <c r="AJ1168" s="1">
        <v>63</v>
      </c>
    </row>
    <row r="1169" spans="1:36">
      <c r="A1169" s="58">
        <v>40921</v>
      </c>
      <c r="B1169" s="1">
        <v>10993</v>
      </c>
      <c r="C1169" s="1">
        <v>9047</v>
      </c>
      <c r="D1169" s="21">
        <f t="shared" si="36"/>
        <v>1.9265434880576835E-2</v>
      </c>
      <c r="E1169" s="1">
        <v>9047</v>
      </c>
      <c r="F1169" s="1">
        <v>0</v>
      </c>
      <c r="G1169" s="1">
        <v>0</v>
      </c>
      <c r="H1169" s="1">
        <v>1950</v>
      </c>
      <c r="I1169" s="21">
        <f t="shared" si="35"/>
        <v>-2.8400597907324365E-2</v>
      </c>
      <c r="J1169" s="1">
        <v>564</v>
      </c>
      <c r="K1169" s="1">
        <v>57</v>
      </c>
      <c r="L1169" s="1">
        <v>0</v>
      </c>
      <c r="M1169" s="1">
        <v>0</v>
      </c>
      <c r="N1169" s="1">
        <v>0</v>
      </c>
      <c r="O1169" s="1">
        <v>57</v>
      </c>
      <c r="P1169" s="1">
        <v>0</v>
      </c>
      <c r="Q1169" s="1">
        <v>0</v>
      </c>
      <c r="R1169" s="1">
        <v>0</v>
      </c>
      <c r="S1169" s="1">
        <v>57</v>
      </c>
      <c r="T1169" s="1">
        <v>507</v>
      </c>
      <c r="U1169" s="1">
        <v>137</v>
      </c>
      <c r="V1169" s="1">
        <v>61</v>
      </c>
      <c r="W1169" s="1">
        <v>116</v>
      </c>
      <c r="X1169" s="1">
        <v>194</v>
      </c>
      <c r="Y1169" s="1">
        <v>3</v>
      </c>
      <c r="Z1169" s="1">
        <v>21</v>
      </c>
      <c r="AA1169" s="1">
        <v>194</v>
      </c>
      <c r="AB1169" s="1">
        <v>101</v>
      </c>
      <c r="AC1169" s="1">
        <v>4</v>
      </c>
      <c r="AD1169" s="1">
        <v>89</v>
      </c>
      <c r="AE1169" s="1">
        <v>0</v>
      </c>
      <c r="AF1169" s="1">
        <v>295</v>
      </c>
      <c r="AG1169" s="1">
        <v>151</v>
      </c>
      <c r="AH1169" s="1">
        <v>722</v>
      </c>
      <c r="AI1169" s="1">
        <v>0</v>
      </c>
      <c r="AJ1169" s="1">
        <v>44</v>
      </c>
    </row>
    <row r="1170" spans="1:36">
      <c r="A1170" s="58">
        <v>40928</v>
      </c>
      <c r="B1170" s="1">
        <v>10947</v>
      </c>
      <c r="C1170" s="1">
        <v>9012</v>
      </c>
      <c r="D1170" s="21">
        <f t="shared" si="36"/>
        <v>-3.8686857521830439E-3</v>
      </c>
      <c r="E1170" s="1">
        <v>9012</v>
      </c>
      <c r="F1170" s="1">
        <v>0</v>
      </c>
      <c r="G1170" s="1">
        <v>0</v>
      </c>
      <c r="H1170" s="1">
        <v>1937</v>
      </c>
      <c r="I1170" s="21">
        <f t="shared" si="35"/>
        <v>-6.6666666666666671E-3</v>
      </c>
      <c r="J1170" s="1">
        <v>613</v>
      </c>
      <c r="K1170" s="1">
        <v>41</v>
      </c>
      <c r="L1170" s="1">
        <v>0</v>
      </c>
      <c r="M1170" s="1">
        <v>0</v>
      </c>
      <c r="N1170" s="1">
        <v>0</v>
      </c>
      <c r="O1170" s="1">
        <v>41</v>
      </c>
      <c r="P1170" s="1">
        <v>0</v>
      </c>
      <c r="Q1170" s="1">
        <v>0</v>
      </c>
      <c r="R1170" s="1">
        <v>0</v>
      </c>
      <c r="S1170" s="1">
        <v>41</v>
      </c>
      <c r="T1170" s="1">
        <v>572</v>
      </c>
      <c r="U1170" s="1">
        <v>147</v>
      </c>
      <c r="V1170" s="1">
        <v>58</v>
      </c>
      <c r="W1170" s="1">
        <v>127</v>
      </c>
      <c r="X1170" s="1">
        <v>241</v>
      </c>
      <c r="Y1170" s="1">
        <v>3</v>
      </c>
      <c r="Z1170" s="1">
        <v>12</v>
      </c>
      <c r="AA1170" s="1">
        <v>189</v>
      </c>
      <c r="AB1170" s="1">
        <v>100</v>
      </c>
      <c r="AC1170" s="1">
        <v>4</v>
      </c>
      <c r="AD1170" s="1">
        <v>86</v>
      </c>
      <c r="AE1170" s="1">
        <v>0</v>
      </c>
      <c r="AF1170" s="1">
        <v>256</v>
      </c>
      <c r="AG1170" s="1">
        <v>134</v>
      </c>
      <c r="AH1170" s="1">
        <v>730</v>
      </c>
      <c r="AI1170" s="1">
        <v>0</v>
      </c>
      <c r="AJ1170" s="1">
        <v>77</v>
      </c>
    </row>
    <row r="1171" spans="1:36">
      <c r="A1171" s="58">
        <v>40935</v>
      </c>
      <c r="B1171" s="1">
        <v>11050</v>
      </c>
      <c r="C1171" s="1">
        <v>8976</v>
      </c>
      <c r="D1171" s="21">
        <f t="shared" si="36"/>
        <v>-3.9946737683089215E-3</v>
      </c>
      <c r="E1171" s="1">
        <v>8976</v>
      </c>
      <c r="F1171" s="1">
        <v>0</v>
      </c>
      <c r="G1171" s="1">
        <v>0</v>
      </c>
      <c r="H1171" s="1">
        <v>2076</v>
      </c>
      <c r="I1171" s="21">
        <f t="shared" si="35"/>
        <v>7.1760454310789881E-2</v>
      </c>
      <c r="J1171" s="1">
        <v>691</v>
      </c>
      <c r="K1171" s="1">
        <v>86</v>
      </c>
      <c r="L1171" s="1">
        <v>0</v>
      </c>
      <c r="M1171" s="1">
        <v>0</v>
      </c>
      <c r="N1171" s="1">
        <v>0</v>
      </c>
      <c r="O1171" s="1">
        <v>86</v>
      </c>
      <c r="P1171" s="1">
        <v>0</v>
      </c>
      <c r="Q1171" s="1">
        <v>0</v>
      </c>
      <c r="R1171" s="1">
        <v>0</v>
      </c>
      <c r="S1171" s="1">
        <v>86</v>
      </c>
      <c r="T1171" s="1">
        <v>605</v>
      </c>
      <c r="U1171" s="1">
        <v>138</v>
      </c>
      <c r="V1171" s="1">
        <v>61</v>
      </c>
      <c r="W1171" s="1">
        <v>111</v>
      </c>
      <c r="X1171" s="1">
        <v>294</v>
      </c>
      <c r="Y1171" s="1">
        <v>1</v>
      </c>
      <c r="Z1171" s="1">
        <v>5</v>
      </c>
      <c r="AA1171" s="1">
        <v>180</v>
      </c>
      <c r="AB1171" s="1">
        <v>104</v>
      </c>
      <c r="AC1171" s="1">
        <v>4</v>
      </c>
      <c r="AD1171" s="1">
        <v>73</v>
      </c>
      <c r="AE1171" s="1">
        <v>0</v>
      </c>
      <c r="AF1171" s="1">
        <v>297</v>
      </c>
      <c r="AG1171" s="1">
        <v>123</v>
      </c>
      <c r="AH1171" s="1">
        <v>778</v>
      </c>
      <c r="AI1171" s="1">
        <v>0</v>
      </c>
      <c r="AJ1171" s="1">
        <v>93</v>
      </c>
    </row>
    <row r="1172" spans="1:36">
      <c r="A1172" s="58">
        <v>40942</v>
      </c>
      <c r="B1172" s="1">
        <v>10748</v>
      </c>
      <c r="C1172" s="1">
        <v>8603</v>
      </c>
      <c r="D1172" s="21">
        <f t="shared" si="36"/>
        <v>-4.1555258467023175E-2</v>
      </c>
      <c r="E1172" s="1">
        <v>8603</v>
      </c>
      <c r="F1172" s="1">
        <v>0</v>
      </c>
      <c r="G1172" s="1">
        <v>0</v>
      </c>
      <c r="H1172" s="1">
        <v>2147</v>
      </c>
      <c r="I1172" s="21">
        <f t="shared" si="35"/>
        <v>3.420038535645472E-2</v>
      </c>
      <c r="J1172" s="1">
        <v>759</v>
      </c>
      <c r="K1172" s="1">
        <v>101</v>
      </c>
      <c r="L1172" s="1">
        <v>0</v>
      </c>
      <c r="M1172" s="1">
        <v>0</v>
      </c>
      <c r="N1172" s="1">
        <v>0</v>
      </c>
      <c r="O1172" s="1">
        <v>101</v>
      </c>
      <c r="P1172" s="1">
        <v>1</v>
      </c>
      <c r="Q1172" s="1">
        <v>1</v>
      </c>
      <c r="R1172" s="1">
        <v>0</v>
      </c>
      <c r="S1172" s="1">
        <v>100</v>
      </c>
      <c r="T1172" s="1">
        <v>658</v>
      </c>
      <c r="U1172" s="1">
        <v>152</v>
      </c>
      <c r="V1172" s="1">
        <v>46</v>
      </c>
      <c r="W1172" s="1">
        <v>103</v>
      </c>
      <c r="X1172" s="1">
        <v>357</v>
      </c>
      <c r="Y1172" s="1">
        <v>1</v>
      </c>
      <c r="Z1172" s="1">
        <v>4</v>
      </c>
      <c r="AA1172" s="1">
        <v>167</v>
      </c>
      <c r="AB1172" s="1">
        <v>90</v>
      </c>
      <c r="AC1172" s="1">
        <v>4</v>
      </c>
      <c r="AD1172" s="1">
        <v>74</v>
      </c>
      <c r="AE1172" s="1">
        <v>0</v>
      </c>
      <c r="AF1172" s="1">
        <v>315</v>
      </c>
      <c r="AG1172" s="1">
        <v>129</v>
      </c>
      <c r="AH1172" s="1">
        <v>771</v>
      </c>
      <c r="AI1172" s="1">
        <v>0</v>
      </c>
      <c r="AJ1172" s="1">
        <v>74</v>
      </c>
    </row>
    <row r="1173" spans="1:36">
      <c r="A1173" s="58">
        <v>40949</v>
      </c>
      <c r="B1173" s="1">
        <v>10867</v>
      </c>
      <c r="C1173" s="1">
        <v>8726</v>
      </c>
      <c r="D1173" s="21">
        <f t="shared" si="36"/>
        <v>1.4297338137858887E-2</v>
      </c>
      <c r="E1173" s="1">
        <v>8726</v>
      </c>
      <c r="F1173" s="1">
        <v>0</v>
      </c>
      <c r="G1173" s="1">
        <v>0</v>
      </c>
      <c r="H1173" s="1">
        <v>2143</v>
      </c>
      <c r="I1173" s="21">
        <f t="shared" si="35"/>
        <v>-1.8630647414997672E-3</v>
      </c>
      <c r="J1173" s="1">
        <v>757</v>
      </c>
      <c r="K1173" s="1">
        <v>98</v>
      </c>
      <c r="L1173" s="1">
        <v>0</v>
      </c>
      <c r="M1173" s="1">
        <v>0</v>
      </c>
      <c r="N1173" s="1">
        <v>0</v>
      </c>
      <c r="O1173" s="1">
        <v>98</v>
      </c>
      <c r="P1173" s="1">
        <v>0</v>
      </c>
      <c r="Q1173" s="1">
        <v>0</v>
      </c>
      <c r="R1173" s="1">
        <v>0</v>
      </c>
      <c r="S1173" s="1">
        <v>98</v>
      </c>
      <c r="T1173" s="1">
        <v>659</v>
      </c>
      <c r="U1173" s="1">
        <v>172</v>
      </c>
      <c r="V1173" s="1">
        <v>41</v>
      </c>
      <c r="W1173" s="1">
        <v>90</v>
      </c>
      <c r="X1173" s="1">
        <v>356</v>
      </c>
      <c r="Y1173" s="1">
        <v>1</v>
      </c>
      <c r="Z1173" s="1">
        <v>26</v>
      </c>
      <c r="AA1173" s="1">
        <v>145</v>
      </c>
      <c r="AB1173" s="1">
        <v>71</v>
      </c>
      <c r="AC1173" s="1">
        <v>0</v>
      </c>
      <c r="AD1173" s="1">
        <v>74</v>
      </c>
      <c r="AE1173" s="1">
        <v>0</v>
      </c>
      <c r="AF1173" s="1">
        <v>285</v>
      </c>
      <c r="AG1173" s="1">
        <v>131</v>
      </c>
      <c r="AH1173" s="1">
        <v>796</v>
      </c>
      <c r="AI1173" s="1">
        <v>0</v>
      </c>
      <c r="AJ1173" s="1">
        <v>87</v>
      </c>
    </row>
    <row r="1174" spans="1:36">
      <c r="A1174" s="58">
        <v>40956</v>
      </c>
      <c r="B1174" s="1">
        <v>10900</v>
      </c>
      <c r="C1174" s="1">
        <v>8785</v>
      </c>
      <c r="D1174" s="21">
        <f t="shared" si="36"/>
        <v>6.7614027045610819E-3</v>
      </c>
      <c r="E1174" s="1">
        <v>8785</v>
      </c>
      <c r="F1174" s="1">
        <v>0</v>
      </c>
      <c r="G1174" s="1">
        <v>0</v>
      </c>
      <c r="H1174" s="1">
        <v>2117</v>
      </c>
      <c r="I1174" s="21">
        <f t="shared" si="35"/>
        <v>-1.2132524498366775E-2</v>
      </c>
      <c r="J1174" s="1">
        <v>788</v>
      </c>
      <c r="K1174" s="1">
        <v>96</v>
      </c>
      <c r="L1174" s="1">
        <v>0</v>
      </c>
      <c r="M1174" s="1">
        <v>0</v>
      </c>
      <c r="N1174" s="1">
        <v>0</v>
      </c>
      <c r="O1174" s="1">
        <v>96</v>
      </c>
      <c r="P1174" s="1">
        <v>0</v>
      </c>
      <c r="Q1174" s="1">
        <v>0</v>
      </c>
      <c r="R1174" s="1">
        <v>0</v>
      </c>
      <c r="S1174" s="1">
        <v>96</v>
      </c>
      <c r="T1174" s="1">
        <v>692</v>
      </c>
      <c r="U1174" s="1">
        <v>145</v>
      </c>
      <c r="V1174" s="1">
        <v>26</v>
      </c>
      <c r="W1174" s="1">
        <v>100</v>
      </c>
      <c r="X1174" s="1">
        <v>421</v>
      </c>
      <c r="Y1174" s="1">
        <v>1</v>
      </c>
      <c r="Z1174" s="1">
        <v>32</v>
      </c>
      <c r="AA1174" s="1">
        <v>139</v>
      </c>
      <c r="AB1174" s="1">
        <v>65</v>
      </c>
      <c r="AC1174" s="1">
        <v>0</v>
      </c>
      <c r="AD1174" s="1">
        <v>74</v>
      </c>
      <c r="AE1174" s="1">
        <v>0</v>
      </c>
      <c r="AF1174" s="1">
        <v>302</v>
      </c>
      <c r="AG1174" s="1">
        <v>132</v>
      </c>
      <c r="AH1174" s="1">
        <v>721</v>
      </c>
      <c r="AI1174" s="1">
        <v>0</v>
      </c>
      <c r="AJ1174" s="1">
        <v>54</v>
      </c>
    </row>
    <row r="1175" spans="1:36">
      <c r="A1175" s="58">
        <v>40963</v>
      </c>
      <c r="B1175" s="1">
        <v>10794</v>
      </c>
      <c r="C1175" s="1">
        <v>8862</v>
      </c>
      <c r="D1175" s="21">
        <f t="shared" si="36"/>
        <v>8.7649402390438252E-3</v>
      </c>
      <c r="E1175" s="1">
        <v>8862</v>
      </c>
      <c r="F1175" s="1">
        <v>0</v>
      </c>
      <c r="G1175" s="1">
        <v>0</v>
      </c>
      <c r="H1175" s="1">
        <v>1933</v>
      </c>
      <c r="I1175" s="21">
        <f t="shared" si="35"/>
        <v>-8.6915446386395839E-2</v>
      </c>
      <c r="J1175" s="1">
        <v>677</v>
      </c>
      <c r="K1175" s="1">
        <v>50</v>
      </c>
      <c r="L1175" s="1">
        <v>0</v>
      </c>
      <c r="M1175" s="1">
        <v>0</v>
      </c>
      <c r="N1175" s="1">
        <v>0</v>
      </c>
      <c r="O1175" s="1">
        <v>50</v>
      </c>
      <c r="P1175" s="1">
        <v>0</v>
      </c>
      <c r="Q1175" s="1">
        <v>0</v>
      </c>
      <c r="R1175" s="1">
        <v>0</v>
      </c>
      <c r="S1175" s="1">
        <v>50</v>
      </c>
      <c r="T1175" s="1">
        <v>627</v>
      </c>
      <c r="U1175" s="1">
        <v>131</v>
      </c>
      <c r="V1175" s="1">
        <v>10</v>
      </c>
      <c r="W1175" s="1">
        <v>92</v>
      </c>
      <c r="X1175" s="1">
        <v>393</v>
      </c>
      <c r="Y1175" s="1">
        <v>0</v>
      </c>
      <c r="Z1175" s="1">
        <v>43</v>
      </c>
      <c r="AA1175" s="1">
        <v>145</v>
      </c>
      <c r="AB1175" s="1">
        <v>67</v>
      </c>
      <c r="AC1175" s="1">
        <v>8</v>
      </c>
      <c r="AD1175" s="1">
        <v>71</v>
      </c>
      <c r="AE1175" s="1">
        <v>0</v>
      </c>
      <c r="AF1175" s="1">
        <v>241</v>
      </c>
      <c r="AG1175" s="1">
        <v>136</v>
      </c>
      <c r="AH1175" s="1">
        <v>690</v>
      </c>
      <c r="AI1175" s="1">
        <v>0</v>
      </c>
      <c r="AJ1175" s="1">
        <v>35</v>
      </c>
    </row>
    <row r="1176" spans="1:36">
      <c r="A1176" s="58">
        <v>40970</v>
      </c>
      <c r="B1176" s="1">
        <v>10795</v>
      </c>
      <c r="C1176" s="1">
        <v>8937</v>
      </c>
      <c r="D1176" s="21">
        <f t="shared" si="36"/>
        <v>8.4631008801624909E-3</v>
      </c>
      <c r="E1176" s="1">
        <v>8937</v>
      </c>
      <c r="F1176" s="1">
        <v>0</v>
      </c>
      <c r="G1176" s="1">
        <v>0</v>
      </c>
      <c r="H1176" s="1">
        <v>1859</v>
      </c>
      <c r="I1176" s="21">
        <f t="shared" si="35"/>
        <v>-3.828246249353337E-2</v>
      </c>
      <c r="J1176" s="1">
        <v>642</v>
      </c>
      <c r="K1176" s="1">
        <v>60</v>
      </c>
      <c r="L1176" s="1">
        <v>0</v>
      </c>
      <c r="M1176" s="1">
        <v>0</v>
      </c>
      <c r="N1176" s="1">
        <v>0</v>
      </c>
      <c r="O1176" s="1">
        <v>60</v>
      </c>
      <c r="P1176" s="1">
        <v>0</v>
      </c>
      <c r="Q1176" s="1">
        <v>0</v>
      </c>
      <c r="R1176" s="1">
        <v>0</v>
      </c>
      <c r="S1176" s="1">
        <v>60</v>
      </c>
      <c r="T1176" s="1">
        <v>582</v>
      </c>
      <c r="U1176" s="1">
        <v>125</v>
      </c>
      <c r="V1176" s="1">
        <v>24</v>
      </c>
      <c r="W1176" s="1">
        <v>103</v>
      </c>
      <c r="X1176" s="1">
        <v>329</v>
      </c>
      <c r="Y1176" s="1">
        <v>0</v>
      </c>
      <c r="Z1176" s="1">
        <v>51</v>
      </c>
      <c r="AA1176" s="1">
        <v>160</v>
      </c>
      <c r="AB1176" s="1">
        <v>67</v>
      </c>
      <c r="AC1176" s="1">
        <v>18</v>
      </c>
      <c r="AD1176" s="1">
        <v>75</v>
      </c>
      <c r="AE1176" s="1">
        <v>0</v>
      </c>
      <c r="AF1176" s="1">
        <v>204</v>
      </c>
      <c r="AG1176" s="1">
        <v>132</v>
      </c>
      <c r="AH1176" s="1">
        <v>670</v>
      </c>
      <c r="AI1176" s="1">
        <v>0</v>
      </c>
      <c r="AJ1176" s="1">
        <v>50</v>
      </c>
    </row>
    <row r="1177" spans="1:36">
      <c r="A1177" s="58">
        <v>40977</v>
      </c>
      <c r="B1177" s="1">
        <v>10761</v>
      </c>
      <c r="C1177" s="1">
        <v>8927</v>
      </c>
      <c r="D1177" s="21">
        <f t="shared" si="36"/>
        <v>-1.1189437171310282E-3</v>
      </c>
      <c r="E1177" s="1">
        <v>8927</v>
      </c>
      <c r="F1177" s="1">
        <v>0</v>
      </c>
      <c r="G1177" s="1">
        <v>0</v>
      </c>
      <c r="H1177" s="1">
        <v>1838</v>
      </c>
      <c r="I1177" s="21">
        <f t="shared" si="35"/>
        <v>-1.1296395911780527E-2</v>
      </c>
      <c r="J1177" s="1">
        <v>638</v>
      </c>
      <c r="K1177" s="1">
        <v>56</v>
      </c>
      <c r="L1177" s="1">
        <v>0</v>
      </c>
      <c r="M1177" s="1">
        <v>0</v>
      </c>
      <c r="N1177" s="1">
        <v>0</v>
      </c>
      <c r="O1177" s="1">
        <v>56</v>
      </c>
      <c r="P1177" s="1">
        <v>0</v>
      </c>
      <c r="Q1177" s="1">
        <v>0</v>
      </c>
      <c r="R1177" s="1">
        <v>0</v>
      </c>
      <c r="S1177" s="1">
        <v>56</v>
      </c>
      <c r="T1177" s="1">
        <v>582</v>
      </c>
      <c r="U1177" s="1">
        <v>90</v>
      </c>
      <c r="V1177" s="1">
        <v>36</v>
      </c>
      <c r="W1177" s="1">
        <v>94</v>
      </c>
      <c r="X1177" s="1">
        <v>362</v>
      </c>
      <c r="Y1177" s="1">
        <v>3</v>
      </c>
      <c r="Z1177" s="1">
        <v>30</v>
      </c>
      <c r="AA1177" s="1">
        <v>163</v>
      </c>
      <c r="AB1177" s="1">
        <v>76</v>
      </c>
      <c r="AC1177" s="1">
        <v>18</v>
      </c>
      <c r="AD1177" s="1">
        <v>68</v>
      </c>
      <c r="AE1177" s="1">
        <v>0</v>
      </c>
      <c r="AF1177" s="1">
        <v>224</v>
      </c>
      <c r="AG1177" s="1">
        <v>129</v>
      </c>
      <c r="AH1177" s="1">
        <v>651</v>
      </c>
      <c r="AI1177" s="1">
        <v>0</v>
      </c>
      <c r="AJ1177" s="1">
        <v>49</v>
      </c>
    </row>
    <row r="1178" spans="1:36">
      <c r="A1178" s="58">
        <v>40984</v>
      </c>
      <c r="B1178" s="1">
        <v>10477</v>
      </c>
      <c r="C1178" s="1">
        <v>8710</v>
      </c>
      <c r="D1178" s="21">
        <f t="shared" si="36"/>
        <v>-2.4308278256973227E-2</v>
      </c>
      <c r="E1178" s="1">
        <v>8710</v>
      </c>
      <c r="F1178" s="1">
        <v>0</v>
      </c>
      <c r="G1178" s="1">
        <v>0</v>
      </c>
      <c r="H1178" s="1">
        <v>1771</v>
      </c>
      <c r="I1178" s="21">
        <f t="shared" ref="I1178:I1200" si="37">(H1178-H1177)/H1177</f>
        <v>-3.6452665941240477E-2</v>
      </c>
      <c r="J1178" s="1">
        <v>585</v>
      </c>
      <c r="K1178" s="1">
        <v>64</v>
      </c>
      <c r="L1178" s="1">
        <v>0</v>
      </c>
      <c r="M1178" s="1">
        <v>0</v>
      </c>
      <c r="N1178" s="1">
        <v>0</v>
      </c>
      <c r="O1178" s="1">
        <v>64</v>
      </c>
      <c r="P1178" s="1">
        <v>0</v>
      </c>
      <c r="Q1178" s="1">
        <v>0</v>
      </c>
      <c r="R1178" s="1">
        <v>0</v>
      </c>
      <c r="S1178" s="1">
        <v>64</v>
      </c>
      <c r="T1178" s="1">
        <v>521</v>
      </c>
      <c r="U1178" s="1">
        <v>93</v>
      </c>
      <c r="V1178" s="1">
        <v>40</v>
      </c>
      <c r="W1178" s="1">
        <v>95</v>
      </c>
      <c r="X1178" s="1">
        <v>293</v>
      </c>
      <c r="Y1178" s="1">
        <v>3</v>
      </c>
      <c r="Z1178" s="1">
        <v>24</v>
      </c>
      <c r="AA1178" s="1">
        <v>176</v>
      </c>
      <c r="AB1178" s="1">
        <v>92</v>
      </c>
      <c r="AC1178" s="1">
        <v>18</v>
      </c>
      <c r="AD1178" s="1">
        <v>66</v>
      </c>
      <c r="AE1178" s="1">
        <v>0</v>
      </c>
      <c r="AF1178" s="1">
        <v>211</v>
      </c>
      <c r="AG1178" s="1">
        <v>122</v>
      </c>
      <c r="AH1178" s="1">
        <v>651</v>
      </c>
      <c r="AI1178" s="1">
        <v>0</v>
      </c>
      <c r="AJ1178" s="1">
        <v>48</v>
      </c>
    </row>
    <row r="1179" spans="1:36">
      <c r="A1179" s="58">
        <v>40991</v>
      </c>
      <c r="B1179" s="1">
        <v>10512</v>
      </c>
      <c r="C1179" s="1">
        <v>8730</v>
      </c>
      <c r="D1179" s="21">
        <f t="shared" si="36"/>
        <v>2.2962112514351321E-3</v>
      </c>
      <c r="E1179" s="1">
        <v>8730</v>
      </c>
      <c r="F1179" s="1">
        <v>0</v>
      </c>
      <c r="G1179" s="1">
        <v>0</v>
      </c>
      <c r="H1179" s="1">
        <v>1791</v>
      </c>
      <c r="I1179" s="21">
        <f t="shared" si="37"/>
        <v>1.129305477131564E-2</v>
      </c>
      <c r="J1179" s="1">
        <v>576</v>
      </c>
      <c r="K1179" s="1">
        <v>71</v>
      </c>
      <c r="L1179" s="1">
        <v>0</v>
      </c>
      <c r="M1179" s="1">
        <v>0</v>
      </c>
      <c r="N1179" s="1">
        <v>0</v>
      </c>
      <c r="O1179" s="1">
        <v>71</v>
      </c>
      <c r="P1179" s="1">
        <v>0</v>
      </c>
      <c r="Q1179" s="1">
        <v>0</v>
      </c>
      <c r="R1179" s="1">
        <v>0</v>
      </c>
      <c r="S1179" s="1">
        <v>71</v>
      </c>
      <c r="T1179" s="1">
        <v>505</v>
      </c>
      <c r="U1179" s="1">
        <v>92</v>
      </c>
      <c r="V1179" s="1">
        <v>46</v>
      </c>
      <c r="W1179" s="1">
        <v>95</v>
      </c>
      <c r="X1179" s="1">
        <v>273</v>
      </c>
      <c r="Y1179" s="1">
        <v>8</v>
      </c>
      <c r="Z1179" s="1">
        <v>12</v>
      </c>
      <c r="AA1179" s="1">
        <v>163</v>
      </c>
      <c r="AB1179" s="1">
        <v>87</v>
      </c>
      <c r="AC1179" s="1">
        <v>14</v>
      </c>
      <c r="AD1179" s="1">
        <v>61</v>
      </c>
      <c r="AE1179" s="1">
        <v>0</v>
      </c>
      <c r="AF1179" s="1">
        <v>223</v>
      </c>
      <c r="AG1179" s="1">
        <v>127</v>
      </c>
      <c r="AH1179" s="1">
        <v>681</v>
      </c>
      <c r="AI1179" s="1">
        <v>0</v>
      </c>
      <c r="AJ1179" s="1">
        <v>48</v>
      </c>
    </row>
    <row r="1180" spans="1:36">
      <c r="A1180" s="58">
        <v>40998</v>
      </c>
      <c r="B1180" s="1">
        <v>10837</v>
      </c>
      <c r="C1180" s="1">
        <v>8996</v>
      </c>
      <c r="D1180" s="21">
        <f t="shared" si="36"/>
        <v>3.0469644902634593E-2</v>
      </c>
      <c r="E1180" s="1">
        <v>8996</v>
      </c>
      <c r="F1180" s="1">
        <v>0</v>
      </c>
      <c r="G1180" s="1">
        <v>0</v>
      </c>
      <c r="H1180" s="1">
        <v>1852</v>
      </c>
      <c r="I1180" s="21">
        <f t="shared" si="37"/>
        <v>3.4059184812953655E-2</v>
      </c>
      <c r="J1180" s="1">
        <v>653</v>
      </c>
      <c r="K1180" s="1">
        <v>84</v>
      </c>
      <c r="L1180" s="1">
        <v>0</v>
      </c>
      <c r="M1180" s="1">
        <v>0</v>
      </c>
      <c r="N1180" s="1">
        <v>0</v>
      </c>
      <c r="O1180" s="1">
        <v>84</v>
      </c>
      <c r="P1180" s="1">
        <v>0</v>
      </c>
      <c r="Q1180" s="1">
        <v>0</v>
      </c>
      <c r="R1180" s="1">
        <v>0</v>
      </c>
      <c r="S1180" s="1">
        <v>84</v>
      </c>
      <c r="T1180" s="1">
        <v>569</v>
      </c>
      <c r="U1180" s="1">
        <v>102</v>
      </c>
      <c r="V1180" s="1">
        <v>44</v>
      </c>
      <c r="W1180" s="1">
        <v>98</v>
      </c>
      <c r="X1180" s="1">
        <v>325</v>
      </c>
      <c r="Y1180" s="1">
        <v>10</v>
      </c>
      <c r="Z1180" s="1">
        <v>17</v>
      </c>
      <c r="AA1180" s="1">
        <v>176</v>
      </c>
      <c r="AB1180" s="1">
        <v>127</v>
      </c>
      <c r="AC1180" s="1">
        <v>5</v>
      </c>
      <c r="AD1180" s="1">
        <v>44</v>
      </c>
      <c r="AE1180" s="1">
        <v>0</v>
      </c>
      <c r="AF1180" s="1">
        <v>255</v>
      </c>
      <c r="AG1180" s="1">
        <v>113</v>
      </c>
      <c r="AH1180" s="1">
        <v>626</v>
      </c>
      <c r="AI1180" s="1">
        <v>0</v>
      </c>
      <c r="AJ1180" s="1">
        <v>32</v>
      </c>
    </row>
    <row r="1181" spans="1:36">
      <c r="A1181" s="58">
        <v>41005</v>
      </c>
      <c r="B1181" s="1">
        <v>10806</v>
      </c>
      <c r="C1181" s="1">
        <v>8947</v>
      </c>
      <c r="D1181" s="21">
        <f t="shared" ref="D1181:D1200" si="38">(C1181-C1180)/C1180</f>
        <v>-5.4468652734548685E-3</v>
      </c>
      <c r="E1181" s="1">
        <v>8947</v>
      </c>
      <c r="F1181" s="1">
        <v>0</v>
      </c>
      <c r="G1181" s="1">
        <v>0</v>
      </c>
      <c r="H1181" s="1">
        <v>1866</v>
      </c>
      <c r="I1181" s="21">
        <f t="shared" si="37"/>
        <v>7.5593952483801298E-3</v>
      </c>
      <c r="J1181" s="1">
        <v>696</v>
      </c>
      <c r="K1181" s="1">
        <v>86</v>
      </c>
      <c r="L1181" s="1">
        <v>0</v>
      </c>
      <c r="M1181" s="1">
        <v>0</v>
      </c>
      <c r="N1181" s="1">
        <v>0</v>
      </c>
      <c r="O1181" s="1">
        <v>86</v>
      </c>
      <c r="P1181" s="1">
        <v>0</v>
      </c>
      <c r="Q1181" s="1">
        <v>0</v>
      </c>
      <c r="R1181" s="1">
        <v>0</v>
      </c>
      <c r="S1181" s="1">
        <v>86</v>
      </c>
      <c r="T1181" s="1">
        <v>610</v>
      </c>
      <c r="U1181" s="1">
        <v>96</v>
      </c>
      <c r="V1181" s="1">
        <v>38</v>
      </c>
      <c r="W1181" s="1">
        <v>97</v>
      </c>
      <c r="X1181" s="1">
        <v>379</v>
      </c>
      <c r="Y1181" s="1">
        <v>7</v>
      </c>
      <c r="Z1181" s="1">
        <v>19</v>
      </c>
      <c r="AA1181" s="1">
        <v>157</v>
      </c>
      <c r="AB1181" s="1">
        <v>120</v>
      </c>
      <c r="AC1181" s="1">
        <v>5</v>
      </c>
      <c r="AD1181" s="1">
        <v>33</v>
      </c>
      <c r="AE1181" s="1">
        <v>0</v>
      </c>
      <c r="AF1181" s="1">
        <v>260</v>
      </c>
      <c r="AG1181" s="1">
        <v>99</v>
      </c>
      <c r="AH1181" s="1">
        <v>628</v>
      </c>
      <c r="AI1181" s="1">
        <v>0</v>
      </c>
      <c r="AJ1181" s="1">
        <v>33</v>
      </c>
    </row>
    <row r="1182" spans="1:36">
      <c r="A1182" s="58">
        <v>41012</v>
      </c>
      <c r="B1182" s="1">
        <v>10886</v>
      </c>
      <c r="C1182" s="1">
        <v>9071</v>
      </c>
      <c r="D1182" s="21">
        <f t="shared" si="38"/>
        <v>1.3859394210349837E-2</v>
      </c>
      <c r="E1182" s="1">
        <v>9071</v>
      </c>
      <c r="F1182" s="1">
        <v>0</v>
      </c>
      <c r="G1182" s="1">
        <v>0</v>
      </c>
      <c r="H1182" s="1">
        <v>1828</v>
      </c>
      <c r="I1182" s="21">
        <f t="shared" si="37"/>
        <v>-2.0364415862808145E-2</v>
      </c>
      <c r="J1182" s="1">
        <v>645</v>
      </c>
      <c r="K1182" s="1">
        <v>69</v>
      </c>
      <c r="L1182" s="1">
        <v>0</v>
      </c>
      <c r="M1182" s="1">
        <v>0</v>
      </c>
      <c r="N1182" s="1">
        <v>0</v>
      </c>
      <c r="O1182" s="1">
        <v>69</v>
      </c>
      <c r="P1182" s="1">
        <v>0</v>
      </c>
      <c r="Q1182" s="1">
        <v>0</v>
      </c>
      <c r="R1182" s="1">
        <v>0</v>
      </c>
      <c r="S1182" s="1">
        <v>69</v>
      </c>
      <c r="T1182" s="1">
        <v>576</v>
      </c>
      <c r="U1182" s="1">
        <v>78</v>
      </c>
      <c r="V1182" s="1">
        <v>45</v>
      </c>
      <c r="W1182" s="1">
        <v>66</v>
      </c>
      <c r="X1182" s="1">
        <v>387</v>
      </c>
      <c r="Y1182" s="1">
        <v>12</v>
      </c>
      <c r="Z1182" s="1">
        <v>43</v>
      </c>
      <c r="AA1182" s="1">
        <v>143</v>
      </c>
      <c r="AB1182" s="1">
        <v>117</v>
      </c>
      <c r="AC1182" s="1">
        <v>5</v>
      </c>
      <c r="AD1182" s="1">
        <v>22</v>
      </c>
      <c r="AE1182" s="1">
        <v>0</v>
      </c>
      <c r="AF1182" s="1">
        <v>246</v>
      </c>
      <c r="AG1182" s="1">
        <v>89</v>
      </c>
      <c r="AH1182" s="1">
        <v>650</v>
      </c>
      <c r="AI1182" s="1">
        <v>0</v>
      </c>
      <c r="AJ1182" s="1">
        <v>37</v>
      </c>
    </row>
    <row r="1183" spans="1:36">
      <c r="A1183" s="58">
        <v>41019</v>
      </c>
      <c r="B1183" s="1">
        <v>10785</v>
      </c>
      <c r="C1183" s="1">
        <v>8945</v>
      </c>
      <c r="D1183" s="21">
        <f t="shared" si="38"/>
        <v>-1.3890420019843457E-2</v>
      </c>
      <c r="E1183" s="1">
        <v>8945</v>
      </c>
      <c r="F1183" s="1">
        <v>0</v>
      </c>
      <c r="G1183" s="1">
        <v>0</v>
      </c>
      <c r="H1183" s="1">
        <v>1850</v>
      </c>
      <c r="I1183" s="21">
        <f t="shared" si="37"/>
        <v>1.2035010940919038E-2</v>
      </c>
      <c r="J1183" s="1">
        <v>659</v>
      </c>
      <c r="K1183" s="1">
        <v>74</v>
      </c>
      <c r="L1183" s="1">
        <v>0</v>
      </c>
      <c r="M1183" s="1">
        <v>0</v>
      </c>
      <c r="N1183" s="1">
        <v>0</v>
      </c>
      <c r="O1183" s="1">
        <v>74</v>
      </c>
      <c r="P1183" s="1">
        <v>0</v>
      </c>
      <c r="Q1183" s="1">
        <v>0</v>
      </c>
      <c r="R1183" s="1">
        <v>0</v>
      </c>
      <c r="S1183" s="1">
        <v>74</v>
      </c>
      <c r="T1183" s="1">
        <v>585</v>
      </c>
      <c r="U1183" s="1">
        <v>71</v>
      </c>
      <c r="V1183" s="1">
        <v>51</v>
      </c>
      <c r="W1183" s="1">
        <v>96</v>
      </c>
      <c r="X1183" s="1">
        <v>368</v>
      </c>
      <c r="Y1183" s="1">
        <v>10</v>
      </c>
      <c r="Z1183" s="1">
        <v>44</v>
      </c>
      <c r="AA1183" s="1">
        <v>129</v>
      </c>
      <c r="AB1183" s="1">
        <v>114</v>
      </c>
      <c r="AC1183" s="1">
        <v>0</v>
      </c>
      <c r="AD1183" s="1">
        <v>14</v>
      </c>
      <c r="AE1183" s="1">
        <v>0</v>
      </c>
      <c r="AF1183" s="1">
        <v>248</v>
      </c>
      <c r="AG1183" s="1">
        <v>64</v>
      </c>
      <c r="AH1183" s="1">
        <v>696</v>
      </c>
      <c r="AI1183" s="1">
        <v>0</v>
      </c>
      <c r="AJ1183" s="1">
        <v>56</v>
      </c>
    </row>
    <row r="1184" spans="1:36">
      <c r="A1184" s="58">
        <v>41026</v>
      </c>
      <c r="B1184" s="1">
        <v>10492</v>
      </c>
      <c r="C1184" s="1">
        <v>8707</v>
      </c>
      <c r="D1184" s="21">
        <f t="shared" si="38"/>
        <v>-2.6607043040804919E-2</v>
      </c>
      <c r="E1184" s="1">
        <v>8707</v>
      </c>
      <c r="F1184" s="1">
        <v>0</v>
      </c>
      <c r="G1184" s="1">
        <v>0</v>
      </c>
      <c r="H1184" s="1">
        <v>1793</v>
      </c>
      <c r="I1184" s="21">
        <f t="shared" si="37"/>
        <v>-3.0810810810810812E-2</v>
      </c>
      <c r="J1184" s="1">
        <v>632</v>
      </c>
      <c r="K1184" s="1">
        <v>60</v>
      </c>
      <c r="L1184" s="1">
        <v>0</v>
      </c>
      <c r="M1184" s="1">
        <v>0</v>
      </c>
      <c r="N1184" s="1">
        <v>0</v>
      </c>
      <c r="O1184" s="1">
        <v>60</v>
      </c>
      <c r="P1184" s="1">
        <v>0</v>
      </c>
      <c r="Q1184" s="1">
        <v>0</v>
      </c>
      <c r="R1184" s="1">
        <v>0</v>
      </c>
      <c r="S1184" s="1">
        <v>60</v>
      </c>
      <c r="T1184" s="1">
        <v>571</v>
      </c>
      <c r="U1184" s="1">
        <v>84</v>
      </c>
      <c r="V1184" s="1">
        <v>52</v>
      </c>
      <c r="W1184" s="1">
        <v>93</v>
      </c>
      <c r="X1184" s="1">
        <v>342</v>
      </c>
      <c r="Y1184" s="1">
        <v>8</v>
      </c>
      <c r="Z1184" s="1">
        <v>33</v>
      </c>
      <c r="AA1184" s="1">
        <v>95</v>
      </c>
      <c r="AB1184" s="1">
        <v>85</v>
      </c>
      <c r="AC1184" s="1">
        <v>0</v>
      </c>
      <c r="AD1184" s="1">
        <v>11</v>
      </c>
      <c r="AE1184" s="1">
        <v>0</v>
      </c>
      <c r="AF1184" s="1">
        <v>208</v>
      </c>
      <c r="AG1184" s="1">
        <v>63</v>
      </c>
      <c r="AH1184" s="1">
        <v>755</v>
      </c>
      <c r="AI1184" s="1">
        <v>0</v>
      </c>
      <c r="AJ1184" s="1">
        <v>56</v>
      </c>
    </row>
    <row r="1185" spans="1:36">
      <c r="A1185" s="58">
        <v>41033</v>
      </c>
      <c r="B1185" s="1">
        <v>10557</v>
      </c>
      <c r="C1185" s="1">
        <v>8818</v>
      </c>
      <c r="D1185" s="21">
        <f t="shared" si="38"/>
        <v>1.2748363385781555E-2</v>
      </c>
      <c r="E1185" s="1">
        <v>8818</v>
      </c>
      <c r="F1185" s="1">
        <v>0</v>
      </c>
      <c r="G1185" s="1">
        <v>0</v>
      </c>
      <c r="H1185" s="1">
        <v>1746</v>
      </c>
      <c r="I1185" s="21">
        <f t="shared" si="37"/>
        <v>-2.6213050752928055E-2</v>
      </c>
      <c r="J1185" s="1">
        <v>607</v>
      </c>
      <c r="K1185" s="1">
        <v>63</v>
      </c>
      <c r="L1185" s="1">
        <v>0</v>
      </c>
      <c r="M1185" s="1">
        <v>0</v>
      </c>
      <c r="N1185" s="1">
        <v>0</v>
      </c>
      <c r="O1185" s="1">
        <v>63</v>
      </c>
      <c r="P1185" s="1">
        <v>0</v>
      </c>
      <c r="Q1185" s="1">
        <v>0</v>
      </c>
      <c r="R1185" s="1">
        <v>0</v>
      </c>
      <c r="S1185" s="1">
        <v>63</v>
      </c>
      <c r="T1185" s="1">
        <v>544</v>
      </c>
      <c r="U1185" s="1">
        <v>108</v>
      </c>
      <c r="V1185" s="1">
        <v>51</v>
      </c>
      <c r="W1185" s="1">
        <v>94</v>
      </c>
      <c r="X1185" s="1">
        <v>292</v>
      </c>
      <c r="Y1185" s="1">
        <v>8</v>
      </c>
      <c r="Z1185" s="1">
        <v>31</v>
      </c>
      <c r="AA1185" s="1">
        <v>91</v>
      </c>
      <c r="AB1185" s="1">
        <v>80</v>
      </c>
      <c r="AC1185" s="1">
        <v>0</v>
      </c>
      <c r="AD1185" s="1">
        <v>11</v>
      </c>
      <c r="AE1185" s="1">
        <v>0</v>
      </c>
      <c r="AF1185" s="1">
        <v>185</v>
      </c>
      <c r="AG1185" s="1">
        <v>77</v>
      </c>
      <c r="AH1185" s="1">
        <v>748</v>
      </c>
      <c r="AI1185" s="1">
        <v>0</v>
      </c>
      <c r="AJ1185" s="1">
        <v>46</v>
      </c>
    </row>
    <row r="1186" spans="1:36">
      <c r="A1186" s="58">
        <v>41040</v>
      </c>
      <c r="B1186" s="1">
        <v>10749</v>
      </c>
      <c r="C1186" s="1">
        <v>8859</v>
      </c>
      <c r="D1186" s="21">
        <f t="shared" si="38"/>
        <v>4.649580403719664E-3</v>
      </c>
      <c r="E1186" s="1">
        <v>8859</v>
      </c>
      <c r="F1186" s="1">
        <v>0</v>
      </c>
      <c r="G1186" s="1">
        <v>0</v>
      </c>
      <c r="H1186" s="1">
        <v>1902</v>
      </c>
      <c r="I1186" s="21">
        <f t="shared" si="37"/>
        <v>8.9347079037800689E-2</v>
      </c>
      <c r="J1186" s="1">
        <v>669</v>
      </c>
      <c r="K1186" s="1">
        <v>69</v>
      </c>
      <c r="L1186" s="1">
        <v>0</v>
      </c>
      <c r="M1186" s="1">
        <v>0</v>
      </c>
      <c r="N1186" s="1">
        <v>0</v>
      </c>
      <c r="O1186" s="1">
        <v>69</v>
      </c>
      <c r="P1186" s="1">
        <v>0</v>
      </c>
      <c r="Q1186" s="1">
        <v>0</v>
      </c>
      <c r="R1186" s="1">
        <v>0</v>
      </c>
      <c r="S1186" s="1">
        <v>69</v>
      </c>
      <c r="T1186" s="1">
        <v>601</v>
      </c>
      <c r="U1186" s="1">
        <v>130</v>
      </c>
      <c r="V1186" s="1">
        <v>51</v>
      </c>
      <c r="W1186" s="1">
        <v>110</v>
      </c>
      <c r="X1186" s="1">
        <v>309</v>
      </c>
      <c r="Y1186" s="1">
        <v>12</v>
      </c>
      <c r="Z1186" s="1">
        <v>16</v>
      </c>
      <c r="AA1186" s="1">
        <v>81</v>
      </c>
      <c r="AB1186" s="1">
        <v>72</v>
      </c>
      <c r="AC1186" s="1">
        <v>0</v>
      </c>
      <c r="AD1186" s="1">
        <v>10</v>
      </c>
      <c r="AE1186" s="1">
        <v>0</v>
      </c>
      <c r="AF1186" s="1">
        <v>186</v>
      </c>
      <c r="AG1186" s="1">
        <v>96</v>
      </c>
      <c r="AH1186" s="1">
        <v>841</v>
      </c>
      <c r="AI1186" s="1">
        <v>0</v>
      </c>
      <c r="AJ1186" s="1">
        <v>42</v>
      </c>
    </row>
    <row r="1187" spans="1:36">
      <c r="A1187" s="58">
        <v>41047</v>
      </c>
      <c r="B1187" s="1">
        <v>10724</v>
      </c>
      <c r="C1187" s="1">
        <v>8813</v>
      </c>
      <c r="D1187" s="21">
        <f t="shared" si="38"/>
        <v>-5.1924596455581893E-3</v>
      </c>
      <c r="E1187" s="1">
        <v>8813</v>
      </c>
      <c r="F1187" s="1">
        <v>0</v>
      </c>
      <c r="G1187" s="1">
        <v>0</v>
      </c>
      <c r="H1187" s="1">
        <v>1920</v>
      </c>
      <c r="I1187" s="21">
        <f t="shared" si="37"/>
        <v>9.4637223974763408E-3</v>
      </c>
      <c r="J1187" s="1">
        <v>658</v>
      </c>
      <c r="K1187" s="1">
        <v>70</v>
      </c>
      <c r="L1187" s="1">
        <v>0</v>
      </c>
      <c r="M1187" s="1">
        <v>0</v>
      </c>
      <c r="N1187" s="1">
        <v>0</v>
      </c>
      <c r="O1187" s="1">
        <v>70</v>
      </c>
      <c r="P1187" s="1">
        <v>0</v>
      </c>
      <c r="Q1187" s="1">
        <v>0</v>
      </c>
      <c r="R1187" s="1">
        <v>0</v>
      </c>
      <c r="S1187" s="1">
        <v>70</v>
      </c>
      <c r="T1187" s="1">
        <v>588</v>
      </c>
      <c r="U1187" s="1">
        <v>133</v>
      </c>
      <c r="V1187" s="1">
        <v>46</v>
      </c>
      <c r="W1187" s="1">
        <v>84</v>
      </c>
      <c r="X1187" s="1">
        <v>325</v>
      </c>
      <c r="Y1187" s="1">
        <v>9</v>
      </c>
      <c r="Z1187" s="1">
        <v>36</v>
      </c>
      <c r="AA1187" s="1">
        <v>86</v>
      </c>
      <c r="AB1187" s="1">
        <v>75</v>
      </c>
      <c r="AC1187" s="1">
        <v>0</v>
      </c>
      <c r="AD1187" s="1">
        <v>10</v>
      </c>
      <c r="AE1187" s="1">
        <v>0</v>
      </c>
      <c r="AF1187" s="1">
        <v>194</v>
      </c>
      <c r="AG1187" s="1">
        <v>107</v>
      </c>
      <c r="AH1187" s="1">
        <v>830</v>
      </c>
      <c r="AI1187" s="1">
        <v>0</v>
      </c>
      <c r="AJ1187" s="1">
        <v>31</v>
      </c>
    </row>
    <row r="1188" spans="1:36">
      <c r="A1188" s="58">
        <v>41054</v>
      </c>
      <c r="B1188" s="1">
        <v>10786</v>
      </c>
      <c r="C1188" s="1">
        <v>8872</v>
      </c>
      <c r="D1188" s="21">
        <f t="shared" si="38"/>
        <v>6.6946556223760351E-3</v>
      </c>
      <c r="E1188" s="1">
        <v>8872</v>
      </c>
      <c r="F1188" s="1">
        <v>0</v>
      </c>
      <c r="G1188" s="1">
        <v>0</v>
      </c>
      <c r="H1188" s="1">
        <v>1926</v>
      </c>
      <c r="I1188" s="21">
        <f t="shared" si="37"/>
        <v>3.1250000000000002E-3</v>
      </c>
      <c r="J1188" s="1">
        <v>663</v>
      </c>
      <c r="K1188" s="1">
        <v>54</v>
      </c>
      <c r="L1188" s="1">
        <v>0</v>
      </c>
      <c r="M1188" s="1">
        <v>0</v>
      </c>
      <c r="N1188" s="1">
        <v>0</v>
      </c>
      <c r="O1188" s="1">
        <v>54</v>
      </c>
      <c r="P1188" s="1">
        <v>0</v>
      </c>
      <c r="Q1188" s="1">
        <v>0</v>
      </c>
      <c r="R1188" s="1">
        <v>0</v>
      </c>
      <c r="S1188" s="1">
        <v>54</v>
      </c>
      <c r="T1188" s="1">
        <v>609</v>
      </c>
      <c r="U1188" s="1">
        <v>131</v>
      </c>
      <c r="V1188" s="1">
        <v>57</v>
      </c>
      <c r="W1188" s="1">
        <v>63</v>
      </c>
      <c r="X1188" s="1">
        <v>358</v>
      </c>
      <c r="Y1188" s="1">
        <v>12</v>
      </c>
      <c r="Z1188" s="1">
        <v>48</v>
      </c>
      <c r="AA1188" s="1">
        <v>81</v>
      </c>
      <c r="AB1188" s="1">
        <v>71</v>
      </c>
      <c r="AC1188" s="1">
        <v>0</v>
      </c>
      <c r="AD1188" s="1">
        <v>10</v>
      </c>
      <c r="AE1188" s="1">
        <v>0</v>
      </c>
      <c r="AF1188" s="1">
        <v>219</v>
      </c>
      <c r="AG1188" s="1">
        <v>106</v>
      </c>
      <c r="AH1188" s="1">
        <v>798</v>
      </c>
      <c r="AI1188" s="1">
        <v>0</v>
      </c>
      <c r="AJ1188" s="1">
        <v>31</v>
      </c>
    </row>
    <row r="1189" spans="1:36">
      <c r="A1189" s="58">
        <v>41061</v>
      </c>
      <c r="B1189" s="1">
        <v>10860</v>
      </c>
      <c r="C1189" s="1">
        <v>8869</v>
      </c>
      <c r="D1189" s="21">
        <f t="shared" si="38"/>
        <v>-3.3814247069431923E-4</v>
      </c>
      <c r="E1189" s="1">
        <v>8869</v>
      </c>
      <c r="F1189" s="1">
        <v>0</v>
      </c>
      <c r="G1189" s="1">
        <v>0</v>
      </c>
      <c r="H1189" s="1">
        <v>2005</v>
      </c>
      <c r="I1189" s="21">
        <f t="shared" si="37"/>
        <v>4.1017653167185877E-2</v>
      </c>
      <c r="J1189" s="1">
        <v>721</v>
      </c>
      <c r="K1189" s="1">
        <v>73</v>
      </c>
      <c r="L1189" s="1">
        <v>0</v>
      </c>
      <c r="M1189" s="1">
        <v>0</v>
      </c>
      <c r="N1189" s="1">
        <v>0</v>
      </c>
      <c r="O1189" s="1">
        <v>73</v>
      </c>
      <c r="P1189" s="1">
        <v>0</v>
      </c>
      <c r="Q1189" s="1">
        <v>0</v>
      </c>
      <c r="R1189" s="1">
        <v>0</v>
      </c>
      <c r="S1189" s="1">
        <v>73</v>
      </c>
      <c r="T1189" s="1">
        <v>648</v>
      </c>
      <c r="U1189" s="1">
        <v>171</v>
      </c>
      <c r="V1189" s="1">
        <v>57</v>
      </c>
      <c r="W1189" s="1">
        <v>63</v>
      </c>
      <c r="X1189" s="1">
        <v>357</v>
      </c>
      <c r="Y1189" s="1">
        <v>15</v>
      </c>
      <c r="Z1189" s="1">
        <v>47</v>
      </c>
      <c r="AA1189" s="1">
        <v>93</v>
      </c>
      <c r="AB1189" s="1">
        <v>85</v>
      </c>
      <c r="AC1189" s="1">
        <v>0</v>
      </c>
      <c r="AD1189" s="1">
        <v>9</v>
      </c>
      <c r="AE1189" s="1">
        <v>0</v>
      </c>
      <c r="AF1189" s="1">
        <v>217</v>
      </c>
      <c r="AG1189" s="1">
        <v>93</v>
      </c>
      <c r="AH1189" s="1">
        <v>820</v>
      </c>
      <c r="AI1189" s="1">
        <v>0</v>
      </c>
      <c r="AJ1189" s="1">
        <v>39</v>
      </c>
    </row>
    <row r="1190" spans="1:36">
      <c r="A1190" s="58">
        <v>41068</v>
      </c>
      <c r="B1190" s="1">
        <v>10907</v>
      </c>
      <c r="C1190" s="1">
        <v>8928</v>
      </c>
      <c r="D1190" s="21">
        <f t="shared" si="38"/>
        <v>6.6523847107903935E-3</v>
      </c>
      <c r="E1190" s="1">
        <v>8928</v>
      </c>
      <c r="F1190" s="1">
        <v>0</v>
      </c>
      <c r="G1190" s="1">
        <v>0</v>
      </c>
      <c r="H1190" s="1">
        <v>1984</v>
      </c>
      <c r="I1190" s="21">
        <f t="shared" si="37"/>
        <v>-1.0473815461346634E-2</v>
      </c>
      <c r="J1190" s="1">
        <v>723</v>
      </c>
      <c r="K1190" s="1">
        <v>70</v>
      </c>
      <c r="L1190" s="1">
        <v>0</v>
      </c>
      <c r="M1190" s="1">
        <v>0</v>
      </c>
      <c r="N1190" s="1">
        <v>0</v>
      </c>
      <c r="O1190" s="1">
        <v>70</v>
      </c>
      <c r="P1190" s="1">
        <v>0</v>
      </c>
      <c r="Q1190" s="1">
        <v>0</v>
      </c>
      <c r="R1190" s="1">
        <v>0</v>
      </c>
      <c r="S1190" s="1">
        <v>70</v>
      </c>
      <c r="T1190" s="1">
        <v>653</v>
      </c>
      <c r="U1190" s="1">
        <v>156</v>
      </c>
      <c r="V1190" s="1">
        <v>76</v>
      </c>
      <c r="W1190" s="1">
        <v>95</v>
      </c>
      <c r="X1190" s="1">
        <v>327</v>
      </c>
      <c r="Y1190" s="1">
        <v>6</v>
      </c>
      <c r="Z1190" s="1">
        <v>52</v>
      </c>
      <c r="AA1190" s="1">
        <v>90</v>
      </c>
      <c r="AB1190" s="1">
        <v>81</v>
      </c>
      <c r="AC1190" s="1">
        <v>0</v>
      </c>
      <c r="AD1190" s="1">
        <v>9</v>
      </c>
      <c r="AE1190" s="1">
        <v>0</v>
      </c>
      <c r="AF1190" s="1">
        <v>248</v>
      </c>
      <c r="AG1190" s="1">
        <v>74</v>
      </c>
      <c r="AH1190" s="1">
        <v>792</v>
      </c>
      <c r="AI1190" s="1">
        <v>0</v>
      </c>
      <c r="AJ1190" s="1">
        <v>45</v>
      </c>
    </row>
    <row r="1191" spans="1:36">
      <c r="A1191" s="58">
        <v>41075</v>
      </c>
      <c r="B1191" s="1">
        <v>11244</v>
      </c>
      <c r="C1191" s="1">
        <v>9144</v>
      </c>
      <c r="D1191" s="21">
        <f t="shared" si="38"/>
        <v>2.4193548387096774E-2</v>
      </c>
      <c r="E1191" s="1">
        <v>9144</v>
      </c>
      <c r="F1191" s="1">
        <v>0</v>
      </c>
      <c r="G1191" s="1">
        <v>0</v>
      </c>
      <c r="H1191" s="1">
        <v>2107</v>
      </c>
      <c r="I1191" s="21">
        <f t="shared" si="37"/>
        <v>6.1995967741935484E-2</v>
      </c>
      <c r="J1191" s="1">
        <v>826</v>
      </c>
      <c r="K1191" s="1">
        <v>73</v>
      </c>
      <c r="L1191" s="1">
        <v>0</v>
      </c>
      <c r="M1191" s="1">
        <v>0</v>
      </c>
      <c r="N1191" s="1">
        <v>0</v>
      </c>
      <c r="O1191" s="1">
        <v>73</v>
      </c>
      <c r="P1191" s="1">
        <v>0</v>
      </c>
      <c r="Q1191" s="1">
        <v>0</v>
      </c>
      <c r="R1191" s="1">
        <v>0</v>
      </c>
      <c r="S1191" s="1">
        <v>73</v>
      </c>
      <c r="T1191" s="1">
        <v>753</v>
      </c>
      <c r="U1191" s="1">
        <v>194</v>
      </c>
      <c r="V1191" s="1">
        <v>85</v>
      </c>
      <c r="W1191" s="1">
        <v>96</v>
      </c>
      <c r="X1191" s="1">
        <v>378</v>
      </c>
      <c r="Y1191" s="1">
        <v>6</v>
      </c>
      <c r="Z1191" s="1">
        <v>30</v>
      </c>
      <c r="AA1191" s="1">
        <v>75</v>
      </c>
      <c r="AB1191" s="1">
        <v>62</v>
      </c>
      <c r="AC1191" s="1">
        <v>0</v>
      </c>
      <c r="AD1191" s="1">
        <v>13</v>
      </c>
      <c r="AE1191" s="1">
        <v>0</v>
      </c>
      <c r="AF1191" s="1">
        <v>255</v>
      </c>
      <c r="AG1191" s="1">
        <v>68</v>
      </c>
      <c r="AH1191" s="1">
        <v>846</v>
      </c>
      <c r="AI1191" s="1">
        <v>0</v>
      </c>
      <c r="AJ1191" s="1">
        <v>39</v>
      </c>
    </row>
    <row r="1192" spans="1:36">
      <c r="A1192" s="58">
        <v>41082</v>
      </c>
      <c r="B1192" s="1">
        <v>11312</v>
      </c>
      <c r="C1192" s="1">
        <v>9159</v>
      </c>
      <c r="D1192" s="21">
        <f t="shared" si="38"/>
        <v>1.6404199475065617E-3</v>
      </c>
      <c r="E1192" s="1">
        <v>9159</v>
      </c>
      <c r="F1192" s="1">
        <v>0</v>
      </c>
      <c r="G1192" s="1">
        <v>0</v>
      </c>
      <c r="H1192" s="1">
        <v>2168</v>
      </c>
      <c r="I1192" s="21">
        <f t="shared" si="37"/>
        <v>2.895111532985287E-2</v>
      </c>
      <c r="J1192" s="1">
        <v>820</v>
      </c>
      <c r="K1192" s="1">
        <v>76</v>
      </c>
      <c r="L1192" s="1">
        <v>0</v>
      </c>
      <c r="M1192" s="1">
        <v>0</v>
      </c>
      <c r="N1192" s="1">
        <v>0</v>
      </c>
      <c r="O1192" s="1">
        <v>76</v>
      </c>
      <c r="P1192" s="1">
        <v>0</v>
      </c>
      <c r="Q1192" s="1">
        <v>0</v>
      </c>
      <c r="R1192" s="1">
        <v>0</v>
      </c>
      <c r="S1192" s="1">
        <v>76</v>
      </c>
      <c r="T1192" s="1">
        <v>744</v>
      </c>
      <c r="U1192" s="1">
        <v>193</v>
      </c>
      <c r="V1192" s="1">
        <v>80</v>
      </c>
      <c r="W1192" s="1">
        <v>126</v>
      </c>
      <c r="X1192" s="1">
        <v>345</v>
      </c>
      <c r="Y1192" s="1">
        <v>14</v>
      </c>
      <c r="Z1192" s="1">
        <v>17</v>
      </c>
      <c r="AA1192" s="1">
        <v>80</v>
      </c>
      <c r="AB1192" s="1">
        <v>68</v>
      </c>
      <c r="AC1192" s="1">
        <v>0</v>
      </c>
      <c r="AD1192" s="1">
        <v>12</v>
      </c>
      <c r="AE1192" s="1">
        <v>0</v>
      </c>
      <c r="AF1192" s="1">
        <v>260</v>
      </c>
      <c r="AG1192" s="1">
        <v>69</v>
      </c>
      <c r="AH1192" s="1">
        <v>906</v>
      </c>
      <c r="AI1192" s="1">
        <v>0</v>
      </c>
      <c r="AJ1192" s="1">
        <v>38</v>
      </c>
    </row>
    <row r="1193" spans="1:36">
      <c r="A1193" s="58">
        <v>41089</v>
      </c>
      <c r="B1193" s="1">
        <v>11347</v>
      </c>
      <c r="C1193" s="1">
        <v>9114</v>
      </c>
      <c r="D1193" s="21">
        <f t="shared" si="38"/>
        <v>-4.9132001310186703E-3</v>
      </c>
      <c r="E1193" s="1">
        <v>9114</v>
      </c>
      <c r="F1193" s="1">
        <v>0</v>
      </c>
      <c r="G1193" s="1">
        <v>0</v>
      </c>
      <c r="H1193" s="1">
        <v>2251</v>
      </c>
      <c r="I1193" s="21">
        <f t="shared" si="37"/>
        <v>3.8284132841328415E-2</v>
      </c>
      <c r="J1193" s="1">
        <v>817</v>
      </c>
      <c r="K1193" s="1">
        <v>64</v>
      </c>
      <c r="L1193" s="1">
        <v>0</v>
      </c>
      <c r="M1193" s="1">
        <v>0</v>
      </c>
      <c r="N1193" s="1">
        <v>0</v>
      </c>
      <c r="O1193" s="1">
        <v>64</v>
      </c>
      <c r="P1193" s="1">
        <v>0</v>
      </c>
      <c r="Q1193" s="1">
        <v>0</v>
      </c>
      <c r="R1193" s="1">
        <v>0</v>
      </c>
      <c r="S1193" s="1">
        <v>64</v>
      </c>
      <c r="T1193" s="1">
        <v>753</v>
      </c>
      <c r="U1193" s="1">
        <v>165</v>
      </c>
      <c r="V1193" s="1">
        <v>82</v>
      </c>
      <c r="W1193" s="1">
        <v>157</v>
      </c>
      <c r="X1193" s="1">
        <v>350</v>
      </c>
      <c r="Y1193" s="1">
        <v>17</v>
      </c>
      <c r="Z1193" s="1">
        <v>16</v>
      </c>
      <c r="AA1193" s="1">
        <v>76</v>
      </c>
      <c r="AB1193" s="1">
        <v>63</v>
      </c>
      <c r="AC1193" s="1">
        <v>0</v>
      </c>
      <c r="AD1193" s="1">
        <v>12</v>
      </c>
      <c r="AE1193" s="1">
        <v>0</v>
      </c>
      <c r="AF1193" s="1">
        <v>285</v>
      </c>
      <c r="AG1193" s="1">
        <v>70</v>
      </c>
      <c r="AH1193" s="1">
        <v>970</v>
      </c>
      <c r="AI1193" s="1">
        <v>0</v>
      </c>
      <c r="AJ1193" s="1">
        <v>39</v>
      </c>
    </row>
    <row r="1194" spans="1:36">
      <c r="A1194" s="58">
        <v>41096</v>
      </c>
      <c r="B1194" s="1">
        <v>11208</v>
      </c>
      <c r="C1194" s="1">
        <v>8991</v>
      </c>
      <c r="D1194" s="21">
        <f t="shared" si="38"/>
        <v>-1.3495720868992759E-2</v>
      </c>
      <c r="E1194" s="1">
        <v>8991</v>
      </c>
      <c r="F1194" s="1">
        <v>0</v>
      </c>
      <c r="G1194" s="1">
        <v>0</v>
      </c>
      <c r="H1194" s="1">
        <v>2238</v>
      </c>
      <c r="I1194" s="21">
        <f t="shared" si="37"/>
        <v>-5.7752110173256328E-3</v>
      </c>
      <c r="J1194" s="1">
        <v>876</v>
      </c>
      <c r="K1194" s="1">
        <v>60</v>
      </c>
      <c r="L1194" s="1">
        <v>0</v>
      </c>
      <c r="M1194" s="1">
        <v>0</v>
      </c>
      <c r="N1194" s="1">
        <v>0</v>
      </c>
      <c r="O1194" s="1">
        <v>60</v>
      </c>
      <c r="P1194" s="1">
        <v>0</v>
      </c>
      <c r="Q1194" s="1">
        <v>0</v>
      </c>
      <c r="R1194" s="1">
        <v>0</v>
      </c>
      <c r="S1194" s="1">
        <v>60</v>
      </c>
      <c r="T1194" s="1">
        <v>816</v>
      </c>
      <c r="U1194" s="1">
        <v>196</v>
      </c>
      <c r="V1194" s="1">
        <v>67</v>
      </c>
      <c r="W1194" s="1">
        <v>145</v>
      </c>
      <c r="X1194" s="1">
        <v>408</v>
      </c>
      <c r="Y1194" s="1">
        <v>21</v>
      </c>
      <c r="Z1194" s="1">
        <v>3</v>
      </c>
      <c r="AA1194" s="1">
        <v>82</v>
      </c>
      <c r="AB1194" s="1">
        <v>74</v>
      </c>
      <c r="AC1194" s="1">
        <v>0</v>
      </c>
      <c r="AD1194" s="1">
        <v>8</v>
      </c>
      <c r="AE1194" s="1">
        <v>0</v>
      </c>
      <c r="AF1194" s="1">
        <v>256</v>
      </c>
      <c r="AG1194" s="1">
        <v>70</v>
      </c>
      <c r="AH1194" s="1">
        <v>930</v>
      </c>
      <c r="AI1194" s="1">
        <v>0</v>
      </c>
      <c r="AJ1194" s="1">
        <v>63</v>
      </c>
    </row>
    <row r="1195" spans="1:36">
      <c r="A1195" s="58">
        <v>41103</v>
      </c>
      <c r="B1195" s="1">
        <v>10901</v>
      </c>
      <c r="C1195" s="1">
        <v>8864</v>
      </c>
      <c r="D1195" s="21">
        <f t="shared" si="38"/>
        <v>-1.412523634745857E-2</v>
      </c>
      <c r="E1195" s="1">
        <v>8864</v>
      </c>
      <c r="F1195" s="1">
        <v>0</v>
      </c>
      <c r="G1195" s="1">
        <v>0</v>
      </c>
      <c r="H1195" s="1">
        <v>2064</v>
      </c>
      <c r="I1195" s="21">
        <f t="shared" si="37"/>
        <v>-7.7747989276139406E-2</v>
      </c>
      <c r="J1195" s="1">
        <v>787</v>
      </c>
      <c r="K1195" s="1">
        <v>46</v>
      </c>
      <c r="L1195" s="1">
        <v>0</v>
      </c>
      <c r="M1195" s="1">
        <v>0</v>
      </c>
      <c r="N1195" s="1">
        <v>0</v>
      </c>
      <c r="O1195" s="1">
        <v>46</v>
      </c>
      <c r="P1195" s="1">
        <v>0</v>
      </c>
      <c r="Q1195" s="1">
        <v>0</v>
      </c>
      <c r="R1195" s="1">
        <v>0</v>
      </c>
      <c r="S1195" s="1">
        <v>46</v>
      </c>
      <c r="T1195" s="1">
        <v>741</v>
      </c>
      <c r="U1195" s="1">
        <v>140</v>
      </c>
      <c r="V1195" s="1">
        <v>86</v>
      </c>
      <c r="W1195" s="1">
        <v>145</v>
      </c>
      <c r="X1195" s="1">
        <v>371</v>
      </c>
      <c r="Y1195" s="1">
        <v>26</v>
      </c>
      <c r="Z1195" s="1">
        <v>2</v>
      </c>
      <c r="AA1195" s="1">
        <v>86</v>
      </c>
      <c r="AB1195" s="1">
        <v>83</v>
      </c>
      <c r="AC1195" s="1">
        <v>0</v>
      </c>
      <c r="AD1195" s="1">
        <v>3</v>
      </c>
      <c r="AE1195" s="1">
        <v>0</v>
      </c>
      <c r="AF1195" s="1">
        <v>229</v>
      </c>
      <c r="AG1195" s="1">
        <v>85</v>
      </c>
      <c r="AH1195" s="1">
        <v>848</v>
      </c>
      <c r="AI1195" s="1">
        <v>0</v>
      </c>
      <c r="AJ1195" s="1">
        <v>60</v>
      </c>
    </row>
    <row r="1196" spans="1:36">
      <c r="A1196" s="58">
        <v>41110</v>
      </c>
      <c r="B1196" s="1">
        <v>11153</v>
      </c>
      <c r="C1196" s="1">
        <v>8993</v>
      </c>
      <c r="D1196" s="21">
        <f t="shared" si="38"/>
        <v>1.4553249097472925E-2</v>
      </c>
      <c r="E1196" s="1">
        <v>8993</v>
      </c>
      <c r="F1196" s="1">
        <v>0</v>
      </c>
      <c r="G1196" s="1">
        <v>0</v>
      </c>
      <c r="H1196" s="1">
        <v>2189</v>
      </c>
      <c r="I1196" s="21">
        <f t="shared" si="37"/>
        <v>6.0562015503875966E-2</v>
      </c>
      <c r="J1196" s="1">
        <v>849</v>
      </c>
      <c r="K1196" s="1">
        <v>30</v>
      </c>
      <c r="L1196" s="1">
        <v>0</v>
      </c>
      <c r="M1196" s="1">
        <v>0</v>
      </c>
      <c r="N1196" s="1">
        <v>0</v>
      </c>
      <c r="O1196" s="1">
        <v>30</v>
      </c>
      <c r="P1196" s="1">
        <v>0</v>
      </c>
      <c r="Q1196" s="1">
        <v>0</v>
      </c>
      <c r="R1196" s="1">
        <v>0</v>
      </c>
      <c r="S1196" s="1">
        <v>30</v>
      </c>
      <c r="T1196" s="1">
        <v>820</v>
      </c>
      <c r="U1196" s="1">
        <v>173</v>
      </c>
      <c r="V1196" s="1">
        <v>92</v>
      </c>
      <c r="W1196" s="1">
        <v>140</v>
      </c>
      <c r="X1196" s="1">
        <v>415</v>
      </c>
      <c r="Y1196" s="1">
        <v>28</v>
      </c>
      <c r="Z1196" s="1">
        <v>14</v>
      </c>
      <c r="AA1196" s="1">
        <v>104</v>
      </c>
      <c r="AB1196" s="1">
        <v>98</v>
      </c>
      <c r="AC1196" s="1">
        <v>0</v>
      </c>
      <c r="AD1196" s="1">
        <v>6</v>
      </c>
      <c r="AE1196" s="1">
        <v>0</v>
      </c>
      <c r="AF1196" s="1">
        <v>206</v>
      </c>
      <c r="AG1196" s="1">
        <v>84</v>
      </c>
      <c r="AH1196" s="1">
        <v>903</v>
      </c>
      <c r="AI1196" s="1">
        <v>0</v>
      </c>
      <c r="AJ1196" s="1">
        <v>90</v>
      </c>
    </row>
    <row r="1197" spans="1:36">
      <c r="A1197" s="58">
        <v>41117</v>
      </c>
      <c r="B1197" s="1">
        <v>10922</v>
      </c>
      <c r="C1197" s="1">
        <v>8901</v>
      </c>
      <c r="D1197" s="21">
        <f t="shared" si="38"/>
        <v>-1.0230179028132993E-2</v>
      </c>
      <c r="E1197" s="1">
        <v>8901</v>
      </c>
      <c r="F1197" s="1">
        <v>0</v>
      </c>
      <c r="G1197" s="1">
        <v>0</v>
      </c>
      <c r="H1197" s="1">
        <v>2046</v>
      </c>
      <c r="I1197" s="21">
        <f t="shared" si="37"/>
        <v>-6.5326633165829151E-2</v>
      </c>
      <c r="J1197" s="1">
        <v>803</v>
      </c>
      <c r="K1197" s="1">
        <v>41</v>
      </c>
      <c r="L1197" s="1">
        <v>0</v>
      </c>
      <c r="M1197" s="1">
        <v>0</v>
      </c>
      <c r="N1197" s="1">
        <v>0</v>
      </c>
      <c r="O1197" s="1">
        <v>41</v>
      </c>
      <c r="P1197" s="1">
        <v>0</v>
      </c>
      <c r="Q1197" s="1">
        <v>0</v>
      </c>
      <c r="R1197" s="1">
        <v>0</v>
      </c>
      <c r="S1197" s="1">
        <v>41</v>
      </c>
      <c r="T1197" s="1">
        <v>762</v>
      </c>
      <c r="U1197" s="1">
        <v>184</v>
      </c>
      <c r="V1197" s="1">
        <v>95</v>
      </c>
      <c r="W1197" s="1">
        <v>115</v>
      </c>
      <c r="X1197" s="1">
        <v>368</v>
      </c>
      <c r="Y1197" s="1">
        <v>25</v>
      </c>
      <c r="Z1197" s="1">
        <v>29</v>
      </c>
      <c r="AA1197" s="1">
        <v>100</v>
      </c>
      <c r="AB1197" s="1">
        <v>94</v>
      </c>
      <c r="AC1197" s="1">
        <v>0</v>
      </c>
      <c r="AD1197" s="1">
        <v>6</v>
      </c>
      <c r="AE1197" s="1">
        <v>0</v>
      </c>
      <c r="AF1197" s="1">
        <v>228</v>
      </c>
      <c r="AG1197" s="1">
        <v>84</v>
      </c>
      <c r="AH1197" s="1">
        <v>778</v>
      </c>
      <c r="AI1197" s="1">
        <v>0</v>
      </c>
      <c r="AJ1197" s="1">
        <v>99</v>
      </c>
    </row>
    <row r="1198" spans="1:36">
      <c r="A1198" s="58">
        <v>41124</v>
      </c>
      <c r="B1198" s="1">
        <v>10851</v>
      </c>
      <c r="C1198" s="1">
        <v>8901</v>
      </c>
      <c r="D1198" s="21">
        <f t="shared" si="38"/>
        <v>0</v>
      </c>
      <c r="E1198" s="1">
        <v>8901</v>
      </c>
      <c r="F1198" s="1">
        <v>0</v>
      </c>
      <c r="G1198" s="1">
        <v>0</v>
      </c>
      <c r="H1198" s="1">
        <v>1990</v>
      </c>
      <c r="I1198" s="21">
        <f t="shared" si="37"/>
        <v>-2.7370478983382209E-2</v>
      </c>
      <c r="J1198" s="1">
        <v>688</v>
      </c>
      <c r="K1198" s="1">
        <v>57</v>
      </c>
      <c r="L1198" s="1">
        <v>0</v>
      </c>
      <c r="M1198" s="1">
        <v>0</v>
      </c>
      <c r="N1198" s="1">
        <v>0</v>
      </c>
      <c r="O1198" s="1">
        <v>57</v>
      </c>
      <c r="P1198" s="1">
        <v>0</v>
      </c>
      <c r="Q1198" s="1">
        <v>0</v>
      </c>
      <c r="R1198" s="1">
        <v>0</v>
      </c>
      <c r="S1198" s="1">
        <v>57</v>
      </c>
      <c r="T1198" s="1">
        <v>631</v>
      </c>
      <c r="U1198" s="1">
        <v>144</v>
      </c>
      <c r="V1198" s="1">
        <v>83</v>
      </c>
      <c r="W1198" s="1">
        <v>98</v>
      </c>
      <c r="X1198" s="1">
        <v>307</v>
      </c>
      <c r="Y1198" s="1">
        <v>39</v>
      </c>
      <c r="Z1198" s="1">
        <v>36</v>
      </c>
      <c r="AA1198" s="1">
        <v>95</v>
      </c>
      <c r="AB1198" s="1">
        <v>83</v>
      </c>
      <c r="AC1198" s="1">
        <v>3</v>
      </c>
      <c r="AD1198" s="1">
        <v>9</v>
      </c>
      <c r="AE1198" s="1">
        <v>0</v>
      </c>
      <c r="AF1198" s="1">
        <v>251</v>
      </c>
      <c r="AG1198" s="1">
        <v>89</v>
      </c>
      <c r="AH1198" s="1">
        <v>792</v>
      </c>
      <c r="AI1198" s="1">
        <v>0</v>
      </c>
      <c r="AJ1198" s="1">
        <v>64</v>
      </c>
    </row>
    <row r="1199" spans="1:36">
      <c r="A1199" s="58">
        <v>41131</v>
      </c>
      <c r="B1199" s="1">
        <v>10951</v>
      </c>
      <c r="C1199" s="1">
        <v>8846</v>
      </c>
      <c r="D1199" s="21">
        <f t="shared" si="38"/>
        <v>-6.1790810021345914E-3</v>
      </c>
      <c r="E1199" s="1">
        <v>8846</v>
      </c>
      <c r="F1199" s="1">
        <v>0</v>
      </c>
      <c r="G1199" s="1">
        <v>0</v>
      </c>
      <c r="H1199" s="1">
        <v>2163</v>
      </c>
      <c r="I1199" s="21">
        <f t="shared" si="37"/>
        <v>8.6934673366834164E-2</v>
      </c>
      <c r="J1199" s="1">
        <v>726</v>
      </c>
      <c r="K1199" s="1">
        <v>53</v>
      </c>
      <c r="L1199" s="1">
        <v>0</v>
      </c>
      <c r="M1199" s="1">
        <v>0</v>
      </c>
      <c r="N1199" s="1">
        <v>0</v>
      </c>
      <c r="O1199" s="1">
        <v>53</v>
      </c>
      <c r="P1199" s="1">
        <v>0</v>
      </c>
      <c r="Q1199" s="1">
        <v>0</v>
      </c>
      <c r="R1199" s="1">
        <v>0</v>
      </c>
      <c r="S1199" s="1">
        <v>53</v>
      </c>
      <c r="T1199" s="1">
        <v>673</v>
      </c>
      <c r="U1199" s="1">
        <v>198</v>
      </c>
      <c r="V1199" s="1">
        <v>64</v>
      </c>
      <c r="W1199" s="1">
        <v>101</v>
      </c>
      <c r="X1199" s="1">
        <v>310</v>
      </c>
      <c r="Y1199" s="1">
        <v>57</v>
      </c>
      <c r="Z1199" s="1">
        <v>50</v>
      </c>
      <c r="AA1199" s="1">
        <v>101</v>
      </c>
      <c r="AB1199" s="1">
        <v>91</v>
      </c>
      <c r="AC1199" s="1">
        <v>3</v>
      </c>
      <c r="AD1199" s="1">
        <v>8</v>
      </c>
      <c r="AE1199" s="1">
        <v>0</v>
      </c>
      <c r="AF1199" s="1">
        <v>289</v>
      </c>
      <c r="AG1199" s="1">
        <v>76</v>
      </c>
      <c r="AH1199" s="1">
        <v>863</v>
      </c>
      <c r="AI1199" s="1">
        <v>0</v>
      </c>
      <c r="AJ1199" s="1">
        <v>116</v>
      </c>
    </row>
    <row r="1200" spans="1:36">
      <c r="A1200" s="58">
        <v>41138</v>
      </c>
      <c r="B1200" s="1">
        <v>10419</v>
      </c>
      <c r="C1200" s="1">
        <v>8489</v>
      </c>
      <c r="D1200" s="21">
        <f t="shared" si="38"/>
        <v>-4.0357223603888763E-2</v>
      </c>
      <c r="E1200" s="1">
        <v>8489</v>
      </c>
      <c r="F1200" s="1">
        <v>0</v>
      </c>
      <c r="G1200" s="1">
        <v>0</v>
      </c>
      <c r="H1200" s="1">
        <v>1991</v>
      </c>
      <c r="I1200" s="21">
        <f t="shared" si="37"/>
        <v>-7.9519186315302817E-2</v>
      </c>
      <c r="J1200" s="1">
        <v>665</v>
      </c>
      <c r="K1200" s="1">
        <v>53</v>
      </c>
      <c r="L1200" s="1">
        <v>0</v>
      </c>
      <c r="M1200" s="1">
        <v>0</v>
      </c>
      <c r="N1200" s="1">
        <v>0</v>
      </c>
      <c r="O1200" s="1">
        <v>53</v>
      </c>
      <c r="P1200" s="1">
        <v>0</v>
      </c>
      <c r="Q1200" s="1">
        <v>0</v>
      </c>
      <c r="R1200" s="1">
        <v>0</v>
      </c>
      <c r="S1200" s="1">
        <v>53</v>
      </c>
      <c r="T1200" s="1">
        <v>612</v>
      </c>
      <c r="U1200" s="1">
        <v>148</v>
      </c>
      <c r="V1200" s="1">
        <v>45</v>
      </c>
      <c r="W1200" s="1">
        <v>114</v>
      </c>
      <c r="X1200" s="1">
        <v>305</v>
      </c>
      <c r="Y1200" s="1">
        <v>61</v>
      </c>
      <c r="Z1200" s="1">
        <v>46</v>
      </c>
      <c r="AA1200" s="1">
        <v>81</v>
      </c>
      <c r="AB1200" s="1">
        <v>74</v>
      </c>
      <c r="AC1200" s="1">
        <v>3</v>
      </c>
      <c r="AD1200" s="1">
        <v>5</v>
      </c>
      <c r="AE1200" s="1">
        <v>0</v>
      </c>
      <c r="AF1200" s="1">
        <v>286</v>
      </c>
      <c r="AG1200" s="1">
        <v>81</v>
      </c>
      <c r="AH1200" s="1">
        <v>770</v>
      </c>
      <c r="AI1200" s="1">
        <v>0</v>
      </c>
      <c r="AJ1200" s="1">
        <v>114</v>
      </c>
    </row>
    <row r="1201" spans="1:1">
      <c r="A1201" s="58"/>
    </row>
  </sheetData>
  <hyperlinks>
    <hyperlink ref="A21" location="Contents!A1" display="Back to Contents" xr:uid="{00000000-0004-0000-10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AL1264"/>
  <sheetViews>
    <sheetView zoomScale="80" workbookViewId="0">
      <pane ySplit="11" topLeftCell="A12" activePane="bottomLeft" state="frozen"/>
      <selection activeCell="K53" sqref="K53"/>
      <selection pane="bottomLeft" activeCell="L18" sqref="L18"/>
    </sheetView>
  </sheetViews>
  <sheetFormatPr defaultColWidth="9.140625" defaultRowHeight="12.75"/>
  <cols>
    <col min="1" max="1" width="20.85546875" style="9" customWidth="1"/>
    <col min="2" max="2" width="6.85546875" style="9" customWidth="1"/>
    <col min="3" max="3" width="11.42578125" style="9" customWidth="1"/>
    <col min="4" max="4" width="6.42578125" style="9" bestFit="1" customWidth="1"/>
    <col min="5" max="5" width="12.5703125" style="9" customWidth="1"/>
    <col min="6" max="6" width="67.28515625" style="9" customWidth="1"/>
    <col min="7" max="7" width="9.140625" style="9"/>
    <col min="8" max="8" width="10.7109375" style="9" bestFit="1" customWidth="1"/>
    <col min="9" max="9" width="9.7109375" style="9" customWidth="1"/>
    <col min="10" max="10" width="11.140625" style="9" customWidth="1"/>
    <col min="11" max="11" width="10.7109375" style="9" customWidth="1"/>
    <col min="12" max="12" width="7.7109375" style="9" customWidth="1"/>
    <col min="13" max="22" width="10.85546875" style="9" customWidth="1"/>
    <col min="23" max="23" width="2.7109375" style="9" customWidth="1"/>
    <col min="24" max="27" width="7.140625" style="9" customWidth="1"/>
    <col min="28" max="38" width="10.140625" style="9" customWidth="1"/>
    <col min="39" max="16384" width="9.140625" style="9"/>
  </cols>
  <sheetData>
    <row r="1" spans="1:38">
      <c r="A1" s="10" t="s">
        <v>523</v>
      </c>
    </row>
    <row r="2" spans="1:38">
      <c r="A2" s="10"/>
    </row>
    <row r="3" spans="1:38">
      <c r="A3" s="10" t="s">
        <v>524</v>
      </c>
    </row>
    <row r="4" spans="1:38">
      <c r="A4" s="10"/>
      <c r="C4" s="37" t="s">
        <v>148</v>
      </c>
      <c r="E4" s="37" t="s">
        <v>519</v>
      </c>
      <c r="G4" s="9" t="s">
        <v>938</v>
      </c>
      <c r="J4" s="9">
        <v>1.05</v>
      </c>
      <c r="K4" s="9">
        <v>1.1000000000000001</v>
      </c>
    </row>
    <row r="5" spans="1:38">
      <c r="A5" s="65" t="s">
        <v>525</v>
      </c>
      <c r="B5" s="9">
        <v>1</v>
      </c>
      <c r="C5" s="42">
        <v>0.95</v>
      </c>
      <c r="D5" s="9">
        <v>1</v>
      </c>
      <c r="E5" s="39">
        <v>0.8</v>
      </c>
      <c r="J5" s="9" t="s">
        <v>939</v>
      </c>
    </row>
    <row r="6" spans="1:38">
      <c r="A6" s="10"/>
      <c r="B6" s="9">
        <v>2</v>
      </c>
      <c r="C6" s="42">
        <v>0.98</v>
      </c>
      <c r="D6" s="9">
        <v>2</v>
      </c>
      <c r="E6" s="39">
        <v>0.9</v>
      </c>
    </row>
    <row r="7" spans="1:38">
      <c r="A7" s="10"/>
      <c r="B7" s="9">
        <v>3</v>
      </c>
      <c r="C7" s="42">
        <v>1</v>
      </c>
      <c r="D7" s="9">
        <v>3</v>
      </c>
      <c r="E7" s="39">
        <v>1</v>
      </c>
      <c r="AB7" s="42">
        <f>SUM(AB13:AB347)</f>
        <v>37875.182533173327</v>
      </c>
      <c r="AC7" s="42">
        <f t="shared" ref="AC7:AF7" si="0">SUM(AC13:AC347)</f>
        <v>23183.617559190479</v>
      </c>
      <c r="AD7" s="42">
        <f t="shared" si="0"/>
        <v>23394.750921831008</v>
      </c>
      <c r="AE7" s="42">
        <f t="shared" si="0"/>
        <v>25299.585258221789</v>
      </c>
      <c r="AF7" s="42">
        <f t="shared" si="0"/>
        <v>12839.044926499437</v>
      </c>
    </row>
    <row r="8" spans="1:38">
      <c r="A8" s="10"/>
      <c r="B8" s="9">
        <v>4</v>
      </c>
      <c r="C8" s="42">
        <v>1.0900000000000001</v>
      </c>
      <c r="D8" s="9">
        <v>4</v>
      </c>
      <c r="E8" s="39">
        <v>1.2</v>
      </c>
    </row>
    <row r="9" spans="1:38">
      <c r="A9" s="10"/>
      <c r="B9" s="9">
        <v>5</v>
      </c>
      <c r="C9" s="42">
        <v>1.3</v>
      </c>
      <c r="D9" s="9">
        <v>5</v>
      </c>
      <c r="E9" s="42">
        <v>2</v>
      </c>
    </row>
    <row r="10" spans="1:38">
      <c r="A10" s="10"/>
      <c r="H10" s="252" t="s">
        <v>526</v>
      </c>
      <c r="I10" s="252"/>
      <c r="J10" s="252"/>
      <c r="K10" s="252"/>
      <c r="L10" s="252" t="s">
        <v>520</v>
      </c>
      <c r="M10" s="252"/>
      <c r="N10" s="252"/>
      <c r="O10" s="252"/>
      <c r="P10" s="252"/>
      <c r="Q10" s="252"/>
      <c r="R10" s="252"/>
      <c r="S10" s="252"/>
      <c r="T10" s="252"/>
      <c r="U10" s="252"/>
      <c r="V10" s="252"/>
      <c r="X10" s="252" t="s">
        <v>521</v>
      </c>
      <c r="Y10" s="252"/>
      <c r="Z10" s="252"/>
      <c r="AA10" s="252"/>
      <c r="AB10" s="252" t="s">
        <v>132</v>
      </c>
      <c r="AC10" s="252"/>
      <c r="AD10" s="252"/>
      <c r="AE10" s="252"/>
      <c r="AF10" s="252"/>
      <c r="AG10" s="252"/>
      <c r="AH10" s="252"/>
      <c r="AI10" s="252"/>
      <c r="AJ10" s="252"/>
      <c r="AK10" s="252"/>
      <c r="AL10" s="252"/>
    </row>
    <row r="11" spans="1:38" s="10" customFormat="1">
      <c r="A11" s="10" t="s">
        <v>398</v>
      </c>
      <c r="B11" s="10" t="s">
        <v>128</v>
      </c>
      <c r="C11" s="10" t="s">
        <v>129</v>
      </c>
      <c r="D11" s="10" t="s">
        <v>51</v>
      </c>
      <c r="E11" s="10" t="s">
        <v>130</v>
      </c>
      <c r="F11" s="10" t="s">
        <v>8</v>
      </c>
      <c r="G11" s="10" t="s">
        <v>128</v>
      </c>
      <c r="H11" s="10">
        <v>2005</v>
      </c>
      <c r="I11" s="10">
        <v>2010</v>
      </c>
      <c r="J11" s="10">
        <v>2015</v>
      </c>
      <c r="K11" s="10">
        <v>2020</v>
      </c>
      <c r="L11" s="10">
        <v>2005</v>
      </c>
      <c r="M11" s="10">
        <v>2010</v>
      </c>
      <c r="N11" s="10">
        <v>2015</v>
      </c>
      <c r="O11" s="10">
        <v>2020</v>
      </c>
      <c r="P11" s="10">
        <v>2025</v>
      </c>
      <c r="Q11" s="10">
        <v>2030</v>
      </c>
      <c r="R11" s="10">
        <v>2035</v>
      </c>
      <c r="S11" s="10">
        <v>2040</v>
      </c>
      <c r="T11" s="10">
        <v>2045</v>
      </c>
      <c r="U11" s="10">
        <v>2050</v>
      </c>
      <c r="V11" s="10">
        <v>2055</v>
      </c>
      <c r="X11" s="10">
        <v>2005</v>
      </c>
      <c r="Y11" s="10">
        <v>2010</v>
      </c>
      <c r="Z11" s="10">
        <v>2015</v>
      </c>
      <c r="AA11" s="10">
        <v>2020</v>
      </c>
      <c r="AB11" s="10">
        <v>2005</v>
      </c>
      <c r="AC11" s="10">
        <v>2010</v>
      </c>
      <c r="AD11" s="10">
        <v>2015</v>
      </c>
      <c r="AE11" s="10">
        <v>2020</v>
      </c>
      <c r="AF11" s="10">
        <v>2005</v>
      </c>
      <c r="AG11" s="10">
        <v>2010</v>
      </c>
      <c r="AH11" s="10">
        <v>2015</v>
      </c>
      <c r="AI11" s="10">
        <v>2020</v>
      </c>
    </row>
    <row r="12" spans="1:38" s="10" customFormat="1">
      <c r="A12" s="10" t="s">
        <v>522</v>
      </c>
    </row>
    <row r="13" spans="1:38">
      <c r="A13" s="9" t="str">
        <f>'Agg prdcrv'!$A$6</f>
        <v>Reformulated Mogas</v>
      </c>
      <c r="B13" s="9" t="str">
        <f>VLOOKUP($A13,Types!$A$2:$C$13,2,FALSE)</f>
        <v>GSR</v>
      </c>
      <c r="C13" s="9">
        <v>3</v>
      </c>
      <c r="D13" s="9">
        <v>1</v>
      </c>
      <c r="E13" s="9" t="str">
        <f t="shared" ref="E13:E44" si="1">CONCATENATE("IMP",G13,RIGHT(C13,1))</f>
        <v>IMPGSRP13</v>
      </c>
      <c r="F13" s="9" t="str">
        <f>CONCATENATE("Imported ",VLOOKUP($A13,Types!$A$2:$C$13,3,FALSE),", PADD ",D13,", Step ",RIGHT(C13,1))</f>
        <v>Imported Reformulated Gasoline, PADD 1, Step 3</v>
      </c>
      <c r="G13" s="9" t="str">
        <f>CONCATENATE(VLOOKUP($A13,Types!$A$2:$C$13,2,FALSE),"P",D13)</f>
        <v>GSRP1</v>
      </c>
      <c r="H13" s="66">
        <f>SUMIFS('Agg prdcrv'!$L$6:$L$100,'Agg prdcrv'!$A$6:$A$100,'Imp Refined'!$A13,'Agg prdcrv'!$B$6:$B$100,H$11)*K4</f>
        <v>67.914000000000001</v>
      </c>
      <c r="I13" s="66">
        <f>SUMIFS('Agg prdcrv'!$L$6:$L$100,'Agg prdcrv'!$A$6:$A$100,'Imp Refined'!$A13,'Agg prdcrv'!$B$6:$B$100,I$11)*K4</f>
        <v>124.91600000000001</v>
      </c>
      <c r="J13" s="66">
        <f t="array" ref="J13">SUMIFS('Agg prdcrv'!$L$6:$L$100,'Agg prdcrv'!$A$6:$A$100,'Imp Refined'!$A13,'Agg prdcrv'!$B$6:$B$100,J$11)</f>
        <v>113.56</v>
      </c>
      <c r="K13" s="66">
        <f t="array" ref="K13">SUMIFS('Agg prdcrv'!$L$6:$L$100,'Agg prdcrv'!$A$6:$A$100,'Imp Refined'!$A13,'Agg prdcrv'!$B$6:$B$100,K$11)</f>
        <v>113.56</v>
      </c>
      <c r="L13" s="67">
        <f>H13*Conv!$J$20/10^6/VLOOKUP($B13,Types!$B$2:$D$13,3,FALSE)/Conv!$I$5</f>
        <v>19.179618591634092</v>
      </c>
      <c r="M13" s="67">
        <f>I13*Conv!$J$20/10^6/VLOOKUP($B13,Types!$B$2:$D$13,3,FALSE)/Conv!$I$5</f>
        <v>35.277575109588071</v>
      </c>
      <c r="N13" s="67" t="e">
        <f>M13*#REF!</f>
        <v>#REF!</v>
      </c>
      <c r="O13" s="67" t="e">
        <f>N13*#REF!</f>
        <v>#REF!</v>
      </c>
      <c r="P13" s="67" t="e">
        <f>O13*#REF!</f>
        <v>#REF!</v>
      </c>
      <c r="Q13" s="67" t="e">
        <f>P13*#REF!</f>
        <v>#REF!</v>
      </c>
      <c r="R13" s="67" t="e">
        <f>Q13*#REF!</f>
        <v>#REF!</v>
      </c>
      <c r="S13" s="67" t="e">
        <f>R13*#REF!</f>
        <v>#REF!</v>
      </c>
      <c r="T13" s="67" t="e">
        <f>S13*#REF!</f>
        <v>#REF!</v>
      </c>
      <c r="U13" s="67" t="e">
        <f>T13*#REF!</f>
        <v>#REF!</v>
      </c>
      <c r="V13" s="67" t="e">
        <f>U13*#REF!</f>
        <v>#REF!</v>
      </c>
      <c r="W13" s="42"/>
      <c r="X13" s="9">
        <f t="array" ref="X13">SUMIFS('Agg prdcrv'!$D$6:$D$100,'Agg prdcrv'!$A$6:$A$100,'Imp Refined'!$A13,'Agg prdcrv'!$B$6:$B$100,X$11)</f>
        <v>244.86</v>
      </c>
      <c r="Y13" s="9">
        <f t="array" ref="Y13">SUMIFS('Agg prdcrv'!$D$6:$D$100,'Agg prdcrv'!$A$6:$A$100,'Imp Refined'!$A13,'Agg prdcrv'!$B$6:$B$100,Y$11)</f>
        <v>0</v>
      </c>
      <c r="Z13" s="9">
        <f t="array" ref="Z13">SUMIFS('Agg prdcrv'!$D$6:$D$100,'Agg prdcrv'!$A$6:$A$100,'Imp Refined'!$A13,'Agg prdcrv'!$B$6:$B$100,Z$11)</f>
        <v>0</v>
      </c>
      <c r="AA13" s="9">
        <f t="array" ref="AA13">SUMIFS('Agg prdcrv'!$D$6:$D$100,'Agg prdcrv'!$A$6:$A$100,'Imp Refined'!$A13,'Agg prdcrv'!$B$6:$B$100,AA$11)</f>
        <v>0</v>
      </c>
      <c r="AB13" s="42">
        <f>X13*VLOOKUP($B13,Types!$B$2:$D$13,3,FALSE)*Conv!$I$5*1000*365</f>
        <v>485.61651760775999</v>
      </c>
      <c r="AC13" s="42">
        <f>Y13*VLOOKUP($B13,Types!$B$2:$D$13,3,FALSE)*Conv!$I$5*1000*365</f>
        <v>0</v>
      </c>
      <c r="AD13" s="42">
        <f>Z13*VLOOKUP($B13,Types!$B$2:$D$13,3,FALSE)*Conv!$I$5*1000*365</f>
        <v>0</v>
      </c>
      <c r="AE13" s="42">
        <f>AA13*VLOOKUP($B13,Types!$B$2:$D$13,3,FALSE)*Conv!$I$5*1000*365</f>
        <v>0</v>
      </c>
      <c r="AF13" s="42">
        <f>AB13-AB15</f>
        <v>48.561651760775987</v>
      </c>
      <c r="AG13" s="42">
        <f t="shared" ref="AG13:AI13" si="2">AC13-AC15</f>
        <v>0</v>
      </c>
      <c r="AH13" s="42">
        <f t="shared" si="2"/>
        <v>0</v>
      </c>
      <c r="AI13" s="42">
        <f t="shared" si="2"/>
        <v>0</v>
      </c>
      <c r="AJ13" s="42"/>
      <c r="AK13" s="42"/>
      <c r="AL13" s="42"/>
    </row>
    <row r="14" spans="1:38">
      <c r="A14" s="9" t="str">
        <f>A13</f>
        <v>Reformulated Mogas</v>
      </c>
      <c r="B14" s="9" t="str">
        <f>VLOOKUP($A14,Types!$A$2:$C$13,2,FALSE)</f>
        <v>GSR</v>
      </c>
      <c r="C14" s="9">
        <v>1</v>
      </c>
      <c r="D14" s="9">
        <v>1</v>
      </c>
      <c r="E14" s="9" t="str">
        <f t="shared" si="1"/>
        <v>IMPGSRP11</v>
      </c>
      <c r="F14" s="9" t="str">
        <f>CONCATENATE("Imported ",VLOOKUP($A14,Types!$A$2:$C$13,3,FALSE),", PADD ",D14,", Step ",RIGHT(C14,1))</f>
        <v>Imported Reformulated Gasoline, PADD 1, Step 1</v>
      </c>
      <c r="G14" s="9" t="str">
        <f>CONCATENATE(VLOOKUP($A14,Types!$A$2:$C$13,2,FALSE),"P",D14)</f>
        <v>GSRP1</v>
      </c>
      <c r="H14" s="66">
        <f>H13*$C$5</f>
        <v>64.518299999999996</v>
      </c>
      <c r="I14" s="66">
        <f t="shared" ref="I14:K14" si="3">I13*$C$5</f>
        <v>118.67020000000001</v>
      </c>
      <c r="J14" s="66">
        <f t="shared" si="3"/>
        <v>107.88199999999999</v>
      </c>
      <c r="K14" s="66">
        <f t="shared" si="3"/>
        <v>107.88199999999999</v>
      </c>
      <c r="L14" s="67">
        <f>H14*Conv!$J$20/10^6/VLOOKUP($B14,Types!$B$2:$D$13,3,FALSE)/Conv!$I$5</f>
        <v>18.220637662052386</v>
      </c>
      <c r="M14" s="67">
        <f>I14*Conv!$J$20/10^6/VLOOKUP($B14,Types!$B$2:$D$13,3,FALSE)/Conv!$I$5</f>
        <v>33.51369635410866</v>
      </c>
      <c r="N14" s="67" t="e">
        <f>M14*#REF!</f>
        <v>#REF!</v>
      </c>
      <c r="O14" s="67" t="e">
        <f>N14*#REF!</f>
        <v>#REF!</v>
      </c>
      <c r="P14" s="67" t="e">
        <f>O14*#REF!</f>
        <v>#REF!</v>
      </c>
      <c r="Q14" s="67" t="e">
        <f>P14*#REF!</f>
        <v>#REF!</v>
      </c>
      <c r="R14" s="67" t="e">
        <f>Q14*#REF!</f>
        <v>#REF!</v>
      </c>
      <c r="S14" s="67" t="e">
        <f>R14*#REF!</f>
        <v>#REF!</v>
      </c>
      <c r="T14" s="67" t="e">
        <f>S14*#REF!</f>
        <v>#REF!</v>
      </c>
      <c r="U14" s="67" t="e">
        <f>T14*#REF!</f>
        <v>#REF!</v>
      </c>
      <c r="V14" s="67" t="e">
        <f>U14*#REF!</f>
        <v>#REF!</v>
      </c>
      <c r="W14" s="42"/>
      <c r="X14" s="9">
        <f>X13*$E$5</f>
        <v>195.88800000000003</v>
      </c>
      <c r="Y14" s="9">
        <f t="shared" ref="Y14:AA14" si="4">Y13*$E$5</f>
        <v>0</v>
      </c>
      <c r="Z14" s="9">
        <f t="shared" si="4"/>
        <v>0</v>
      </c>
      <c r="AA14" s="9">
        <f t="shared" si="4"/>
        <v>0</v>
      </c>
      <c r="AB14" s="42">
        <f>X14*VLOOKUP($B14,Types!$B$2:$D$13,3,FALSE)*Conv!$I$5*1000*365</f>
        <v>388.49321408620807</v>
      </c>
      <c r="AC14" s="42">
        <f>Y14*VLOOKUP($B14,Types!$B$2:$D$13,3,FALSE)*Conv!$I$5*1000*365</f>
        <v>0</v>
      </c>
      <c r="AD14" s="42">
        <f>Z14*VLOOKUP($B14,Types!$B$2:$D$13,3,FALSE)*Conv!$I$5*1000*365</f>
        <v>0</v>
      </c>
      <c r="AE14" s="42">
        <f>AA14*VLOOKUP($B14,Types!$B$2:$D$13,3,FALSE)*Conv!$I$5*1000*365</f>
        <v>0</v>
      </c>
      <c r="AF14" s="42">
        <f>AB14</f>
        <v>388.49321408620807</v>
      </c>
      <c r="AG14" s="42">
        <f t="shared" ref="AG14:AI14" si="5">AC14</f>
        <v>0</v>
      </c>
      <c r="AH14" s="42">
        <f t="shared" si="5"/>
        <v>0</v>
      </c>
      <c r="AI14" s="42">
        <f t="shared" si="5"/>
        <v>0</v>
      </c>
      <c r="AJ14" s="42"/>
      <c r="AK14" s="42"/>
      <c r="AL14" s="42"/>
    </row>
    <row r="15" spans="1:38">
      <c r="A15" s="9" t="str">
        <f>A14</f>
        <v>Reformulated Mogas</v>
      </c>
      <c r="B15" s="9" t="str">
        <f>VLOOKUP($A15,Types!$A$2:$C$13,2,FALSE)</f>
        <v>GSR</v>
      </c>
      <c r="C15" s="9">
        <v>2</v>
      </c>
      <c r="D15" s="9">
        <v>1</v>
      </c>
      <c r="E15" s="9" t="str">
        <f t="shared" si="1"/>
        <v>IMPGSRP12</v>
      </c>
      <c r="F15" s="9" t="str">
        <f>CONCATENATE("Imported ",VLOOKUP($A15,Types!$A$2:$C$13,3,FALSE),", PADD ",D15,", Step ",RIGHT(C15,1))</f>
        <v>Imported Reformulated Gasoline, PADD 1, Step 2</v>
      </c>
      <c r="G15" s="9" t="str">
        <f>CONCATENATE(VLOOKUP($A15,Types!$A$2:$C$13,2,FALSE),"P",D15)</f>
        <v>GSRP1</v>
      </c>
      <c r="H15" s="66">
        <f>H13*$C$6</f>
        <v>66.555719999999994</v>
      </c>
      <c r="I15" s="66">
        <f t="shared" ref="I15:K15" si="6">I13*$C$6</f>
        <v>122.41768</v>
      </c>
      <c r="J15" s="66">
        <f t="shared" si="6"/>
        <v>111.28879999999999</v>
      </c>
      <c r="K15" s="66">
        <f t="shared" si="6"/>
        <v>111.28879999999999</v>
      </c>
      <c r="L15" s="67">
        <f>H15*Conv!$J$20/10^6/VLOOKUP($B15,Types!$B$2:$D$13,3,FALSE)/Conv!$I$5</f>
        <v>18.796026219801405</v>
      </c>
      <c r="M15" s="67">
        <f>I15*Conv!$J$20/10^6/VLOOKUP($B15,Types!$B$2:$D$13,3,FALSE)/Conv!$I$5</f>
        <v>34.572023607396304</v>
      </c>
      <c r="N15" s="67" t="e">
        <f>M15*#REF!</f>
        <v>#REF!</v>
      </c>
      <c r="O15" s="67" t="e">
        <f>N15*#REF!</f>
        <v>#REF!</v>
      </c>
      <c r="P15" s="67" t="e">
        <f>O15*#REF!</f>
        <v>#REF!</v>
      </c>
      <c r="Q15" s="67" t="e">
        <f>P15*#REF!</f>
        <v>#REF!</v>
      </c>
      <c r="R15" s="67" t="e">
        <f>Q15*#REF!</f>
        <v>#REF!</v>
      </c>
      <c r="S15" s="67" t="e">
        <f>R15*#REF!</f>
        <v>#REF!</v>
      </c>
      <c r="T15" s="67" t="e">
        <f>S15*#REF!</f>
        <v>#REF!</v>
      </c>
      <c r="U15" s="67" t="e">
        <f>T15*#REF!</f>
        <v>#REF!</v>
      </c>
      <c r="V15" s="67" t="e">
        <f>U15*#REF!</f>
        <v>#REF!</v>
      </c>
      <c r="W15" s="42"/>
      <c r="X15" s="9">
        <f>X13*$E$6</f>
        <v>220.37400000000002</v>
      </c>
      <c r="Y15" s="9">
        <f t="shared" ref="Y15:AA15" si="7">Y13*$E$6</f>
        <v>0</v>
      </c>
      <c r="Z15" s="9">
        <f t="shared" si="7"/>
        <v>0</v>
      </c>
      <c r="AA15" s="9">
        <f t="shared" si="7"/>
        <v>0</v>
      </c>
      <c r="AB15" s="42">
        <f>X15*VLOOKUP($B15,Types!$B$2:$D$13,3,FALSE)*Conv!$I$5*1000*365</f>
        <v>437.054865846984</v>
      </c>
      <c r="AC15" s="42">
        <f>Y15*VLOOKUP($B15,Types!$B$2:$D$13,3,FALSE)*Conv!$I$5*1000*365</f>
        <v>0</v>
      </c>
      <c r="AD15" s="42">
        <f>Z15*VLOOKUP($B15,Types!$B$2:$D$13,3,FALSE)*Conv!$I$5*1000*365</f>
        <v>0</v>
      </c>
      <c r="AE15" s="42">
        <f>AA15*VLOOKUP($B15,Types!$B$2:$D$13,3,FALSE)*Conv!$I$5*1000*365</f>
        <v>0</v>
      </c>
      <c r="AF15" s="42">
        <f>AB15-AF14</f>
        <v>48.561651760775931</v>
      </c>
      <c r="AG15" s="42">
        <f t="shared" ref="AG15:AI15" si="8">AC15-AG14</f>
        <v>0</v>
      </c>
      <c r="AH15" s="42">
        <f t="shared" si="8"/>
        <v>0</v>
      </c>
      <c r="AI15" s="42">
        <f t="shared" si="8"/>
        <v>0</v>
      </c>
      <c r="AJ15" s="42"/>
      <c r="AK15" s="42"/>
      <c r="AL15" s="42"/>
    </row>
    <row r="16" spans="1:38">
      <c r="A16" s="9" t="str">
        <f>A15</f>
        <v>Reformulated Mogas</v>
      </c>
      <c r="B16" s="9" t="str">
        <f>VLOOKUP($A16,Types!$A$2:$C$13,2,FALSE)</f>
        <v>GSR</v>
      </c>
      <c r="C16" s="9">
        <v>4</v>
      </c>
      <c r="D16" s="9">
        <v>1</v>
      </c>
      <c r="E16" s="9" t="str">
        <f t="shared" si="1"/>
        <v>IMPGSRP14</v>
      </c>
      <c r="F16" s="9" t="str">
        <f>CONCATENATE("Imported ",VLOOKUP($A16,Types!$A$2:$C$13,3,FALSE),", PADD ",D16,", Step ",RIGHT(C16,1))</f>
        <v>Imported Reformulated Gasoline, PADD 1, Step 4</v>
      </c>
      <c r="G16" s="9" t="str">
        <f>CONCATENATE(VLOOKUP($A16,Types!$A$2:$C$13,2,FALSE),"P",D16)</f>
        <v>GSRP1</v>
      </c>
      <c r="H16" s="66">
        <f>H13*$C$8</f>
        <v>74.026260000000008</v>
      </c>
      <c r="I16" s="66">
        <f t="shared" ref="I16:K16" si="9">I13*$C$8</f>
        <v>136.15844000000001</v>
      </c>
      <c r="J16" s="66">
        <f t="shared" si="9"/>
        <v>123.78040000000001</v>
      </c>
      <c r="K16" s="66">
        <f t="shared" si="9"/>
        <v>123.78040000000001</v>
      </c>
      <c r="L16" s="67">
        <f>H16*Conv!$J$20/10^6/VLOOKUP($B16,Types!$B$2:$D$13,3,FALSE)/Conv!$I$5</f>
        <v>20.905784264881159</v>
      </c>
      <c r="M16" s="67">
        <f>I16*Conv!$J$20/10^6/VLOOKUP($B16,Types!$B$2:$D$13,3,FALSE)/Conv!$I$5</f>
        <v>38.452556869451001</v>
      </c>
      <c r="N16" s="67" t="e">
        <f>M16*#REF!</f>
        <v>#REF!</v>
      </c>
      <c r="O16" s="67" t="e">
        <f>N16*#REF!</f>
        <v>#REF!</v>
      </c>
      <c r="P16" s="67" t="e">
        <f>O16*#REF!</f>
        <v>#REF!</v>
      </c>
      <c r="Q16" s="67" t="e">
        <f>P16*#REF!</f>
        <v>#REF!</v>
      </c>
      <c r="R16" s="67" t="e">
        <f>Q16*#REF!</f>
        <v>#REF!</v>
      </c>
      <c r="S16" s="67" t="e">
        <f>R16*#REF!</f>
        <v>#REF!</v>
      </c>
      <c r="T16" s="67" t="e">
        <f>S16*#REF!</f>
        <v>#REF!</v>
      </c>
      <c r="U16" s="67" t="e">
        <f>T16*#REF!</f>
        <v>#REF!</v>
      </c>
      <c r="V16" s="67" t="e">
        <f>U16*#REF!</f>
        <v>#REF!</v>
      </c>
      <c r="W16" s="42"/>
      <c r="X16" s="9">
        <f>X13*$E$8</f>
        <v>293.83199999999999</v>
      </c>
      <c r="Y16" s="9">
        <f t="shared" ref="Y16:AA16" si="10">Y13*$E$8</f>
        <v>0</v>
      </c>
      <c r="Z16" s="9">
        <f t="shared" si="10"/>
        <v>0</v>
      </c>
      <c r="AA16" s="9">
        <f t="shared" si="10"/>
        <v>0</v>
      </c>
      <c r="AB16" s="42">
        <f>X16*VLOOKUP($B16,Types!$B$2:$D$13,3,FALSE)*Conv!$I$5*1000*365</f>
        <v>582.73982112931196</v>
      </c>
      <c r="AC16" s="42">
        <f>Y16*VLOOKUP($B16,Types!$B$2:$D$13,3,FALSE)*Conv!$I$5*1000*365</f>
        <v>0</v>
      </c>
      <c r="AD16" s="42">
        <f>Z16*VLOOKUP($B16,Types!$B$2:$D$13,3,FALSE)*Conv!$I$5*1000*365</f>
        <v>0</v>
      </c>
      <c r="AE16" s="42">
        <f>AA16*VLOOKUP($B16,Types!$B$2:$D$13,3,FALSE)*Conv!$I$5*1000*365</f>
        <v>0</v>
      </c>
      <c r="AF16" s="42">
        <f>AB16-AB13</f>
        <v>97.123303521551975</v>
      </c>
      <c r="AG16" s="42">
        <f t="shared" ref="AG16:AI16" si="11">AC16-AC13</f>
        <v>0</v>
      </c>
      <c r="AH16" s="42">
        <f t="shared" si="11"/>
        <v>0</v>
      </c>
      <c r="AI16" s="42">
        <f t="shared" si="11"/>
        <v>0</v>
      </c>
      <c r="AJ16" s="42"/>
      <c r="AK16" s="42"/>
      <c r="AL16" s="42"/>
    </row>
    <row r="17" spans="1:38">
      <c r="A17" s="9" t="str">
        <f>A16</f>
        <v>Reformulated Mogas</v>
      </c>
      <c r="B17" s="9" t="str">
        <f>VLOOKUP($A17,Types!$A$2:$C$13,2,FALSE)</f>
        <v>GSR</v>
      </c>
      <c r="C17" s="9">
        <v>5</v>
      </c>
      <c r="D17" s="9">
        <v>1</v>
      </c>
      <c r="E17" s="9" t="str">
        <f t="shared" si="1"/>
        <v>IMPGSRP15</v>
      </c>
      <c r="F17" s="9" t="str">
        <f>CONCATENATE("Imported ",VLOOKUP($A17,Types!$A$2:$C$13,3,FALSE),", PADD ",D17,", Step ",RIGHT(C17,1))</f>
        <v>Imported Reformulated Gasoline, PADD 1, Step 5</v>
      </c>
      <c r="G17" s="9" t="str">
        <f>CONCATENATE(VLOOKUP($A17,Types!$A$2:$C$13,2,FALSE),"P",D17)</f>
        <v>GSRP1</v>
      </c>
      <c r="H17" s="66">
        <f>H13*$C$9</f>
        <v>88.288200000000003</v>
      </c>
      <c r="I17" s="66">
        <f t="shared" ref="I17:K17" si="12">I13*$C$9</f>
        <v>162.39080000000001</v>
      </c>
      <c r="J17" s="66">
        <f t="shared" si="12"/>
        <v>147.62800000000001</v>
      </c>
      <c r="K17" s="66">
        <f t="shared" si="12"/>
        <v>147.62800000000001</v>
      </c>
      <c r="L17" s="67">
        <f>H17*Conv!$J$20/10^6/VLOOKUP($B17,Types!$B$2:$D$13,3,FALSE)/Conv!$I$5</f>
        <v>24.933504169124316</v>
      </c>
      <c r="M17" s="67">
        <f>I17*Conv!$J$20/10^6/VLOOKUP($B17,Types!$B$2:$D$13,3,FALSE)/Conv!$I$5</f>
        <v>45.860847642464492</v>
      </c>
      <c r="N17" s="67" t="e">
        <f>M17*#REF!</f>
        <v>#REF!</v>
      </c>
      <c r="O17" s="67" t="e">
        <f>N17*#REF!</f>
        <v>#REF!</v>
      </c>
      <c r="P17" s="67" t="e">
        <f>O17*#REF!</f>
        <v>#REF!</v>
      </c>
      <c r="Q17" s="67" t="e">
        <f>P17*#REF!</f>
        <v>#REF!</v>
      </c>
      <c r="R17" s="67" t="e">
        <f>Q17*#REF!</f>
        <v>#REF!</v>
      </c>
      <c r="S17" s="67" t="e">
        <f>R17*#REF!</f>
        <v>#REF!</v>
      </c>
      <c r="T17" s="67" t="e">
        <f>S17*#REF!</f>
        <v>#REF!</v>
      </c>
      <c r="U17" s="67" t="e">
        <f>T17*#REF!</f>
        <v>#REF!</v>
      </c>
      <c r="V17" s="67" t="e">
        <f>U17*#REF!</f>
        <v>#REF!</v>
      </c>
      <c r="W17" s="42"/>
      <c r="X17" s="9">
        <f>X13*$E$9</f>
        <v>489.72</v>
      </c>
      <c r="Y17" s="9">
        <f t="shared" ref="Y17:AA17" si="13">Y13*$E$9</f>
        <v>0</v>
      </c>
      <c r="Z17" s="9">
        <f t="shared" si="13"/>
        <v>0</v>
      </c>
      <c r="AA17" s="9">
        <f t="shared" si="13"/>
        <v>0</v>
      </c>
      <c r="AB17" s="42">
        <f>X17*VLOOKUP($B17,Types!$B$2:$D$13,3,FALSE)*Conv!$I$5*1000*365</f>
        <v>971.23303521551998</v>
      </c>
      <c r="AC17" s="42">
        <f>Y17*VLOOKUP($B17,Types!$B$2:$D$13,3,FALSE)*Conv!$I$5*1000*365</f>
        <v>0</v>
      </c>
      <c r="AD17" s="42">
        <f>Z17*VLOOKUP($B17,Types!$B$2:$D$13,3,FALSE)*Conv!$I$5*1000*365</f>
        <v>0</v>
      </c>
      <c r="AE17" s="42">
        <f>AA17*VLOOKUP($B17,Types!$B$2:$D$13,3,FALSE)*Conv!$I$5*1000*365</f>
        <v>0</v>
      </c>
      <c r="AF17" s="42">
        <f>AB17-AB16</f>
        <v>388.49321408620801</v>
      </c>
      <c r="AG17" s="42">
        <f t="shared" ref="AG17:AI17" si="14">AC17-AC16</f>
        <v>0</v>
      </c>
      <c r="AH17" s="42">
        <f t="shared" si="14"/>
        <v>0</v>
      </c>
      <c r="AI17" s="42">
        <f t="shared" si="14"/>
        <v>0</v>
      </c>
      <c r="AJ17" s="42"/>
      <c r="AK17" s="42"/>
      <c r="AL17" s="42"/>
    </row>
    <row r="18" spans="1:38">
      <c r="A18" s="9" t="str">
        <f>'Agg prdcrv'!$A$7</f>
        <v>Conventional Mogas</v>
      </c>
      <c r="B18" s="9" t="str">
        <f>VLOOKUP($A18,Types!$A$2:$C$13,2,FALSE)</f>
        <v>GSC</v>
      </c>
      <c r="C18" s="9">
        <v>3</v>
      </c>
      <c r="D18" s="9">
        <v>1</v>
      </c>
      <c r="E18" s="9" t="str">
        <f t="shared" si="1"/>
        <v>IMPGSCP13</v>
      </c>
      <c r="F18" s="9" t="str">
        <f>CONCATENATE("Imported ",VLOOKUP($A18,Types!$A$2:$C$13,3,FALSE),", PADD ",D18,", Step ",RIGHT(C18,1))</f>
        <v>Imported Conventional Gasoline, PADD 1, Step 3</v>
      </c>
      <c r="G18" s="9" t="str">
        <f>CONCATENATE(VLOOKUP($A18,Types!$A$2:$C$13,2,FALSE),"P",D18)</f>
        <v>GSCP1</v>
      </c>
      <c r="H18" s="66">
        <f>SUMIFS('Agg prdcrv'!$L$6:$L$100,'Agg prdcrv'!$A$6:$A$100,'Imp Refined'!$A18,'Agg prdcrv'!$B$6:$B$100,H$11)*K4</f>
        <v>65.75800000000001</v>
      </c>
      <c r="I18" s="66">
        <f>SUMIFS('Agg prdcrv'!$L$6:$L$100,'Agg prdcrv'!$A$6:$A$100,'Imp Refined'!$A18,'Agg prdcrv'!$B$6:$B$100,I$11)*K4</f>
        <v>54.714000000000006</v>
      </c>
      <c r="J18" s="66">
        <f t="array" ref="J18">SUMIFS('Agg prdcrv'!$L$6:$L$100,'Agg prdcrv'!$A$6:$A$100,'Imp Refined'!$A18,'Agg prdcrv'!$B$6:$B$100,J$11)</f>
        <v>43.2</v>
      </c>
      <c r="K18" s="66">
        <f t="array" ref="K18">SUMIFS('Agg prdcrv'!$L$6:$L$100,'Agg prdcrv'!$A$6:$A$100,'Imp Refined'!$A18,'Agg prdcrv'!$B$6:$B$100,K$11)</f>
        <v>46.77</v>
      </c>
      <c r="L18" s="67">
        <f>H18*Conv!$J$20/10^6/VLOOKUP($B18,Types!$B$2:$D$13,3,FALSE)/Conv!$I$5</f>
        <v>18.206609618575779</v>
      </c>
      <c r="M18" s="67">
        <f>I18*Conv!$J$20/10^6/VLOOKUP($B18,Types!$B$2:$D$13,3,FALSE)/Conv!$I$5</f>
        <v>15.148825065706914</v>
      </c>
      <c r="N18" s="67" t="e">
        <f>M18*#REF!</f>
        <v>#REF!</v>
      </c>
      <c r="O18" s="67" t="e">
        <f>N18*#REF!</f>
        <v>#REF!</v>
      </c>
      <c r="P18" s="67" t="e">
        <f>O18*#REF!</f>
        <v>#REF!</v>
      </c>
      <c r="Q18" s="67" t="e">
        <f>P18*#REF!</f>
        <v>#REF!</v>
      </c>
      <c r="R18" s="67" t="e">
        <f>Q18*#REF!</f>
        <v>#REF!</v>
      </c>
      <c r="S18" s="67" t="e">
        <f>R18*#REF!</f>
        <v>#REF!</v>
      </c>
      <c r="T18" s="67" t="e">
        <f>S18*#REF!</f>
        <v>#REF!</v>
      </c>
      <c r="U18" s="67" t="e">
        <f>T18*#REF!</f>
        <v>#REF!</v>
      </c>
      <c r="V18" s="67" t="e">
        <f>U18*#REF!</f>
        <v>#REF!</v>
      </c>
      <c r="W18" s="42"/>
      <c r="X18" s="9">
        <f t="array" ref="X18">SUMIFS('Agg prdcrv'!$D$6:$D$100,'Agg prdcrv'!$A$6:$A$100,'Imp Refined'!$A18,'Agg prdcrv'!$B$6:$B$100,X$11)</f>
        <v>299.08</v>
      </c>
      <c r="Y18" s="9">
        <f t="array" ref="Y18">SUMIFS('Agg prdcrv'!$D$6:$D$100,'Agg prdcrv'!$A$6:$A$100,'Imp Refined'!$A18,'Agg prdcrv'!$B$6:$B$100,Y$11)</f>
        <v>300.14999999999998</v>
      </c>
      <c r="Z18" s="9">
        <f t="array" ref="Z18">SUMIFS('Agg prdcrv'!$D$6:$D$100,'Agg prdcrv'!$A$6:$A$100,'Imp Refined'!$A18,'Agg prdcrv'!$B$6:$B$100,Z$11)</f>
        <v>286.70999999999998</v>
      </c>
      <c r="AA18" s="9">
        <f t="array" ref="AA18">SUMIFS('Agg prdcrv'!$D$6:$D$100,'Agg prdcrv'!$A$6:$A$100,'Imp Refined'!$A18,'Agg prdcrv'!$B$6:$B$100,AA$11)</f>
        <v>308.87</v>
      </c>
      <c r="AB18" s="42">
        <f>X18*VLOOKUP($B18,Types!$B$2:$D$13,3,FALSE)*Conv!$I$5*1000*365</f>
        <v>605.01083005738553</v>
      </c>
      <c r="AC18" s="42">
        <f>Y18*VLOOKUP($B18,Types!$B$2:$D$13,3,FALSE)*Conv!$I$5*1000*365</f>
        <v>607.17533984794795</v>
      </c>
      <c r="AD18" s="42">
        <f>Z18*VLOOKUP($B18,Types!$B$2:$D$13,3,FALSE)*Conv!$I$5*1000*365</f>
        <v>579.98747855340707</v>
      </c>
      <c r="AE18" s="42">
        <f>AA18*VLOOKUP($B18,Types!$B$2:$D$13,3,FALSE)*Conv!$I$5*1000*365</f>
        <v>624.81508318785836</v>
      </c>
      <c r="AF18" s="42">
        <f>AB18-AB20</f>
        <v>60.501083005738565</v>
      </c>
      <c r="AG18" s="42">
        <f t="shared" ref="AG18" si="15">AC18-AC20</f>
        <v>60.717533984794841</v>
      </c>
      <c r="AH18" s="42">
        <f t="shared" ref="AH18" si="16">AD18-AD20</f>
        <v>57.998747855340639</v>
      </c>
      <c r="AI18" s="42">
        <f t="shared" ref="AI18" si="17">AE18-AE20</f>
        <v>62.481508318785814</v>
      </c>
      <c r="AJ18" s="42"/>
      <c r="AK18" s="42"/>
      <c r="AL18" s="42"/>
    </row>
    <row r="19" spans="1:38">
      <c r="A19" s="9" t="str">
        <f>A18</f>
        <v>Conventional Mogas</v>
      </c>
      <c r="B19" s="9" t="str">
        <f>VLOOKUP($A19,Types!$A$2:$C$13,2,FALSE)</f>
        <v>GSC</v>
      </c>
      <c r="C19" s="9">
        <v>1</v>
      </c>
      <c r="D19" s="9">
        <v>1</v>
      </c>
      <c r="E19" s="9" t="str">
        <f t="shared" si="1"/>
        <v>IMPGSCP11</v>
      </c>
      <c r="F19" s="9" t="str">
        <f>CONCATENATE("Imported ",VLOOKUP($A19,Types!$A$2:$C$13,3,FALSE),", PADD ",D19,", Step ",RIGHT(C19,1))</f>
        <v>Imported Conventional Gasoline, PADD 1, Step 1</v>
      </c>
      <c r="G19" s="9" t="str">
        <f>CONCATENATE(VLOOKUP($A19,Types!$A$2:$C$13,2,FALSE),"P",D19)</f>
        <v>GSCP1</v>
      </c>
      <c r="H19" s="66">
        <f>H18*$C$5</f>
        <v>62.470100000000009</v>
      </c>
      <c r="I19" s="66">
        <f t="shared" ref="I19" si="18">I18*$C$5</f>
        <v>51.978300000000004</v>
      </c>
      <c r="J19" s="66">
        <f t="shared" ref="J19" si="19">J18*$C$5</f>
        <v>41.04</v>
      </c>
      <c r="K19" s="66">
        <f t="shared" ref="K19" si="20">K18*$C$5</f>
        <v>44.4315</v>
      </c>
      <c r="L19" s="67">
        <f>H19*Conv!$J$20/10^6/VLOOKUP($B19,Types!$B$2:$D$13,3,FALSE)/Conv!$I$5</f>
        <v>17.296279137646994</v>
      </c>
      <c r="M19" s="67">
        <f>I19*Conv!$J$20/10^6/VLOOKUP($B19,Types!$B$2:$D$13,3,FALSE)/Conv!$I$5</f>
        <v>14.391383812421568</v>
      </c>
      <c r="N19" s="67" t="e">
        <f>M19*#REF!</f>
        <v>#REF!</v>
      </c>
      <c r="O19" s="67" t="e">
        <f>N19*#REF!</f>
        <v>#REF!</v>
      </c>
      <c r="P19" s="67" t="e">
        <f>O19*#REF!</f>
        <v>#REF!</v>
      </c>
      <c r="Q19" s="67" t="e">
        <f>P19*#REF!</f>
        <v>#REF!</v>
      </c>
      <c r="R19" s="67" t="e">
        <f>Q19*#REF!</f>
        <v>#REF!</v>
      </c>
      <c r="S19" s="67" t="e">
        <f>R19*#REF!</f>
        <v>#REF!</v>
      </c>
      <c r="T19" s="67" t="e">
        <f>S19*#REF!</f>
        <v>#REF!</v>
      </c>
      <c r="U19" s="67" t="e">
        <f>T19*#REF!</f>
        <v>#REF!</v>
      </c>
      <c r="V19" s="67" t="e">
        <f>U19*#REF!</f>
        <v>#REF!</v>
      </c>
      <c r="W19" s="42"/>
      <c r="X19" s="9">
        <f>X18*$E$5</f>
        <v>239.26400000000001</v>
      </c>
      <c r="Y19" s="9">
        <f t="shared" ref="Y19" si="21">Y18*$E$5</f>
        <v>240.12</v>
      </c>
      <c r="Z19" s="9">
        <f t="shared" ref="Z19" si="22">Z18*$E$5</f>
        <v>229.36799999999999</v>
      </c>
      <c r="AA19" s="9">
        <f t="shared" ref="AA19" si="23">AA18*$E$5</f>
        <v>247.096</v>
      </c>
      <c r="AB19" s="42">
        <f>X19*VLOOKUP($B19,Types!$B$2:$D$13,3,FALSE)*Conv!$I$5*1000*365</f>
        <v>484.00866404590846</v>
      </c>
      <c r="AC19" s="42">
        <f>Y19*VLOOKUP($B19,Types!$B$2:$D$13,3,FALSE)*Conv!$I$5*1000*365</f>
        <v>485.74027187835839</v>
      </c>
      <c r="AD19" s="42">
        <f>Z19*VLOOKUP($B19,Types!$B$2:$D$13,3,FALSE)*Conv!$I$5*1000*365</f>
        <v>463.98998284272574</v>
      </c>
      <c r="AE19" s="42">
        <f>AA19*VLOOKUP($B19,Types!$B$2:$D$13,3,FALSE)*Conv!$I$5*1000*365</f>
        <v>499.85206655028668</v>
      </c>
      <c r="AF19" s="42">
        <f>AB19</f>
        <v>484.00866404590846</v>
      </c>
      <c r="AG19" s="42">
        <f t="shared" ref="AG19" si="24">AC19</f>
        <v>485.74027187835839</v>
      </c>
      <c r="AH19" s="42">
        <f t="shared" ref="AH19" si="25">AD19</f>
        <v>463.98998284272574</v>
      </c>
      <c r="AI19" s="42">
        <f t="shared" ref="AI19" si="26">AE19</f>
        <v>499.85206655028668</v>
      </c>
      <c r="AJ19" s="42"/>
      <c r="AK19" s="42"/>
      <c r="AL19" s="42"/>
    </row>
    <row r="20" spans="1:38">
      <c r="A20" s="9" t="str">
        <f>A19</f>
        <v>Conventional Mogas</v>
      </c>
      <c r="B20" s="9" t="str">
        <f>VLOOKUP($A20,Types!$A$2:$C$13,2,FALSE)</f>
        <v>GSC</v>
      </c>
      <c r="C20" s="9">
        <v>2</v>
      </c>
      <c r="D20" s="9">
        <v>1</v>
      </c>
      <c r="E20" s="9" t="str">
        <f t="shared" si="1"/>
        <v>IMPGSCP12</v>
      </c>
      <c r="F20" s="9" t="str">
        <f>CONCATENATE("Imported ",VLOOKUP($A20,Types!$A$2:$C$13,3,FALSE),", PADD ",D20,", Step ",RIGHT(C20,1))</f>
        <v>Imported Conventional Gasoline, PADD 1, Step 2</v>
      </c>
      <c r="G20" s="9" t="str">
        <f>CONCATENATE(VLOOKUP($A20,Types!$A$2:$C$13,2,FALSE),"P",D20)</f>
        <v>GSCP1</v>
      </c>
      <c r="H20" s="66">
        <f>H18*$C$6</f>
        <v>64.442840000000004</v>
      </c>
      <c r="I20" s="66">
        <f t="shared" ref="I20:K20" si="27">I18*$C$6</f>
        <v>53.619720000000008</v>
      </c>
      <c r="J20" s="66">
        <f t="shared" si="27"/>
        <v>42.335999999999999</v>
      </c>
      <c r="K20" s="66">
        <f t="shared" si="27"/>
        <v>45.834600000000002</v>
      </c>
      <c r="L20" s="67">
        <f>H20*Conv!$J$20/10^6/VLOOKUP($B20,Types!$B$2:$D$13,3,FALSE)/Conv!$I$5</f>
        <v>17.842477426204262</v>
      </c>
      <c r="M20" s="67">
        <f>I20*Conv!$J$20/10^6/VLOOKUP($B20,Types!$B$2:$D$13,3,FALSE)/Conv!$I$5</f>
        <v>14.845848564392778</v>
      </c>
      <c r="N20" s="67" t="e">
        <f>M20*#REF!</f>
        <v>#REF!</v>
      </c>
      <c r="O20" s="67" t="e">
        <f>N20*#REF!</f>
        <v>#REF!</v>
      </c>
      <c r="P20" s="67" t="e">
        <f>O20*#REF!</f>
        <v>#REF!</v>
      </c>
      <c r="Q20" s="67" t="e">
        <f>P20*#REF!</f>
        <v>#REF!</v>
      </c>
      <c r="R20" s="67" t="e">
        <f>Q20*#REF!</f>
        <v>#REF!</v>
      </c>
      <c r="S20" s="67" t="e">
        <f>R20*#REF!</f>
        <v>#REF!</v>
      </c>
      <c r="T20" s="67" t="e">
        <f>S20*#REF!</f>
        <v>#REF!</v>
      </c>
      <c r="U20" s="67" t="e">
        <f>T20*#REF!</f>
        <v>#REF!</v>
      </c>
      <c r="V20" s="67" t="e">
        <f>U20*#REF!</f>
        <v>#REF!</v>
      </c>
      <c r="W20" s="42"/>
      <c r="X20" s="9">
        <f>X18*$E$6</f>
        <v>269.17199999999997</v>
      </c>
      <c r="Y20" s="9">
        <f t="shared" ref="Y20:AA20" si="28">Y18*$E$6</f>
        <v>270.13499999999999</v>
      </c>
      <c r="Z20" s="9">
        <f t="shared" si="28"/>
        <v>258.03899999999999</v>
      </c>
      <c r="AA20" s="9">
        <f t="shared" si="28"/>
        <v>277.983</v>
      </c>
      <c r="AB20" s="42">
        <f>X20*VLOOKUP($B20,Types!$B$2:$D$13,3,FALSE)*Conv!$I$5*1000*365</f>
        <v>544.50974705164697</v>
      </c>
      <c r="AC20" s="42">
        <f>Y20*VLOOKUP($B20,Types!$B$2:$D$13,3,FALSE)*Conv!$I$5*1000*365</f>
        <v>546.45780586315311</v>
      </c>
      <c r="AD20" s="42">
        <f>Z20*VLOOKUP($B20,Types!$B$2:$D$13,3,FALSE)*Conv!$I$5*1000*365</f>
        <v>521.98873069806643</v>
      </c>
      <c r="AE20" s="42">
        <f>AA20*VLOOKUP($B20,Types!$B$2:$D$13,3,FALSE)*Conv!$I$5*1000*365</f>
        <v>562.33357486907255</v>
      </c>
      <c r="AF20" s="42">
        <f>AB20-AF19</f>
        <v>60.501083005738508</v>
      </c>
      <c r="AG20" s="42">
        <f t="shared" ref="AG20" si="29">AC20-AG19</f>
        <v>60.717533984794727</v>
      </c>
      <c r="AH20" s="42">
        <f t="shared" ref="AH20" si="30">AD20-AH19</f>
        <v>57.998747855340696</v>
      </c>
      <c r="AI20" s="42">
        <f t="shared" ref="AI20" si="31">AE20-AI19</f>
        <v>62.48150831878587</v>
      </c>
      <c r="AJ20" s="42"/>
      <c r="AK20" s="42"/>
      <c r="AL20" s="42"/>
    </row>
    <row r="21" spans="1:38">
      <c r="A21" s="9" t="str">
        <f>A20</f>
        <v>Conventional Mogas</v>
      </c>
      <c r="B21" s="9" t="str">
        <f>VLOOKUP($A21,Types!$A$2:$C$13,2,FALSE)</f>
        <v>GSC</v>
      </c>
      <c r="C21" s="9">
        <v>4</v>
      </c>
      <c r="D21" s="9">
        <v>1</v>
      </c>
      <c r="E21" s="9" t="str">
        <f t="shared" si="1"/>
        <v>IMPGSCP14</v>
      </c>
      <c r="F21" s="9" t="str">
        <f>CONCATENATE("Imported ",VLOOKUP($A21,Types!$A$2:$C$13,3,FALSE),", PADD ",D21,", Step ",RIGHT(C21,1))</f>
        <v>Imported Conventional Gasoline, PADD 1, Step 4</v>
      </c>
      <c r="G21" s="9" t="str">
        <f>CONCATENATE(VLOOKUP($A21,Types!$A$2:$C$13,2,FALSE),"P",D21)</f>
        <v>GSCP1</v>
      </c>
      <c r="H21" s="66">
        <f>H18*$C$8</f>
        <v>71.676220000000015</v>
      </c>
      <c r="I21" s="66">
        <f t="shared" ref="I21:K21" si="32">I18*$C$8</f>
        <v>59.63826000000001</v>
      </c>
      <c r="J21" s="66">
        <f t="shared" si="32"/>
        <v>47.088000000000008</v>
      </c>
      <c r="K21" s="66">
        <f t="shared" si="32"/>
        <v>50.979300000000009</v>
      </c>
      <c r="L21" s="67">
        <f>H21*Conv!$J$20/10^6/VLOOKUP($B21,Types!$B$2:$D$13,3,FALSE)/Conv!$I$5</f>
        <v>19.845204484247603</v>
      </c>
      <c r="M21" s="67">
        <f>I21*Conv!$J$20/10^6/VLOOKUP($B21,Types!$B$2:$D$13,3,FALSE)/Conv!$I$5</f>
        <v>16.512219321620538</v>
      </c>
      <c r="N21" s="67" t="e">
        <f>M21*#REF!</f>
        <v>#REF!</v>
      </c>
      <c r="O21" s="67" t="e">
        <f>N21*#REF!</f>
        <v>#REF!</v>
      </c>
      <c r="P21" s="67" t="e">
        <f>O21*#REF!</f>
        <v>#REF!</v>
      </c>
      <c r="Q21" s="67" t="e">
        <f>P21*#REF!</f>
        <v>#REF!</v>
      </c>
      <c r="R21" s="67" t="e">
        <f>Q21*#REF!</f>
        <v>#REF!</v>
      </c>
      <c r="S21" s="67" t="e">
        <f>R21*#REF!</f>
        <v>#REF!</v>
      </c>
      <c r="T21" s="67" t="e">
        <f>S21*#REF!</f>
        <v>#REF!</v>
      </c>
      <c r="U21" s="67" t="e">
        <f>T21*#REF!</f>
        <v>#REF!</v>
      </c>
      <c r="V21" s="67" t="e">
        <f>U21*#REF!</f>
        <v>#REF!</v>
      </c>
      <c r="W21" s="42"/>
      <c r="X21" s="9">
        <f>X18*$E$8</f>
        <v>358.89599999999996</v>
      </c>
      <c r="Y21" s="9">
        <f t="shared" ref="Y21:AA21" si="33">Y18*$E$8</f>
        <v>360.17999999999995</v>
      </c>
      <c r="Z21" s="9">
        <f t="shared" si="33"/>
        <v>344.05199999999996</v>
      </c>
      <c r="AA21" s="9">
        <f t="shared" si="33"/>
        <v>370.64400000000001</v>
      </c>
      <c r="AB21" s="42">
        <f>X21*VLOOKUP($B21,Types!$B$2:$D$13,3,FALSE)*Conv!$I$5*1000*365</f>
        <v>726.01299606886255</v>
      </c>
      <c r="AC21" s="42">
        <f>Y21*VLOOKUP($B21,Types!$B$2:$D$13,3,FALSE)*Conv!$I$5*1000*365</f>
        <v>728.61040781753752</v>
      </c>
      <c r="AD21" s="42">
        <f>Z21*VLOOKUP($B21,Types!$B$2:$D$13,3,FALSE)*Conv!$I$5*1000*365</f>
        <v>695.98497426408858</v>
      </c>
      <c r="AE21" s="42">
        <f>AA21*VLOOKUP($B21,Types!$B$2:$D$13,3,FALSE)*Conv!$I$5*1000*365</f>
        <v>749.77809982542999</v>
      </c>
      <c r="AF21" s="42">
        <f>AB21-AB18</f>
        <v>121.00216601147702</v>
      </c>
      <c r="AG21" s="42">
        <f t="shared" ref="AG21" si="34">AC21-AC18</f>
        <v>121.43506796958957</v>
      </c>
      <c r="AH21" s="42">
        <f t="shared" ref="AH21" si="35">AD21-AD18</f>
        <v>115.99749571068151</v>
      </c>
      <c r="AI21" s="42">
        <f t="shared" ref="AI21" si="36">AE21-AE18</f>
        <v>124.96301663757163</v>
      </c>
      <c r="AJ21" s="42"/>
      <c r="AK21" s="42"/>
      <c r="AL21" s="42"/>
    </row>
    <row r="22" spans="1:38">
      <c r="A22" s="9" t="str">
        <f>A21</f>
        <v>Conventional Mogas</v>
      </c>
      <c r="B22" s="9" t="str">
        <f>VLOOKUP($A22,Types!$A$2:$C$13,2,FALSE)</f>
        <v>GSC</v>
      </c>
      <c r="C22" s="9">
        <v>5</v>
      </c>
      <c r="D22" s="9">
        <v>1</v>
      </c>
      <c r="E22" s="9" t="str">
        <f t="shared" si="1"/>
        <v>IMPGSCP15</v>
      </c>
      <c r="F22" s="9" t="str">
        <f>CONCATENATE("Imported ",VLOOKUP($A22,Types!$A$2:$C$13,3,FALSE),", PADD ",D22,", Step ",RIGHT(C22,1))</f>
        <v>Imported Conventional Gasoline, PADD 1, Step 5</v>
      </c>
      <c r="G22" s="9" t="str">
        <f>CONCATENATE(VLOOKUP($A22,Types!$A$2:$C$13,2,FALSE),"P",D22)</f>
        <v>GSCP1</v>
      </c>
      <c r="H22" s="66">
        <f>H18*$C$9</f>
        <v>85.485400000000013</v>
      </c>
      <c r="I22" s="66">
        <f t="shared" ref="I22:K22" si="37">I18*$C$9</f>
        <v>71.128200000000007</v>
      </c>
      <c r="J22" s="66">
        <f t="shared" si="37"/>
        <v>56.160000000000004</v>
      </c>
      <c r="K22" s="66">
        <f t="shared" si="37"/>
        <v>60.801000000000009</v>
      </c>
      <c r="L22" s="67">
        <f>H22*Conv!$J$20/10^6/VLOOKUP($B22,Types!$B$2:$D$13,3,FALSE)/Conv!$I$5</f>
        <v>23.668592504148517</v>
      </c>
      <c r="M22" s="67">
        <f>I22*Conv!$J$20/10^6/VLOOKUP($B22,Types!$B$2:$D$13,3,FALSE)/Conv!$I$5</f>
        <v>19.693472585418988</v>
      </c>
      <c r="N22" s="67" t="e">
        <f>M22*#REF!</f>
        <v>#REF!</v>
      </c>
      <c r="O22" s="67" t="e">
        <f>N22*#REF!</f>
        <v>#REF!</v>
      </c>
      <c r="P22" s="67" t="e">
        <f>O22*#REF!</f>
        <v>#REF!</v>
      </c>
      <c r="Q22" s="67" t="e">
        <f>P22*#REF!</f>
        <v>#REF!</v>
      </c>
      <c r="R22" s="67" t="e">
        <f>Q22*#REF!</f>
        <v>#REF!</v>
      </c>
      <c r="S22" s="67" t="e">
        <f>R22*#REF!</f>
        <v>#REF!</v>
      </c>
      <c r="T22" s="67" t="e">
        <f>S22*#REF!</f>
        <v>#REF!</v>
      </c>
      <c r="U22" s="67" t="e">
        <f>T22*#REF!</f>
        <v>#REF!</v>
      </c>
      <c r="V22" s="67" t="e">
        <f>U22*#REF!</f>
        <v>#REF!</v>
      </c>
      <c r="W22" s="42"/>
      <c r="X22" s="9">
        <f>X18*$E$9</f>
        <v>598.16</v>
      </c>
      <c r="Y22" s="9">
        <f t="shared" ref="Y22:AA22" si="38">Y18*$E$9</f>
        <v>600.29999999999995</v>
      </c>
      <c r="Z22" s="9">
        <f t="shared" si="38"/>
        <v>573.41999999999996</v>
      </c>
      <c r="AA22" s="9">
        <f t="shared" si="38"/>
        <v>617.74</v>
      </c>
      <c r="AB22" s="42">
        <f>X22*VLOOKUP($B22,Types!$B$2:$D$13,3,FALSE)*Conv!$I$5*1000*365</f>
        <v>1210.0216601147711</v>
      </c>
      <c r="AC22" s="42">
        <f>Y22*VLOOKUP($B22,Types!$B$2:$D$13,3,FALSE)*Conv!$I$5*1000*365</f>
        <v>1214.3506796958959</v>
      </c>
      <c r="AD22" s="42">
        <f>Z22*VLOOKUP($B22,Types!$B$2:$D$13,3,FALSE)*Conv!$I$5*1000*365</f>
        <v>1159.9749571068141</v>
      </c>
      <c r="AE22" s="42">
        <f>AA22*VLOOKUP($B22,Types!$B$2:$D$13,3,FALSE)*Conv!$I$5*1000*365</f>
        <v>1249.6301663757167</v>
      </c>
      <c r="AF22" s="42">
        <f>AB22-AB21</f>
        <v>484.00866404590852</v>
      </c>
      <c r="AG22" s="42">
        <f t="shared" ref="AG22" si="39">AC22-AC21</f>
        <v>485.74027187835839</v>
      </c>
      <c r="AH22" s="42">
        <f t="shared" ref="AH22" si="40">AD22-AD21</f>
        <v>463.98998284272557</v>
      </c>
      <c r="AI22" s="42">
        <f t="shared" ref="AI22" si="41">AE22-AE21</f>
        <v>499.85206655028674</v>
      </c>
      <c r="AJ22" s="42"/>
      <c r="AK22" s="42"/>
      <c r="AL22" s="42"/>
    </row>
    <row r="23" spans="1:38">
      <c r="A23" s="9" t="str">
        <f>'Agg prdcrv'!$A$8</f>
        <v>Heating No. 2</v>
      </c>
      <c r="B23" s="9" t="str">
        <f>VLOOKUP($A23,Types!$A$2:$C$13,2,FALSE)</f>
        <v>DSH</v>
      </c>
      <c r="C23" s="9">
        <v>3</v>
      </c>
      <c r="D23" s="9">
        <v>1</v>
      </c>
      <c r="E23" s="9" t="str">
        <f t="shared" si="1"/>
        <v>IMPDSHP13</v>
      </c>
      <c r="F23" s="9" t="str">
        <f>CONCATENATE("Imported ",VLOOKUP($A23,Types!$A$2:$C$13,3,FALSE),", PADD ",D23,", Step ",RIGHT(C23,1))</f>
        <v>Imported Distillate-Heating Oil No. 2, PADD 1, Step 3</v>
      </c>
      <c r="G23" s="9" t="str">
        <f>CONCATENATE(VLOOKUP($A23,Types!$A$2:$C$13,2,FALSE),"P",D23)</f>
        <v>DSHP1</v>
      </c>
      <c r="H23" s="66">
        <f>SUMIFS('Agg prdcrv'!$L$6:$L$100,'Agg prdcrv'!$A$6:$A$100,'Imp Refined'!$A23,'Agg prdcrv'!$B$6:$B$100,H$11)*K4</f>
        <v>55.913000000000004</v>
      </c>
      <c r="I23" s="66">
        <f>SUMIFS('Agg prdcrv'!$L$6:$L$100,'Agg prdcrv'!$A$6:$A$100,'Imp Refined'!$A23,'Agg prdcrv'!$B$6:$B$100,I$11)*K4</f>
        <v>50.027999999999999</v>
      </c>
      <c r="J23" s="66">
        <f t="array" ref="J23">SUMIFS('Agg prdcrv'!$L$6:$L$100,'Agg prdcrv'!$A$6:$A$100,'Imp Refined'!$A23,'Agg prdcrv'!$B$6:$B$100,J$11)</f>
        <v>37.53</v>
      </c>
      <c r="K23" s="66">
        <f t="array" ref="K23">SUMIFS('Agg prdcrv'!$L$6:$L$100,'Agg prdcrv'!$A$6:$A$100,'Imp Refined'!$A23,'Agg prdcrv'!$B$6:$B$100,K$11)</f>
        <v>40.57</v>
      </c>
      <c r="L23" s="67">
        <f>H23*Conv!$J$20/10^6/VLOOKUP($B23,Types!$B$2:$D$13,3,FALSE)/Conv!$I$5</f>
        <v>13.960621426460175</v>
      </c>
      <c r="M23" s="67">
        <f>I23*Conv!$J$20/10^6/VLOOKUP($B23,Types!$B$2:$D$13,3,FALSE)/Conv!$I$5</f>
        <v>12.491226883246286</v>
      </c>
      <c r="N23" s="67" t="e">
        <f>M23*#REF!</f>
        <v>#REF!</v>
      </c>
      <c r="O23" s="67" t="e">
        <f>N23*#REF!</f>
        <v>#REF!</v>
      </c>
      <c r="P23" s="67" t="e">
        <f>O23*#REF!</f>
        <v>#REF!</v>
      </c>
      <c r="Q23" s="67" t="e">
        <f>P23*#REF!</f>
        <v>#REF!</v>
      </c>
      <c r="R23" s="67" t="e">
        <f>Q23*#REF!</f>
        <v>#REF!</v>
      </c>
      <c r="S23" s="67" t="e">
        <f>R23*#REF!</f>
        <v>#REF!</v>
      </c>
      <c r="T23" s="67" t="e">
        <f>S23*#REF!</f>
        <v>#REF!</v>
      </c>
      <c r="U23" s="67" t="e">
        <f>T23*#REF!</f>
        <v>#REF!</v>
      </c>
      <c r="V23" s="67" t="e">
        <f>U23*#REF!</f>
        <v>#REF!</v>
      </c>
      <c r="W23" s="42"/>
      <c r="X23" s="9">
        <f t="array" ref="X23">SUMIFS('Agg prdcrv'!$D$6:$D$100,'Agg prdcrv'!$A$6:$A$100,'Imp Refined'!$A23,'Agg prdcrv'!$B$6:$B$100,X$11)</f>
        <v>206.68</v>
      </c>
      <c r="Y23" s="9">
        <f t="array" ref="Y23">SUMIFS('Agg prdcrv'!$D$6:$D$100,'Agg prdcrv'!$A$6:$A$100,'Imp Refined'!$A23,'Agg prdcrv'!$B$6:$B$100,Y$11)</f>
        <v>200.4</v>
      </c>
      <c r="Z23" s="9">
        <f t="array" ref="Z23">SUMIFS('Agg prdcrv'!$D$6:$D$100,'Agg prdcrv'!$A$6:$A$100,'Imp Refined'!$A23,'Agg prdcrv'!$B$6:$B$100,Z$11)</f>
        <v>182.61</v>
      </c>
      <c r="AA23" s="9">
        <f t="array" ref="AA23">SUMIFS('Agg prdcrv'!$D$6:$D$100,'Agg prdcrv'!$A$6:$A$100,'Imp Refined'!$A23,'Agg prdcrv'!$B$6:$B$100,AA$11)</f>
        <v>201.62</v>
      </c>
      <c r="AB23" s="42">
        <f>X23*VLOOKUP($B23,Types!$B$2:$D$13,3,FALSE)*Conv!$I$5*1000*365</f>
        <v>463.62063626584001</v>
      </c>
      <c r="AC23" s="42">
        <f>Y23*VLOOKUP($B23,Types!$B$2:$D$13,3,FALSE)*Conv!$I$5*1000*365</f>
        <v>449.5334599752</v>
      </c>
      <c r="AD23" s="42">
        <f>Z23*VLOOKUP($B23,Types!$B$2:$D$13,3,FALSE)*Conv!$I$5*1000*365</f>
        <v>409.62727108817995</v>
      </c>
      <c r="AE23" s="42">
        <f>AA23*VLOOKUP($B23,Types!$B$2:$D$13,3,FALSE)*Conv!$I$5*1000*365</f>
        <v>452.27014071955995</v>
      </c>
      <c r="AF23" s="42">
        <f>AB23-AB25</f>
        <v>46.362063626584018</v>
      </c>
      <c r="AG23" s="42">
        <f t="shared" ref="AG23" si="42">AC23-AC25</f>
        <v>44.953345997519989</v>
      </c>
      <c r="AH23" s="42">
        <f t="shared" ref="AH23" si="43">AD23-AD25</f>
        <v>40.962727108817944</v>
      </c>
      <c r="AI23" s="42">
        <f t="shared" ref="AI23" si="44">AE23-AE25</f>
        <v>45.227014071955921</v>
      </c>
      <c r="AJ23" s="42"/>
      <c r="AK23" s="42"/>
      <c r="AL23" s="42"/>
    </row>
    <row r="24" spans="1:38">
      <c r="A24" s="9" t="str">
        <f>A23</f>
        <v>Heating No. 2</v>
      </c>
      <c r="B24" s="9" t="str">
        <f>VLOOKUP($A24,Types!$A$2:$C$13,2,FALSE)</f>
        <v>DSH</v>
      </c>
      <c r="C24" s="9">
        <v>1</v>
      </c>
      <c r="D24" s="9">
        <v>1</v>
      </c>
      <c r="E24" s="9" t="str">
        <f t="shared" si="1"/>
        <v>IMPDSHP11</v>
      </c>
      <c r="F24" s="9" t="str">
        <f>CONCATENATE("Imported ",VLOOKUP($A24,Types!$A$2:$C$13,3,FALSE),", PADD ",D24,", Step ",RIGHT(C24,1))</f>
        <v>Imported Distillate-Heating Oil No. 2, PADD 1, Step 1</v>
      </c>
      <c r="G24" s="9" t="str">
        <f>CONCATENATE(VLOOKUP($A24,Types!$A$2:$C$13,2,FALSE),"P",D24)</f>
        <v>DSHP1</v>
      </c>
      <c r="H24" s="66">
        <f>H23*$C$5</f>
        <v>53.117350000000002</v>
      </c>
      <c r="I24" s="66">
        <f t="shared" ref="I24" si="45">I23*$C$5</f>
        <v>47.526599999999995</v>
      </c>
      <c r="J24" s="66">
        <f t="shared" ref="J24" si="46">J23*$C$5</f>
        <v>35.653500000000001</v>
      </c>
      <c r="K24" s="66">
        <f t="shared" ref="K24" si="47">K23*$C$5</f>
        <v>38.541499999999999</v>
      </c>
      <c r="L24" s="67">
        <f>H24*Conv!$J$20/10^6/VLOOKUP($B24,Types!$B$2:$D$13,3,FALSE)/Conv!$I$5</f>
        <v>13.262590355137165</v>
      </c>
      <c r="M24" s="67">
        <f>I24*Conv!$J$20/10^6/VLOOKUP($B24,Types!$B$2:$D$13,3,FALSE)/Conv!$I$5</f>
        <v>11.86666553908397</v>
      </c>
      <c r="N24" s="67" t="e">
        <f>M24*#REF!</f>
        <v>#REF!</v>
      </c>
      <c r="O24" s="67" t="e">
        <f>N24*#REF!</f>
        <v>#REF!</v>
      </c>
      <c r="P24" s="67" t="e">
        <f>O24*#REF!</f>
        <v>#REF!</v>
      </c>
      <c r="Q24" s="67" t="e">
        <f>P24*#REF!</f>
        <v>#REF!</v>
      </c>
      <c r="R24" s="67" t="e">
        <f>Q24*#REF!</f>
        <v>#REF!</v>
      </c>
      <c r="S24" s="67" t="e">
        <f>R24*#REF!</f>
        <v>#REF!</v>
      </c>
      <c r="T24" s="67" t="e">
        <f>S24*#REF!</f>
        <v>#REF!</v>
      </c>
      <c r="U24" s="67" t="e">
        <f>T24*#REF!</f>
        <v>#REF!</v>
      </c>
      <c r="V24" s="67" t="e">
        <f>U24*#REF!</f>
        <v>#REF!</v>
      </c>
      <c r="W24" s="42"/>
      <c r="X24" s="9">
        <f>X23*$E$5</f>
        <v>165.34400000000002</v>
      </c>
      <c r="Y24" s="9">
        <f t="shared" ref="Y24" si="48">Y23*$E$5</f>
        <v>160.32000000000002</v>
      </c>
      <c r="Z24" s="9">
        <f t="shared" ref="Z24" si="49">Z23*$E$5</f>
        <v>146.08800000000002</v>
      </c>
      <c r="AA24" s="9">
        <f t="shared" ref="AA24" si="50">AA23*$E$5</f>
        <v>161.29600000000002</v>
      </c>
      <c r="AB24" s="42">
        <f>X24*VLOOKUP($B24,Types!$B$2:$D$13,3,FALSE)*Conv!$I$5*1000*365</f>
        <v>370.89650901267203</v>
      </c>
      <c r="AC24" s="42">
        <f>Y24*VLOOKUP($B24,Types!$B$2:$D$13,3,FALSE)*Conv!$I$5*1000*365</f>
        <v>359.62676798016008</v>
      </c>
      <c r="AD24" s="42">
        <f>Z24*VLOOKUP($B24,Types!$B$2:$D$13,3,FALSE)*Conv!$I$5*1000*365</f>
        <v>327.70181687054406</v>
      </c>
      <c r="AE24" s="42">
        <f>AA24*VLOOKUP($B24,Types!$B$2:$D$13,3,FALSE)*Conv!$I$5*1000*365</f>
        <v>361.81611257564805</v>
      </c>
      <c r="AF24" s="42">
        <f>AB24</f>
        <v>370.89650901267203</v>
      </c>
      <c r="AG24" s="42">
        <f t="shared" ref="AG24" si="51">AC24</f>
        <v>359.62676798016008</v>
      </c>
      <c r="AH24" s="42">
        <f t="shared" ref="AH24" si="52">AD24</f>
        <v>327.70181687054406</v>
      </c>
      <c r="AI24" s="42">
        <f t="shared" ref="AI24" si="53">AE24</f>
        <v>361.81611257564805</v>
      </c>
      <c r="AJ24" s="42"/>
      <c r="AK24" s="42"/>
      <c r="AL24" s="42"/>
    </row>
    <row r="25" spans="1:38">
      <c r="A25" s="9" t="str">
        <f>A24</f>
        <v>Heating No. 2</v>
      </c>
      <c r="B25" s="9" t="str">
        <f>VLOOKUP($A25,Types!$A$2:$C$13,2,FALSE)</f>
        <v>DSH</v>
      </c>
      <c r="C25" s="9">
        <v>2</v>
      </c>
      <c r="D25" s="9">
        <v>1</v>
      </c>
      <c r="E25" s="9" t="str">
        <f t="shared" si="1"/>
        <v>IMPDSHP12</v>
      </c>
      <c r="F25" s="9" t="str">
        <f>CONCATENATE("Imported ",VLOOKUP($A25,Types!$A$2:$C$13,3,FALSE),", PADD ",D25,", Step ",RIGHT(C25,1))</f>
        <v>Imported Distillate-Heating Oil No. 2, PADD 1, Step 2</v>
      </c>
      <c r="G25" s="9" t="str">
        <f>CONCATENATE(VLOOKUP($A25,Types!$A$2:$C$13,2,FALSE),"P",D25)</f>
        <v>DSHP1</v>
      </c>
      <c r="H25" s="66">
        <f>H23*$C$6</f>
        <v>54.794740000000004</v>
      </c>
      <c r="I25" s="66">
        <f t="shared" ref="I25:K25" si="54">I23*$C$6</f>
        <v>49.027439999999999</v>
      </c>
      <c r="J25" s="66">
        <f t="shared" si="54"/>
        <v>36.779400000000003</v>
      </c>
      <c r="K25" s="66">
        <f t="shared" si="54"/>
        <v>39.758600000000001</v>
      </c>
      <c r="L25" s="67">
        <f>H25*Conv!$J$20/10^6/VLOOKUP($B25,Types!$B$2:$D$13,3,FALSE)/Conv!$I$5</f>
        <v>13.681408997930971</v>
      </c>
      <c r="M25" s="67">
        <f>I25*Conv!$J$20/10^6/VLOOKUP($B25,Types!$B$2:$D$13,3,FALSE)/Conv!$I$5</f>
        <v>12.24140234558136</v>
      </c>
      <c r="N25" s="67" t="e">
        <f>M25*#REF!</f>
        <v>#REF!</v>
      </c>
      <c r="O25" s="67" t="e">
        <f>N25*#REF!</f>
        <v>#REF!</v>
      </c>
      <c r="P25" s="67" t="e">
        <f>O25*#REF!</f>
        <v>#REF!</v>
      </c>
      <c r="Q25" s="67" t="e">
        <f>P25*#REF!</f>
        <v>#REF!</v>
      </c>
      <c r="R25" s="67" t="e">
        <f>Q25*#REF!</f>
        <v>#REF!</v>
      </c>
      <c r="S25" s="67" t="e">
        <f>R25*#REF!</f>
        <v>#REF!</v>
      </c>
      <c r="T25" s="67" t="e">
        <f>S25*#REF!</f>
        <v>#REF!</v>
      </c>
      <c r="U25" s="67" t="e">
        <f>T25*#REF!</f>
        <v>#REF!</v>
      </c>
      <c r="V25" s="67" t="e">
        <f>U25*#REF!</f>
        <v>#REF!</v>
      </c>
      <c r="W25" s="42"/>
      <c r="X25" s="9">
        <f>X23*$E$6</f>
        <v>186.012</v>
      </c>
      <c r="Y25" s="9">
        <f t="shared" ref="Y25:AA25" si="55">Y23*$E$6</f>
        <v>180.36</v>
      </c>
      <c r="Z25" s="9">
        <f t="shared" si="55"/>
        <v>164.34900000000002</v>
      </c>
      <c r="AA25" s="9">
        <f t="shared" si="55"/>
        <v>181.458</v>
      </c>
      <c r="AB25" s="42">
        <f>X25*VLOOKUP($B25,Types!$B$2:$D$13,3,FALSE)*Conv!$I$5*1000*365</f>
        <v>417.25857263925599</v>
      </c>
      <c r="AC25" s="42">
        <f>Y25*VLOOKUP($B25,Types!$B$2:$D$13,3,FALSE)*Conv!$I$5*1000*365</f>
        <v>404.58011397768001</v>
      </c>
      <c r="AD25" s="42">
        <f>Z25*VLOOKUP($B25,Types!$B$2:$D$13,3,FALSE)*Conv!$I$5*1000*365</f>
        <v>368.66454397936201</v>
      </c>
      <c r="AE25" s="42">
        <f>AA25*VLOOKUP($B25,Types!$B$2:$D$13,3,FALSE)*Conv!$I$5*1000*365</f>
        <v>407.04312664760403</v>
      </c>
      <c r="AF25" s="42">
        <f>AB25-AF24</f>
        <v>46.362063626583961</v>
      </c>
      <c r="AG25" s="42">
        <f t="shared" ref="AG25" si="56">AC25-AG24</f>
        <v>44.953345997519932</v>
      </c>
      <c r="AH25" s="42">
        <f t="shared" ref="AH25" si="57">AD25-AH24</f>
        <v>40.962727108817944</v>
      </c>
      <c r="AI25" s="42">
        <f t="shared" ref="AI25" si="58">AE25-AI24</f>
        <v>45.227014071955978</v>
      </c>
      <c r="AJ25" s="42"/>
      <c r="AK25" s="42"/>
      <c r="AL25" s="42"/>
    </row>
    <row r="26" spans="1:38">
      <c r="A26" s="9" t="str">
        <f>A25</f>
        <v>Heating No. 2</v>
      </c>
      <c r="B26" s="9" t="str">
        <f>VLOOKUP($A26,Types!$A$2:$C$13,2,FALSE)</f>
        <v>DSH</v>
      </c>
      <c r="C26" s="9">
        <v>4</v>
      </c>
      <c r="D26" s="9">
        <v>1</v>
      </c>
      <c r="E26" s="9" t="str">
        <f t="shared" si="1"/>
        <v>IMPDSHP14</v>
      </c>
      <c r="F26" s="9" t="str">
        <f>CONCATENATE("Imported ",VLOOKUP($A26,Types!$A$2:$C$13,3,FALSE),", PADD ",D26,", Step ",RIGHT(C26,1))</f>
        <v>Imported Distillate-Heating Oil No. 2, PADD 1, Step 4</v>
      </c>
      <c r="G26" s="9" t="str">
        <f>CONCATENATE(VLOOKUP($A26,Types!$A$2:$C$13,2,FALSE),"P",D26)</f>
        <v>DSHP1</v>
      </c>
      <c r="H26" s="66">
        <f>H23*$C$8</f>
        <v>60.945170000000012</v>
      </c>
      <c r="I26" s="66">
        <f t="shared" ref="I26:K26" si="59">I23*$C$8</f>
        <v>54.530520000000003</v>
      </c>
      <c r="J26" s="66">
        <f t="shared" si="59"/>
        <v>40.907700000000006</v>
      </c>
      <c r="K26" s="66">
        <f t="shared" si="59"/>
        <v>44.221300000000006</v>
      </c>
      <c r="L26" s="67">
        <f>H26*Conv!$J$20/10^6/VLOOKUP($B26,Types!$B$2:$D$13,3,FALSE)/Conv!$I$5</f>
        <v>15.217077354841594</v>
      </c>
      <c r="M26" s="67">
        <f>I26*Conv!$J$20/10^6/VLOOKUP($B26,Types!$B$2:$D$13,3,FALSE)/Conv!$I$5</f>
        <v>13.615437302738453</v>
      </c>
      <c r="N26" s="67" t="e">
        <f>M26*#REF!</f>
        <v>#REF!</v>
      </c>
      <c r="O26" s="67" t="e">
        <f>N26*#REF!</f>
        <v>#REF!</v>
      </c>
      <c r="P26" s="67" t="e">
        <f>O26*#REF!</f>
        <v>#REF!</v>
      </c>
      <c r="Q26" s="67" t="e">
        <f>P26*#REF!</f>
        <v>#REF!</v>
      </c>
      <c r="R26" s="67" t="e">
        <f>Q26*#REF!</f>
        <v>#REF!</v>
      </c>
      <c r="S26" s="67" t="e">
        <f>R26*#REF!</f>
        <v>#REF!</v>
      </c>
      <c r="T26" s="67" t="e">
        <f>S26*#REF!</f>
        <v>#REF!</v>
      </c>
      <c r="U26" s="67" t="e">
        <f>T26*#REF!</f>
        <v>#REF!</v>
      </c>
      <c r="V26" s="67" t="e">
        <f>U26*#REF!</f>
        <v>#REF!</v>
      </c>
      <c r="W26" s="42"/>
      <c r="X26" s="9">
        <f>X23*$E$8</f>
        <v>248.01599999999999</v>
      </c>
      <c r="Y26" s="9">
        <f t="shared" ref="Y26:AA26" si="60">Y23*$E$8</f>
        <v>240.48</v>
      </c>
      <c r="Z26" s="9">
        <f t="shared" si="60"/>
        <v>219.13200000000001</v>
      </c>
      <c r="AA26" s="9">
        <f t="shared" si="60"/>
        <v>241.94399999999999</v>
      </c>
      <c r="AB26" s="42">
        <f>X26*VLOOKUP($B26,Types!$B$2:$D$13,3,FALSE)*Conv!$I$5*1000*365</f>
        <v>556.34476351900798</v>
      </c>
      <c r="AC26" s="42">
        <f>Y26*VLOOKUP($B26,Types!$B$2:$D$13,3,FALSE)*Conv!$I$5*1000*365</f>
        <v>539.44015197023998</v>
      </c>
      <c r="AD26" s="42">
        <f>Z26*VLOOKUP($B26,Types!$B$2:$D$13,3,FALSE)*Conv!$I$5*1000*365</f>
        <v>491.55272530581601</v>
      </c>
      <c r="AE26" s="42">
        <f>AA26*VLOOKUP($B26,Types!$B$2:$D$13,3,FALSE)*Conv!$I$5*1000*365</f>
        <v>542.72416886347185</v>
      </c>
      <c r="AF26" s="42">
        <f>AB26-AB23</f>
        <v>92.724127253167978</v>
      </c>
      <c r="AG26" s="42">
        <f t="shared" ref="AG26" si="61">AC26-AC23</f>
        <v>89.906691995039978</v>
      </c>
      <c r="AH26" s="42">
        <f t="shared" ref="AH26" si="62">AD26-AD23</f>
        <v>81.925454217636059</v>
      </c>
      <c r="AI26" s="42">
        <f t="shared" ref="AI26" si="63">AE26-AE23</f>
        <v>90.454028143911898</v>
      </c>
      <c r="AJ26" s="42"/>
      <c r="AK26" s="42"/>
      <c r="AL26" s="42"/>
    </row>
    <row r="27" spans="1:38">
      <c r="A27" s="9" t="str">
        <f>A26</f>
        <v>Heating No. 2</v>
      </c>
      <c r="B27" s="9" t="str">
        <f>VLOOKUP($A27,Types!$A$2:$C$13,2,FALSE)</f>
        <v>DSH</v>
      </c>
      <c r="C27" s="9">
        <v>5</v>
      </c>
      <c r="D27" s="9">
        <v>1</v>
      </c>
      <c r="E27" s="9" t="str">
        <f t="shared" si="1"/>
        <v>IMPDSHP15</v>
      </c>
      <c r="F27" s="9" t="str">
        <f>CONCATENATE("Imported ",VLOOKUP($A27,Types!$A$2:$C$13,3,FALSE),", PADD ",D27,", Step ",RIGHT(C27,1))</f>
        <v>Imported Distillate-Heating Oil No. 2, PADD 1, Step 5</v>
      </c>
      <c r="G27" s="9" t="str">
        <f>CONCATENATE(VLOOKUP($A27,Types!$A$2:$C$13,2,FALSE),"P",D27)</f>
        <v>DSHP1</v>
      </c>
      <c r="H27" s="66">
        <f>H23*$C$9</f>
        <v>72.686900000000009</v>
      </c>
      <c r="I27" s="66">
        <f t="shared" ref="I27:K27" si="64">I23*$C$9</f>
        <v>65.0364</v>
      </c>
      <c r="J27" s="66">
        <f t="shared" si="64"/>
        <v>48.789000000000001</v>
      </c>
      <c r="K27" s="66">
        <f t="shared" si="64"/>
        <v>52.741</v>
      </c>
      <c r="L27" s="67">
        <f>H27*Conv!$J$20/10^6/VLOOKUP($B27,Types!$B$2:$D$13,3,FALSE)/Conv!$I$5</f>
        <v>18.148807854398228</v>
      </c>
      <c r="M27" s="67">
        <f>I27*Conv!$J$20/10^6/VLOOKUP($B27,Types!$B$2:$D$13,3,FALSE)/Conv!$I$5</f>
        <v>16.238594948220172</v>
      </c>
      <c r="N27" s="67" t="e">
        <f>M27*#REF!</f>
        <v>#REF!</v>
      </c>
      <c r="O27" s="67" t="e">
        <f>N27*#REF!</f>
        <v>#REF!</v>
      </c>
      <c r="P27" s="67" t="e">
        <f>O27*#REF!</f>
        <v>#REF!</v>
      </c>
      <c r="Q27" s="67" t="e">
        <f>P27*#REF!</f>
        <v>#REF!</v>
      </c>
      <c r="R27" s="67" t="e">
        <f>Q27*#REF!</f>
        <v>#REF!</v>
      </c>
      <c r="S27" s="67" t="e">
        <f>R27*#REF!</f>
        <v>#REF!</v>
      </c>
      <c r="T27" s="67" t="e">
        <f>S27*#REF!</f>
        <v>#REF!</v>
      </c>
      <c r="U27" s="67" t="e">
        <f>T27*#REF!</f>
        <v>#REF!</v>
      </c>
      <c r="V27" s="67" t="e">
        <f>U27*#REF!</f>
        <v>#REF!</v>
      </c>
      <c r="W27" s="42"/>
      <c r="X27" s="9">
        <f>X23*$E$9</f>
        <v>413.36</v>
      </c>
      <c r="Y27" s="9">
        <f t="shared" ref="Y27:AA27" si="65">Y23*$E$9</f>
        <v>400.8</v>
      </c>
      <c r="Z27" s="9">
        <f t="shared" si="65"/>
        <v>365.22</v>
      </c>
      <c r="AA27" s="9">
        <f t="shared" si="65"/>
        <v>403.24</v>
      </c>
      <c r="AB27" s="42">
        <f>X27*VLOOKUP($B27,Types!$B$2:$D$13,3,FALSE)*Conv!$I$5*1000*365</f>
        <v>927.24127253168001</v>
      </c>
      <c r="AC27" s="42">
        <f>Y27*VLOOKUP($B27,Types!$B$2:$D$13,3,FALSE)*Conv!$I$5*1000*365</f>
        <v>899.06691995040001</v>
      </c>
      <c r="AD27" s="42">
        <f>Z27*VLOOKUP($B27,Types!$B$2:$D$13,3,FALSE)*Conv!$I$5*1000*365</f>
        <v>819.25454217635991</v>
      </c>
      <c r="AE27" s="42">
        <f>AA27*VLOOKUP($B27,Types!$B$2:$D$13,3,FALSE)*Conv!$I$5*1000*365</f>
        <v>904.54028143911989</v>
      </c>
      <c r="AF27" s="42">
        <f>AB27-AB26</f>
        <v>370.89650901267203</v>
      </c>
      <c r="AG27" s="42">
        <f t="shared" ref="AG27" si="66">AC27-AC26</f>
        <v>359.62676798016003</v>
      </c>
      <c r="AH27" s="42">
        <f t="shared" ref="AH27" si="67">AD27-AD26</f>
        <v>327.70181687054389</v>
      </c>
      <c r="AI27" s="42">
        <f t="shared" ref="AI27" si="68">AE27-AE26</f>
        <v>361.81611257564805</v>
      </c>
      <c r="AJ27" s="42"/>
      <c r="AK27" s="42"/>
      <c r="AL27" s="42"/>
    </row>
    <row r="28" spans="1:38">
      <c r="A28" s="9" t="str">
        <f>'Agg prdcrv'!$A$9</f>
        <v>LS Diesel (500 ppm)</v>
      </c>
      <c r="B28" s="9" t="str">
        <f>VLOOKUP($A28,Types!$A$2:$C$13,2,FALSE)</f>
        <v>DSL</v>
      </c>
      <c r="C28" s="9">
        <v>3</v>
      </c>
      <c r="D28" s="9">
        <v>1</v>
      </c>
      <c r="E28" s="9" t="str">
        <f t="shared" si="1"/>
        <v>IMPDSLP13</v>
      </c>
      <c r="F28" s="9" t="str">
        <f>CONCATENATE("Imported ",VLOOKUP($A28,Types!$A$2:$C$13,3,FALSE),", PADD ",D28,", Step ",RIGHT(C28,1))</f>
        <v>Imported Distillate-Low Sulfur Highway Diesel (500 ppm), PADD 1, Step 3</v>
      </c>
      <c r="G28" s="9" t="str">
        <f>CONCATENATE(VLOOKUP($A28,Types!$A$2:$C$13,2,FALSE),"P",D28)</f>
        <v>DSLP1</v>
      </c>
      <c r="H28" s="66">
        <f>SUMIFS('Agg prdcrv'!$L$6:$L$100,'Agg prdcrv'!$A$6:$A$100,'Imp Refined'!$A28,'Agg prdcrv'!$B$6:$B$100,H$11)*K4</f>
        <v>57.574000000000005</v>
      </c>
      <c r="I28" s="66">
        <f>SUMIFS('Agg prdcrv'!$L$6:$L$100,'Agg prdcrv'!$A$6:$A$100,'Imp Refined'!$A28,'Agg prdcrv'!$B$6:$B$100,I$11)*K4</f>
        <v>50.886000000000003</v>
      </c>
      <c r="J28" s="66">
        <f t="array" ref="J28">SUMIFS('Agg prdcrv'!$L$6:$L$100,'Agg prdcrv'!$A$6:$A$100,'Imp Refined'!$A28,'Agg prdcrv'!$B$6:$B$100,J$11)</f>
        <v>113.56</v>
      </c>
      <c r="K28" s="66">
        <f t="array" ref="K28">SUMIFS('Agg prdcrv'!$L$6:$L$100,'Agg prdcrv'!$A$6:$A$100,'Imp Refined'!$A28,'Agg prdcrv'!$B$6:$B$100,K$11)</f>
        <v>113.56</v>
      </c>
      <c r="L28" s="67">
        <f>H28*Conv!$J$20/10^6/VLOOKUP($B28,Types!$B$2:$D$13,3,FALSE)/Conv!$I$5</f>
        <v>14.375347736787832</v>
      </c>
      <c r="M28" s="67">
        <f>I28*Conv!$J$20/10^6/VLOOKUP($B28,Types!$B$2:$D$13,3,FALSE)/Conv!$I$5</f>
        <v>12.705456368051301</v>
      </c>
      <c r="N28" s="67" t="e">
        <f>M28*#REF!</f>
        <v>#REF!</v>
      </c>
      <c r="O28" s="67" t="e">
        <f>N28*#REF!</f>
        <v>#REF!</v>
      </c>
      <c r="P28" s="67" t="e">
        <f>O28*#REF!</f>
        <v>#REF!</v>
      </c>
      <c r="Q28" s="67" t="e">
        <f>P28*#REF!</f>
        <v>#REF!</v>
      </c>
      <c r="R28" s="67" t="e">
        <f>Q28*#REF!</f>
        <v>#REF!</v>
      </c>
      <c r="S28" s="67" t="e">
        <f>R28*#REF!</f>
        <v>#REF!</v>
      </c>
      <c r="T28" s="67" t="e">
        <f>S28*#REF!</f>
        <v>#REF!</v>
      </c>
      <c r="U28" s="67" t="e">
        <f>T28*#REF!</f>
        <v>#REF!</v>
      </c>
      <c r="V28" s="67" t="e">
        <f>U28*#REF!</f>
        <v>#REF!</v>
      </c>
      <c r="W28" s="42"/>
      <c r="X28" s="9">
        <f t="array" ref="X28">SUMIFS('Agg prdcrv'!$D$6:$D$100,'Agg prdcrv'!$A$6:$A$100,'Imp Refined'!$A28,'Agg prdcrv'!$B$6:$B$100,X$11)</f>
        <v>124.23</v>
      </c>
      <c r="Y28" s="9">
        <f t="array" ref="Y28">SUMIFS('Agg prdcrv'!$D$6:$D$100,'Agg prdcrv'!$A$6:$A$100,'Imp Refined'!$A28,'Agg prdcrv'!$B$6:$B$100,Y$11)</f>
        <v>20.2</v>
      </c>
      <c r="Z28" s="9">
        <f t="array" ref="Z28">SUMIFS('Agg prdcrv'!$D$6:$D$100,'Agg prdcrv'!$A$6:$A$100,'Imp Refined'!$A28,'Agg prdcrv'!$B$6:$B$100,Z$11)</f>
        <v>4.79</v>
      </c>
      <c r="AA28" s="9">
        <f t="array" ref="AA28">SUMIFS('Agg prdcrv'!$D$6:$D$100,'Agg prdcrv'!$A$6:$A$100,'Imp Refined'!$A28,'Agg prdcrv'!$B$6:$B$100,AA$11)</f>
        <v>1.1399999999999999</v>
      </c>
      <c r="AB28" s="42">
        <f>X28*VLOOKUP($B28,Types!$B$2:$D$13,3,FALSE)*Conv!$I$5*1000*365</f>
        <v>278.67036792773996</v>
      </c>
      <c r="AC28" s="42">
        <f>Y28*VLOOKUP($B28,Types!$B$2:$D$13,3,FALSE)*Conv!$I$5*1000*365</f>
        <v>45.312254947599996</v>
      </c>
      <c r="AD28" s="42">
        <f>Z28*VLOOKUP($B28,Types!$B$2:$D$13,3,FALSE)*Conv!$I$5*1000*365</f>
        <v>10.74483669302</v>
      </c>
      <c r="AE28" s="42">
        <f>AA28*VLOOKUP($B28,Types!$B$2:$D$13,3,FALSE)*Conv!$I$5*1000*365</f>
        <v>2.5572262693199996</v>
      </c>
      <c r="AF28" s="42">
        <f>AB28-AB30</f>
        <v>27.867036792773973</v>
      </c>
      <c r="AG28" s="42">
        <f t="shared" ref="AG28" si="69">AC28-AC30</f>
        <v>4.531225494760001</v>
      </c>
      <c r="AH28" s="42">
        <f t="shared" ref="AH28" si="70">AD28-AD30</f>
        <v>1.0744836693019995</v>
      </c>
      <c r="AI28" s="42">
        <f t="shared" ref="AI28" si="71">AE28-AE30</f>
        <v>0.25572262693199965</v>
      </c>
      <c r="AJ28" s="42"/>
      <c r="AK28" s="42"/>
      <c r="AL28" s="42"/>
    </row>
    <row r="29" spans="1:38">
      <c r="A29" s="9" t="str">
        <f>A28</f>
        <v>LS Diesel (500 ppm)</v>
      </c>
      <c r="B29" s="9" t="str">
        <f>VLOOKUP($A29,Types!$A$2:$C$13,2,FALSE)</f>
        <v>DSL</v>
      </c>
      <c r="C29" s="9">
        <v>1</v>
      </c>
      <c r="D29" s="9">
        <v>1</v>
      </c>
      <c r="E29" s="9" t="str">
        <f t="shared" si="1"/>
        <v>IMPDSLP11</v>
      </c>
      <c r="F29" s="9" t="str">
        <f>CONCATENATE("Imported ",VLOOKUP($A29,Types!$A$2:$C$13,3,FALSE),", PADD ",D29,", Step ",RIGHT(C29,1))</f>
        <v>Imported Distillate-Low Sulfur Highway Diesel (500 ppm), PADD 1, Step 1</v>
      </c>
      <c r="G29" s="9" t="str">
        <f>CONCATENATE(VLOOKUP($A29,Types!$A$2:$C$13,2,FALSE),"P",D29)</f>
        <v>DSLP1</v>
      </c>
      <c r="H29" s="66">
        <f>H28*$C$5</f>
        <v>54.695300000000003</v>
      </c>
      <c r="I29" s="66">
        <f t="shared" ref="I29" si="72">I28*$C$5</f>
        <v>48.341700000000003</v>
      </c>
      <c r="J29" s="66">
        <f t="shared" ref="J29" si="73">J28*$C$5</f>
        <v>107.88199999999999</v>
      </c>
      <c r="K29" s="66">
        <f t="shared" ref="K29" si="74">K28*$C$5</f>
        <v>107.88199999999999</v>
      </c>
      <c r="L29" s="67">
        <f>H29*Conv!$J$20/10^6/VLOOKUP($B29,Types!$B$2:$D$13,3,FALSE)/Conv!$I$5</f>
        <v>13.656580349948442</v>
      </c>
      <c r="M29" s="67">
        <f>I29*Conv!$J$20/10^6/VLOOKUP($B29,Types!$B$2:$D$13,3,FALSE)/Conv!$I$5</f>
        <v>12.070183549648739</v>
      </c>
      <c r="N29" s="67" t="e">
        <f>M29*#REF!</f>
        <v>#REF!</v>
      </c>
      <c r="O29" s="67" t="e">
        <f>N29*#REF!</f>
        <v>#REF!</v>
      </c>
      <c r="P29" s="67" t="e">
        <f>O29*#REF!</f>
        <v>#REF!</v>
      </c>
      <c r="Q29" s="67" t="e">
        <f>P29*#REF!</f>
        <v>#REF!</v>
      </c>
      <c r="R29" s="67" t="e">
        <f>Q29*#REF!</f>
        <v>#REF!</v>
      </c>
      <c r="S29" s="67" t="e">
        <f>R29*#REF!</f>
        <v>#REF!</v>
      </c>
      <c r="T29" s="67" t="e">
        <f>S29*#REF!</f>
        <v>#REF!</v>
      </c>
      <c r="U29" s="67" t="e">
        <f>T29*#REF!</f>
        <v>#REF!</v>
      </c>
      <c r="V29" s="67" t="e">
        <f>U29*#REF!</f>
        <v>#REF!</v>
      </c>
      <c r="W29" s="42"/>
      <c r="X29" s="9">
        <f>X28*$E$5</f>
        <v>99.384000000000015</v>
      </c>
      <c r="Y29" s="9">
        <f t="shared" ref="Y29" si="75">Y28*$E$5</f>
        <v>16.16</v>
      </c>
      <c r="Z29" s="9">
        <f t="shared" ref="Z29" si="76">Z28*$E$5</f>
        <v>3.8320000000000003</v>
      </c>
      <c r="AA29" s="9">
        <f t="shared" ref="AA29" si="77">AA28*$E$5</f>
        <v>0.91199999999999992</v>
      </c>
      <c r="AB29" s="42">
        <f>X29*VLOOKUP($B29,Types!$B$2:$D$13,3,FALSE)*Conv!$I$5*1000*365</f>
        <v>222.93629434219201</v>
      </c>
      <c r="AC29" s="42">
        <f>Y29*VLOOKUP($B29,Types!$B$2:$D$13,3,FALSE)*Conv!$I$5*1000*365</f>
        <v>36.249803958080001</v>
      </c>
      <c r="AD29" s="42">
        <f>Z29*VLOOKUP($B29,Types!$B$2:$D$13,3,FALSE)*Conv!$I$5*1000*365</f>
        <v>8.595869354416001</v>
      </c>
      <c r="AE29" s="42">
        <f>AA29*VLOOKUP($B29,Types!$B$2:$D$13,3,FALSE)*Conv!$I$5*1000*365</f>
        <v>2.0457810154559994</v>
      </c>
      <c r="AF29" s="42">
        <f>AB29</f>
        <v>222.93629434219201</v>
      </c>
      <c r="AG29" s="42">
        <f t="shared" ref="AG29" si="78">AC29</f>
        <v>36.249803958080001</v>
      </c>
      <c r="AH29" s="42">
        <f t="shared" ref="AH29" si="79">AD29</f>
        <v>8.595869354416001</v>
      </c>
      <c r="AI29" s="42">
        <f t="shared" ref="AI29" si="80">AE29</f>
        <v>2.0457810154559994</v>
      </c>
      <c r="AJ29" s="42"/>
      <c r="AK29" s="42"/>
      <c r="AL29" s="42"/>
    </row>
    <row r="30" spans="1:38">
      <c r="A30" s="9" t="str">
        <f>A29</f>
        <v>LS Diesel (500 ppm)</v>
      </c>
      <c r="B30" s="9" t="str">
        <f>VLOOKUP($A30,Types!$A$2:$C$13,2,FALSE)</f>
        <v>DSL</v>
      </c>
      <c r="C30" s="9">
        <v>2</v>
      </c>
      <c r="D30" s="9">
        <v>1</v>
      </c>
      <c r="E30" s="9" t="str">
        <f t="shared" si="1"/>
        <v>IMPDSLP12</v>
      </c>
      <c r="F30" s="9" t="str">
        <f>CONCATENATE("Imported ",VLOOKUP($A30,Types!$A$2:$C$13,3,FALSE),", PADD ",D30,", Step ",RIGHT(C30,1))</f>
        <v>Imported Distillate-Low Sulfur Highway Diesel (500 ppm), PADD 1, Step 2</v>
      </c>
      <c r="G30" s="9" t="str">
        <f>CONCATENATE(VLOOKUP($A30,Types!$A$2:$C$13,2,FALSE),"P",D30)</f>
        <v>DSLP1</v>
      </c>
      <c r="H30" s="66">
        <f>H28*$C$6</f>
        <v>56.422520000000006</v>
      </c>
      <c r="I30" s="66">
        <f t="shared" ref="I30:K30" si="81">I28*$C$6</f>
        <v>49.868279999999999</v>
      </c>
      <c r="J30" s="66">
        <f t="shared" si="81"/>
        <v>111.28879999999999</v>
      </c>
      <c r="K30" s="66">
        <f t="shared" si="81"/>
        <v>111.28879999999999</v>
      </c>
      <c r="L30" s="67">
        <f>H30*Conv!$J$20/10^6/VLOOKUP($B30,Types!$B$2:$D$13,3,FALSE)/Conv!$I$5</f>
        <v>14.08784078205208</v>
      </c>
      <c r="M30" s="67">
        <f>I30*Conv!$J$20/10^6/VLOOKUP($B30,Types!$B$2:$D$13,3,FALSE)/Conv!$I$5</f>
        <v>12.451347240690277</v>
      </c>
      <c r="N30" s="67" t="e">
        <f>M30*#REF!</f>
        <v>#REF!</v>
      </c>
      <c r="O30" s="67" t="e">
        <f>N30*#REF!</f>
        <v>#REF!</v>
      </c>
      <c r="P30" s="67" t="e">
        <f>O30*#REF!</f>
        <v>#REF!</v>
      </c>
      <c r="Q30" s="67" t="e">
        <f>P30*#REF!</f>
        <v>#REF!</v>
      </c>
      <c r="R30" s="67" t="e">
        <f>Q30*#REF!</f>
        <v>#REF!</v>
      </c>
      <c r="S30" s="67" t="e">
        <f>R30*#REF!</f>
        <v>#REF!</v>
      </c>
      <c r="T30" s="67" t="e">
        <f>S30*#REF!</f>
        <v>#REF!</v>
      </c>
      <c r="U30" s="67" t="e">
        <f>T30*#REF!</f>
        <v>#REF!</v>
      </c>
      <c r="V30" s="67" t="e">
        <f>U30*#REF!</f>
        <v>#REF!</v>
      </c>
      <c r="W30" s="42"/>
      <c r="X30" s="9">
        <f>X28*$E$6</f>
        <v>111.807</v>
      </c>
      <c r="Y30" s="9">
        <f t="shared" ref="Y30:AA30" si="82">Y28*$E$6</f>
        <v>18.18</v>
      </c>
      <c r="Z30" s="9">
        <f t="shared" si="82"/>
        <v>4.3109999999999999</v>
      </c>
      <c r="AA30" s="9">
        <f t="shared" si="82"/>
        <v>1.026</v>
      </c>
      <c r="AB30" s="42">
        <f>X30*VLOOKUP($B30,Types!$B$2:$D$13,3,FALSE)*Conv!$I$5*1000*365</f>
        <v>250.80333113496599</v>
      </c>
      <c r="AC30" s="42">
        <f>Y30*VLOOKUP($B30,Types!$B$2:$D$13,3,FALSE)*Conv!$I$5*1000*365</f>
        <v>40.781029452839995</v>
      </c>
      <c r="AD30" s="42">
        <f>Z30*VLOOKUP($B30,Types!$B$2:$D$13,3,FALSE)*Conv!$I$5*1000*365</f>
        <v>9.6703530237180004</v>
      </c>
      <c r="AE30" s="42">
        <f>AA30*VLOOKUP($B30,Types!$B$2:$D$13,3,FALSE)*Conv!$I$5*1000*365</f>
        <v>2.301503642388</v>
      </c>
      <c r="AF30" s="42">
        <f>AB30-AF29</f>
        <v>27.867036792773973</v>
      </c>
      <c r="AG30" s="42">
        <f t="shared" ref="AG30" si="83">AC30-AG29</f>
        <v>4.5312254947599939</v>
      </c>
      <c r="AH30" s="42">
        <f t="shared" ref="AH30" si="84">AD30-AH29</f>
        <v>1.0744836693019995</v>
      </c>
      <c r="AI30" s="42">
        <f t="shared" ref="AI30" si="85">AE30-AI29</f>
        <v>0.25572262693200054</v>
      </c>
      <c r="AJ30" s="42"/>
      <c r="AK30" s="42"/>
      <c r="AL30" s="42"/>
    </row>
    <row r="31" spans="1:38">
      <c r="A31" s="9" t="str">
        <f>A30</f>
        <v>LS Diesel (500 ppm)</v>
      </c>
      <c r="B31" s="9" t="str">
        <f>VLOOKUP($A31,Types!$A$2:$C$13,2,FALSE)</f>
        <v>DSL</v>
      </c>
      <c r="C31" s="9">
        <v>4</v>
      </c>
      <c r="D31" s="9">
        <v>1</v>
      </c>
      <c r="E31" s="9" t="str">
        <f t="shared" si="1"/>
        <v>IMPDSLP14</v>
      </c>
      <c r="F31" s="9" t="str">
        <f>CONCATENATE("Imported ",VLOOKUP($A31,Types!$A$2:$C$13,3,FALSE),", PADD ",D31,", Step ",RIGHT(C31,1))</f>
        <v>Imported Distillate-Low Sulfur Highway Diesel (500 ppm), PADD 1, Step 4</v>
      </c>
      <c r="G31" s="9" t="str">
        <f>CONCATENATE(VLOOKUP($A31,Types!$A$2:$C$13,2,FALSE),"P",D31)</f>
        <v>DSLP1</v>
      </c>
      <c r="H31" s="66">
        <f>H28*$C$8</f>
        <v>62.755660000000013</v>
      </c>
      <c r="I31" s="66">
        <f t="shared" ref="I31:K31" si="86">I28*$C$8</f>
        <v>55.465740000000004</v>
      </c>
      <c r="J31" s="66">
        <f t="shared" si="86"/>
        <v>123.78040000000001</v>
      </c>
      <c r="K31" s="66">
        <f t="shared" si="86"/>
        <v>123.78040000000001</v>
      </c>
      <c r="L31" s="67">
        <f>H31*Conv!$J$20/10^6/VLOOKUP($B31,Types!$B$2:$D$13,3,FALSE)/Conv!$I$5</f>
        <v>15.669129033098741</v>
      </c>
      <c r="M31" s="67">
        <f>I31*Conv!$J$20/10^6/VLOOKUP($B31,Types!$B$2:$D$13,3,FALSE)/Conv!$I$5</f>
        <v>13.848947441175921</v>
      </c>
      <c r="N31" s="67" t="e">
        <f>M31*#REF!</f>
        <v>#REF!</v>
      </c>
      <c r="O31" s="67" t="e">
        <f>N31*#REF!</f>
        <v>#REF!</v>
      </c>
      <c r="P31" s="67" t="e">
        <f>O31*#REF!</f>
        <v>#REF!</v>
      </c>
      <c r="Q31" s="67" t="e">
        <f>P31*#REF!</f>
        <v>#REF!</v>
      </c>
      <c r="R31" s="67" t="e">
        <f>Q31*#REF!</f>
        <v>#REF!</v>
      </c>
      <c r="S31" s="67" t="e">
        <f>R31*#REF!</f>
        <v>#REF!</v>
      </c>
      <c r="T31" s="67" t="e">
        <f>S31*#REF!</f>
        <v>#REF!</v>
      </c>
      <c r="U31" s="67" t="e">
        <f>T31*#REF!</f>
        <v>#REF!</v>
      </c>
      <c r="V31" s="67" t="e">
        <f>U31*#REF!</f>
        <v>#REF!</v>
      </c>
      <c r="W31" s="42"/>
      <c r="X31" s="9">
        <f>X28*$E$8</f>
        <v>149.07599999999999</v>
      </c>
      <c r="Y31" s="9">
        <f t="shared" ref="Y31:AA31" si="87">Y28*$E$8</f>
        <v>24.24</v>
      </c>
      <c r="Z31" s="9">
        <f t="shared" si="87"/>
        <v>5.7480000000000002</v>
      </c>
      <c r="AA31" s="9">
        <f t="shared" si="87"/>
        <v>1.3679999999999999</v>
      </c>
      <c r="AB31" s="42">
        <f>X31*VLOOKUP($B31,Types!$B$2:$D$13,3,FALSE)*Conv!$I$5*1000*365</f>
        <v>334.40444151328796</v>
      </c>
      <c r="AC31" s="42">
        <f>Y31*VLOOKUP($B31,Types!$B$2:$D$13,3,FALSE)*Conv!$I$5*1000*365</f>
        <v>54.374705937120005</v>
      </c>
      <c r="AD31" s="42">
        <f>Z31*VLOOKUP($B31,Types!$B$2:$D$13,3,FALSE)*Conv!$I$5*1000*365</f>
        <v>12.893804031623999</v>
      </c>
      <c r="AE31" s="42">
        <f>AA31*VLOOKUP($B31,Types!$B$2:$D$13,3,FALSE)*Conv!$I$5*1000*365</f>
        <v>3.0686715231839994</v>
      </c>
      <c r="AF31" s="42">
        <f>AB31-AB28</f>
        <v>55.734073585548003</v>
      </c>
      <c r="AG31" s="42">
        <f t="shared" ref="AG31" si="88">AC31-AC28</f>
        <v>9.0624509895200092</v>
      </c>
      <c r="AH31" s="42">
        <f t="shared" ref="AH31" si="89">AD31-AD28</f>
        <v>2.1489673386039989</v>
      </c>
      <c r="AI31" s="42">
        <f t="shared" ref="AI31" si="90">AE31-AE28</f>
        <v>0.51144525386399975</v>
      </c>
      <c r="AJ31" s="42"/>
      <c r="AK31" s="42"/>
      <c r="AL31" s="42"/>
    </row>
    <row r="32" spans="1:38">
      <c r="A32" s="9" t="str">
        <f>A31</f>
        <v>LS Diesel (500 ppm)</v>
      </c>
      <c r="B32" s="9" t="str">
        <f>VLOOKUP($A32,Types!$A$2:$C$13,2,FALSE)</f>
        <v>DSL</v>
      </c>
      <c r="C32" s="9">
        <v>5</v>
      </c>
      <c r="D32" s="9">
        <v>1</v>
      </c>
      <c r="E32" s="9" t="str">
        <f t="shared" si="1"/>
        <v>IMPDSLP15</v>
      </c>
      <c r="F32" s="9" t="str">
        <f>CONCATENATE("Imported ",VLOOKUP($A32,Types!$A$2:$C$13,3,FALSE),", PADD ",D32,", Step ",RIGHT(C32,1))</f>
        <v>Imported Distillate-Low Sulfur Highway Diesel (500 ppm), PADD 1, Step 5</v>
      </c>
      <c r="G32" s="9" t="str">
        <f>CONCATENATE(VLOOKUP($A32,Types!$A$2:$C$13,2,FALSE),"P",D32)</f>
        <v>DSLP1</v>
      </c>
      <c r="H32" s="66">
        <f>H28*$C$9</f>
        <v>74.84620000000001</v>
      </c>
      <c r="I32" s="66">
        <f t="shared" ref="I32:K32" si="91">I28*$C$9</f>
        <v>66.151800000000009</v>
      </c>
      <c r="J32" s="66">
        <f t="shared" si="91"/>
        <v>147.62800000000001</v>
      </c>
      <c r="K32" s="66">
        <f t="shared" si="91"/>
        <v>147.62800000000001</v>
      </c>
      <c r="L32" s="67">
        <f>H32*Conv!$J$20/10^6/VLOOKUP($B32,Types!$B$2:$D$13,3,FALSE)/Conv!$I$5</f>
        <v>18.687952057824187</v>
      </c>
      <c r="M32" s="67">
        <f>I32*Conv!$J$20/10^6/VLOOKUP($B32,Types!$B$2:$D$13,3,FALSE)/Conv!$I$5</f>
        <v>16.517093278466696</v>
      </c>
      <c r="N32" s="67" t="e">
        <f>M32*#REF!</f>
        <v>#REF!</v>
      </c>
      <c r="O32" s="67" t="e">
        <f>N32*#REF!</f>
        <v>#REF!</v>
      </c>
      <c r="P32" s="67" t="e">
        <f>O32*#REF!</f>
        <v>#REF!</v>
      </c>
      <c r="Q32" s="67" t="e">
        <f>P32*#REF!</f>
        <v>#REF!</v>
      </c>
      <c r="R32" s="67" t="e">
        <f>Q32*#REF!</f>
        <v>#REF!</v>
      </c>
      <c r="S32" s="67" t="e">
        <f>R32*#REF!</f>
        <v>#REF!</v>
      </c>
      <c r="T32" s="67" t="e">
        <f>S32*#REF!</f>
        <v>#REF!</v>
      </c>
      <c r="U32" s="67" t="e">
        <f>T32*#REF!</f>
        <v>#REF!</v>
      </c>
      <c r="V32" s="67" t="e">
        <f>U32*#REF!</f>
        <v>#REF!</v>
      </c>
      <c r="W32" s="42"/>
      <c r="X32" s="9">
        <f>X28*$E$9</f>
        <v>248.46</v>
      </c>
      <c r="Y32" s="9">
        <f t="shared" ref="Y32:AA32" si="92">Y28*$E$9</f>
        <v>40.4</v>
      </c>
      <c r="Z32" s="9">
        <f t="shared" si="92"/>
        <v>9.58</v>
      </c>
      <c r="AA32" s="9">
        <f t="shared" si="92"/>
        <v>2.2799999999999998</v>
      </c>
      <c r="AB32" s="42">
        <f>X32*VLOOKUP($B32,Types!$B$2:$D$13,3,FALSE)*Conv!$I$5*1000*365</f>
        <v>557.34073585547992</v>
      </c>
      <c r="AC32" s="42">
        <f>Y32*VLOOKUP($B32,Types!$B$2:$D$13,3,FALSE)*Conv!$I$5*1000*365</f>
        <v>90.624509895199992</v>
      </c>
      <c r="AD32" s="42">
        <f>Z32*VLOOKUP($B32,Types!$B$2:$D$13,3,FALSE)*Conv!$I$5*1000*365</f>
        <v>21.48967338604</v>
      </c>
      <c r="AE32" s="42">
        <f>AA32*VLOOKUP($B32,Types!$B$2:$D$13,3,FALSE)*Conv!$I$5*1000*365</f>
        <v>5.1144525386399993</v>
      </c>
      <c r="AF32" s="42">
        <f>AB32-AB31</f>
        <v>222.93629434219196</v>
      </c>
      <c r="AG32" s="42">
        <f t="shared" ref="AG32" si="93">AC32-AC31</f>
        <v>36.249803958079987</v>
      </c>
      <c r="AH32" s="42">
        <f t="shared" ref="AH32" si="94">AD32-AD31</f>
        <v>8.595869354416001</v>
      </c>
      <c r="AI32" s="42">
        <f t="shared" ref="AI32" si="95">AE32-AE31</f>
        <v>2.0457810154559999</v>
      </c>
      <c r="AJ32" s="42"/>
      <c r="AK32" s="42"/>
      <c r="AL32" s="42"/>
    </row>
    <row r="33" spans="1:38">
      <c r="A33" s="9" t="str">
        <f>'Agg prdcrv'!$A$10</f>
        <v>Low Sulfur Fuel Oil</v>
      </c>
      <c r="B33" s="9" t="str">
        <f>VLOOKUP($A33,Types!$A$2:$C$13,2,FALSE)</f>
        <v>RFL</v>
      </c>
      <c r="C33" s="9">
        <v>3</v>
      </c>
      <c r="D33" s="9">
        <v>1</v>
      </c>
      <c r="E33" s="9" t="str">
        <f t="shared" si="1"/>
        <v>IMPRFLP13</v>
      </c>
      <c r="F33" s="9" t="str">
        <f>CONCATENATE("Imported ",VLOOKUP($A33,Types!$A$2:$C$13,3,FALSE),", PADD ",D33,", Step ",RIGHT(C33,1))</f>
        <v>Imported Low Sulfur Residual Fuel Oil, PADD 1, Step 3</v>
      </c>
      <c r="G33" s="9" t="str">
        <f>CONCATENATE(VLOOKUP($A33,Types!$A$2:$C$13,2,FALSE),"P",D33)</f>
        <v>RFLP1</v>
      </c>
      <c r="H33" s="66">
        <f>SUMIFS('Agg prdcrv'!$L$6:$L$100,'Agg prdcrv'!$A$6:$A$100,'Imp Refined'!$A33,'Agg prdcrv'!$B$6:$B$100,H$11)*K4</f>
        <v>39.93</v>
      </c>
      <c r="I33" s="66">
        <f>SUMIFS('Agg prdcrv'!$L$6:$L$100,'Agg prdcrv'!$A$6:$A$100,'Imp Refined'!$A33,'Agg prdcrv'!$B$6:$B$100,I$11)*K4</f>
        <v>37.708000000000006</v>
      </c>
      <c r="J33" s="66">
        <f t="array" ref="J33">SUMIFS('Agg prdcrv'!$L$6:$L$100,'Agg prdcrv'!$A$6:$A$100,'Imp Refined'!$A33,'Agg prdcrv'!$B$6:$B$100,J$11)</f>
        <v>29.19</v>
      </c>
      <c r="K33" s="66">
        <f t="array" ref="K33">SUMIFS('Agg prdcrv'!$L$6:$L$100,'Agg prdcrv'!$A$6:$A$100,'Imp Refined'!$A33,'Agg prdcrv'!$B$6:$B$100,K$11)</f>
        <v>32.119999999999997</v>
      </c>
      <c r="L33" s="67">
        <f>H33*Conv!$J$20/10^6/VLOOKUP($B33,Types!$B$2:$D$13,3,FALSE)/Conv!$I$5</f>
        <v>9.2372720649261009</v>
      </c>
      <c r="M33" s="67">
        <f>I33*Conv!$J$20/10^6/VLOOKUP($B33,Types!$B$2:$D$13,3,FALSE)/Conv!$I$5</f>
        <v>8.7232420491919225</v>
      </c>
      <c r="N33" s="67" t="e">
        <f>M33*#REF!</f>
        <v>#REF!</v>
      </c>
      <c r="O33" s="67" t="e">
        <f>N33*#REF!</f>
        <v>#REF!</v>
      </c>
      <c r="P33" s="67" t="e">
        <f>O33*#REF!</f>
        <v>#REF!</v>
      </c>
      <c r="Q33" s="67" t="e">
        <f>P33*#REF!</f>
        <v>#REF!</v>
      </c>
      <c r="R33" s="67" t="e">
        <f>Q33*#REF!</f>
        <v>#REF!</v>
      </c>
      <c r="S33" s="67" t="e">
        <f>R33*#REF!</f>
        <v>#REF!</v>
      </c>
      <c r="T33" s="67" t="e">
        <f>S33*#REF!</f>
        <v>#REF!</v>
      </c>
      <c r="U33" s="67" t="e">
        <f>T33*#REF!</f>
        <v>#REF!</v>
      </c>
      <c r="V33" s="67" t="e">
        <f>U33*#REF!</f>
        <v>#REF!</v>
      </c>
      <c r="W33" s="42"/>
      <c r="X33" s="9">
        <f t="array" ref="X33">SUMIFS('Agg prdcrv'!$D$6:$D$100,'Agg prdcrv'!$A$6:$A$100,'Imp Refined'!$A33,'Agg prdcrv'!$B$6:$B$100,X$11)</f>
        <v>211.46</v>
      </c>
      <c r="Y33" s="9">
        <f t="array" ref="Y33">SUMIFS('Agg prdcrv'!$D$6:$D$100,'Agg prdcrv'!$A$6:$A$100,'Imp Refined'!$A33,'Agg prdcrv'!$B$6:$B$100,Y$11)</f>
        <v>159.16</v>
      </c>
      <c r="Z33" s="9">
        <f t="array" ref="Z33">SUMIFS('Agg prdcrv'!$D$6:$D$100,'Agg prdcrv'!$A$6:$A$100,'Imp Refined'!$A33,'Agg prdcrv'!$B$6:$B$100,Z$11)</f>
        <v>175.73</v>
      </c>
      <c r="AA33" s="9">
        <f t="array" ref="AA33">SUMIFS('Agg prdcrv'!$D$6:$D$100,'Agg prdcrv'!$A$6:$A$100,'Imp Refined'!$A33,'Agg prdcrv'!$B$6:$B$100,AA$11)</f>
        <v>194.02</v>
      </c>
      <c r="AB33" s="42">
        <f>X33*VLOOKUP($B33,Types!$B$2:$D$13,3,FALSE)*Conv!$I$5*1000*365</f>
        <v>511.96475531446879</v>
      </c>
      <c r="AC33" s="42">
        <f>Y33*VLOOKUP($B33,Types!$B$2:$D$13,3,FALSE)*Conv!$I$5*1000*365</f>
        <v>385.34148517852481</v>
      </c>
      <c r="AD33" s="42">
        <f>Z33*VLOOKUP($B33,Types!$B$2:$D$13,3,FALSE)*Conv!$I$5*1000*365</f>
        <v>425.45902984683437</v>
      </c>
      <c r="AE33" s="42">
        <f>AA33*VLOOKUP($B33,Types!$B$2:$D$13,3,FALSE)*Conv!$I$5*1000*365</f>
        <v>469.74085796894559</v>
      </c>
      <c r="AF33" s="42">
        <f>AB33-AB35</f>
        <v>51.196475531446936</v>
      </c>
      <c r="AG33" s="42">
        <f t="shared" ref="AG33" si="96">AC33-AC35</f>
        <v>38.534148517852543</v>
      </c>
      <c r="AH33" s="42">
        <f t="shared" ref="AH33" si="97">AD33-AD35</f>
        <v>42.545902984683494</v>
      </c>
      <c r="AI33" s="42">
        <f t="shared" ref="AI33" si="98">AE33-AE35</f>
        <v>46.974085796894656</v>
      </c>
      <c r="AJ33" s="42"/>
      <c r="AK33" s="42"/>
      <c r="AL33" s="42"/>
    </row>
    <row r="34" spans="1:38">
      <c r="A34" s="9" t="str">
        <f>A33</f>
        <v>Low Sulfur Fuel Oil</v>
      </c>
      <c r="B34" s="9" t="str">
        <f>VLOOKUP($A34,Types!$A$2:$C$13,2,FALSE)</f>
        <v>RFL</v>
      </c>
      <c r="C34" s="9">
        <v>1</v>
      </c>
      <c r="D34" s="9">
        <v>1</v>
      </c>
      <c r="E34" s="9" t="str">
        <f t="shared" si="1"/>
        <v>IMPRFLP11</v>
      </c>
      <c r="F34" s="9" t="str">
        <f>CONCATENATE("Imported ",VLOOKUP($A34,Types!$A$2:$C$13,3,FALSE),", PADD ",D34,", Step ",RIGHT(C34,1))</f>
        <v>Imported Low Sulfur Residual Fuel Oil, PADD 1, Step 1</v>
      </c>
      <c r="G34" s="9" t="str">
        <f>CONCATENATE(VLOOKUP($A34,Types!$A$2:$C$13,2,FALSE),"P",D34)</f>
        <v>RFLP1</v>
      </c>
      <c r="H34" s="66">
        <f>H33*$C$5</f>
        <v>37.933499999999995</v>
      </c>
      <c r="I34" s="66">
        <f t="shared" ref="I34" si="99">I33*$C$5</f>
        <v>35.822600000000001</v>
      </c>
      <c r="J34" s="66">
        <f t="shared" ref="J34" si="100">J33*$C$5</f>
        <v>27.730499999999999</v>
      </c>
      <c r="K34" s="66">
        <f t="shared" ref="K34" si="101">K33*$C$5</f>
        <v>30.513999999999996</v>
      </c>
      <c r="L34" s="67">
        <f>H34*Conv!$J$20/10^6/VLOOKUP($B34,Types!$B$2:$D$13,3,FALSE)/Conv!$I$5</f>
        <v>8.7754084616797936</v>
      </c>
      <c r="M34" s="67">
        <f>I34*Conv!$J$20/10^6/VLOOKUP($B34,Types!$B$2:$D$13,3,FALSE)/Conv!$I$5</f>
        <v>8.2870799467323266</v>
      </c>
      <c r="N34" s="67" t="e">
        <f>M34*#REF!</f>
        <v>#REF!</v>
      </c>
      <c r="O34" s="67" t="e">
        <f>N34*#REF!</f>
        <v>#REF!</v>
      </c>
      <c r="P34" s="67" t="e">
        <f>O34*#REF!</f>
        <v>#REF!</v>
      </c>
      <c r="Q34" s="67" t="e">
        <f>P34*#REF!</f>
        <v>#REF!</v>
      </c>
      <c r="R34" s="67" t="e">
        <f>Q34*#REF!</f>
        <v>#REF!</v>
      </c>
      <c r="S34" s="67" t="e">
        <f>R34*#REF!</f>
        <v>#REF!</v>
      </c>
      <c r="T34" s="67" t="e">
        <f>S34*#REF!</f>
        <v>#REF!</v>
      </c>
      <c r="U34" s="67" t="e">
        <f>T34*#REF!</f>
        <v>#REF!</v>
      </c>
      <c r="V34" s="67" t="e">
        <f>U34*#REF!</f>
        <v>#REF!</v>
      </c>
      <c r="W34" s="42"/>
      <c r="X34" s="9">
        <f>X33*$E$5</f>
        <v>169.16800000000001</v>
      </c>
      <c r="Y34" s="9">
        <f t="shared" ref="Y34" si="102">Y33*$E$5</f>
        <v>127.328</v>
      </c>
      <c r="Z34" s="9">
        <f t="shared" ref="Z34" si="103">Z33*$E$5</f>
        <v>140.584</v>
      </c>
      <c r="AA34" s="9">
        <f t="shared" ref="AA34" si="104">AA33*$E$5</f>
        <v>155.21600000000001</v>
      </c>
      <c r="AB34" s="42">
        <f>X34*VLOOKUP($B34,Types!$B$2:$D$13,3,FALSE)*Conv!$I$5*1000*365</f>
        <v>409.57180425157503</v>
      </c>
      <c r="AC34" s="42">
        <f>Y34*VLOOKUP($B34,Types!$B$2:$D$13,3,FALSE)*Conv!$I$5*1000*365</f>
        <v>308.27318814281983</v>
      </c>
      <c r="AD34" s="42">
        <f>Z34*VLOOKUP($B34,Types!$B$2:$D$13,3,FALSE)*Conv!$I$5*1000*365</f>
        <v>340.3672238774675</v>
      </c>
      <c r="AE34" s="42">
        <f>AA34*VLOOKUP($B34,Types!$B$2:$D$13,3,FALSE)*Conv!$I$5*1000*365</f>
        <v>375.79268637515651</v>
      </c>
      <c r="AF34" s="42">
        <f>AB34</f>
        <v>409.57180425157503</v>
      </c>
      <c r="AG34" s="42">
        <f t="shared" ref="AG34" si="105">AC34</f>
        <v>308.27318814281983</v>
      </c>
      <c r="AH34" s="42">
        <f t="shared" ref="AH34" si="106">AD34</f>
        <v>340.3672238774675</v>
      </c>
      <c r="AI34" s="42">
        <f t="shared" ref="AI34" si="107">AE34</f>
        <v>375.79268637515651</v>
      </c>
      <c r="AJ34" s="42"/>
      <c r="AK34" s="42"/>
      <c r="AL34" s="42"/>
    </row>
    <row r="35" spans="1:38">
      <c r="A35" s="9" t="str">
        <f>A34</f>
        <v>Low Sulfur Fuel Oil</v>
      </c>
      <c r="B35" s="9" t="str">
        <f>VLOOKUP($A35,Types!$A$2:$C$13,2,FALSE)</f>
        <v>RFL</v>
      </c>
      <c r="C35" s="9">
        <v>2</v>
      </c>
      <c r="D35" s="9">
        <v>1</v>
      </c>
      <c r="E35" s="9" t="str">
        <f t="shared" si="1"/>
        <v>IMPRFLP12</v>
      </c>
      <c r="F35" s="9" t="str">
        <f>CONCATENATE("Imported ",VLOOKUP($A35,Types!$A$2:$C$13,3,FALSE),", PADD ",D35,", Step ",RIGHT(C35,1))</f>
        <v>Imported Low Sulfur Residual Fuel Oil, PADD 1, Step 2</v>
      </c>
      <c r="G35" s="9" t="str">
        <f>CONCATENATE(VLOOKUP($A35,Types!$A$2:$C$13,2,FALSE),"P",D35)</f>
        <v>RFLP1</v>
      </c>
      <c r="H35" s="66">
        <f>H33*$C$6</f>
        <v>39.131399999999999</v>
      </c>
      <c r="I35" s="66">
        <f t="shared" ref="I35:K35" si="108">I33*$C$6</f>
        <v>36.953840000000007</v>
      </c>
      <c r="J35" s="66">
        <f t="shared" si="108"/>
        <v>28.606200000000001</v>
      </c>
      <c r="K35" s="66">
        <f t="shared" si="108"/>
        <v>31.477599999999995</v>
      </c>
      <c r="L35" s="67">
        <f>H35*Conv!$J$20/10^6/VLOOKUP($B35,Types!$B$2:$D$13,3,FALSE)/Conv!$I$5</f>
        <v>9.0525266236275801</v>
      </c>
      <c r="M35" s="67">
        <f>I35*Conv!$J$20/10^6/VLOOKUP($B35,Types!$B$2:$D$13,3,FALSE)/Conv!$I$5</f>
        <v>8.5487772082080831</v>
      </c>
      <c r="N35" s="67" t="e">
        <f>M35*#REF!</f>
        <v>#REF!</v>
      </c>
      <c r="O35" s="67" t="e">
        <f>N35*#REF!</f>
        <v>#REF!</v>
      </c>
      <c r="P35" s="67" t="e">
        <f>O35*#REF!</f>
        <v>#REF!</v>
      </c>
      <c r="Q35" s="67" t="e">
        <f>P35*#REF!</f>
        <v>#REF!</v>
      </c>
      <c r="R35" s="67" t="e">
        <f>Q35*#REF!</f>
        <v>#REF!</v>
      </c>
      <c r="S35" s="67" t="e">
        <f>R35*#REF!</f>
        <v>#REF!</v>
      </c>
      <c r="T35" s="67" t="e">
        <f>S35*#REF!</f>
        <v>#REF!</v>
      </c>
      <c r="U35" s="67" t="e">
        <f>T35*#REF!</f>
        <v>#REF!</v>
      </c>
      <c r="V35" s="67" t="e">
        <f>U35*#REF!</f>
        <v>#REF!</v>
      </c>
      <c r="W35" s="42"/>
      <c r="X35" s="9">
        <f>X33*$E$6</f>
        <v>190.31400000000002</v>
      </c>
      <c r="Y35" s="9">
        <f t="shared" ref="Y35:AA35" si="109">Y33*$E$6</f>
        <v>143.244</v>
      </c>
      <c r="Z35" s="9">
        <f t="shared" si="109"/>
        <v>158.15699999999998</v>
      </c>
      <c r="AA35" s="9">
        <f t="shared" si="109"/>
        <v>174.61800000000002</v>
      </c>
      <c r="AB35" s="42">
        <f>X35*VLOOKUP($B35,Types!$B$2:$D$13,3,FALSE)*Conv!$I$5*1000*365</f>
        <v>460.76827978302185</v>
      </c>
      <c r="AC35" s="42">
        <f>Y35*VLOOKUP($B35,Types!$B$2:$D$13,3,FALSE)*Conv!$I$5*1000*365</f>
        <v>346.80733666067226</v>
      </c>
      <c r="AD35" s="42">
        <f>Z35*VLOOKUP($B35,Types!$B$2:$D$13,3,FALSE)*Conv!$I$5*1000*365</f>
        <v>382.91312686215088</v>
      </c>
      <c r="AE35" s="42">
        <f>AA35*VLOOKUP($B35,Types!$B$2:$D$13,3,FALSE)*Conv!$I$5*1000*365</f>
        <v>422.76677217205093</v>
      </c>
      <c r="AF35" s="42">
        <f>AB35-AF34</f>
        <v>51.196475531446822</v>
      </c>
      <c r="AG35" s="42">
        <f t="shared" ref="AG35" si="110">AC35-AG34</f>
        <v>38.534148517852429</v>
      </c>
      <c r="AH35" s="42">
        <f t="shared" ref="AH35" si="111">AD35-AH34</f>
        <v>42.54590298468338</v>
      </c>
      <c r="AI35" s="42">
        <f t="shared" ref="AI35" si="112">AE35-AI34</f>
        <v>46.974085796894428</v>
      </c>
      <c r="AJ35" s="42"/>
      <c r="AK35" s="42"/>
      <c r="AL35" s="42"/>
    </row>
    <row r="36" spans="1:38">
      <c r="A36" s="9" t="str">
        <f>A35</f>
        <v>Low Sulfur Fuel Oil</v>
      </c>
      <c r="B36" s="9" t="str">
        <f>VLOOKUP($A36,Types!$A$2:$C$13,2,FALSE)</f>
        <v>RFL</v>
      </c>
      <c r="C36" s="9">
        <v>4</v>
      </c>
      <c r="D36" s="9">
        <v>1</v>
      </c>
      <c r="E36" s="9" t="str">
        <f t="shared" si="1"/>
        <v>IMPRFLP14</v>
      </c>
      <c r="F36" s="9" t="str">
        <f>CONCATENATE("Imported ",VLOOKUP($A36,Types!$A$2:$C$13,3,FALSE),", PADD ",D36,", Step ",RIGHT(C36,1))</f>
        <v>Imported Low Sulfur Residual Fuel Oil, PADD 1, Step 4</v>
      </c>
      <c r="G36" s="9" t="str">
        <f>CONCATENATE(VLOOKUP($A36,Types!$A$2:$C$13,2,FALSE),"P",D36)</f>
        <v>RFLP1</v>
      </c>
      <c r="H36" s="66">
        <f>H33*$C$8</f>
        <v>43.523700000000005</v>
      </c>
      <c r="I36" s="66">
        <f t="shared" ref="I36:K36" si="113">I33*$C$8</f>
        <v>41.101720000000007</v>
      </c>
      <c r="J36" s="66">
        <f t="shared" si="113"/>
        <v>31.817100000000003</v>
      </c>
      <c r="K36" s="66">
        <f t="shared" si="113"/>
        <v>35.010800000000003</v>
      </c>
      <c r="L36" s="67">
        <f>H36*Conv!$J$20/10^6/VLOOKUP($B36,Types!$B$2:$D$13,3,FALSE)/Conv!$I$5</f>
        <v>10.068626550769451</v>
      </c>
      <c r="M36" s="67">
        <f>I36*Conv!$J$20/10^6/VLOOKUP($B36,Types!$B$2:$D$13,3,FALSE)/Conv!$I$5</f>
        <v>9.5083338336191972</v>
      </c>
      <c r="N36" s="67" t="e">
        <f>M36*#REF!</f>
        <v>#REF!</v>
      </c>
      <c r="O36" s="67" t="e">
        <f>N36*#REF!</f>
        <v>#REF!</v>
      </c>
      <c r="P36" s="67" t="e">
        <f>O36*#REF!</f>
        <v>#REF!</v>
      </c>
      <c r="Q36" s="67" t="e">
        <f>P36*#REF!</f>
        <v>#REF!</v>
      </c>
      <c r="R36" s="67" t="e">
        <f>Q36*#REF!</f>
        <v>#REF!</v>
      </c>
      <c r="S36" s="67" t="e">
        <f>R36*#REF!</f>
        <v>#REF!</v>
      </c>
      <c r="T36" s="67" t="e">
        <f>S36*#REF!</f>
        <v>#REF!</v>
      </c>
      <c r="U36" s="67" t="e">
        <f>T36*#REF!</f>
        <v>#REF!</v>
      </c>
      <c r="V36" s="67" t="e">
        <f>U36*#REF!</f>
        <v>#REF!</v>
      </c>
      <c r="W36" s="42"/>
      <c r="X36" s="9">
        <f>X33*$E$8</f>
        <v>253.75200000000001</v>
      </c>
      <c r="Y36" s="9">
        <f t="shared" ref="Y36:AA36" si="114">Y33*$E$8</f>
        <v>190.99199999999999</v>
      </c>
      <c r="Z36" s="9">
        <f t="shared" si="114"/>
        <v>210.87599999999998</v>
      </c>
      <c r="AA36" s="9">
        <f t="shared" si="114"/>
        <v>232.82400000000001</v>
      </c>
      <c r="AB36" s="42">
        <f>X36*VLOOKUP($B36,Types!$B$2:$D$13,3,FALSE)*Conv!$I$5*1000*365</f>
        <v>614.35770637736243</v>
      </c>
      <c r="AC36" s="42">
        <f>Y36*VLOOKUP($B36,Types!$B$2:$D$13,3,FALSE)*Conv!$I$5*1000*365</f>
        <v>462.40978221422966</v>
      </c>
      <c r="AD36" s="42">
        <f>Z36*VLOOKUP($B36,Types!$B$2:$D$13,3,FALSE)*Conv!$I$5*1000*365</f>
        <v>510.55083581620113</v>
      </c>
      <c r="AE36" s="42">
        <f>AA36*VLOOKUP($B36,Types!$B$2:$D$13,3,FALSE)*Conv!$I$5*1000*365</f>
        <v>563.68902956273473</v>
      </c>
      <c r="AF36" s="42">
        <f>AB36-AB33</f>
        <v>102.39295106289364</v>
      </c>
      <c r="AG36" s="42">
        <f t="shared" ref="AG36" si="115">AC36-AC33</f>
        <v>77.068297035704859</v>
      </c>
      <c r="AH36" s="42">
        <f t="shared" ref="AH36" si="116">AD36-AD33</f>
        <v>85.09180596936676</v>
      </c>
      <c r="AI36" s="42">
        <f t="shared" ref="AI36" si="117">AE36-AE33</f>
        <v>93.948171593789141</v>
      </c>
      <c r="AJ36" s="42"/>
      <c r="AK36" s="42"/>
      <c r="AL36" s="42"/>
    </row>
    <row r="37" spans="1:38">
      <c r="A37" s="9" t="str">
        <f>A36</f>
        <v>Low Sulfur Fuel Oil</v>
      </c>
      <c r="B37" s="9" t="str">
        <f>VLOOKUP($A37,Types!$A$2:$C$13,2,FALSE)</f>
        <v>RFL</v>
      </c>
      <c r="C37" s="9">
        <v>5</v>
      </c>
      <c r="D37" s="9">
        <v>1</v>
      </c>
      <c r="E37" s="9" t="str">
        <f t="shared" si="1"/>
        <v>IMPRFLP15</v>
      </c>
      <c r="F37" s="9" t="str">
        <f>CONCATENATE("Imported ",VLOOKUP($A37,Types!$A$2:$C$13,3,FALSE),", PADD ",D37,", Step ",RIGHT(C37,1))</f>
        <v>Imported Low Sulfur Residual Fuel Oil, PADD 1, Step 5</v>
      </c>
      <c r="G37" s="9" t="str">
        <f>CONCATENATE(VLOOKUP($A37,Types!$A$2:$C$13,2,FALSE),"P",D37)</f>
        <v>RFLP1</v>
      </c>
      <c r="H37" s="66">
        <f>H33*$C$9</f>
        <v>51.908999999999999</v>
      </c>
      <c r="I37" s="66">
        <f t="shared" ref="I37:K37" si="118">I33*$C$9</f>
        <v>49.020400000000009</v>
      </c>
      <c r="J37" s="66">
        <f t="shared" si="118"/>
        <v>37.947000000000003</v>
      </c>
      <c r="K37" s="66">
        <f t="shared" si="118"/>
        <v>41.756</v>
      </c>
      <c r="L37" s="67">
        <f>H37*Conv!$J$20/10^6/VLOOKUP($B37,Types!$B$2:$D$13,3,FALSE)/Conv!$I$5</f>
        <v>12.008453684403932</v>
      </c>
      <c r="M37" s="67">
        <f>I37*Conv!$J$20/10^6/VLOOKUP($B37,Types!$B$2:$D$13,3,FALSE)/Conv!$I$5</f>
        <v>11.340214663949503</v>
      </c>
      <c r="N37" s="67" t="e">
        <f>M37*#REF!</f>
        <v>#REF!</v>
      </c>
      <c r="O37" s="67" t="e">
        <f>N37*#REF!</f>
        <v>#REF!</v>
      </c>
      <c r="P37" s="67" t="e">
        <f>O37*#REF!</f>
        <v>#REF!</v>
      </c>
      <c r="Q37" s="67" t="e">
        <f>P37*#REF!</f>
        <v>#REF!</v>
      </c>
      <c r="R37" s="67" t="e">
        <f>Q37*#REF!</f>
        <v>#REF!</v>
      </c>
      <c r="S37" s="67" t="e">
        <f>R37*#REF!</f>
        <v>#REF!</v>
      </c>
      <c r="T37" s="67" t="e">
        <f>S37*#REF!</f>
        <v>#REF!</v>
      </c>
      <c r="U37" s="67" t="e">
        <f>T37*#REF!</f>
        <v>#REF!</v>
      </c>
      <c r="V37" s="67" t="e">
        <f>U37*#REF!</f>
        <v>#REF!</v>
      </c>
      <c r="W37" s="42"/>
      <c r="X37" s="9">
        <f>X33*$E$9</f>
        <v>422.92</v>
      </c>
      <c r="Y37" s="9">
        <f t="shared" ref="Y37:AA37" si="119">Y33*$E$9</f>
        <v>318.32</v>
      </c>
      <c r="Z37" s="9">
        <f t="shared" si="119"/>
        <v>351.46</v>
      </c>
      <c r="AA37" s="9">
        <f t="shared" si="119"/>
        <v>388.04</v>
      </c>
      <c r="AB37" s="42">
        <f>X37*VLOOKUP($B37,Types!$B$2:$D$13,3,FALSE)*Conv!$I$5*1000*365</f>
        <v>1023.9295106289376</v>
      </c>
      <c r="AC37" s="42">
        <f>Y37*VLOOKUP($B37,Types!$B$2:$D$13,3,FALSE)*Conv!$I$5*1000*365</f>
        <v>770.68297035704961</v>
      </c>
      <c r="AD37" s="42">
        <f>Z37*VLOOKUP($B37,Types!$B$2:$D$13,3,FALSE)*Conv!$I$5*1000*365</f>
        <v>850.91805969366874</v>
      </c>
      <c r="AE37" s="42">
        <f>AA37*VLOOKUP($B37,Types!$B$2:$D$13,3,FALSE)*Conv!$I$5*1000*365</f>
        <v>939.48171593789118</v>
      </c>
      <c r="AF37" s="42">
        <f>AB37-AB36</f>
        <v>409.57180425157514</v>
      </c>
      <c r="AG37" s="42">
        <f t="shared" ref="AG37" si="120">AC37-AC36</f>
        <v>308.27318814281995</v>
      </c>
      <c r="AH37" s="42">
        <f t="shared" ref="AH37" si="121">AD37-AD36</f>
        <v>340.36722387746761</v>
      </c>
      <c r="AI37" s="42">
        <f t="shared" ref="AI37" si="122">AE37-AE36</f>
        <v>375.79268637515645</v>
      </c>
      <c r="AJ37" s="42"/>
      <c r="AK37" s="42"/>
      <c r="AL37" s="42"/>
    </row>
    <row r="38" spans="1:38">
      <c r="A38" s="9" t="str">
        <f>'Agg prdcrv'!$A$11</f>
        <v>High Sulfur Fuel Oil</v>
      </c>
      <c r="B38" s="9" t="str">
        <f>VLOOKUP($A38,Types!$A$2:$C$13,2,FALSE)</f>
        <v>RFH</v>
      </c>
      <c r="C38" s="9">
        <v>3</v>
      </c>
      <c r="D38" s="9">
        <v>1</v>
      </c>
      <c r="E38" s="9" t="str">
        <f t="shared" si="1"/>
        <v>IMPRFHP13</v>
      </c>
      <c r="F38" s="9" t="str">
        <f>CONCATENATE("Imported ",VLOOKUP($A38,Types!$A$2:$C$13,3,FALSE),", PADD ",D38,", Step ",RIGHT(C38,1))</f>
        <v>Imported High Sulfur Residual Fuel Oil, PADD 1, Step 3</v>
      </c>
      <c r="G38" s="9" t="str">
        <f>CONCATENATE(VLOOKUP($A38,Types!$A$2:$C$13,2,FALSE),"P",D38)</f>
        <v>RFHP1</v>
      </c>
      <c r="H38" s="66">
        <f>SUMIFS('Agg prdcrv'!$L$6:$L$100,'Agg prdcrv'!$A$6:$A$100,'Imp Refined'!$A38,'Agg prdcrv'!$B$6:$B$100,H$11)*K4</f>
        <v>38.269000000000005</v>
      </c>
      <c r="I38" s="66">
        <f>SUMIFS('Agg prdcrv'!$L$6:$L$100,'Agg prdcrv'!$A$6:$A$100,'Imp Refined'!$A38,'Agg prdcrv'!$B$6:$B$100,I$11)*K4</f>
        <v>31.35</v>
      </c>
      <c r="J38" s="66">
        <f t="array" ref="J38">SUMIFS('Agg prdcrv'!$L$6:$L$100,'Agg prdcrv'!$A$6:$A$100,'Imp Refined'!$A38,'Agg prdcrv'!$B$6:$B$100,J$11)</f>
        <v>28.79</v>
      </c>
      <c r="K38" s="66">
        <f t="array" ref="K38">SUMIFS('Agg prdcrv'!$L$6:$L$100,'Agg prdcrv'!$A$6:$A$100,'Imp Refined'!$A38,'Agg prdcrv'!$B$6:$B$100,K$11)</f>
        <v>31.8</v>
      </c>
      <c r="L38" s="67">
        <f>H38*Conv!$J$20/10^6/VLOOKUP($B38,Types!$B$2:$D$13,3,FALSE)/Conv!$I$5</f>
        <v>8.8530219046495624</v>
      </c>
      <c r="M38" s="67">
        <f>I38*Conv!$J$20/10^6/VLOOKUP($B38,Types!$B$2:$D$13,3,FALSE)/Conv!$I$5</f>
        <v>7.2524036873386741</v>
      </c>
      <c r="N38" s="67" t="e">
        <f>M38*#REF!</f>
        <v>#REF!</v>
      </c>
      <c r="O38" s="67" t="e">
        <f>N38*#REF!</f>
        <v>#REF!</v>
      </c>
      <c r="P38" s="67" t="e">
        <f>O38*#REF!</f>
        <v>#REF!</v>
      </c>
      <c r="Q38" s="67" t="e">
        <f>P38*#REF!</f>
        <v>#REF!</v>
      </c>
      <c r="R38" s="67" t="e">
        <f>Q38*#REF!</f>
        <v>#REF!</v>
      </c>
      <c r="S38" s="67" t="e">
        <f>R38*#REF!</f>
        <v>#REF!</v>
      </c>
      <c r="T38" s="67" t="e">
        <f>S38*#REF!</f>
        <v>#REF!</v>
      </c>
      <c r="U38" s="67" t="e">
        <f>T38*#REF!</f>
        <v>#REF!</v>
      </c>
      <c r="V38" s="67" t="e">
        <f>U38*#REF!</f>
        <v>#REF!</v>
      </c>
      <c r="W38" s="42"/>
      <c r="X38" s="9">
        <f t="array" ref="X38">SUMIFS('Agg prdcrv'!$D$6:$D$100,'Agg prdcrv'!$A$6:$A$100,'Imp Refined'!$A38,'Agg prdcrv'!$B$6:$B$100,X$11)</f>
        <v>188.15</v>
      </c>
      <c r="Y38" s="9">
        <f t="array" ref="Y38">SUMIFS('Agg prdcrv'!$D$6:$D$100,'Agg prdcrv'!$A$6:$A$100,'Imp Refined'!$A38,'Agg prdcrv'!$B$6:$B$100,Y$11)</f>
        <v>135.79</v>
      </c>
      <c r="Z38" s="9">
        <f t="array" ref="Z38">SUMIFS('Agg prdcrv'!$D$6:$D$100,'Agg prdcrv'!$A$6:$A$100,'Imp Refined'!$A38,'Agg prdcrv'!$B$6:$B$100,Z$11)</f>
        <v>129.13999999999999</v>
      </c>
      <c r="AA38" s="9">
        <f t="array" ref="AA38">SUMIFS('Agg prdcrv'!$D$6:$D$100,'Agg prdcrv'!$A$6:$A$100,'Imp Refined'!$A38,'Agg prdcrv'!$B$6:$B$100,AA$11)</f>
        <v>122.81</v>
      </c>
      <c r="AB38" s="42">
        <f>X38*VLOOKUP($B38,Types!$B$2:$D$13,3,FALSE)*Conv!$I$5*1000*365</f>
        <v>455.52903013533194</v>
      </c>
      <c r="AC38" s="42">
        <f>Y38*VLOOKUP($B38,Types!$B$2:$D$13,3,FALSE)*Conv!$I$5*1000*365</f>
        <v>328.76049429751117</v>
      </c>
      <c r="AD38" s="42">
        <f>Z38*VLOOKUP($B38,Types!$B$2:$D$13,3,FALSE)*Conv!$I$5*1000*365</f>
        <v>312.6602123394992</v>
      </c>
      <c r="AE38" s="42">
        <f>AA38*VLOOKUP($B38,Types!$B$2:$D$13,3,FALSE)*Conv!$I$5*1000*365</f>
        <v>297.33468079149679</v>
      </c>
      <c r="AF38" s="42">
        <f>AB38-AB40</f>
        <v>45.552903013533125</v>
      </c>
      <c r="AG38" s="42">
        <f t="shared" ref="AG38" si="123">AC38-AC40</f>
        <v>32.876049429751106</v>
      </c>
      <c r="AH38" s="42">
        <f t="shared" ref="AH38" si="124">AD38-AD40</f>
        <v>31.266021233949971</v>
      </c>
      <c r="AI38" s="42">
        <f t="shared" ref="AI38" si="125">AE38-AE40</f>
        <v>29.733468079149645</v>
      </c>
      <c r="AJ38" s="42"/>
      <c r="AK38" s="42"/>
      <c r="AL38" s="42"/>
    </row>
    <row r="39" spans="1:38">
      <c r="A39" s="9" t="str">
        <f>A38</f>
        <v>High Sulfur Fuel Oil</v>
      </c>
      <c r="B39" s="9" t="str">
        <f>VLOOKUP($A39,Types!$A$2:$C$13,2,FALSE)</f>
        <v>RFH</v>
      </c>
      <c r="C39" s="9">
        <v>1</v>
      </c>
      <c r="D39" s="9">
        <v>1</v>
      </c>
      <c r="E39" s="9" t="str">
        <f t="shared" si="1"/>
        <v>IMPRFHP11</v>
      </c>
      <c r="F39" s="9" t="str">
        <f>CONCATENATE("Imported ",VLOOKUP($A39,Types!$A$2:$C$13,3,FALSE),", PADD ",D39,", Step ",RIGHT(C39,1))</f>
        <v>Imported High Sulfur Residual Fuel Oil, PADD 1, Step 1</v>
      </c>
      <c r="G39" s="9" t="str">
        <f>CONCATENATE(VLOOKUP($A39,Types!$A$2:$C$13,2,FALSE),"P",D39)</f>
        <v>RFHP1</v>
      </c>
      <c r="H39" s="66">
        <f>H38*$C$5</f>
        <v>36.355550000000001</v>
      </c>
      <c r="I39" s="66">
        <f t="shared" ref="I39" si="126">I38*$C$5</f>
        <v>29.782499999999999</v>
      </c>
      <c r="J39" s="66">
        <f t="shared" ref="J39" si="127">J38*$C$5</f>
        <v>27.350499999999997</v>
      </c>
      <c r="K39" s="66">
        <f t="shared" ref="K39" si="128">K38*$C$5</f>
        <v>30.21</v>
      </c>
      <c r="L39" s="67">
        <f>H39*Conv!$J$20/10^6/VLOOKUP($B39,Types!$B$2:$D$13,3,FALSE)/Conv!$I$5</f>
        <v>8.410370809417083</v>
      </c>
      <c r="M39" s="67">
        <f>I39*Conv!$J$20/10^6/VLOOKUP($B39,Types!$B$2:$D$13,3,FALSE)/Conv!$I$5</f>
        <v>6.8897835029717411</v>
      </c>
      <c r="N39" s="67" t="e">
        <f>M39*#REF!</f>
        <v>#REF!</v>
      </c>
      <c r="O39" s="67" t="e">
        <f>N39*#REF!</f>
        <v>#REF!</v>
      </c>
      <c r="P39" s="67" t="e">
        <f>O39*#REF!</f>
        <v>#REF!</v>
      </c>
      <c r="Q39" s="67" t="e">
        <f>P39*#REF!</f>
        <v>#REF!</v>
      </c>
      <c r="R39" s="67" t="e">
        <f>Q39*#REF!</f>
        <v>#REF!</v>
      </c>
      <c r="S39" s="67" t="e">
        <f>R39*#REF!</f>
        <v>#REF!</v>
      </c>
      <c r="T39" s="67" t="e">
        <f>S39*#REF!</f>
        <v>#REF!</v>
      </c>
      <c r="U39" s="67" t="e">
        <f>T39*#REF!</f>
        <v>#REF!</v>
      </c>
      <c r="V39" s="67" t="e">
        <f>U39*#REF!</f>
        <v>#REF!</v>
      </c>
      <c r="W39" s="42"/>
      <c r="X39" s="9">
        <f>X38*$E$5</f>
        <v>150.52000000000001</v>
      </c>
      <c r="Y39" s="9">
        <f t="shared" ref="Y39" si="129">Y38*$E$5</f>
        <v>108.63200000000001</v>
      </c>
      <c r="Z39" s="9">
        <f t="shared" ref="Z39" si="130">Z38*$E$5</f>
        <v>103.312</v>
      </c>
      <c r="AA39" s="9">
        <f t="shared" ref="AA39" si="131">AA38*$E$5</f>
        <v>98.248000000000005</v>
      </c>
      <c r="AB39" s="42">
        <f>X39*VLOOKUP($B39,Types!$B$2:$D$13,3,FALSE)*Conv!$I$5*1000*365</f>
        <v>364.42322410826563</v>
      </c>
      <c r="AC39" s="42">
        <f>Y39*VLOOKUP($B39,Types!$B$2:$D$13,3,FALSE)*Conv!$I$5*1000*365</f>
        <v>263.0083954380089</v>
      </c>
      <c r="AD39" s="42">
        <f>Z39*VLOOKUP($B39,Types!$B$2:$D$13,3,FALSE)*Conv!$I$5*1000*365</f>
        <v>250.12816987159931</v>
      </c>
      <c r="AE39" s="42">
        <f>AA39*VLOOKUP($B39,Types!$B$2:$D$13,3,FALSE)*Conv!$I$5*1000*365</f>
        <v>237.86774463319747</v>
      </c>
      <c r="AF39" s="42">
        <f>AB39</f>
        <v>364.42322410826563</v>
      </c>
      <c r="AG39" s="42">
        <f t="shared" ref="AG39" si="132">AC39</f>
        <v>263.0083954380089</v>
      </c>
      <c r="AH39" s="42">
        <f t="shared" ref="AH39" si="133">AD39</f>
        <v>250.12816987159931</v>
      </c>
      <c r="AI39" s="42">
        <f t="shared" ref="AI39" si="134">AE39</f>
        <v>237.86774463319747</v>
      </c>
      <c r="AJ39" s="42"/>
      <c r="AK39" s="42"/>
      <c r="AL39" s="42"/>
    </row>
    <row r="40" spans="1:38">
      <c r="A40" s="9" t="str">
        <f>A39</f>
        <v>High Sulfur Fuel Oil</v>
      </c>
      <c r="B40" s="9" t="str">
        <f>VLOOKUP($A40,Types!$A$2:$C$13,2,FALSE)</f>
        <v>RFH</v>
      </c>
      <c r="C40" s="9">
        <v>2</v>
      </c>
      <c r="D40" s="9">
        <v>1</v>
      </c>
      <c r="E40" s="9" t="str">
        <f t="shared" si="1"/>
        <v>IMPRFHP12</v>
      </c>
      <c r="F40" s="9" t="str">
        <f>CONCATENATE("Imported ",VLOOKUP($A40,Types!$A$2:$C$13,3,FALSE),", PADD ",D40,", Step ",RIGHT(C40,1))</f>
        <v>Imported High Sulfur Residual Fuel Oil, PADD 1, Step 2</v>
      </c>
      <c r="G40" s="9" t="str">
        <f>CONCATENATE(VLOOKUP($A40,Types!$A$2:$C$13,2,FALSE),"P",D40)</f>
        <v>RFHP1</v>
      </c>
      <c r="H40" s="66">
        <f>H38*$C$6</f>
        <v>37.503620000000005</v>
      </c>
      <c r="I40" s="66">
        <f t="shared" ref="I40:K40" si="135">I38*$C$6</f>
        <v>30.723000000000003</v>
      </c>
      <c r="J40" s="66">
        <f t="shared" si="135"/>
        <v>28.214199999999998</v>
      </c>
      <c r="K40" s="66">
        <f t="shared" si="135"/>
        <v>31.164000000000001</v>
      </c>
      <c r="L40" s="67">
        <f>H40*Conv!$J$20/10^6/VLOOKUP($B40,Types!$B$2:$D$13,3,FALSE)/Conv!$I$5</f>
        <v>8.6759614665565721</v>
      </c>
      <c r="M40" s="67">
        <f>I40*Conv!$J$20/10^6/VLOOKUP($B40,Types!$B$2:$D$13,3,FALSE)/Conv!$I$5</f>
        <v>7.1073556135919027</v>
      </c>
      <c r="N40" s="67" t="e">
        <f>M40*#REF!</f>
        <v>#REF!</v>
      </c>
      <c r="O40" s="67" t="e">
        <f>N40*#REF!</f>
        <v>#REF!</v>
      </c>
      <c r="P40" s="67" t="e">
        <f>O40*#REF!</f>
        <v>#REF!</v>
      </c>
      <c r="Q40" s="67" t="e">
        <f>P40*#REF!</f>
        <v>#REF!</v>
      </c>
      <c r="R40" s="67" t="e">
        <f>Q40*#REF!</f>
        <v>#REF!</v>
      </c>
      <c r="S40" s="67" t="e">
        <f>R40*#REF!</f>
        <v>#REF!</v>
      </c>
      <c r="T40" s="67" t="e">
        <f>S40*#REF!</f>
        <v>#REF!</v>
      </c>
      <c r="U40" s="67" t="e">
        <f>T40*#REF!</f>
        <v>#REF!</v>
      </c>
      <c r="V40" s="67" t="e">
        <f>U40*#REF!</f>
        <v>#REF!</v>
      </c>
      <c r="W40" s="42"/>
      <c r="X40" s="9">
        <f>X38*$E$6</f>
        <v>169.33500000000001</v>
      </c>
      <c r="Y40" s="9">
        <f t="shared" ref="Y40:AA40" si="136">Y38*$E$6</f>
        <v>122.211</v>
      </c>
      <c r="Z40" s="9">
        <f t="shared" si="136"/>
        <v>116.22599999999998</v>
      </c>
      <c r="AA40" s="9">
        <f t="shared" si="136"/>
        <v>110.52900000000001</v>
      </c>
      <c r="AB40" s="42">
        <f>X40*VLOOKUP($B40,Types!$B$2:$D$13,3,FALSE)*Conv!$I$5*1000*365</f>
        <v>409.97612712179881</v>
      </c>
      <c r="AC40" s="42">
        <f>Y40*VLOOKUP($B40,Types!$B$2:$D$13,3,FALSE)*Conv!$I$5*1000*365</f>
        <v>295.88444486776007</v>
      </c>
      <c r="AD40" s="42">
        <f>Z40*VLOOKUP($B40,Types!$B$2:$D$13,3,FALSE)*Conv!$I$5*1000*365</f>
        <v>281.39419110554923</v>
      </c>
      <c r="AE40" s="42">
        <f>AA40*VLOOKUP($B40,Types!$B$2:$D$13,3,FALSE)*Conv!$I$5*1000*365</f>
        <v>267.60121271234715</v>
      </c>
      <c r="AF40" s="42">
        <f>AB40-AF39</f>
        <v>45.552903013533182</v>
      </c>
      <c r="AG40" s="42">
        <f t="shared" ref="AG40" si="137">AC40-AG39</f>
        <v>32.876049429751163</v>
      </c>
      <c r="AH40" s="42">
        <f t="shared" ref="AH40" si="138">AD40-AH39</f>
        <v>31.266021233949914</v>
      </c>
      <c r="AI40" s="42">
        <f t="shared" ref="AI40" si="139">AE40-AI39</f>
        <v>29.733468079149674</v>
      </c>
      <c r="AJ40" s="42"/>
      <c r="AK40" s="42"/>
      <c r="AL40" s="42"/>
    </row>
    <row r="41" spans="1:38">
      <c r="A41" s="9" t="str">
        <f>A40</f>
        <v>High Sulfur Fuel Oil</v>
      </c>
      <c r="B41" s="9" t="str">
        <f>VLOOKUP($A41,Types!$A$2:$C$13,2,FALSE)</f>
        <v>RFH</v>
      </c>
      <c r="C41" s="9">
        <v>4</v>
      </c>
      <c r="D41" s="9">
        <v>1</v>
      </c>
      <c r="E41" s="9" t="str">
        <f t="shared" si="1"/>
        <v>IMPRFHP14</v>
      </c>
      <c r="F41" s="9" t="str">
        <f>CONCATENATE("Imported ",VLOOKUP($A41,Types!$A$2:$C$13,3,FALSE),", PADD ",D41,", Step ",RIGHT(C41,1))</f>
        <v>Imported High Sulfur Residual Fuel Oil, PADD 1, Step 4</v>
      </c>
      <c r="G41" s="9" t="str">
        <f>CONCATENATE(VLOOKUP($A41,Types!$A$2:$C$13,2,FALSE),"P",D41)</f>
        <v>RFHP1</v>
      </c>
      <c r="H41" s="66">
        <f>H38*$C$8</f>
        <v>41.713210000000011</v>
      </c>
      <c r="I41" s="66">
        <f t="shared" ref="I41:K41" si="140">I38*$C$8</f>
        <v>34.171500000000002</v>
      </c>
      <c r="J41" s="66">
        <f t="shared" si="140"/>
        <v>31.3811</v>
      </c>
      <c r="K41" s="66">
        <f t="shared" si="140"/>
        <v>34.662000000000006</v>
      </c>
      <c r="L41" s="67">
        <f>H41*Conv!$J$20/10^6/VLOOKUP($B41,Types!$B$2:$D$13,3,FALSE)/Conv!$I$5</f>
        <v>9.6497938760680242</v>
      </c>
      <c r="M41" s="67">
        <f>I41*Conv!$J$20/10^6/VLOOKUP($B41,Types!$B$2:$D$13,3,FALSE)/Conv!$I$5</f>
        <v>7.9051200191991562</v>
      </c>
      <c r="N41" s="67" t="e">
        <f>M41*#REF!</f>
        <v>#REF!</v>
      </c>
      <c r="O41" s="67" t="e">
        <f>N41*#REF!</f>
        <v>#REF!</v>
      </c>
      <c r="P41" s="67" t="e">
        <f>O41*#REF!</f>
        <v>#REF!</v>
      </c>
      <c r="Q41" s="67" t="e">
        <f>P41*#REF!</f>
        <v>#REF!</v>
      </c>
      <c r="R41" s="67" t="e">
        <f>Q41*#REF!</f>
        <v>#REF!</v>
      </c>
      <c r="S41" s="67" t="e">
        <f>R41*#REF!</f>
        <v>#REF!</v>
      </c>
      <c r="T41" s="67" t="e">
        <f>S41*#REF!</f>
        <v>#REF!</v>
      </c>
      <c r="U41" s="67" t="e">
        <f>T41*#REF!</f>
        <v>#REF!</v>
      </c>
      <c r="V41" s="67" t="e">
        <f>U41*#REF!</f>
        <v>#REF!</v>
      </c>
      <c r="W41" s="42"/>
      <c r="X41" s="9">
        <f>X38*$E$8</f>
        <v>225.78</v>
      </c>
      <c r="Y41" s="9">
        <f t="shared" ref="Y41:AA41" si="141">Y38*$E$8</f>
        <v>162.94799999999998</v>
      </c>
      <c r="Z41" s="9">
        <f t="shared" si="141"/>
        <v>154.96799999999999</v>
      </c>
      <c r="AA41" s="9">
        <f t="shared" si="141"/>
        <v>147.37199999999999</v>
      </c>
      <c r="AB41" s="42">
        <f>X41*VLOOKUP($B41,Types!$B$2:$D$13,3,FALSE)*Conv!$I$5*1000*365</f>
        <v>546.63483616239841</v>
      </c>
      <c r="AC41" s="42">
        <f>Y41*VLOOKUP($B41,Types!$B$2:$D$13,3,FALSE)*Conv!$I$5*1000*365</f>
        <v>394.51259315701333</v>
      </c>
      <c r="AD41" s="42">
        <f>Z41*VLOOKUP($B41,Types!$B$2:$D$13,3,FALSE)*Conv!$I$5*1000*365</f>
        <v>375.19225480739891</v>
      </c>
      <c r="AE41" s="42">
        <f>AA41*VLOOKUP($B41,Types!$B$2:$D$13,3,FALSE)*Conv!$I$5*1000*365</f>
        <v>356.80161694979614</v>
      </c>
      <c r="AF41" s="42">
        <f>AB41-AB38</f>
        <v>91.105806027066478</v>
      </c>
      <c r="AG41" s="42">
        <f t="shared" ref="AG41" si="142">AC41-AC38</f>
        <v>65.752098859502155</v>
      </c>
      <c r="AH41" s="42">
        <f t="shared" ref="AH41" si="143">AD41-AD38</f>
        <v>62.532042467899714</v>
      </c>
      <c r="AI41" s="42">
        <f t="shared" ref="AI41" si="144">AE41-AE38</f>
        <v>59.466936158299347</v>
      </c>
      <c r="AJ41" s="42"/>
      <c r="AK41" s="42"/>
      <c r="AL41" s="42"/>
    </row>
    <row r="42" spans="1:38">
      <c r="A42" s="9" t="str">
        <f>A41</f>
        <v>High Sulfur Fuel Oil</v>
      </c>
      <c r="B42" s="9" t="str">
        <f>VLOOKUP($A42,Types!$A$2:$C$13,2,FALSE)</f>
        <v>RFH</v>
      </c>
      <c r="C42" s="9">
        <v>5</v>
      </c>
      <c r="D42" s="9">
        <v>1</v>
      </c>
      <c r="E42" s="9" t="str">
        <f t="shared" si="1"/>
        <v>IMPRFHP15</v>
      </c>
      <c r="F42" s="9" t="str">
        <f>CONCATENATE("Imported ",VLOOKUP($A42,Types!$A$2:$C$13,3,FALSE),", PADD ",D42,", Step ",RIGHT(C42,1))</f>
        <v>Imported High Sulfur Residual Fuel Oil, PADD 1, Step 5</v>
      </c>
      <c r="G42" s="9" t="str">
        <f>CONCATENATE(VLOOKUP($A42,Types!$A$2:$C$13,2,FALSE),"P",D42)</f>
        <v>RFHP1</v>
      </c>
      <c r="H42" s="66">
        <f>H38*$C$9</f>
        <v>49.749700000000011</v>
      </c>
      <c r="I42" s="66">
        <f t="shared" ref="I42:K42" si="145">I38*$C$9</f>
        <v>40.755000000000003</v>
      </c>
      <c r="J42" s="66">
        <f t="shared" si="145"/>
        <v>37.427</v>
      </c>
      <c r="K42" s="66">
        <f t="shared" si="145"/>
        <v>41.34</v>
      </c>
      <c r="L42" s="67">
        <f>H42*Conv!$J$20/10^6/VLOOKUP($B42,Types!$B$2:$D$13,3,FALSE)/Conv!$I$5</f>
        <v>11.508928476044431</v>
      </c>
      <c r="M42" s="67">
        <f>I42*Conv!$J$20/10^6/VLOOKUP($B42,Types!$B$2:$D$13,3,FALSE)/Conv!$I$5</f>
        <v>9.4281247935402774</v>
      </c>
      <c r="N42" s="67" t="e">
        <f>M42*#REF!</f>
        <v>#REF!</v>
      </c>
      <c r="O42" s="67" t="e">
        <f>N42*#REF!</f>
        <v>#REF!</v>
      </c>
      <c r="P42" s="67" t="e">
        <f>O42*#REF!</f>
        <v>#REF!</v>
      </c>
      <c r="Q42" s="67" t="e">
        <f>P42*#REF!</f>
        <v>#REF!</v>
      </c>
      <c r="R42" s="67" t="e">
        <f>Q42*#REF!</f>
        <v>#REF!</v>
      </c>
      <c r="S42" s="67" t="e">
        <f>R42*#REF!</f>
        <v>#REF!</v>
      </c>
      <c r="T42" s="67" t="e">
        <f>S42*#REF!</f>
        <v>#REF!</v>
      </c>
      <c r="U42" s="67" t="e">
        <f>T42*#REF!</f>
        <v>#REF!</v>
      </c>
      <c r="V42" s="67" t="e">
        <f>U42*#REF!</f>
        <v>#REF!</v>
      </c>
      <c r="W42" s="42"/>
      <c r="X42" s="9">
        <f>X38*$E$9</f>
        <v>376.3</v>
      </c>
      <c r="Y42" s="9">
        <f t="shared" ref="Y42:AA42" si="146">Y38*$E$9</f>
        <v>271.58</v>
      </c>
      <c r="Z42" s="9">
        <f t="shared" si="146"/>
        <v>258.27999999999997</v>
      </c>
      <c r="AA42" s="9">
        <f t="shared" si="146"/>
        <v>245.62</v>
      </c>
      <c r="AB42" s="42">
        <f>X42*VLOOKUP($B42,Types!$B$2:$D$13,3,FALSE)*Conv!$I$5*1000*365</f>
        <v>911.05806027066387</v>
      </c>
      <c r="AC42" s="42">
        <f>Y42*VLOOKUP($B42,Types!$B$2:$D$13,3,FALSE)*Conv!$I$5*1000*365</f>
        <v>657.52098859502235</v>
      </c>
      <c r="AD42" s="42">
        <f>Z42*VLOOKUP($B42,Types!$B$2:$D$13,3,FALSE)*Conv!$I$5*1000*365</f>
        <v>625.32042467899839</v>
      </c>
      <c r="AE42" s="42">
        <f>AA42*VLOOKUP($B42,Types!$B$2:$D$13,3,FALSE)*Conv!$I$5*1000*365</f>
        <v>594.66936158299359</v>
      </c>
      <c r="AF42" s="42">
        <f>AB42-AB41</f>
        <v>364.42322410826546</v>
      </c>
      <c r="AG42" s="42">
        <f t="shared" ref="AG42" si="147">AC42-AC41</f>
        <v>263.00839543800902</v>
      </c>
      <c r="AH42" s="42">
        <f t="shared" ref="AH42" si="148">AD42-AD41</f>
        <v>250.12816987159948</v>
      </c>
      <c r="AI42" s="42">
        <f t="shared" ref="AI42" si="149">AE42-AE41</f>
        <v>237.86774463319745</v>
      </c>
      <c r="AJ42" s="42"/>
      <c r="AK42" s="42"/>
      <c r="AL42" s="42"/>
    </row>
    <row r="43" spans="1:38">
      <c r="A43" s="9" t="str">
        <f>'Agg prdcrv'!$A$12</f>
        <v>Jet Fuel</v>
      </c>
      <c r="B43" s="9" t="str">
        <f>VLOOKUP($A43,Types!$A$2:$C$13,2,FALSE)</f>
        <v>JTF</v>
      </c>
      <c r="C43" s="9">
        <v>3</v>
      </c>
      <c r="D43" s="9">
        <v>1</v>
      </c>
      <c r="E43" s="9" t="str">
        <f t="shared" si="1"/>
        <v>IMPJTFP13</v>
      </c>
      <c r="F43" s="9" t="str">
        <f>CONCATENATE("Imported ",VLOOKUP($A43,Types!$A$2:$C$13,3,FALSE),", PADD ",D43,", Step ",RIGHT(C43,1))</f>
        <v>Imported Jet Fuel, PADD 1, Step 3</v>
      </c>
      <c r="G43" s="9" t="str">
        <f>CONCATENATE(VLOOKUP($A43,Types!$A$2:$C$13,2,FALSE),"P",D43)</f>
        <v>JTFP1</v>
      </c>
      <c r="H43" s="66">
        <f>SUMIFS('Agg prdcrv'!$L$6:$L$100,'Agg prdcrv'!$A$6:$A$100,'Imp Refined'!$A43,'Agg prdcrv'!$B$6:$B$100,H$11)*K4</f>
        <v>48.422000000000004</v>
      </c>
      <c r="I43" s="66">
        <f>SUMIFS('Agg prdcrv'!$L$6:$L$100,'Agg prdcrv'!$A$6:$A$100,'Imp Refined'!$A43,'Agg prdcrv'!$B$6:$B$100,I$11)*K4</f>
        <v>43.384</v>
      </c>
      <c r="J43" s="66">
        <f t="array" ref="J43">SUMIFS('Agg prdcrv'!$L$6:$L$100,'Agg prdcrv'!$A$6:$A$100,'Imp Refined'!$A43,'Agg prdcrv'!$B$6:$B$100,J$11)</f>
        <v>35.21</v>
      </c>
      <c r="K43" s="66">
        <f t="array" ref="K43">SUMIFS('Agg prdcrv'!$L$6:$L$100,'Agg prdcrv'!$A$6:$A$100,'Imp Refined'!$A43,'Agg prdcrv'!$B$6:$B$100,K$11)</f>
        <v>38.340000000000003</v>
      </c>
      <c r="L43" s="67">
        <f>H43*Conv!$J$20/10^6/VLOOKUP($B43,Types!$B$2:$D$13,3,FALSE)/Conv!$I$5</f>
        <v>12.420742253539832</v>
      </c>
      <c r="M43" s="67">
        <f>I43*Conv!$J$20/10^6/VLOOKUP($B43,Types!$B$2:$D$13,3,FALSE)/Conv!$I$5</f>
        <v>11.128443309395978</v>
      </c>
      <c r="N43" s="67" t="e">
        <f>M43*#REF!</f>
        <v>#REF!</v>
      </c>
      <c r="O43" s="67" t="e">
        <f>N43*#REF!</f>
        <v>#REF!</v>
      </c>
      <c r="P43" s="67" t="e">
        <f>O43*#REF!</f>
        <v>#REF!</v>
      </c>
      <c r="Q43" s="67" t="e">
        <f>P43*#REF!</f>
        <v>#REF!</v>
      </c>
      <c r="R43" s="67" t="e">
        <f>Q43*#REF!</f>
        <v>#REF!</v>
      </c>
      <c r="S43" s="67" t="e">
        <f>R43*#REF!</f>
        <v>#REF!</v>
      </c>
      <c r="T43" s="67" t="e">
        <f>S43*#REF!</f>
        <v>#REF!</v>
      </c>
      <c r="U43" s="67" t="e">
        <f>T43*#REF!</f>
        <v>#REF!</v>
      </c>
      <c r="V43" s="67" t="e">
        <f>U43*#REF!</f>
        <v>#REF!</v>
      </c>
      <c r="W43" s="42"/>
      <c r="X43" s="9">
        <f t="array" ref="X43">SUMIFS('Agg prdcrv'!$D$6:$D$100,'Agg prdcrv'!$A$6:$A$100,'Imp Refined'!$A43,'Agg prdcrv'!$B$6:$B$100,X$11)</f>
        <v>71.38</v>
      </c>
      <c r="Y43" s="9">
        <f t="array" ref="Y43">SUMIFS('Agg prdcrv'!$D$6:$D$100,'Agg prdcrv'!$A$6:$A$100,'Imp Refined'!$A43,'Agg prdcrv'!$B$6:$B$100,Y$11)</f>
        <v>99.81</v>
      </c>
      <c r="Z43" s="9">
        <f t="array" ref="Z43">SUMIFS('Agg prdcrv'!$D$6:$D$100,'Agg prdcrv'!$A$6:$A$100,'Imp Refined'!$A43,'Agg prdcrv'!$B$6:$B$100,Z$11)</f>
        <v>88.11</v>
      </c>
      <c r="AA43" s="9">
        <f t="array" ref="AA43">SUMIFS('Agg prdcrv'!$D$6:$D$100,'Agg prdcrv'!$A$6:$A$100,'Imp Refined'!$A43,'Agg prdcrv'!$B$6:$B$100,AA$11)</f>
        <v>97.28</v>
      </c>
      <c r="AB43" s="42">
        <f>X43*VLOOKUP($B43,Types!$B$2:$D$13,3,FALSE)*Conv!$I$5*1000*365</f>
        <v>155.85759791582396</v>
      </c>
      <c r="AC43" s="42">
        <f>Y43*VLOOKUP($B43,Types!$B$2:$D$13,3,FALSE)*Conv!$I$5*1000*365</f>
        <v>217.93425116248798</v>
      </c>
      <c r="AD43" s="42">
        <f>Z43*VLOOKUP($B43,Types!$B$2:$D$13,3,FALSE)*Conv!$I$5*1000*365</f>
        <v>192.38740476832794</v>
      </c>
      <c r="AE43" s="42">
        <f>AA43*VLOOKUP($B43,Types!$B$2:$D$13,3,FALSE)*Conv!$I$5*1000*365</f>
        <v>212.410018566144</v>
      </c>
      <c r="AF43" s="42">
        <f>AB43-AB45</f>
        <v>15.585759791582376</v>
      </c>
      <c r="AG43" s="42">
        <f t="shared" ref="AG43" si="150">AC43-AC45</f>
        <v>21.793425116248812</v>
      </c>
      <c r="AH43" s="42">
        <f t="shared" ref="AH43" si="151">AD43-AD45</f>
        <v>19.23874047683276</v>
      </c>
      <c r="AI43" s="42">
        <f t="shared" ref="AI43" si="152">AE43-AE45</f>
        <v>21.241001856614417</v>
      </c>
      <c r="AJ43" s="42"/>
      <c r="AK43" s="42"/>
      <c r="AL43" s="42"/>
    </row>
    <row r="44" spans="1:38">
      <c r="A44" s="9" t="str">
        <f>A43</f>
        <v>Jet Fuel</v>
      </c>
      <c r="B44" s="9" t="str">
        <f>VLOOKUP($A44,Types!$A$2:$C$13,2,FALSE)</f>
        <v>JTF</v>
      </c>
      <c r="C44" s="9">
        <v>1</v>
      </c>
      <c r="D44" s="9">
        <v>1</v>
      </c>
      <c r="E44" s="9" t="str">
        <f t="shared" si="1"/>
        <v>IMPJTFP11</v>
      </c>
      <c r="F44" s="9" t="str">
        <f>CONCATENATE("Imported ",VLOOKUP($A44,Types!$A$2:$C$13,3,FALSE),", PADD ",D44,", Step ",RIGHT(C44,1))</f>
        <v>Imported Jet Fuel, PADD 1, Step 1</v>
      </c>
      <c r="G44" s="9" t="str">
        <f>CONCATENATE(VLOOKUP($A44,Types!$A$2:$C$13,2,FALSE),"P",D44)</f>
        <v>JTFP1</v>
      </c>
      <c r="H44" s="66">
        <f>H43*$C$5</f>
        <v>46.000900000000001</v>
      </c>
      <c r="I44" s="66">
        <f t="shared" ref="I44" si="153">I43*$C$5</f>
        <v>41.214799999999997</v>
      </c>
      <c r="J44" s="66">
        <f t="shared" ref="J44" si="154">J43*$C$5</f>
        <v>33.4495</v>
      </c>
      <c r="K44" s="66">
        <f t="shared" ref="K44" si="155">K43*$C$5</f>
        <v>36.423000000000002</v>
      </c>
      <c r="L44" s="67">
        <f>H44*Conv!$J$20/10^6/VLOOKUP($B44,Types!$B$2:$D$13,3,FALSE)/Conv!$I$5</f>
        <v>11.799705140862839</v>
      </c>
      <c r="M44" s="67">
        <f>I44*Conv!$J$20/10^6/VLOOKUP($B44,Types!$B$2:$D$13,3,FALSE)/Conv!$I$5</f>
        <v>10.572021143926175</v>
      </c>
      <c r="N44" s="67" t="e">
        <f>M44*#REF!</f>
        <v>#REF!</v>
      </c>
      <c r="O44" s="67" t="e">
        <f>N44*#REF!</f>
        <v>#REF!</v>
      </c>
      <c r="P44" s="67" t="e">
        <f>O44*#REF!</f>
        <v>#REF!</v>
      </c>
      <c r="Q44" s="67" t="e">
        <f>P44*#REF!</f>
        <v>#REF!</v>
      </c>
      <c r="R44" s="67" t="e">
        <f>Q44*#REF!</f>
        <v>#REF!</v>
      </c>
      <c r="S44" s="67" t="e">
        <f>R44*#REF!</f>
        <v>#REF!</v>
      </c>
      <c r="T44" s="67" t="e">
        <f>S44*#REF!</f>
        <v>#REF!</v>
      </c>
      <c r="U44" s="67" t="e">
        <f>T44*#REF!</f>
        <v>#REF!</v>
      </c>
      <c r="V44" s="67" t="e">
        <f>U44*#REF!</f>
        <v>#REF!</v>
      </c>
      <c r="W44" s="42"/>
      <c r="X44" s="9">
        <f>X43*$E$5</f>
        <v>57.103999999999999</v>
      </c>
      <c r="Y44" s="9">
        <f t="shared" ref="Y44" si="156">Y43*$E$5</f>
        <v>79.848000000000013</v>
      </c>
      <c r="Z44" s="9">
        <f t="shared" ref="Z44" si="157">Z43*$E$5</f>
        <v>70.488</v>
      </c>
      <c r="AA44" s="9">
        <f t="shared" ref="AA44" si="158">AA43*$E$5</f>
        <v>77.824000000000012</v>
      </c>
      <c r="AB44" s="42">
        <f>X44*VLOOKUP($B44,Types!$B$2:$D$13,3,FALSE)*Conv!$I$5*1000*365</f>
        <v>124.68607833265919</v>
      </c>
      <c r="AC44" s="42">
        <f>Y44*VLOOKUP($B44,Types!$B$2:$D$13,3,FALSE)*Conv!$I$5*1000*365</f>
        <v>174.34740092999041</v>
      </c>
      <c r="AD44" s="42">
        <f>Z44*VLOOKUP($B44,Types!$B$2:$D$13,3,FALSE)*Conv!$I$5*1000*365</f>
        <v>153.90992381466239</v>
      </c>
      <c r="AE44" s="42">
        <f>AA44*VLOOKUP($B44,Types!$B$2:$D$13,3,FALSE)*Conv!$I$5*1000*365</f>
        <v>169.92801485291523</v>
      </c>
      <c r="AF44" s="42">
        <f>AB44</f>
        <v>124.68607833265919</v>
      </c>
      <c r="AG44" s="42">
        <f t="shared" ref="AG44" si="159">AC44</f>
        <v>174.34740092999041</v>
      </c>
      <c r="AH44" s="42">
        <f t="shared" ref="AH44" si="160">AD44</f>
        <v>153.90992381466239</v>
      </c>
      <c r="AI44" s="42">
        <f t="shared" ref="AI44" si="161">AE44</f>
        <v>169.92801485291523</v>
      </c>
      <c r="AJ44" s="42"/>
      <c r="AK44" s="42"/>
      <c r="AL44" s="42"/>
    </row>
    <row r="45" spans="1:38">
      <c r="A45" s="9" t="str">
        <f>A44</f>
        <v>Jet Fuel</v>
      </c>
      <c r="B45" s="9" t="str">
        <f>VLOOKUP($A45,Types!$A$2:$C$13,2,FALSE)</f>
        <v>JTF</v>
      </c>
      <c r="C45" s="9">
        <v>2</v>
      </c>
      <c r="D45" s="9">
        <v>1</v>
      </c>
      <c r="E45" s="9" t="str">
        <f t="shared" ref="E45:E72" si="162">CONCATENATE("IMP",G45,RIGHT(C45,1))</f>
        <v>IMPJTFP12</v>
      </c>
      <c r="F45" s="9" t="str">
        <f>CONCATENATE("Imported ",VLOOKUP($A45,Types!$A$2:$C$13,3,FALSE),", PADD ",D45,", Step ",RIGHT(C45,1))</f>
        <v>Imported Jet Fuel, PADD 1, Step 2</v>
      </c>
      <c r="G45" s="9" t="str">
        <f>CONCATENATE(VLOOKUP($A45,Types!$A$2:$C$13,2,FALSE),"P",D45)</f>
        <v>JTFP1</v>
      </c>
      <c r="H45" s="66">
        <f>H43*$C$6</f>
        <v>47.453560000000003</v>
      </c>
      <c r="I45" s="66">
        <f t="shared" ref="I45:K45" si="163">I43*$C$6</f>
        <v>42.51632</v>
      </c>
      <c r="J45" s="66">
        <f t="shared" si="163"/>
        <v>34.505800000000001</v>
      </c>
      <c r="K45" s="66">
        <f t="shared" si="163"/>
        <v>37.5732</v>
      </c>
      <c r="L45" s="67">
        <f>H45*Conv!$J$20/10^6/VLOOKUP($B45,Types!$B$2:$D$13,3,FALSE)/Conv!$I$5</f>
        <v>12.172327408469036</v>
      </c>
      <c r="M45" s="67">
        <f>I45*Conv!$J$20/10^6/VLOOKUP($B45,Types!$B$2:$D$13,3,FALSE)/Conv!$I$5</f>
        <v>10.905874443208058</v>
      </c>
      <c r="N45" s="67" t="e">
        <f>M45*#REF!</f>
        <v>#REF!</v>
      </c>
      <c r="O45" s="67" t="e">
        <f>N45*#REF!</f>
        <v>#REF!</v>
      </c>
      <c r="P45" s="67" t="e">
        <f>O45*#REF!</f>
        <v>#REF!</v>
      </c>
      <c r="Q45" s="67" t="e">
        <f>P45*#REF!</f>
        <v>#REF!</v>
      </c>
      <c r="R45" s="67" t="e">
        <f>Q45*#REF!</f>
        <v>#REF!</v>
      </c>
      <c r="S45" s="67" t="e">
        <f>R45*#REF!</f>
        <v>#REF!</v>
      </c>
      <c r="T45" s="67" t="e">
        <f>S45*#REF!</f>
        <v>#REF!</v>
      </c>
      <c r="U45" s="67" t="e">
        <f>T45*#REF!</f>
        <v>#REF!</v>
      </c>
      <c r="V45" s="67" t="e">
        <f>U45*#REF!</f>
        <v>#REF!</v>
      </c>
      <c r="W45" s="42"/>
      <c r="X45" s="9">
        <f>X43*$E$6</f>
        <v>64.242000000000004</v>
      </c>
      <c r="Y45" s="9">
        <f t="shared" ref="Y45:AA45" si="164">Y43*$E$6</f>
        <v>89.829000000000008</v>
      </c>
      <c r="Z45" s="9">
        <f t="shared" si="164"/>
        <v>79.299000000000007</v>
      </c>
      <c r="AA45" s="9">
        <f t="shared" si="164"/>
        <v>87.552000000000007</v>
      </c>
      <c r="AB45" s="42">
        <f>X45*VLOOKUP($B45,Types!$B$2:$D$13,3,FALSE)*Conv!$I$5*1000*365</f>
        <v>140.27183812424158</v>
      </c>
      <c r="AC45" s="42">
        <f>Y45*VLOOKUP($B45,Types!$B$2:$D$13,3,FALSE)*Conv!$I$5*1000*365</f>
        <v>196.14082604623917</v>
      </c>
      <c r="AD45" s="42">
        <f>Z45*VLOOKUP($B45,Types!$B$2:$D$13,3,FALSE)*Conv!$I$5*1000*365</f>
        <v>173.14866429149518</v>
      </c>
      <c r="AE45" s="42">
        <f>AA45*VLOOKUP($B45,Types!$B$2:$D$13,3,FALSE)*Conv!$I$5*1000*365</f>
        <v>191.16901670952959</v>
      </c>
      <c r="AF45" s="42">
        <f>AB45-AF44</f>
        <v>15.58575979158239</v>
      </c>
      <c r="AG45" s="42">
        <f t="shared" ref="AG45" si="165">AC45-AG44</f>
        <v>21.793425116248756</v>
      </c>
      <c r="AH45" s="42">
        <f t="shared" ref="AH45" si="166">AD45-AH44</f>
        <v>19.238740476832788</v>
      </c>
      <c r="AI45" s="42">
        <f t="shared" ref="AI45" si="167">AE45-AI44</f>
        <v>21.241001856614361</v>
      </c>
      <c r="AJ45" s="42"/>
      <c r="AK45" s="42"/>
      <c r="AL45" s="42"/>
    </row>
    <row r="46" spans="1:38">
      <c r="A46" s="9" t="str">
        <f>A45</f>
        <v>Jet Fuel</v>
      </c>
      <c r="B46" s="9" t="str">
        <f>VLOOKUP($A46,Types!$A$2:$C$13,2,FALSE)</f>
        <v>JTF</v>
      </c>
      <c r="C46" s="9">
        <v>4</v>
      </c>
      <c r="D46" s="9">
        <v>1</v>
      </c>
      <c r="E46" s="9" t="str">
        <f t="shared" si="162"/>
        <v>IMPJTFP14</v>
      </c>
      <c r="F46" s="9" t="str">
        <f>CONCATENATE("Imported ",VLOOKUP($A46,Types!$A$2:$C$13,3,FALSE),", PADD ",D46,", Step ",RIGHT(C46,1))</f>
        <v>Imported Jet Fuel, PADD 1, Step 4</v>
      </c>
      <c r="G46" s="9" t="str">
        <f>CONCATENATE(VLOOKUP($A46,Types!$A$2:$C$13,2,FALSE),"P",D46)</f>
        <v>JTFP1</v>
      </c>
      <c r="H46" s="66">
        <f>H43*$C$8</f>
        <v>52.779980000000009</v>
      </c>
      <c r="I46" s="66">
        <f t="shared" ref="I46:K46" si="168">I43*$C$8</f>
        <v>47.288560000000004</v>
      </c>
      <c r="J46" s="66">
        <f t="shared" si="168"/>
        <v>38.378900000000002</v>
      </c>
      <c r="K46" s="66">
        <f t="shared" si="168"/>
        <v>41.790600000000005</v>
      </c>
      <c r="L46" s="67">
        <f>H46*Conv!$J$20/10^6/VLOOKUP($B46,Types!$B$2:$D$13,3,FALSE)/Conv!$I$5</f>
        <v>13.538609056358418</v>
      </c>
      <c r="M46" s="67">
        <f>I46*Conv!$J$20/10^6/VLOOKUP($B46,Types!$B$2:$D$13,3,FALSE)/Conv!$I$5</f>
        <v>12.130003207241614</v>
      </c>
      <c r="N46" s="67" t="e">
        <f>M46*#REF!</f>
        <v>#REF!</v>
      </c>
      <c r="O46" s="67" t="e">
        <f>N46*#REF!</f>
        <v>#REF!</v>
      </c>
      <c r="P46" s="67" t="e">
        <f>O46*#REF!</f>
        <v>#REF!</v>
      </c>
      <c r="Q46" s="67" t="e">
        <f>P46*#REF!</f>
        <v>#REF!</v>
      </c>
      <c r="R46" s="67" t="e">
        <f>Q46*#REF!</f>
        <v>#REF!</v>
      </c>
      <c r="S46" s="67" t="e">
        <f>R46*#REF!</f>
        <v>#REF!</v>
      </c>
      <c r="T46" s="67" t="e">
        <f>S46*#REF!</f>
        <v>#REF!</v>
      </c>
      <c r="U46" s="67" t="e">
        <f>T46*#REF!</f>
        <v>#REF!</v>
      </c>
      <c r="V46" s="67" t="e">
        <f>U46*#REF!</f>
        <v>#REF!</v>
      </c>
      <c r="W46" s="42"/>
      <c r="X46" s="9">
        <f>X43*$E$8</f>
        <v>85.655999999999992</v>
      </c>
      <c r="Y46" s="9">
        <f t="shared" ref="Y46:AA46" si="169">Y43*$E$8</f>
        <v>119.77199999999999</v>
      </c>
      <c r="Z46" s="9">
        <f t="shared" si="169"/>
        <v>105.732</v>
      </c>
      <c r="AA46" s="9">
        <f t="shared" si="169"/>
        <v>116.73599999999999</v>
      </c>
      <c r="AB46" s="42">
        <f>X46*VLOOKUP($B46,Types!$B$2:$D$13,3,FALSE)*Conv!$I$5*1000*365</f>
        <v>187.02911749898874</v>
      </c>
      <c r="AC46" s="42">
        <f>Y46*VLOOKUP($B46,Types!$B$2:$D$13,3,FALSE)*Conv!$I$5*1000*365</f>
        <v>261.52110139498552</v>
      </c>
      <c r="AD46" s="42">
        <f>Z46*VLOOKUP($B46,Types!$B$2:$D$13,3,FALSE)*Conv!$I$5*1000*365</f>
        <v>230.8648857219936</v>
      </c>
      <c r="AE46" s="42">
        <f>AA46*VLOOKUP($B46,Types!$B$2:$D$13,3,FALSE)*Conv!$I$5*1000*365</f>
        <v>254.89202227937278</v>
      </c>
      <c r="AF46" s="42">
        <f>AB46-AB43</f>
        <v>31.17151958316478</v>
      </c>
      <c r="AG46" s="42">
        <f t="shared" ref="AG46" si="170">AC46-AC43</f>
        <v>43.58685023249754</v>
      </c>
      <c r="AH46" s="42">
        <f t="shared" ref="AH46" si="171">AD46-AD43</f>
        <v>38.477480953665662</v>
      </c>
      <c r="AI46" s="42">
        <f t="shared" ref="AI46" si="172">AE46-AE43</f>
        <v>42.482003713228778</v>
      </c>
      <c r="AJ46" s="42"/>
      <c r="AK46" s="42"/>
      <c r="AL46" s="42"/>
    </row>
    <row r="47" spans="1:38">
      <c r="A47" s="9" t="str">
        <f>A46</f>
        <v>Jet Fuel</v>
      </c>
      <c r="B47" s="9" t="str">
        <f>VLOOKUP($A47,Types!$A$2:$C$13,2,FALSE)</f>
        <v>JTF</v>
      </c>
      <c r="C47" s="9">
        <v>5</v>
      </c>
      <c r="D47" s="9">
        <v>1</v>
      </c>
      <c r="E47" s="9" t="str">
        <f t="shared" si="162"/>
        <v>IMPJTFP15</v>
      </c>
      <c r="F47" s="9" t="str">
        <f>CONCATENATE("Imported ",VLOOKUP($A47,Types!$A$2:$C$13,3,FALSE),", PADD ",D47,", Step ",RIGHT(C47,1))</f>
        <v>Imported Jet Fuel, PADD 1, Step 5</v>
      </c>
      <c r="G47" s="9" t="str">
        <f>CONCATENATE(VLOOKUP($A47,Types!$A$2:$C$13,2,FALSE),"P",D47)</f>
        <v>JTFP1</v>
      </c>
      <c r="H47" s="66">
        <f>H43*$C$9</f>
        <v>62.948600000000006</v>
      </c>
      <c r="I47" s="66">
        <f t="shared" ref="I47:K47" si="173">I43*$C$9</f>
        <v>56.3992</v>
      </c>
      <c r="J47" s="66">
        <f t="shared" si="173"/>
        <v>45.773000000000003</v>
      </c>
      <c r="K47" s="66">
        <f t="shared" si="173"/>
        <v>49.842000000000006</v>
      </c>
      <c r="L47" s="67">
        <f>H47*Conv!$J$20/10^6/VLOOKUP($B47,Types!$B$2:$D$13,3,FALSE)/Conv!$I$5</f>
        <v>16.146964929601779</v>
      </c>
      <c r="M47" s="67">
        <f>I47*Conv!$J$20/10^6/VLOOKUP($B47,Types!$B$2:$D$13,3,FALSE)/Conv!$I$5</f>
        <v>14.466976302214771</v>
      </c>
      <c r="N47" s="67" t="e">
        <f>M47*#REF!</f>
        <v>#REF!</v>
      </c>
      <c r="O47" s="67" t="e">
        <f>N47*#REF!</f>
        <v>#REF!</v>
      </c>
      <c r="P47" s="67" t="e">
        <f>O47*#REF!</f>
        <v>#REF!</v>
      </c>
      <c r="Q47" s="67" t="e">
        <f>P47*#REF!</f>
        <v>#REF!</v>
      </c>
      <c r="R47" s="67" t="e">
        <f>Q47*#REF!</f>
        <v>#REF!</v>
      </c>
      <c r="S47" s="67" t="e">
        <f>R47*#REF!</f>
        <v>#REF!</v>
      </c>
      <c r="T47" s="67" t="e">
        <f>S47*#REF!</f>
        <v>#REF!</v>
      </c>
      <c r="U47" s="67" t="e">
        <f>T47*#REF!</f>
        <v>#REF!</v>
      </c>
      <c r="V47" s="67" t="e">
        <f>U47*#REF!</f>
        <v>#REF!</v>
      </c>
      <c r="W47" s="42"/>
      <c r="X47" s="9">
        <f>X43*$E$9</f>
        <v>142.76</v>
      </c>
      <c r="Y47" s="9">
        <f t="shared" ref="Y47:AA47" si="174">Y43*$E$9</f>
        <v>199.62</v>
      </c>
      <c r="Z47" s="9">
        <f t="shared" si="174"/>
        <v>176.22</v>
      </c>
      <c r="AA47" s="9">
        <f t="shared" si="174"/>
        <v>194.56</v>
      </c>
      <c r="AB47" s="42">
        <f>X47*VLOOKUP($B47,Types!$B$2:$D$13,3,FALSE)*Conv!$I$5*1000*365</f>
        <v>311.71519583164792</v>
      </c>
      <c r="AC47" s="42">
        <f>Y47*VLOOKUP($B47,Types!$B$2:$D$13,3,FALSE)*Conv!$I$5*1000*365</f>
        <v>435.86850232497596</v>
      </c>
      <c r="AD47" s="42">
        <f>Z47*VLOOKUP($B47,Types!$B$2:$D$13,3,FALSE)*Conv!$I$5*1000*365</f>
        <v>384.77480953665588</v>
      </c>
      <c r="AE47" s="42">
        <f>AA47*VLOOKUP($B47,Types!$B$2:$D$13,3,FALSE)*Conv!$I$5*1000*365</f>
        <v>424.82003713228801</v>
      </c>
      <c r="AF47" s="42">
        <f>AB47-AB46</f>
        <v>124.68607833265918</v>
      </c>
      <c r="AG47" s="42">
        <f t="shared" ref="AG47" si="175">AC47-AC46</f>
        <v>174.34740092999044</v>
      </c>
      <c r="AH47" s="42">
        <f t="shared" ref="AH47" si="176">AD47-AD46</f>
        <v>153.90992381466228</v>
      </c>
      <c r="AI47" s="42">
        <f t="shared" ref="AI47" si="177">AE47-AE46</f>
        <v>169.92801485291523</v>
      </c>
      <c r="AJ47" s="42"/>
      <c r="AK47" s="42"/>
      <c r="AL47" s="42"/>
    </row>
    <row r="48" spans="1:38">
      <c r="A48" s="9" t="str">
        <f>'Agg prdcrv'!$A$13</f>
        <v>LPG</v>
      </c>
      <c r="B48" s="9" t="str">
        <f>VLOOKUP($A48,Types!$A$2:$C$13,2,FALSE)</f>
        <v>LPG</v>
      </c>
      <c r="C48" s="9">
        <v>3</v>
      </c>
      <c r="D48" s="9">
        <v>1</v>
      </c>
      <c r="E48" s="9" t="str">
        <f t="shared" si="162"/>
        <v>IMPLPGP13</v>
      </c>
      <c r="F48" s="9" t="str">
        <f>CONCATENATE("Imported ",VLOOKUP($A48,Types!$A$2:$C$13,3,FALSE),", PADD ",D48,", Step ",RIGHT(C48,1))</f>
        <v>Imported LPG, PADD 1, Step 3</v>
      </c>
      <c r="G48" s="9" t="str">
        <f>CONCATENATE(VLOOKUP($A48,Types!$A$2:$C$13,2,FALSE),"P",D48)</f>
        <v>LPGP1</v>
      </c>
      <c r="H48" s="66">
        <f>SUMIFS('Agg prdcrv'!$L$6:$L$100,'Agg prdcrv'!$A$6:$A$100,'Imp Refined'!$A48,'Agg prdcrv'!$B$6:$B$100,H$11)*K4</f>
        <v>31.691000000000003</v>
      </c>
      <c r="I48" s="66">
        <f>SUMIFS('Agg prdcrv'!$L$6:$L$100,'Agg prdcrv'!$A$6:$A$100,'Imp Refined'!$A48,'Agg prdcrv'!$B$6:$B$100,I$11)*K4</f>
        <v>31.35</v>
      </c>
      <c r="J48" s="66">
        <f t="array" ref="J48">SUMIFS('Agg prdcrv'!$L$6:$L$100,'Agg prdcrv'!$A$6:$A$100,'Imp Refined'!$A48,'Agg prdcrv'!$B$6:$B$100,J$11)</f>
        <v>28.5</v>
      </c>
      <c r="K48" s="66">
        <f t="array" ref="K48">SUMIFS('Agg prdcrv'!$L$6:$L$100,'Agg prdcrv'!$A$6:$A$100,'Imp Refined'!$A48,'Agg prdcrv'!$B$6:$B$100,K$11)</f>
        <v>28.5</v>
      </c>
      <c r="L48" s="67">
        <f>H48*Conv!$J$20/10^6/VLOOKUP($B48,Types!$B$2:$D$13,3,FALSE)/Conv!$I$5</f>
        <v>12.958059311858628</v>
      </c>
      <c r="M48" s="67">
        <f>I48*Conv!$J$20/10^6/VLOOKUP($B48,Types!$B$2:$D$13,3,FALSE)/Conv!$I$5</f>
        <v>12.818628614646682</v>
      </c>
      <c r="N48" s="67" t="e">
        <f>M48*#REF!</f>
        <v>#REF!</v>
      </c>
      <c r="O48" s="67" t="e">
        <f>N48*#REF!</f>
        <v>#REF!</v>
      </c>
      <c r="P48" s="67" t="e">
        <f>O48*#REF!</f>
        <v>#REF!</v>
      </c>
      <c r="Q48" s="67" t="e">
        <f>P48*#REF!</f>
        <v>#REF!</v>
      </c>
      <c r="R48" s="67" t="e">
        <f>Q48*#REF!</f>
        <v>#REF!</v>
      </c>
      <c r="S48" s="67" t="e">
        <f>R48*#REF!</f>
        <v>#REF!</v>
      </c>
      <c r="T48" s="67" t="e">
        <f>S48*#REF!</f>
        <v>#REF!</v>
      </c>
      <c r="U48" s="67" t="e">
        <f>T48*#REF!</f>
        <v>#REF!</v>
      </c>
      <c r="V48" s="67" t="e">
        <f>U48*#REF!</f>
        <v>#REF!</v>
      </c>
      <c r="W48" s="42"/>
      <c r="X48" s="9">
        <f t="array" ref="X48">SUMIFS('Agg prdcrv'!$D$6:$D$100,'Agg prdcrv'!$A$6:$A$100,'Imp Refined'!$A48,'Agg prdcrv'!$B$6:$B$100,X$11)</f>
        <v>60.35</v>
      </c>
      <c r="Y48" s="9">
        <f t="array" ref="Y48">SUMIFS('Agg prdcrv'!$D$6:$D$100,'Agg prdcrv'!$A$6:$A$100,'Imp Refined'!$A48,'Agg prdcrv'!$B$6:$B$100,Y$11)</f>
        <v>75.680000000000007</v>
      </c>
      <c r="Z48" s="9">
        <f t="array" ref="Z48">SUMIFS('Agg prdcrv'!$D$6:$D$100,'Agg prdcrv'!$A$6:$A$100,'Imp Refined'!$A48,'Agg prdcrv'!$B$6:$B$100,Z$11)</f>
        <v>83.56</v>
      </c>
      <c r="AA48" s="9">
        <f t="array" ref="AA48">SUMIFS('Agg prdcrv'!$D$6:$D$100,'Agg prdcrv'!$A$6:$A$100,'Imp Refined'!$A48,'Agg prdcrv'!$B$6:$B$100,AA$11)</f>
        <v>92.26</v>
      </c>
      <c r="AB48" s="42">
        <f>X48*VLOOKUP($B48,Types!$B$2:$D$13,3,FALSE)*Conv!$I$5*1000*365</f>
        <v>82.666493372828</v>
      </c>
      <c r="AC48" s="42">
        <f>Y48*VLOOKUP($B48,Types!$B$2:$D$13,3,FALSE)*Conv!$I$5*1000*365</f>
        <v>103.66528945245439</v>
      </c>
      <c r="AD48" s="42">
        <f>Z48*VLOOKUP($B48,Types!$B$2:$D$13,3,FALSE)*Conv!$I$5*1000*365</f>
        <v>114.45919115548479</v>
      </c>
      <c r="AE48" s="42">
        <f>AA48*VLOOKUP($B48,Types!$B$2:$D$13,3,FALSE)*Conv!$I$5*1000*365</f>
        <v>126.37631613218082</v>
      </c>
      <c r="AF48" s="42">
        <f>AB48-AB50</f>
        <v>8.2666493372828</v>
      </c>
      <c r="AG48" s="42">
        <f t="shared" ref="AG48" si="178">AC48-AC50</f>
        <v>10.36652894524542</v>
      </c>
      <c r="AH48" s="42">
        <f t="shared" ref="AH48" si="179">AD48-AD50</f>
        <v>11.445919115548477</v>
      </c>
      <c r="AI48" s="42">
        <f t="shared" ref="AI48" si="180">AE48-AE50</f>
        <v>12.637631613218105</v>
      </c>
      <c r="AJ48" s="42"/>
      <c r="AK48" s="42"/>
      <c r="AL48" s="42"/>
    </row>
    <row r="49" spans="1:38">
      <c r="A49" s="9" t="str">
        <f>A48</f>
        <v>LPG</v>
      </c>
      <c r="B49" s="9" t="str">
        <f>VLOOKUP($A49,Types!$A$2:$C$13,2,FALSE)</f>
        <v>LPG</v>
      </c>
      <c r="C49" s="9">
        <v>1</v>
      </c>
      <c r="D49" s="9">
        <v>1</v>
      </c>
      <c r="E49" s="9" t="str">
        <f t="shared" si="162"/>
        <v>IMPLPGP11</v>
      </c>
      <c r="F49" s="9" t="str">
        <f>CONCATENATE("Imported ",VLOOKUP($A49,Types!$A$2:$C$13,3,FALSE),", PADD ",D49,", Step ",RIGHT(C49,1))</f>
        <v>Imported LPG, PADD 1, Step 1</v>
      </c>
      <c r="G49" s="9" t="str">
        <f>CONCATENATE(VLOOKUP($A49,Types!$A$2:$C$13,2,FALSE),"P",D49)</f>
        <v>LPGP1</v>
      </c>
      <c r="H49" s="66">
        <f>H48*$C$5</f>
        <v>30.106450000000002</v>
      </c>
      <c r="I49" s="66">
        <f t="shared" ref="I49" si="181">I48*$C$5</f>
        <v>29.782499999999999</v>
      </c>
      <c r="J49" s="66">
        <f t="shared" ref="J49" si="182">J48*$C$5</f>
        <v>27.074999999999999</v>
      </c>
      <c r="K49" s="66">
        <f t="shared" ref="K49" si="183">K48*$C$5</f>
        <v>27.074999999999999</v>
      </c>
      <c r="L49" s="67">
        <f>H49*Conv!$J$20/10^6/VLOOKUP($B49,Types!$B$2:$D$13,3,FALSE)/Conv!$I$5</f>
        <v>12.310156346265698</v>
      </c>
      <c r="M49" s="67">
        <f>I49*Conv!$J$20/10^6/VLOOKUP($B49,Types!$B$2:$D$13,3,FALSE)/Conv!$I$5</f>
        <v>12.177697183914349</v>
      </c>
      <c r="N49" s="67" t="e">
        <f>M49*#REF!</f>
        <v>#REF!</v>
      </c>
      <c r="O49" s="67" t="e">
        <f>N49*#REF!</f>
        <v>#REF!</v>
      </c>
      <c r="P49" s="67" t="e">
        <f>O49*#REF!</f>
        <v>#REF!</v>
      </c>
      <c r="Q49" s="67" t="e">
        <f>P49*#REF!</f>
        <v>#REF!</v>
      </c>
      <c r="R49" s="67" t="e">
        <f>Q49*#REF!</f>
        <v>#REF!</v>
      </c>
      <c r="S49" s="67" t="e">
        <f>R49*#REF!</f>
        <v>#REF!</v>
      </c>
      <c r="T49" s="67" t="e">
        <f>S49*#REF!</f>
        <v>#REF!</v>
      </c>
      <c r="U49" s="67" t="e">
        <f>T49*#REF!</f>
        <v>#REF!</v>
      </c>
      <c r="V49" s="67" t="e">
        <f>U49*#REF!</f>
        <v>#REF!</v>
      </c>
      <c r="W49" s="42"/>
      <c r="X49" s="9">
        <f>X48*$E$5</f>
        <v>48.28</v>
      </c>
      <c r="Y49" s="9">
        <f t="shared" ref="Y49" si="184">Y48*$E$5</f>
        <v>60.544000000000011</v>
      </c>
      <c r="Z49" s="9">
        <f t="shared" ref="Z49" si="185">Z48*$E$5</f>
        <v>66.847999999999999</v>
      </c>
      <c r="AA49" s="9">
        <f t="shared" ref="AA49" si="186">AA48*$E$5</f>
        <v>73.808000000000007</v>
      </c>
      <c r="AB49" s="42">
        <f>X49*VLOOKUP($B49,Types!$B$2:$D$13,3,FALSE)*Conv!$I$5*1000*365</f>
        <v>66.1331946982624</v>
      </c>
      <c r="AC49" s="42">
        <f>Y49*VLOOKUP($B49,Types!$B$2:$D$13,3,FALSE)*Conv!$I$5*1000*365</f>
        <v>82.932231561963533</v>
      </c>
      <c r="AD49" s="42">
        <f>Z49*VLOOKUP($B49,Types!$B$2:$D$13,3,FALSE)*Conv!$I$5*1000*365</f>
        <v>91.567352924387833</v>
      </c>
      <c r="AE49" s="42">
        <f>AA49*VLOOKUP($B49,Types!$B$2:$D$13,3,FALSE)*Conv!$I$5*1000*365</f>
        <v>101.10105290574464</v>
      </c>
      <c r="AF49" s="42">
        <f>AB49</f>
        <v>66.1331946982624</v>
      </c>
      <c r="AG49" s="42">
        <f t="shared" ref="AG49" si="187">AC49</f>
        <v>82.932231561963533</v>
      </c>
      <c r="AH49" s="42">
        <f t="shared" ref="AH49" si="188">AD49</f>
        <v>91.567352924387833</v>
      </c>
      <c r="AI49" s="42">
        <f t="shared" ref="AI49" si="189">AE49</f>
        <v>101.10105290574464</v>
      </c>
      <c r="AJ49" s="42"/>
      <c r="AK49" s="42"/>
      <c r="AL49" s="42"/>
    </row>
    <row r="50" spans="1:38">
      <c r="A50" s="9" t="str">
        <f>A49</f>
        <v>LPG</v>
      </c>
      <c r="B50" s="9" t="str">
        <f>VLOOKUP($A50,Types!$A$2:$C$13,2,FALSE)</f>
        <v>LPG</v>
      </c>
      <c r="C50" s="9">
        <v>2</v>
      </c>
      <c r="D50" s="9">
        <v>1</v>
      </c>
      <c r="E50" s="9" t="str">
        <f t="shared" si="162"/>
        <v>IMPLPGP12</v>
      </c>
      <c r="F50" s="9" t="str">
        <f>CONCATENATE("Imported ",VLOOKUP($A50,Types!$A$2:$C$13,3,FALSE),", PADD ",D50,", Step ",RIGHT(C50,1))</f>
        <v>Imported LPG, PADD 1, Step 2</v>
      </c>
      <c r="G50" s="9" t="str">
        <f>CONCATENATE(VLOOKUP($A50,Types!$A$2:$C$13,2,FALSE),"P",D50)</f>
        <v>LPGP1</v>
      </c>
      <c r="H50" s="66">
        <f>H48*$C$6</f>
        <v>31.057180000000002</v>
      </c>
      <c r="I50" s="66">
        <f t="shared" ref="I50:K50" si="190">I48*$C$6</f>
        <v>30.723000000000003</v>
      </c>
      <c r="J50" s="66">
        <f t="shared" si="190"/>
        <v>27.93</v>
      </c>
      <c r="K50" s="66">
        <f t="shared" si="190"/>
        <v>27.93</v>
      </c>
      <c r="L50" s="67">
        <f>H50*Conv!$J$20/10^6/VLOOKUP($B50,Types!$B$2:$D$13,3,FALSE)/Conv!$I$5</f>
        <v>12.698898125621454</v>
      </c>
      <c r="M50" s="67">
        <f>I50*Conv!$J$20/10^6/VLOOKUP($B50,Types!$B$2:$D$13,3,FALSE)/Conv!$I$5</f>
        <v>12.56225604235375</v>
      </c>
      <c r="N50" s="67" t="e">
        <f>M50*#REF!</f>
        <v>#REF!</v>
      </c>
      <c r="O50" s="67" t="e">
        <f>N50*#REF!</f>
        <v>#REF!</v>
      </c>
      <c r="P50" s="67" t="e">
        <f>O50*#REF!</f>
        <v>#REF!</v>
      </c>
      <c r="Q50" s="67" t="e">
        <f>P50*#REF!</f>
        <v>#REF!</v>
      </c>
      <c r="R50" s="67" t="e">
        <f>Q50*#REF!</f>
        <v>#REF!</v>
      </c>
      <c r="S50" s="67" t="e">
        <f>R50*#REF!</f>
        <v>#REF!</v>
      </c>
      <c r="T50" s="67" t="e">
        <f>S50*#REF!</f>
        <v>#REF!</v>
      </c>
      <c r="U50" s="67" t="e">
        <f>T50*#REF!</f>
        <v>#REF!</v>
      </c>
      <c r="V50" s="67" t="e">
        <f>U50*#REF!</f>
        <v>#REF!</v>
      </c>
      <c r="W50" s="42"/>
      <c r="X50" s="9">
        <f>X48*$E$6</f>
        <v>54.315000000000005</v>
      </c>
      <c r="Y50" s="9">
        <f t="shared" ref="Y50:AA50" si="191">Y48*$E$6</f>
        <v>68.112000000000009</v>
      </c>
      <c r="Z50" s="9">
        <f t="shared" si="191"/>
        <v>75.204000000000008</v>
      </c>
      <c r="AA50" s="9">
        <f t="shared" si="191"/>
        <v>83.034000000000006</v>
      </c>
      <c r="AB50" s="42">
        <f>X50*VLOOKUP($B50,Types!$B$2:$D$13,3,FALSE)*Conv!$I$5*1000*365</f>
        <v>74.3998440355452</v>
      </c>
      <c r="AC50" s="42">
        <f>Y50*VLOOKUP($B50,Types!$B$2:$D$13,3,FALSE)*Conv!$I$5*1000*365</f>
        <v>93.298760507208968</v>
      </c>
      <c r="AD50" s="42">
        <f>Z50*VLOOKUP($B50,Types!$B$2:$D$13,3,FALSE)*Conv!$I$5*1000*365</f>
        <v>103.01327203993631</v>
      </c>
      <c r="AE50" s="42">
        <f>AA50*VLOOKUP($B50,Types!$B$2:$D$13,3,FALSE)*Conv!$I$5*1000*365</f>
        <v>113.73868451896271</v>
      </c>
      <c r="AF50" s="42">
        <f>AB50-AF49</f>
        <v>8.2666493372828</v>
      </c>
      <c r="AG50" s="42">
        <f t="shared" ref="AG50" si="192">AC50-AG49</f>
        <v>10.366528945245435</v>
      </c>
      <c r="AH50" s="42">
        <f t="shared" ref="AH50" si="193">AD50-AH49</f>
        <v>11.445919115548477</v>
      </c>
      <c r="AI50" s="42">
        <f t="shared" ref="AI50" si="194">AE50-AI49</f>
        <v>12.637631613218076</v>
      </c>
      <c r="AJ50" s="42"/>
      <c r="AK50" s="42"/>
      <c r="AL50" s="42"/>
    </row>
    <row r="51" spans="1:38">
      <c r="A51" s="9" t="str">
        <f>A50</f>
        <v>LPG</v>
      </c>
      <c r="B51" s="9" t="str">
        <f>VLOOKUP($A51,Types!$A$2:$C$13,2,FALSE)</f>
        <v>LPG</v>
      </c>
      <c r="C51" s="9">
        <v>4</v>
      </c>
      <c r="D51" s="9">
        <v>1</v>
      </c>
      <c r="E51" s="9" t="str">
        <f t="shared" si="162"/>
        <v>IMPLPGP14</v>
      </c>
      <c r="F51" s="9" t="str">
        <f>CONCATENATE("Imported ",VLOOKUP($A51,Types!$A$2:$C$13,3,FALSE),", PADD ",D51,", Step ",RIGHT(C51,1))</f>
        <v>Imported LPG, PADD 1, Step 4</v>
      </c>
      <c r="G51" s="9" t="str">
        <f>CONCATENATE(VLOOKUP($A51,Types!$A$2:$C$13,2,FALSE),"P",D51)</f>
        <v>LPGP1</v>
      </c>
      <c r="H51" s="66">
        <f>H48*$C$8</f>
        <v>34.543190000000003</v>
      </c>
      <c r="I51" s="66">
        <f t="shared" ref="I51:K51" si="195">I48*$C$8</f>
        <v>34.171500000000002</v>
      </c>
      <c r="J51" s="66">
        <f t="shared" si="195"/>
        <v>31.065000000000001</v>
      </c>
      <c r="K51" s="66">
        <f t="shared" si="195"/>
        <v>31.065000000000001</v>
      </c>
      <c r="L51" s="67">
        <f>H51*Conv!$J$20/10^6/VLOOKUP($B51,Types!$B$2:$D$13,3,FALSE)/Conv!$I$5</f>
        <v>14.124284649925904</v>
      </c>
      <c r="M51" s="67">
        <f>I51*Conv!$J$20/10^6/VLOOKUP($B51,Types!$B$2:$D$13,3,FALSE)/Conv!$I$5</f>
        <v>13.972305189964885</v>
      </c>
      <c r="N51" s="67" t="e">
        <f>M51*#REF!</f>
        <v>#REF!</v>
      </c>
      <c r="O51" s="67" t="e">
        <f>N51*#REF!</f>
        <v>#REF!</v>
      </c>
      <c r="P51" s="67" t="e">
        <f>O51*#REF!</f>
        <v>#REF!</v>
      </c>
      <c r="Q51" s="67" t="e">
        <f>P51*#REF!</f>
        <v>#REF!</v>
      </c>
      <c r="R51" s="67" t="e">
        <f>Q51*#REF!</f>
        <v>#REF!</v>
      </c>
      <c r="S51" s="67" t="e">
        <f>R51*#REF!</f>
        <v>#REF!</v>
      </c>
      <c r="T51" s="67" t="e">
        <f>S51*#REF!</f>
        <v>#REF!</v>
      </c>
      <c r="U51" s="67" t="e">
        <f>T51*#REF!</f>
        <v>#REF!</v>
      </c>
      <c r="V51" s="67" t="e">
        <f>U51*#REF!</f>
        <v>#REF!</v>
      </c>
      <c r="W51" s="42"/>
      <c r="X51" s="9">
        <f>X48*$E$8</f>
        <v>72.42</v>
      </c>
      <c r="Y51" s="9">
        <f t="shared" ref="Y51:AA51" si="196">Y48*$E$8</f>
        <v>90.816000000000003</v>
      </c>
      <c r="Z51" s="9">
        <f t="shared" si="196"/>
        <v>100.27200000000001</v>
      </c>
      <c r="AA51" s="9">
        <f t="shared" si="196"/>
        <v>110.712</v>
      </c>
      <c r="AB51" s="42">
        <f>X51*VLOOKUP($B51,Types!$B$2:$D$13,3,FALSE)*Conv!$I$5*1000*365</f>
        <v>99.199792047393586</v>
      </c>
      <c r="AC51" s="42">
        <f>Y51*VLOOKUP($B51,Types!$B$2:$D$13,3,FALSE)*Conv!$I$5*1000*365</f>
        <v>124.39834734294527</v>
      </c>
      <c r="AD51" s="42">
        <f>Z51*VLOOKUP($B51,Types!$B$2:$D$13,3,FALSE)*Conv!$I$5*1000*365</f>
        <v>137.35102938658176</v>
      </c>
      <c r="AE51" s="42">
        <f>AA51*VLOOKUP($B51,Types!$B$2:$D$13,3,FALSE)*Conv!$I$5*1000*365</f>
        <v>151.65157935861697</v>
      </c>
      <c r="AF51" s="42">
        <f>AB51-AB48</f>
        <v>16.533298674565586</v>
      </c>
      <c r="AG51" s="42">
        <f t="shared" ref="AG51" si="197">AC51-AC48</f>
        <v>20.733057890490883</v>
      </c>
      <c r="AH51" s="42">
        <f t="shared" ref="AH51" si="198">AD51-AD48</f>
        <v>22.891838231096969</v>
      </c>
      <c r="AI51" s="42">
        <f t="shared" ref="AI51" si="199">AE51-AE48</f>
        <v>25.275263226436152</v>
      </c>
      <c r="AJ51" s="42"/>
      <c r="AK51" s="42"/>
      <c r="AL51" s="42"/>
    </row>
    <row r="52" spans="1:38">
      <c r="A52" s="9" t="str">
        <f>A51</f>
        <v>LPG</v>
      </c>
      <c r="B52" s="9" t="str">
        <f>VLOOKUP($A52,Types!$A$2:$C$13,2,FALSE)</f>
        <v>LPG</v>
      </c>
      <c r="C52" s="9">
        <v>5</v>
      </c>
      <c r="D52" s="9">
        <v>1</v>
      </c>
      <c r="E52" s="9" t="str">
        <f t="shared" si="162"/>
        <v>IMPLPGP15</v>
      </c>
      <c r="F52" s="9" t="str">
        <f>CONCATENATE("Imported ",VLOOKUP($A52,Types!$A$2:$C$13,3,FALSE),", PADD ",D52,", Step ",RIGHT(C52,1))</f>
        <v>Imported LPG, PADD 1, Step 5</v>
      </c>
      <c r="G52" s="9" t="str">
        <f>CONCATENATE(VLOOKUP($A52,Types!$A$2:$C$13,2,FALSE),"P",D52)</f>
        <v>LPGP1</v>
      </c>
      <c r="H52" s="66">
        <f>H48*$C$9</f>
        <v>41.198300000000003</v>
      </c>
      <c r="I52" s="66">
        <f t="shared" ref="I52:K52" si="200">I48*$C$9</f>
        <v>40.755000000000003</v>
      </c>
      <c r="J52" s="66">
        <f t="shared" si="200"/>
        <v>37.050000000000004</v>
      </c>
      <c r="K52" s="66">
        <f t="shared" si="200"/>
        <v>37.050000000000004</v>
      </c>
      <c r="L52" s="67">
        <f>H52*Conv!$J$20/10^6/VLOOKUP($B52,Types!$B$2:$D$13,3,FALSE)/Conv!$I$5</f>
        <v>16.845477105416219</v>
      </c>
      <c r="M52" s="67">
        <f>I52*Conv!$J$20/10^6/VLOOKUP($B52,Types!$B$2:$D$13,3,FALSE)/Conv!$I$5</f>
        <v>16.664217199040689</v>
      </c>
      <c r="N52" s="67" t="e">
        <f>M52*#REF!</f>
        <v>#REF!</v>
      </c>
      <c r="O52" s="67" t="e">
        <f>N52*#REF!</f>
        <v>#REF!</v>
      </c>
      <c r="P52" s="67" t="e">
        <f>O52*#REF!</f>
        <v>#REF!</v>
      </c>
      <c r="Q52" s="67" t="e">
        <f>P52*#REF!</f>
        <v>#REF!</v>
      </c>
      <c r="R52" s="67" t="e">
        <f>Q52*#REF!</f>
        <v>#REF!</v>
      </c>
      <c r="S52" s="67" t="e">
        <f>R52*#REF!</f>
        <v>#REF!</v>
      </c>
      <c r="T52" s="67" t="e">
        <f>S52*#REF!</f>
        <v>#REF!</v>
      </c>
      <c r="U52" s="67" t="e">
        <f>T52*#REF!</f>
        <v>#REF!</v>
      </c>
      <c r="V52" s="67" t="e">
        <f>U52*#REF!</f>
        <v>#REF!</v>
      </c>
      <c r="W52" s="42"/>
      <c r="X52" s="9">
        <f>X48*$E$9</f>
        <v>120.7</v>
      </c>
      <c r="Y52" s="9">
        <f t="shared" ref="Y52:AA52" si="201">Y48*$E$9</f>
        <v>151.36000000000001</v>
      </c>
      <c r="Z52" s="9">
        <f t="shared" si="201"/>
        <v>167.12</v>
      </c>
      <c r="AA52" s="9">
        <f t="shared" si="201"/>
        <v>184.52</v>
      </c>
      <c r="AB52" s="42">
        <f>X52*VLOOKUP($B52,Types!$B$2:$D$13,3,FALSE)*Conv!$I$5*1000*365</f>
        <v>165.332986745656</v>
      </c>
      <c r="AC52" s="42">
        <f>Y52*VLOOKUP($B52,Types!$B$2:$D$13,3,FALSE)*Conv!$I$5*1000*365</f>
        <v>207.33057890490878</v>
      </c>
      <c r="AD52" s="42">
        <f>Z52*VLOOKUP($B52,Types!$B$2:$D$13,3,FALSE)*Conv!$I$5*1000*365</f>
        <v>228.91838231096958</v>
      </c>
      <c r="AE52" s="42">
        <f>AA52*VLOOKUP($B52,Types!$B$2:$D$13,3,FALSE)*Conv!$I$5*1000*365</f>
        <v>252.75263226436164</v>
      </c>
      <c r="AF52" s="42">
        <f>AB52-AB51</f>
        <v>66.133194698262415</v>
      </c>
      <c r="AG52" s="42">
        <f t="shared" ref="AG52" si="202">AC52-AC51</f>
        <v>82.932231561963505</v>
      </c>
      <c r="AH52" s="42">
        <f t="shared" ref="AH52" si="203">AD52-AD51</f>
        <v>91.567352924387819</v>
      </c>
      <c r="AI52" s="42">
        <f t="shared" ref="AI52" si="204">AE52-AE51</f>
        <v>101.10105290574467</v>
      </c>
      <c r="AJ52" s="42"/>
      <c r="AK52" s="42"/>
      <c r="AL52" s="42"/>
    </row>
    <row r="53" spans="1:38">
      <c r="A53" s="9" t="str">
        <f>'Agg prdcrv'!$A$14</f>
        <v>Petchem. Feedstocks</v>
      </c>
      <c r="B53" s="9" t="str">
        <f>VLOOKUP($A53,Types!$A$2:$C$13,2,FALSE)</f>
        <v>PFS</v>
      </c>
      <c r="C53" s="9">
        <v>3</v>
      </c>
      <c r="D53" s="9">
        <v>1</v>
      </c>
      <c r="E53" s="9" t="str">
        <f t="shared" si="162"/>
        <v>IMPPFSP13</v>
      </c>
      <c r="F53" s="9" t="str">
        <f>CONCATENATE("Imported ",VLOOKUP($A53,Types!$A$2:$C$13,3,FALSE),", PADD ",D53,", Step ",RIGHT(C53,1))</f>
        <v>Imported Petrochemical Feedstocks, PADD 1, Step 3</v>
      </c>
      <c r="G53" s="9" t="str">
        <f>CONCATENATE(VLOOKUP($A53,Types!$A$2:$C$13,2,FALSE),"P",D53)</f>
        <v>PFSP1</v>
      </c>
      <c r="H53" s="66">
        <f>SUMIFS('Agg prdcrv'!$L$6:$L$100,'Agg prdcrv'!$A$6:$A$100,'Imp Refined'!$A53,'Agg prdcrv'!$B$6:$B$100,H$11)*K4</f>
        <v>41.228000000000002</v>
      </c>
      <c r="I53" s="66">
        <f>SUMIFS('Agg prdcrv'!$L$6:$L$100,'Agg prdcrv'!$A$6:$A$100,'Imp Refined'!$A53,'Agg prdcrv'!$B$6:$B$100,I$11)*K4</f>
        <v>25.278000000000002</v>
      </c>
      <c r="J53" s="66">
        <f t="array" ref="J53">SUMIFS('Agg prdcrv'!$L$6:$L$100,'Agg prdcrv'!$A$6:$A$100,'Imp Refined'!$A53,'Agg prdcrv'!$B$6:$B$100,J$11)</f>
        <v>21.68</v>
      </c>
      <c r="K53" s="66">
        <f t="array" ref="K53">SUMIFS('Agg prdcrv'!$L$6:$L$100,'Agg prdcrv'!$A$6:$A$100,'Imp Refined'!$A53,'Agg prdcrv'!$B$6:$B$100,K$11)</f>
        <v>22.5</v>
      </c>
      <c r="L53" s="67">
        <f>H53*Conv!$J$20/10^6/VLOOKUP($B53,Types!$B$2:$D$13,3,FALSE)/Conv!$I$5</f>
        <v>10.536383437662659</v>
      </c>
      <c r="M53" s="67">
        <f>I53*Conv!$J$20/10^6/VLOOKUP($B53,Types!$B$2:$D$13,3,FALSE)/Conv!$I$5</f>
        <v>6.4601411792285983</v>
      </c>
      <c r="N53" s="67" t="e">
        <f>M53*#REF!</f>
        <v>#REF!</v>
      </c>
      <c r="O53" s="67" t="e">
        <f>N53*#REF!</f>
        <v>#REF!</v>
      </c>
      <c r="P53" s="67" t="e">
        <f>O53*#REF!</f>
        <v>#REF!</v>
      </c>
      <c r="Q53" s="67" t="e">
        <f>P53*#REF!</f>
        <v>#REF!</v>
      </c>
      <c r="R53" s="67" t="e">
        <f>Q53*#REF!</f>
        <v>#REF!</v>
      </c>
      <c r="S53" s="67" t="e">
        <f>R53*#REF!</f>
        <v>#REF!</v>
      </c>
      <c r="T53" s="67" t="e">
        <f>S53*#REF!</f>
        <v>#REF!</v>
      </c>
      <c r="U53" s="67" t="e">
        <f>T53*#REF!</f>
        <v>#REF!</v>
      </c>
      <c r="V53" s="67" t="e">
        <f>U53*#REF!</f>
        <v>#REF!</v>
      </c>
      <c r="W53" s="42"/>
      <c r="X53" s="9">
        <f t="array" ref="X53">SUMIFS('Agg prdcrv'!$D$6:$D$100,'Agg prdcrv'!$A$6:$A$100,'Imp Refined'!$A53,'Agg prdcrv'!$B$6:$B$100,X$11)</f>
        <v>4</v>
      </c>
      <c r="Y53" s="9">
        <f t="array" ref="Y53">SUMIFS('Agg prdcrv'!$D$6:$D$100,'Agg prdcrv'!$A$6:$A$100,'Imp Refined'!$A53,'Agg prdcrv'!$B$6:$B$100,Y$11)</f>
        <v>3.46</v>
      </c>
      <c r="Z53" s="9">
        <f t="array" ref="Z53">SUMIFS('Agg prdcrv'!$D$6:$D$100,'Agg prdcrv'!$A$6:$A$100,'Imp Refined'!$A53,'Agg prdcrv'!$B$6:$B$100,Z$11)</f>
        <v>3.82</v>
      </c>
      <c r="AA53" s="9">
        <f t="array" ref="AA53">SUMIFS('Agg prdcrv'!$D$6:$D$100,'Agg prdcrv'!$A$6:$A$100,'Imp Refined'!$A53,'Agg prdcrv'!$B$6:$B$100,AA$11)</f>
        <v>4.22</v>
      </c>
      <c r="AB53" s="42">
        <f>X53*VLOOKUP($B53,Types!$B$2:$D$13,3,FALSE)*Conv!$I$5*1000*365</f>
        <v>8.7663125961599988</v>
      </c>
      <c r="AC53" s="42">
        <f>Y53*VLOOKUP($B53,Types!$B$2:$D$13,3,FALSE)*Conv!$I$5*1000*365</f>
        <v>7.5828603956783986</v>
      </c>
      <c r="AD53" s="42">
        <f>Z53*VLOOKUP($B53,Types!$B$2:$D$13,3,FALSE)*Conv!$I$5*1000*365</f>
        <v>8.3718285293327988</v>
      </c>
      <c r="AE53" s="42">
        <f>AA53*VLOOKUP($B53,Types!$B$2:$D$13,3,FALSE)*Conv!$I$5*1000*365</f>
        <v>9.2484597889487983</v>
      </c>
      <c r="AF53" s="42">
        <f>AB53-AB55</f>
        <v>0.87663125961599864</v>
      </c>
      <c r="AG53" s="42">
        <f t="shared" ref="AG53" si="205">AC53-AC55</f>
        <v>0.75828603956783969</v>
      </c>
      <c r="AH53" s="42">
        <f t="shared" ref="AH53" si="206">AD53-AD55</f>
        <v>0.83718285293327899</v>
      </c>
      <c r="AI53" s="42">
        <f t="shared" ref="AI53" si="207">AE53-AE55</f>
        <v>0.92484597889487752</v>
      </c>
      <c r="AJ53" s="42"/>
      <c r="AK53" s="42"/>
      <c r="AL53" s="42"/>
    </row>
    <row r="54" spans="1:38">
      <c r="A54" s="9" t="str">
        <f>A53</f>
        <v>Petchem. Feedstocks</v>
      </c>
      <c r="B54" s="9" t="str">
        <f>VLOOKUP($A54,Types!$A$2:$C$13,2,FALSE)</f>
        <v>PFS</v>
      </c>
      <c r="C54" s="9">
        <v>1</v>
      </c>
      <c r="D54" s="9">
        <v>1</v>
      </c>
      <c r="E54" s="9" t="str">
        <f t="shared" si="162"/>
        <v>IMPPFSP11</v>
      </c>
      <c r="F54" s="9" t="str">
        <f>CONCATENATE("Imported ",VLOOKUP($A54,Types!$A$2:$C$13,3,FALSE),", PADD ",D54,", Step ",RIGHT(C54,1))</f>
        <v>Imported Petrochemical Feedstocks, PADD 1, Step 1</v>
      </c>
      <c r="G54" s="9" t="str">
        <f>CONCATENATE(VLOOKUP($A54,Types!$A$2:$C$13,2,FALSE),"P",D54)</f>
        <v>PFSP1</v>
      </c>
      <c r="H54" s="66">
        <f>H53*$C$5</f>
        <v>39.166600000000003</v>
      </c>
      <c r="I54" s="66">
        <f t="shared" ref="I54" si="208">I53*$C$5</f>
        <v>24.014100000000003</v>
      </c>
      <c r="J54" s="66">
        <f t="shared" ref="J54" si="209">J53*$C$5</f>
        <v>20.596</v>
      </c>
      <c r="K54" s="66">
        <f t="shared" ref="K54" si="210">K53*$C$5</f>
        <v>21.375</v>
      </c>
      <c r="L54" s="67">
        <f>H54*Conv!$J$20/10^6/VLOOKUP($B54,Types!$B$2:$D$13,3,FALSE)/Conv!$I$5</f>
        <v>10.009564265779526</v>
      </c>
      <c r="M54" s="67">
        <f>I54*Conv!$J$20/10^6/VLOOKUP($B54,Types!$B$2:$D$13,3,FALSE)/Conv!$I$5</f>
        <v>6.1371341202671683</v>
      </c>
      <c r="N54" s="67" t="e">
        <f>M54*#REF!</f>
        <v>#REF!</v>
      </c>
      <c r="O54" s="67" t="e">
        <f>N54*#REF!</f>
        <v>#REF!</v>
      </c>
      <c r="P54" s="67" t="e">
        <f>O54*#REF!</f>
        <v>#REF!</v>
      </c>
      <c r="Q54" s="67" t="e">
        <f>P54*#REF!</f>
        <v>#REF!</v>
      </c>
      <c r="R54" s="67" t="e">
        <f>Q54*#REF!</f>
        <v>#REF!</v>
      </c>
      <c r="S54" s="67" t="e">
        <f>R54*#REF!</f>
        <v>#REF!</v>
      </c>
      <c r="T54" s="67" t="e">
        <f>S54*#REF!</f>
        <v>#REF!</v>
      </c>
      <c r="U54" s="67" t="e">
        <f>T54*#REF!</f>
        <v>#REF!</v>
      </c>
      <c r="V54" s="67" t="e">
        <f>U54*#REF!</f>
        <v>#REF!</v>
      </c>
      <c r="W54" s="42"/>
      <c r="X54" s="9">
        <f>X53*$E$5</f>
        <v>3.2</v>
      </c>
      <c r="Y54" s="9">
        <f t="shared" ref="Y54" si="211">Y53*$E$5</f>
        <v>2.7680000000000002</v>
      </c>
      <c r="Z54" s="9">
        <f t="shared" ref="Z54" si="212">Z53*$E$5</f>
        <v>3.056</v>
      </c>
      <c r="AA54" s="9">
        <f t="shared" ref="AA54" si="213">AA53*$E$5</f>
        <v>3.3759999999999999</v>
      </c>
      <c r="AB54" s="42">
        <f>X54*VLOOKUP($B54,Types!$B$2:$D$13,3,FALSE)*Conv!$I$5*1000*365</f>
        <v>7.0130500769280006</v>
      </c>
      <c r="AC54" s="42">
        <f>Y54*VLOOKUP($B54,Types!$B$2:$D$13,3,FALSE)*Conv!$I$5*1000*365</f>
        <v>6.0662883165427202</v>
      </c>
      <c r="AD54" s="42">
        <f>Z54*VLOOKUP($B54,Types!$B$2:$D$13,3,FALSE)*Conv!$I$5*1000*365</f>
        <v>6.697462823466239</v>
      </c>
      <c r="AE54" s="42">
        <f>AA54*VLOOKUP($B54,Types!$B$2:$D$13,3,FALSE)*Conv!$I$5*1000*365</f>
        <v>7.3987678311590406</v>
      </c>
      <c r="AF54" s="42">
        <f>AB54</f>
        <v>7.0130500769280006</v>
      </c>
      <c r="AG54" s="42">
        <f t="shared" ref="AG54" si="214">AC54</f>
        <v>6.0662883165427202</v>
      </c>
      <c r="AH54" s="42">
        <f t="shared" ref="AH54" si="215">AD54</f>
        <v>6.697462823466239</v>
      </c>
      <c r="AI54" s="42">
        <f t="shared" ref="AI54" si="216">AE54</f>
        <v>7.3987678311590406</v>
      </c>
      <c r="AJ54" s="42"/>
      <c r="AK54" s="42"/>
      <c r="AL54" s="42"/>
    </row>
    <row r="55" spans="1:38">
      <c r="A55" s="9" t="str">
        <f>A54</f>
        <v>Petchem. Feedstocks</v>
      </c>
      <c r="B55" s="9" t="str">
        <f>VLOOKUP($A55,Types!$A$2:$C$13,2,FALSE)</f>
        <v>PFS</v>
      </c>
      <c r="C55" s="9">
        <v>2</v>
      </c>
      <c r="D55" s="9">
        <v>1</v>
      </c>
      <c r="E55" s="9" t="str">
        <f t="shared" si="162"/>
        <v>IMPPFSP12</v>
      </c>
      <c r="F55" s="9" t="str">
        <f>CONCATENATE("Imported ",VLOOKUP($A55,Types!$A$2:$C$13,3,FALSE),", PADD ",D55,", Step ",RIGHT(C55,1))</f>
        <v>Imported Petrochemical Feedstocks, PADD 1, Step 2</v>
      </c>
      <c r="G55" s="9" t="str">
        <f>CONCATENATE(VLOOKUP($A55,Types!$A$2:$C$13,2,FALSE),"P",D55)</f>
        <v>PFSP1</v>
      </c>
      <c r="H55" s="66">
        <f>H53*$C$6</f>
        <v>40.403440000000003</v>
      </c>
      <c r="I55" s="66">
        <f t="shared" ref="I55:K55" si="217">I53*$C$6</f>
        <v>24.772440000000003</v>
      </c>
      <c r="J55" s="66">
        <f t="shared" si="217"/>
        <v>21.246399999999998</v>
      </c>
      <c r="K55" s="66">
        <f t="shared" si="217"/>
        <v>22.05</v>
      </c>
      <c r="L55" s="67">
        <f>H55*Conv!$J$20/10^6/VLOOKUP($B55,Types!$B$2:$D$13,3,FALSE)/Conv!$I$5</f>
        <v>10.325655768909405</v>
      </c>
      <c r="M55" s="67">
        <f>I55*Conv!$J$20/10^6/VLOOKUP($B55,Types!$B$2:$D$13,3,FALSE)/Conv!$I$5</f>
        <v>6.3309383556440268</v>
      </c>
      <c r="N55" s="67" t="e">
        <f>M55*#REF!</f>
        <v>#REF!</v>
      </c>
      <c r="O55" s="67" t="e">
        <f>N55*#REF!</f>
        <v>#REF!</v>
      </c>
      <c r="P55" s="67" t="e">
        <f>O55*#REF!</f>
        <v>#REF!</v>
      </c>
      <c r="Q55" s="67" t="e">
        <f>P55*#REF!</f>
        <v>#REF!</v>
      </c>
      <c r="R55" s="67" t="e">
        <f>Q55*#REF!</f>
        <v>#REF!</v>
      </c>
      <c r="S55" s="67" t="e">
        <f>R55*#REF!</f>
        <v>#REF!</v>
      </c>
      <c r="T55" s="67" t="e">
        <f>S55*#REF!</f>
        <v>#REF!</v>
      </c>
      <c r="U55" s="67" t="e">
        <f>T55*#REF!</f>
        <v>#REF!</v>
      </c>
      <c r="V55" s="67" t="e">
        <f>U55*#REF!</f>
        <v>#REF!</v>
      </c>
      <c r="W55" s="42"/>
      <c r="X55" s="9">
        <f>X53*$E$6</f>
        <v>3.6</v>
      </c>
      <c r="Y55" s="9">
        <f t="shared" ref="Y55:AA55" si="218">Y53*$E$6</f>
        <v>3.1139999999999999</v>
      </c>
      <c r="Z55" s="9">
        <f t="shared" si="218"/>
        <v>3.4379999999999997</v>
      </c>
      <c r="AA55" s="9">
        <f t="shared" si="218"/>
        <v>3.798</v>
      </c>
      <c r="AB55" s="42">
        <f>X55*VLOOKUP($B55,Types!$B$2:$D$13,3,FALSE)*Conv!$I$5*1000*365</f>
        <v>7.8896813365440002</v>
      </c>
      <c r="AC55" s="42">
        <f>Y55*VLOOKUP($B55,Types!$B$2:$D$13,3,FALSE)*Conv!$I$5*1000*365</f>
        <v>6.824574356110559</v>
      </c>
      <c r="AD55" s="42">
        <f>Z55*VLOOKUP($B55,Types!$B$2:$D$13,3,FALSE)*Conv!$I$5*1000*365</f>
        <v>7.5346456763995198</v>
      </c>
      <c r="AE55" s="42">
        <f>AA55*VLOOKUP($B55,Types!$B$2:$D$13,3,FALSE)*Conv!$I$5*1000*365</f>
        <v>8.3236138100539208</v>
      </c>
      <c r="AF55" s="42">
        <f>AB55-AF54</f>
        <v>0.87663125961599953</v>
      </c>
      <c r="AG55" s="42">
        <f t="shared" ref="AG55" si="219">AC55-AG54</f>
        <v>0.7582860395678388</v>
      </c>
      <c r="AH55" s="42">
        <f t="shared" ref="AH55" si="220">AD55-AH54</f>
        <v>0.83718285293328076</v>
      </c>
      <c r="AI55" s="42">
        <f t="shared" ref="AI55" si="221">AE55-AI54</f>
        <v>0.92484597889488018</v>
      </c>
      <c r="AJ55" s="42"/>
      <c r="AK55" s="42"/>
      <c r="AL55" s="42"/>
    </row>
    <row r="56" spans="1:38">
      <c r="A56" s="9" t="str">
        <f>A55</f>
        <v>Petchem. Feedstocks</v>
      </c>
      <c r="B56" s="9" t="str">
        <f>VLOOKUP($A56,Types!$A$2:$C$13,2,FALSE)</f>
        <v>PFS</v>
      </c>
      <c r="C56" s="9">
        <v>4</v>
      </c>
      <c r="D56" s="9">
        <v>1</v>
      </c>
      <c r="E56" s="9" t="str">
        <f t="shared" si="162"/>
        <v>IMPPFSP14</v>
      </c>
      <c r="F56" s="9" t="str">
        <f>CONCATENATE("Imported ",VLOOKUP($A56,Types!$A$2:$C$13,3,FALSE),", PADD ",D56,", Step ",RIGHT(C56,1))</f>
        <v>Imported Petrochemical Feedstocks, PADD 1, Step 4</v>
      </c>
      <c r="G56" s="9" t="str">
        <f>CONCATENATE(VLOOKUP($A56,Types!$A$2:$C$13,2,FALSE),"P",D56)</f>
        <v>PFSP1</v>
      </c>
      <c r="H56" s="66">
        <f>H53*$C$8</f>
        <v>44.938520000000004</v>
      </c>
      <c r="I56" s="66">
        <f t="shared" ref="I56:K56" si="222">I53*$C$8</f>
        <v>27.553020000000004</v>
      </c>
      <c r="J56" s="66">
        <f t="shared" si="222"/>
        <v>23.6312</v>
      </c>
      <c r="K56" s="66">
        <f t="shared" si="222"/>
        <v>24.525000000000002</v>
      </c>
      <c r="L56" s="67">
        <f>H56*Conv!$J$20/10^6/VLOOKUP($B56,Types!$B$2:$D$13,3,FALSE)/Conv!$I$5</f>
        <v>11.484657947052298</v>
      </c>
      <c r="M56" s="67">
        <f>I56*Conv!$J$20/10^6/VLOOKUP($B56,Types!$B$2:$D$13,3,FALSE)/Conv!$I$5</f>
        <v>7.041553885359173</v>
      </c>
      <c r="N56" s="67" t="e">
        <f>M56*#REF!</f>
        <v>#REF!</v>
      </c>
      <c r="O56" s="67" t="e">
        <f>N56*#REF!</f>
        <v>#REF!</v>
      </c>
      <c r="P56" s="67" t="e">
        <f>O56*#REF!</f>
        <v>#REF!</v>
      </c>
      <c r="Q56" s="67" t="e">
        <f>P56*#REF!</f>
        <v>#REF!</v>
      </c>
      <c r="R56" s="67" t="e">
        <f>Q56*#REF!</f>
        <v>#REF!</v>
      </c>
      <c r="S56" s="67" t="e">
        <f>R56*#REF!</f>
        <v>#REF!</v>
      </c>
      <c r="T56" s="67" t="e">
        <f>S56*#REF!</f>
        <v>#REF!</v>
      </c>
      <c r="U56" s="67" t="e">
        <f>T56*#REF!</f>
        <v>#REF!</v>
      </c>
      <c r="V56" s="67" t="e">
        <f>U56*#REF!</f>
        <v>#REF!</v>
      </c>
      <c r="W56" s="42"/>
      <c r="X56" s="9">
        <f>X53*$E$8</f>
        <v>4.8</v>
      </c>
      <c r="Y56" s="9">
        <f t="shared" ref="Y56:AA56" si="223">Y53*$E$8</f>
        <v>4.1520000000000001</v>
      </c>
      <c r="Z56" s="9">
        <f t="shared" si="223"/>
        <v>4.5839999999999996</v>
      </c>
      <c r="AA56" s="9">
        <f t="shared" si="223"/>
        <v>5.0639999999999992</v>
      </c>
      <c r="AB56" s="42">
        <f>X56*VLOOKUP($B56,Types!$B$2:$D$13,3,FALSE)*Conv!$I$5*1000*365</f>
        <v>10.519575115391998</v>
      </c>
      <c r="AC56" s="42">
        <f>Y56*VLOOKUP($B56,Types!$B$2:$D$13,3,FALSE)*Conv!$I$5*1000*365</f>
        <v>9.099432474814078</v>
      </c>
      <c r="AD56" s="42">
        <f>Z56*VLOOKUP($B56,Types!$B$2:$D$13,3,FALSE)*Conv!$I$5*1000*365</f>
        <v>10.046194235199359</v>
      </c>
      <c r="AE56" s="42">
        <f>AA56*VLOOKUP($B56,Types!$B$2:$D$13,3,FALSE)*Conv!$I$5*1000*365</f>
        <v>11.098151746738557</v>
      </c>
      <c r="AF56" s="42">
        <f>AB56-AB53</f>
        <v>1.7532625192319991</v>
      </c>
      <c r="AG56" s="42">
        <f t="shared" ref="AG56" si="224">AC56-AC53</f>
        <v>1.5165720791356794</v>
      </c>
      <c r="AH56" s="42">
        <f t="shared" ref="AH56" si="225">AD56-AD53</f>
        <v>1.6743657058665598</v>
      </c>
      <c r="AI56" s="42">
        <f t="shared" ref="AI56" si="226">AE56-AE53</f>
        <v>1.8496919577897586</v>
      </c>
      <c r="AJ56" s="42"/>
      <c r="AK56" s="42"/>
      <c r="AL56" s="42"/>
    </row>
    <row r="57" spans="1:38">
      <c r="A57" s="9" t="str">
        <f>A56</f>
        <v>Petchem. Feedstocks</v>
      </c>
      <c r="B57" s="9" t="str">
        <f>VLOOKUP($A57,Types!$A$2:$C$13,2,FALSE)</f>
        <v>PFS</v>
      </c>
      <c r="C57" s="9">
        <v>5</v>
      </c>
      <c r="D57" s="9">
        <v>1</v>
      </c>
      <c r="E57" s="9" t="str">
        <f t="shared" si="162"/>
        <v>IMPPFSP15</v>
      </c>
      <c r="F57" s="9" t="str">
        <f>CONCATENATE("Imported ",VLOOKUP($A57,Types!$A$2:$C$13,3,FALSE),", PADD ",D57,", Step ",RIGHT(C57,1))</f>
        <v>Imported Petrochemical Feedstocks, PADD 1, Step 5</v>
      </c>
      <c r="G57" s="9" t="str">
        <f>CONCATENATE(VLOOKUP($A57,Types!$A$2:$C$13,2,FALSE),"P",D57)</f>
        <v>PFSP1</v>
      </c>
      <c r="H57" s="66">
        <f>H53*$C$9</f>
        <v>53.596400000000003</v>
      </c>
      <c r="I57" s="66">
        <f t="shared" ref="I57:K57" si="227">I53*$C$9</f>
        <v>32.861400000000003</v>
      </c>
      <c r="J57" s="66">
        <f t="shared" si="227"/>
        <v>28.184000000000001</v>
      </c>
      <c r="K57" s="66">
        <f t="shared" si="227"/>
        <v>29.25</v>
      </c>
      <c r="L57" s="67">
        <f>H57*Conv!$J$20/10^6/VLOOKUP($B57,Types!$B$2:$D$13,3,FALSE)/Conv!$I$5</f>
        <v>13.697298468961455</v>
      </c>
      <c r="M57" s="67">
        <f>I57*Conv!$J$20/10^6/VLOOKUP($B57,Types!$B$2:$D$13,3,FALSE)/Conv!$I$5</f>
        <v>8.3981835329971783</v>
      </c>
      <c r="N57" s="67" t="e">
        <f>M57*#REF!</f>
        <v>#REF!</v>
      </c>
      <c r="O57" s="67" t="e">
        <f>N57*#REF!</f>
        <v>#REF!</v>
      </c>
      <c r="P57" s="67" t="e">
        <f>O57*#REF!</f>
        <v>#REF!</v>
      </c>
      <c r="Q57" s="67" t="e">
        <f>P57*#REF!</f>
        <v>#REF!</v>
      </c>
      <c r="R57" s="67" t="e">
        <f>Q57*#REF!</f>
        <v>#REF!</v>
      </c>
      <c r="S57" s="67" t="e">
        <f>R57*#REF!</f>
        <v>#REF!</v>
      </c>
      <c r="T57" s="67" t="e">
        <f>S57*#REF!</f>
        <v>#REF!</v>
      </c>
      <c r="U57" s="67" t="e">
        <f>T57*#REF!</f>
        <v>#REF!</v>
      </c>
      <c r="V57" s="67" t="e">
        <f>U57*#REF!</f>
        <v>#REF!</v>
      </c>
      <c r="W57" s="42"/>
      <c r="X57" s="9">
        <f>X53*$E$9</f>
        <v>8</v>
      </c>
      <c r="Y57" s="9">
        <f t="shared" ref="Y57:AA57" si="228">Y53*$E$9</f>
        <v>6.92</v>
      </c>
      <c r="Z57" s="9">
        <f t="shared" si="228"/>
        <v>7.64</v>
      </c>
      <c r="AA57" s="9">
        <f t="shared" si="228"/>
        <v>8.44</v>
      </c>
      <c r="AB57" s="42">
        <f>X57*VLOOKUP($B57,Types!$B$2:$D$13,3,FALSE)*Conv!$I$5*1000*365</f>
        <v>17.532625192319998</v>
      </c>
      <c r="AC57" s="42">
        <f>Y57*VLOOKUP($B57,Types!$B$2:$D$13,3,FALSE)*Conv!$I$5*1000*365</f>
        <v>15.165720791356797</v>
      </c>
      <c r="AD57" s="42">
        <f>Z57*VLOOKUP($B57,Types!$B$2:$D$13,3,FALSE)*Conv!$I$5*1000*365</f>
        <v>16.743657058665598</v>
      </c>
      <c r="AE57" s="42">
        <f>AA57*VLOOKUP($B57,Types!$B$2:$D$13,3,FALSE)*Conv!$I$5*1000*365</f>
        <v>18.496919577897597</v>
      </c>
      <c r="AF57" s="42">
        <f>AB57-AB56</f>
        <v>7.0130500769279998</v>
      </c>
      <c r="AG57" s="42">
        <f t="shared" ref="AG57" si="229">AC57-AC56</f>
        <v>6.0662883165427193</v>
      </c>
      <c r="AH57" s="42">
        <f t="shared" ref="AH57" si="230">AD57-AD56</f>
        <v>6.697462823466239</v>
      </c>
      <c r="AI57" s="42">
        <f t="shared" ref="AI57" si="231">AE57-AE56</f>
        <v>7.3987678311590397</v>
      </c>
      <c r="AJ57" s="42"/>
      <c r="AK57" s="42"/>
      <c r="AL57" s="42"/>
    </row>
    <row r="58" spans="1:38">
      <c r="A58" s="9" t="str">
        <f>'Agg prdcrv'!$A$15</f>
        <v>Other Refined Prod.</v>
      </c>
      <c r="B58" s="9" t="str">
        <f>VLOOKUP($A58,Types!$A$2:$C$13,2,FALSE)</f>
        <v>KER</v>
      </c>
      <c r="C58" s="9">
        <v>3</v>
      </c>
      <c r="D58" s="9">
        <v>1</v>
      </c>
      <c r="E58" s="9" t="str">
        <f t="shared" si="162"/>
        <v>IMPKERP13</v>
      </c>
      <c r="F58" s="9" t="str">
        <f>CONCATENATE("Imported ",VLOOKUP($A58,Types!$A$2:$C$13,3,FALSE),", PADD ",D58,", Step ",RIGHT(C58,1))</f>
        <v>Imported Kerosene and Other Refined Products, PADD 1, Step 3</v>
      </c>
      <c r="G58" s="9" t="str">
        <f>CONCATENATE(VLOOKUP($A58,Types!$A$2:$C$13,2,FALSE),"P",D58)</f>
        <v>KERP1</v>
      </c>
      <c r="H58" s="66">
        <f>SUMIFS('Agg prdcrv'!$L$6:$L$100,'Agg prdcrv'!$A$6:$A$100,'Imp Refined'!$A58,'Agg prdcrv'!$B$6:$B$100,H$11)*K4</f>
        <v>65.923000000000002</v>
      </c>
      <c r="I58" s="66">
        <f>SUMIFS('Agg prdcrv'!$L$6:$L$100,'Agg prdcrv'!$A$6:$A$100,'Imp Refined'!$A58,'Agg prdcrv'!$B$6:$B$100,I$11)*K4</f>
        <v>40.062000000000005</v>
      </c>
      <c r="J58" s="66">
        <f t="array" ref="J58">SUMIFS('Agg prdcrv'!$L$6:$L$100,'Agg prdcrv'!$A$6:$A$100,'Imp Refined'!$A58,'Agg prdcrv'!$B$6:$B$100,J$11)</f>
        <v>32.450000000000003</v>
      </c>
      <c r="K58" s="66">
        <f t="array" ref="K58">SUMIFS('Agg prdcrv'!$L$6:$L$100,'Agg prdcrv'!$A$6:$A$100,'Imp Refined'!$A58,'Agg prdcrv'!$B$6:$B$100,K$11)</f>
        <v>41.16</v>
      </c>
      <c r="L58" s="67">
        <f>H58*Conv!$J$20/10^6/VLOOKUP($B58,Types!$B$2:$D$13,3,FALSE)/Conv!$I$5</f>
        <v>16.909929197061381</v>
      </c>
      <c r="M58" s="67">
        <f>I58*Conv!$J$20/10^6/VLOOKUP($B58,Types!$B$2:$D$13,3,FALSE)/Conv!$I$5</f>
        <v>10.276316058017279</v>
      </c>
      <c r="N58" s="67" t="e">
        <f>M58*#REF!</f>
        <v>#REF!</v>
      </c>
      <c r="O58" s="67" t="e">
        <f>N58*#REF!</f>
        <v>#REF!</v>
      </c>
      <c r="P58" s="67" t="e">
        <f>O58*#REF!</f>
        <v>#REF!</v>
      </c>
      <c r="Q58" s="67" t="e">
        <f>P58*#REF!</f>
        <v>#REF!</v>
      </c>
      <c r="R58" s="67" t="e">
        <f>Q58*#REF!</f>
        <v>#REF!</v>
      </c>
      <c r="S58" s="67" t="e">
        <f>R58*#REF!</f>
        <v>#REF!</v>
      </c>
      <c r="T58" s="67" t="e">
        <f>S58*#REF!</f>
        <v>#REF!</v>
      </c>
      <c r="U58" s="67" t="e">
        <f>T58*#REF!</f>
        <v>#REF!</v>
      </c>
      <c r="V58" s="67" t="e">
        <f>U58*#REF!</f>
        <v>#REF!</v>
      </c>
      <c r="W58" s="42"/>
      <c r="X58" s="9">
        <f t="array" ref="X58">SUMIFS('Agg prdcrv'!$D$6:$D$100,'Agg prdcrv'!$A$6:$A$100,'Imp Refined'!$A58,'Agg prdcrv'!$B$6:$B$100,X$11)</f>
        <v>440</v>
      </c>
      <c r="Y58" s="9">
        <f t="array" ref="Y58">SUMIFS('Agg prdcrv'!$D$6:$D$100,'Agg prdcrv'!$A$6:$A$100,'Imp Refined'!$A58,'Agg prdcrv'!$B$6:$B$100,Y$11)</f>
        <v>39.17</v>
      </c>
      <c r="Z58" s="9">
        <f t="array" ref="Z58">SUMIFS('Agg prdcrv'!$D$6:$D$100,'Agg prdcrv'!$A$6:$A$100,'Imp Refined'!$A58,'Agg prdcrv'!$B$6:$B$100,Z$11)</f>
        <v>42.41</v>
      </c>
      <c r="AA58" s="9">
        <f t="array" ref="AA58">SUMIFS('Agg prdcrv'!$D$6:$D$100,'Agg prdcrv'!$A$6:$A$100,'Imp Refined'!$A58,'Agg prdcrv'!$B$6:$B$100,AA$11)</f>
        <v>45.91</v>
      </c>
      <c r="AB58" s="42">
        <f>X58*VLOOKUP($B58,Types!$B$2:$D$13,3,FALSE)*Conv!$I$5*1000*365</f>
        <v>960.73610371199993</v>
      </c>
      <c r="AC58" s="42">
        <f>Y58*VLOOKUP($B58,Types!$B$2:$D$13,3,FALSE)*Conv!$I$5*1000*365</f>
        <v>85.527348141816006</v>
      </c>
      <c r="AD58" s="42">
        <f>Z58*VLOOKUP($B58,Types!$B$2:$D$13,3,FALSE)*Conv!$I$5*1000*365</f>
        <v>92.601859450967979</v>
      </c>
      <c r="AE58" s="42">
        <f>AA58*VLOOKUP($B58,Types!$B$2:$D$13,3,FALSE)*Conv!$I$5*1000*365</f>
        <v>100.24407845776797</v>
      </c>
      <c r="AF58" s="42">
        <f>AB58-AB60</f>
        <v>96.073610371199948</v>
      </c>
      <c r="AG58" s="42">
        <f t="shared" ref="AG58" si="232">AC58-AC60</f>
        <v>8.5527348141816191</v>
      </c>
      <c r="AH58" s="42">
        <f t="shared" ref="AH58" si="233">AD58-AD60</f>
        <v>9.2601859450968078</v>
      </c>
      <c r="AI58" s="42">
        <f t="shared" ref="AI58" si="234">AE58-AE60</f>
        <v>10.024407845776793</v>
      </c>
      <c r="AJ58" s="42"/>
      <c r="AK58" s="42"/>
      <c r="AL58" s="42"/>
    </row>
    <row r="59" spans="1:38">
      <c r="A59" s="9" t="str">
        <f>A58</f>
        <v>Other Refined Prod.</v>
      </c>
      <c r="B59" s="9" t="str">
        <f>VLOOKUP($A59,Types!$A$2:$C$13,2,FALSE)</f>
        <v>KER</v>
      </c>
      <c r="C59" s="9">
        <v>1</v>
      </c>
      <c r="D59" s="9">
        <v>1</v>
      </c>
      <c r="E59" s="9" t="str">
        <f t="shared" si="162"/>
        <v>IMPKERP11</v>
      </c>
      <c r="F59" s="9" t="str">
        <f>CONCATENATE("Imported ",VLOOKUP($A59,Types!$A$2:$C$13,3,FALSE),", PADD ",D59,", Step ",RIGHT(C59,1))</f>
        <v>Imported Kerosene and Other Refined Products, PADD 1, Step 1</v>
      </c>
      <c r="G59" s="9" t="str">
        <f>CONCATENATE(VLOOKUP($A59,Types!$A$2:$C$13,2,FALSE),"P",D59)</f>
        <v>KERP1</v>
      </c>
      <c r="H59" s="66">
        <f>H58*$C$5</f>
        <v>62.626849999999997</v>
      </c>
      <c r="I59" s="66">
        <f t="shared" ref="I59" si="235">I58*$C$5</f>
        <v>38.058900000000001</v>
      </c>
      <c r="J59" s="66">
        <f t="shared" ref="J59" si="236">J58*$C$5</f>
        <v>30.827500000000001</v>
      </c>
      <c r="K59" s="66">
        <f t="shared" ref="K59" si="237">K58*$C$5</f>
        <v>39.101999999999997</v>
      </c>
      <c r="L59" s="67">
        <f>H59*Conv!$J$20/10^6/VLOOKUP($B59,Types!$B$2:$D$13,3,FALSE)/Conv!$I$5</f>
        <v>16.064432737208314</v>
      </c>
      <c r="M59" s="67">
        <f>I59*Conv!$J$20/10^6/VLOOKUP($B59,Types!$B$2:$D$13,3,FALSE)/Conv!$I$5</f>
        <v>9.7625002551164162</v>
      </c>
      <c r="N59" s="67" t="e">
        <f>M59*#REF!</f>
        <v>#REF!</v>
      </c>
      <c r="O59" s="67" t="e">
        <f>N59*#REF!</f>
        <v>#REF!</v>
      </c>
      <c r="P59" s="67" t="e">
        <f>O59*#REF!</f>
        <v>#REF!</v>
      </c>
      <c r="Q59" s="67" t="e">
        <f>P59*#REF!</f>
        <v>#REF!</v>
      </c>
      <c r="R59" s="67" t="e">
        <f>Q59*#REF!</f>
        <v>#REF!</v>
      </c>
      <c r="S59" s="67" t="e">
        <f>R59*#REF!</f>
        <v>#REF!</v>
      </c>
      <c r="T59" s="67" t="e">
        <f>S59*#REF!</f>
        <v>#REF!</v>
      </c>
      <c r="U59" s="67" t="e">
        <f>T59*#REF!</f>
        <v>#REF!</v>
      </c>
      <c r="V59" s="67" t="e">
        <f>U59*#REF!</f>
        <v>#REF!</v>
      </c>
      <c r="W59" s="42"/>
      <c r="X59" s="9">
        <f>X58*$E$5</f>
        <v>352</v>
      </c>
      <c r="Y59" s="9">
        <f t="shared" ref="Y59" si="238">Y58*$E$5</f>
        <v>31.336000000000002</v>
      </c>
      <c r="Z59" s="9">
        <f t="shared" ref="Z59" si="239">Z58*$E$5</f>
        <v>33.927999999999997</v>
      </c>
      <c r="AA59" s="9">
        <f t="shared" ref="AA59" si="240">AA58*$E$5</f>
        <v>36.728000000000002</v>
      </c>
      <c r="AB59" s="42">
        <f>X59*VLOOKUP($B59,Types!$B$2:$D$13,3,FALSE)*Conv!$I$5*1000*365</f>
        <v>768.58888296959992</v>
      </c>
      <c r="AC59" s="42">
        <f>Y59*VLOOKUP($B59,Types!$B$2:$D$13,3,FALSE)*Conv!$I$5*1000*365</f>
        <v>68.421878513452796</v>
      </c>
      <c r="AD59" s="42">
        <f>Z59*VLOOKUP($B59,Types!$B$2:$D$13,3,FALSE)*Conv!$I$5*1000*365</f>
        <v>74.081487560774406</v>
      </c>
      <c r="AE59" s="42">
        <f>AA59*VLOOKUP($B59,Types!$B$2:$D$13,3,FALSE)*Conv!$I$5*1000*365</f>
        <v>80.195262766214398</v>
      </c>
      <c r="AF59" s="42">
        <f>AB59</f>
        <v>768.58888296959992</v>
      </c>
      <c r="AG59" s="42">
        <f t="shared" ref="AG59" si="241">AC59</f>
        <v>68.421878513452796</v>
      </c>
      <c r="AH59" s="42">
        <f t="shared" ref="AH59" si="242">AD59</f>
        <v>74.081487560774406</v>
      </c>
      <c r="AI59" s="42">
        <f t="shared" ref="AI59" si="243">AE59</f>
        <v>80.195262766214398</v>
      </c>
      <c r="AJ59" s="42"/>
      <c r="AK59" s="42"/>
      <c r="AL59" s="42"/>
    </row>
    <row r="60" spans="1:38">
      <c r="A60" s="9" t="str">
        <f>A59</f>
        <v>Other Refined Prod.</v>
      </c>
      <c r="B60" s="9" t="str">
        <f>VLOOKUP($A60,Types!$A$2:$C$13,2,FALSE)</f>
        <v>KER</v>
      </c>
      <c r="C60" s="9">
        <v>2</v>
      </c>
      <c r="D60" s="9">
        <v>1</v>
      </c>
      <c r="E60" s="9" t="str">
        <f t="shared" si="162"/>
        <v>IMPKERP12</v>
      </c>
      <c r="F60" s="9" t="str">
        <f>CONCATENATE("Imported ",VLOOKUP($A60,Types!$A$2:$C$13,3,FALSE),", PADD ",D60,", Step ",RIGHT(C60,1))</f>
        <v>Imported Kerosene and Other Refined Products, PADD 1, Step 2</v>
      </c>
      <c r="G60" s="9" t="str">
        <f>CONCATENATE(VLOOKUP($A60,Types!$A$2:$C$13,2,FALSE),"P",D60)</f>
        <v>KERP1</v>
      </c>
      <c r="H60" s="66">
        <f>H58*$C$6</f>
        <v>64.60454</v>
      </c>
      <c r="I60" s="66">
        <f t="shared" ref="I60:K60" si="244">I58*$C$6</f>
        <v>39.260760000000005</v>
      </c>
      <c r="J60" s="66">
        <f t="shared" si="244"/>
        <v>31.801000000000002</v>
      </c>
      <c r="K60" s="66">
        <f t="shared" si="244"/>
        <v>40.336799999999997</v>
      </c>
      <c r="L60" s="67">
        <f>H60*Conv!$J$20/10^6/VLOOKUP($B60,Types!$B$2:$D$13,3,FALSE)/Conv!$I$5</f>
        <v>16.571730613120152</v>
      </c>
      <c r="M60" s="67">
        <f>I60*Conv!$J$20/10^6/VLOOKUP($B60,Types!$B$2:$D$13,3,FALSE)/Conv!$I$5</f>
        <v>10.070789736856934</v>
      </c>
      <c r="N60" s="67" t="e">
        <f>M60*#REF!</f>
        <v>#REF!</v>
      </c>
      <c r="O60" s="67" t="e">
        <f>N60*#REF!</f>
        <v>#REF!</v>
      </c>
      <c r="P60" s="67" t="e">
        <f>O60*#REF!</f>
        <v>#REF!</v>
      </c>
      <c r="Q60" s="67" t="e">
        <f>P60*#REF!</f>
        <v>#REF!</v>
      </c>
      <c r="R60" s="67" t="e">
        <f>Q60*#REF!</f>
        <v>#REF!</v>
      </c>
      <c r="S60" s="67" t="e">
        <f>R60*#REF!</f>
        <v>#REF!</v>
      </c>
      <c r="T60" s="67" t="e">
        <f>S60*#REF!</f>
        <v>#REF!</v>
      </c>
      <c r="U60" s="67" t="e">
        <f>T60*#REF!</f>
        <v>#REF!</v>
      </c>
      <c r="V60" s="67" t="e">
        <f>U60*#REF!</f>
        <v>#REF!</v>
      </c>
      <c r="W60" s="42"/>
      <c r="X60" s="9">
        <f>X58*$E$6</f>
        <v>396</v>
      </c>
      <c r="Y60" s="9">
        <f t="shared" ref="Y60:AA60" si="245">Y58*$E$6</f>
        <v>35.253</v>
      </c>
      <c r="Z60" s="9">
        <f t="shared" si="245"/>
        <v>38.168999999999997</v>
      </c>
      <c r="AA60" s="9">
        <f t="shared" si="245"/>
        <v>41.318999999999996</v>
      </c>
      <c r="AB60" s="42">
        <f>X60*VLOOKUP($B60,Types!$B$2:$D$13,3,FALSE)*Conv!$I$5*1000*365</f>
        <v>864.66249334079998</v>
      </c>
      <c r="AC60" s="42">
        <f>Y60*VLOOKUP($B60,Types!$B$2:$D$13,3,FALSE)*Conv!$I$5*1000*365</f>
        <v>76.974613327634387</v>
      </c>
      <c r="AD60" s="42">
        <f>Z60*VLOOKUP($B60,Types!$B$2:$D$13,3,FALSE)*Conv!$I$5*1000*365</f>
        <v>83.341673505871171</v>
      </c>
      <c r="AE60" s="42">
        <f>AA60*VLOOKUP($B60,Types!$B$2:$D$13,3,FALSE)*Conv!$I$5*1000*365</f>
        <v>90.219670611991177</v>
      </c>
      <c r="AF60" s="42">
        <f>AB60-AF59</f>
        <v>96.073610371200061</v>
      </c>
      <c r="AG60" s="42">
        <f t="shared" ref="AG60" si="246">AC60-AG59</f>
        <v>8.5527348141815907</v>
      </c>
      <c r="AH60" s="42">
        <f t="shared" ref="AH60" si="247">AD60-AH59</f>
        <v>9.2601859450967652</v>
      </c>
      <c r="AI60" s="42">
        <f t="shared" ref="AI60" si="248">AE60-AI59</f>
        <v>10.024407845776778</v>
      </c>
      <c r="AJ60" s="42"/>
      <c r="AK60" s="42"/>
      <c r="AL60" s="42"/>
    </row>
    <row r="61" spans="1:38">
      <c r="A61" s="9" t="str">
        <f>A60</f>
        <v>Other Refined Prod.</v>
      </c>
      <c r="B61" s="9" t="str">
        <f>VLOOKUP($A61,Types!$A$2:$C$13,2,FALSE)</f>
        <v>KER</v>
      </c>
      <c r="C61" s="9">
        <v>4</v>
      </c>
      <c r="D61" s="9">
        <v>1</v>
      </c>
      <c r="E61" s="9" t="str">
        <f t="shared" si="162"/>
        <v>IMPKERP14</v>
      </c>
      <c r="F61" s="9" t="str">
        <f>CONCATENATE("Imported ",VLOOKUP($A61,Types!$A$2:$C$13,3,FALSE),", PADD ",D61,", Step ",RIGHT(C61,1))</f>
        <v>Imported Kerosene and Other Refined Products, PADD 1, Step 4</v>
      </c>
      <c r="G61" s="9" t="str">
        <f>CONCATENATE(VLOOKUP($A61,Types!$A$2:$C$13,2,FALSE),"P",D61)</f>
        <v>KERP1</v>
      </c>
      <c r="H61" s="66">
        <f>H58*$C$8</f>
        <v>71.856070000000003</v>
      </c>
      <c r="I61" s="66">
        <f t="shared" ref="I61:K61" si="249">I58*$C$8</f>
        <v>43.667580000000008</v>
      </c>
      <c r="J61" s="66">
        <f t="shared" si="249"/>
        <v>35.370500000000007</v>
      </c>
      <c r="K61" s="66">
        <f t="shared" si="249"/>
        <v>44.864399999999996</v>
      </c>
      <c r="L61" s="67">
        <f>H61*Conv!$J$20/10^6/VLOOKUP($B61,Types!$B$2:$D$13,3,FALSE)/Conv!$I$5</f>
        <v>18.431822824796907</v>
      </c>
      <c r="M61" s="67">
        <f>I61*Conv!$J$20/10^6/VLOOKUP($B61,Types!$B$2:$D$13,3,FALSE)/Conv!$I$5</f>
        <v>11.201184503238837</v>
      </c>
      <c r="N61" s="67" t="e">
        <f>M61*#REF!</f>
        <v>#REF!</v>
      </c>
      <c r="O61" s="67" t="e">
        <f>N61*#REF!</f>
        <v>#REF!</v>
      </c>
      <c r="P61" s="67" t="e">
        <f>O61*#REF!</f>
        <v>#REF!</v>
      </c>
      <c r="Q61" s="67" t="e">
        <f>P61*#REF!</f>
        <v>#REF!</v>
      </c>
      <c r="R61" s="67" t="e">
        <f>Q61*#REF!</f>
        <v>#REF!</v>
      </c>
      <c r="S61" s="67" t="e">
        <f>R61*#REF!</f>
        <v>#REF!</v>
      </c>
      <c r="T61" s="67" t="e">
        <f>S61*#REF!</f>
        <v>#REF!</v>
      </c>
      <c r="U61" s="67" t="e">
        <f>T61*#REF!</f>
        <v>#REF!</v>
      </c>
      <c r="V61" s="67" t="e">
        <f>U61*#REF!</f>
        <v>#REF!</v>
      </c>
      <c r="W61" s="42"/>
      <c r="X61" s="9">
        <f>X58*$E$8</f>
        <v>528</v>
      </c>
      <c r="Y61" s="9">
        <f t="shared" ref="Y61:AA61" si="250">Y58*$E$8</f>
        <v>47.003999999999998</v>
      </c>
      <c r="Z61" s="9">
        <f t="shared" si="250"/>
        <v>50.891999999999996</v>
      </c>
      <c r="AA61" s="9">
        <f t="shared" si="250"/>
        <v>55.091999999999992</v>
      </c>
      <c r="AB61" s="42">
        <f>X61*VLOOKUP($B61,Types!$B$2:$D$13,3,FALSE)*Conv!$I$5*1000*365</f>
        <v>1152.8833244543998</v>
      </c>
      <c r="AC61" s="42">
        <f>Y61*VLOOKUP($B61,Types!$B$2:$D$13,3,FALSE)*Conv!$I$5*1000*365</f>
        <v>102.63281777017917</v>
      </c>
      <c r="AD61" s="42">
        <f>Z61*VLOOKUP($B61,Types!$B$2:$D$13,3,FALSE)*Conv!$I$5*1000*365</f>
        <v>111.12223134116159</v>
      </c>
      <c r="AE61" s="42">
        <f>AA61*VLOOKUP($B61,Types!$B$2:$D$13,3,FALSE)*Conv!$I$5*1000*365</f>
        <v>120.2928941493216</v>
      </c>
      <c r="AF61" s="42">
        <f>AB61-AB58</f>
        <v>192.1472207423999</v>
      </c>
      <c r="AG61" s="42">
        <f t="shared" ref="AG61" si="251">AC61-AC58</f>
        <v>17.105469628363167</v>
      </c>
      <c r="AH61" s="42">
        <f t="shared" ref="AH61" si="252">AD61-AD58</f>
        <v>18.520371890193616</v>
      </c>
      <c r="AI61" s="42">
        <f t="shared" ref="AI61" si="253">AE61-AE58</f>
        <v>20.048815691553628</v>
      </c>
      <c r="AJ61" s="42"/>
      <c r="AK61" s="42"/>
      <c r="AL61" s="42"/>
    </row>
    <row r="62" spans="1:38">
      <c r="A62" s="9" t="str">
        <f>A61</f>
        <v>Other Refined Prod.</v>
      </c>
      <c r="B62" s="9" t="str">
        <f>VLOOKUP($A62,Types!$A$2:$C$13,2,FALSE)</f>
        <v>KER</v>
      </c>
      <c r="C62" s="9">
        <v>5</v>
      </c>
      <c r="D62" s="9">
        <v>1</v>
      </c>
      <c r="E62" s="9" t="str">
        <f t="shared" si="162"/>
        <v>IMPKERP15</v>
      </c>
      <c r="F62" s="9" t="str">
        <f>CONCATENATE("Imported ",VLOOKUP($A62,Types!$A$2:$C$13,3,FALSE),", PADD ",D62,", Step ",RIGHT(C62,1))</f>
        <v>Imported Kerosene and Other Refined Products, PADD 1, Step 5</v>
      </c>
      <c r="G62" s="9" t="str">
        <f>CONCATENATE(VLOOKUP($A62,Types!$A$2:$C$13,2,FALSE),"P",D62)</f>
        <v>KERP1</v>
      </c>
      <c r="H62" s="66">
        <f>H58*$C$9</f>
        <v>85.6999</v>
      </c>
      <c r="I62" s="66">
        <f t="shared" ref="I62:K62" si="254">I58*$C$9</f>
        <v>52.080600000000011</v>
      </c>
      <c r="J62" s="66">
        <f t="shared" si="254"/>
        <v>42.185000000000002</v>
      </c>
      <c r="K62" s="66">
        <f t="shared" si="254"/>
        <v>53.507999999999996</v>
      </c>
      <c r="L62" s="67">
        <f>H62*Conv!$J$20/10^6/VLOOKUP($B62,Types!$B$2:$D$13,3,FALSE)/Conv!$I$5</f>
        <v>21.982907956179794</v>
      </c>
      <c r="M62" s="67">
        <f>I62*Conv!$J$20/10^6/VLOOKUP($B62,Types!$B$2:$D$13,3,FALSE)/Conv!$I$5</f>
        <v>13.359210875422464</v>
      </c>
      <c r="N62" s="67" t="e">
        <f>M62*#REF!</f>
        <v>#REF!</v>
      </c>
      <c r="O62" s="67" t="e">
        <f>N62*#REF!</f>
        <v>#REF!</v>
      </c>
      <c r="P62" s="67" t="e">
        <f>O62*#REF!</f>
        <v>#REF!</v>
      </c>
      <c r="Q62" s="67" t="e">
        <f>P62*#REF!</f>
        <v>#REF!</v>
      </c>
      <c r="R62" s="67" t="e">
        <f>Q62*#REF!</f>
        <v>#REF!</v>
      </c>
      <c r="S62" s="67" t="e">
        <f>R62*#REF!</f>
        <v>#REF!</v>
      </c>
      <c r="T62" s="67" t="e">
        <f>S62*#REF!</f>
        <v>#REF!</v>
      </c>
      <c r="U62" s="67" t="e">
        <f>T62*#REF!</f>
        <v>#REF!</v>
      </c>
      <c r="V62" s="67" t="e">
        <f>U62*#REF!</f>
        <v>#REF!</v>
      </c>
      <c r="W62" s="42"/>
      <c r="X62" s="9">
        <f>X58*$E$9</f>
        <v>880</v>
      </c>
      <c r="Y62" s="9">
        <f t="shared" ref="Y62:AA62" si="255">Y58*$E$9</f>
        <v>78.34</v>
      </c>
      <c r="Z62" s="9">
        <f t="shared" si="255"/>
        <v>84.82</v>
      </c>
      <c r="AA62" s="9">
        <f t="shared" si="255"/>
        <v>91.82</v>
      </c>
      <c r="AB62" s="42">
        <f>X62*VLOOKUP($B62,Types!$B$2:$D$13,3,FALSE)*Conv!$I$5*1000*365</f>
        <v>1921.4722074239999</v>
      </c>
      <c r="AC62" s="42">
        <f>Y62*VLOOKUP($B62,Types!$B$2:$D$13,3,FALSE)*Conv!$I$5*1000*365</f>
        <v>171.05469628363201</v>
      </c>
      <c r="AD62" s="42">
        <f>Z62*VLOOKUP($B62,Types!$B$2:$D$13,3,FALSE)*Conv!$I$5*1000*365</f>
        <v>185.20371890193596</v>
      </c>
      <c r="AE62" s="42">
        <f>AA62*VLOOKUP($B62,Types!$B$2:$D$13,3,FALSE)*Conv!$I$5*1000*365</f>
        <v>200.48815691553594</v>
      </c>
      <c r="AF62" s="42">
        <f>AB62-AB61</f>
        <v>768.58888296960004</v>
      </c>
      <c r="AG62" s="42">
        <f t="shared" ref="AG62" si="256">AC62-AC61</f>
        <v>68.421878513452839</v>
      </c>
      <c r="AH62" s="42">
        <f t="shared" ref="AH62" si="257">AD62-AD61</f>
        <v>74.081487560774363</v>
      </c>
      <c r="AI62" s="42">
        <f t="shared" ref="AI62" si="258">AE62-AE61</f>
        <v>80.195262766214341</v>
      </c>
      <c r="AJ62" s="42"/>
      <c r="AK62" s="42"/>
      <c r="AL62" s="42"/>
    </row>
    <row r="63" spans="1:38">
      <c r="A63" s="9" t="str">
        <f>'Agg prdcrv'!$A$16</f>
        <v>Methanol</v>
      </c>
      <c r="B63" s="9" t="str">
        <f>VLOOKUP($A63,Types!$A$2:$C$13,2,FALSE)</f>
        <v>MTH</v>
      </c>
      <c r="C63" s="9">
        <v>3</v>
      </c>
      <c r="D63" s="9">
        <v>1</v>
      </c>
      <c r="E63" s="9" t="str">
        <f t="shared" si="162"/>
        <v>IMPMTHP13</v>
      </c>
      <c r="F63" s="9" t="str">
        <f>CONCATENATE("Imported ",VLOOKUP($A63,Types!$A$2:$C$13,3,FALSE),", PADD ",D63,", Step ",RIGHT(C63,1))</f>
        <v>Imported Methanol, PADD 1, Step 3</v>
      </c>
      <c r="G63" s="9" t="str">
        <f>CONCATENATE(VLOOKUP($A63,Types!$A$2:$C$13,2,FALSE),"P",D63)</f>
        <v>MTHP1</v>
      </c>
      <c r="H63" s="66">
        <f>SUMIFS('Agg prdcrv'!$L$6:$L$100,'Agg prdcrv'!$A$6:$A$100,'Imp Refined'!$A63,'Agg prdcrv'!$B$6:$B$100,H$11)*K4</f>
        <v>53.108000000000004</v>
      </c>
      <c r="I63" s="66">
        <f>SUMIFS('Agg prdcrv'!$L$6:$L$100,'Agg prdcrv'!$A$6:$A$100,'Imp Refined'!$A63,'Agg prdcrv'!$B$6:$B$100,I$11)*K4</f>
        <v>52.536000000000001</v>
      </c>
      <c r="J63" s="66">
        <f t="array" ref="J63">SUMIFS('Agg prdcrv'!$L$6:$L$100,'Agg prdcrv'!$A$6:$A$100,'Imp Refined'!$A63,'Agg prdcrv'!$B$6:$B$100,J$11)</f>
        <v>47.76</v>
      </c>
      <c r="K63" s="66">
        <f t="array" ref="K63">SUMIFS('Agg prdcrv'!$L$6:$L$100,'Agg prdcrv'!$A$6:$A$100,'Imp Refined'!$A63,'Agg prdcrv'!$B$6:$B$100,K$11)</f>
        <v>47.76</v>
      </c>
      <c r="L63" s="67">
        <f>H63*Conv!$J$20/10^6/VLOOKUP($B63,Types!$B$2:$D$13,3,FALSE)/Conv!$I$5</f>
        <v>28.120354613666684</v>
      </c>
      <c r="M63" s="67">
        <f>I63*Conv!$J$20/10^6/VLOOKUP($B63,Types!$B$2:$D$13,3,FALSE)/Conv!$I$5</f>
        <v>27.817484182864966</v>
      </c>
      <c r="N63" s="67" t="e">
        <f>M63*#REF!</f>
        <v>#REF!</v>
      </c>
      <c r="O63" s="67" t="e">
        <f>N63*#REF!</f>
        <v>#REF!</v>
      </c>
      <c r="P63" s="67" t="e">
        <f>O63*#REF!</f>
        <v>#REF!</v>
      </c>
      <c r="Q63" s="67" t="e">
        <f>P63*#REF!</f>
        <v>#REF!</v>
      </c>
      <c r="R63" s="67" t="e">
        <f>Q63*#REF!</f>
        <v>#REF!</v>
      </c>
      <c r="S63" s="67" t="e">
        <f>R63*#REF!</f>
        <v>#REF!</v>
      </c>
      <c r="T63" s="67" t="e">
        <f>S63*#REF!</f>
        <v>#REF!</v>
      </c>
      <c r="U63" s="67" t="e">
        <f>T63*#REF!</f>
        <v>#REF!</v>
      </c>
      <c r="V63" s="67" t="e">
        <f>U63*#REF!</f>
        <v>#REF!</v>
      </c>
      <c r="W63" s="42"/>
      <c r="X63" s="9">
        <f t="array" ref="X63">SUMIFS('Agg prdcrv'!$D$6:$D$100,'Agg prdcrv'!$A$6:$A$100,'Imp Refined'!$A63,'Agg prdcrv'!$B$6:$B$100,X$11)</f>
        <v>0.62</v>
      </c>
      <c r="Y63" s="9">
        <f t="array" ref="Y63">SUMIFS('Agg prdcrv'!$D$6:$D$100,'Agg prdcrv'!$A$6:$A$100,'Imp Refined'!$A63,'Agg prdcrv'!$B$6:$B$100,Y$11)</f>
        <v>0.56000000000000005</v>
      </c>
      <c r="Z63" s="9">
        <f t="array" ref="Z63">SUMIFS('Agg prdcrv'!$D$6:$D$100,'Agg prdcrv'!$A$6:$A$100,'Imp Refined'!$A63,'Agg prdcrv'!$B$6:$B$100,Z$11)</f>
        <v>0.65</v>
      </c>
      <c r="AA63" s="9">
        <f t="array" ref="AA63">SUMIFS('Agg prdcrv'!$D$6:$D$100,'Agg prdcrv'!$A$6:$A$100,'Imp Refined'!$A63,'Agg prdcrv'!$B$6:$B$100,AA$11)</f>
        <v>0.75</v>
      </c>
      <c r="AB63" s="42">
        <f>X63*VLOOKUP($B63,Types!$B$2:$D$13,3,FALSE)*Conv!$I$5*1000*365</f>
        <v>0.65582369584703981</v>
      </c>
      <c r="AC63" s="42">
        <f>Y63*VLOOKUP($B63,Types!$B$2:$D$13,3,FALSE)*Conv!$I$5*1000*365</f>
        <v>0.59235688657151997</v>
      </c>
      <c r="AD63" s="42">
        <f>Z63*VLOOKUP($B63,Types!$B$2:$D$13,3,FALSE)*Conv!$I$5*1000*365</f>
        <v>0.68755710048480001</v>
      </c>
      <c r="AE63" s="42">
        <f>AA63*VLOOKUP($B63,Types!$B$2:$D$13,3,FALSE)*Conv!$I$5*1000*365</f>
        <v>0.79333511594399986</v>
      </c>
      <c r="AF63" s="42">
        <f>AB63-AB65</f>
        <v>6.5582369584703759E-2</v>
      </c>
      <c r="AG63" s="42">
        <f t="shared" ref="AG63" si="259">AC63-AC65</f>
        <v>5.9235688657151897E-2</v>
      </c>
      <c r="AH63" s="42">
        <f t="shared" ref="AH63" si="260">AD63-AD65</f>
        <v>6.8755710048480023E-2</v>
      </c>
      <c r="AI63" s="42">
        <f t="shared" ref="AI63" si="261">AE63-AE65</f>
        <v>7.933351159439983E-2</v>
      </c>
      <c r="AJ63" s="42"/>
      <c r="AK63" s="42"/>
      <c r="AL63" s="42"/>
    </row>
    <row r="64" spans="1:38">
      <c r="A64" s="9" t="str">
        <f>A63</f>
        <v>Methanol</v>
      </c>
      <c r="B64" s="9" t="str">
        <f>VLOOKUP($A64,Types!$A$2:$C$13,2,FALSE)</f>
        <v>MTH</v>
      </c>
      <c r="C64" s="9">
        <v>1</v>
      </c>
      <c r="D64" s="9">
        <v>1</v>
      </c>
      <c r="E64" s="9" t="str">
        <f t="shared" si="162"/>
        <v>IMPMTHP11</v>
      </c>
      <c r="F64" s="9" t="str">
        <f>CONCATENATE("Imported ",VLOOKUP($A64,Types!$A$2:$C$13,3,FALSE),", PADD ",D64,", Step ",RIGHT(C64,1))</f>
        <v>Imported Methanol, PADD 1, Step 1</v>
      </c>
      <c r="G64" s="9" t="str">
        <f>CONCATENATE(VLOOKUP($A64,Types!$A$2:$C$13,2,FALSE),"P",D64)</f>
        <v>MTHP1</v>
      </c>
      <c r="H64" s="66">
        <f>H63*$C$5</f>
        <v>50.452600000000004</v>
      </c>
      <c r="I64" s="66">
        <f t="shared" ref="I64" si="262">I63*$C$5</f>
        <v>49.909199999999998</v>
      </c>
      <c r="J64" s="66">
        <f t="shared" ref="J64" si="263">J63*$C$5</f>
        <v>45.371999999999993</v>
      </c>
      <c r="K64" s="66">
        <f t="shared" ref="K64" si="264">K63*$C$5</f>
        <v>45.371999999999993</v>
      </c>
      <c r="L64" s="67">
        <f>H64*Conv!$J$20/10^6/VLOOKUP($B64,Types!$B$2:$D$13,3,FALSE)/Conv!$I$5</f>
        <v>26.714336882983346</v>
      </c>
      <c r="M64" s="67">
        <f>I64*Conv!$J$20/10^6/VLOOKUP($B64,Types!$B$2:$D$13,3,FALSE)/Conv!$I$5</f>
        <v>26.426609973721717</v>
      </c>
      <c r="N64" s="67" t="e">
        <f>M64*#REF!</f>
        <v>#REF!</v>
      </c>
      <c r="O64" s="67" t="e">
        <f>N64*#REF!</f>
        <v>#REF!</v>
      </c>
      <c r="P64" s="67" t="e">
        <f>O64*#REF!</f>
        <v>#REF!</v>
      </c>
      <c r="Q64" s="67" t="e">
        <f>P64*#REF!</f>
        <v>#REF!</v>
      </c>
      <c r="R64" s="67" t="e">
        <f>Q64*#REF!</f>
        <v>#REF!</v>
      </c>
      <c r="S64" s="67" t="e">
        <f>R64*#REF!</f>
        <v>#REF!</v>
      </c>
      <c r="T64" s="67" t="e">
        <f>S64*#REF!</f>
        <v>#REF!</v>
      </c>
      <c r="U64" s="67" t="e">
        <f>T64*#REF!</f>
        <v>#REF!</v>
      </c>
      <c r="V64" s="67" t="e">
        <f>U64*#REF!</f>
        <v>#REF!</v>
      </c>
      <c r="W64" s="42"/>
      <c r="X64" s="9">
        <f>X63*$E$5</f>
        <v>0.496</v>
      </c>
      <c r="Y64" s="9">
        <f t="shared" ref="Y64" si="265">Y63*$E$5</f>
        <v>0.44800000000000006</v>
      </c>
      <c r="Z64" s="9">
        <f t="shared" ref="Z64" si="266">Z63*$E$5</f>
        <v>0.52</v>
      </c>
      <c r="AA64" s="9">
        <f t="shared" ref="AA64" si="267">AA63*$E$5</f>
        <v>0.60000000000000009</v>
      </c>
      <c r="AB64" s="42">
        <f>X64*VLOOKUP($B64,Types!$B$2:$D$13,3,FALSE)*Conv!$I$5*1000*365</f>
        <v>0.52465895667763196</v>
      </c>
      <c r="AC64" s="42">
        <f>Y64*VLOOKUP($B64,Types!$B$2:$D$13,3,FALSE)*Conv!$I$5*1000*365</f>
        <v>0.47388550925721595</v>
      </c>
      <c r="AD64" s="42">
        <f>Z64*VLOOKUP($B64,Types!$B$2:$D$13,3,FALSE)*Conv!$I$5*1000*365</f>
        <v>0.55004568038783996</v>
      </c>
      <c r="AE64" s="42">
        <f>AA64*VLOOKUP($B64,Types!$B$2:$D$13,3,FALSE)*Conv!$I$5*1000*365</f>
        <v>0.63466809275519998</v>
      </c>
      <c r="AF64" s="42">
        <f>AB64</f>
        <v>0.52465895667763196</v>
      </c>
      <c r="AG64" s="42">
        <f t="shared" ref="AG64" si="268">AC64</f>
        <v>0.47388550925721595</v>
      </c>
      <c r="AH64" s="42">
        <f t="shared" ref="AH64" si="269">AD64</f>
        <v>0.55004568038783996</v>
      </c>
      <c r="AI64" s="42">
        <f t="shared" ref="AI64" si="270">AE64</f>
        <v>0.63466809275519998</v>
      </c>
      <c r="AJ64" s="42"/>
      <c r="AK64" s="42"/>
      <c r="AL64" s="42"/>
    </row>
    <row r="65" spans="1:38">
      <c r="A65" s="9" t="str">
        <f>A64</f>
        <v>Methanol</v>
      </c>
      <c r="B65" s="9" t="str">
        <f>VLOOKUP($A65,Types!$A$2:$C$13,2,FALSE)</f>
        <v>MTH</v>
      </c>
      <c r="C65" s="9">
        <v>2</v>
      </c>
      <c r="D65" s="9">
        <v>1</v>
      </c>
      <c r="E65" s="9" t="str">
        <f t="shared" si="162"/>
        <v>IMPMTHP12</v>
      </c>
      <c r="F65" s="9" t="str">
        <f>CONCATENATE("Imported ",VLOOKUP($A65,Types!$A$2:$C$13,3,FALSE),", PADD ",D65,", Step ",RIGHT(C65,1))</f>
        <v>Imported Methanol, PADD 1, Step 2</v>
      </c>
      <c r="G65" s="9" t="str">
        <f>CONCATENATE(VLOOKUP($A65,Types!$A$2:$C$13,2,FALSE),"P",D65)</f>
        <v>MTHP1</v>
      </c>
      <c r="H65" s="66">
        <f>H63*$C$6</f>
        <v>52.045840000000005</v>
      </c>
      <c r="I65" s="66">
        <f t="shared" ref="I65:K65" si="271">I63*$C$6</f>
        <v>51.485280000000003</v>
      </c>
      <c r="J65" s="66">
        <f t="shared" si="271"/>
        <v>46.8048</v>
      </c>
      <c r="K65" s="66">
        <f t="shared" si="271"/>
        <v>46.8048</v>
      </c>
      <c r="L65" s="67">
        <f>H65*Conv!$J$20/10^6/VLOOKUP($B65,Types!$B$2:$D$13,3,FALSE)/Conv!$I$5</f>
        <v>27.557947521393341</v>
      </c>
      <c r="M65" s="67">
        <f>I65*Conv!$J$20/10^6/VLOOKUP($B65,Types!$B$2:$D$13,3,FALSE)/Conv!$I$5</f>
        <v>27.261134499207664</v>
      </c>
      <c r="N65" s="67" t="e">
        <f>M65*#REF!</f>
        <v>#REF!</v>
      </c>
      <c r="O65" s="67" t="e">
        <f>N65*#REF!</f>
        <v>#REF!</v>
      </c>
      <c r="P65" s="67" t="e">
        <f>O65*#REF!</f>
        <v>#REF!</v>
      </c>
      <c r="Q65" s="67" t="e">
        <f>P65*#REF!</f>
        <v>#REF!</v>
      </c>
      <c r="R65" s="67" t="e">
        <f>Q65*#REF!</f>
        <v>#REF!</v>
      </c>
      <c r="S65" s="67" t="e">
        <f>R65*#REF!</f>
        <v>#REF!</v>
      </c>
      <c r="T65" s="67" t="e">
        <f>S65*#REF!</f>
        <v>#REF!</v>
      </c>
      <c r="U65" s="67" t="e">
        <f>T65*#REF!</f>
        <v>#REF!</v>
      </c>
      <c r="V65" s="67" t="e">
        <f>U65*#REF!</f>
        <v>#REF!</v>
      </c>
      <c r="W65" s="42"/>
      <c r="X65" s="9">
        <f>X63*$E$6</f>
        <v>0.55800000000000005</v>
      </c>
      <c r="Y65" s="9">
        <f t="shared" ref="Y65:AA65" si="272">Y63*$E$6</f>
        <v>0.50400000000000011</v>
      </c>
      <c r="Z65" s="9">
        <f t="shared" si="272"/>
        <v>0.58500000000000008</v>
      </c>
      <c r="AA65" s="9">
        <f t="shared" si="272"/>
        <v>0.67500000000000004</v>
      </c>
      <c r="AB65" s="42">
        <f>X65*VLOOKUP($B65,Types!$B$2:$D$13,3,FALSE)*Conv!$I$5*1000*365</f>
        <v>0.59024132626233605</v>
      </c>
      <c r="AC65" s="42">
        <f>Y65*VLOOKUP($B65,Types!$B$2:$D$13,3,FALSE)*Conv!$I$5*1000*365</f>
        <v>0.53312119791436807</v>
      </c>
      <c r="AD65" s="42">
        <f>Z65*VLOOKUP($B65,Types!$B$2:$D$13,3,FALSE)*Conv!$I$5*1000*365</f>
        <v>0.61880139043631999</v>
      </c>
      <c r="AE65" s="42">
        <f>AA65*VLOOKUP($B65,Types!$B$2:$D$13,3,FALSE)*Conv!$I$5*1000*365</f>
        <v>0.71400160434960003</v>
      </c>
      <c r="AF65" s="42">
        <f>AB65-AF64</f>
        <v>6.5582369584704092E-2</v>
      </c>
      <c r="AG65" s="42">
        <f t="shared" ref="AG65" si="273">AC65-AG64</f>
        <v>5.9235688657152119E-2</v>
      </c>
      <c r="AH65" s="42">
        <f t="shared" ref="AH65" si="274">AD65-AH64</f>
        <v>6.8755710048480023E-2</v>
      </c>
      <c r="AI65" s="42">
        <f t="shared" ref="AI65" si="275">AE65-AI64</f>
        <v>7.9333511594400052E-2</v>
      </c>
      <c r="AJ65" s="42"/>
      <c r="AK65" s="42"/>
      <c r="AL65" s="42"/>
    </row>
    <row r="66" spans="1:38">
      <c r="A66" s="9" t="str">
        <f>A65</f>
        <v>Methanol</v>
      </c>
      <c r="B66" s="9" t="str">
        <f>VLOOKUP($A66,Types!$A$2:$C$13,2,FALSE)</f>
        <v>MTH</v>
      </c>
      <c r="C66" s="9">
        <v>4</v>
      </c>
      <c r="D66" s="9">
        <v>1</v>
      </c>
      <c r="E66" s="9" t="str">
        <f t="shared" si="162"/>
        <v>IMPMTHP14</v>
      </c>
      <c r="F66" s="9" t="str">
        <f>CONCATENATE("Imported ",VLOOKUP($A66,Types!$A$2:$C$13,3,FALSE),", PADD ",D66,", Step ",RIGHT(C66,1))</f>
        <v>Imported Methanol, PADD 1, Step 4</v>
      </c>
      <c r="G66" s="9" t="str">
        <f>CONCATENATE(VLOOKUP($A66,Types!$A$2:$C$13,2,FALSE),"P",D66)</f>
        <v>MTHP1</v>
      </c>
      <c r="H66" s="66">
        <f>H63*$C$8</f>
        <v>57.887720000000009</v>
      </c>
      <c r="I66" s="66">
        <f t="shared" ref="I66:K66" si="276">I63*$C$8</f>
        <v>57.264240000000008</v>
      </c>
      <c r="J66" s="66">
        <f t="shared" si="276"/>
        <v>52.058399999999999</v>
      </c>
      <c r="K66" s="66">
        <f t="shared" si="276"/>
        <v>52.058399999999999</v>
      </c>
      <c r="L66" s="67">
        <f>H66*Conv!$J$20/10^6/VLOOKUP($B66,Types!$B$2:$D$13,3,FALSE)/Conv!$I$5</f>
        <v>30.651186528896687</v>
      </c>
      <c r="M66" s="67">
        <f>I66*Conv!$J$20/10^6/VLOOKUP($B66,Types!$B$2:$D$13,3,FALSE)/Conv!$I$5</f>
        <v>30.321057759322819</v>
      </c>
      <c r="N66" s="67" t="e">
        <f>M66*#REF!</f>
        <v>#REF!</v>
      </c>
      <c r="O66" s="67" t="e">
        <f>N66*#REF!</f>
        <v>#REF!</v>
      </c>
      <c r="P66" s="67" t="e">
        <f>O66*#REF!</f>
        <v>#REF!</v>
      </c>
      <c r="Q66" s="67" t="e">
        <f>P66*#REF!</f>
        <v>#REF!</v>
      </c>
      <c r="R66" s="67" t="e">
        <f>Q66*#REF!</f>
        <v>#REF!</v>
      </c>
      <c r="S66" s="67" t="e">
        <f>R66*#REF!</f>
        <v>#REF!</v>
      </c>
      <c r="T66" s="67" t="e">
        <f>S66*#REF!</f>
        <v>#REF!</v>
      </c>
      <c r="U66" s="67" t="e">
        <f>T66*#REF!</f>
        <v>#REF!</v>
      </c>
      <c r="V66" s="67" t="e">
        <f>U66*#REF!</f>
        <v>#REF!</v>
      </c>
      <c r="W66" s="42"/>
      <c r="X66" s="9">
        <f>X63*$E$8</f>
        <v>0.74399999999999999</v>
      </c>
      <c r="Y66" s="9">
        <f t="shared" ref="Y66:AA66" si="277">Y63*$E$8</f>
        <v>0.67200000000000004</v>
      </c>
      <c r="Z66" s="9">
        <f t="shared" si="277"/>
        <v>0.78</v>
      </c>
      <c r="AA66" s="9">
        <f t="shared" si="277"/>
        <v>0.89999999999999991</v>
      </c>
      <c r="AB66" s="42">
        <f>X66*VLOOKUP($B66,Types!$B$2:$D$13,3,FALSE)*Conv!$I$5*1000*365</f>
        <v>0.78698843501644788</v>
      </c>
      <c r="AC66" s="42">
        <f>Y66*VLOOKUP($B66,Types!$B$2:$D$13,3,FALSE)*Conv!$I$5*1000*365</f>
        <v>0.7108282638858241</v>
      </c>
      <c r="AD66" s="42">
        <f>Z66*VLOOKUP($B66,Types!$B$2:$D$13,3,FALSE)*Conv!$I$5*1000*365</f>
        <v>0.82506852058176017</v>
      </c>
      <c r="AE66" s="42">
        <f>AA66*VLOOKUP($B66,Types!$B$2:$D$13,3,FALSE)*Conv!$I$5*1000*365</f>
        <v>0.95200213913279985</v>
      </c>
      <c r="AF66" s="42">
        <f>AB66-AB63</f>
        <v>0.13116473916940807</v>
      </c>
      <c r="AG66" s="42">
        <f t="shared" ref="AG66" si="278">AC66-AC63</f>
        <v>0.11847137731430413</v>
      </c>
      <c r="AH66" s="42">
        <f t="shared" ref="AH66" si="279">AD66-AD63</f>
        <v>0.13751142009696016</v>
      </c>
      <c r="AI66" s="42">
        <f t="shared" ref="AI66" si="280">AE66-AE63</f>
        <v>0.15866702318879999</v>
      </c>
      <c r="AJ66" s="42"/>
      <c r="AK66" s="42"/>
      <c r="AL66" s="42"/>
    </row>
    <row r="67" spans="1:38">
      <c r="A67" s="9" t="str">
        <f>A66</f>
        <v>Methanol</v>
      </c>
      <c r="B67" s="9" t="str">
        <f>VLOOKUP($A67,Types!$A$2:$C$13,2,FALSE)</f>
        <v>MTH</v>
      </c>
      <c r="C67" s="9">
        <v>5</v>
      </c>
      <c r="D67" s="9">
        <v>1</v>
      </c>
      <c r="E67" s="9" t="str">
        <f t="shared" si="162"/>
        <v>IMPMTHP15</v>
      </c>
      <c r="F67" s="9" t="str">
        <f>CONCATENATE("Imported ",VLOOKUP($A67,Types!$A$2:$C$13,3,FALSE),", PADD ",D67,", Step ",RIGHT(C67,1))</f>
        <v>Imported Methanol, PADD 1, Step 5</v>
      </c>
      <c r="G67" s="9" t="str">
        <f>CONCATENATE(VLOOKUP($A67,Types!$A$2:$C$13,2,FALSE),"P",D67)</f>
        <v>MTHP1</v>
      </c>
      <c r="H67" s="66">
        <f>H63*$C$9</f>
        <v>69.040400000000005</v>
      </c>
      <c r="I67" s="66">
        <f t="shared" ref="I67:K67" si="281">I63*$C$9</f>
        <v>68.296800000000005</v>
      </c>
      <c r="J67" s="66">
        <f t="shared" si="281"/>
        <v>62.088000000000001</v>
      </c>
      <c r="K67" s="66">
        <f t="shared" si="281"/>
        <v>62.088000000000001</v>
      </c>
      <c r="L67" s="67">
        <f>H67*Conv!$J$20/10^6/VLOOKUP($B67,Types!$B$2:$D$13,3,FALSE)/Conv!$I$5</f>
        <v>36.556460997766685</v>
      </c>
      <c r="M67" s="67">
        <f>I67*Conv!$J$20/10^6/VLOOKUP($B67,Types!$B$2:$D$13,3,FALSE)/Conv!$I$5</f>
        <v>36.162729437724451</v>
      </c>
      <c r="N67" s="67" t="e">
        <f>M67*#REF!</f>
        <v>#REF!</v>
      </c>
      <c r="O67" s="67" t="e">
        <f>N67*#REF!</f>
        <v>#REF!</v>
      </c>
      <c r="P67" s="67" t="e">
        <f>O67*#REF!</f>
        <v>#REF!</v>
      </c>
      <c r="Q67" s="67" t="e">
        <f>P67*#REF!</f>
        <v>#REF!</v>
      </c>
      <c r="R67" s="67" t="e">
        <f>Q67*#REF!</f>
        <v>#REF!</v>
      </c>
      <c r="S67" s="67" t="e">
        <f>R67*#REF!</f>
        <v>#REF!</v>
      </c>
      <c r="T67" s="67" t="e">
        <f>S67*#REF!</f>
        <v>#REF!</v>
      </c>
      <c r="U67" s="67" t="e">
        <f>T67*#REF!</f>
        <v>#REF!</v>
      </c>
      <c r="V67" s="67" t="e">
        <f>U67*#REF!</f>
        <v>#REF!</v>
      </c>
      <c r="W67" s="42"/>
      <c r="X67" s="9">
        <f>X63*$E$9</f>
        <v>1.24</v>
      </c>
      <c r="Y67" s="9">
        <f t="shared" ref="Y67:AA67" si="282">Y63*$E$9</f>
        <v>1.1200000000000001</v>
      </c>
      <c r="Z67" s="9">
        <f t="shared" si="282"/>
        <v>1.3</v>
      </c>
      <c r="AA67" s="9">
        <f t="shared" si="282"/>
        <v>1.5</v>
      </c>
      <c r="AB67" s="42">
        <f>X67*VLOOKUP($B67,Types!$B$2:$D$13,3,FALSE)*Conv!$I$5*1000*365</f>
        <v>1.3116473916940796</v>
      </c>
      <c r="AC67" s="42">
        <f>Y67*VLOOKUP($B67,Types!$B$2:$D$13,3,FALSE)*Conv!$I$5*1000*365</f>
        <v>1.1847137731430399</v>
      </c>
      <c r="AD67" s="42">
        <f>Z67*VLOOKUP($B67,Types!$B$2:$D$13,3,FALSE)*Conv!$I$5*1000*365</f>
        <v>1.3751142009696</v>
      </c>
      <c r="AE67" s="42">
        <f>AA67*VLOOKUP($B67,Types!$B$2:$D$13,3,FALSE)*Conv!$I$5*1000*365</f>
        <v>1.5866702318879997</v>
      </c>
      <c r="AF67" s="42">
        <f>AB67-AB66</f>
        <v>0.52465895667763174</v>
      </c>
      <c r="AG67" s="42">
        <f t="shared" ref="AG67" si="283">AC67-AC66</f>
        <v>0.47388550925721584</v>
      </c>
      <c r="AH67" s="42">
        <f t="shared" ref="AH67" si="284">AD67-AD66</f>
        <v>0.55004568038783985</v>
      </c>
      <c r="AI67" s="42">
        <f t="shared" ref="AI67" si="285">AE67-AE66</f>
        <v>0.63466809275519986</v>
      </c>
      <c r="AJ67" s="42"/>
      <c r="AK67" s="42"/>
      <c r="AL67" s="42"/>
    </row>
    <row r="68" spans="1:38">
      <c r="A68" s="9" t="str">
        <f>'Agg prdcrv'!$A$19</f>
        <v>ULS Diesel (15 ppm)</v>
      </c>
      <c r="B68" s="9" t="str">
        <f>VLOOKUP($A68,Types!$A$2:$C$13,2,FALSE)</f>
        <v>DSU</v>
      </c>
      <c r="C68" s="9">
        <v>3</v>
      </c>
      <c r="D68" s="9">
        <v>1</v>
      </c>
      <c r="E68" s="9" t="str">
        <f t="shared" si="162"/>
        <v>IMPDSUP13</v>
      </c>
      <c r="F68" s="9" t="str">
        <f>CONCATENATE("Imported ",VLOOKUP($A68,Types!$A$2:$C$13,3,FALSE),", PADD ",D68,", Step ",RIGHT(C68,1))</f>
        <v>Imported Distillate-Ultralow Sulfur Highway Diesel (15 ppm), PADD 1, Step 3</v>
      </c>
      <c r="G68" s="9" t="str">
        <f>CONCATENATE(VLOOKUP($A68,Types!$A$2:$C$13,2,FALSE),"P",D68)</f>
        <v>DSUP1</v>
      </c>
      <c r="H68" s="66">
        <f>SUMIFS('Agg prdcrv'!$L$6:$L$100,'Agg prdcrv'!$A$6:$A$100,'Imp Refined'!$A68,'Agg prdcrv'!$B$6:$B$100,H$11)*K4</f>
        <v>63.283000000000008</v>
      </c>
      <c r="I68" s="66">
        <f>SUMIFS('Agg prdcrv'!$L$6:$L$100,'Agg prdcrv'!$A$6:$A$100,'Imp Refined'!$A68,'Agg prdcrv'!$B$6:$B$100,I$11)*K4</f>
        <v>54.318000000000005</v>
      </c>
      <c r="J68" s="66">
        <f t="array" ref="J68">SUMIFS('Agg prdcrv'!$L$6:$L$100,'Agg prdcrv'!$A$6:$A$100,'Imp Refined'!$A68,'Agg prdcrv'!$B$6:$B$100,J$11)</f>
        <v>41.43</v>
      </c>
      <c r="K68" s="66">
        <f t="array" ref="K68">SUMIFS('Agg prdcrv'!$L$6:$L$100,'Agg prdcrv'!$A$6:$A$100,'Imp Refined'!$A68,'Agg prdcrv'!$B$6:$B$100,K$11)</f>
        <v>44.81</v>
      </c>
      <c r="L68" s="67">
        <f>H68*Conv!$J$20/10^6/VLOOKUP($B68,Types!$B$2:$D$13,3,FALSE)/Conv!$I$5</f>
        <v>15.80079777029813</v>
      </c>
      <c r="M68" s="67">
        <f>I68*Conv!$J$20/10^6/VLOOKUP($B68,Types!$B$2:$D$13,3,FALSE)/Conv!$I$5</f>
        <v>13.562374307271364</v>
      </c>
      <c r="N68" s="67" t="e">
        <f>M68*#REF!</f>
        <v>#REF!</v>
      </c>
      <c r="O68" s="67" t="e">
        <f>N68*#REF!</f>
        <v>#REF!</v>
      </c>
      <c r="P68" s="67" t="e">
        <f>O68*#REF!</f>
        <v>#REF!</v>
      </c>
      <c r="Q68" s="67" t="e">
        <f>P68*#REF!</f>
        <v>#REF!</v>
      </c>
      <c r="R68" s="67" t="e">
        <f>Q68*#REF!</f>
        <v>#REF!</v>
      </c>
      <c r="S68" s="67" t="e">
        <f>R68*#REF!</f>
        <v>#REF!</v>
      </c>
      <c r="T68" s="67" t="e">
        <f>S68*#REF!</f>
        <v>#REF!</v>
      </c>
      <c r="U68" s="67" t="e">
        <f>T68*#REF!</f>
        <v>#REF!</v>
      </c>
      <c r="V68" s="67" t="e">
        <f>U68*#REF!</f>
        <v>#REF!</v>
      </c>
      <c r="W68" s="42"/>
      <c r="X68" s="9">
        <f t="array" ref="X68">SUMIFS('Agg prdcrv'!$D$6:$D$100,'Agg prdcrv'!$A$6:$A$100,'Imp Refined'!$A68,'Agg prdcrv'!$B$6:$B$100,X$11)</f>
        <v>21.38</v>
      </c>
      <c r="Y68" s="9">
        <f t="array" ref="Y68">SUMIFS('Agg prdcrv'!$D$6:$D$100,'Agg prdcrv'!$A$6:$A$100,'Imp Refined'!$A68,'Agg prdcrv'!$B$6:$B$100,Y$11)</f>
        <v>43.43</v>
      </c>
      <c r="Z68" s="9">
        <f t="array" ref="Z68">SUMIFS('Agg prdcrv'!$D$6:$D$100,'Agg prdcrv'!$A$6:$A$100,'Imp Refined'!$A68,'Agg prdcrv'!$B$6:$B$100,Z$11)</f>
        <v>51.58</v>
      </c>
      <c r="AA68" s="9">
        <f t="array" ref="AA68">SUMIFS('Agg prdcrv'!$D$6:$D$100,'Agg prdcrv'!$A$6:$A$100,'Imp Refined'!$A68,'Agg prdcrv'!$B$6:$B$100,AA$11)</f>
        <v>61.26</v>
      </c>
      <c r="AB68" s="42">
        <f>X68*VLOOKUP($B68,Types!$B$2:$D$13,3,FALSE)*Conv!$I$5*1000*365</f>
        <v>47.959208454439988</v>
      </c>
      <c r="AC68" s="42">
        <f>Y68*VLOOKUP($B68,Types!$B$2:$D$13,3,FALSE)*Conv!$I$5*1000*365</f>
        <v>97.421348137339976</v>
      </c>
      <c r="AD68" s="42">
        <f>Z68*VLOOKUP($B68,Types!$B$2:$D$13,3,FALSE)*Conv!$I$5*1000*365</f>
        <v>115.70327278204</v>
      </c>
      <c r="AE68" s="42">
        <f>AA68*VLOOKUP($B68,Types!$B$2:$D$13,3,FALSE)*Conv!$I$5*1000*365</f>
        <v>137.41726426187998</v>
      </c>
      <c r="AF68" s="42">
        <f>AB68-AB70</f>
        <v>4.7959208454439874</v>
      </c>
      <c r="AG68" s="42">
        <f t="shared" ref="AG68" si="286">AC68-AC70</f>
        <v>9.7421348137339834</v>
      </c>
      <c r="AH68" s="42">
        <f t="shared" ref="AH68" si="287">AD68-AD70</f>
        <v>11.570327278204033</v>
      </c>
      <c r="AI68" s="42">
        <f t="shared" ref="AI68" si="288">AE68-AE70</f>
        <v>13.741726426187981</v>
      </c>
      <c r="AJ68" s="42"/>
      <c r="AK68" s="42"/>
      <c r="AL68" s="42"/>
    </row>
    <row r="69" spans="1:38">
      <c r="A69" s="9" t="str">
        <f>A68</f>
        <v>ULS Diesel (15 ppm)</v>
      </c>
      <c r="B69" s="9" t="str">
        <f>VLOOKUP($A69,Types!$A$2:$C$13,2,FALSE)</f>
        <v>DSU</v>
      </c>
      <c r="C69" s="9">
        <v>1</v>
      </c>
      <c r="D69" s="9">
        <v>1</v>
      </c>
      <c r="E69" s="9" t="str">
        <f t="shared" si="162"/>
        <v>IMPDSUP11</v>
      </c>
      <c r="F69" s="9" t="str">
        <f>CONCATENATE("Imported ",VLOOKUP($A69,Types!$A$2:$C$13,3,FALSE),", PADD ",D69,", Step ",RIGHT(C69,1))</f>
        <v>Imported Distillate-Ultralow Sulfur Highway Diesel (15 ppm), PADD 1, Step 1</v>
      </c>
      <c r="G69" s="9" t="str">
        <f>CONCATENATE(VLOOKUP($A69,Types!$A$2:$C$13,2,FALSE),"P",D69)</f>
        <v>DSUP1</v>
      </c>
      <c r="H69" s="66">
        <f>H68*$C$5</f>
        <v>60.118850000000002</v>
      </c>
      <c r="I69" s="66">
        <f t="shared" ref="I69" si="289">I68*$C$5</f>
        <v>51.6021</v>
      </c>
      <c r="J69" s="66">
        <f t="shared" ref="J69" si="290">J68*$C$5</f>
        <v>39.358499999999999</v>
      </c>
      <c r="K69" s="66">
        <f t="shared" ref="K69" si="291">K68*$C$5</f>
        <v>42.569499999999998</v>
      </c>
      <c r="L69" s="67">
        <f>H69*Conv!$J$20/10^6/VLOOKUP($B69,Types!$B$2:$D$13,3,FALSE)/Conv!$I$5</f>
        <v>15.010757881783222</v>
      </c>
      <c r="M69" s="67">
        <f>I69*Conv!$J$20/10^6/VLOOKUP($B69,Types!$B$2:$D$13,3,FALSE)/Conv!$I$5</f>
        <v>12.884255591907797</v>
      </c>
      <c r="N69" s="67" t="e">
        <f>M69*#REF!</f>
        <v>#REF!</v>
      </c>
      <c r="O69" s="67" t="e">
        <f>N69*#REF!</f>
        <v>#REF!</v>
      </c>
      <c r="P69" s="67" t="e">
        <f>O69*#REF!</f>
        <v>#REF!</v>
      </c>
      <c r="Q69" s="67" t="e">
        <f>P69*#REF!</f>
        <v>#REF!</v>
      </c>
      <c r="R69" s="67" t="e">
        <f>Q69*#REF!</f>
        <v>#REF!</v>
      </c>
      <c r="S69" s="67" t="e">
        <f>R69*#REF!</f>
        <v>#REF!</v>
      </c>
      <c r="T69" s="67" t="e">
        <f>S69*#REF!</f>
        <v>#REF!</v>
      </c>
      <c r="U69" s="67" t="e">
        <f>T69*#REF!</f>
        <v>#REF!</v>
      </c>
      <c r="V69" s="67" t="e">
        <f>U69*#REF!</f>
        <v>#REF!</v>
      </c>
      <c r="W69" s="42"/>
      <c r="X69" s="9">
        <f>X68*$E$5</f>
        <v>17.103999999999999</v>
      </c>
      <c r="Y69" s="9">
        <f t="shared" ref="Y69" si="292">Y68*$E$5</f>
        <v>34.744</v>
      </c>
      <c r="Z69" s="9">
        <f t="shared" ref="Z69" si="293">Z68*$E$5</f>
        <v>41.264000000000003</v>
      </c>
      <c r="AA69" s="9">
        <f t="shared" ref="AA69" si="294">AA68*$E$5</f>
        <v>49.008000000000003</v>
      </c>
      <c r="AB69" s="42">
        <f>X69*VLOOKUP($B69,Types!$B$2:$D$13,3,FALSE)*Conv!$I$5*1000*365</f>
        <v>38.367366763551992</v>
      </c>
      <c r="AC69" s="42">
        <f>Y69*VLOOKUP($B69,Types!$B$2:$D$13,3,FALSE)*Conv!$I$5*1000*365</f>
        <v>77.937078509871995</v>
      </c>
      <c r="AD69" s="42">
        <f>Z69*VLOOKUP($B69,Types!$B$2:$D$13,3,FALSE)*Conv!$I$5*1000*365</f>
        <v>92.562618225632008</v>
      </c>
      <c r="AE69" s="42">
        <f>AA69*VLOOKUP($B69,Types!$B$2:$D$13,3,FALSE)*Conv!$I$5*1000*365</f>
        <v>109.93381140950399</v>
      </c>
      <c r="AF69" s="42">
        <f>AB69</f>
        <v>38.367366763551992</v>
      </c>
      <c r="AG69" s="42">
        <f t="shared" ref="AG69" si="295">AC69</f>
        <v>77.937078509871995</v>
      </c>
      <c r="AH69" s="42">
        <f t="shared" ref="AH69" si="296">AD69</f>
        <v>92.562618225632008</v>
      </c>
      <c r="AI69" s="42">
        <f t="shared" ref="AI69" si="297">AE69</f>
        <v>109.93381140950399</v>
      </c>
      <c r="AJ69" s="42"/>
      <c r="AK69" s="42"/>
      <c r="AL69" s="42"/>
    </row>
    <row r="70" spans="1:38">
      <c r="A70" s="9" t="str">
        <f>A69</f>
        <v>ULS Diesel (15 ppm)</v>
      </c>
      <c r="B70" s="9" t="str">
        <f>VLOOKUP($A70,Types!$A$2:$C$13,2,FALSE)</f>
        <v>DSU</v>
      </c>
      <c r="C70" s="9">
        <v>2</v>
      </c>
      <c r="D70" s="9">
        <v>1</v>
      </c>
      <c r="E70" s="9" t="str">
        <f t="shared" si="162"/>
        <v>IMPDSUP12</v>
      </c>
      <c r="F70" s="9" t="str">
        <f>CONCATENATE("Imported ",VLOOKUP($A70,Types!$A$2:$C$13,3,FALSE),", PADD ",D70,", Step ",RIGHT(C70,1))</f>
        <v>Imported Distillate-Ultralow Sulfur Highway Diesel (15 ppm), PADD 1, Step 2</v>
      </c>
      <c r="G70" s="9" t="str">
        <f>CONCATENATE(VLOOKUP($A70,Types!$A$2:$C$13,2,FALSE),"P",D70)</f>
        <v>DSUP1</v>
      </c>
      <c r="H70" s="66">
        <f>H68*$C$6</f>
        <v>62.017340000000004</v>
      </c>
      <c r="I70" s="66">
        <f t="shared" ref="I70:K70" si="298">I68*$C$6</f>
        <v>53.231640000000006</v>
      </c>
      <c r="J70" s="66">
        <f t="shared" si="298"/>
        <v>40.601399999999998</v>
      </c>
      <c r="K70" s="66">
        <f t="shared" si="298"/>
        <v>43.913800000000002</v>
      </c>
      <c r="L70" s="67">
        <f>H70*Conv!$J$20/10^6/VLOOKUP($B70,Types!$B$2:$D$13,3,FALSE)/Conv!$I$5</f>
        <v>15.484781814892168</v>
      </c>
      <c r="M70" s="67">
        <f>I70*Conv!$J$20/10^6/VLOOKUP($B70,Types!$B$2:$D$13,3,FALSE)/Conv!$I$5</f>
        <v>13.291126821125939</v>
      </c>
      <c r="N70" s="67" t="e">
        <f>M70*#REF!</f>
        <v>#REF!</v>
      </c>
      <c r="O70" s="67" t="e">
        <f>N70*#REF!</f>
        <v>#REF!</v>
      </c>
      <c r="P70" s="67" t="e">
        <f>O70*#REF!</f>
        <v>#REF!</v>
      </c>
      <c r="Q70" s="67" t="e">
        <f>P70*#REF!</f>
        <v>#REF!</v>
      </c>
      <c r="R70" s="67" t="e">
        <f>Q70*#REF!</f>
        <v>#REF!</v>
      </c>
      <c r="S70" s="67" t="e">
        <f>R70*#REF!</f>
        <v>#REF!</v>
      </c>
      <c r="T70" s="67" t="e">
        <f>S70*#REF!</f>
        <v>#REF!</v>
      </c>
      <c r="U70" s="67" t="e">
        <f>T70*#REF!</f>
        <v>#REF!</v>
      </c>
      <c r="V70" s="67" t="e">
        <f>U70*#REF!</f>
        <v>#REF!</v>
      </c>
      <c r="W70" s="42"/>
      <c r="X70" s="9">
        <f>X68*$E$6</f>
        <v>19.242000000000001</v>
      </c>
      <c r="Y70" s="9">
        <f t="shared" ref="Y70:AA70" si="299">Y68*$E$6</f>
        <v>39.087000000000003</v>
      </c>
      <c r="Z70" s="9">
        <f t="shared" si="299"/>
        <v>46.421999999999997</v>
      </c>
      <c r="AA70" s="9">
        <f t="shared" si="299"/>
        <v>55.134</v>
      </c>
      <c r="AB70" s="42">
        <f>X70*VLOOKUP($B70,Types!$B$2:$D$13,3,FALSE)*Conv!$I$5*1000*365</f>
        <v>43.163287608996001</v>
      </c>
      <c r="AC70" s="42">
        <f>Y70*VLOOKUP($B70,Types!$B$2:$D$13,3,FALSE)*Conv!$I$5*1000*365</f>
        <v>87.679213323605993</v>
      </c>
      <c r="AD70" s="42">
        <f>Z70*VLOOKUP($B70,Types!$B$2:$D$13,3,FALSE)*Conv!$I$5*1000*365</f>
        <v>104.13294550383597</v>
      </c>
      <c r="AE70" s="42">
        <f>AA70*VLOOKUP($B70,Types!$B$2:$D$13,3,FALSE)*Conv!$I$5*1000*365</f>
        <v>123.675537835692</v>
      </c>
      <c r="AF70" s="42">
        <f>AB70-AF69</f>
        <v>4.7959208454440088</v>
      </c>
      <c r="AG70" s="42">
        <f t="shared" ref="AG70" si="300">AC70-AG69</f>
        <v>9.7421348137339976</v>
      </c>
      <c r="AH70" s="42">
        <f t="shared" ref="AH70" si="301">AD70-AH69</f>
        <v>11.570327278203962</v>
      </c>
      <c r="AI70" s="42">
        <f t="shared" ref="AI70" si="302">AE70-AI69</f>
        <v>13.741726426188009</v>
      </c>
      <c r="AJ70" s="42"/>
      <c r="AK70" s="42"/>
      <c r="AL70" s="42"/>
    </row>
    <row r="71" spans="1:38">
      <c r="A71" s="9" t="str">
        <f>A70</f>
        <v>ULS Diesel (15 ppm)</v>
      </c>
      <c r="B71" s="9" t="str">
        <f>VLOOKUP($A71,Types!$A$2:$C$13,2,FALSE)</f>
        <v>DSU</v>
      </c>
      <c r="C71" s="9">
        <v>4</v>
      </c>
      <c r="D71" s="9">
        <v>1</v>
      </c>
      <c r="E71" s="9" t="str">
        <f t="shared" si="162"/>
        <v>IMPDSUP14</v>
      </c>
      <c r="F71" s="9" t="str">
        <f>CONCATENATE("Imported ",VLOOKUP($A71,Types!$A$2:$C$13,3,FALSE),", PADD ",D71,", Step ",RIGHT(C71,1))</f>
        <v>Imported Distillate-Ultralow Sulfur Highway Diesel (15 ppm), PADD 1, Step 4</v>
      </c>
      <c r="G71" s="9" t="str">
        <f>CONCATENATE(VLOOKUP($A71,Types!$A$2:$C$13,2,FALSE),"P",D71)</f>
        <v>DSUP1</v>
      </c>
      <c r="H71" s="66">
        <f>H68*$C$8</f>
        <v>68.978470000000016</v>
      </c>
      <c r="I71" s="66">
        <f t="shared" ref="I71:K71" si="303">I68*$C$8</f>
        <v>59.206620000000008</v>
      </c>
      <c r="J71" s="66">
        <f t="shared" si="303"/>
        <v>45.158700000000003</v>
      </c>
      <c r="K71" s="66">
        <f t="shared" si="303"/>
        <v>48.842900000000007</v>
      </c>
      <c r="L71" s="67">
        <f>H71*Conv!$J$20/10^6/VLOOKUP($B71,Types!$B$2:$D$13,3,FALSE)/Conv!$I$5</f>
        <v>17.222869569624965</v>
      </c>
      <c r="M71" s="67">
        <f>I71*Conv!$J$20/10^6/VLOOKUP($B71,Types!$B$2:$D$13,3,FALSE)/Conv!$I$5</f>
        <v>14.782987994925788</v>
      </c>
      <c r="N71" s="67" t="e">
        <f>M71*#REF!</f>
        <v>#REF!</v>
      </c>
      <c r="O71" s="67" t="e">
        <f>N71*#REF!</f>
        <v>#REF!</v>
      </c>
      <c r="P71" s="67" t="e">
        <f>O71*#REF!</f>
        <v>#REF!</v>
      </c>
      <c r="Q71" s="67" t="e">
        <f>P71*#REF!</f>
        <v>#REF!</v>
      </c>
      <c r="R71" s="67" t="e">
        <f>Q71*#REF!</f>
        <v>#REF!</v>
      </c>
      <c r="S71" s="67" t="e">
        <f>R71*#REF!</f>
        <v>#REF!</v>
      </c>
      <c r="T71" s="67" t="e">
        <f>S71*#REF!</f>
        <v>#REF!</v>
      </c>
      <c r="U71" s="67" t="e">
        <f>T71*#REF!</f>
        <v>#REF!</v>
      </c>
      <c r="V71" s="67" t="e">
        <f>U71*#REF!</f>
        <v>#REF!</v>
      </c>
      <c r="W71" s="42"/>
      <c r="X71" s="9">
        <f>X68*$E$8</f>
        <v>25.655999999999999</v>
      </c>
      <c r="Y71" s="9">
        <f t="shared" ref="Y71:AA71" si="304">Y68*$E$8</f>
        <v>52.116</v>
      </c>
      <c r="Z71" s="9">
        <f t="shared" si="304"/>
        <v>61.895999999999994</v>
      </c>
      <c r="AA71" s="9">
        <f t="shared" si="304"/>
        <v>73.512</v>
      </c>
      <c r="AB71" s="42">
        <f>X71*VLOOKUP($B71,Types!$B$2:$D$13,3,FALSE)*Conv!$I$5*1000*365</f>
        <v>57.551050145327999</v>
      </c>
      <c r="AC71" s="42">
        <f>Y71*VLOOKUP($B71,Types!$B$2:$D$13,3,FALSE)*Conv!$I$5*1000*365</f>
        <v>116.90561776480799</v>
      </c>
      <c r="AD71" s="42">
        <f>Z71*VLOOKUP($B71,Types!$B$2:$D$13,3,FALSE)*Conv!$I$5*1000*365</f>
        <v>138.843927338448</v>
      </c>
      <c r="AE71" s="42">
        <f>AA71*VLOOKUP($B71,Types!$B$2:$D$13,3,FALSE)*Conv!$I$5*1000*365</f>
        <v>164.900717114256</v>
      </c>
      <c r="AF71" s="42">
        <f>AB71-AB68</f>
        <v>9.5918416908880104</v>
      </c>
      <c r="AG71" s="42">
        <f t="shared" ref="AG71" si="305">AC71-AC68</f>
        <v>19.484269627468009</v>
      </c>
      <c r="AH71" s="42">
        <f t="shared" ref="AH71" si="306">AD71-AD68</f>
        <v>23.140654556407995</v>
      </c>
      <c r="AI71" s="42">
        <f t="shared" ref="AI71" si="307">AE71-AE68</f>
        <v>27.483452852376018</v>
      </c>
      <c r="AJ71" s="42"/>
      <c r="AK71" s="42"/>
      <c r="AL71" s="42"/>
    </row>
    <row r="72" spans="1:38">
      <c r="A72" s="9" t="str">
        <f>A71</f>
        <v>ULS Diesel (15 ppm)</v>
      </c>
      <c r="B72" s="9" t="str">
        <f>VLOOKUP($A72,Types!$A$2:$C$13,2,FALSE)</f>
        <v>DSU</v>
      </c>
      <c r="C72" s="9">
        <v>5</v>
      </c>
      <c r="D72" s="9">
        <v>1</v>
      </c>
      <c r="E72" s="9" t="str">
        <f t="shared" si="162"/>
        <v>IMPDSUP15</v>
      </c>
      <c r="F72" s="9" t="str">
        <f>CONCATENATE("Imported ",VLOOKUP($A72,Types!$A$2:$C$13,3,FALSE),", PADD ",D72,", Step ",RIGHT(C72,1))</f>
        <v>Imported Distillate-Ultralow Sulfur Highway Diesel (15 ppm), PADD 1, Step 5</v>
      </c>
      <c r="G72" s="9" t="str">
        <f>CONCATENATE(VLOOKUP($A72,Types!$A$2:$C$13,2,FALSE),"P",D72)</f>
        <v>DSUP1</v>
      </c>
      <c r="H72" s="66">
        <f>H68*$C$9</f>
        <v>82.267900000000012</v>
      </c>
      <c r="I72" s="66">
        <f t="shared" ref="I72:K72" si="308">I68*$C$9</f>
        <v>70.613400000000013</v>
      </c>
      <c r="J72" s="66">
        <f t="shared" si="308"/>
        <v>53.859000000000002</v>
      </c>
      <c r="K72" s="66">
        <f t="shared" si="308"/>
        <v>58.253000000000007</v>
      </c>
      <c r="L72" s="67">
        <f>H72*Conv!$J$20/10^6/VLOOKUP($B72,Types!$B$2:$D$13,3,FALSE)/Conv!$I$5</f>
        <v>20.54103710138757</v>
      </c>
      <c r="M72" s="67">
        <f>I72*Conv!$J$20/10^6/VLOOKUP($B72,Types!$B$2:$D$13,3,FALSE)/Conv!$I$5</f>
        <v>17.631086599452779</v>
      </c>
      <c r="N72" s="67" t="e">
        <f>M72*#REF!</f>
        <v>#REF!</v>
      </c>
      <c r="O72" s="67" t="e">
        <f>N72*#REF!</f>
        <v>#REF!</v>
      </c>
      <c r="P72" s="67" t="e">
        <f>O72*#REF!</f>
        <v>#REF!</v>
      </c>
      <c r="Q72" s="67" t="e">
        <f>P72*#REF!</f>
        <v>#REF!</v>
      </c>
      <c r="R72" s="67" t="e">
        <f>Q72*#REF!</f>
        <v>#REF!</v>
      </c>
      <c r="S72" s="67" t="e">
        <f>R72*#REF!</f>
        <v>#REF!</v>
      </c>
      <c r="T72" s="67" t="e">
        <f>S72*#REF!</f>
        <v>#REF!</v>
      </c>
      <c r="U72" s="67" t="e">
        <f>T72*#REF!</f>
        <v>#REF!</v>
      </c>
      <c r="V72" s="67" t="e">
        <f>U72*#REF!</f>
        <v>#REF!</v>
      </c>
      <c r="W72" s="42"/>
      <c r="X72" s="9">
        <f>X68*$E$9</f>
        <v>42.76</v>
      </c>
      <c r="Y72" s="9">
        <f t="shared" ref="Y72:AA72" si="309">Y68*$E$9</f>
        <v>86.86</v>
      </c>
      <c r="Z72" s="9">
        <f t="shared" si="309"/>
        <v>103.16</v>
      </c>
      <c r="AA72" s="9">
        <f t="shared" si="309"/>
        <v>122.52</v>
      </c>
      <c r="AB72" s="42">
        <f>X72*VLOOKUP($B72,Types!$B$2:$D$13,3,FALSE)*Conv!$I$5*1000*365</f>
        <v>95.918416908879976</v>
      </c>
      <c r="AC72" s="42">
        <f>Y72*VLOOKUP($B72,Types!$B$2:$D$13,3,FALSE)*Conv!$I$5*1000*365</f>
        <v>194.84269627467995</v>
      </c>
      <c r="AD72" s="42">
        <f>Z72*VLOOKUP($B72,Types!$B$2:$D$13,3,FALSE)*Conv!$I$5*1000*365</f>
        <v>231.40654556408001</v>
      </c>
      <c r="AE72" s="42">
        <f>AA72*VLOOKUP($B72,Types!$B$2:$D$13,3,FALSE)*Conv!$I$5*1000*365</f>
        <v>274.83452852375996</v>
      </c>
      <c r="AF72" s="42">
        <f>AB72-AB71</f>
        <v>38.367366763551978</v>
      </c>
      <c r="AG72" s="42">
        <f t="shared" ref="AG72" si="310">AC72-AC71</f>
        <v>77.937078509871967</v>
      </c>
      <c r="AH72" s="42">
        <f t="shared" ref="AH72" si="311">AD72-AD71</f>
        <v>92.562618225632008</v>
      </c>
      <c r="AI72" s="42">
        <f t="shared" ref="AI72" si="312">AE72-AE71</f>
        <v>109.93381140950396</v>
      </c>
      <c r="AJ72" s="42"/>
      <c r="AK72" s="42"/>
      <c r="AL72" s="42"/>
    </row>
    <row r="73" spans="1:38">
      <c r="A73" s="9" t="s">
        <v>398</v>
      </c>
      <c r="H73" s="66"/>
      <c r="I73" s="66"/>
      <c r="J73" s="66"/>
      <c r="K73" s="66"/>
      <c r="L73" s="67"/>
      <c r="M73" s="67"/>
      <c r="N73" s="67"/>
      <c r="O73" s="67"/>
      <c r="P73" s="67"/>
      <c r="Q73" s="67"/>
      <c r="R73" s="67"/>
      <c r="S73" s="67"/>
      <c r="T73" s="67"/>
      <c r="U73" s="67"/>
      <c r="V73" s="67"/>
      <c r="W73" s="42"/>
      <c r="AB73" s="42"/>
      <c r="AC73" s="42"/>
      <c r="AD73" s="42"/>
      <c r="AE73" s="42"/>
      <c r="AF73" s="42"/>
      <c r="AG73" s="42"/>
      <c r="AH73" s="42"/>
      <c r="AI73" s="42"/>
      <c r="AJ73" s="42"/>
      <c r="AK73" s="42"/>
      <c r="AL73" s="42"/>
    </row>
    <row r="74" spans="1:38" s="10" customFormat="1">
      <c r="A74" s="10" t="s">
        <v>527</v>
      </c>
      <c r="H74" s="63"/>
      <c r="I74" s="63"/>
      <c r="J74" s="63"/>
      <c r="K74" s="63"/>
      <c r="L74" s="64"/>
      <c r="M74" s="64"/>
      <c r="N74" s="64"/>
      <c r="O74" s="64"/>
      <c r="P74" s="64"/>
      <c r="Q74" s="64"/>
      <c r="R74" s="64"/>
      <c r="S74" s="64"/>
      <c r="T74" s="64"/>
      <c r="U74" s="64"/>
      <c r="V74" s="64"/>
    </row>
    <row r="75" spans="1:38">
      <c r="A75" s="9" t="str">
        <f>'Agg prdcrv'!$A$6</f>
        <v>Reformulated Mogas</v>
      </c>
      <c r="B75" s="9" t="str">
        <f>VLOOKUP($A75,Types!$A$2:$C$13,2,FALSE)</f>
        <v>GSR</v>
      </c>
      <c r="C75" s="9">
        <v>3</v>
      </c>
      <c r="D75" s="9">
        <v>2</v>
      </c>
      <c r="E75" s="9" t="str">
        <f t="shared" ref="E75:E118" si="313">CONCATENATE("IMP",G75,RIGHT(C75,1))</f>
        <v>IMPGSRP23</v>
      </c>
      <c r="F75" s="9" t="str">
        <f>CONCATENATE("Imported ",VLOOKUP($A75,Types!$A$2:$C$13,3,FALSE),", PADD ",D75,", Step ",RIGHT(C75,1))</f>
        <v>Imported Reformulated Gasoline, PADD 2, Step 3</v>
      </c>
      <c r="G75" s="9" t="str">
        <f>CONCATENATE(VLOOKUP($A75,Types!$A$2:$C$13,2,FALSE),"P",D75)</f>
        <v>GSRP2</v>
      </c>
      <c r="H75" s="66">
        <f>SUMIFS('Agg prdcrv'!$M$6:$M$100,'Agg prdcrv'!$A$6:$A$100,'Imp Refined'!$A75,'Agg prdcrv'!$B$6:$B$100,H$11)*K4</f>
        <v>69.311000000000007</v>
      </c>
      <c r="I75" s="66">
        <f>SUMIFS('Agg prdcrv'!$M$6:$M$100,'Agg prdcrv'!$A$6:$A$100,'Imp Refined'!$A75,'Agg prdcrv'!$B$6:$B$100,I$11)*K4</f>
        <v>124.85000000000001</v>
      </c>
      <c r="J75" s="66">
        <f t="array" ref="J75">SUMIFS('Agg prdcrv'!$M$6:$M$100,'Agg prdcrv'!$A$6:$A$100,'Imp Refined'!$A75,'Agg prdcrv'!$B$6:$B$100,J$11)</f>
        <v>113.5</v>
      </c>
      <c r="K75" s="66">
        <f t="array" ref="K75">SUMIFS('Agg prdcrv'!$M$6:$M$100,'Agg prdcrv'!$A$6:$A$100,'Imp Refined'!$A75,'Agg prdcrv'!$B$6:$B$100,K$11)</f>
        <v>113.5</v>
      </c>
      <c r="L75" s="67">
        <f>H75*Conv!$J$20/10^6/VLOOKUP($B75,Types!$B$2:$D$13,3,FALSE)/Conv!$I$5</f>
        <v>19.574145893405639</v>
      </c>
      <c r="M75" s="67">
        <f>I75*Conv!$J$20/10^6/VLOOKUP($B75,Types!$B$2:$D$13,3,FALSE)/Conv!$I$5</f>
        <v>35.258936024465008</v>
      </c>
      <c r="N75" s="67" t="e">
        <f>M75*#REF!</f>
        <v>#REF!</v>
      </c>
      <c r="O75" s="67" t="e">
        <f>N75*#REF!</f>
        <v>#REF!</v>
      </c>
      <c r="P75" s="67" t="e">
        <f>O75*#REF!</f>
        <v>#REF!</v>
      </c>
      <c r="Q75" s="67" t="e">
        <f>P75*#REF!</f>
        <v>#REF!</v>
      </c>
      <c r="R75" s="67" t="e">
        <f>Q75*#REF!</f>
        <v>#REF!</v>
      </c>
      <c r="S75" s="67" t="e">
        <f>R75*#REF!</f>
        <v>#REF!</v>
      </c>
      <c r="T75" s="67" t="e">
        <f>S75*#REF!</f>
        <v>#REF!</v>
      </c>
      <c r="U75" s="67" t="e">
        <f>T75*#REF!</f>
        <v>#REF!</v>
      </c>
      <c r="V75" s="67" t="e">
        <f>U75*#REF!</f>
        <v>#REF!</v>
      </c>
      <c r="W75" s="42"/>
      <c r="X75" s="9">
        <f t="array" ref="X75">SUMIFS('Agg prdcrv'!$E$6:$E$100,'Agg prdcrv'!$A$6:$A$100,'Imp Refined'!$A75,'Agg prdcrv'!$B$6:$B$100,X$11)</f>
        <v>0</v>
      </c>
      <c r="Y75" s="9">
        <f t="array" ref="Y75">SUMIFS('Agg prdcrv'!$E$6:$E$100,'Agg prdcrv'!$A$6:$A$100,'Imp Refined'!$A75,'Agg prdcrv'!$B$6:$B$100,Y$11)</f>
        <v>0</v>
      </c>
      <c r="Z75" s="9">
        <f t="array" ref="Z75">SUMIFS('Agg prdcrv'!$E$6:$E$100,'Agg prdcrv'!$A$6:$A$100,'Imp Refined'!$A75,'Agg prdcrv'!$B$6:$B$100,Z$11)</f>
        <v>0</v>
      </c>
      <c r="AA75" s="9">
        <f t="array" ref="AA75">SUMIFS('Agg prdcrv'!$E$6:$E$100,'Agg prdcrv'!$A$6:$A$100,'Imp Refined'!$A75,'Agg prdcrv'!$B$6:$B$100,AA$11)</f>
        <v>0</v>
      </c>
      <c r="AB75" s="42">
        <f>X75*VLOOKUP($B75,Types!$B$2:$D$13,3,FALSE)*Conv!$I$5*1000*365</f>
        <v>0</v>
      </c>
      <c r="AC75" s="42">
        <f>Y75*VLOOKUP($B75,Types!$B$2:$D$13,3,FALSE)*Conv!$I$5*1000*365</f>
        <v>0</v>
      </c>
      <c r="AD75" s="42">
        <f>Z75*VLOOKUP($B75,Types!$B$2:$D$13,3,FALSE)*Conv!$I$5*1000*365</f>
        <v>0</v>
      </c>
      <c r="AE75" s="42">
        <f>AA75*VLOOKUP($B75,Types!$B$2:$D$13,3,FALSE)*Conv!$I$5*1000*365</f>
        <v>0</v>
      </c>
      <c r="AF75" s="42">
        <f>AB75-AB77</f>
        <v>0</v>
      </c>
      <c r="AG75" s="42">
        <f t="shared" ref="AG75" si="314">AC75-AC77</f>
        <v>0</v>
      </c>
      <c r="AH75" s="42">
        <f t="shared" ref="AH75" si="315">AD75-AD77</f>
        <v>0</v>
      </c>
      <c r="AI75" s="42">
        <f t="shared" ref="AI75" si="316">AE75-AE77</f>
        <v>0</v>
      </c>
      <c r="AJ75" s="42"/>
      <c r="AK75" s="42"/>
      <c r="AL75" s="42"/>
    </row>
    <row r="76" spans="1:38">
      <c r="A76" s="9" t="str">
        <f>A75</f>
        <v>Reformulated Mogas</v>
      </c>
      <c r="B76" s="9" t="str">
        <f>VLOOKUP($A76,Types!$A$2:$C$13,2,FALSE)</f>
        <v>GSR</v>
      </c>
      <c r="C76" s="9">
        <v>1</v>
      </c>
      <c r="D76" s="9">
        <v>2</v>
      </c>
      <c r="E76" s="9" t="str">
        <f t="shared" si="313"/>
        <v>IMPGSRP21</v>
      </c>
      <c r="F76" s="9" t="str">
        <f>CONCATENATE("Imported ",VLOOKUP($A76,Types!$A$2:$C$13,3,FALSE),", PADD ",D76,", Step ",RIGHT(C76,1))</f>
        <v>Imported Reformulated Gasoline, PADD 2, Step 1</v>
      </c>
      <c r="G76" s="9" t="str">
        <f>CONCATENATE(VLOOKUP($A76,Types!$A$2:$C$13,2,FALSE),"P",D76)</f>
        <v>GSRP2</v>
      </c>
      <c r="H76" s="66">
        <f>H75*$C$5</f>
        <v>65.84545</v>
      </c>
      <c r="I76" s="66">
        <f t="shared" ref="I76" si="317">I75*$C$5</f>
        <v>118.6075</v>
      </c>
      <c r="J76" s="66">
        <f t="shared" ref="J76" si="318">J75*$C$5</f>
        <v>107.82499999999999</v>
      </c>
      <c r="K76" s="66">
        <f t="shared" ref="K76" si="319">K75*$C$5</f>
        <v>107.82499999999999</v>
      </c>
      <c r="L76" s="67">
        <f>H76*Conv!$J$20/10^6/VLOOKUP($B76,Types!$B$2:$D$13,3,FALSE)/Conv!$I$5</f>
        <v>18.595438598735356</v>
      </c>
      <c r="M76" s="67">
        <f>I76*Conv!$J$20/10^6/VLOOKUP($B76,Types!$B$2:$D$13,3,FALSE)/Conv!$I$5</f>
        <v>33.495989223241757</v>
      </c>
      <c r="N76" s="67" t="e">
        <f>M76*#REF!</f>
        <v>#REF!</v>
      </c>
      <c r="O76" s="67" t="e">
        <f>N76*#REF!</f>
        <v>#REF!</v>
      </c>
      <c r="P76" s="67" t="e">
        <f>O76*#REF!</f>
        <v>#REF!</v>
      </c>
      <c r="Q76" s="67" t="e">
        <f>P76*#REF!</f>
        <v>#REF!</v>
      </c>
      <c r="R76" s="67" t="e">
        <f>Q76*#REF!</f>
        <v>#REF!</v>
      </c>
      <c r="S76" s="67" t="e">
        <f>R76*#REF!</f>
        <v>#REF!</v>
      </c>
      <c r="T76" s="67" t="e">
        <f>S76*#REF!</f>
        <v>#REF!</v>
      </c>
      <c r="U76" s="67" t="e">
        <f>T76*#REF!</f>
        <v>#REF!</v>
      </c>
      <c r="V76" s="67" t="e">
        <f>U76*#REF!</f>
        <v>#REF!</v>
      </c>
      <c r="W76" s="42"/>
      <c r="X76" s="9">
        <f>X75*$E$5</f>
        <v>0</v>
      </c>
      <c r="Y76" s="9">
        <f t="shared" ref="Y76" si="320">Y75*$E$5</f>
        <v>0</v>
      </c>
      <c r="Z76" s="9">
        <f t="shared" ref="Z76" si="321">Z75*$E$5</f>
        <v>0</v>
      </c>
      <c r="AA76" s="9">
        <f t="shared" ref="AA76" si="322">AA75*$E$5</f>
        <v>0</v>
      </c>
      <c r="AB76" s="42">
        <f>X76*VLOOKUP($B76,Types!$B$2:$D$13,3,FALSE)*Conv!$I$5*1000*365</f>
        <v>0</v>
      </c>
      <c r="AC76" s="42">
        <f>Y76*VLOOKUP($B76,Types!$B$2:$D$13,3,FALSE)*Conv!$I$5*1000*365</f>
        <v>0</v>
      </c>
      <c r="AD76" s="42">
        <f>Z76*VLOOKUP($B76,Types!$B$2:$D$13,3,FALSE)*Conv!$I$5*1000*365</f>
        <v>0</v>
      </c>
      <c r="AE76" s="42">
        <f>AA76*VLOOKUP($B76,Types!$B$2:$D$13,3,FALSE)*Conv!$I$5*1000*365</f>
        <v>0</v>
      </c>
      <c r="AF76" s="42">
        <f>AB76</f>
        <v>0</v>
      </c>
      <c r="AG76" s="42">
        <f t="shared" ref="AG76" si="323">AC76</f>
        <v>0</v>
      </c>
      <c r="AH76" s="42">
        <f t="shared" ref="AH76" si="324">AD76</f>
        <v>0</v>
      </c>
      <c r="AI76" s="42">
        <f t="shared" ref="AI76" si="325">AE76</f>
        <v>0</v>
      </c>
      <c r="AJ76" s="42"/>
      <c r="AK76" s="42"/>
      <c r="AL76" s="42"/>
    </row>
    <row r="77" spans="1:38">
      <c r="A77" s="9" t="str">
        <f t="shared" ref="A77:A79" si="326">A76</f>
        <v>Reformulated Mogas</v>
      </c>
      <c r="B77" s="9" t="str">
        <f>VLOOKUP($A77,Types!$A$2:$C$13,2,FALSE)</f>
        <v>GSR</v>
      </c>
      <c r="C77" s="9">
        <v>2</v>
      </c>
      <c r="D77" s="9">
        <v>2</v>
      </c>
      <c r="E77" s="9" t="str">
        <f t="shared" si="313"/>
        <v>IMPGSRP22</v>
      </c>
      <c r="F77" s="9" t="str">
        <f>CONCATENATE("Imported ",VLOOKUP($A77,Types!$A$2:$C$13,3,FALSE),", PADD ",D77,", Step ",RIGHT(C77,1))</f>
        <v>Imported Reformulated Gasoline, PADD 2, Step 2</v>
      </c>
      <c r="G77" s="9" t="str">
        <f>CONCATENATE(VLOOKUP($A77,Types!$A$2:$C$13,2,FALSE),"P",D77)</f>
        <v>GSRP2</v>
      </c>
      <c r="H77" s="66">
        <f>H75*$C$6</f>
        <v>67.924780000000013</v>
      </c>
      <c r="I77" s="66">
        <f t="shared" ref="I77:K77" si="327">I75*$C$6</f>
        <v>122.35300000000001</v>
      </c>
      <c r="J77" s="66">
        <f t="shared" si="327"/>
        <v>111.23</v>
      </c>
      <c r="K77" s="66">
        <f t="shared" si="327"/>
        <v>111.23</v>
      </c>
      <c r="L77" s="67">
        <f>H77*Conv!$J$20/10^6/VLOOKUP($B77,Types!$B$2:$D$13,3,FALSE)/Conv!$I$5</f>
        <v>19.182662975537529</v>
      </c>
      <c r="M77" s="67">
        <f>I77*Conv!$J$20/10^6/VLOOKUP($B77,Types!$B$2:$D$13,3,FALSE)/Conv!$I$5</f>
        <v>34.553757303975701</v>
      </c>
      <c r="N77" s="67" t="e">
        <f>M77*#REF!</f>
        <v>#REF!</v>
      </c>
      <c r="O77" s="67" t="e">
        <f>N77*#REF!</f>
        <v>#REF!</v>
      </c>
      <c r="P77" s="67" t="e">
        <f>O77*#REF!</f>
        <v>#REF!</v>
      </c>
      <c r="Q77" s="67" t="e">
        <f>P77*#REF!</f>
        <v>#REF!</v>
      </c>
      <c r="R77" s="67" t="e">
        <f>Q77*#REF!</f>
        <v>#REF!</v>
      </c>
      <c r="S77" s="67" t="e">
        <f>R77*#REF!</f>
        <v>#REF!</v>
      </c>
      <c r="T77" s="67" t="e">
        <f>S77*#REF!</f>
        <v>#REF!</v>
      </c>
      <c r="U77" s="67" t="e">
        <f>T77*#REF!</f>
        <v>#REF!</v>
      </c>
      <c r="V77" s="67" t="e">
        <f>U77*#REF!</f>
        <v>#REF!</v>
      </c>
      <c r="W77" s="42"/>
      <c r="X77" s="9">
        <f>X75*$E$6</f>
        <v>0</v>
      </c>
      <c r="Y77" s="9">
        <f t="shared" ref="Y77:AA77" si="328">Y75*$E$6</f>
        <v>0</v>
      </c>
      <c r="Z77" s="9">
        <f t="shared" si="328"/>
        <v>0</v>
      </c>
      <c r="AA77" s="9">
        <f t="shared" si="328"/>
        <v>0</v>
      </c>
      <c r="AB77" s="42">
        <f>X77*VLOOKUP($B77,Types!$B$2:$D$13,3,FALSE)*Conv!$I$5*1000*365</f>
        <v>0</v>
      </c>
      <c r="AC77" s="42">
        <f>Y77*VLOOKUP($B77,Types!$B$2:$D$13,3,FALSE)*Conv!$I$5*1000*365</f>
        <v>0</v>
      </c>
      <c r="AD77" s="42">
        <f>Z77*VLOOKUP($B77,Types!$B$2:$D$13,3,FALSE)*Conv!$I$5*1000*365</f>
        <v>0</v>
      </c>
      <c r="AE77" s="42">
        <f>AA77*VLOOKUP($B77,Types!$B$2:$D$13,3,FALSE)*Conv!$I$5*1000*365</f>
        <v>0</v>
      </c>
      <c r="AF77" s="42">
        <f>AB77-AF76</f>
        <v>0</v>
      </c>
      <c r="AG77" s="42">
        <f t="shared" ref="AG77" si="329">AC77-AG76</f>
        <v>0</v>
      </c>
      <c r="AH77" s="42">
        <f t="shared" ref="AH77" si="330">AD77-AH76</f>
        <v>0</v>
      </c>
      <c r="AI77" s="42">
        <f t="shared" ref="AI77" si="331">AE77-AI76</f>
        <v>0</v>
      </c>
      <c r="AJ77" s="42"/>
      <c r="AK77" s="42"/>
      <c r="AL77" s="42"/>
    </row>
    <row r="78" spans="1:38">
      <c r="A78" s="9" t="str">
        <f t="shared" si="326"/>
        <v>Reformulated Mogas</v>
      </c>
      <c r="B78" s="9" t="str">
        <f>VLOOKUP($A78,Types!$A$2:$C$13,2,FALSE)</f>
        <v>GSR</v>
      </c>
      <c r="C78" s="9">
        <v>4</v>
      </c>
      <c r="D78" s="9">
        <v>2</v>
      </c>
      <c r="E78" s="9" t="str">
        <f t="shared" si="313"/>
        <v>IMPGSRP24</v>
      </c>
      <c r="F78" s="9" t="str">
        <f>CONCATENATE("Imported ",VLOOKUP($A78,Types!$A$2:$C$13,3,FALSE),", PADD ",D78,", Step ",RIGHT(C78,1))</f>
        <v>Imported Reformulated Gasoline, PADD 2, Step 4</v>
      </c>
      <c r="G78" s="9" t="str">
        <f>CONCATENATE(VLOOKUP($A78,Types!$A$2:$C$13,2,FALSE),"P",D78)</f>
        <v>GSRP2</v>
      </c>
      <c r="H78" s="66">
        <f>H75*$C$8</f>
        <v>75.548990000000018</v>
      </c>
      <c r="I78" s="66">
        <f t="shared" ref="I78:K78" si="332">I75*$C$8</f>
        <v>136.08650000000003</v>
      </c>
      <c r="J78" s="66">
        <f t="shared" si="332"/>
        <v>123.715</v>
      </c>
      <c r="K78" s="66">
        <f t="shared" si="332"/>
        <v>123.715</v>
      </c>
      <c r="L78" s="67">
        <f>H78*Conv!$J$20/10^6/VLOOKUP($B78,Types!$B$2:$D$13,3,FALSE)/Conv!$I$5</f>
        <v>21.335819023812149</v>
      </c>
      <c r="M78" s="67">
        <f>I78*Conv!$J$20/10^6/VLOOKUP($B78,Types!$B$2:$D$13,3,FALSE)/Conv!$I$5</f>
        <v>38.432240266666867</v>
      </c>
      <c r="N78" s="67" t="e">
        <f>M78*#REF!</f>
        <v>#REF!</v>
      </c>
      <c r="O78" s="67" t="e">
        <f>N78*#REF!</f>
        <v>#REF!</v>
      </c>
      <c r="P78" s="67" t="e">
        <f>O78*#REF!</f>
        <v>#REF!</v>
      </c>
      <c r="Q78" s="67" t="e">
        <f>P78*#REF!</f>
        <v>#REF!</v>
      </c>
      <c r="R78" s="67" t="e">
        <f>Q78*#REF!</f>
        <v>#REF!</v>
      </c>
      <c r="S78" s="67" t="e">
        <f>R78*#REF!</f>
        <v>#REF!</v>
      </c>
      <c r="T78" s="67" t="e">
        <f>S78*#REF!</f>
        <v>#REF!</v>
      </c>
      <c r="U78" s="67" t="e">
        <f>T78*#REF!</f>
        <v>#REF!</v>
      </c>
      <c r="V78" s="67" t="e">
        <f>U78*#REF!</f>
        <v>#REF!</v>
      </c>
      <c r="W78" s="42"/>
      <c r="X78" s="9">
        <f>X75*$E$8</f>
        <v>0</v>
      </c>
      <c r="Y78" s="9">
        <f t="shared" ref="Y78:AA78" si="333">Y75*$E$8</f>
        <v>0</v>
      </c>
      <c r="Z78" s="9">
        <f t="shared" si="333"/>
        <v>0</v>
      </c>
      <c r="AA78" s="9">
        <f t="shared" si="333"/>
        <v>0</v>
      </c>
      <c r="AB78" s="42">
        <f>X78*VLOOKUP($B78,Types!$B$2:$D$13,3,FALSE)*Conv!$I$5*1000*365</f>
        <v>0</v>
      </c>
      <c r="AC78" s="42">
        <f>Y78*VLOOKUP($B78,Types!$B$2:$D$13,3,FALSE)*Conv!$I$5*1000*365</f>
        <v>0</v>
      </c>
      <c r="AD78" s="42">
        <f>Z78*VLOOKUP($B78,Types!$B$2:$D$13,3,FALSE)*Conv!$I$5*1000*365</f>
        <v>0</v>
      </c>
      <c r="AE78" s="42">
        <f>AA78*VLOOKUP($B78,Types!$B$2:$D$13,3,FALSE)*Conv!$I$5*1000*365</f>
        <v>0</v>
      </c>
      <c r="AF78" s="42">
        <f>AB78-AB75</f>
        <v>0</v>
      </c>
      <c r="AG78" s="42">
        <f t="shared" ref="AG78" si="334">AC78-AC75</f>
        <v>0</v>
      </c>
      <c r="AH78" s="42">
        <f t="shared" ref="AH78" si="335">AD78-AD75</f>
        <v>0</v>
      </c>
      <c r="AI78" s="42">
        <f t="shared" ref="AI78" si="336">AE78-AE75</f>
        <v>0</v>
      </c>
      <c r="AJ78" s="42"/>
      <c r="AK78" s="42"/>
      <c r="AL78" s="42"/>
    </row>
    <row r="79" spans="1:38">
      <c r="A79" s="9" t="str">
        <f t="shared" si="326"/>
        <v>Reformulated Mogas</v>
      </c>
      <c r="B79" s="9" t="str">
        <f>VLOOKUP($A79,Types!$A$2:$C$13,2,FALSE)</f>
        <v>GSR</v>
      </c>
      <c r="C79" s="9">
        <v>5</v>
      </c>
      <c r="D79" s="9">
        <v>2</v>
      </c>
      <c r="E79" s="9" t="str">
        <f t="shared" si="313"/>
        <v>IMPGSRP25</v>
      </c>
      <c r="F79" s="9" t="str">
        <f>CONCATENATE("Imported ",VLOOKUP($A79,Types!$A$2:$C$13,3,FALSE),", PADD ",D79,", Step ",RIGHT(C79,1))</f>
        <v>Imported Reformulated Gasoline, PADD 2, Step 5</v>
      </c>
      <c r="G79" s="9" t="str">
        <f>CONCATENATE(VLOOKUP($A79,Types!$A$2:$C$13,2,FALSE),"P",D79)</f>
        <v>GSRP2</v>
      </c>
      <c r="H79" s="66">
        <f>H75*$C$9</f>
        <v>90.104300000000009</v>
      </c>
      <c r="I79" s="66">
        <f t="shared" ref="I79:K79" si="337">I75*$C$9</f>
        <v>162.30500000000001</v>
      </c>
      <c r="J79" s="66">
        <f t="shared" si="337"/>
        <v>147.55000000000001</v>
      </c>
      <c r="K79" s="66">
        <f t="shared" si="337"/>
        <v>147.55000000000001</v>
      </c>
      <c r="L79" s="67">
        <f>H79*Conv!$J$20/10^6/VLOOKUP($B79,Types!$B$2:$D$13,3,FALSE)/Conv!$I$5</f>
        <v>25.446389661427329</v>
      </c>
      <c r="M79" s="67">
        <f>I79*Conv!$J$20/10^6/VLOOKUP($B79,Types!$B$2:$D$13,3,FALSE)/Conv!$I$5</f>
        <v>45.836616831804506</v>
      </c>
      <c r="N79" s="67" t="e">
        <f>M79*#REF!</f>
        <v>#REF!</v>
      </c>
      <c r="O79" s="67" t="e">
        <f>N79*#REF!</f>
        <v>#REF!</v>
      </c>
      <c r="P79" s="67" t="e">
        <f>O79*#REF!</f>
        <v>#REF!</v>
      </c>
      <c r="Q79" s="67" t="e">
        <f>P79*#REF!</f>
        <v>#REF!</v>
      </c>
      <c r="R79" s="67" t="e">
        <f>Q79*#REF!</f>
        <v>#REF!</v>
      </c>
      <c r="S79" s="67" t="e">
        <f>R79*#REF!</f>
        <v>#REF!</v>
      </c>
      <c r="T79" s="67" t="e">
        <f>S79*#REF!</f>
        <v>#REF!</v>
      </c>
      <c r="U79" s="67" t="e">
        <f>T79*#REF!</f>
        <v>#REF!</v>
      </c>
      <c r="V79" s="67" t="e">
        <f>U79*#REF!</f>
        <v>#REF!</v>
      </c>
      <c r="W79" s="42"/>
      <c r="X79" s="9">
        <f>X75*$E$9</f>
        <v>0</v>
      </c>
      <c r="Y79" s="9">
        <f t="shared" ref="Y79:AA79" si="338">Y75*$E$9</f>
        <v>0</v>
      </c>
      <c r="Z79" s="9">
        <f t="shared" si="338"/>
        <v>0</v>
      </c>
      <c r="AA79" s="9">
        <f t="shared" si="338"/>
        <v>0</v>
      </c>
      <c r="AB79" s="42">
        <f>X79*VLOOKUP($B79,Types!$B$2:$D$13,3,FALSE)*Conv!$I$5*1000*365</f>
        <v>0</v>
      </c>
      <c r="AC79" s="42">
        <f>Y79*VLOOKUP($B79,Types!$B$2:$D$13,3,FALSE)*Conv!$I$5*1000*365</f>
        <v>0</v>
      </c>
      <c r="AD79" s="42">
        <f>Z79*VLOOKUP($B79,Types!$B$2:$D$13,3,FALSE)*Conv!$I$5*1000*365</f>
        <v>0</v>
      </c>
      <c r="AE79" s="42">
        <f>AA79*VLOOKUP($B79,Types!$B$2:$D$13,3,FALSE)*Conv!$I$5*1000*365</f>
        <v>0</v>
      </c>
      <c r="AF79" s="42">
        <f>AB79-AB78</f>
        <v>0</v>
      </c>
      <c r="AG79" s="42">
        <f t="shared" ref="AG79" si="339">AC79-AC78</f>
        <v>0</v>
      </c>
      <c r="AH79" s="42">
        <f t="shared" ref="AH79" si="340">AD79-AD78</f>
        <v>0</v>
      </c>
      <c r="AI79" s="42">
        <f t="shared" ref="AI79" si="341">AE79-AE78</f>
        <v>0</v>
      </c>
      <c r="AJ79" s="42"/>
      <c r="AK79" s="42"/>
      <c r="AL79" s="42"/>
    </row>
    <row r="80" spans="1:38">
      <c r="A80" s="9" t="str">
        <f>'Agg prdcrv'!$A$7</f>
        <v>Conventional Mogas</v>
      </c>
      <c r="B80" s="9" t="str">
        <f>VLOOKUP($A80,Types!$A$2:$C$13,2,FALSE)</f>
        <v>GSC</v>
      </c>
      <c r="C80" s="9">
        <v>3</v>
      </c>
      <c r="D80" s="9">
        <v>2</v>
      </c>
      <c r="E80" s="9" t="str">
        <f t="shared" si="313"/>
        <v>IMPGSCP23</v>
      </c>
      <c r="F80" s="9" t="str">
        <f>CONCATENATE("Imported ",VLOOKUP($A80,Types!$A$2:$C$13,3,FALSE),", PADD ",D80,", Step ",RIGHT(C80,1))</f>
        <v>Imported Conventional Gasoline, PADD 2, Step 3</v>
      </c>
      <c r="G80" s="9" t="str">
        <f>CONCATENATE(VLOOKUP($A80,Types!$A$2:$C$13,2,FALSE),"P",D80)</f>
        <v>GSCP2</v>
      </c>
      <c r="H80" s="66">
        <f>SUMIFS('Agg prdcrv'!$M$6:$M$100,'Agg prdcrv'!$A$6:$A$100,'Imp Refined'!$A80,'Agg prdcrv'!$B$6:$B$100,H$11)*K4</f>
        <v>67.155000000000001</v>
      </c>
      <c r="I80" s="66">
        <f>SUMIFS('Agg prdcrv'!$M$6:$M$100,'Agg prdcrv'!$A$6:$A$100,'Imp Refined'!$A80,'Agg prdcrv'!$B$6:$B$100,I$11)*K4</f>
        <v>55.693000000000005</v>
      </c>
      <c r="J80" s="66">
        <f t="array" ref="J80">SUMIFS('Agg prdcrv'!$M$6:$M$100,'Agg prdcrv'!$A$6:$A$100,'Imp Refined'!$A80,'Agg prdcrv'!$B$6:$B$100,J$11)</f>
        <v>43.66</v>
      </c>
      <c r="K80" s="66">
        <f t="array" ref="K80">SUMIFS('Agg prdcrv'!$M$6:$M$100,'Agg prdcrv'!$A$6:$A$100,'Imp Refined'!$A80,'Agg prdcrv'!$B$6:$B$100,K$11)</f>
        <v>47.23</v>
      </c>
      <c r="L80" s="67">
        <f>H80*Conv!$J$20/10^6/VLOOKUP($B80,Types!$B$2:$D$13,3,FALSE)/Conv!$I$5</f>
        <v>18.593401090900823</v>
      </c>
      <c r="M80" s="67">
        <f>I80*Conv!$J$20/10^6/VLOOKUP($B80,Types!$B$2:$D$13,3,FALSE)/Conv!$I$5</f>
        <v>15.419883656548874</v>
      </c>
      <c r="N80" s="67" t="e">
        <f>M80*#REF!</f>
        <v>#REF!</v>
      </c>
      <c r="O80" s="67" t="e">
        <f>N80*#REF!</f>
        <v>#REF!</v>
      </c>
      <c r="P80" s="67" t="e">
        <f>O80*#REF!</f>
        <v>#REF!</v>
      </c>
      <c r="Q80" s="67" t="e">
        <f>P80*#REF!</f>
        <v>#REF!</v>
      </c>
      <c r="R80" s="67" t="e">
        <f>Q80*#REF!</f>
        <v>#REF!</v>
      </c>
      <c r="S80" s="67" t="e">
        <f>R80*#REF!</f>
        <v>#REF!</v>
      </c>
      <c r="T80" s="67" t="e">
        <f>S80*#REF!</f>
        <v>#REF!</v>
      </c>
      <c r="U80" s="67" t="e">
        <f>T80*#REF!</f>
        <v>#REF!</v>
      </c>
      <c r="V80" s="67" t="e">
        <f>U80*#REF!</f>
        <v>#REF!</v>
      </c>
      <c r="W80" s="42"/>
      <c r="X80" s="9">
        <f t="array" ref="X80">SUMIFS('Agg prdcrv'!$E$6:$E$100,'Agg prdcrv'!$A$6:$A$100,'Imp Refined'!$A80,'Agg prdcrv'!$B$6:$B$100,X$11)</f>
        <v>2.58</v>
      </c>
      <c r="Y80" s="9">
        <f t="array" ref="Y80">SUMIFS('Agg prdcrv'!$E$6:$E$100,'Agg prdcrv'!$A$6:$A$100,'Imp Refined'!$A80,'Agg prdcrv'!$B$6:$B$100,Y$11)</f>
        <v>1.01</v>
      </c>
      <c r="Z80" s="9">
        <f t="array" ref="Z80">SUMIFS('Agg prdcrv'!$E$6:$E$100,'Agg prdcrv'!$A$6:$A$100,'Imp Refined'!$A80,'Agg prdcrv'!$B$6:$B$100,Z$11)</f>
        <v>1.0900000000000001</v>
      </c>
      <c r="AA80" s="9">
        <f t="array" ref="AA80">SUMIFS('Agg prdcrv'!$E$6:$E$100,'Agg prdcrv'!$A$6:$A$100,'Imp Refined'!$A80,'Agg prdcrv'!$B$6:$B$100,AA$11)</f>
        <v>1.18</v>
      </c>
      <c r="AB80" s="42">
        <f>X80*VLOOKUP($B80,Types!$B$2:$D$13,3,FALSE)*Conv!$I$5*1000*365</f>
        <v>5.2190983735056005</v>
      </c>
      <c r="AC80" s="42">
        <f>Y80*VLOOKUP($B80,Types!$B$2:$D$13,3,FALSE)*Conv!$I$5*1000*365</f>
        <v>2.0431354097831997</v>
      </c>
      <c r="AD80" s="42">
        <f>Z80*VLOOKUP($B80,Types!$B$2:$D$13,3,FALSE)*Conv!$I$5*1000*365</f>
        <v>2.2049679174887999</v>
      </c>
      <c r="AE80" s="42">
        <f>AA80*VLOOKUP($B80,Types!$B$2:$D$13,3,FALSE)*Conv!$I$5*1000*365</f>
        <v>2.3870294886575993</v>
      </c>
      <c r="AF80" s="42">
        <f>AB80-AB82</f>
        <v>0.5219098373505604</v>
      </c>
      <c r="AG80" s="42">
        <f t="shared" ref="AG80" si="342">AC80-AC82</f>
        <v>0.20431354097831944</v>
      </c>
      <c r="AH80" s="42">
        <f t="shared" ref="AH80" si="343">AD80-AD82</f>
        <v>0.22049679174887982</v>
      </c>
      <c r="AI80" s="42">
        <f t="shared" ref="AI80" si="344">AE80-AE82</f>
        <v>0.23870294886575971</v>
      </c>
      <c r="AJ80" s="42"/>
      <c r="AK80" s="42"/>
      <c r="AL80" s="42"/>
    </row>
    <row r="81" spans="1:38">
      <c r="A81" s="9" t="str">
        <f>A80</f>
        <v>Conventional Mogas</v>
      </c>
      <c r="B81" s="9" t="str">
        <f>VLOOKUP($A81,Types!$A$2:$C$13,2,FALSE)</f>
        <v>GSC</v>
      </c>
      <c r="C81" s="9">
        <v>1</v>
      </c>
      <c r="D81" s="9">
        <v>2</v>
      </c>
      <c r="E81" s="9" t="str">
        <f t="shared" si="313"/>
        <v>IMPGSCP21</v>
      </c>
      <c r="F81" s="9" t="str">
        <f>CONCATENATE("Imported ",VLOOKUP($A81,Types!$A$2:$C$13,3,FALSE),", PADD ",D81,", Step ",RIGHT(C81,1))</f>
        <v>Imported Conventional Gasoline, PADD 2, Step 1</v>
      </c>
      <c r="G81" s="9" t="str">
        <f>CONCATENATE(VLOOKUP($A81,Types!$A$2:$C$13,2,FALSE),"P",D81)</f>
        <v>GSCP2</v>
      </c>
      <c r="H81" s="66">
        <f>H80*$C$5</f>
        <v>63.797249999999998</v>
      </c>
      <c r="I81" s="66">
        <f t="shared" ref="I81" si="345">I80*$C$5</f>
        <v>52.908350000000006</v>
      </c>
      <c r="J81" s="66">
        <f t="shared" ref="J81" si="346">J80*$C$5</f>
        <v>41.476999999999997</v>
      </c>
      <c r="K81" s="66">
        <f t="shared" ref="K81" si="347">K80*$C$5</f>
        <v>44.868499999999997</v>
      </c>
      <c r="L81" s="67">
        <f>H81*Conv!$J$20/10^6/VLOOKUP($B81,Types!$B$2:$D$13,3,FALSE)/Conv!$I$5</f>
        <v>17.663731036355784</v>
      </c>
      <c r="M81" s="67">
        <f>I81*Conv!$J$20/10^6/VLOOKUP($B81,Types!$B$2:$D$13,3,FALSE)/Conv!$I$5</f>
        <v>14.648889473721432</v>
      </c>
      <c r="N81" s="67" t="e">
        <f>M81*#REF!</f>
        <v>#REF!</v>
      </c>
      <c r="O81" s="67" t="e">
        <f>N81*#REF!</f>
        <v>#REF!</v>
      </c>
      <c r="P81" s="67" t="e">
        <f>O81*#REF!</f>
        <v>#REF!</v>
      </c>
      <c r="Q81" s="67" t="e">
        <f>P81*#REF!</f>
        <v>#REF!</v>
      </c>
      <c r="R81" s="67" t="e">
        <f>Q81*#REF!</f>
        <v>#REF!</v>
      </c>
      <c r="S81" s="67" t="e">
        <f>R81*#REF!</f>
        <v>#REF!</v>
      </c>
      <c r="T81" s="67" t="e">
        <f>S81*#REF!</f>
        <v>#REF!</v>
      </c>
      <c r="U81" s="67" t="e">
        <f>T81*#REF!</f>
        <v>#REF!</v>
      </c>
      <c r="V81" s="67" t="e">
        <f>U81*#REF!</f>
        <v>#REF!</v>
      </c>
      <c r="W81" s="42"/>
      <c r="X81" s="9">
        <f>X80*$E$5</f>
        <v>2.0640000000000001</v>
      </c>
      <c r="Y81" s="9">
        <f t="shared" ref="Y81" si="348">Y80*$E$5</f>
        <v>0.80800000000000005</v>
      </c>
      <c r="Z81" s="9">
        <f t="shared" ref="Z81" si="349">Z80*$E$5</f>
        <v>0.87200000000000011</v>
      </c>
      <c r="AA81" s="9">
        <f t="shared" ref="AA81" si="350">AA80*$E$5</f>
        <v>0.94399999999999995</v>
      </c>
      <c r="AB81" s="42">
        <f>X81*VLOOKUP($B81,Types!$B$2:$D$13,3,FALSE)*Conv!$I$5*1000*365</f>
        <v>4.1752786988044797</v>
      </c>
      <c r="AC81" s="42">
        <f>Y81*VLOOKUP($B81,Types!$B$2:$D$13,3,FALSE)*Conv!$I$5*1000*365</f>
        <v>1.6345083278265602</v>
      </c>
      <c r="AD81" s="42">
        <f>Z81*VLOOKUP($B81,Types!$B$2:$D$13,3,FALSE)*Conv!$I$5*1000*365</f>
        <v>1.7639743339910401</v>
      </c>
      <c r="AE81" s="42">
        <f>AA81*VLOOKUP($B81,Types!$B$2:$D$13,3,FALSE)*Conv!$I$5*1000*365</f>
        <v>1.9096235909260797</v>
      </c>
      <c r="AF81" s="42">
        <f>AB81</f>
        <v>4.1752786988044797</v>
      </c>
      <c r="AG81" s="42">
        <f t="shared" ref="AG81" si="351">AC81</f>
        <v>1.6345083278265602</v>
      </c>
      <c r="AH81" s="42">
        <f t="shared" ref="AH81" si="352">AD81</f>
        <v>1.7639743339910401</v>
      </c>
      <c r="AI81" s="42">
        <f t="shared" ref="AI81" si="353">AE81</f>
        <v>1.9096235909260797</v>
      </c>
      <c r="AJ81" s="42"/>
      <c r="AK81" s="42"/>
      <c r="AL81" s="42"/>
    </row>
    <row r="82" spans="1:38">
      <c r="A82" s="9" t="str">
        <f t="shared" ref="A82:A84" si="354">A81</f>
        <v>Conventional Mogas</v>
      </c>
      <c r="B82" s="9" t="str">
        <f>VLOOKUP($A82,Types!$A$2:$C$13,2,FALSE)</f>
        <v>GSC</v>
      </c>
      <c r="C82" s="9">
        <v>2</v>
      </c>
      <c r="D82" s="9">
        <v>2</v>
      </c>
      <c r="E82" s="9" t="str">
        <f t="shared" si="313"/>
        <v>IMPGSCP22</v>
      </c>
      <c r="F82" s="9" t="str">
        <f>CONCATENATE("Imported ",VLOOKUP($A82,Types!$A$2:$C$13,3,FALSE),", PADD ",D82,", Step ",RIGHT(C82,1))</f>
        <v>Imported Conventional Gasoline, PADD 2, Step 2</v>
      </c>
      <c r="G82" s="9" t="str">
        <f>CONCATENATE(VLOOKUP($A82,Types!$A$2:$C$13,2,FALSE),"P",D82)</f>
        <v>GSCP2</v>
      </c>
      <c r="H82" s="66">
        <f>H80*$C$6</f>
        <v>65.811899999999994</v>
      </c>
      <c r="I82" s="66">
        <f t="shared" ref="I82:K82" si="355">I80*$C$6</f>
        <v>54.579140000000002</v>
      </c>
      <c r="J82" s="66">
        <f t="shared" si="355"/>
        <v>42.786799999999992</v>
      </c>
      <c r="K82" s="66">
        <f t="shared" si="355"/>
        <v>46.285399999999996</v>
      </c>
      <c r="L82" s="67">
        <f>H82*Conv!$J$20/10^6/VLOOKUP($B82,Types!$B$2:$D$13,3,FALSE)/Conv!$I$5</f>
        <v>18.22153306908281</v>
      </c>
      <c r="M82" s="67">
        <f>I82*Conv!$J$20/10^6/VLOOKUP($B82,Types!$B$2:$D$13,3,FALSE)/Conv!$I$5</f>
        <v>15.111485983417895</v>
      </c>
      <c r="N82" s="67" t="e">
        <f>M82*#REF!</f>
        <v>#REF!</v>
      </c>
      <c r="O82" s="67" t="e">
        <f>N82*#REF!</f>
        <v>#REF!</v>
      </c>
      <c r="P82" s="67" t="e">
        <f>O82*#REF!</f>
        <v>#REF!</v>
      </c>
      <c r="Q82" s="67" t="e">
        <f>P82*#REF!</f>
        <v>#REF!</v>
      </c>
      <c r="R82" s="67" t="e">
        <f>Q82*#REF!</f>
        <v>#REF!</v>
      </c>
      <c r="S82" s="67" t="e">
        <f>R82*#REF!</f>
        <v>#REF!</v>
      </c>
      <c r="T82" s="67" t="e">
        <f>S82*#REF!</f>
        <v>#REF!</v>
      </c>
      <c r="U82" s="67" t="e">
        <f>T82*#REF!</f>
        <v>#REF!</v>
      </c>
      <c r="V82" s="67" t="e">
        <f>U82*#REF!</f>
        <v>#REF!</v>
      </c>
      <c r="W82" s="42"/>
      <c r="X82" s="9">
        <f>X80*$E$6</f>
        <v>2.3220000000000001</v>
      </c>
      <c r="Y82" s="9">
        <f t="shared" ref="Y82:AA82" si="356">Y80*$E$6</f>
        <v>0.90900000000000003</v>
      </c>
      <c r="Z82" s="9">
        <f t="shared" si="356"/>
        <v>0.98100000000000009</v>
      </c>
      <c r="AA82" s="9">
        <f t="shared" si="356"/>
        <v>1.0620000000000001</v>
      </c>
      <c r="AB82" s="42">
        <f>X82*VLOOKUP($B82,Types!$B$2:$D$13,3,FALSE)*Conv!$I$5*1000*365</f>
        <v>4.6971885361550401</v>
      </c>
      <c r="AC82" s="42">
        <f>Y82*VLOOKUP($B82,Types!$B$2:$D$13,3,FALSE)*Conv!$I$5*1000*365</f>
        <v>1.8388218688048803</v>
      </c>
      <c r="AD82" s="42">
        <f>Z82*VLOOKUP($B82,Types!$B$2:$D$13,3,FALSE)*Conv!$I$5*1000*365</f>
        <v>1.9844711257399201</v>
      </c>
      <c r="AE82" s="42">
        <f>AA82*VLOOKUP($B82,Types!$B$2:$D$13,3,FALSE)*Conv!$I$5*1000*365</f>
        <v>2.1483265397918396</v>
      </c>
      <c r="AF82" s="42">
        <f>AB82-AF81</f>
        <v>0.5219098373505604</v>
      </c>
      <c r="AG82" s="42">
        <f t="shared" ref="AG82" si="357">AC82-AG81</f>
        <v>0.20431354097832011</v>
      </c>
      <c r="AH82" s="42">
        <f t="shared" ref="AH82" si="358">AD82-AH81</f>
        <v>0.22049679174888004</v>
      </c>
      <c r="AI82" s="42">
        <f t="shared" ref="AI82" si="359">AE82-AI81</f>
        <v>0.23870294886575993</v>
      </c>
      <c r="AJ82" s="42"/>
      <c r="AK82" s="42"/>
      <c r="AL82" s="42"/>
    </row>
    <row r="83" spans="1:38">
      <c r="A83" s="9" t="str">
        <f t="shared" si="354"/>
        <v>Conventional Mogas</v>
      </c>
      <c r="B83" s="9" t="str">
        <f>VLOOKUP($A83,Types!$A$2:$C$13,2,FALSE)</f>
        <v>GSC</v>
      </c>
      <c r="C83" s="9">
        <v>4</v>
      </c>
      <c r="D83" s="9">
        <v>2</v>
      </c>
      <c r="E83" s="9" t="str">
        <f t="shared" si="313"/>
        <v>IMPGSCP24</v>
      </c>
      <c r="F83" s="9" t="str">
        <f>CONCATENATE("Imported ",VLOOKUP($A83,Types!$A$2:$C$13,3,FALSE),", PADD ",D83,", Step ",RIGHT(C83,1))</f>
        <v>Imported Conventional Gasoline, PADD 2, Step 4</v>
      </c>
      <c r="G83" s="9" t="str">
        <f>CONCATENATE(VLOOKUP($A83,Types!$A$2:$C$13,2,FALSE),"P",D83)</f>
        <v>GSCP2</v>
      </c>
      <c r="H83" s="66">
        <f>H80*$C$8</f>
        <v>73.198950000000011</v>
      </c>
      <c r="I83" s="66">
        <f t="shared" ref="I83:K83" si="360">I80*$C$8</f>
        <v>60.705370000000009</v>
      </c>
      <c r="J83" s="66">
        <f t="shared" si="360"/>
        <v>47.589399999999998</v>
      </c>
      <c r="K83" s="66">
        <f t="shared" si="360"/>
        <v>51.480699999999999</v>
      </c>
      <c r="L83" s="67">
        <f>H83*Conv!$J$20/10^6/VLOOKUP($B83,Types!$B$2:$D$13,3,FALSE)/Conv!$I$5</f>
        <v>20.266807189081902</v>
      </c>
      <c r="M83" s="67">
        <f>I83*Conv!$J$20/10^6/VLOOKUP($B83,Types!$B$2:$D$13,3,FALSE)/Conv!$I$5</f>
        <v>16.807673185638272</v>
      </c>
      <c r="N83" s="67" t="e">
        <f>M83*#REF!</f>
        <v>#REF!</v>
      </c>
      <c r="O83" s="67" t="e">
        <f>N83*#REF!</f>
        <v>#REF!</v>
      </c>
      <c r="P83" s="67" t="e">
        <f>O83*#REF!</f>
        <v>#REF!</v>
      </c>
      <c r="Q83" s="67" t="e">
        <f>P83*#REF!</f>
        <v>#REF!</v>
      </c>
      <c r="R83" s="67" t="e">
        <f>Q83*#REF!</f>
        <v>#REF!</v>
      </c>
      <c r="S83" s="67" t="e">
        <f>R83*#REF!</f>
        <v>#REF!</v>
      </c>
      <c r="T83" s="67" t="e">
        <f>S83*#REF!</f>
        <v>#REF!</v>
      </c>
      <c r="U83" s="67" t="e">
        <f>T83*#REF!</f>
        <v>#REF!</v>
      </c>
      <c r="V83" s="67" t="e">
        <f>U83*#REF!</f>
        <v>#REF!</v>
      </c>
      <c r="W83" s="42"/>
      <c r="X83" s="9">
        <f>X80*$E$8</f>
        <v>3.0960000000000001</v>
      </c>
      <c r="Y83" s="9">
        <f t="shared" ref="Y83:AA83" si="361">Y80*$E$8</f>
        <v>1.212</v>
      </c>
      <c r="Z83" s="9">
        <f t="shared" si="361"/>
        <v>1.3080000000000001</v>
      </c>
      <c r="AA83" s="9">
        <f t="shared" si="361"/>
        <v>1.4159999999999999</v>
      </c>
      <c r="AB83" s="42">
        <f>X83*VLOOKUP($B83,Types!$B$2:$D$13,3,FALSE)*Conv!$I$5*1000*365</f>
        <v>6.2629180482067186</v>
      </c>
      <c r="AC83" s="42">
        <f>Y83*VLOOKUP($B83,Types!$B$2:$D$13,3,FALSE)*Conv!$I$5*1000*365</f>
        <v>2.4517624917398395</v>
      </c>
      <c r="AD83" s="42">
        <f>Z83*VLOOKUP($B83,Types!$B$2:$D$13,3,FALSE)*Conv!$I$5*1000*365</f>
        <v>2.64596150098656</v>
      </c>
      <c r="AE83" s="42">
        <f>AA83*VLOOKUP($B83,Types!$B$2:$D$13,3,FALSE)*Conv!$I$5*1000*365</f>
        <v>2.8644353863891197</v>
      </c>
      <c r="AF83" s="42">
        <f>AB83-AB80</f>
        <v>1.0438196747011181</v>
      </c>
      <c r="AG83" s="42">
        <f t="shared" ref="AG83" si="362">AC83-AC80</f>
        <v>0.40862708195663977</v>
      </c>
      <c r="AH83" s="42">
        <f t="shared" ref="AH83" si="363">AD83-AD80</f>
        <v>0.44099358349776008</v>
      </c>
      <c r="AI83" s="42">
        <f t="shared" ref="AI83" si="364">AE83-AE80</f>
        <v>0.47740589773152031</v>
      </c>
      <c r="AJ83" s="42"/>
      <c r="AK83" s="42"/>
      <c r="AL83" s="42"/>
    </row>
    <row r="84" spans="1:38">
      <c r="A84" s="9" t="str">
        <f t="shared" si="354"/>
        <v>Conventional Mogas</v>
      </c>
      <c r="B84" s="9" t="str">
        <f>VLOOKUP($A84,Types!$A$2:$C$13,2,FALSE)</f>
        <v>GSC</v>
      </c>
      <c r="C84" s="9">
        <v>5</v>
      </c>
      <c r="D84" s="9">
        <v>2</v>
      </c>
      <c r="E84" s="9" t="str">
        <f t="shared" si="313"/>
        <v>IMPGSCP25</v>
      </c>
      <c r="F84" s="9" t="str">
        <f>CONCATENATE("Imported ",VLOOKUP($A84,Types!$A$2:$C$13,3,FALSE),", PADD ",D84,", Step ",RIGHT(C84,1))</f>
        <v>Imported Conventional Gasoline, PADD 2, Step 5</v>
      </c>
      <c r="G84" s="9" t="str">
        <f>CONCATENATE(VLOOKUP($A84,Types!$A$2:$C$13,2,FALSE),"P",D84)</f>
        <v>GSCP2</v>
      </c>
      <c r="H84" s="66">
        <f>H80*$C$9</f>
        <v>87.301500000000004</v>
      </c>
      <c r="I84" s="66">
        <f t="shared" ref="I84:K84" si="365">I80*$C$9</f>
        <v>72.400900000000007</v>
      </c>
      <c r="J84" s="66">
        <f t="shared" si="365"/>
        <v>56.757999999999996</v>
      </c>
      <c r="K84" s="66">
        <f t="shared" si="365"/>
        <v>61.399000000000001</v>
      </c>
      <c r="L84" s="67">
        <f>H84*Conv!$J$20/10^6/VLOOKUP($B84,Types!$B$2:$D$13,3,FALSE)/Conv!$I$5</f>
        <v>24.171421418171075</v>
      </c>
      <c r="M84" s="67">
        <f>I84*Conv!$J$20/10^6/VLOOKUP($B84,Types!$B$2:$D$13,3,FALSE)/Conv!$I$5</f>
        <v>20.045848753513535</v>
      </c>
      <c r="N84" s="67" t="e">
        <f>M84*#REF!</f>
        <v>#REF!</v>
      </c>
      <c r="O84" s="67" t="e">
        <f>N84*#REF!</f>
        <v>#REF!</v>
      </c>
      <c r="P84" s="67" t="e">
        <f>O84*#REF!</f>
        <v>#REF!</v>
      </c>
      <c r="Q84" s="67" t="e">
        <f>P84*#REF!</f>
        <v>#REF!</v>
      </c>
      <c r="R84" s="67" t="e">
        <f>Q84*#REF!</f>
        <v>#REF!</v>
      </c>
      <c r="S84" s="67" t="e">
        <f>R84*#REF!</f>
        <v>#REF!</v>
      </c>
      <c r="T84" s="67" t="e">
        <f>S84*#REF!</f>
        <v>#REF!</v>
      </c>
      <c r="U84" s="67" t="e">
        <f>T84*#REF!</f>
        <v>#REF!</v>
      </c>
      <c r="V84" s="67" t="e">
        <f>U84*#REF!</f>
        <v>#REF!</v>
      </c>
      <c r="W84" s="42"/>
      <c r="X84" s="9">
        <f>X80*$E$9</f>
        <v>5.16</v>
      </c>
      <c r="Y84" s="9">
        <f t="shared" ref="Y84:AA84" si="366">Y80*$E$9</f>
        <v>2.02</v>
      </c>
      <c r="Z84" s="9">
        <f t="shared" si="366"/>
        <v>2.1800000000000002</v>
      </c>
      <c r="AA84" s="9">
        <f t="shared" si="366"/>
        <v>2.36</v>
      </c>
      <c r="AB84" s="42">
        <f>X84*VLOOKUP($B84,Types!$B$2:$D$13,3,FALSE)*Conv!$I$5*1000*365</f>
        <v>10.438196747011201</v>
      </c>
      <c r="AC84" s="42">
        <f>Y84*VLOOKUP($B84,Types!$B$2:$D$13,3,FALSE)*Conv!$I$5*1000*365</f>
        <v>4.0862708195663995</v>
      </c>
      <c r="AD84" s="42">
        <f>Z84*VLOOKUP($B84,Types!$B$2:$D$13,3,FALSE)*Conv!$I$5*1000*365</f>
        <v>4.4099358349775999</v>
      </c>
      <c r="AE84" s="42">
        <f>AA84*VLOOKUP($B84,Types!$B$2:$D$13,3,FALSE)*Conv!$I$5*1000*365</f>
        <v>4.7740589773151987</v>
      </c>
      <c r="AF84" s="42">
        <f>AB84-AB83</f>
        <v>4.1752786988044823</v>
      </c>
      <c r="AG84" s="42">
        <f t="shared" ref="AG84" si="367">AC84-AC83</f>
        <v>1.63450832782656</v>
      </c>
      <c r="AH84" s="42">
        <f t="shared" ref="AH84" si="368">AD84-AD83</f>
        <v>1.7639743339910399</v>
      </c>
      <c r="AI84" s="42">
        <f t="shared" ref="AI84" si="369">AE84-AE83</f>
        <v>1.909623590926079</v>
      </c>
      <c r="AJ84" s="42"/>
      <c r="AK84" s="42"/>
      <c r="AL84" s="42"/>
    </row>
    <row r="85" spans="1:38">
      <c r="A85" s="9" t="str">
        <f>'Agg prdcrv'!$A$8</f>
        <v>Heating No. 2</v>
      </c>
      <c r="B85" s="9" t="str">
        <f>VLOOKUP($A85,Types!$A$2:$C$13,2,FALSE)</f>
        <v>DSH</v>
      </c>
      <c r="C85" s="9">
        <v>3</v>
      </c>
      <c r="D85" s="9">
        <v>2</v>
      </c>
      <c r="E85" s="9" t="str">
        <f t="shared" si="313"/>
        <v>IMPDSHP23</v>
      </c>
      <c r="F85" s="9" t="str">
        <f>CONCATENATE("Imported ",VLOOKUP($A85,Types!$A$2:$C$13,3,FALSE),", PADD ",D85,", Step ",RIGHT(C85,1))</f>
        <v>Imported Distillate-Heating Oil No. 2, PADD 2, Step 3</v>
      </c>
      <c r="G85" s="9" t="str">
        <f>CONCATENATE(VLOOKUP($A85,Types!$A$2:$C$13,2,FALSE),"P",D85)</f>
        <v>DSHP2</v>
      </c>
      <c r="H85" s="66">
        <f>SUMIFS('Agg prdcrv'!$M$6:$M$100,'Agg prdcrv'!$A$6:$A$100,'Imp Refined'!$A85,'Agg prdcrv'!$B$6:$B$100,H$11)*K4</f>
        <v>57.310000000000009</v>
      </c>
      <c r="I85" s="66">
        <f>SUMIFS('Agg prdcrv'!$M$6:$M$100,'Agg prdcrv'!$A$6:$A$100,'Imp Refined'!$A85,'Agg prdcrv'!$B$6:$B$100,I$11)*K4</f>
        <v>54.604000000000006</v>
      </c>
      <c r="J85" s="66">
        <f t="array" ref="J85">SUMIFS('Agg prdcrv'!$M$6:$M$100,'Agg prdcrv'!$A$6:$A$100,'Imp Refined'!$A85,'Agg prdcrv'!$B$6:$B$100,J$11)</f>
        <v>36.57</v>
      </c>
      <c r="K85" s="66">
        <f t="array" ref="K85">SUMIFS('Agg prdcrv'!$M$6:$M$100,'Agg prdcrv'!$A$6:$A$100,'Imp Refined'!$A85,'Agg prdcrv'!$B$6:$B$100,K$11)</f>
        <v>39.6</v>
      </c>
      <c r="L85" s="67">
        <f>H85*Conv!$J$20/10^6/VLOOKUP($B85,Types!$B$2:$D$13,3,FALSE)/Conv!$I$5</f>
        <v>14.309430972232446</v>
      </c>
      <c r="M85" s="67">
        <f>I85*Conv!$J$20/10^6/VLOOKUP($B85,Types!$B$2:$D$13,3,FALSE)/Conv!$I$5</f>
        <v>13.633784135539704</v>
      </c>
      <c r="N85" s="67" t="e">
        <f>M85*#REF!</f>
        <v>#REF!</v>
      </c>
      <c r="O85" s="67" t="e">
        <f>N85*#REF!</f>
        <v>#REF!</v>
      </c>
      <c r="P85" s="67" t="e">
        <f>O85*#REF!</f>
        <v>#REF!</v>
      </c>
      <c r="Q85" s="67" t="e">
        <f>P85*#REF!</f>
        <v>#REF!</v>
      </c>
      <c r="R85" s="67" t="e">
        <f>Q85*#REF!</f>
        <v>#REF!</v>
      </c>
      <c r="S85" s="67" t="e">
        <f>R85*#REF!</f>
        <v>#REF!</v>
      </c>
      <c r="T85" s="67" t="e">
        <f>S85*#REF!</f>
        <v>#REF!</v>
      </c>
      <c r="U85" s="67" t="e">
        <f>T85*#REF!</f>
        <v>#REF!</v>
      </c>
      <c r="V85" s="67" t="e">
        <f>U85*#REF!</f>
        <v>#REF!</v>
      </c>
      <c r="W85" s="42"/>
      <c r="X85" s="9">
        <f t="array" ref="X85">SUMIFS('Agg prdcrv'!$E$6:$E$100,'Agg prdcrv'!$A$6:$A$100,'Imp Refined'!$A85,'Agg prdcrv'!$B$6:$B$100,X$11)</f>
        <v>2.04</v>
      </c>
      <c r="Y85" s="9">
        <f t="array" ref="Y85">SUMIFS('Agg prdcrv'!$E$6:$E$100,'Agg prdcrv'!$A$6:$A$100,'Imp Refined'!$A85,'Agg prdcrv'!$B$6:$B$100,Y$11)</f>
        <v>0.87</v>
      </c>
      <c r="Z85" s="9">
        <f t="array" ref="Z85">SUMIFS('Agg prdcrv'!$E$6:$E$100,'Agg prdcrv'!$A$6:$A$100,'Imp Refined'!$A85,'Agg prdcrv'!$B$6:$B$100,Z$11)</f>
        <v>0.96</v>
      </c>
      <c r="AA85" s="9">
        <f t="array" ref="AA85">SUMIFS('Agg prdcrv'!$E$6:$E$100,'Agg prdcrv'!$A$6:$A$100,'Imp Refined'!$A85,'Agg prdcrv'!$B$6:$B$100,AA$11)</f>
        <v>1.06</v>
      </c>
      <c r="AB85" s="42">
        <f>X85*VLOOKUP($B85,Types!$B$2:$D$13,3,FALSE)*Conv!$I$5*1000*365</f>
        <v>4.5760891135200001</v>
      </c>
      <c r="AC85" s="42">
        <f>Y85*VLOOKUP($B85,Types!$B$2:$D$13,3,FALSE)*Conv!$I$5*1000*365</f>
        <v>1.9515674160599998</v>
      </c>
      <c r="AD85" s="42">
        <f>Z85*VLOOKUP($B85,Types!$B$2:$D$13,3,FALSE)*Conv!$I$5*1000*365</f>
        <v>2.1534537004799996</v>
      </c>
      <c r="AE85" s="42">
        <f>AA85*VLOOKUP($B85,Types!$B$2:$D$13,3,FALSE)*Conv!$I$5*1000*365</f>
        <v>2.3777717942799996</v>
      </c>
      <c r="AF85" s="42">
        <f>AB85-AB87</f>
        <v>0.45760891135199966</v>
      </c>
      <c r="AG85" s="42">
        <f t="shared" ref="AG85" si="370">AC85-AC87</f>
        <v>0.19515674160599983</v>
      </c>
      <c r="AH85" s="42">
        <f t="shared" ref="AH85" si="371">AD85-AD87</f>
        <v>0.21534537004799992</v>
      </c>
      <c r="AI85" s="42">
        <f t="shared" ref="AI85" si="372">AE85-AE87</f>
        <v>0.23777717942799947</v>
      </c>
      <c r="AJ85" s="42"/>
      <c r="AK85" s="42"/>
      <c r="AL85" s="42"/>
    </row>
    <row r="86" spans="1:38">
      <c r="A86" s="9" t="str">
        <f>A85</f>
        <v>Heating No. 2</v>
      </c>
      <c r="B86" s="9" t="str">
        <f>VLOOKUP($A86,Types!$A$2:$C$13,2,FALSE)</f>
        <v>DSH</v>
      </c>
      <c r="C86" s="9">
        <v>1</v>
      </c>
      <c r="D86" s="9">
        <v>2</v>
      </c>
      <c r="E86" s="9" t="str">
        <f t="shared" si="313"/>
        <v>IMPDSHP21</v>
      </c>
      <c r="F86" s="9" t="str">
        <f>CONCATENATE("Imported ",VLOOKUP($A86,Types!$A$2:$C$13,3,FALSE),", PADD ",D86,", Step ",RIGHT(C86,1))</f>
        <v>Imported Distillate-Heating Oil No. 2, PADD 2, Step 1</v>
      </c>
      <c r="G86" s="9" t="str">
        <f>CONCATENATE(VLOOKUP($A86,Types!$A$2:$C$13,2,FALSE),"P",D86)</f>
        <v>DSHP2</v>
      </c>
      <c r="H86" s="66">
        <f>H85*$C$5</f>
        <v>54.444500000000005</v>
      </c>
      <c r="I86" s="66">
        <f t="shared" ref="I86" si="373">I85*$C$5</f>
        <v>51.873800000000003</v>
      </c>
      <c r="J86" s="66">
        <f t="shared" ref="J86" si="374">J85*$C$5</f>
        <v>34.741500000000002</v>
      </c>
      <c r="K86" s="66">
        <f t="shared" ref="K86" si="375">K85*$C$5</f>
        <v>37.619999999999997</v>
      </c>
      <c r="L86" s="67">
        <f>H86*Conv!$J$20/10^6/VLOOKUP($B86,Types!$B$2:$D$13,3,FALSE)/Conv!$I$5</f>
        <v>13.593959423620824</v>
      </c>
      <c r="M86" s="67">
        <f>I86*Conv!$J$20/10^6/VLOOKUP($B86,Types!$B$2:$D$13,3,FALSE)/Conv!$I$5</f>
        <v>12.952094928762721</v>
      </c>
      <c r="N86" s="67" t="e">
        <f>M86*#REF!</f>
        <v>#REF!</v>
      </c>
      <c r="O86" s="67" t="e">
        <f>N86*#REF!</f>
        <v>#REF!</v>
      </c>
      <c r="P86" s="67" t="e">
        <f>O86*#REF!</f>
        <v>#REF!</v>
      </c>
      <c r="Q86" s="67" t="e">
        <f>P86*#REF!</f>
        <v>#REF!</v>
      </c>
      <c r="R86" s="67" t="e">
        <f>Q86*#REF!</f>
        <v>#REF!</v>
      </c>
      <c r="S86" s="67" t="e">
        <f>R86*#REF!</f>
        <v>#REF!</v>
      </c>
      <c r="T86" s="67" t="e">
        <f>S86*#REF!</f>
        <v>#REF!</v>
      </c>
      <c r="U86" s="67" t="e">
        <f>T86*#REF!</f>
        <v>#REF!</v>
      </c>
      <c r="V86" s="67" t="e">
        <f>U86*#REF!</f>
        <v>#REF!</v>
      </c>
      <c r="W86" s="42"/>
      <c r="X86" s="9">
        <f>X85*$E$5</f>
        <v>1.6320000000000001</v>
      </c>
      <c r="Y86" s="9">
        <f t="shared" ref="Y86" si="376">Y85*$E$5</f>
        <v>0.69600000000000006</v>
      </c>
      <c r="Z86" s="9">
        <f t="shared" ref="Z86" si="377">Z85*$E$5</f>
        <v>0.76800000000000002</v>
      </c>
      <c r="AA86" s="9">
        <f t="shared" ref="AA86" si="378">AA85*$E$5</f>
        <v>0.84800000000000009</v>
      </c>
      <c r="AB86" s="42">
        <f>X86*VLOOKUP($B86,Types!$B$2:$D$13,3,FALSE)*Conv!$I$5*1000*365</f>
        <v>3.6608712908160004</v>
      </c>
      <c r="AC86" s="42">
        <f>Y86*VLOOKUP($B86,Types!$B$2:$D$13,3,FALSE)*Conv!$I$5*1000*365</f>
        <v>1.561253932848</v>
      </c>
      <c r="AD86" s="42">
        <f>Z86*VLOOKUP($B86,Types!$B$2:$D$13,3,FALSE)*Conv!$I$5*1000*365</f>
        <v>1.7227629603839998</v>
      </c>
      <c r="AE86" s="42">
        <f>AA86*VLOOKUP($B86,Types!$B$2:$D$13,3,FALSE)*Conv!$I$5*1000*365</f>
        <v>1.902217435424</v>
      </c>
      <c r="AF86" s="42">
        <f>AB86</f>
        <v>3.6608712908160004</v>
      </c>
      <c r="AG86" s="42">
        <f t="shared" ref="AG86" si="379">AC86</f>
        <v>1.561253932848</v>
      </c>
      <c r="AH86" s="42">
        <f t="shared" ref="AH86" si="380">AD86</f>
        <v>1.7227629603839998</v>
      </c>
      <c r="AI86" s="42">
        <f t="shared" ref="AI86" si="381">AE86</f>
        <v>1.902217435424</v>
      </c>
      <c r="AJ86" s="42"/>
      <c r="AK86" s="42"/>
      <c r="AL86" s="42"/>
    </row>
    <row r="87" spans="1:38">
      <c r="A87" s="9" t="str">
        <f t="shared" ref="A87:A89" si="382">A86</f>
        <v>Heating No. 2</v>
      </c>
      <c r="B87" s="9" t="str">
        <f>VLOOKUP($A87,Types!$A$2:$C$13,2,FALSE)</f>
        <v>DSH</v>
      </c>
      <c r="C87" s="9">
        <v>2</v>
      </c>
      <c r="D87" s="9">
        <v>2</v>
      </c>
      <c r="E87" s="9" t="str">
        <f t="shared" si="313"/>
        <v>IMPDSHP22</v>
      </c>
      <c r="F87" s="9" t="str">
        <f>CONCATENATE("Imported ",VLOOKUP($A87,Types!$A$2:$C$13,3,FALSE),", PADD ",D87,", Step ",RIGHT(C87,1))</f>
        <v>Imported Distillate-Heating Oil No. 2, PADD 2, Step 2</v>
      </c>
      <c r="G87" s="9" t="str">
        <f>CONCATENATE(VLOOKUP($A87,Types!$A$2:$C$13,2,FALSE),"P",D87)</f>
        <v>DSHP2</v>
      </c>
      <c r="H87" s="66">
        <f>H85*$C$6</f>
        <v>56.163800000000009</v>
      </c>
      <c r="I87" s="66">
        <f t="shared" ref="I87:K87" si="383">I85*$C$6</f>
        <v>53.511920000000003</v>
      </c>
      <c r="J87" s="66">
        <f t="shared" si="383"/>
        <v>35.8386</v>
      </c>
      <c r="K87" s="66">
        <f t="shared" si="383"/>
        <v>38.808</v>
      </c>
      <c r="L87" s="67">
        <f>H87*Conv!$J$20/10^6/VLOOKUP($B87,Types!$B$2:$D$13,3,FALSE)/Conv!$I$5</f>
        <v>14.023242352787797</v>
      </c>
      <c r="M87" s="67">
        <f>I87*Conv!$J$20/10^6/VLOOKUP($B87,Types!$B$2:$D$13,3,FALSE)/Conv!$I$5</f>
        <v>13.361108452828908</v>
      </c>
      <c r="N87" s="67" t="e">
        <f>M87*#REF!</f>
        <v>#REF!</v>
      </c>
      <c r="O87" s="67" t="e">
        <f>N87*#REF!</f>
        <v>#REF!</v>
      </c>
      <c r="P87" s="67" t="e">
        <f>O87*#REF!</f>
        <v>#REF!</v>
      </c>
      <c r="Q87" s="67" t="e">
        <f>P87*#REF!</f>
        <v>#REF!</v>
      </c>
      <c r="R87" s="67" t="e">
        <f>Q87*#REF!</f>
        <v>#REF!</v>
      </c>
      <c r="S87" s="67" t="e">
        <f>R87*#REF!</f>
        <v>#REF!</v>
      </c>
      <c r="T87" s="67" t="e">
        <f>S87*#REF!</f>
        <v>#REF!</v>
      </c>
      <c r="U87" s="67" t="e">
        <f>T87*#REF!</f>
        <v>#REF!</v>
      </c>
      <c r="V87" s="67" t="e">
        <f>U87*#REF!</f>
        <v>#REF!</v>
      </c>
      <c r="W87" s="42"/>
      <c r="X87" s="9">
        <f>X85*$E$6</f>
        <v>1.8360000000000001</v>
      </c>
      <c r="Y87" s="9">
        <f t="shared" ref="Y87:AA87" si="384">Y85*$E$6</f>
        <v>0.78300000000000003</v>
      </c>
      <c r="Z87" s="9">
        <f t="shared" si="384"/>
        <v>0.86399999999999999</v>
      </c>
      <c r="AA87" s="9">
        <f t="shared" si="384"/>
        <v>0.95400000000000007</v>
      </c>
      <c r="AB87" s="42">
        <f>X87*VLOOKUP($B87,Types!$B$2:$D$13,3,FALSE)*Conv!$I$5*1000*365</f>
        <v>4.1184802021680005</v>
      </c>
      <c r="AC87" s="42">
        <f>Y87*VLOOKUP($B87,Types!$B$2:$D$13,3,FALSE)*Conv!$I$5*1000*365</f>
        <v>1.756410674454</v>
      </c>
      <c r="AD87" s="42">
        <f>Z87*VLOOKUP($B87,Types!$B$2:$D$13,3,FALSE)*Conv!$I$5*1000*365</f>
        <v>1.9381083304319997</v>
      </c>
      <c r="AE87" s="42">
        <f>AA87*VLOOKUP($B87,Types!$B$2:$D$13,3,FALSE)*Conv!$I$5*1000*365</f>
        <v>2.1399946148520002</v>
      </c>
      <c r="AF87" s="42">
        <f>AB87-AF86</f>
        <v>0.4576089113520001</v>
      </c>
      <c r="AG87" s="42">
        <f t="shared" ref="AG87" si="385">AC87-AG86</f>
        <v>0.19515674160600005</v>
      </c>
      <c r="AH87" s="42">
        <f t="shared" ref="AH87" si="386">AD87-AH86</f>
        <v>0.21534537004799992</v>
      </c>
      <c r="AI87" s="42">
        <f t="shared" ref="AI87" si="387">AE87-AI86</f>
        <v>0.23777717942800014</v>
      </c>
      <c r="AJ87" s="42"/>
      <c r="AK87" s="42"/>
      <c r="AL87" s="42"/>
    </row>
    <row r="88" spans="1:38">
      <c r="A88" s="9" t="str">
        <f t="shared" si="382"/>
        <v>Heating No. 2</v>
      </c>
      <c r="B88" s="9" t="str">
        <f>VLOOKUP($A88,Types!$A$2:$C$13,2,FALSE)</f>
        <v>DSH</v>
      </c>
      <c r="C88" s="9">
        <v>4</v>
      </c>
      <c r="D88" s="9">
        <v>2</v>
      </c>
      <c r="E88" s="9" t="str">
        <f t="shared" si="313"/>
        <v>IMPDSHP24</v>
      </c>
      <c r="F88" s="9" t="str">
        <f>CONCATENATE("Imported ",VLOOKUP($A88,Types!$A$2:$C$13,3,FALSE),", PADD ",D88,", Step ",RIGHT(C88,1))</f>
        <v>Imported Distillate-Heating Oil No. 2, PADD 2, Step 4</v>
      </c>
      <c r="G88" s="9" t="str">
        <f>CONCATENATE(VLOOKUP($A88,Types!$A$2:$C$13,2,FALSE),"P",D88)</f>
        <v>DSHP2</v>
      </c>
      <c r="H88" s="66">
        <f>H85*$C$8</f>
        <v>62.467900000000014</v>
      </c>
      <c r="I88" s="66">
        <f t="shared" ref="I88:K88" si="388">I85*$C$8</f>
        <v>59.518360000000008</v>
      </c>
      <c r="J88" s="66">
        <f t="shared" si="388"/>
        <v>39.8613</v>
      </c>
      <c r="K88" s="66">
        <f t="shared" si="388"/>
        <v>43.164000000000001</v>
      </c>
      <c r="L88" s="67">
        <f>H88*Conv!$J$20/10^6/VLOOKUP($B88,Types!$B$2:$D$13,3,FALSE)/Conv!$I$5</f>
        <v>15.597279759733366</v>
      </c>
      <c r="M88" s="67">
        <f>I88*Conv!$J$20/10^6/VLOOKUP($B88,Types!$B$2:$D$13,3,FALSE)/Conv!$I$5</f>
        <v>14.860824707738278</v>
      </c>
      <c r="N88" s="67" t="e">
        <f>M88*#REF!</f>
        <v>#REF!</v>
      </c>
      <c r="O88" s="67" t="e">
        <f>N88*#REF!</f>
        <v>#REF!</v>
      </c>
      <c r="P88" s="67" t="e">
        <f>O88*#REF!</f>
        <v>#REF!</v>
      </c>
      <c r="Q88" s="67" t="e">
        <f>P88*#REF!</f>
        <v>#REF!</v>
      </c>
      <c r="R88" s="67" t="e">
        <f>Q88*#REF!</f>
        <v>#REF!</v>
      </c>
      <c r="S88" s="67" t="e">
        <f>R88*#REF!</f>
        <v>#REF!</v>
      </c>
      <c r="T88" s="67" t="e">
        <f>S88*#REF!</f>
        <v>#REF!</v>
      </c>
      <c r="U88" s="67" t="e">
        <f>T88*#REF!</f>
        <v>#REF!</v>
      </c>
      <c r="V88" s="67" t="e">
        <f>U88*#REF!</f>
        <v>#REF!</v>
      </c>
      <c r="W88" s="42"/>
      <c r="X88" s="9">
        <f>X85*$E$8</f>
        <v>2.448</v>
      </c>
      <c r="Y88" s="9">
        <f t="shared" ref="Y88:AA88" si="389">Y85*$E$8</f>
        <v>1.044</v>
      </c>
      <c r="Z88" s="9">
        <f t="shared" si="389"/>
        <v>1.1519999999999999</v>
      </c>
      <c r="AA88" s="9">
        <f t="shared" si="389"/>
        <v>1.272</v>
      </c>
      <c r="AB88" s="42">
        <f>X88*VLOOKUP($B88,Types!$B$2:$D$13,3,FALSE)*Conv!$I$5*1000*365</f>
        <v>5.4913069362240003</v>
      </c>
      <c r="AC88" s="42">
        <f>Y88*VLOOKUP($B88,Types!$B$2:$D$13,3,FALSE)*Conv!$I$5*1000*365</f>
        <v>2.3418808992720002</v>
      </c>
      <c r="AD88" s="42">
        <f>Z88*VLOOKUP($B88,Types!$B$2:$D$13,3,FALSE)*Conv!$I$5*1000*365</f>
        <v>2.5841444405759999</v>
      </c>
      <c r="AE88" s="42">
        <f>AA88*VLOOKUP($B88,Types!$B$2:$D$13,3,FALSE)*Conv!$I$5*1000*365</f>
        <v>2.8533261531360004</v>
      </c>
      <c r="AF88" s="42">
        <f>AB88-AB85</f>
        <v>0.91521782270400021</v>
      </c>
      <c r="AG88" s="42">
        <f t="shared" ref="AG88" si="390">AC88-AC85</f>
        <v>0.39031348321200032</v>
      </c>
      <c r="AH88" s="42">
        <f t="shared" ref="AH88" si="391">AD88-AD85</f>
        <v>0.43069074009600028</v>
      </c>
      <c r="AI88" s="42">
        <f t="shared" ref="AI88" si="392">AE88-AE85</f>
        <v>0.47555435885600073</v>
      </c>
      <c r="AJ88" s="42"/>
      <c r="AK88" s="42"/>
      <c r="AL88" s="42"/>
    </row>
    <row r="89" spans="1:38">
      <c r="A89" s="9" t="str">
        <f t="shared" si="382"/>
        <v>Heating No. 2</v>
      </c>
      <c r="B89" s="9" t="str">
        <f>VLOOKUP($A89,Types!$A$2:$C$13,2,FALSE)</f>
        <v>DSH</v>
      </c>
      <c r="C89" s="9">
        <v>5</v>
      </c>
      <c r="D89" s="9">
        <v>2</v>
      </c>
      <c r="E89" s="9" t="str">
        <f t="shared" si="313"/>
        <v>IMPDSHP25</v>
      </c>
      <c r="F89" s="9" t="str">
        <f>CONCATENATE("Imported ",VLOOKUP($A89,Types!$A$2:$C$13,3,FALSE),", PADD ",D89,", Step ",RIGHT(C89,1))</f>
        <v>Imported Distillate-Heating Oil No. 2, PADD 2, Step 5</v>
      </c>
      <c r="G89" s="9" t="str">
        <f>CONCATENATE(VLOOKUP($A89,Types!$A$2:$C$13,2,FALSE),"P",D89)</f>
        <v>DSHP2</v>
      </c>
      <c r="H89" s="66">
        <f>H85*$C$9</f>
        <v>74.503000000000014</v>
      </c>
      <c r="I89" s="66">
        <f t="shared" ref="I89:K89" si="393">I85*$C$9</f>
        <v>70.985200000000006</v>
      </c>
      <c r="J89" s="66">
        <f t="shared" si="393"/>
        <v>47.541000000000004</v>
      </c>
      <c r="K89" s="66">
        <f t="shared" si="393"/>
        <v>51.480000000000004</v>
      </c>
      <c r="L89" s="67">
        <f>H89*Conv!$J$20/10^6/VLOOKUP($B89,Types!$B$2:$D$13,3,FALSE)/Conv!$I$5</f>
        <v>18.602260263902181</v>
      </c>
      <c r="M89" s="67">
        <f>I89*Conv!$J$20/10^6/VLOOKUP($B89,Types!$B$2:$D$13,3,FALSE)/Conv!$I$5</f>
        <v>17.723919376201614</v>
      </c>
      <c r="N89" s="67" t="e">
        <f>M89*#REF!</f>
        <v>#REF!</v>
      </c>
      <c r="O89" s="67" t="e">
        <f>N89*#REF!</f>
        <v>#REF!</v>
      </c>
      <c r="P89" s="67" t="e">
        <f>O89*#REF!</f>
        <v>#REF!</v>
      </c>
      <c r="Q89" s="67" t="e">
        <f>P89*#REF!</f>
        <v>#REF!</v>
      </c>
      <c r="R89" s="67" t="e">
        <f>Q89*#REF!</f>
        <v>#REF!</v>
      </c>
      <c r="S89" s="67" t="e">
        <f>R89*#REF!</f>
        <v>#REF!</v>
      </c>
      <c r="T89" s="67" t="e">
        <f>S89*#REF!</f>
        <v>#REF!</v>
      </c>
      <c r="U89" s="67" t="e">
        <f>T89*#REF!</f>
        <v>#REF!</v>
      </c>
      <c r="V89" s="67" t="e">
        <f>U89*#REF!</f>
        <v>#REF!</v>
      </c>
      <c r="W89" s="42"/>
      <c r="X89" s="9">
        <f>X85*$E$9</f>
        <v>4.08</v>
      </c>
      <c r="Y89" s="9">
        <f t="shared" ref="Y89:AA89" si="394">Y85*$E$9</f>
        <v>1.74</v>
      </c>
      <c r="Z89" s="9">
        <f t="shared" si="394"/>
        <v>1.92</v>
      </c>
      <c r="AA89" s="9">
        <f t="shared" si="394"/>
        <v>2.12</v>
      </c>
      <c r="AB89" s="42">
        <f>X89*VLOOKUP($B89,Types!$B$2:$D$13,3,FALSE)*Conv!$I$5*1000*365</f>
        <v>9.1521782270400003</v>
      </c>
      <c r="AC89" s="42">
        <f>Y89*VLOOKUP($B89,Types!$B$2:$D$13,3,FALSE)*Conv!$I$5*1000*365</f>
        <v>3.9031348321199997</v>
      </c>
      <c r="AD89" s="42">
        <f>Z89*VLOOKUP($B89,Types!$B$2:$D$13,3,FALSE)*Conv!$I$5*1000*365</f>
        <v>4.3069074009599992</v>
      </c>
      <c r="AE89" s="42">
        <f>AA89*VLOOKUP($B89,Types!$B$2:$D$13,3,FALSE)*Conv!$I$5*1000*365</f>
        <v>4.7555435885599993</v>
      </c>
      <c r="AF89" s="42">
        <f>AB89-AB88</f>
        <v>3.6608712908159999</v>
      </c>
      <c r="AG89" s="42">
        <f t="shared" ref="AG89" si="395">AC89-AC88</f>
        <v>1.5612539328479995</v>
      </c>
      <c r="AH89" s="42">
        <f t="shared" ref="AH89" si="396">AD89-AD88</f>
        <v>1.7227629603839993</v>
      </c>
      <c r="AI89" s="42">
        <f t="shared" ref="AI89" si="397">AE89-AE88</f>
        <v>1.9022174354239989</v>
      </c>
      <c r="AJ89" s="42"/>
      <c r="AK89" s="42"/>
      <c r="AL89" s="42"/>
    </row>
    <row r="90" spans="1:38">
      <c r="A90" s="9" t="str">
        <f>'Agg prdcrv'!$A$9</f>
        <v>LS Diesel (500 ppm)</v>
      </c>
      <c r="B90" s="9" t="str">
        <f>VLOOKUP($A90,Types!$A$2:$C$13,2,FALSE)</f>
        <v>DSL</v>
      </c>
      <c r="C90" s="9">
        <v>3</v>
      </c>
      <c r="D90" s="9">
        <v>2</v>
      </c>
      <c r="E90" s="9" t="str">
        <f t="shared" si="313"/>
        <v>IMPDSLP23</v>
      </c>
      <c r="F90" s="9" t="str">
        <f>CONCATENATE("Imported ",VLOOKUP($A90,Types!$A$2:$C$13,3,FALSE),", PADD ",D90,", Step ",RIGHT(C90,1))</f>
        <v>Imported Distillate-Low Sulfur Highway Diesel (500 ppm), PADD 2, Step 3</v>
      </c>
      <c r="G90" s="9" t="str">
        <f>CONCATENATE(VLOOKUP($A90,Types!$A$2:$C$13,2,FALSE),"P",D90)</f>
        <v>DSLP2</v>
      </c>
      <c r="H90" s="66">
        <f>SUMIFS('Agg prdcrv'!$M$6:$M$100,'Agg prdcrv'!$A$6:$A$100,'Imp Refined'!$A90,'Agg prdcrv'!$B$6:$B$100,H$11)*K4</f>
        <v>55.495000000000005</v>
      </c>
      <c r="I90" s="66">
        <f>SUMIFS('Agg prdcrv'!$M$6:$M$100,'Agg prdcrv'!$A$6:$A$100,'Imp Refined'!$A90,'Agg prdcrv'!$B$6:$B$100,I$11)*K4</f>
        <v>49.049000000000007</v>
      </c>
      <c r="J90" s="66">
        <f t="array" ref="J90">SUMIFS('Agg prdcrv'!$M$6:$M$100,'Agg prdcrv'!$A$6:$A$100,'Imp Refined'!$A90,'Agg prdcrv'!$B$6:$B$100,J$11)</f>
        <v>113.5</v>
      </c>
      <c r="K90" s="66">
        <f t="array" ref="K90">SUMIFS('Agg prdcrv'!$M$6:$M$100,'Agg prdcrv'!$A$6:$A$100,'Imp Refined'!$A90,'Agg prdcrv'!$B$6:$B$100,K$11)</f>
        <v>113.5</v>
      </c>
      <c r="L90" s="67">
        <f>H90*Conv!$J$20/10^6/VLOOKUP($B90,Types!$B$2:$D$13,3,FALSE)/Conv!$I$5</f>
        <v>13.856253215914144</v>
      </c>
      <c r="M90" s="67">
        <f>I90*Conv!$J$20/10^6/VLOOKUP($B90,Types!$B$2:$D$13,3,FALSE)/Conv!$I$5</f>
        <v>12.246785548020053</v>
      </c>
      <c r="N90" s="67" t="e">
        <f>M90*#REF!</f>
        <v>#REF!</v>
      </c>
      <c r="O90" s="67" t="e">
        <f>N90*#REF!</f>
        <v>#REF!</v>
      </c>
      <c r="P90" s="67" t="e">
        <f>O90*#REF!</f>
        <v>#REF!</v>
      </c>
      <c r="Q90" s="67" t="e">
        <f>P90*#REF!</f>
        <v>#REF!</v>
      </c>
      <c r="R90" s="67" t="e">
        <f>Q90*#REF!</f>
        <v>#REF!</v>
      </c>
      <c r="S90" s="67" t="e">
        <f>R90*#REF!</f>
        <v>#REF!</v>
      </c>
      <c r="T90" s="67" t="e">
        <f>S90*#REF!</f>
        <v>#REF!</v>
      </c>
      <c r="U90" s="67" t="e">
        <f>T90*#REF!</f>
        <v>#REF!</v>
      </c>
      <c r="V90" s="67" t="e">
        <f>U90*#REF!</f>
        <v>#REF!</v>
      </c>
      <c r="W90" s="42"/>
      <c r="X90" s="9">
        <f t="array" ref="X90">SUMIFS('Agg prdcrv'!$E$6:$E$100,'Agg prdcrv'!$A$6:$A$100,'Imp Refined'!$A90,'Agg prdcrv'!$B$6:$B$100,X$11)</f>
        <v>5.74</v>
      </c>
      <c r="Y90" s="9">
        <f t="array" ref="Y90">SUMIFS('Agg prdcrv'!$E$6:$E$100,'Agg prdcrv'!$A$6:$A$100,'Imp Refined'!$A90,'Agg prdcrv'!$B$6:$B$100,Y$11)</f>
        <v>1.52</v>
      </c>
      <c r="Z90" s="9">
        <f t="array" ref="Z90">SUMIFS('Agg prdcrv'!$E$6:$E$100,'Agg prdcrv'!$A$6:$A$100,'Imp Refined'!$A90,'Agg prdcrv'!$B$6:$B$100,Z$11)</f>
        <v>0.36</v>
      </c>
      <c r="AA90" s="9">
        <f t="array" ref="AA90">SUMIFS('Agg prdcrv'!$E$6:$E$100,'Agg prdcrv'!$A$6:$A$100,'Imp Refined'!$A90,'Agg prdcrv'!$B$6:$B$100,AA$11)</f>
        <v>0.09</v>
      </c>
      <c r="AB90" s="42">
        <f>X90*VLOOKUP($B90,Types!$B$2:$D$13,3,FALSE)*Conv!$I$5*1000*365</f>
        <v>12.87585858412</v>
      </c>
      <c r="AC90" s="42">
        <f>Y90*VLOOKUP($B90,Types!$B$2:$D$13,3,FALSE)*Conv!$I$5*1000*365</f>
        <v>3.4096350257600001</v>
      </c>
      <c r="AD90" s="42">
        <f>Z90*VLOOKUP($B90,Types!$B$2:$D$13,3,FALSE)*Conv!$I$5*1000*365</f>
        <v>0.80754513767999991</v>
      </c>
      <c r="AE90" s="42">
        <f>AA90*VLOOKUP($B90,Types!$B$2:$D$13,3,FALSE)*Conv!$I$5*1000*365</f>
        <v>0.20188628441999998</v>
      </c>
      <c r="AF90" s="42">
        <f>AB90-AB92</f>
        <v>1.2875858584119992</v>
      </c>
      <c r="AG90" s="42">
        <f t="shared" ref="AG90" si="398">AC90-AC92</f>
        <v>0.34096350257599983</v>
      </c>
      <c r="AH90" s="42">
        <f t="shared" ref="AH90" si="399">AD90-AD92</f>
        <v>8.0754513767999914E-2</v>
      </c>
      <c r="AI90" s="42">
        <f t="shared" ref="AI90" si="400">AE90-AE92</f>
        <v>2.0188628441999978E-2</v>
      </c>
      <c r="AJ90" s="42"/>
      <c r="AK90" s="42"/>
      <c r="AL90" s="42"/>
    </row>
    <row r="91" spans="1:38">
      <c r="A91" s="9" t="str">
        <f>A90</f>
        <v>LS Diesel (500 ppm)</v>
      </c>
      <c r="B91" s="9" t="str">
        <f>VLOOKUP($A91,Types!$A$2:$C$13,2,FALSE)</f>
        <v>DSL</v>
      </c>
      <c r="C91" s="9">
        <v>1</v>
      </c>
      <c r="D91" s="9">
        <v>2</v>
      </c>
      <c r="E91" s="9" t="str">
        <f t="shared" si="313"/>
        <v>IMPDSLP21</v>
      </c>
      <c r="F91" s="9" t="str">
        <f>CONCATENATE("Imported ",VLOOKUP($A91,Types!$A$2:$C$13,3,FALSE),", PADD ",D91,", Step ",RIGHT(C91,1))</f>
        <v>Imported Distillate-Low Sulfur Highway Diesel (500 ppm), PADD 2, Step 1</v>
      </c>
      <c r="G91" s="9" t="str">
        <f>CONCATENATE(VLOOKUP($A91,Types!$A$2:$C$13,2,FALSE),"P",D91)</f>
        <v>DSLP2</v>
      </c>
      <c r="H91" s="66">
        <f>H90*$C$5</f>
        <v>52.72025</v>
      </c>
      <c r="I91" s="66">
        <f t="shared" ref="I91" si="401">I90*$C$5</f>
        <v>46.596550000000001</v>
      </c>
      <c r="J91" s="66">
        <f t="shared" ref="J91" si="402">J90*$C$5</f>
        <v>107.82499999999999</v>
      </c>
      <c r="K91" s="66">
        <f t="shared" ref="K91" si="403">K90*$C$5</f>
        <v>107.82499999999999</v>
      </c>
      <c r="L91" s="67">
        <f>H91*Conv!$J$20/10^6/VLOOKUP($B91,Types!$B$2:$D$13,3,FALSE)/Conv!$I$5</f>
        <v>13.163440555118434</v>
      </c>
      <c r="M91" s="67">
        <f>I91*Conv!$J$20/10^6/VLOOKUP($B91,Types!$B$2:$D$13,3,FALSE)/Conv!$I$5</f>
        <v>11.634446270619048</v>
      </c>
      <c r="N91" s="67" t="e">
        <f>M91*#REF!</f>
        <v>#REF!</v>
      </c>
      <c r="O91" s="67" t="e">
        <f>N91*#REF!</f>
        <v>#REF!</v>
      </c>
      <c r="P91" s="67" t="e">
        <f>O91*#REF!</f>
        <v>#REF!</v>
      </c>
      <c r="Q91" s="67" t="e">
        <f>P91*#REF!</f>
        <v>#REF!</v>
      </c>
      <c r="R91" s="67" t="e">
        <f>Q91*#REF!</f>
        <v>#REF!</v>
      </c>
      <c r="S91" s="67" t="e">
        <f>R91*#REF!</f>
        <v>#REF!</v>
      </c>
      <c r="T91" s="67" t="e">
        <f>S91*#REF!</f>
        <v>#REF!</v>
      </c>
      <c r="U91" s="67" t="e">
        <f>T91*#REF!</f>
        <v>#REF!</v>
      </c>
      <c r="V91" s="67" t="e">
        <f>U91*#REF!</f>
        <v>#REF!</v>
      </c>
      <c r="W91" s="42"/>
      <c r="X91" s="9">
        <f>X90*$E$5</f>
        <v>4.5920000000000005</v>
      </c>
      <c r="Y91" s="9">
        <f t="shared" ref="Y91" si="404">Y90*$E$5</f>
        <v>1.2160000000000002</v>
      </c>
      <c r="Z91" s="9">
        <f t="shared" ref="Z91" si="405">Z90*$E$5</f>
        <v>0.28799999999999998</v>
      </c>
      <c r="AA91" s="9">
        <f t="shared" ref="AA91" si="406">AA90*$E$5</f>
        <v>7.1999999999999995E-2</v>
      </c>
      <c r="AB91" s="42">
        <f>X91*VLOOKUP($B91,Types!$B$2:$D$13,3,FALSE)*Conv!$I$5*1000*365</f>
        <v>10.300686867296001</v>
      </c>
      <c r="AC91" s="42">
        <f>Y91*VLOOKUP($B91,Types!$B$2:$D$13,3,FALSE)*Conv!$I$5*1000*365</f>
        <v>2.7277080206080004</v>
      </c>
      <c r="AD91" s="42">
        <f>Z91*VLOOKUP($B91,Types!$B$2:$D$13,3,FALSE)*Conv!$I$5*1000*365</f>
        <v>0.64603611014399998</v>
      </c>
      <c r="AE91" s="42">
        <f>AA91*VLOOKUP($B91,Types!$B$2:$D$13,3,FALSE)*Conv!$I$5*1000*365</f>
        <v>0.16150902753599999</v>
      </c>
      <c r="AF91" s="42">
        <f>AB91</f>
        <v>10.300686867296001</v>
      </c>
      <c r="AG91" s="42">
        <f t="shared" ref="AG91" si="407">AC91</f>
        <v>2.7277080206080004</v>
      </c>
      <c r="AH91" s="42">
        <f t="shared" ref="AH91" si="408">AD91</f>
        <v>0.64603611014399998</v>
      </c>
      <c r="AI91" s="42">
        <f t="shared" ref="AI91" si="409">AE91</f>
        <v>0.16150902753599999</v>
      </c>
      <c r="AJ91" s="42"/>
      <c r="AK91" s="42"/>
      <c r="AL91" s="42"/>
    </row>
    <row r="92" spans="1:38">
      <c r="A92" s="9" t="str">
        <f t="shared" ref="A92:A94" si="410">A91</f>
        <v>LS Diesel (500 ppm)</v>
      </c>
      <c r="B92" s="9" t="str">
        <f>VLOOKUP($A92,Types!$A$2:$C$13,2,FALSE)</f>
        <v>DSL</v>
      </c>
      <c r="C92" s="9">
        <v>2</v>
      </c>
      <c r="D92" s="9">
        <v>2</v>
      </c>
      <c r="E92" s="9" t="str">
        <f t="shared" si="313"/>
        <v>IMPDSLP22</v>
      </c>
      <c r="F92" s="9" t="str">
        <f>CONCATENATE("Imported ",VLOOKUP($A92,Types!$A$2:$C$13,3,FALSE),", PADD ",D92,", Step ",RIGHT(C92,1))</f>
        <v>Imported Distillate-Low Sulfur Highway Diesel (500 ppm), PADD 2, Step 2</v>
      </c>
      <c r="G92" s="9" t="str">
        <f>CONCATENATE(VLOOKUP($A92,Types!$A$2:$C$13,2,FALSE),"P",D92)</f>
        <v>DSLP2</v>
      </c>
      <c r="H92" s="66">
        <f>H90*$C$6</f>
        <v>54.385100000000001</v>
      </c>
      <c r="I92" s="66">
        <f t="shared" ref="I92:K92" si="411">I90*$C$6</f>
        <v>48.068020000000004</v>
      </c>
      <c r="J92" s="66">
        <f t="shared" si="411"/>
        <v>111.23</v>
      </c>
      <c r="K92" s="66">
        <f t="shared" si="411"/>
        <v>111.23</v>
      </c>
      <c r="L92" s="67">
        <f>H92*Conv!$J$20/10^6/VLOOKUP($B92,Types!$B$2:$D$13,3,FALSE)/Conv!$I$5</f>
        <v>13.57912815159586</v>
      </c>
      <c r="M92" s="67">
        <f>I92*Conv!$J$20/10^6/VLOOKUP($B92,Types!$B$2:$D$13,3,FALSE)/Conv!$I$5</f>
        <v>12.001849837059652</v>
      </c>
      <c r="N92" s="67" t="e">
        <f>M92*#REF!</f>
        <v>#REF!</v>
      </c>
      <c r="O92" s="67" t="e">
        <f>N92*#REF!</f>
        <v>#REF!</v>
      </c>
      <c r="P92" s="67" t="e">
        <f>O92*#REF!</f>
        <v>#REF!</v>
      </c>
      <c r="Q92" s="67" t="e">
        <f>P92*#REF!</f>
        <v>#REF!</v>
      </c>
      <c r="R92" s="67" t="e">
        <f>Q92*#REF!</f>
        <v>#REF!</v>
      </c>
      <c r="S92" s="67" t="e">
        <f>R92*#REF!</f>
        <v>#REF!</v>
      </c>
      <c r="T92" s="67" t="e">
        <f>S92*#REF!</f>
        <v>#REF!</v>
      </c>
      <c r="U92" s="67" t="e">
        <f>T92*#REF!</f>
        <v>#REF!</v>
      </c>
      <c r="V92" s="67" t="e">
        <f>U92*#REF!</f>
        <v>#REF!</v>
      </c>
      <c r="W92" s="42"/>
      <c r="X92" s="9">
        <f>X90*$E$6</f>
        <v>5.1660000000000004</v>
      </c>
      <c r="Y92" s="9">
        <f t="shared" ref="Y92:AA92" si="412">Y90*$E$6</f>
        <v>1.3680000000000001</v>
      </c>
      <c r="Z92" s="9">
        <f t="shared" si="412"/>
        <v>0.32400000000000001</v>
      </c>
      <c r="AA92" s="9">
        <f t="shared" si="412"/>
        <v>8.1000000000000003E-2</v>
      </c>
      <c r="AB92" s="42">
        <f>X92*VLOOKUP($B92,Types!$B$2:$D$13,3,FALSE)*Conv!$I$5*1000*365</f>
        <v>11.588272725708</v>
      </c>
      <c r="AC92" s="42">
        <f>Y92*VLOOKUP($B92,Types!$B$2:$D$13,3,FALSE)*Conv!$I$5*1000*365</f>
        <v>3.0686715231840003</v>
      </c>
      <c r="AD92" s="42">
        <f>Z92*VLOOKUP($B92,Types!$B$2:$D$13,3,FALSE)*Conv!$I$5*1000*365</f>
        <v>0.726790623912</v>
      </c>
      <c r="AE92" s="42">
        <f>AA92*VLOOKUP($B92,Types!$B$2:$D$13,3,FALSE)*Conv!$I$5*1000*365</f>
        <v>0.181697655978</v>
      </c>
      <c r="AF92" s="42">
        <f>AB92-AF91</f>
        <v>1.2875858584119992</v>
      </c>
      <c r="AG92" s="42">
        <f t="shared" ref="AG92" si="413">AC92-AG91</f>
        <v>0.34096350257599983</v>
      </c>
      <c r="AH92" s="42">
        <f t="shared" ref="AH92" si="414">AD92-AH91</f>
        <v>8.0754513768000025E-2</v>
      </c>
      <c r="AI92" s="42">
        <f t="shared" ref="AI92" si="415">AE92-AI91</f>
        <v>2.0188628442000006E-2</v>
      </c>
      <c r="AJ92" s="42"/>
      <c r="AK92" s="42"/>
      <c r="AL92" s="42"/>
    </row>
    <row r="93" spans="1:38">
      <c r="A93" s="9" t="str">
        <f t="shared" si="410"/>
        <v>LS Diesel (500 ppm)</v>
      </c>
      <c r="B93" s="9" t="str">
        <f>VLOOKUP($A93,Types!$A$2:$C$13,2,FALSE)</f>
        <v>DSL</v>
      </c>
      <c r="C93" s="9">
        <v>4</v>
      </c>
      <c r="D93" s="9">
        <v>2</v>
      </c>
      <c r="E93" s="9" t="str">
        <f t="shared" si="313"/>
        <v>IMPDSLP24</v>
      </c>
      <c r="F93" s="9" t="str">
        <f>CONCATENATE("Imported ",VLOOKUP($A93,Types!$A$2:$C$13,3,FALSE),", PADD ",D93,", Step ",RIGHT(C93,1))</f>
        <v>Imported Distillate-Low Sulfur Highway Diesel (500 ppm), PADD 2, Step 4</v>
      </c>
      <c r="G93" s="9" t="str">
        <f>CONCATENATE(VLOOKUP($A93,Types!$A$2:$C$13,2,FALSE),"P",D93)</f>
        <v>DSLP2</v>
      </c>
      <c r="H93" s="66">
        <f>H90*$C$8</f>
        <v>60.489550000000008</v>
      </c>
      <c r="I93" s="66">
        <f t="shared" ref="I93:K93" si="416">I90*$C$8</f>
        <v>53.46341000000001</v>
      </c>
      <c r="J93" s="66">
        <f t="shared" si="416"/>
        <v>123.715</v>
      </c>
      <c r="K93" s="66">
        <f t="shared" si="416"/>
        <v>123.715</v>
      </c>
      <c r="L93" s="67">
        <f>H93*Conv!$J$20/10^6/VLOOKUP($B93,Types!$B$2:$D$13,3,FALSE)/Conv!$I$5</f>
        <v>15.103316005346416</v>
      </c>
      <c r="M93" s="67">
        <f>I93*Conv!$J$20/10^6/VLOOKUP($B93,Types!$B$2:$D$13,3,FALSE)/Conv!$I$5</f>
        <v>13.34899624734186</v>
      </c>
      <c r="N93" s="67" t="e">
        <f>M93*#REF!</f>
        <v>#REF!</v>
      </c>
      <c r="O93" s="67" t="e">
        <f>N93*#REF!</f>
        <v>#REF!</v>
      </c>
      <c r="P93" s="67" t="e">
        <f>O93*#REF!</f>
        <v>#REF!</v>
      </c>
      <c r="Q93" s="67" t="e">
        <f>P93*#REF!</f>
        <v>#REF!</v>
      </c>
      <c r="R93" s="67" t="e">
        <f>Q93*#REF!</f>
        <v>#REF!</v>
      </c>
      <c r="S93" s="67" t="e">
        <f>R93*#REF!</f>
        <v>#REF!</v>
      </c>
      <c r="T93" s="67" t="e">
        <f>S93*#REF!</f>
        <v>#REF!</v>
      </c>
      <c r="U93" s="67" t="e">
        <f>T93*#REF!</f>
        <v>#REF!</v>
      </c>
      <c r="V93" s="67" t="e">
        <f>U93*#REF!</f>
        <v>#REF!</v>
      </c>
      <c r="W93" s="42"/>
      <c r="X93" s="9">
        <f>X90*$E$8</f>
        <v>6.8879999999999999</v>
      </c>
      <c r="Y93" s="9">
        <f t="shared" ref="Y93:AA93" si="417">Y90*$E$8</f>
        <v>1.8239999999999998</v>
      </c>
      <c r="Z93" s="9">
        <f t="shared" si="417"/>
        <v>0.432</v>
      </c>
      <c r="AA93" s="9">
        <f t="shared" si="417"/>
        <v>0.108</v>
      </c>
      <c r="AB93" s="42">
        <f>X93*VLOOKUP($B93,Types!$B$2:$D$13,3,FALSE)*Conv!$I$5*1000*365</f>
        <v>15.451030300944</v>
      </c>
      <c r="AC93" s="42">
        <f>Y93*VLOOKUP($B93,Types!$B$2:$D$13,3,FALSE)*Conv!$I$5*1000*365</f>
        <v>4.0915620309119989</v>
      </c>
      <c r="AD93" s="42">
        <f>Z93*VLOOKUP($B93,Types!$B$2:$D$13,3,FALSE)*Conv!$I$5*1000*365</f>
        <v>0.96905416521599985</v>
      </c>
      <c r="AE93" s="42">
        <f>AA93*VLOOKUP($B93,Types!$B$2:$D$13,3,FALSE)*Conv!$I$5*1000*365</f>
        <v>0.24226354130399996</v>
      </c>
      <c r="AF93" s="42">
        <f>AB93-AB90</f>
        <v>2.5751717168240003</v>
      </c>
      <c r="AG93" s="42">
        <f t="shared" ref="AG93" si="418">AC93-AC90</f>
        <v>0.68192700515199878</v>
      </c>
      <c r="AH93" s="42">
        <f t="shared" ref="AH93" si="419">AD93-AD90</f>
        <v>0.16150902753599994</v>
      </c>
      <c r="AI93" s="42">
        <f t="shared" ref="AI93" si="420">AE93-AE90</f>
        <v>4.0377256883999985E-2</v>
      </c>
      <c r="AJ93" s="42"/>
      <c r="AK93" s="42"/>
      <c r="AL93" s="42"/>
    </row>
    <row r="94" spans="1:38">
      <c r="A94" s="9" t="str">
        <f t="shared" si="410"/>
        <v>LS Diesel (500 ppm)</v>
      </c>
      <c r="B94" s="9" t="str">
        <f>VLOOKUP($A94,Types!$A$2:$C$13,2,FALSE)</f>
        <v>DSL</v>
      </c>
      <c r="C94" s="9">
        <v>5</v>
      </c>
      <c r="D94" s="9">
        <v>2</v>
      </c>
      <c r="E94" s="9" t="str">
        <f t="shared" si="313"/>
        <v>IMPDSLP25</v>
      </c>
      <c r="F94" s="9" t="str">
        <f>CONCATENATE("Imported ",VLOOKUP($A94,Types!$A$2:$C$13,3,FALSE),", PADD ",D94,", Step ",RIGHT(C94,1))</f>
        <v>Imported Distillate-Low Sulfur Highway Diesel (500 ppm), PADD 2, Step 5</v>
      </c>
      <c r="G94" s="9" t="str">
        <f>CONCATENATE(VLOOKUP($A94,Types!$A$2:$C$13,2,FALSE),"P",D94)</f>
        <v>DSLP2</v>
      </c>
      <c r="H94" s="66">
        <f>H90*$C$9</f>
        <v>72.143500000000003</v>
      </c>
      <c r="I94" s="66">
        <f t="shared" ref="I94:K94" si="421">I90*$C$9</f>
        <v>63.763700000000014</v>
      </c>
      <c r="J94" s="66">
        <f t="shared" si="421"/>
        <v>147.55000000000001</v>
      </c>
      <c r="K94" s="66">
        <f t="shared" si="421"/>
        <v>147.55000000000001</v>
      </c>
      <c r="L94" s="67">
        <f>H94*Conv!$J$20/10^6/VLOOKUP($B94,Types!$B$2:$D$13,3,FALSE)/Conv!$I$5</f>
        <v>18.013129180688384</v>
      </c>
      <c r="M94" s="67">
        <f>I94*Conv!$J$20/10^6/VLOOKUP($B94,Types!$B$2:$D$13,3,FALSE)/Conv!$I$5</f>
        <v>15.920821212426068</v>
      </c>
      <c r="N94" s="67" t="e">
        <f>M94*#REF!</f>
        <v>#REF!</v>
      </c>
      <c r="O94" s="67" t="e">
        <f>N94*#REF!</f>
        <v>#REF!</v>
      </c>
      <c r="P94" s="67" t="e">
        <f>O94*#REF!</f>
        <v>#REF!</v>
      </c>
      <c r="Q94" s="67" t="e">
        <f>P94*#REF!</f>
        <v>#REF!</v>
      </c>
      <c r="R94" s="67" t="e">
        <f>Q94*#REF!</f>
        <v>#REF!</v>
      </c>
      <c r="S94" s="67" t="e">
        <f>R94*#REF!</f>
        <v>#REF!</v>
      </c>
      <c r="T94" s="67" t="e">
        <f>S94*#REF!</f>
        <v>#REF!</v>
      </c>
      <c r="U94" s="67" t="e">
        <f>T94*#REF!</f>
        <v>#REF!</v>
      </c>
      <c r="V94" s="67" t="e">
        <f>U94*#REF!</f>
        <v>#REF!</v>
      </c>
      <c r="W94" s="42"/>
      <c r="X94" s="9">
        <f>X90*$E$9</f>
        <v>11.48</v>
      </c>
      <c r="Y94" s="9">
        <f t="shared" ref="Y94:AA94" si="422">Y90*$E$9</f>
        <v>3.04</v>
      </c>
      <c r="Z94" s="9">
        <f t="shared" si="422"/>
        <v>0.72</v>
      </c>
      <c r="AA94" s="9">
        <f t="shared" si="422"/>
        <v>0.18</v>
      </c>
      <c r="AB94" s="42">
        <f>X94*VLOOKUP($B94,Types!$B$2:$D$13,3,FALSE)*Conv!$I$5*1000*365</f>
        <v>25.751717168239999</v>
      </c>
      <c r="AC94" s="42">
        <f>Y94*VLOOKUP($B94,Types!$B$2:$D$13,3,FALSE)*Conv!$I$5*1000*365</f>
        <v>6.8192700515200002</v>
      </c>
      <c r="AD94" s="42">
        <f>Z94*VLOOKUP($B94,Types!$B$2:$D$13,3,FALSE)*Conv!$I$5*1000*365</f>
        <v>1.6150902753599998</v>
      </c>
      <c r="AE94" s="42">
        <f>AA94*VLOOKUP($B94,Types!$B$2:$D$13,3,FALSE)*Conv!$I$5*1000*365</f>
        <v>0.40377256883999996</v>
      </c>
      <c r="AF94" s="42">
        <f>AB94-AB93</f>
        <v>10.300686867295999</v>
      </c>
      <c r="AG94" s="42">
        <f t="shared" ref="AG94" si="423">AC94-AC93</f>
        <v>2.7277080206080013</v>
      </c>
      <c r="AH94" s="42">
        <f t="shared" ref="AH94" si="424">AD94-AD93</f>
        <v>0.64603611014399998</v>
      </c>
      <c r="AI94" s="42">
        <f t="shared" ref="AI94" si="425">AE94-AE93</f>
        <v>0.16150902753599999</v>
      </c>
      <c r="AJ94" s="42"/>
      <c r="AK94" s="42"/>
      <c r="AL94" s="42"/>
    </row>
    <row r="95" spans="1:38">
      <c r="A95" s="9" t="str">
        <f>'Agg prdcrv'!$A$10</f>
        <v>Low Sulfur Fuel Oil</v>
      </c>
      <c r="B95" s="9" t="str">
        <f>VLOOKUP($A95,Types!$A$2:$C$13,2,FALSE)</f>
        <v>RFL</v>
      </c>
      <c r="C95" s="9">
        <v>3</v>
      </c>
      <c r="D95" s="9">
        <v>2</v>
      </c>
      <c r="E95" s="9" t="str">
        <f t="shared" si="313"/>
        <v>IMPRFLP23</v>
      </c>
      <c r="F95" s="9" t="str">
        <f>CONCATENATE("Imported ",VLOOKUP($A95,Types!$A$2:$C$13,3,FALSE),", PADD ",D95,", Step ",RIGHT(C95,1))</f>
        <v>Imported Low Sulfur Residual Fuel Oil, PADD 2, Step 3</v>
      </c>
      <c r="G95" s="9" t="str">
        <f>CONCATENATE(VLOOKUP($A95,Types!$A$2:$C$13,2,FALSE),"P",D95)</f>
        <v>RFLP2</v>
      </c>
      <c r="H95" s="66">
        <f>SUMIFS('Agg prdcrv'!$M$6:$M$100,'Agg prdcrv'!$A$6:$A$100,'Imp Refined'!$A95,'Agg prdcrv'!$B$6:$B$100,H$11)*K4</f>
        <v>43.120000000000005</v>
      </c>
      <c r="I95" s="66">
        <f>SUMIFS('Agg prdcrv'!$M$6:$M$100,'Agg prdcrv'!$A$6:$A$100,'Imp Refined'!$A95,'Agg prdcrv'!$B$6:$B$100,I$11)*K4</f>
        <v>36.750999999999998</v>
      </c>
      <c r="J95" s="66">
        <f t="array" ref="J95">SUMIFS('Agg prdcrv'!$M$6:$M$100,'Agg prdcrv'!$A$6:$A$100,'Imp Refined'!$A95,'Agg prdcrv'!$B$6:$B$100,J$11)</f>
        <v>29.19</v>
      </c>
      <c r="K95" s="66">
        <f t="array" ref="K95">SUMIFS('Agg prdcrv'!$M$6:$M$100,'Agg prdcrv'!$A$6:$A$100,'Imp Refined'!$A95,'Agg prdcrv'!$B$6:$B$100,K$11)</f>
        <v>32.119999999999997</v>
      </c>
      <c r="L95" s="67">
        <f>H95*Conv!$J$20/10^6/VLOOKUP($B95,Types!$B$2:$D$13,3,FALSE)/Conv!$I$5</f>
        <v>9.9752359489009166</v>
      </c>
      <c r="M95" s="67">
        <f>I95*Conv!$J$20/10^6/VLOOKUP($B95,Types!$B$2:$D$13,3,FALSE)/Conv!$I$5</f>
        <v>8.5018528839994776</v>
      </c>
      <c r="N95" s="67" t="e">
        <f>M95*#REF!</f>
        <v>#REF!</v>
      </c>
      <c r="O95" s="67" t="e">
        <f>N95*#REF!</f>
        <v>#REF!</v>
      </c>
      <c r="P95" s="67" t="e">
        <f>O95*#REF!</f>
        <v>#REF!</v>
      </c>
      <c r="Q95" s="67" t="e">
        <f>P95*#REF!</f>
        <v>#REF!</v>
      </c>
      <c r="R95" s="67" t="e">
        <f>Q95*#REF!</f>
        <v>#REF!</v>
      </c>
      <c r="S95" s="67" t="e">
        <f>R95*#REF!</f>
        <v>#REF!</v>
      </c>
      <c r="T95" s="67" t="e">
        <f>S95*#REF!</f>
        <v>#REF!</v>
      </c>
      <c r="U95" s="67" t="e">
        <f>T95*#REF!</f>
        <v>#REF!</v>
      </c>
      <c r="V95" s="67" t="e">
        <f>U95*#REF!</f>
        <v>#REF!</v>
      </c>
      <c r="W95" s="42"/>
      <c r="X95" s="9">
        <f t="array" ref="X95">SUMIFS('Agg prdcrv'!$E$6:$E$100,'Agg prdcrv'!$A$6:$A$100,'Imp Refined'!$A95,'Agg prdcrv'!$B$6:$B$100,X$11)</f>
        <v>2.82</v>
      </c>
      <c r="Y95" s="9">
        <f t="array" ref="Y95">SUMIFS('Agg prdcrv'!$E$6:$E$100,'Agg prdcrv'!$A$6:$A$100,'Imp Refined'!$A95,'Agg prdcrv'!$B$6:$B$100,Y$11)</f>
        <v>1.73</v>
      </c>
      <c r="Z95" s="9">
        <f t="array" ref="Z95">SUMIFS('Agg prdcrv'!$E$6:$E$100,'Agg prdcrv'!$A$6:$A$100,'Imp Refined'!$A95,'Agg prdcrv'!$B$6:$B$100,Z$11)</f>
        <v>1.91</v>
      </c>
      <c r="AA95" s="9">
        <f t="array" ref="AA95">SUMIFS('Agg prdcrv'!$E$6:$E$100,'Agg prdcrv'!$A$6:$A$100,'Imp Refined'!$A95,'Agg prdcrv'!$B$6:$B$100,AA$11)</f>
        <v>2.11</v>
      </c>
      <c r="AB95" s="42">
        <f>X95*VLOOKUP($B95,Types!$B$2:$D$13,3,FALSE)*Conv!$I$5*1000*365</f>
        <v>6.8274879882096</v>
      </c>
      <c r="AC95" s="42">
        <f>Y95*VLOOKUP($B95,Types!$B$2:$D$13,3,FALSE)*Conv!$I$5*1000*365</f>
        <v>4.1884944041143992</v>
      </c>
      <c r="AD95" s="42">
        <f>Z95*VLOOKUP($B95,Types!$B$2:$D$13,3,FALSE)*Conv!$I$5*1000*365</f>
        <v>4.6242915097447996</v>
      </c>
      <c r="AE95" s="42">
        <f>AA95*VLOOKUP($B95,Types!$B$2:$D$13,3,FALSE)*Conv!$I$5*1000*365</f>
        <v>5.1085105160007993</v>
      </c>
      <c r="AF95" s="42">
        <f>AB95-AB97</f>
        <v>0.68274879882096062</v>
      </c>
      <c r="AG95" s="42">
        <f t="shared" ref="AG95" si="426">AC95-AC97</f>
        <v>0.41884944041144001</v>
      </c>
      <c r="AH95" s="42">
        <f t="shared" ref="AH95" si="427">AD95-AD97</f>
        <v>0.46242915097448023</v>
      </c>
      <c r="AI95" s="42">
        <f t="shared" ref="AI95" si="428">AE95-AE97</f>
        <v>0.51085105160007949</v>
      </c>
      <c r="AJ95" s="42"/>
      <c r="AK95" s="42"/>
      <c r="AL95" s="42"/>
    </row>
    <row r="96" spans="1:38">
      <c r="A96" s="9" t="str">
        <f>A95</f>
        <v>Low Sulfur Fuel Oil</v>
      </c>
      <c r="B96" s="9" t="str">
        <f>VLOOKUP($A96,Types!$A$2:$C$13,2,FALSE)</f>
        <v>RFL</v>
      </c>
      <c r="C96" s="9">
        <v>1</v>
      </c>
      <c r="D96" s="9">
        <v>2</v>
      </c>
      <c r="E96" s="9" t="str">
        <f t="shared" si="313"/>
        <v>IMPRFLP21</v>
      </c>
      <c r="F96" s="9" t="str">
        <f>CONCATENATE("Imported ",VLOOKUP($A96,Types!$A$2:$C$13,3,FALSE),", PADD ",D96,", Step ",RIGHT(C96,1))</f>
        <v>Imported Low Sulfur Residual Fuel Oil, PADD 2, Step 1</v>
      </c>
      <c r="G96" s="9" t="str">
        <f>CONCATENATE(VLOOKUP($A96,Types!$A$2:$C$13,2,FALSE),"P",D96)</f>
        <v>RFLP2</v>
      </c>
      <c r="H96" s="66">
        <f>H95*$C$5</f>
        <v>40.964000000000006</v>
      </c>
      <c r="I96" s="66">
        <f t="shared" ref="I96" si="429">I95*$C$5</f>
        <v>34.913449999999997</v>
      </c>
      <c r="J96" s="66">
        <f t="shared" ref="J96" si="430">J95*$C$5</f>
        <v>27.730499999999999</v>
      </c>
      <c r="K96" s="66">
        <f t="shared" ref="K96" si="431">K95*$C$5</f>
        <v>30.513999999999996</v>
      </c>
      <c r="L96" s="67">
        <f>H96*Conv!$J$20/10^6/VLOOKUP($B96,Types!$B$2:$D$13,3,FALSE)/Conv!$I$5</f>
        <v>9.4764741514558697</v>
      </c>
      <c r="M96" s="67">
        <f>I96*Conv!$J$20/10^6/VLOOKUP($B96,Types!$B$2:$D$13,3,FALSE)/Conv!$I$5</f>
        <v>8.0767602397995031</v>
      </c>
      <c r="N96" s="67" t="e">
        <f>M96*#REF!</f>
        <v>#REF!</v>
      </c>
      <c r="O96" s="67" t="e">
        <f>N96*#REF!</f>
        <v>#REF!</v>
      </c>
      <c r="P96" s="67" t="e">
        <f>O96*#REF!</f>
        <v>#REF!</v>
      </c>
      <c r="Q96" s="67" t="e">
        <f>P96*#REF!</f>
        <v>#REF!</v>
      </c>
      <c r="R96" s="67" t="e">
        <f>Q96*#REF!</f>
        <v>#REF!</v>
      </c>
      <c r="S96" s="67" t="e">
        <f>R96*#REF!</f>
        <v>#REF!</v>
      </c>
      <c r="T96" s="67" t="e">
        <f>S96*#REF!</f>
        <v>#REF!</v>
      </c>
      <c r="U96" s="67" t="e">
        <f>T96*#REF!</f>
        <v>#REF!</v>
      </c>
      <c r="V96" s="67" t="e">
        <f>U96*#REF!</f>
        <v>#REF!</v>
      </c>
      <c r="W96" s="42"/>
      <c r="X96" s="9">
        <f>X95*$E$5</f>
        <v>2.2559999999999998</v>
      </c>
      <c r="Y96" s="9">
        <f t="shared" ref="Y96" si="432">Y95*$E$5</f>
        <v>1.3840000000000001</v>
      </c>
      <c r="Z96" s="9">
        <f t="shared" ref="Z96" si="433">Z95*$E$5</f>
        <v>1.528</v>
      </c>
      <c r="AA96" s="9">
        <f t="shared" ref="AA96" si="434">AA95*$E$5</f>
        <v>1.6879999999999999</v>
      </c>
      <c r="AB96" s="42">
        <f>X96*VLOOKUP($B96,Types!$B$2:$D$13,3,FALSE)*Conv!$I$5*1000*365</f>
        <v>5.4619903905676788</v>
      </c>
      <c r="AC96" s="42">
        <f>Y96*VLOOKUP($B96,Types!$B$2:$D$13,3,FALSE)*Conv!$I$5*1000*365</f>
        <v>3.3507955232915196</v>
      </c>
      <c r="AD96" s="42">
        <f>Z96*VLOOKUP($B96,Types!$B$2:$D$13,3,FALSE)*Conv!$I$5*1000*365</f>
        <v>3.6994332077958396</v>
      </c>
      <c r="AE96" s="42">
        <f>AA96*VLOOKUP($B96,Types!$B$2:$D$13,3,FALSE)*Conv!$I$5*1000*365</f>
        <v>4.0868084128006403</v>
      </c>
      <c r="AF96" s="42">
        <f>AB96</f>
        <v>5.4619903905676788</v>
      </c>
      <c r="AG96" s="42">
        <f t="shared" ref="AG96" si="435">AC96</f>
        <v>3.3507955232915196</v>
      </c>
      <c r="AH96" s="42">
        <f t="shared" ref="AH96" si="436">AD96</f>
        <v>3.6994332077958396</v>
      </c>
      <c r="AI96" s="42">
        <f t="shared" ref="AI96" si="437">AE96</f>
        <v>4.0868084128006403</v>
      </c>
      <c r="AJ96" s="42"/>
      <c r="AK96" s="42"/>
      <c r="AL96" s="42"/>
    </row>
    <row r="97" spans="1:38">
      <c r="A97" s="9" t="str">
        <f t="shared" ref="A97:A99" si="438">A96</f>
        <v>Low Sulfur Fuel Oil</v>
      </c>
      <c r="B97" s="9" t="str">
        <f>VLOOKUP($A97,Types!$A$2:$C$13,2,FALSE)</f>
        <v>RFL</v>
      </c>
      <c r="C97" s="9">
        <v>2</v>
      </c>
      <c r="D97" s="9">
        <v>2</v>
      </c>
      <c r="E97" s="9" t="str">
        <f t="shared" si="313"/>
        <v>IMPRFLP22</v>
      </c>
      <c r="F97" s="9" t="str">
        <f>CONCATENATE("Imported ",VLOOKUP($A97,Types!$A$2:$C$13,3,FALSE),", PADD ",D97,", Step ",RIGHT(C97,1))</f>
        <v>Imported Low Sulfur Residual Fuel Oil, PADD 2, Step 2</v>
      </c>
      <c r="G97" s="9" t="str">
        <f>CONCATENATE(VLOOKUP($A97,Types!$A$2:$C$13,2,FALSE),"P",D97)</f>
        <v>RFLP2</v>
      </c>
      <c r="H97" s="66">
        <f>H95*$C$6</f>
        <v>42.257600000000004</v>
      </c>
      <c r="I97" s="66">
        <f t="shared" ref="I97:K97" si="439">I95*$C$6</f>
        <v>36.015979999999999</v>
      </c>
      <c r="J97" s="66">
        <f t="shared" si="439"/>
        <v>28.606200000000001</v>
      </c>
      <c r="K97" s="66">
        <f t="shared" si="439"/>
        <v>31.477599999999995</v>
      </c>
      <c r="L97" s="67">
        <f>H97*Conv!$J$20/10^6/VLOOKUP($B97,Types!$B$2:$D$13,3,FALSE)/Conv!$I$5</f>
        <v>9.7757312299228953</v>
      </c>
      <c r="M97" s="67">
        <f>I97*Conv!$J$20/10^6/VLOOKUP($B97,Types!$B$2:$D$13,3,FALSE)/Conv!$I$5</f>
        <v>8.3318158263194881</v>
      </c>
      <c r="N97" s="67" t="e">
        <f>M97*#REF!</f>
        <v>#REF!</v>
      </c>
      <c r="O97" s="67" t="e">
        <f>N97*#REF!</f>
        <v>#REF!</v>
      </c>
      <c r="P97" s="67" t="e">
        <f>O97*#REF!</f>
        <v>#REF!</v>
      </c>
      <c r="Q97" s="67" t="e">
        <f>P97*#REF!</f>
        <v>#REF!</v>
      </c>
      <c r="R97" s="67" t="e">
        <f>Q97*#REF!</f>
        <v>#REF!</v>
      </c>
      <c r="S97" s="67" t="e">
        <f>R97*#REF!</f>
        <v>#REF!</v>
      </c>
      <c r="T97" s="67" t="e">
        <f>S97*#REF!</f>
        <v>#REF!</v>
      </c>
      <c r="U97" s="67" t="e">
        <f>T97*#REF!</f>
        <v>#REF!</v>
      </c>
      <c r="V97" s="67" t="e">
        <f>U97*#REF!</f>
        <v>#REF!</v>
      </c>
      <c r="W97" s="42"/>
      <c r="X97" s="9">
        <f>X95*$E$6</f>
        <v>2.5379999999999998</v>
      </c>
      <c r="Y97" s="9">
        <f t="shared" ref="Y97:AA97" si="440">Y95*$E$6</f>
        <v>1.5569999999999999</v>
      </c>
      <c r="Z97" s="9">
        <f t="shared" si="440"/>
        <v>1.7189999999999999</v>
      </c>
      <c r="AA97" s="9">
        <f t="shared" si="440"/>
        <v>1.899</v>
      </c>
      <c r="AB97" s="42">
        <f>X97*VLOOKUP($B97,Types!$B$2:$D$13,3,FALSE)*Conv!$I$5*1000*365</f>
        <v>6.1447391893886394</v>
      </c>
      <c r="AC97" s="42">
        <f>Y97*VLOOKUP($B97,Types!$B$2:$D$13,3,FALSE)*Conv!$I$5*1000*365</f>
        <v>3.7696449637029592</v>
      </c>
      <c r="AD97" s="42">
        <f>Z97*VLOOKUP($B97,Types!$B$2:$D$13,3,FALSE)*Conv!$I$5*1000*365</f>
        <v>4.1618623587703194</v>
      </c>
      <c r="AE97" s="42">
        <f>AA97*VLOOKUP($B97,Types!$B$2:$D$13,3,FALSE)*Conv!$I$5*1000*365</f>
        <v>4.5976594644007198</v>
      </c>
      <c r="AF97" s="42">
        <f>AB97-AF96</f>
        <v>0.68274879882096062</v>
      </c>
      <c r="AG97" s="42">
        <f t="shared" ref="AG97" si="441">AC97-AG96</f>
        <v>0.41884944041143957</v>
      </c>
      <c r="AH97" s="42">
        <f t="shared" ref="AH97" si="442">AD97-AH96</f>
        <v>0.46242915097447979</v>
      </c>
      <c r="AI97" s="42">
        <f t="shared" ref="AI97" si="443">AE97-AI96</f>
        <v>0.51085105160007949</v>
      </c>
      <c r="AJ97" s="42"/>
      <c r="AK97" s="42"/>
      <c r="AL97" s="42"/>
    </row>
    <row r="98" spans="1:38">
      <c r="A98" s="9" t="str">
        <f t="shared" si="438"/>
        <v>Low Sulfur Fuel Oil</v>
      </c>
      <c r="B98" s="9" t="str">
        <f>VLOOKUP($A98,Types!$A$2:$C$13,2,FALSE)</f>
        <v>RFL</v>
      </c>
      <c r="C98" s="9">
        <v>4</v>
      </c>
      <c r="D98" s="9">
        <v>2</v>
      </c>
      <c r="E98" s="9" t="str">
        <f t="shared" si="313"/>
        <v>IMPRFLP24</v>
      </c>
      <c r="F98" s="9" t="str">
        <f>CONCATENATE("Imported ",VLOOKUP($A98,Types!$A$2:$C$13,3,FALSE),", PADD ",D98,", Step ",RIGHT(C98,1))</f>
        <v>Imported Low Sulfur Residual Fuel Oil, PADD 2, Step 4</v>
      </c>
      <c r="G98" s="9" t="str">
        <f>CONCATENATE(VLOOKUP($A98,Types!$A$2:$C$13,2,FALSE),"P",D98)</f>
        <v>RFLP2</v>
      </c>
      <c r="H98" s="66">
        <f>H95*$C$8</f>
        <v>47.000800000000005</v>
      </c>
      <c r="I98" s="66">
        <f t="shared" ref="I98:K98" si="444">I95*$C$8</f>
        <v>40.058590000000002</v>
      </c>
      <c r="J98" s="66">
        <f t="shared" si="444"/>
        <v>31.817100000000003</v>
      </c>
      <c r="K98" s="66">
        <f t="shared" si="444"/>
        <v>35.010800000000003</v>
      </c>
      <c r="L98" s="67">
        <f>H98*Conv!$J$20/10^6/VLOOKUP($B98,Types!$B$2:$D$13,3,FALSE)/Conv!$I$5</f>
        <v>10.873007184301995</v>
      </c>
      <c r="M98" s="67">
        <f>I98*Conv!$J$20/10^6/VLOOKUP($B98,Types!$B$2:$D$13,3,FALSE)/Conv!$I$5</f>
        <v>9.267019643559431</v>
      </c>
      <c r="N98" s="67" t="e">
        <f>M98*#REF!</f>
        <v>#REF!</v>
      </c>
      <c r="O98" s="67" t="e">
        <f>N98*#REF!</f>
        <v>#REF!</v>
      </c>
      <c r="P98" s="67" t="e">
        <f>O98*#REF!</f>
        <v>#REF!</v>
      </c>
      <c r="Q98" s="67" t="e">
        <f>P98*#REF!</f>
        <v>#REF!</v>
      </c>
      <c r="R98" s="67" t="e">
        <f>Q98*#REF!</f>
        <v>#REF!</v>
      </c>
      <c r="S98" s="67" t="e">
        <f>R98*#REF!</f>
        <v>#REF!</v>
      </c>
      <c r="T98" s="67" t="e">
        <f>S98*#REF!</f>
        <v>#REF!</v>
      </c>
      <c r="U98" s="67" t="e">
        <f>T98*#REF!</f>
        <v>#REF!</v>
      </c>
      <c r="V98" s="67" t="e">
        <f>U98*#REF!</f>
        <v>#REF!</v>
      </c>
      <c r="W98" s="42"/>
      <c r="X98" s="9">
        <f>X95*$E$8</f>
        <v>3.3839999999999999</v>
      </c>
      <c r="Y98" s="9">
        <f t="shared" ref="Y98:AA98" si="445">Y95*$E$8</f>
        <v>2.0760000000000001</v>
      </c>
      <c r="Z98" s="9">
        <f t="shared" si="445"/>
        <v>2.2919999999999998</v>
      </c>
      <c r="AA98" s="9">
        <f t="shared" si="445"/>
        <v>2.5319999999999996</v>
      </c>
      <c r="AB98" s="42">
        <f>X98*VLOOKUP($B98,Types!$B$2:$D$13,3,FALSE)*Conv!$I$5*1000*365</f>
        <v>8.1929855858515204</v>
      </c>
      <c r="AC98" s="42">
        <f>Y98*VLOOKUP($B98,Types!$B$2:$D$13,3,FALSE)*Conv!$I$5*1000*365</f>
        <v>5.0261932849372792</v>
      </c>
      <c r="AD98" s="42">
        <f>Z98*VLOOKUP($B98,Types!$B$2:$D$13,3,FALSE)*Conv!$I$5*1000*365</f>
        <v>5.5491498116937592</v>
      </c>
      <c r="AE98" s="42">
        <f>AA98*VLOOKUP($B98,Types!$B$2:$D$13,3,FALSE)*Conv!$I$5*1000*365</f>
        <v>6.1302126192009583</v>
      </c>
      <c r="AF98" s="42">
        <f>AB98-AB95</f>
        <v>1.3654975976419204</v>
      </c>
      <c r="AG98" s="42">
        <f t="shared" ref="AG98" si="446">AC98-AC95</f>
        <v>0.83769888082288002</v>
      </c>
      <c r="AH98" s="42">
        <f t="shared" ref="AH98" si="447">AD98-AD95</f>
        <v>0.92485830194895957</v>
      </c>
      <c r="AI98" s="42">
        <f t="shared" ref="AI98" si="448">AE98-AE95</f>
        <v>1.021702103200159</v>
      </c>
      <c r="AJ98" s="42"/>
      <c r="AK98" s="42"/>
      <c r="AL98" s="42"/>
    </row>
    <row r="99" spans="1:38">
      <c r="A99" s="9" t="str">
        <f t="shared" si="438"/>
        <v>Low Sulfur Fuel Oil</v>
      </c>
      <c r="B99" s="9" t="str">
        <f>VLOOKUP($A99,Types!$A$2:$C$13,2,FALSE)</f>
        <v>RFL</v>
      </c>
      <c r="C99" s="9">
        <v>5</v>
      </c>
      <c r="D99" s="9">
        <v>2</v>
      </c>
      <c r="E99" s="9" t="str">
        <f t="shared" si="313"/>
        <v>IMPRFLP25</v>
      </c>
      <c r="F99" s="9" t="str">
        <f>CONCATENATE("Imported ",VLOOKUP($A99,Types!$A$2:$C$13,3,FALSE),", PADD ",D99,", Step ",RIGHT(C99,1))</f>
        <v>Imported Low Sulfur Residual Fuel Oil, PADD 2, Step 5</v>
      </c>
      <c r="G99" s="9" t="str">
        <f>CONCATENATE(VLOOKUP($A99,Types!$A$2:$C$13,2,FALSE),"P",D99)</f>
        <v>RFLP2</v>
      </c>
      <c r="H99" s="66">
        <f>H95*$C$9</f>
        <v>56.056000000000004</v>
      </c>
      <c r="I99" s="66">
        <f t="shared" ref="I99:K99" si="449">I95*$C$9</f>
        <v>47.776299999999999</v>
      </c>
      <c r="J99" s="66">
        <f t="shared" si="449"/>
        <v>37.947000000000003</v>
      </c>
      <c r="K99" s="66">
        <f t="shared" si="449"/>
        <v>41.756</v>
      </c>
      <c r="L99" s="67">
        <f>H99*Conv!$J$20/10^6/VLOOKUP($B99,Types!$B$2:$D$13,3,FALSE)/Conv!$I$5</f>
        <v>12.967806733571189</v>
      </c>
      <c r="M99" s="67">
        <f>I99*Conv!$J$20/10^6/VLOOKUP($B99,Types!$B$2:$D$13,3,FALSE)/Conv!$I$5</f>
        <v>11.052408749199319</v>
      </c>
      <c r="N99" s="67" t="e">
        <f>M99*#REF!</f>
        <v>#REF!</v>
      </c>
      <c r="O99" s="67" t="e">
        <f>N99*#REF!</f>
        <v>#REF!</v>
      </c>
      <c r="P99" s="67" t="e">
        <f>O99*#REF!</f>
        <v>#REF!</v>
      </c>
      <c r="Q99" s="67" t="e">
        <f>P99*#REF!</f>
        <v>#REF!</v>
      </c>
      <c r="R99" s="67" t="e">
        <f>Q99*#REF!</f>
        <v>#REF!</v>
      </c>
      <c r="S99" s="67" t="e">
        <f>R99*#REF!</f>
        <v>#REF!</v>
      </c>
      <c r="T99" s="67" t="e">
        <f>S99*#REF!</f>
        <v>#REF!</v>
      </c>
      <c r="U99" s="67" t="e">
        <f>T99*#REF!</f>
        <v>#REF!</v>
      </c>
      <c r="V99" s="67" t="e">
        <f>U99*#REF!</f>
        <v>#REF!</v>
      </c>
      <c r="W99" s="42"/>
      <c r="X99" s="9">
        <f>X95*$E$9</f>
        <v>5.64</v>
      </c>
      <c r="Y99" s="9">
        <f t="shared" ref="Y99:AA99" si="450">Y95*$E$9</f>
        <v>3.46</v>
      </c>
      <c r="Z99" s="9">
        <f t="shared" si="450"/>
        <v>3.82</v>
      </c>
      <c r="AA99" s="9">
        <f t="shared" si="450"/>
        <v>4.22</v>
      </c>
      <c r="AB99" s="42">
        <f>X99*VLOOKUP($B99,Types!$B$2:$D$13,3,FALSE)*Conv!$I$5*1000*365</f>
        <v>13.6549759764192</v>
      </c>
      <c r="AC99" s="42">
        <f>Y99*VLOOKUP($B99,Types!$B$2:$D$13,3,FALSE)*Conv!$I$5*1000*365</f>
        <v>8.3769888082287984</v>
      </c>
      <c r="AD99" s="42">
        <f>Z99*VLOOKUP($B99,Types!$B$2:$D$13,3,FALSE)*Conv!$I$5*1000*365</f>
        <v>9.2485830194895993</v>
      </c>
      <c r="AE99" s="42">
        <f>AA99*VLOOKUP($B99,Types!$B$2:$D$13,3,FALSE)*Conv!$I$5*1000*365</f>
        <v>10.217021032001599</v>
      </c>
      <c r="AF99" s="42">
        <f>AB99-AB98</f>
        <v>5.4619903905676797</v>
      </c>
      <c r="AG99" s="42">
        <f t="shared" ref="AG99" si="451">AC99-AC98</f>
        <v>3.3507955232915192</v>
      </c>
      <c r="AH99" s="42">
        <f t="shared" ref="AH99" si="452">AD99-AD98</f>
        <v>3.6994332077958401</v>
      </c>
      <c r="AI99" s="42">
        <f t="shared" ref="AI99" si="453">AE99-AE98</f>
        <v>4.0868084128006403</v>
      </c>
      <c r="AJ99" s="42"/>
      <c r="AK99" s="42"/>
      <c r="AL99" s="42"/>
    </row>
    <row r="100" spans="1:38">
      <c r="A100" s="9" t="str">
        <f>'Agg prdcrv'!$A$11</f>
        <v>High Sulfur Fuel Oil</v>
      </c>
      <c r="B100" s="9" t="str">
        <f>VLOOKUP($A100,Types!$A$2:$C$13,2,FALSE)</f>
        <v>RFH</v>
      </c>
      <c r="C100" s="9">
        <v>3</v>
      </c>
      <c r="D100" s="9">
        <v>2</v>
      </c>
      <c r="E100" s="9" t="str">
        <f t="shared" si="313"/>
        <v>IMPRFHP23</v>
      </c>
      <c r="F100" s="9" t="str">
        <f>CONCATENATE("Imported ",VLOOKUP($A100,Types!$A$2:$C$13,3,FALSE),", PADD ",D100,", Step ",RIGHT(C100,1))</f>
        <v>Imported High Sulfur Residual Fuel Oil, PADD 2, Step 3</v>
      </c>
      <c r="G100" s="9" t="str">
        <f>CONCATENATE(VLOOKUP($A100,Types!$A$2:$C$13,2,FALSE),"P",D100)</f>
        <v>RFHP2</v>
      </c>
      <c r="H100" s="66">
        <f>SUMIFS('Agg prdcrv'!$M$6:$M$100,'Agg prdcrv'!$A$6:$A$100,'Imp Refined'!$A100,'Agg prdcrv'!$B$6:$B$100,H$11)*K4</f>
        <v>41.349000000000004</v>
      </c>
      <c r="I100" s="66">
        <f>SUMIFS('Agg prdcrv'!$M$6:$M$100,'Agg prdcrv'!$A$6:$A$100,'Imp Refined'!$A100,'Agg prdcrv'!$B$6:$B$100,I$11)*K4</f>
        <v>36.223000000000006</v>
      </c>
      <c r="J100" s="66">
        <f t="array" ref="J100">SUMIFS('Agg prdcrv'!$M$6:$M$100,'Agg prdcrv'!$A$6:$A$100,'Imp Refined'!$A100,'Agg prdcrv'!$B$6:$B$100,J$11)</f>
        <v>28.79</v>
      </c>
      <c r="K100" s="66">
        <f t="array" ref="K100">SUMIFS('Agg prdcrv'!$M$6:$M$100,'Agg prdcrv'!$A$6:$A$100,'Imp Refined'!$A100,'Agg prdcrv'!$B$6:$B$100,K$11)</f>
        <v>31.8</v>
      </c>
      <c r="L100" s="67">
        <f>H100*Conv!$J$20/10^6/VLOOKUP($B100,Types!$B$2:$D$13,3,FALSE)/Conv!$I$5</f>
        <v>9.565538758142484</v>
      </c>
      <c r="M100" s="67">
        <f>I100*Conv!$J$20/10^6/VLOOKUP($B100,Types!$B$2:$D$13,3,FALSE)/Conv!$I$5</f>
        <v>8.3797071376864061</v>
      </c>
      <c r="N100" s="67" t="e">
        <f>M100*#REF!</f>
        <v>#REF!</v>
      </c>
      <c r="O100" s="67" t="e">
        <f>N100*#REF!</f>
        <v>#REF!</v>
      </c>
      <c r="P100" s="67" t="e">
        <f>O100*#REF!</f>
        <v>#REF!</v>
      </c>
      <c r="Q100" s="67" t="e">
        <f>P100*#REF!</f>
        <v>#REF!</v>
      </c>
      <c r="R100" s="67" t="e">
        <f>Q100*#REF!</f>
        <v>#REF!</v>
      </c>
      <c r="S100" s="67" t="e">
        <f>R100*#REF!</f>
        <v>#REF!</v>
      </c>
      <c r="T100" s="67" t="e">
        <f>S100*#REF!</f>
        <v>#REF!</v>
      </c>
      <c r="U100" s="67" t="e">
        <f>T100*#REF!</f>
        <v>#REF!</v>
      </c>
      <c r="V100" s="67" t="e">
        <f>U100*#REF!</f>
        <v>#REF!</v>
      </c>
      <c r="W100" s="42"/>
      <c r="X100" s="9">
        <f t="array" ref="X100">SUMIFS('Agg prdcrv'!$E$6:$E$100,'Agg prdcrv'!$A$6:$A$100,'Imp Refined'!$A100,'Agg prdcrv'!$B$6:$B$100,X$11)</f>
        <v>2.1</v>
      </c>
      <c r="Y100" s="9">
        <f t="array" ref="Y100">SUMIFS('Agg prdcrv'!$E$6:$E$100,'Agg prdcrv'!$A$6:$A$100,'Imp Refined'!$A100,'Agg prdcrv'!$B$6:$B$100,Y$11)</f>
        <v>1.84</v>
      </c>
      <c r="Z100" s="9">
        <f t="array" ref="Z100">SUMIFS('Agg prdcrv'!$E$6:$E$100,'Agg prdcrv'!$A$6:$A$100,'Imp Refined'!$A100,'Agg prdcrv'!$B$6:$B$100,Z$11)</f>
        <v>1.75</v>
      </c>
      <c r="AA100" s="9">
        <f t="array" ref="AA100">SUMIFS('Agg prdcrv'!$E$6:$E$100,'Agg prdcrv'!$A$6:$A$100,'Imp Refined'!$A100,'Agg prdcrv'!$B$6:$B$100,AA$11)</f>
        <v>1.66</v>
      </c>
      <c r="AB100" s="42">
        <f>X100*VLOOKUP($B100,Types!$B$2:$D$13,3,FALSE)*Conv!$I$5*1000*365</f>
        <v>5.0842995656880001</v>
      </c>
      <c r="AC100" s="42">
        <f>Y100*VLOOKUP($B100,Types!$B$2:$D$13,3,FALSE)*Conv!$I$5*1000*365</f>
        <v>4.4548148575552</v>
      </c>
      <c r="AD100" s="42">
        <f>Z100*VLOOKUP($B100,Types!$B$2:$D$13,3,FALSE)*Conv!$I$5*1000*365</f>
        <v>4.2369163047399994</v>
      </c>
      <c r="AE100" s="42">
        <f>AA100*VLOOKUP($B100,Types!$B$2:$D$13,3,FALSE)*Conv!$I$5*1000*365</f>
        <v>4.0190177519247996</v>
      </c>
      <c r="AF100" s="42">
        <f>AB100-AB102</f>
        <v>0.50842995656880063</v>
      </c>
      <c r="AG100" s="42">
        <f t="shared" ref="AG100" si="454">AC100-AC102</f>
        <v>0.44548148575552027</v>
      </c>
      <c r="AH100" s="42">
        <f t="shared" ref="AH100" si="455">AD100-AD102</f>
        <v>0.42369163047399949</v>
      </c>
      <c r="AI100" s="42">
        <f t="shared" ref="AI100" si="456">AE100-AE102</f>
        <v>0.40190177519248005</v>
      </c>
      <c r="AJ100" s="42"/>
      <c r="AK100" s="42"/>
      <c r="AL100" s="42"/>
    </row>
    <row r="101" spans="1:38">
      <c r="A101" s="9" t="str">
        <f>A100</f>
        <v>High Sulfur Fuel Oil</v>
      </c>
      <c r="B101" s="9" t="str">
        <f>VLOOKUP($A101,Types!$A$2:$C$13,2,FALSE)</f>
        <v>RFH</v>
      </c>
      <c r="C101" s="9">
        <v>1</v>
      </c>
      <c r="D101" s="9">
        <v>2</v>
      </c>
      <c r="E101" s="9" t="str">
        <f t="shared" si="313"/>
        <v>IMPRFHP21</v>
      </c>
      <c r="F101" s="9" t="str">
        <f>CONCATENATE("Imported ",VLOOKUP($A101,Types!$A$2:$C$13,3,FALSE),", PADD ",D101,", Step ",RIGHT(C101,1))</f>
        <v>Imported High Sulfur Residual Fuel Oil, PADD 2, Step 1</v>
      </c>
      <c r="G101" s="9" t="str">
        <f>CONCATENATE(VLOOKUP($A101,Types!$A$2:$C$13,2,FALSE),"P",D101)</f>
        <v>RFHP2</v>
      </c>
      <c r="H101" s="66">
        <f>H100*$C$5</f>
        <v>39.281550000000003</v>
      </c>
      <c r="I101" s="66">
        <f t="shared" ref="I101" si="457">I100*$C$5</f>
        <v>34.411850000000001</v>
      </c>
      <c r="J101" s="66">
        <f t="shared" ref="J101" si="458">J100*$C$5</f>
        <v>27.350499999999997</v>
      </c>
      <c r="K101" s="66">
        <f t="shared" ref="K101" si="459">K100*$C$5</f>
        <v>30.21</v>
      </c>
      <c r="L101" s="67">
        <f>H101*Conv!$J$20/10^6/VLOOKUP($B101,Types!$B$2:$D$13,3,FALSE)/Conv!$I$5</f>
        <v>9.0872618202353603</v>
      </c>
      <c r="M101" s="67">
        <f>I101*Conv!$J$20/10^6/VLOOKUP($B101,Types!$B$2:$D$13,3,FALSE)/Conv!$I$5</f>
        <v>7.9607217808020856</v>
      </c>
      <c r="N101" s="67" t="e">
        <f>M101*#REF!</f>
        <v>#REF!</v>
      </c>
      <c r="O101" s="67" t="e">
        <f>N101*#REF!</f>
        <v>#REF!</v>
      </c>
      <c r="P101" s="67" t="e">
        <f>O101*#REF!</f>
        <v>#REF!</v>
      </c>
      <c r="Q101" s="67" t="e">
        <f>P101*#REF!</f>
        <v>#REF!</v>
      </c>
      <c r="R101" s="67" t="e">
        <f>Q101*#REF!</f>
        <v>#REF!</v>
      </c>
      <c r="S101" s="67" t="e">
        <f>R101*#REF!</f>
        <v>#REF!</v>
      </c>
      <c r="T101" s="67" t="e">
        <f>S101*#REF!</f>
        <v>#REF!</v>
      </c>
      <c r="U101" s="67" t="e">
        <f>T101*#REF!</f>
        <v>#REF!</v>
      </c>
      <c r="V101" s="67" t="e">
        <f>U101*#REF!</f>
        <v>#REF!</v>
      </c>
      <c r="W101" s="42"/>
      <c r="X101" s="9">
        <f>X100*$E$5</f>
        <v>1.6800000000000002</v>
      </c>
      <c r="Y101" s="9">
        <f t="shared" ref="Y101" si="460">Y100*$E$5</f>
        <v>1.4720000000000002</v>
      </c>
      <c r="Z101" s="9">
        <f t="shared" ref="Z101" si="461">Z100*$E$5</f>
        <v>1.4000000000000001</v>
      </c>
      <c r="AA101" s="9">
        <f t="shared" ref="AA101" si="462">AA100*$E$5</f>
        <v>1.3280000000000001</v>
      </c>
      <c r="AB101" s="42">
        <f>X101*VLOOKUP($B101,Types!$B$2:$D$13,3,FALSE)*Conv!$I$5*1000*365</f>
        <v>4.0674396525503997</v>
      </c>
      <c r="AC101" s="42">
        <f>Y101*VLOOKUP($B101,Types!$B$2:$D$13,3,FALSE)*Conv!$I$5*1000*365</f>
        <v>3.5638518860441599</v>
      </c>
      <c r="AD101" s="42">
        <f>Z101*VLOOKUP($B101,Types!$B$2:$D$13,3,FALSE)*Conv!$I$5*1000*365</f>
        <v>3.3895330437919999</v>
      </c>
      <c r="AE101" s="42">
        <f>AA101*VLOOKUP($B101,Types!$B$2:$D$13,3,FALSE)*Conv!$I$5*1000*365</f>
        <v>3.2152142015398395</v>
      </c>
      <c r="AF101" s="42">
        <f>AB101</f>
        <v>4.0674396525503997</v>
      </c>
      <c r="AG101" s="42">
        <f t="shared" ref="AG101" si="463">AC101</f>
        <v>3.5638518860441599</v>
      </c>
      <c r="AH101" s="42">
        <f t="shared" ref="AH101" si="464">AD101</f>
        <v>3.3895330437919999</v>
      </c>
      <c r="AI101" s="42">
        <f t="shared" ref="AI101" si="465">AE101</f>
        <v>3.2152142015398395</v>
      </c>
      <c r="AJ101" s="42"/>
      <c r="AK101" s="42"/>
      <c r="AL101" s="42"/>
    </row>
    <row r="102" spans="1:38">
      <c r="A102" s="9" t="str">
        <f t="shared" ref="A102:A104" si="466">A101</f>
        <v>High Sulfur Fuel Oil</v>
      </c>
      <c r="B102" s="9" t="str">
        <f>VLOOKUP($A102,Types!$A$2:$C$13,2,FALSE)</f>
        <v>RFH</v>
      </c>
      <c r="C102" s="9">
        <v>2</v>
      </c>
      <c r="D102" s="9">
        <v>2</v>
      </c>
      <c r="E102" s="9" t="str">
        <f t="shared" si="313"/>
        <v>IMPRFHP22</v>
      </c>
      <c r="F102" s="9" t="str">
        <f>CONCATENATE("Imported ",VLOOKUP($A102,Types!$A$2:$C$13,3,FALSE),", PADD ",D102,", Step ",RIGHT(C102,1))</f>
        <v>Imported High Sulfur Residual Fuel Oil, PADD 2, Step 2</v>
      </c>
      <c r="G102" s="9" t="str">
        <f>CONCATENATE(VLOOKUP($A102,Types!$A$2:$C$13,2,FALSE),"P",D102)</f>
        <v>RFHP2</v>
      </c>
      <c r="H102" s="66">
        <f>H100*$C$6</f>
        <v>40.522020000000005</v>
      </c>
      <c r="I102" s="66">
        <f t="shared" ref="I102:K102" si="467">I100*$C$6</f>
        <v>35.498540000000006</v>
      </c>
      <c r="J102" s="66">
        <f t="shared" si="467"/>
        <v>28.214199999999998</v>
      </c>
      <c r="K102" s="66">
        <f t="shared" si="467"/>
        <v>31.164000000000001</v>
      </c>
      <c r="L102" s="67">
        <f>H102*Conv!$J$20/10^6/VLOOKUP($B102,Types!$B$2:$D$13,3,FALSE)/Conv!$I$5</f>
        <v>9.3742279829796331</v>
      </c>
      <c r="M102" s="67">
        <f>I102*Conv!$J$20/10^6/VLOOKUP($B102,Types!$B$2:$D$13,3,FALSE)/Conv!$I$5</f>
        <v>8.2121129949326779</v>
      </c>
      <c r="N102" s="67" t="e">
        <f>M102*#REF!</f>
        <v>#REF!</v>
      </c>
      <c r="O102" s="67" t="e">
        <f>N102*#REF!</f>
        <v>#REF!</v>
      </c>
      <c r="P102" s="67" t="e">
        <f>O102*#REF!</f>
        <v>#REF!</v>
      </c>
      <c r="Q102" s="67" t="e">
        <f>P102*#REF!</f>
        <v>#REF!</v>
      </c>
      <c r="R102" s="67" t="e">
        <f>Q102*#REF!</f>
        <v>#REF!</v>
      </c>
      <c r="S102" s="67" t="e">
        <f>R102*#REF!</f>
        <v>#REF!</v>
      </c>
      <c r="T102" s="67" t="e">
        <f>S102*#REF!</f>
        <v>#REF!</v>
      </c>
      <c r="U102" s="67" t="e">
        <f>T102*#REF!</f>
        <v>#REF!</v>
      </c>
      <c r="V102" s="67" t="e">
        <f>U102*#REF!</f>
        <v>#REF!</v>
      </c>
      <c r="W102" s="42"/>
      <c r="X102" s="9">
        <f>X100*$E$6</f>
        <v>1.8900000000000001</v>
      </c>
      <c r="Y102" s="9">
        <f t="shared" ref="Y102:AA102" si="468">Y100*$E$6</f>
        <v>1.6560000000000001</v>
      </c>
      <c r="Z102" s="9">
        <f t="shared" si="468"/>
        <v>1.575</v>
      </c>
      <c r="AA102" s="9">
        <f t="shared" si="468"/>
        <v>1.494</v>
      </c>
      <c r="AB102" s="42">
        <f>X102*VLOOKUP($B102,Types!$B$2:$D$13,3,FALSE)*Conv!$I$5*1000*365</f>
        <v>4.5758696091191995</v>
      </c>
      <c r="AC102" s="42">
        <f>Y102*VLOOKUP($B102,Types!$B$2:$D$13,3,FALSE)*Conv!$I$5*1000*365</f>
        <v>4.0093333717996797</v>
      </c>
      <c r="AD102" s="42">
        <f>Z102*VLOOKUP($B102,Types!$B$2:$D$13,3,FALSE)*Conv!$I$5*1000*365</f>
        <v>3.8132246742659999</v>
      </c>
      <c r="AE102" s="42">
        <f>AA102*VLOOKUP($B102,Types!$B$2:$D$13,3,FALSE)*Conv!$I$5*1000*365</f>
        <v>3.6171159767323195</v>
      </c>
      <c r="AF102" s="42">
        <f>AB102-AF101</f>
        <v>0.50842995656879975</v>
      </c>
      <c r="AG102" s="42">
        <f t="shared" ref="AG102" si="469">AC102-AG101</f>
        <v>0.44548148575551982</v>
      </c>
      <c r="AH102" s="42">
        <f t="shared" ref="AH102" si="470">AD102-AH101</f>
        <v>0.42369163047399994</v>
      </c>
      <c r="AI102" s="42">
        <f t="shared" ref="AI102" si="471">AE102-AI101</f>
        <v>0.40190177519248005</v>
      </c>
      <c r="AJ102" s="42"/>
      <c r="AK102" s="42"/>
      <c r="AL102" s="42"/>
    </row>
    <row r="103" spans="1:38">
      <c r="A103" s="9" t="str">
        <f t="shared" si="466"/>
        <v>High Sulfur Fuel Oil</v>
      </c>
      <c r="B103" s="9" t="str">
        <f>VLOOKUP($A103,Types!$A$2:$C$13,2,FALSE)</f>
        <v>RFH</v>
      </c>
      <c r="C103" s="9">
        <v>4</v>
      </c>
      <c r="D103" s="9">
        <v>2</v>
      </c>
      <c r="E103" s="9" t="str">
        <f t="shared" si="313"/>
        <v>IMPRFHP24</v>
      </c>
      <c r="F103" s="9" t="str">
        <f>CONCATENATE("Imported ",VLOOKUP($A103,Types!$A$2:$C$13,3,FALSE),", PADD ",D103,", Step ",RIGHT(C103,1))</f>
        <v>Imported High Sulfur Residual Fuel Oil, PADD 2, Step 4</v>
      </c>
      <c r="G103" s="9" t="str">
        <f>CONCATENATE(VLOOKUP($A103,Types!$A$2:$C$13,2,FALSE),"P",D103)</f>
        <v>RFHP2</v>
      </c>
      <c r="H103" s="66">
        <f>H100*$C$8</f>
        <v>45.07041000000001</v>
      </c>
      <c r="I103" s="66">
        <f t="shared" ref="I103:K103" si="472">I100*$C$8</f>
        <v>39.483070000000012</v>
      </c>
      <c r="J103" s="66">
        <f t="shared" si="472"/>
        <v>31.3811</v>
      </c>
      <c r="K103" s="66">
        <f t="shared" si="472"/>
        <v>34.662000000000006</v>
      </c>
      <c r="L103" s="67">
        <f>H103*Conv!$J$20/10^6/VLOOKUP($B103,Types!$B$2:$D$13,3,FALSE)/Conv!$I$5</f>
        <v>10.426437246375308</v>
      </c>
      <c r="M103" s="67">
        <f>I103*Conv!$J$20/10^6/VLOOKUP($B103,Types!$B$2:$D$13,3,FALSE)/Conv!$I$5</f>
        <v>9.1338807800781847</v>
      </c>
      <c r="N103" s="67" t="e">
        <f>M103*#REF!</f>
        <v>#REF!</v>
      </c>
      <c r="O103" s="67" t="e">
        <f>N103*#REF!</f>
        <v>#REF!</v>
      </c>
      <c r="P103" s="67" t="e">
        <f>O103*#REF!</f>
        <v>#REF!</v>
      </c>
      <c r="Q103" s="67" t="e">
        <f>P103*#REF!</f>
        <v>#REF!</v>
      </c>
      <c r="R103" s="67" t="e">
        <f>Q103*#REF!</f>
        <v>#REF!</v>
      </c>
      <c r="S103" s="67" t="e">
        <f>R103*#REF!</f>
        <v>#REF!</v>
      </c>
      <c r="T103" s="67" t="e">
        <f>S103*#REF!</f>
        <v>#REF!</v>
      </c>
      <c r="U103" s="67" t="e">
        <f>T103*#REF!</f>
        <v>#REF!</v>
      </c>
      <c r="V103" s="67" t="e">
        <f>U103*#REF!</f>
        <v>#REF!</v>
      </c>
      <c r="W103" s="42"/>
      <c r="X103" s="9">
        <f>X100*$E$8</f>
        <v>2.52</v>
      </c>
      <c r="Y103" s="9">
        <f t="shared" ref="Y103:AA103" si="473">Y100*$E$8</f>
        <v>2.2080000000000002</v>
      </c>
      <c r="Z103" s="9">
        <f t="shared" si="473"/>
        <v>2.1</v>
      </c>
      <c r="AA103" s="9">
        <f t="shared" si="473"/>
        <v>1.9919999999999998</v>
      </c>
      <c r="AB103" s="42">
        <f>X103*VLOOKUP($B103,Types!$B$2:$D$13,3,FALSE)*Conv!$I$5*1000*365</f>
        <v>6.1011594788255996</v>
      </c>
      <c r="AC103" s="42">
        <f>Y103*VLOOKUP($B103,Types!$B$2:$D$13,3,FALSE)*Conv!$I$5*1000*365</f>
        <v>5.3457778290662405</v>
      </c>
      <c r="AD103" s="42">
        <f>Z103*VLOOKUP($B103,Types!$B$2:$D$13,3,FALSE)*Conv!$I$5*1000*365</f>
        <v>5.0842995656880001</v>
      </c>
      <c r="AE103" s="42">
        <f>AA103*VLOOKUP($B103,Types!$B$2:$D$13,3,FALSE)*Conv!$I$5*1000*365</f>
        <v>4.8228213023097588</v>
      </c>
      <c r="AF103" s="42">
        <f>AB103-AB100</f>
        <v>1.0168599131375995</v>
      </c>
      <c r="AG103" s="42">
        <f t="shared" ref="AG103" si="474">AC103-AC100</f>
        <v>0.89096297151104054</v>
      </c>
      <c r="AH103" s="42">
        <f t="shared" ref="AH103" si="475">AD103-AD100</f>
        <v>0.84738326094800076</v>
      </c>
      <c r="AI103" s="42">
        <f t="shared" ref="AI103" si="476">AE103-AE100</f>
        <v>0.80380355038495921</v>
      </c>
      <c r="AJ103" s="42"/>
      <c r="AK103" s="42"/>
      <c r="AL103" s="42"/>
    </row>
    <row r="104" spans="1:38">
      <c r="A104" s="9" t="str">
        <f t="shared" si="466"/>
        <v>High Sulfur Fuel Oil</v>
      </c>
      <c r="B104" s="9" t="str">
        <f>VLOOKUP($A104,Types!$A$2:$C$13,2,FALSE)</f>
        <v>RFH</v>
      </c>
      <c r="C104" s="9">
        <v>5</v>
      </c>
      <c r="D104" s="9">
        <v>2</v>
      </c>
      <c r="E104" s="9" t="str">
        <f t="shared" si="313"/>
        <v>IMPRFHP25</v>
      </c>
      <c r="F104" s="9" t="str">
        <f>CONCATENATE("Imported ",VLOOKUP($A104,Types!$A$2:$C$13,3,FALSE),", PADD ",D104,", Step ",RIGHT(C104,1))</f>
        <v>Imported High Sulfur Residual Fuel Oil, PADD 2, Step 5</v>
      </c>
      <c r="G104" s="9" t="str">
        <f>CONCATENATE(VLOOKUP($A104,Types!$A$2:$C$13,2,FALSE),"P",D104)</f>
        <v>RFHP2</v>
      </c>
      <c r="H104" s="66">
        <f>H100*$C$9</f>
        <v>53.753700000000009</v>
      </c>
      <c r="I104" s="66">
        <f t="shared" ref="I104:K104" si="477">I100*$C$9</f>
        <v>47.089900000000007</v>
      </c>
      <c r="J104" s="66">
        <f t="shared" si="477"/>
        <v>37.427</v>
      </c>
      <c r="K104" s="66">
        <f t="shared" si="477"/>
        <v>41.34</v>
      </c>
      <c r="L104" s="67">
        <f>H104*Conv!$J$20/10^6/VLOOKUP($B104,Types!$B$2:$D$13,3,FALSE)/Conv!$I$5</f>
        <v>12.43520038558523</v>
      </c>
      <c r="M104" s="67">
        <f>I104*Conv!$J$20/10^6/VLOOKUP($B104,Types!$B$2:$D$13,3,FALSE)/Conv!$I$5</f>
        <v>10.893619278992327</v>
      </c>
      <c r="N104" s="67" t="e">
        <f>M104*#REF!</f>
        <v>#REF!</v>
      </c>
      <c r="O104" s="67" t="e">
        <f>N104*#REF!</f>
        <v>#REF!</v>
      </c>
      <c r="P104" s="67" t="e">
        <f>O104*#REF!</f>
        <v>#REF!</v>
      </c>
      <c r="Q104" s="67" t="e">
        <f>P104*#REF!</f>
        <v>#REF!</v>
      </c>
      <c r="R104" s="67" t="e">
        <f>Q104*#REF!</f>
        <v>#REF!</v>
      </c>
      <c r="S104" s="67" t="e">
        <f>R104*#REF!</f>
        <v>#REF!</v>
      </c>
      <c r="T104" s="67" t="e">
        <f>S104*#REF!</f>
        <v>#REF!</v>
      </c>
      <c r="U104" s="67" t="e">
        <f>T104*#REF!</f>
        <v>#REF!</v>
      </c>
      <c r="V104" s="67" t="e">
        <f>U104*#REF!</f>
        <v>#REF!</v>
      </c>
      <c r="W104" s="42"/>
      <c r="X104" s="9">
        <f>X100*$E$9</f>
        <v>4.2</v>
      </c>
      <c r="Y104" s="9">
        <f t="shared" ref="Y104:AA104" si="478">Y100*$E$9</f>
        <v>3.68</v>
      </c>
      <c r="Z104" s="9">
        <f t="shared" si="478"/>
        <v>3.5</v>
      </c>
      <c r="AA104" s="9">
        <f t="shared" si="478"/>
        <v>3.32</v>
      </c>
      <c r="AB104" s="42">
        <f>X104*VLOOKUP($B104,Types!$B$2:$D$13,3,FALSE)*Conv!$I$5*1000*365</f>
        <v>10.168599131376</v>
      </c>
      <c r="AC104" s="42">
        <f>Y104*VLOOKUP($B104,Types!$B$2:$D$13,3,FALSE)*Conv!$I$5*1000*365</f>
        <v>8.9096297151104</v>
      </c>
      <c r="AD104" s="42">
        <f>Z104*VLOOKUP($B104,Types!$B$2:$D$13,3,FALSE)*Conv!$I$5*1000*365</f>
        <v>8.4738326094799987</v>
      </c>
      <c r="AE104" s="42">
        <f>AA104*VLOOKUP($B104,Types!$B$2:$D$13,3,FALSE)*Conv!$I$5*1000*365</f>
        <v>8.0380355038495992</v>
      </c>
      <c r="AF104" s="42">
        <f>AB104-AB103</f>
        <v>4.0674396525504006</v>
      </c>
      <c r="AG104" s="42">
        <f t="shared" ref="AG104" si="479">AC104-AC103</f>
        <v>3.5638518860441595</v>
      </c>
      <c r="AH104" s="42">
        <f t="shared" ref="AH104" si="480">AD104-AD103</f>
        <v>3.3895330437919986</v>
      </c>
      <c r="AI104" s="42">
        <f t="shared" ref="AI104" si="481">AE104-AE103</f>
        <v>3.2152142015398404</v>
      </c>
      <c r="AJ104" s="42"/>
      <c r="AK104" s="42"/>
      <c r="AL104" s="42"/>
    </row>
    <row r="105" spans="1:38">
      <c r="A105" s="9" t="str">
        <f>'Agg prdcrv'!$A$12</f>
        <v>Jet Fuel</v>
      </c>
      <c r="B105" s="9" t="str">
        <f>VLOOKUP($A105,Types!$A$2:$C$13,2,FALSE)</f>
        <v>JTF</v>
      </c>
      <c r="C105" s="9">
        <v>3</v>
      </c>
      <c r="D105" s="9">
        <v>2</v>
      </c>
      <c r="E105" s="9" t="str">
        <f t="shared" si="313"/>
        <v>IMPJTFP23</v>
      </c>
      <c r="F105" s="9" t="str">
        <f>CONCATENATE("Imported ",VLOOKUP($A105,Types!$A$2:$C$13,3,FALSE),", PADD ",D105,", Step ",RIGHT(C105,1))</f>
        <v>Imported Jet Fuel, PADD 2, Step 3</v>
      </c>
      <c r="G105" s="9" t="str">
        <f>CONCATENATE(VLOOKUP($A105,Types!$A$2:$C$13,2,FALSE),"P",D105)</f>
        <v>JTFP2</v>
      </c>
      <c r="H105" s="66">
        <f>SUMIFS('Agg prdcrv'!$M$6:$M$100,'Agg prdcrv'!$A$6:$A$100,'Imp Refined'!$A105,'Agg prdcrv'!$B$6:$B$100,H$11)*K4</f>
        <v>48.092000000000006</v>
      </c>
      <c r="I105" s="66">
        <f>SUMIFS('Agg prdcrv'!$M$6:$M$100,'Agg prdcrv'!$A$6:$A$100,'Imp Refined'!$A105,'Agg prdcrv'!$B$6:$B$100,I$11)*K4</f>
        <v>43.637000000000008</v>
      </c>
      <c r="J105" s="66">
        <f t="array" ref="J105">SUMIFS('Agg prdcrv'!$M$6:$M$100,'Agg prdcrv'!$A$6:$A$100,'Imp Refined'!$A105,'Agg prdcrv'!$B$6:$B$100,J$11)</f>
        <v>34.32</v>
      </c>
      <c r="K105" s="66">
        <f t="array" ref="K105">SUMIFS('Agg prdcrv'!$M$6:$M$100,'Agg prdcrv'!$A$6:$A$100,'Imp Refined'!$A105,'Agg prdcrv'!$B$6:$B$100,K$11)</f>
        <v>37.68</v>
      </c>
      <c r="L105" s="67">
        <f>H105*Conv!$J$20/10^6/VLOOKUP($B105,Types!$B$2:$D$13,3,FALSE)/Conv!$I$5</f>
        <v>12.336093851084993</v>
      </c>
      <c r="M105" s="67">
        <f>I105*Conv!$J$20/10^6/VLOOKUP($B105,Types!$B$2:$D$13,3,FALSE)/Conv!$I$5</f>
        <v>11.193340417944688</v>
      </c>
      <c r="N105" s="67" t="e">
        <f>M105*#REF!</f>
        <v>#REF!</v>
      </c>
      <c r="O105" s="67" t="e">
        <f>N105*#REF!</f>
        <v>#REF!</v>
      </c>
      <c r="P105" s="67" t="e">
        <f>O105*#REF!</f>
        <v>#REF!</v>
      </c>
      <c r="Q105" s="67" t="e">
        <f>P105*#REF!</f>
        <v>#REF!</v>
      </c>
      <c r="R105" s="67" t="e">
        <f>Q105*#REF!</f>
        <v>#REF!</v>
      </c>
      <c r="S105" s="67" t="e">
        <f>R105*#REF!</f>
        <v>#REF!</v>
      </c>
      <c r="T105" s="67" t="e">
        <f>S105*#REF!</f>
        <v>#REF!</v>
      </c>
      <c r="U105" s="67" t="e">
        <f>T105*#REF!</f>
        <v>#REF!</v>
      </c>
      <c r="V105" s="67" t="e">
        <f>U105*#REF!</f>
        <v>#REF!</v>
      </c>
      <c r="W105" s="42"/>
      <c r="X105" s="9">
        <f t="array" ref="X105">SUMIFS('Agg prdcrv'!$E$6:$E$100,'Agg prdcrv'!$A$6:$A$100,'Imp Refined'!$A105,'Agg prdcrv'!$B$6:$B$100,X$11)</f>
        <v>1.1299999999999999</v>
      </c>
      <c r="Y105" s="9">
        <f t="array" ref="Y105">SUMIFS('Agg prdcrv'!$E$6:$E$100,'Agg prdcrv'!$A$6:$A$100,'Imp Refined'!$A105,'Agg prdcrv'!$B$6:$B$100,Y$11)</f>
        <v>0</v>
      </c>
      <c r="Z105" s="9">
        <f t="array" ref="Z105">SUMIFS('Agg prdcrv'!$E$6:$E$100,'Agg prdcrv'!$A$6:$A$100,'Imp Refined'!$A105,'Agg prdcrv'!$B$6:$B$100,Z$11)</f>
        <v>0</v>
      </c>
      <c r="AA105" s="9">
        <f t="array" ref="AA105">SUMIFS('Agg prdcrv'!$E$6:$E$100,'Agg prdcrv'!$A$6:$A$100,'Imp Refined'!$A105,'Agg prdcrv'!$B$6:$B$100,AA$11)</f>
        <v>0</v>
      </c>
      <c r="AB105" s="42">
        <f>X105*VLOOKUP($B105,Types!$B$2:$D$13,3,FALSE)*Conv!$I$5*1000*365</f>
        <v>2.4673449936239993</v>
      </c>
      <c r="AC105" s="42">
        <f>Y105*VLOOKUP($B105,Types!$B$2:$D$13,3,FALSE)*Conv!$I$5*1000*365</f>
        <v>0</v>
      </c>
      <c r="AD105" s="42">
        <f>Z105*VLOOKUP($B105,Types!$B$2:$D$13,3,FALSE)*Conv!$I$5*1000*365</f>
        <v>0</v>
      </c>
      <c r="AE105" s="42">
        <f>AA105*VLOOKUP($B105,Types!$B$2:$D$13,3,FALSE)*Conv!$I$5*1000*365</f>
        <v>0</v>
      </c>
      <c r="AF105" s="42">
        <f>AB105-AB107</f>
        <v>0.24673449936239988</v>
      </c>
      <c r="AG105" s="42">
        <f t="shared" ref="AG105" si="482">AC105-AC107</f>
        <v>0</v>
      </c>
      <c r="AH105" s="42">
        <f t="shared" ref="AH105" si="483">AD105-AD107</f>
        <v>0</v>
      </c>
      <c r="AI105" s="42">
        <f t="shared" ref="AI105" si="484">AE105-AE107</f>
        <v>0</v>
      </c>
      <c r="AJ105" s="42"/>
      <c r="AK105" s="42"/>
      <c r="AL105" s="42"/>
    </row>
    <row r="106" spans="1:38">
      <c r="A106" s="9" t="str">
        <f>A105</f>
        <v>Jet Fuel</v>
      </c>
      <c r="B106" s="9" t="str">
        <f>VLOOKUP($A106,Types!$A$2:$C$13,2,FALSE)</f>
        <v>JTF</v>
      </c>
      <c r="C106" s="9">
        <v>1</v>
      </c>
      <c r="D106" s="9">
        <v>2</v>
      </c>
      <c r="E106" s="9" t="str">
        <f t="shared" si="313"/>
        <v>IMPJTFP21</v>
      </c>
      <c r="F106" s="9" t="str">
        <f>CONCATENATE("Imported ",VLOOKUP($A106,Types!$A$2:$C$13,3,FALSE),", PADD ",D106,", Step ",RIGHT(C106,1))</f>
        <v>Imported Jet Fuel, PADD 2, Step 1</v>
      </c>
      <c r="G106" s="9" t="str">
        <f>CONCATENATE(VLOOKUP($A106,Types!$A$2:$C$13,2,FALSE),"P",D106)</f>
        <v>JTFP2</v>
      </c>
      <c r="H106" s="66">
        <f>H105*$C$5</f>
        <v>45.687400000000004</v>
      </c>
      <c r="I106" s="66">
        <f t="shared" ref="I106" si="485">I105*$C$5</f>
        <v>41.455150000000003</v>
      </c>
      <c r="J106" s="66">
        <f t="shared" ref="J106" si="486">J105*$C$5</f>
        <v>32.603999999999999</v>
      </c>
      <c r="K106" s="66">
        <f t="shared" ref="K106" si="487">K105*$C$5</f>
        <v>35.795999999999999</v>
      </c>
      <c r="L106" s="67">
        <f>H106*Conv!$J$20/10^6/VLOOKUP($B106,Types!$B$2:$D$13,3,FALSE)/Conv!$I$5</f>
        <v>11.719289158530742</v>
      </c>
      <c r="M106" s="67">
        <f>I106*Conv!$J$20/10^6/VLOOKUP($B106,Types!$B$2:$D$13,3,FALSE)/Conv!$I$5</f>
        <v>10.633673397047451</v>
      </c>
      <c r="N106" s="67" t="e">
        <f>M106*#REF!</f>
        <v>#REF!</v>
      </c>
      <c r="O106" s="67" t="e">
        <f>N106*#REF!</f>
        <v>#REF!</v>
      </c>
      <c r="P106" s="67" t="e">
        <f>O106*#REF!</f>
        <v>#REF!</v>
      </c>
      <c r="Q106" s="67" t="e">
        <f>P106*#REF!</f>
        <v>#REF!</v>
      </c>
      <c r="R106" s="67" t="e">
        <f>Q106*#REF!</f>
        <v>#REF!</v>
      </c>
      <c r="S106" s="67" t="e">
        <f>R106*#REF!</f>
        <v>#REF!</v>
      </c>
      <c r="T106" s="67" t="e">
        <f>S106*#REF!</f>
        <v>#REF!</v>
      </c>
      <c r="U106" s="67" t="e">
        <f>T106*#REF!</f>
        <v>#REF!</v>
      </c>
      <c r="V106" s="67" t="e">
        <f>U106*#REF!</f>
        <v>#REF!</v>
      </c>
      <c r="W106" s="42"/>
      <c r="X106" s="9">
        <f>X105*$E$5</f>
        <v>0.90399999999999991</v>
      </c>
      <c r="Y106" s="9">
        <f t="shared" ref="Y106" si="488">Y105*$E$5</f>
        <v>0</v>
      </c>
      <c r="Z106" s="9">
        <f t="shared" ref="Z106" si="489">Z105*$E$5</f>
        <v>0</v>
      </c>
      <c r="AA106" s="9">
        <f t="shared" ref="AA106" si="490">AA105*$E$5</f>
        <v>0</v>
      </c>
      <c r="AB106" s="42">
        <f>X106*VLOOKUP($B106,Types!$B$2:$D$13,3,FALSE)*Conv!$I$5*1000*365</f>
        <v>1.9738759948991995</v>
      </c>
      <c r="AC106" s="42">
        <f>Y106*VLOOKUP($B106,Types!$B$2:$D$13,3,FALSE)*Conv!$I$5*1000*365</f>
        <v>0</v>
      </c>
      <c r="AD106" s="42">
        <f>Z106*VLOOKUP($B106,Types!$B$2:$D$13,3,FALSE)*Conv!$I$5*1000*365</f>
        <v>0</v>
      </c>
      <c r="AE106" s="42">
        <f>AA106*VLOOKUP($B106,Types!$B$2:$D$13,3,FALSE)*Conv!$I$5*1000*365</f>
        <v>0</v>
      </c>
      <c r="AF106" s="42">
        <f>AB106</f>
        <v>1.9738759948991995</v>
      </c>
      <c r="AG106" s="42">
        <f t="shared" ref="AG106" si="491">AC106</f>
        <v>0</v>
      </c>
      <c r="AH106" s="42">
        <f t="shared" ref="AH106" si="492">AD106</f>
        <v>0</v>
      </c>
      <c r="AI106" s="42">
        <f t="shared" ref="AI106" si="493">AE106</f>
        <v>0</v>
      </c>
      <c r="AJ106" s="42"/>
      <c r="AK106" s="42"/>
      <c r="AL106" s="42"/>
    </row>
    <row r="107" spans="1:38">
      <c r="A107" s="9" t="str">
        <f t="shared" ref="A107:A109" si="494">A106</f>
        <v>Jet Fuel</v>
      </c>
      <c r="B107" s="9" t="str">
        <f>VLOOKUP($A107,Types!$A$2:$C$13,2,FALSE)</f>
        <v>JTF</v>
      </c>
      <c r="C107" s="9">
        <v>2</v>
      </c>
      <c r="D107" s="9">
        <v>2</v>
      </c>
      <c r="E107" s="9" t="str">
        <f t="shared" si="313"/>
        <v>IMPJTFP22</v>
      </c>
      <c r="F107" s="9" t="str">
        <f>CONCATENATE("Imported ",VLOOKUP($A107,Types!$A$2:$C$13,3,FALSE),", PADD ",D107,", Step ",RIGHT(C107,1))</f>
        <v>Imported Jet Fuel, PADD 2, Step 2</v>
      </c>
      <c r="G107" s="9" t="str">
        <f>CONCATENATE(VLOOKUP($A107,Types!$A$2:$C$13,2,FALSE),"P",D107)</f>
        <v>JTFP2</v>
      </c>
      <c r="H107" s="66">
        <f>H105*$C$6</f>
        <v>47.130160000000004</v>
      </c>
      <c r="I107" s="66">
        <f t="shared" ref="I107:K107" si="495">I105*$C$6</f>
        <v>42.764260000000007</v>
      </c>
      <c r="J107" s="66">
        <f t="shared" si="495"/>
        <v>33.633600000000001</v>
      </c>
      <c r="K107" s="66">
        <f t="shared" si="495"/>
        <v>36.926400000000001</v>
      </c>
      <c r="L107" s="67">
        <f>H107*Conv!$J$20/10^6/VLOOKUP($B107,Types!$B$2:$D$13,3,FALSE)/Conv!$I$5</f>
        <v>12.089371974063292</v>
      </c>
      <c r="M107" s="67">
        <f>I107*Conv!$J$20/10^6/VLOOKUP($B107,Types!$B$2:$D$13,3,FALSE)/Conv!$I$5</f>
        <v>10.969473609585794</v>
      </c>
      <c r="N107" s="67" t="e">
        <f>M107*#REF!</f>
        <v>#REF!</v>
      </c>
      <c r="O107" s="67" t="e">
        <f>N107*#REF!</f>
        <v>#REF!</v>
      </c>
      <c r="P107" s="67" t="e">
        <f>O107*#REF!</f>
        <v>#REF!</v>
      </c>
      <c r="Q107" s="67" t="e">
        <f>P107*#REF!</f>
        <v>#REF!</v>
      </c>
      <c r="R107" s="67" t="e">
        <f>Q107*#REF!</f>
        <v>#REF!</v>
      </c>
      <c r="S107" s="67" t="e">
        <f>R107*#REF!</f>
        <v>#REF!</v>
      </c>
      <c r="T107" s="67" t="e">
        <f>S107*#REF!</f>
        <v>#REF!</v>
      </c>
      <c r="U107" s="67" t="e">
        <f>T107*#REF!</f>
        <v>#REF!</v>
      </c>
      <c r="V107" s="67" t="e">
        <f>U107*#REF!</f>
        <v>#REF!</v>
      </c>
      <c r="W107" s="42"/>
      <c r="X107" s="9">
        <f>X105*$E$6</f>
        <v>1.0169999999999999</v>
      </c>
      <c r="Y107" s="9">
        <f t="shared" ref="Y107:AA107" si="496">Y105*$E$6</f>
        <v>0</v>
      </c>
      <c r="Z107" s="9">
        <f t="shared" si="496"/>
        <v>0</v>
      </c>
      <c r="AA107" s="9">
        <f t="shared" si="496"/>
        <v>0</v>
      </c>
      <c r="AB107" s="42">
        <f>X107*VLOOKUP($B107,Types!$B$2:$D$13,3,FALSE)*Conv!$I$5*1000*365</f>
        <v>2.2206104942615994</v>
      </c>
      <c r="AC107" s="42">
        <f>Y107*VLOOKUP($B107,Types!$B$2:$D$13,3,FALSE)*Conv!$I$5*1000*365</f>
        <v>0</v>
      </c>
      <c r="AD107" s="42">
        <f>Z107*VLOOKUP($B107,Types!$B$2:$D$13,3,FALSE)*Conv!$I$5*1000*365</f>
        <v>0</v>
      </c>
      <c r="AE107" s="42">
        <f>AA107*VLOOKUP($B107,Types!$B$2:$D$13,3,FALSE)*Conv!$I$5*1000*365</f>
        <v>0</v>
      </c>
      <c r="AF107" s="42">
        <f>AB107-AF106</f>
        <v>0.24673449936239988</v>
      </c>
      <c r="AG107" s="42">
        <f t="shared" ref="AG107" si="497">AC107-AG106</f>
        <v>0</v>
      </c>
      <c r="AH107" s="42">
        <f t="shared" ref="AH107" si="498">AD107-AH106</f>
        <v>0</v>
      </c>
      <c r="AI107" s="42">
        <f t="shared" ref="AI107" si="499">AE107-AI106</f>
        <v>0</v>
      </c>
      <c r="AJ107" s="42"/>
      <c r="AK107" s="42"/>
      <c r="AL107" s="42"/>
    </row>
    <row r="108" spans="1:38">
      <c r="A108" s="9" t="str">
        <f t="shared" si="494"/>
        <v>Jet Fuel</v>
      </c>
      <c r="B108" s="9" t="str">
        <f>VLOOKUP($A108,Types!$A$2:$C$13,2,FALSE)</f>
        <v>JTF</v>
      </c>
      <c r="C108" s="9">
        <v>4</v>
      </c>
      <c r="D108" s="9">
        <v>2</v>
      </c>
      <c r="E108" s="9" t="str">
        <f t="shared" si="313"/>
        <v>IMPJTFP24</v>
      </c>
      <c r="F108" s="9" t="str">
        <f>CONCATENATE("Imported ",VLOOKUP($A108,Types!$A$2:$C$13,3,FALSE),", PADD ",D108,", Step ",RIGHT(C108,1))</f>
        <v>Imported Jet Fuel, PADD 2, Step 4</v>
      </c>
      <c r="G108" s="9" t="str">
        <f>CONCATENATE(VLOOKUP($A108,Types!$A$2:$C$13,2,FALSE),"P",D108)</f>
        <v>JTFP2</v>
      </c>
      <c r="H108" s="66">
        <f>H105*$C$8</f>
        <v>52.420280000000012</v>
      </c>
      <c r="I108" s="66">
        <f t="shared" ref="I108:K108" si="500">I105*$C$8</f>
        <v>47.564330000000012</v>
      </c>
      <c r="J108" s="66">
        <f t="shared" si="500"/>
        <v>37.408800000000006</v>
      </c>
      <c r="K108" s="66">
        <f t="shared" si="500"/>
        <v>41.071200000000005</v>
      </c>
      <c r="L108" s="67">
        <f>H108*Conv!$J$20/10^6/VLOOKUP($B108,Types!$B$2:$D$13,3,FALSE)/Conv!$I$5</f>
        <v>13.446342297682644</v>
      </c>
      <c r="M108" s="67">
        <f>I108*Conv!$J$20/10^6/VLOOKUP($B108,Types!$B$2:$D$13,3,FALSE)/Conv!$I$5</f>
        <v>12.200741055559712</v>
      </c>
      <c r="N108" s="67" t="e">
        <f>M108*#REF!</f>
        <v>#REF!</v>
      </c>
      <c r="O108" s="67" t="e">
        <f>N108*#REF!</f>
        <v>#REF!</v>
      </c>
      <c r="P108" s="67" t="e">
        <f>O108*#REF!</f>
        <v>#REF!</v>
      </c>
      <c r="Q108" s="67" t="e">
        <f>P108*#REF!</f>
        <v>#REF!</v>
      </c>
      <c r="R108" s="67" t="e">
        <f>Q108*#REF!</f>
        <v>#REF!</v>
      </c>
      <c r="S108" s="67" t="e">
        <f>R108*#REF!</f>
        <v>#REF!</v>
      </c>
      <c r="T108" s="67" t="e">
        <f>S108*#REF!</f>
        <v>#REF!</v>
      </c>
      <c r="U108" s="67" t="e">
        <f>T108*#REF!</f>
        <v>#REF!</v>
      </c>
      <c r="V108" s="67" t="e">
        <f>U108*#REF!</f>
        <v>#REF!</v>
      </c>
      <c r="W108" s="42"/>
      <c r="X108" s="9">
        <f>X105*$E$8</f>
        <v>1.3559999999999999</v>
      </c>
      <c r="Y108" s="9">
        <f t="shared" ref="Y108:AA108" si="501">Y105*$E$8</f>
        <v>0</v>
      </c>
      <c r="Z108" s="9">
        <f t="shared" si="501"/>
        <v>0</v>
      </c>
      <c r="AA108" s="9">
        <f t="shared" si="501"/>
        <v>0</v>
      </c>
      <c r="AB108" s="42">
        <f>X108*VLOOKUP($B108,Types!$B$2:$D$13,3,FALSE)*Conv!$I$5*1000*365</f>
        <v>2.9608139923487995</v>
      </c>
      <c r="AC108" s="42">
        <f>Y108*VLOOKUP($B108,Types!$B$2:$D$13,3,FALSE)*Conv!$I$5*1000*365</f>
        <v>0</v>
      </c>
      <c r="AD108" s="42">
        <f>Z108*VLOOKUP($B108,Types!$B$2:$D$13,3,FALSE)*Conv!$I$5*1000*365</f>
        <v>0</v>
      </c>
      <c r="AE108" s="42">
        <f>AA108*VLOOKUP($B108,Types!$B$2:$D$13,3,FALSE)*Conv!$I$5*1000*365</f>
        <v>0</v>
      </c>
      <c r="AF108" s="42">
        <f>AB108-AB105</f>
        <v>0.49346899872480021</v>
      </c>
      <c r="AG108" s="42">
        <f t="shared" ref="AG108" si="502">AC108-AC105</f>
        <v>0</v>
      </c>
      <c r="AH108" s="42">
        <f t="shared" ref="AH108" si="503">AD108-AD105</f>
        <v>0</v>
      </c>
      <c r="AI108" s="42">
        <f t="shared" ref="AI108" si="504">AE108-AE105</f>
        <v>0</v>
      </c>
      <c r="AJ108" s="42"/>
      <c r="AK108" s="42"/>
      <c r="AL108" s="42"/>
    </row>
    <row r="109" spans="1:38">
      <c r="A109" s="9" t="str">
        <f t="shared" si="494"/>
        <v>Jet Fuel</v>
      </c>
      <c r="B109" s="9" t="str">
        <f>VLOOKUP($A109,Types!$A$2:$C$13,2,FALSE)</f>
        <v>JTF</v>
      </c>
      <c r="C109" s="9">
        <v>5</v>
      </c>
      <c r="D109" s="9">
        <v>2</v>
      </c>
      <c r="E109" s="9" t="str">
        <f t="shared" si="313"/>
        <v>IMPJTFP25</v>
      </c>
      <c r="F109" s="9" t="str">
        <f>CONCATENATE("Imported ",VLOOKUP($A109,Types!$A$2:$C$13,3,FALSE),", PADD ",D109,", Step ",RIGHT(C109,1))</f>
        <v>Imported Jet Fuel, PADD 2, Step 5</v>
      </c>
      <c r="G109" s="9" t="str">
        <f>CONCATENATE(VLOOKUP($A109,Types!$A$2:$C$13,2,FALSE),"P",D109)</f>
        <v>JTFP2</v>
      </c>
      <c r="H109" s="66">
        <f>H105*$C$9</f>
        <v>62.519600000000011</v>
      </c>
      <c r="I109" s="66">
        <f t="shared" ref="I109:K109" si="505">I105*$C$9</f>
        <v>56.728100000000012</v>
      </c>
      <c r="J109" s="66">
        <f t="shared" si="505"/>
        <v>44.616</v>
      </c>
      <c r="K109" s="66">
        <f t="shared" si="505"/>
        <v>48.984000000000002</v>
      </c>
      <c r="L109" s="67">
        <f>H109*Conv!$J$20/10^6/VLOOKUP($B109,Types!$B$2:$D$13,3,FALSE)/Conv!$I$5</f>
        <v>16.036922006410492</v>
      </c>
      <c r="M109" s="67">
        <f>I109*Conv!$J$20/10^6/VLOOKUP($B109,Types!$B$2:$D$13,3,FALSE)/Conv!$I$5</f>
        <v>14.551342543328094</v>
      </c>
      <c r="N109" s="67" t="e">
        <f>M109*#REF!</f>
        <v>#REF!</v>
      </c>
      <c r="O109" s="67" t="e">
        <f>N109*#REF!</f>
        <v>#REF!</v>
      </c>
      <c r="P109" s="67" t="e">
        <f>O109*#REF!</f>
        <v>#REF!</v>
      </c>
      <c r="Q109" s="67" t="e">
        <f>P109*#REF!</f>
        <v>#REF!</v>
      </c>
      <c r="R109" s="67" t="e">
        <f>Q109*#REF!</f>
        <v>#REF!</v>
      </c>
      <c r="S109" s="67" t="e">
        <f>R109*#REF!</f>
        <v>#REF!</v>
      </c>
      <c r="T109" s="67" t="e">
        <f>S109*#REF!</f>
        <v>#REF!</v>
      </c>
      <c r="U109" s="67" t="e">
        <f>T109*#REF!</f>
        <v>#REF!</v>
      </c>
      <c r="V109" s="67" t="e">
        <f>U109*#REF!</f>
        <v>#REF!</v>
      </c>
      <c r="W109" s="42"/>
      <c r="X109" s="9">
        <f>X105*$E$9</f>
        <v>2.2599999999999998</v>
      </c>
      <c r="Y109" s="9">
        <f t="shared" ref="Y109:AA109" si="506">Y105*$E$9</f>
        <v>0</v>
      </c>
      <c r="Z109" s="9">
        <f t="shared" si="506"/>
        <v>0</v>
      </c>
      <c r="AA109" s="9">
        <f t="shared" si="506"/>
        <v>0</v>
      </c>
      <c r="AB109" s="42">
        <f>X109*VLOOKUP($B109,Types!$B$2:$D$13,3,FALSE)*Conv!$I$5*1000*365</f>
        <v>4.9346899872479986</v>
      </c>
      <c r="AC109" s="42">
        <f>Y109*VLOOKUP($B109,Types!$B$2:$D$13,3,FALSE)*Conv!$I$5*1000*365</f>
        <v>0</v>
      </c>
      <c r="AD109" s="42">
        <f>Z109*VLOOKUP($B109,Types!$B$2:$D$13,3,FALSE)*Conv!$I$5*1000*365</f>
        <v>0</v>
      </c>
      <c r="AE109" s="42">
        <f>AA109*VLOOKUP($B109,Types!$B$2:$D$13,3,FALSE)*Conv!$I$5*1000*365</f>
        <v>0</v>
      </c>
      <c r="AF109" s="42">
        <f>AB109-AB108</f>
        <v>1.9738759948991991</v>
      </c>
      <c r="AG109" s="42">
        <f t="shared" ref="AG109" si="507">AC109-AC108</f>
        <v>0</v>
      </c>
      <c r="AH109" s="42">
        <f t="shared" ref="AH109" si="508">AD109-AD108</f>
        <v>0</v>
      </c>
      <c r="AI109" s="42">
        <f t="shared" ref="AI109" si="509">AE109-AE108</f>
        <v>0</v>
      </c>
      <c r="AJ109" s="42"/>
      <c r="AK109" s="42"/>
      <c r="AL109" s="42"/>
    </row>
    <row r="110" spans="1:38">
      <c r="A110" s="9" t="str">
        <f>'Agg prdcrv'!$A$13</f>
        <v>LPG</v>
      </c>
      <c r="B110" s="9" t="str">
        <f>VLOOKUP($A110,Types!$A$2:$C$13,2,FALSE)</f>
        <v>LPG</v>
      </c>
      <c r="C110" s="9">
        <v>3</v>
      </c>
      <c r="D110" s="9">
        <v>2</v>
      </c>
      <c r="E110" s="9" t="str">
        <f t="shared" si="313"/>
        <v>IMPLPGP23</v>
      </c>
      <c r="F110" s="9" t="str">
        <f>CONCATENATE("Imported ",VLOOKUP($A110,Types!$A$2:$C$13,3,FALSE),", PADD ",D110,", Step ",RIGHT(C110,1))</f>
        <v>Imported LPG, PADD 2, Step 3</v>
      </c>
      <c r="G110" s="9" t="str">
        <f>CONCATENATE(VLOOKUP($A110,Types!$A$2:$C$13,2,FALSE),"P",D110)</f>
        <v>LPGP2</v>
      </c>
      <c r="H110" s="66">
        <f>SUMIFS('Agg prdcrv'!$M$6:$M$100,'Agg prdcrv'!$A$6:$A$100,'Imp Refined'!$A110,'Agg prdcrv'!$B$6:$B$100,H$11)*K4</f>
        <v>31.691000000000003</v>
      </c>
      <c r="I110" s="66">
        <f>SUMIFS('Agg prdcrv'!$M$6:$M$100,'Agg prdcrv'!$A$6:$A$100,'Imp Refined'!$A110,'Agg prdcrv'!$B$6:$B$100,I$11)*K4</f>
        <v>31.35</v>
      </c>
      <c r="J110" s="66">
        <f t="array" ref="J110">SUMIFS('Agg prdcrv'!$M$6:$M$100,'Agg prdcrv'!$A$6:$A$100,'Imp Refined'!$A110,'Agg prdcrv'!$B$6:$B$100,J$11)</f>
        <v>28.5</v>
      </c>
      <c r="K110" s="66">
        <f t="array" ref="K110">SUMIFS('Agg prdcrv'!$M$6:$M$100,'Agg prdcrv'!$A$6:$A$100,'Imp Refined'!$A110,'Agg prdcrv'!$B$6:$B$100,K$11)</f>
        <v>28.5</v>
      </c>
      <c r="L110" s="67">
        <f>H110*Conv!$J$20/10^6/VLOOKUP($B110,Types!$B$2:$D$13,3,FALSE)/Conv!$I$5</f>
        <v>12.958059311858628</v>
      </c>
      <c r="M110" s="67">
        <f>I110*Conv!$J$20/10^6/VLOOKUP($B110,Types!$B$2:$D$13,3,FALSE)/Conv!$I$5</f>
        <v>12.818628614646682</v>
      </c>
      <c r="N110" s="67" t="e">
        <f>M110*#REF!</f>
        <v>#REF!</v>
      </c>
      <c r="O110" s="67" t="e">
        <f>N110*#REF!</f>
        <v>#REF!</v>
      </c>
      <c r="P110" s="67" t="e">
        <f>O110*#REF!</f>
        <v>#REF!</v>
      </c>
      <c r="Q110" s="67" t="e">
        <f>P110*#REF!</f>
        <v>#REF!</v>
      </c>
      <c r="R110" s="67" t="e">
        <f>Q110*#REF!</f>
        <v>#REF!</v>
      </c>
      <c r="S110" s="67" t="e">
        <f>R110*#REF!</f>
        <v>#REF!</v>
      </c>
      <c r="T110" s="67" t="e">
        <f>S110*#REF!</f>
        <v>#REF!</v>
      </c>
      <c r="U110" s="67" t="e">
        <f>T110*#REF!</f>
        <v>#REF!</v>
      </c>
      <c r="V110" s="67" t="e">
        <f>U110*#REF!</f>
        <v>#REF!</v>
      </c>
      <c r="W110" s="42"/>
      <c r="X110" s="9">
        <f t="array" ref="X110">SUMIFS('Agg prdcrv'!$E$6:$E$100,'Agg prdcrv'!$A$6:$A$100,'Imp Refined'!$A110,'Agg prdcrv'!$B$6:$B$100,X$11)</f>
        <v>140.19999999999999</v>
      </c>
      <c r="Y110" s="9">
        <f t="array" ref="Y110">SUMIFS('Agg prdcrv'!$E$6:$E$100,'Agg prdcrv'!$A$6:$A$100,'Imp Refined'!$A110,'Agg prdcrv'!$B$6:$B$100,Y$11)</f>
        <v>86.77</v>
      </c>
      <c r="Z110" s="9">
        <f t="array" ref="Z110">SUMIFS('Agg prdcrv'!$E$6:$E$100,'Agg prdcrv'!$A$6:$A$100,'Imp Refined'!$A110,'Agg prdcrv'!$B$6:$B$100,Z$11)</f>
        <v>95.8</v>
      </c>
      <c r="AA110" s="9">
        <f t="array" ref="AA110">SUMIFS('Agg prdcrv'!$E$6:$E$100,'Agg prdcrv'!$A$6:$A$100,'Imp Refined'!$A110,'Agg prdcrv'!$B$6:$B$100,AA$11)</f>
        <v>105.7</v>
      </c>
      <c r="AB110" s="42">
        <f>X110*VLOOKUP($B110,Types!$B$2:$D$13,3,FALSE)*Conv!$I$5*1000*365</f>
        <v>192.04378410721594</v>
      </c>
      <c r="AC110" s="42">
        <f>Y110*VLOOKUP($B110,Types!$B$2:$D$13,3,FALSE)*Conv!$I$5*1000*365</f>
        <v>118.85619933654158</v>
      </c>
      <c r="AD110" s="42">
        <f>Z110*VLOOKUP($B110,Types!$B$2:$D$13,3,FALSE)*Conv!$I$5*1000*365</f>
        <v>131.225353191664</v>
      </c>
      <c r="AE110" s="42">
        <f>AA110*VLOOKUP($B110,Types!$B$2:$D$13,3,FALSE)*Conv!$I$5*1000*365</f>
        <v>144.786219544456</v>
      </c>
      <c r="AF110" s="42">
        <f>AB110-AB112</f>
        <v>19.204378410721574</v>
      </c>
      <c r="AG110" s="42">
        <f t="shared" ref="AG110" si="510">AC110-AC112</f>
        <v>11.885619933654127</v>
      </c>
      <c r="AH110" s="42">
        <f t="shared" ref="AH110" si="511">AD110-AD112</f>
        <v>13.122535319166431</v>
      </c>
      <c r="AI110" s="42">
        <f t="shared" ref="AI110" si="512">AE110-AE112</f>
        <v>14.478621954445572</v>
      </c>
      <c r="AJ110" s="42"/>
      <c r="AK110" s="42"/>
      <c r="AL110" s="42"/>
    </row>
    <row r="111" spans="1:38">
      <c r="A111" s="9" t="str">
        <f>A110</f>
        <v>LPG</v>
      </c>
      <c r="B111" s="9" t="str">
        <f>VLOOKUP($A111,Types!$A$2:$C$13,2,FALSE)</f>
        <v>LPG</v>
      </c>
      <c r="C111" s="9">
        <v>1</v>
      </c>
      <c r="D111" s="9">
        <v>2</v>
      </c>
      <c r="E111" s="9" t="str">
        <f t="shared" si="313"/>
        <v>IMPLPGP21</v>
      </c>
      <c r="F111" s="9" t="str">
        <f>CONCATENATE("Imported ",VLOOKUP($A111,Types!$A$2:$C$13,3,FALSE),", PADD ",D111,", Step ",RIGHT(C111,1))</f>
        <v>Imported LPG, PADD 2, Step 1</v>
      </c>
      <c r="G111" s="9" t="str">
        <f>CONCATENATE(VLOOKUP($A111,Types!$A$2:$C$13,2,FALSE),"P",D111)</f>
        <v>LPGP2</v>
      </c>
      <c r="H111" s="66">
        <f>H110*$C$5</f>
        <v>30.106450000000002</v>
      </c>
      <c r="I111" s="66">
        <f t="shared" ref="I111" si="513">I110*$C$5</f>
        <v>29.782499999999999</v>
      </c>
      <c r="J111" s="66">
        <f t="shared" ref="J111" si="514">J110*$C$5</f>
        <v>27.074999999999999</v>
      </c>
      <c r="K111" s="66">
        <f t="shared" ref="K111" si="515">K110*$C$5</f>
        <v>27.074999999999999</v>
      </c>
      <c r="L111" s="67">
        <f>H111*Conv!$J$20/10^6/VLOOKUP($B111,Types!$B$2:$D$13,3,FALSE)/Conv!$I$5</f>
        <v>12.310156346265698</v>
      </c>
      <c r="M111" s="67">
        <f>I111*Conv!$J$20/10^6/VLOOKUP($B111,Types!$B$2:$D$13,3,FALSE)/Conv!$I$5</f>
        <v>12.177697183914349</v>
      </c>
      <c r="N111" s="67" t="e">
        <f>M111*#REF!</f>
        <v>#REF!</v>
      </c>
      <c r="O111" s="67" t="e">
        <f>N111*#REF!</f>
        <v>#REF!</v>
      </c>
      <c r="P111" s="67" t="e">
        <f>O111*#REF!</f>
        <v>#REF!</v>
      </c>
      <c r="Q111" s="67" t="e">
        <f>P111*#REF!</f>
        <v>#REF!</v>
      </c>
      <c r="R111" s="67" t="e">
        <f>Q111*#REF!</f>
        <v>#REF!</v>
      </c>
      <c r="S111" s="67" t="e">
        <f>R111*#REF!</f>
        <v>#REF!</v>
      </c>
      <c r="T111" s="67" t="e">
        <f>S111*#REF!</f>
        <v>#REF!</v>
      </c>
      <c r="U111" s="67" t="e">
        <f>T111*#REF!</f>
        <v>#REF!</v>
      </c>
      <c r="V111" s="67" t="e">
        <f>U111*#REF!</f>
        <v>#REF!</v>
      </c>
      <c r="W111" s="42"/>
      <c r="X111" s="9">
        <f>X110*$E$5</f>
        <v>112.16</v>
      </c>
      <c r="Y111" s="9">
        <f t="shared" ref="Y111" si="516">Y110*$E$5</f>
        <v>69.415999999999997</v>
      </c>
      <c r="Z111" s="9">
        <f t="shared" ref="Z111" si="517">Z110*$E$5</f>
        <v>76.64</v>
      </c>
      <c r="AA111" s="9">
        <f t="shared" ref="AA111" si="518">AA110*$E$5</f>
        <v>84.56</v>
      </c>
      <c r="AB111" s="42">
        <f>X111*VLOOKUP($B111,Types!$B$2:$D$13,3,FALSE)*Conv!$I$5*1000*365</f>
        <v>153.63502728577276</v>
      </c>
      <c r="AC111" s="42">
        <f>Y111*VLOOKUP($B111,Types!$B$2:$D$13,3,FALSE)*Conv!$I$5*1000*365</f>
        <v>95.084959469233254</v>
      </c>
      <c r="AD111" s="42">
        <f>Z111*VLOOKUP($B111,Types!$B$2:$D$13,3,FALSE)*Conv!$I$5*1000*365</f>
        <v>104.98028255333119</v>
      </c>
      <c r="AE111" s="42">
        <f>AA111*VLOOKUP($B111,Types!$B$2:$D$13,3,FALSE)*Conv!$I$5*1000*365</f>
        <v>115.8289756355648</v>
      </c>
      <c r="AF111" s="42">
        <f>AB111</f>
        <v>153.63502728577276</v>
      </c>
      <c r="AG111" s="42">
        <f t="shared" ref="AG111" si="519">AC111</f>
        <v>95.084959469233254</v>
      </c>
      <c r="AH111" s="42">
        <f t="shared" ref="AH111" si="520">AD111</f>
        <v>104.98028255333119</v>
      </c>
      <c r="AI111" s="42">
        <f t="shared" ref="AI111" si="521">AE111</f>
        <v>115.8289756355648</v>
      </c>
      <c r="AJ111" s="42"/>
      <c r="AK111" s="42"/>
      <c r="AL111" s="42"/>
    </row>
    <row r="112" spans="1:38">
      <c r="A112" s="9" t="str">
        <f t="shared" ref="A112:A114" si="522">A111</f>
        <v>LPG</v>
      </c>
      <c r="B112" s="9" t="str">
        <f>VLOOKUP($A112,Types!$A$2:$C$13,2,FALSE)</f>
        <v>LPG</v>
      </c>
      <c r="C112" s="9">
        <v>2</v>
      </c>
      <c r="D112" s="9">
        <v>2</v>
      </c>
      <c r="E112" s="9" t="str">
        <f t="shared" si="313"/>
        <v>IMPLPGP22</v>
      </c>
      <c r="F112" s="9" t="str">
        <f>CONCATENATE("Imported ",VLOOKUP($A112,Types!$A$2:$C$13,3,FALSE),", PADD ",D112,", Step ",RIGHT(C112,1))</f>
        <v>Imported LPG, PADD 2, Step 2</v>
      </c>
      <c r="G112" s="9" t="str">
        <f>CONCATENATE(VLOOKUP($A112,Types!$A$2:$C$13,2,FALSE),"P",D112)</f>
        <v>LPGP2</v>
      </c>
      <c r="H112" s="66">
        <f>H110*$C$6</f>
        <v>31.057180000000002</v>
      </c>
      <c r="I112" s="66">
        <f t="shared" ref="I112:K112" si="523">I110*$C$6</f>
        <v>30.723000000000003</v>
      </c>
      <c r="J112" s="66">
        <f t="shared" si="523"/>
        <v>27.93</v>
      </c>
      <c r="K112" s="66">
        <f t="shared" si="523"/>
        <v>27.93</v>
      </c>
      <c r="L112" s="67">
        <f>H112*Conv!$J$20/10^6/VLOOKUP($B112,Types!$B$2:$D$13,3,FALSE)/Conv!$I$5</f>
        <v>12.698898125621454</v>
      </c>
      <c r="M112" s="67">
        <f>I112*Conv!$J$20/10^6/VLOOKUP($B112,Types!$B$2:$D$13,3,FALSE)/Conv!$I$5</f>
        <v>12.56225604235375</v>
      </c>
      <c r="N112" s="67" t="e">
        <f>M112*#REF!</f>
        <v>#REF!</v>
      </c>
      <c r="O112" s="67" t="e">
        <f>N112*#REF!</f>
        <v>#REF!</v>
      </c>
      <c r="P112" s="67" t="e">
        <f>O112*#REF!</f>
        <v>#REF!</v>
      </c>
      <c r="Q112" s="67" t="e">
        <f>P112*#REF!</f>
        <v>#REF!</v>
      </c>
      <c r="R112" s="67" t="e">
        <f>Q112*#REF!</f>
        <v>#REF!</v>
      </c>
      <c r="S112" s="67" t="e">
        <f>R112*#REF!</f>
        <v>#REF!</v>
      </c>
      <c r="T112" s="67" t="e">
        <f>S112*#REF!</f>
        <v>#REF!</v>
      </c>
      <c r="U112" s="67" t="e">
        <f>T112*#REF!</f>
        <v>#REF!</v>
      </c>
      <c r="V112" s="67" t="e">
        <f>U112*#REF!</f>
        <v>#REF!</v>
      </c>
      <c r="W112" s="42"/>
      <c r="X112" s="9">
        <f>X110*$E$6</f>
        <v>126.17999999999999</v>
      </c>
      <c r="Y112" s="9">
        <f t="shared" ref="Y112:AA112" si="524">Y110*$E$6</f>
        <v>78.093000000000004</v>
      </c>
      <c r="Z112" s="9">
        <f t="shared" si="524"/>
        <v>86.22</v>
      </c>
      <c r="AA112" s="9">
        <f t="shared" si="524"/>
        <v>95.13000000000001</v>
      </c>
      <c r="AB112" s="42">
        <f>X112*VLOOKUP($B112,Types!$B$2:$D$13,3,FALSE)*Conv!$I$5*1000*365</f>
        <v>172.83940569649437</v>
      </c>
      <c r="AC112" s="42">
        <f>Y112*VLOOKUP($B112,Types!$B$2:$D$13,3,FALSE)*Conv!$I$5*1000*365</f>
        <v>106.97057940288745</v>
      </c>
      <c r="AD112" s="42">
        <f>Z112*VLOOKUP($B112,Types!$B$2:$D$13,3,FALSE)*Conv!$I$5*1000*365</f>
        <v>118.10281787249757</v>
      </c>
      <c r="AE112" s="42">
        <f>AA112*VLOOKUP($B112,Types!$B$2:$D$13,3,FALSE)*Conv!$I$5*1000*365</f>
        <v>130.30759759001043</v>
      </c>
      <c r="AF112" s="42">
        <f>AB112-AF111</f>
        <v>19.204378410721603</v>
      </c>
      <c r="AG112" s="42">
        <f t="shared" ref="AG112" si="525">AC112-AG111</f>
        <v>11.885619933654198</v>
      </c>
      <c r="AH112" s="42">
        <f t="shared" ref="AH112" si="526">AD112-AH111</f>
        <v>13.122535319166374</v>
      </c>
      <c r="AI112" s="42">
        <f t="shared" ref="AI112" si="527">AE112-AI111</f>
        <v>14.478621954445629</v>
      </c>
      <c r="AJ112" s="42"/>
      <c r="AK112" s="42"/>
      <c r="AL112" s="42"/>
    </row>
    <row r="113" spans="1:38">
      <c r="A113" s="9" t="str">
        <f t="shared" si="522"/>
        <v>LPG</v>
      </c>
      <c r="B113" s="9" t="str">
        <f>VLOOKUP($A113,Types!$A$2:$C$13,2,FALSE)</f>
        <v>LPG</v>
      </c>
      <c r="C113" s="9">
        <v>4</v>
      </c>
      <c r="D113" s="9">
        <v>2</v>
      </c>
      <c r="E113" s="9" t="str">
        <f t="shared" si="313"/>
        <v>IMPLPGP24</v>
      </c>
      <c r="F113" s="9" t="str">
        <f>CONCATENATE("Imported ",VLOOKUP($A113,Types!$A$2:$C$13,3,FALSE),", PADD ",D113,", Step ",RIGHT(C113,1))</f>
        <v>Imported LPG, PADD 2, Step 4</v>
      </c>
      <c r="G113" s="9" t="str">
        <f>CONCATENATE(VLOOKUP($A113,Types!$A$2:$C$13,2,FALSE),"P",D113)</f>
        <v>LPGP2</v>
      </c>
      <c r="H113" s="66">
        <f>H110*$C$8</f>
        <v>34.543190000000003</v>
      </c>
      <c r="I113" s="66">
        <f t="shared" ref="I113:K113" si="528">I110*$C$8</f>
        <v>34.171500000000002</v>
      </c>
      <c r="J113" s="66">
        <f t="shared" si="528"/>
        <v>31.065000000000001</v>
      </c>
      <c r="K113" s="66">
        <f t="shared" si="528"/>
        <v>31.065000000000001</v>
      </c>
      <c r="L113" s="67">
        <f>H113*Conv!$J$20/10^6/VLOOKUP($B113,Types!$B$2:$D$13,3,FALSE)/Conv!$I$5</f>
        <v>14.124284649925904</v>
      </c>
      <c r="M113" s="67">
        <f>I113*Conv!$J$20/10^6/VLOOKUP($B113,Types!$B$2:$D$13,3,FALSE)/Conv!$I$5</f>
        <v>13.972305189964885</v>
      </c>
      <c r="N113" s="67" t="e">
        <f>M113*#REF!</f>
        <v>#REF!</v>
      </c>
      <c r="O113" s="67" t="e">
        <f>N113*#REF!</f>
        <v>#REF!</v>
      </c>
      <c r="P113" s="67" t="e">
        <f>O113*#REF!</f>
        <v>#REF!</v>
      </c>
      <c r="Q113" s="67" t="e">
        <f>P113*#REF!</f>
        <v>#REF!</v>
      </c>
      <c r="R113" s="67" t="e">
        <f>Q113*#REF!</f>
        <v>#REF!</v>
      </c>
      <c r="S113" s="67" t="e">
        <f>R113*#REF!</f>
        <v>#REF!</v>
      </c>
      <c r="T113" s="67" t="e">
        <f>S113*#REF!</f>
        <v>#REF!</v>
      </c>
      <c r="U113" s="67" t="e">
        <f>T113*#REF!</f>
        <v>#REF!</v>
      </c>
      <c r="V113" s="67" t="e">
        <f>U113*#REF!</f>
        <v>#REF!</v>
      </c>
      <c r="W113" s="42"/>
      <c r="X113" s="9">
        <f>X110*$E$8</f>
        <v>168.23999999999998</v>
      </c>
      <c r="Y113" s="9">
        <f t="shared" ref="Y113:AA113" si="529">Y110*$E$8</f>
        <v>104.124</v>
      </c>
      <c r="Z113" s="9">
        <f t="shared" si="529"/>
        <v>114.96</v>
      </c>
      <c r="AA113" s="9">
        <f t="shared" si="529"/>
        <v>126.84</v>
      </c>
      <c r="AB113" s="42">
        <f>X113*VLOOKUP($B113,Types!$B$2:$D$13,3,FALSE)*Conv!$I$5*1000*365</f>
        <v>230.45254092865915</v>
      </c>
      <c r="AC113" s="42">
        <f>Y113*VLOOKUP($B113,Types!$B$2:$D$13,3,FALSE)*Conv!$I$5*1000*365</f>
        <v>142.62743920384989</v>
      </c>
      <c r="AD113" s="42">
        <f>Z113*VLOOKUP($B113,Types!$B$2:$D$13,3,FALSE)*Conv!$I$5*1000*365</f>
        <v>157.47042382999678</v>
      </c>
      <c r="AE113" s="42">
        <f>AA113*VLOOKUP($B113,Types!$B$2:$D$13,3,FALSE)*Conv!$I$5*1000*365</f>
        <v>173.74346345334718</v>
      </c>
      <c r="AF113" s="42">
        <f>AB113-AB110</f>
        <v>38.408756821443205</v>
      </c>
      <c r="AG113" s="42">
        <f t="shared" ref="AG113" si="530">AC113-AC110</f>
        <v>23.77123986730831</v>
      </c>
      <c r="AH113" s="42">
        <f t="shared" ref="AH113" si="531">AD113-AD110</f>
        <v>26.245070638332777</v>
      </c>
      <c r="AI113" s="42">
        <f t="shared" ref="AI113" si="532">AE113-AE110</f>
        <v>28.957243908891172</v>
      </c>
      <c r="AJ113" s="42"/>
      <c r="AK113" s="42"/>
      <c r="AL113" s="42"/>
    </row>
    <row r="114" spans="1:38">
      <c r="A114" s="9" t="str">
        <f t="shared" si="522"/>
        <v>LPG</v>
      </c>
      <c r="B114" s="9" t="str">
        <f>VLOOKUP($A114,Types!$A$2:$C$13,2,FALSE)</f>
        <v>LPG</v>
      </c>
      <c r="C114" s="9">
        <v>5</v>
      </c>
      <c r="D114" s="9">
        <v>2</v>
      </c>
      <c r="E114" s="9" t="str">
        <f t="shared" si="313"/>
        <v>IMPLPGP25</v>
      </c>
      <c r="F114" s="9" t="str">
        <f>CONCATENATE("Imported ",VLOOKUP($A114,Types!$A$2:$C$13,3,FALSE),", PADD ",D114,", Step ",RIGHT(C114,1))</f>
        <v>Imported LPG, PADD 2, Step 5</v>
      </c>
      <c r="G114" s="9" t="str">
        <f>CONCATENATE(VLOOKUP($A114,Types!$A$2:$C$13,2,FALSE),"P",D114)</f>
        <v>LPGP2</v>
      </c>
      <c r="H114" s="66">
        <f>H110*$C$9</f>
        <v>41.198300000000003</v>
      </c>
      <c r="I114" s="66">
        <f t="shared" ref="I114:K114" si="533">I110*$C$9</f>
        <v>40.755000000000003</v>
      </c>
      <c r="J114" s="66">
        <f t="shared" si="533"/>
        <v>37.050000000000004</v>
      </c>
      <c r="K114" s="66">
        <f t="shared" si="533"/>
        <v>37.050000000000004</v>
      </c>
      <c r="L114" s="67">
        <f>H114*Conv!$J$20/10^6/VLOOKUP($B114,Types!$B$2:$D$13,3,FALSE)/Conv!$I$5</f>
        <v>16.845477105416219</v>
      </c>
      <c r="M114" s="67">
        <f>I114*Conv!$J$20/10^6/VLOOKUP($B114,Types!$B$2:$D$13,3,FALSE)/Conv!$I$5</f>
        <v>16.664217199040689</v>
      </c>
      <c r="N114" s="67" t="e">
        <f>M114*#REF!</f>
        <v>#REF!</v>
      </c>
      <c r="O114" s="67" t="e">
        <f>N114*#REF!</f>
        <v>#REF!</v>
      </c>
      <c r="P114" s="67" t="e">
        <f>O114*#REF!</f>
        <v>#REF!</v>
      </c>
      <c r="Q114" s="67" t="e">
        <f>P114*#REF!</f>
        <v>#REF!</v>
      </c>
      <c r="R114" s="67" t="e">
        <f>Q114*#REF!</f>
        <v>#REF!</v>
      </c>
      <c r="S114" s="67" t="e">
        <f>R114*#REF!</f>
        <v>#REF!</v>
      </c>
      <c r="T114" s="67" t="e">
        <f>S114*#REF!</f>
        <v>#REF!</v>
      </c>
      <c r="U114" s="67" t="e">
        <f>T114*#REF!</f>
        <v>#REF!</v>
      </c>
      <c r="V114" s="67" t="e">
        <f>U114*#REF!</f>
        <v>#REF!</v>
      </c>
      <c r="W114" s="42"/>
      <c r="X114" s="9">
        <f>X110*$E$9</f>
        <v>280.39999999999998</v>
      </c>
      <c r="Y114" s="9">
        <f t="shared" ref="Y114:AA114" si="534">Y110*$E$9</f>
        <v>173.54</v>
      </c>
      <c r="Z114" s="9">
        <f t="shared" si="534"/>
        <v>191.6</v>
      </c>
      <c r="AA114" s="9">
        <f t="shared" si="534"/>
        <v>211.4</v>
      </c>
      <c r="AB114" s="42">
        <f>X114*VLOOKUP($B114,Types!$B$2:$D$13,3,FALSE)*Conv!$I$5*1000*365</f>
        <v>384.08756821443188</v>
      </c>
      <c r="AC114" s="42">
        <f>Y114*VLOOKUP($B114,Types!$B$2:$D$13,3,FALSE)*Conv!$I$5*1000*365</f>
        <v>237.71239867308316</v>
      </c>
      <c r="AD114" s="42">
        <f>Z114*VLOOKUP($B114,Types!$B$2:$D$13,3,FALSE)*Conv!$I$5*1000*365</f>
        <v>262.450706383328</v>
      </c>
      <c r="AE114" s="42">
        <f>AA114*VLOOKUP($B114,Types!$B$2:$D$13,3,FALSE)*Conv!$I$5*1000*365</f>
        <v>289.57243908891201</v>
      </c>
      <c r="AF114" s="42">
        <f>AB114-AB113</f>
        <v>153.63502728577274</v>
      </c>
      <c r="AG114" s="42">
        <f t="shared" ref="AG114" si="535">AC114-AC113</f>
        <v>95.084959469233269</v>
      </c>
      <c r="AH114" s="42">
        <f t="shared" ref="AH114" si="536">AD114-AD113</f>
        <v>104.98028255333122</v>
      </c>
      <c r="AI114" s="42">
        <f t="shared" ref="AI114" si="537">AE114-AE113</f>
        <v>115.82897563556483</v>
      </c>
      <c r="AJ114" s="42"/>
      <c r="AK114" s="42"/>
      <c r="AL114" s="42"/>
    </row>
    <row r="115" spans="1:38">
      <c r="A115" s="9" t="str">
        <f>'Agg prdcrv'!$A$14</f>
        <v>Petchem. Feedstocks</v>
      </c>
      <c r="B115" s="9" t="str">
        <f>VLOOKUP($A115,Types!$A$2:$C$13,2,FALSE)</f>
        <v>PFS</v>
      </c>
      <c r="C115" s="9">
        <v>3</v>
      </c>
      <c r="D115" s="9">
        <v>2</v>
      </c>
      <c r="E115" s="9" t="str">
        <f t="shared" si="313"/>
        <v>IMPPFSP23</v>
      </c>
      <c r="F115" s="9" t="str">
        <f>CONCATENATE("Imported ",VLOOKUP($A115,Types!$A$2:$C$13,3,FALSE),", PADD ",D115,", Step ",RIGHT(C115,1))</f>
        <v>Imported Petrochemical Feedstocks, PADD 2, Step 3</v>
      </c>
      <c r="G115" s="9" t="str">
        <f>CONCATENATE(VLOOKUP($A115,Types!$A$2:$C$13,2,FALSE),"P",D115)</f>
        <v>PFSP2</v>
      </c>
      <c r="H115" s="66">
        <f>SUMIFS('Agg prdcrv'!$M$6:$M$100,'Agg prdcrv'!$A$6:$A$100,'Imp Refined'!$A115,'Agg prdcrv'!$B$6:$B$100,H$11)*K4</f>
        <v>40.832000000000001</v>
      </c>
      <c r="I115" s="66">
        <f>SUMIFS('Agg prdcrv'!$M$6:$M$100,'Agg prdcrv'!$A$6:$A$100,'Imp Refined'!$A115,'Agg prdcrv'!$B$6:$B$100,I$11)*K4</f>
        <v>30.448</v>
      </c>
      <c r="J115" s="66">
        <f t="array" ref="J115">SUMIFS('Agg prdcrv'!$M$6:$M$100,'Agg prdcrv'!$A$6:$A$100,'Imp Refined'!$A115,'Agg prdcrv'!$B$6:$B$100,J$11)</f>
        <v>21.68</v>
      </c>
      <c r="K115" s="66">
        <f t="array" ref="K115">SUMIFS('Agg prdcrv'!$M$6:$M$100,'Agg prdcrv'!$A$6:$A$100,'Imp Refined'!$A115,'Agg prdcrv'!$B$6:$B$100,K$11)</f>
        <v>24.85</v>
      </c>
      <c r="L115" s="67">
        <f>H115*Conv!$J$20/10^6/VLOOKUP($B115,Types!$B$2:$D$13,3,FALSE)/Conv!$I$5</f>
        <v>10.435180181591191</v>
      </c>
      <c r="M115" s="67">
        <f>I115*Conv!$J$20/10^6/VLOOKUP($B115,Types!$B$2:$D$13,3,FALSE)/Conv!$I$5</f>
        <v>7.7814059112727412</v>
      </c>
      <c r="N115" s="67" t="e">
        <f>M115*#REF!</f>
        <v>#REF!</v>
      </c>
      <c r="O115" s="67" t="e">
        <f>N115*#REF!</f>
        <v>#REF!</v>
      </c>
      <c r="P115" s="67" t="e">
        <f>O115*#REF!</f>
        <v>#REF!</v>
      </c>
      <c r="Q115" s="67" t="e">
        <f>P115*#REF!</f>
        <v>#REF!</v>
      </c>
      <c r="R115" s="67" t="e">
        <f>Q115*#REF!</f>
        <v>#REF!</v>
      </c>
      <c r="S115" s="67" t="e">
        <f>R115*#REF!</f>
        <v>#REF!</v>
      </c>
      <c r="T115" s="67" t="e">
        <f>S115*#REF!</f>
        <v>#REF!</v>
      </c>
      <c r="U115" s="67" t="e">
        <f>T115*#REF!</f>
        <v>#REF!</v>
      </c>
      <c r="V115" s="67" t="e">
        <f>U115*#REF!</f>
        <v>#REF!</v>
      </c>
      <c r="W115" s="42"/>
      <c r="X115" s="9">
        <f t="array" ref="X115">SUMIFS('Agg prdcrv'!$E$6:$E$100,'Agg prdcrv'!$A$6:$A$100,'Imp Refined'!$A115,'Agg prdcrv'!$B$6:$B$100,X$11)</f>
        <v>1</v>
      </c>
      <c r="Y115" s="9">
        <f t="array" ref="Y115">SUMIFS('Agg prdcrv'!$E$6:$E$100,'Agg prdcrv'!$A$6:$A$100,'Imp Refined'!$A115,'Agg prdcrv'!$B$6:$B$100,Y$11)</f>
        <v>3.98</v>
      </c>
      <c r="Z115" s="9">
        <f t="array" ref="Z115">SUMIFS('Agg prdcrv'!$E$6:$E$100,'Agg prdcrv'!$A$6:$A$100,'Imp Refined'!$A115,'Agg prdcrv'!$B$6:$B$100,Z$11)</f>
        <v>4.4000000000000004</v>
      </c>
      <c r="AA115" s="9">
        <f t="array" ref="AA115">SUMIFS('Agg prdcrv'!$E$6:$E$100,'Agg prdcrv'!$A$6:$A$100,'Imp Refined'!$A115,'Agg prdcrv'!$B$6:$B$100,AA$11)</f>
        <v>4.8600000000000003</v>
      </c>
      <c r="AB115" s="42">
        <f>X115*VLOOKUP($B115,Types!$B$2:$D$13,3,FALSE)*Conv!$I$5*1000*365</f>
        <v>2.1915781490399997</v>
      </c>
      <c r="AC115" s="42">
        <f>Y115*VLOOKUP($B115,Types!$B$2:$D$13,3,FALSE)*Conv!$I$5*1000*365</f>
        <v>8.7224810331791982</v>
      </c>
      <c r="AD115" s="42">
        <f>Z115*VLOOKUP($B115,Types!$B$2:$D$13,3,FALSE)*Conv!$I$5*1000*365</f>
        <v>9.6429438557760001</v>
      </c>
      <c r="AE115" s="42">
        <f>AA115*VLOOKUP($B115,Types!$B$2:$D$13,3,FALSE)*Conv!$I$5*1000*365</f>
        <v>10.651069804334401</v>
      </c>
      <c r="AF115" s="42">
        <f>AB115-AB117</f>
        <v>0.21915781490399966</v>
      </c>
      <c r="AG115" s="42">
        <f t="shared" ref="AG115" si="538">AC115-AC117</f>
        <v>0.87224810331791947</v>
      </c>
      <c r="AH115" s="42">
        <f t="shared" ref="AH115" si="539">AD115-AD117</f>
        <v>0.96429438557760072</v>
      </c>
      <c r="AI115" s="42">
        <f t="shared" ref="AI115" si="540">AE115-AE117</f>
        <v>1.0651069804334412</v>
      </c>
      <c r="AJ115" s="42"/>
      <c r="AK115" s="42"/>
      <c r="AL115" s="42"/>
    </row>
    <row r="116" spans="1:38">
      <c r="A116" s="9" t="str">
        <f>A115</f>
        <v>Petchem. Feedstocks</v>
      </c>
      <c r="B116" s="9" t="str">
        <f>VLOOKUP($A116,Types!$A$2:$C$13,2,FALSE)</f>
        <v>PFS</v>
      </c>
      <c r="C116" s="9">
        <v>1</v>
      </c>
      <c r="D116" s="9">
        <v>2</v>
      </c>
      <c r="E116" s="9" t="str">
        <f t="shared" si="313"/>
        <v>IMPPFSP21</v>
      </c>
      <c r="F116" s="9" t="str">
        <f>CONCATENATE("Imported ",VLOOKUP($A116,Types!$A$2:$C$13,3,FALSE),", PADD ",D116,", Step ",RIGHT(C116,1))</f>
        <v>Imported Petrochemical Feedstocks, PADD 2, Step 1</v>
      </c>
      <c r="G116" s="9" t="str">
        <f>CONCATENATE(VLOOKUP($A116,Types!$A$2:$C$13,2,FALSE),"P",D116)</f>
        <v>PFSP2</v>
      </c>
      <c r="H116" s="66">
        <f>H115*$C$5</f>
        <v>38.790399999999998</v>
      </c>
      <c r="I116" s="66">
        <f t="shared" ref="I116" si="541">I115*$C$5</f>
        <v>28.925599999999999</v>
      </c>
      <c r="J116" s="66">
        <f t="shared" ref="J116" si="542">J115*$C$5</f>
        <v>20.596</v>
      </c>
      <c r="K116" s="66">
        <f t="shared" ref="K116" si="543">K115*$C$5</f>
        <v>23.607500000000002</v>
      </c>
      <c r="L116" s="67">
        <f>H116*Conv!$J$20/10^6/VLOOKUP($B116,Types!$B$2:$D$13,3,FALSE)/Conv!$I$5</f>
        <v>9.9134211725116312</v>
      </c>
      <c r="M116" s="67">
        <f>I116*Conv!$J$20/10^6/VLOOKUP($B116,Types!$B$2:$D$13,3,FALSE)/Conv!$I$5</f>
        <v>7.3923356157091042</v>
      </c>
      <c r="N116" s="67" t="e">
        <f>M116*#REF!</f>
        <v>#REF!</v>
      </c>
      <c r="O116" s="67" t="e">
        <f>N116*#REF!</f>
        <v>#REF!</v>
      </c>
      <c r="P116" s="67" t="e">
        <f>O116*#REF!</f>
        <v>#REF!</v>
      </c>
      <c r="Q116" s="67" t="e">
        <f>P116*#REF!</f>
        <v>#REF!</v>
      </c>
      <c r="R116" s="67" t="e">
        <f>Q116*#REF!</f>
        <v>#REF!</v>
      </c>
      <c r="S116" s="67" t="e">
        <f>R116*#REF!</f>
        <v>#REF!</v>
      </c>
      <c r="T116" s="67" t="e">
        <f>S116*#REF!</f>
        <v>#REF!</v>
      </c>
      <c r="U116" s="67" t="e">
        <f>T116*#REF!</f>
        <v>#REF!</v>
      </c>
      <c r="V116" s="67" t="e">
        <f>U116*#REF!</f>
        <v>#REF!</v>
      </c>
      <c r="W116" s="42"/>
      <c r="X116" s="9">
        <f>X115*$E$5</f>
        <v>0.8</v>
      </c>
      <c r="Y116" s="9">
        <f t="shared" ref="Y116" si="544">Y115*$E$5</f>
        <v>3.1840000000000002</v>
      </c>
      <c r="Z116" s="9">
        <f t="shared" ref="Z116" si="545">Z115*$E$5</f>
        <v>3.5200000000000005</v>
      </c>
      <c r="AA116" s="9">
        <f t="shared" ref="AA116" si="546">AA115*$E$5</f>
        <v>3.8880000000000003</v>
      </c>
      <c r="AB116" s="42">
        <f>X116*VLOOKUP($B116,Types!$B$2:$D$13,3,FALSE)*Conv!$I$5*1000*365</f>
        <v>1.7532625192320002</v>
      </c>
      <c r="AC116" s="42">
        <f>Y116*VLOOKUP($B116,Types!$B$2:$D$13,3,FALSE)*Conv!$I$5*1000*365</f>
        <v>6.9779848265433602</v>
      </c>
      <c r="AD116" s="42">
        <f>Z116*VLOOKUP($B116,Types!$B$2:$D$13,3,FALSE)*Conv!$I$5*1000*365</f>
        <v>7.7143550846208004</v>
      </c>
      <c r="AE116" s="42">
        <f>AA116*VLOOKUP($B116,Types!$B$2:$D$13,3,FALSE)*Conv!$I$5*1000*365</f>
        <v>8.520855843467519</v>
      </c>
      <c r="AF116" s="42">
        <f>AB116</f>
        <v>1.7532625192320002</v>
      </c>
      <c r="AG116" s="42">
        <f t="shared" ref="AG116" si="547">AC116</f>
        <v>6.9779848265433602</v>
      </c>
      <c r="AH116" s="42">
        <f t="shared" ref="AH116" si="548">AD116</f>
        <v>7.7143550846208004</v>
      </c>
      <c r="AI116" s="42">
        <f t="shared" ref="AI116" si="549">AE116</f>
        <v>8.520855843467519</v>
      </c>
      <c r="AJ116" s="42"/>
      <c r="AK116" s="42"/>
      <c r="AL116" s="42"/>
    </row>
    <row r="117" spans="1:38">
      <c r="A117" s="9" t="str">
        <f t="shared" ref="A117:A118" si="550">A116</f>
        <v>Petchem. Feedstocks</v>
      </c>
      <c r="B117" s="9" t="str">
        <f>VLOOKUP($A117,Types!$A$2:$C$13,2,FALSE)</f>
        <v>PFS</v>
      </c>
      <c r="C117" s="9">
        <v>2</v>
      </c>
      <c r="D117" s="9">
        <v>2</v>
      </c>
      <c r="E117" s="9" t="str">
        <f t="shared" si="313"/>
        <v>IMPPFSP22</v>
      </c>
      <c r="F117" s="9" t="str">
        <f>CONCATENATE("Imported ",VLOOKUP($A117,Types!$A$2:$C$13,3,FALSE),", PADD ",D117,", Step ",RIGHT(C117,1))</f>
        <v>Imported Petrochemical Feedstocks, PADD 2, Step 2</v>
      </c>
      <c r="G117" s="9" t="str">
        <f>CONCATENATE(VLOOKUP($A117,Types!$A$2:$C$13,2,FALSE),"P",D117)</f>
        <v>PFSP2</v>
      </c>
      <c r="H117" s="66">
        <f>H115*$C$6</f>
        <v>40.015360000000001</v>
      </c>
      <c r="I117" s="66">
        <f t="shared" ref="I117:K117" si="551">I115*$C$6</f>
        <v>29.839040000000001</v>
      </c>
      <c r="J117" s="66">
        <f t="shared" si="551"/>
        <v>21.246399999999998</v>
      </c>
      <c r="K117" s="66">
        <f t="shared" si="551"/>
        <v>24.353000000000002</v>
      </c>
      <c r="L117" s="67">
        <f>H117*Conv!$J$20/10^6/VLOOKUP($B117,Types!$B$2:$D$13,3,FALSE)/Conv!$I$5</f>
        <v>10.226476577959369</v>
      </c>
      <c r="M117" s="67">
        <f>I117*Conv!$J$20/10^6/VLOOKUP($B117,Types!$B$2:$D$13,3,FALSE)/Conv!$I$5</f>
        <v>7.6257777930472876</v>
      </c>
      <c r="N117" s="67" t="e">
        <f>M117*#REF!</f>
        <v>#REF!</v>
      </c>
      <c r="O117" s="67" t="e">
        <f>N117*#REF!</f>
        <v>#REF!</v>
      </c>
      <c r="P117" s="67" t="e">
        <f>O117*#REF!</f>
        <v>#REF!</v>
      </c>
      <c r="Q117" s="67" t="e">
        <f>P117*#REF!</f>
        <v>#REF!</v>
      </c>
      <c r="R117" s="67" t="e">
        <f>Q117*#REF!</f>
        <v>#REF!</v>
      </c>
      <c r="S117" s="67" t="e">
        <f>R117*#REF!</f>
        <v>#REF!</v>
      </c>
      <c r="T117" s="67" t="e">
        <f>S117*#REF!</f>
        <v>#REF!</v>
      </c>
      <c r="U117" s="67" t="e">
        <f>T117*#REF!</f>
        <v>#REF!</v>
      </c>
      <c r="V117" s="67" t="e">
        <f>U117*#REF!</f>
        <v>#REF!</v>
      </c>
      <c r="W117" s="42"/>
      <c r="X117" s="9">
        <f>X115*$E$6</f>
        <v>0.9</v>
      </c>
      <c r="Y117" s="9">
        <f t="shared" ref="Y117:AA117" si="552">Y115*$E$6</f>
        <v>3.5819999999999999</v>
      </c>
      <c r="Z117" s="9">
        <f t="shared" si="552"/>
        <v>3.9600000000000004</v>
      </c>
      <c r="AA117" s="9">
        <f t="shared" si="552"/>
        <v>4.3740000000000006</v>
      </c>
      <c r="AB117" s="42">
        <f>X117*VLOOKUP($B117,Types!$B$2:$D$13,3,FALSE)*Conv!$I$5*1000*365</f>
        <v>1.972420334136</v>
      </c>
      <c r="AC117" s="42">
        <f>Y117*VLOOKUP($B117,Types!$B$2:$D$13,3,FALSE)*Conv!$I$5*1000*365</f>
        <v>7.8502329298612787</v>
      </c>
      <c r="AD117" s="42">
        <f>Z117*VLOOKUP($B117,Types!$B$2:$D$13,3,FALSE)*Conv!$I$5*1000*365</f>
        <v>8.6786494701983994</v>
      </c>
      <c r="AE117" s="42">
        <f>AA117*VLOOKUP($B117,Types!$B$2:$D$13,3,FALSE)*Conv!$I$5*1000*365</f>
        <v>9.5859628239009602</v>
      </c>
      <c r="AF117" s="42">
        <f>AB117-AF116</f>
        <v>0.21915781490399988</v>
      </c>
      <c r="AG117" s="42">
        <f t="shared" ref="AG117" si="553">AC117-AG116</f>
        <v>0.87224810331791858</v>
      </c>
      <c r="AH117" s="42">
        <f t="shared" ref="AH117" si="554">AD117-AH116</f>
        <v>0.96429438557759894</v>
      </c>
      <c r="AI117" s="42">
        <f t="shared" ref="AI117" si="555">AE117-AI116</f>
        <v>1.0651069804334412</v>
      </c>
      <c r="AJ117" s="42"/>
      <c r="AK117" s="42"/>
      <c r="AL117" s="42"/>
    </row>
    <row r="118" spans="1:38">
      <c r="A118" s="9" t="str">
        <f t="shared" si="550"/>
        <v>Petchem. Feedstocks</v>
      </c>
      <c r="B118" s="9" t="str">
        <f>VLOOKUP($A118,Types!$A$2:$C$13,2,FALSE)</f>
        <v>PFS</v>
      </c>
      <c r="C118" s="9">
        <v>4</v>
      </c>
      <c r="D118" s="9">
        <v>2</v>
      </c>
      <c r="E118" s="9" t="str">
        <f t="shared" si="313"/>
        <v>IMPPFSP24</v>
      </c>
      <c r="F118" s="9" t="str">
        <f>CONCATENATE("Imported ",VLOOKUP($A118,Types!$A$2:$C$13,3,FALSE),", PADD ",D118,", Step ",RIGHT(C118,1))</f>
        <v>Imported Petrochemical Feedstocks, PADD 2, Step 4</v>
      </c>
      <c r="G118" s="9" t="str">
        <f>CONCATENATE(VLOOKUP($A118,Types!$A$2:$C$13,2,FALSE),"P",D118)</f>
        <v>PFSP2</v>
      </c>
      <c r="H118" s="66">
        <f>H115*$C$8</f>
        <v>44.506880000000002</v>
      </c>
      <c r="I118" s="66">
        <f t="shared" ref="I118:K118" si="556">I115*$C$8</f>
        <v>33.188320000000004</v>
      </c>
      <c r="J118" s="66">
        <f t="shared" si="556"/>
        <v>23.6312</v>
      </c>
      <c r="K118" s="66">
        <f t="shared" si="556"/>
        <v>27.086500000000004</v>
      </c>
      <c r="L118" s="67">
        <f>H118*Conv!$J$20/10^6/VLOOKUP($B118,Types!$B$2:$D$13,3,FALSE)/Conv!$I$5</f>
        <v>11.374346397934399</v>
      </c>
      <c r="M118" s="67">
        <f>I118*Conv!$J$20/10^6/VLOOKUP($B118,Types!$B$2:$D$13,3,FALSE)/Conv!$I$5</f>
        <v>8.4817324432872905</v>
      </c>
      <c r="N118" s="67" t="e">
        <f>M118*#REF!</f>
        <v>#REF!</v>
      </c>
      <c r="O118" s="67" t="e">
        <f>N118*#REF!</f>
        <v>#REF!</v>
      </c>
      <c r="P118" s="67" t="e">
        <f>O118*#REF!</f>
        <v>#REF!</v>
      </c>
      <c r="Q118" s="67" t="e">
        <f>P118*#REF!</f>
        <v>#REF!</v>
      </c>
      <c r="R118" s="67" t="e">
        <f>Q118*#REF!</f>
        <v>#REF!</v>
      </c>
      <c r="S118" s="67" t="e">
        <f>R118*#REF!</f>
        <v>#REF!</v>
      </c>
      <c r="T118" s="67" t="e">
        <f>S118*#REF!</f>
        <v>#REF!</v>
      </c>
      <c r="U118" s="67" t="e">
        <f>T118*#REF!</f>
        <v>#REF!</v>
      </c>
      <c r="V118" s="67" t="e">
        <f>U118*#REF!</f>
        <v>#REF!</v>
      </c>
      <c r="W118" s="42"/>
      <c r="X118" s="9">
        <f>X115*$E$8</f>
        <v>1.2</v>
      </c>
      <c r="Y118" s="9">
        <f t="shared" ref="Y118:AA118" si="557">Y115*$E$8</f>
        <v>4.7759999999999998</v>
      </c>
      <c r="Z118" s="9">
        <f t="shared" si="557"/>
        <v>5.28</v>
      </c>
      <c r="AA118" s="9">
        <f t="shared" si="557"/>
        <v>5.8319999999999999</v>
      </c>
      <c r="AB118" s="42">
        <f>X118*VLOOKUP($B118,Types!$B$2:$D$13,3,FALSE)*Conv!$I$5*1000*365</f>
        <v>2.6298937788479995</v>
      </c>
      <c r="AC118" s="42">
        <f>Y118*VLOOKUP($B118,Types!$B$2:$D$13,3,FALSE)*Conv!$I$5*1000*365</f>
        <v>10.466977239815039</v>
      </c>
      <c r="AD118" s="42">
        <f>Z118*VLOOKUP($B118,Types!$B$2:$D$13,3,FALSE)*Conv!$I$5*1000*365</f>
        <v>11.571532626931198</v>
      </c>
      <c r="AE118" s="42">
        <f>AA118*VLOOKUP($B118,Types!$B$2:$D$13,3,FALSE)*Conv!$I$5*1000*365</f>
        <v>12.78128376520128</v>
      </c>
      <c r="AF118" s="42">
        <f>AB118-AB115</f>
        <v>0.43831562980799976</v>
      </c>
      <c r="AG118" s="42">
        <f t="shared" ref="AG118" si="558">AC118-AC115</f>
        <v>1.7444962066358407</v>
      </c>
      <c r="AH118" s="42">
        <f t="shared" ref="AH118" si="559">AD118-AD115</f>
        <v>1.9285887711551979</v>
      </c>
      <c r="AI118" s="42">
        <f t="shared" ref="AI118" si="560">AE118-AE115</f>
        <v>2.1302139608668789</v>
      </c>
      <c r="AJ118" s="42"/>
      <c r="AK118" s="42"/>
      <c r="AL118" s="42"/>
    </row>
    <row r="119" spans="1:38">
      <c r="A119" s="9" t="str">
        <f>A118</f>
        <v>Petchem. Feedstocks</v>
      </c>
      <c r="B119" s="9" t="str">
        <f>VLOOKUP($A119,Types!$A$2:$C$13,2,FALSE)</f>
        <v>PFS</v>
      </c>
      <c r="C119" s="9">
        <v>5</v>
      </c>
      <c r="D119" s="9">
        <v>2</v>
      </c>
      <c r="E119" s="9" t="str">
        <f>CONCATENATE("IMP",G119,RIGHT(C119,1))</f>
        <v>IMPPFSP25</v>
      </c>
      <c r="F119" s="9" t="str">
        <f>CONCATENATE("Imported ",VLOOKUP($A119,Types!$A$2:$C$13,3,FALSE),", PADD ",D119,", Step ",RIGHT(C119,1))</f>
        <v>Imported Petrochemical Feedstocks, PADD 2, Step 5</v>
      </c>
      <c r="G119" s="9" t="str">
        <f>CONCATENATE(VLOOKUP($A119,Types!$A$2:$C$13,2,FALSE),"P",D119)</f>
        <v>PFSP2</v>
      </c>
      <c r="H119" s="66">
        <f>H115*$C$9</f>
        <v>53.081600000000002</v>
      </c>
      <c r="I119" s="66">
        <f t="shared" ref="I119:K119" si="561">I115*$C$9</f>
        <v>39.5824</v>
      </c>
      <c r="J119" s="66">
        <f t="shared" si="561"/>
        <v>28.184000000000001</v>
      </c>
      <c r="K119" s="66">
        <f t="shared" si="561"/>
        <v>32.305</v>
      </c>
      <c r="L119" s="67">
        <f>H119*Conv!$J$20/10^6/VLOOKUP($B119,Types!$B$2:$D$13,3,FALSE)/Conv!$I$5</f>
        <v>13.565734236068549</v>
      </c>
      <c r="M119" s="67">
        <f>I119*Conv!$J$20/10^6/VLOOKUP($B119,Types!$B$2:$D$13,3,FALSE)/Conv!$I$5</f>
        <v>10.115827684654564</v>
      </c>
      <c r="N119" s="67" t="e">
        <f>M119*#REF!</f>
        <v>#REF!</v>
      </c>
      <c r="O119" s="67" t="e">
        <f>N119*#REF!</f>
        <v>#REF!</v>
      </c>
      <c r="P119" s="67" t="e">
        <f>O119*#REF!</f>
        <v>#REF!</v>
      </c>
      <c r="Q119" s="67" t="e">
        <f>P119*#REF!</f>
        <v>#REF!</v>
      </c>
      <c r="R119" s="67" t="e">
        <f>Q119*#REF!</f>
        <v>#REF!</v>
      </c>
      <c r="S119" s="67" t="e">
        <f>R119*#REF!</f>
        <v>#REF!</v>
      </c>
      <c r="T119" s="67" t="e">
        <f>S119*#REF!</f>
        <v>#REF!</v>
      </c>
      <c r="U119" s="67" t="e">
        <f>T119*#REF!</f>
        <v>#REF!</v>
      </c>
      <c r="V119" s="67" t="e">
        <f>U119*#REF!</f>
        <v>#REF!</v>
      </c>
      <c r="W119" s="42"/>
      <c r="X119" s="9">
        <f>X115*$E$9</f>
        <v>2</v>
      </c>
      <c r="Y119" s="9">
        <f t="shared" ref="Y119:AA119" si="562">Y115*$E$9</f>
        <v>7.96</v>
      </c>
      <c r="Z119" s="9">
        <f t="shared" si="562"/>
        <v>8.8000000000000007</v>
      </c>
      <c r="AA119" s="9">
        <f t="shared" si="562"/>
        <v>9.7200000000000006</v>
      </c>
      <c r="AB119" s="42">
        <f>X119*VLOOKUP($B119,Types!$B$2:$D$13,3,FALSE)*Conv!$I$5*1000*365</f>
        <v>4.3831562980799994</v>
      </c>
      <c r="AC119" s="42">
        <f>Y119*VLOOKUP($B119,Types!$B$2:$D$13,3,FALSE)*Conv!$I$5*1000*365</f>
        <v>17.444962066358396</v>
      </c>
      <c r="AD119" s="42">
        <f>Z119*VLOOKUP($B119,Types!$B$2:$D$13,3,FALSE)*Conv!$I$5*1000*365</f>
        <v>19.285887711552</v>
      </c>
      <c r="AE119" s="42">
        <f>AA119*VLOOKUP($B119,Types!$B$2:$D$13,3,FALSE)*Conv!$I$5*1000*365</f>
        <v>21.302139608668803</v>
      </c>
      <c r="AF119" s="42">
        <f>AB119-AB118</f>
        <v>1.7532625192319999</v>
      </c>
      <c r="AG119" s="42">
        <f t="shared" ref="AG119" si="563">AC119-AC118</f>
        <v>6.9779848265433575</v>
      </c>
      <c r="AH119" s="42">
        <f t="shared" ref="AH119" si="564">AD119-AD118</f>
        <v>7.7143550846208022</v>
      </c>
      <c r="AI119" s="42">
        <f t="shared" ref="AI119" si="565">AE119-AE118</f>
        <v>8.5208558434675226</v>
      </c>
      <c r="AJ119" s="42"/>
      <c r="AK119" s="42"/>
      <c r="AL119" s="42"/>
    </row>
    <row r="120" spans="1:38">
      <c r="A120" s="9" t="str">
        <f>'Agg prdcrv'!$A$15</f>
        <v>Other Refined Prod.</v>
      </c>
      <c r="B120" s="9" t="str">
        <f>VLOOKUP($A120,Types!$A$2:$C$13,2,FALSE)</f>
        <v>KER</v>
      </c>
      <c r="C120" s="9">
        <v>3</v>
      </c>
      <c r="D120" s="9">
        <v>2</v>
      </c>
      <c r="E120" s="9" t="str">
        <f>CONCATENATE("IMP",G120,RIGHT(C120,1))</f>
        <v>IMPKERP23</v>
      </c>
      <c r="F120" s="9" t="str">
        <f>CONCATENATE("Imported ",VLOOKUP($A120,Types!$A$2:$C$13,3,FALSE),", PADD ",D120,", Step ",RIGHT(C120,1))</f>
        <v>Imported Kerosene and Other Refined Products, PADD 2, Step 3</v>
      </c>
      <c r="G120" s="9" t="str">
        <f>CONCATENATE(VLOOKUP($A120,Types!$A$2:$C$13,2,FALSE),"P",D120)</f>
        <v>KERP2</v>
      </c>
      <c r="H120" s="66">
        <f>SUMIFS('Agg prdcrv'!$M$6:$M$100,'Agg prdcrv'!$A$6:$A$100,'Imp Refined'!$A120,'Agg prdcrv'!$B$6:$B$100,H$11)*K4</f>
        <v>65.923000000000002</v>
      </c>
      <c r="I120" s="66">
        <f>SUMIFS('Agg prdcrv'!$M$6:$M$100,'Agg prdcrv'!$A$6:$A$100,'Imp Refined'!$A120,'Agg prdcrv'!$B$6:$B$100,I$11)*K4</f>
        <v>40.062000000000005</v>
      </c>
      <c r="J120" s="66">
        <f t="array" ref="J120">SUMIFS('Agg prdcrv'!$M$6:$M$100,'Agg prdcrv'!$A$6:$A$100,'Imp Refined'!$A120,'Agg prdcrv'!$B$6:$B$100,J$11)</f>
        <v>32.450000000000003</v>
      </c>
      <c r="K120" s="66">
        <f t="array" ref="K120">SUMIFS('Agg prdcrv'!$M$6:$M$100,'Agg prdcrv'!$A$6:$A$100,'Imp Refined'!$A120,'Agg prdcrv'!$B$6:$B$100,K$11)</f>
        <v>41.16</v>
      </c>
      <c r="L120" s="67">
        <f>H120*Conv!$J$20/10^6/VLOOKUP($B120,Types!$B$2:$D$13,3,FALSE)/Conv!$I$5</f>
        <v>16.909929197061381</v>
      </c>
      <c r="M120" s="67">
        <f>I120*Conv!$J$20/10^6/VLOOKUP($B120,Types!$B$2:$D$13,3,FALSE)/Conv!$I$5</f>
        <v>10.276316058017279</v>
      </c>
      <c r="N120" s="67" t="e">
        <f>M120*#REF!</f>
        <v>#REF!</v>
      </c>
      <c r="O120" s="67" t="e">
        <f>N120*#REF!</f>
        <v>#REF!</v>
      </c>
      <c r="P120" s="67" t="e">
        <f>O120*#REF!</f>
        <v>#REF!</v>
      </c>
      <c r="Q120" s="67" t="e">
        <f>P120*#REF!</f>
        <v>#REF!</v>
      </c>
      <c r="R120" s="67" t="e">
        <f>Q120*#REF!</f>
        <v>#REF!</v>
      </c>
      <c r="S120" s="67" t="e">
        <f>R120*#REF!</f>
        <v>#REF!</v>
      </c>
      <c r="T120" s="67" t="e">
        <f>S120*#REF!</f>
        <v>#REF!</v>
      </c>
      <c r="U120" s="67" t="e">
        <f>T120*#REF!</f>
        <v>#REF!</v>
      </c>
      <c r="V120" s="67" t="e">
        <f>U120*#REF!</f>
        <v>#REF!</v>
      </c>
      <c r="W120" s="42"/>
      <c r="X120" s="9">
        <f t="array" ref="X120">SUMIFS('Agg prdcrv'!$E$6:$E$100,'Agg prdcrv'!$A$6:$A$100,'Imp Refined'!$A120,'Agg prdcrv'!$B$6:$B$100,X$11)</f>
        <v>7</v>
      </c>
      <c r="Y120" s="9">
        <f t="array" ref="Y120">SUMIFS('Agg prdcrv'!$E$6:$E$100,'Agg prdcrv'!$A$6:$A$100,'Imp Refined'!$A120,'Agg prdcrv'!$B$6:$B$100,Y$11)</f>
        <v>6.05</v>
      </c>
      <c r="Z120" s="9">
        <f t="array" ref="Z120">SUMIFS('Agg prdcrv'!$E$6:$E$100,'Agg prdcrv'!$A$6:$A$100,'Imp Refined'!$A120,'Agg prdcrv'!$B$6:$B$100,Z$11)</f>
        <v>6.55</v>
      </c>
      <c r="AA120" s="9">
        <f t="array" ref="AA120">SUMIFS('Agg prdcrv'!$E$6:$E$100,'Agg prdcrv'!$A$6:$A$100,'Imp Refined'!$A120,'Agg prdcrv'!$B$6:$B$100,AA$11)</f>
        <v>7.09</v>
      </c>
      <c r="AB120" s="42">
        <f>X120*VLOOKUP($B120,Types!$B$2:$D$13,3,FALSE)*Conv!$I$5*1000*365</f>
        <v>15.284438013599997</v>
      </c>
      <c r="AC120" s="42">
        <f>Y120*VLOOKUP($B120,Types!$B$2:$D$13,3,FALSE)*Conv!$I$5*1000*365</f>
        <v>13.210121426039999</v>
      </c>
      <c r="AD120" s="42">
        <f>Z120*VLOOKUP($B120,Types!$B$2:$D$13,3,FALSE)*Conv!$I$5*1000*365</f>
        <v>14.301866998440001</v>
      </c>
      <c r="AE120" s="42">
        <f>AA120*VLOOKUP($B120,Types!$B$2:$D$13,3,FALSE)*Conv!$I$5*1000*365</f>
        <v>15.480952216632</v>
      </c>
      <c r="AF120" s="42">
        <f>AB120-AB122</f>
        <v>1.5284438013600017</v>
      </c>
      <c r="AG120" s="42">
        <f t="shared" ref="AG120" si="566">AC120-AC122</f>
        <v>1.3210121426039976</v>
      </c>
      <c r="AH120" s="42">
        <f t="shared" ref="AH120" si="567">AD120-AD122</f>
        <v>1.430186699844004</v>
      </c>
      <c r="AI120" s="42">
        <f t="shared" ref="AI120" si="568">AE120-AE122</f>
        <v>1.5480952216631998</v>
      </c>
      <c r="AJ120" s="42"/>
      <c r="AK120" s="42"/>
      <c r="AL120" s="42"/>
    </row>
    <row r="121" spans="1:38">
      <c r="A121" s="9" t="str">
        <f>A120</f>
        <v>Other Refined Prod.</v>
      </c>
      <c r="B121" s="9" t="str">
        <f>VLOOKUP($A121,Types!$A$2:$C$13,2,FALSE)</f>
        <v>KER</v>
      </c>
      <c r="C121" s="9">
        <v>1</v>
      </c>
      <c r="D121" s="9">
        <v>2</v>
      </c>
      <c r="E121" s="9" t="str">
        <f t="shared" ref="E121:E134" si="569">CONCATENATE("IMP",G121,RIGHT(C121,1))</f>
        <v>IMPKERP21</v>
      </c>
      <c r="F121" s="9" t="str">
        <f>CONCATENATE("Imported ",VLOOKUP($A121,Types!$A$2:$C$13,3,FALSE),", PADD ",D121,", Step ",RIGHT(C121,1))</f>
        <v>Imported Kerosene and Other Refined Products, PADD 2, Step 1</v>
      </c>
      <c r="G121" s="9" t="str">
        <f>CONCATENATE(VLOOKUP($A121,Types!$A$2:$C$13,2,FALSE),"P",D121)</f>
        <v>KERP2</v>
      </c>
      <c r="H121" s="66">
        <f>H120*$C$5</f>
        <v>62.626849999999997</v>
      </c>
      <c r="I121" s="66">
        <f t="shared" ref="I121" si="570">I120*$C$5</f>
        <v>38.058900000000001</v>
      </c>
      <c r="J121" s="66">
        <f t="shared" ref="J121" si="571">J120*$C$5</f>
        <v>30.827500000000001</v>
      </c>
      <c r="K121" s="66">
        <f t="shared" ref="K121" si="572">K120*$C$5</f>
        <v>39.101999999999997</v>
      </c>
      <c r="L121" s="67">
        <f>H121*Conv!$J$20/10^6/VLOOKUP($B121,Types!$B$2:$D$13,3,FALSE)/Conv!$I$5</f>
        <v>16.064432737208314</v>
      </c>
      <c r="M121" s="67">
        <f>I121*Conv!$J$20/10^6/VLOOKUP($B121,Types!$B$2:$D$13,3,FALSE)/Conv!$I$5</f>
        <v>9.7625002551164162</v>
      </c>
      <c r="N121" s="67" t="e">
        <f>M121*#REF!</f>
        <v>#REF!</v>
      </c>
      <c r="O121" s="67" t="e">
        <f>N121*#REF!</f>
        <v>#REF!</v>
      </c>
      <c r="P121" s="67" t="e">
        <f>O121*#REF!</f>
        <v>#REF!</v>
      </c>
      <c r="Q121" s="67" t="e">
        <f>P121*#REF!</f>
        <v>#REF!</v>
      </c>
      <c r="R121" s="67" t="e">
        <f>Q121*#REF!</f>
        <v>#REF!</v>
      </c>
      <c r="S121" s="67" t="e">
        <f>R121*#REF!</f>
        <v>#REF!</v>
      </c>
      <c r="T121" s="67" t="e">
        <f>S121*#REF!</f>
        <v>#REF!</v>
      </c>
      <c r="U121" s="67" t="e">
        <f>T121*#REF!</f>
        <v>#REF!</v>
      </c>
      <c r="V121" s="67" t="e">
        <f>U121*#REF!</f>
        <v>#REF!</v>
      </c>
      <c r="W121" s="42"/>
      <c r="X121" s="9">
        <f>X120*$E$5</f>
        <v>5.6000000000000005</v>
      </c>
      <c r="Y121" s="9">
        <f t="shared" ref="Y121" si="573">Y120*$E$5</f>
        <v>4.84</v>
      </c>
      <c r="Z121" s="9">
        <f t="shared" ref="Z121" si="574">Z120*$E$5</f>
        <v>5.24</v>
      </c>
      <c r="AA121" s="9">
        <f t="shared" ref="AA121" si="575">AA120*$E$5</f>
        <v>5.6720000000000006</v>
      </c>
      <c r="AB121" s="42">
        <f>X121*VLOOKUP($B121,Types!$B$2:$D$13,3,FALSE)*Conv!$I$5*1000*365</f>
        <v>12.227550410879999</v>
      </c>
      <c r="AC121" s="42">
        <f>Y121*VLOOKUP($B121,Types!$B$2:$D$13,3,FALSE)*Conv!$I$5*1000*365</f>
        <v>10.568097140832</v>
      </c>
      <c r="AD121" s="42">
        <f>Z121*VLOOKUP($B121,Types!$B$2:$D$13,3,FALSE)*Conv!$I$5*1000*365</f>
        <v>11.441493598751999</v>
      </c>
      <c r="AE121" s="42">
        <f>AA121*VLOOKUP($B121,Types!$B$2:$D$13,3,FALSE)*Conv!$I$5*1000*365</f>
        <v>12.384761773305598</v>
      </c>
      <c r="AF121" s="42">
        <f>AB121</f>
        <v>12.227550410879999</v>
      </c>
      <c r="AG121" s="42">
        <f t="shared" ref="AG121" si="576">AC121</f>
        <v>10.568097140832</v>
      </c>
      <c r="AH121" s="42">
        <f t="shared" ref="AH121" si="577">AD121</f>
        <v>11.441493598751999</v>
      </c>
      <c r="AI121" s="42">
        <f t="shared" ref="AI121" si="578">AE121</f>
        <v>12.384761773305598</v>
      </c>
      <c r="AJ121" s="42"/>
      <c r="AK121" s="42"/>
      <c r="AL121" s="42"/>
    </row>
    <row r="122" spans="1:38">
      <c r="A122" s="9" t="str">
        <f t="shared" ref="A122:A124" si="579">A121</f>
        <v>Other Refined Prod.</v>
      </c>
      <c r="B122" s="9" t="str">
        <f>VLOOKUP($A122,Types!$A$2:$C$13,2,FALSE)</f>
        <v>KER</v>
      </c>
      <c r="C122" s="9">
        <v>2</v>
      </c>
      <c r="D122" s="9">
        <v>2</v>
      </c>
      <c r="E122" s="9" t="str">
        <f t="shared" si="569"/>
        <v>IMPKERP22</v>
      </c>
      <c r="F122" s="9" t="str">
        <f>CONCATENATE("Imported ",VLOOKUP($A122,Types!$A$2:$C$13,3,FALSE),", PADD ",D122,", Step ",RIGHT(C122,1))</f>
        <v>Imported Kerosene and Other Refined Products, PADD 2, Step 2</v>
      </c>
      <c r="G122" s="9" t="str">
        <f>CONCATENATE(VLOOKUP($A122,Types!$A$2:$C$13,2,FALSE),"P",D122)</f>
        <v>KERP2</v>
      </c>
      <c r="H122" s="66">
        <f>H120*$C$6</f>
        <v>64.60454</v>
      </c>
      <c r="I122" s="66">
        <f t="shared" ref="I122:K122" si="580">I120*$C$6</f>
        <v>39.260760000000005</v>
      </c>
      <c r="J122" s="66">
        <f t="shared" si="580"/>
        <v>31.801000000000002</v>
      </c>
      <c r="K122" s="66">
        <f t="shared" si="580"/>
        <v>40.336799999999997</v>
      </c>
      <c r="L122" s="67">
        <f>H122*Conv!$J$20/10^6/VLOOKUP($B122,Types!$B$2:$D$13,3,FALSE)/Conv!$I$5</f>
        <v>16.571730613120152</v>
      </c>
      <c r="M122" s="67">
        <f>I122*Conv!$J$20/10^6/VLOOKUP($B122,Types!$B$2:$D$13,3,FALSE)/Conv!$I$5</f>
        <v>10.070789736856934</v>
      </c>
      <c r="N122" s="67" t="e">
        <f>M122*#REF!</f>
        <v>#REF!</v>
      </c>
      <c r="O122" s="67" t="e">
        <f>N122*#REF!</f>
        <v>#REF!</v>
      </c>
      <c r="P122" s="67" t="e">
        <f>O122*#REF!</f>
        <v>#REF!</v>
      </c>
      <c r="Q122" s="67" t="e">
        <f>P122*#REF!</f>
        <v>#REF!</v>
      </c>
      <c r="R122" s="67" t="e">
        <f>Q122*#REF!</f>
        <v>#REF!</v>
      </c>
      <c r="S122" s="67" t="e">
        <f>R122*#REF!</f>
        <v>#REF!</v>
      </c>
      <c r="T122" s="67" t="e">
        <f>S122*#REF!</f>
        <v>#REF!</v>
      </c>
      <c r="U122" s="67" t="e">
        <f>T122*#REF!</f>
        <v>#REF!</v>
      </c>
      <c r="V122" s="67" t="e">
        <f>U122*#REF!</f>
        <v>#REF!</v>
      </c>
      <c r="W122" s="42"/>
      <c r="X122" s="9">
        <f>X120*$E$6</f>
        <v>6.3</v>
      </c>
      <c r="Y122" s="9">
        <f t="shared" ref="Y122:AA122" si="581">Y120*$E$6</f>
        <v>5.4450000000000003</v>
      </c>
      <c r="Z122" s="9">
        <f t="shared" si="581"/>
        <v>5.8949999999999996</v>
      </c>
      <c r="AA122" s="9">
        <f t="shared" si="581"/>
        <v>6.3810000000000002</v>
      </c>
      <c r="AB122" s="42">
        <f>X122*VLOOKUP($B122,Types!$B$2:$D$13,3,FALSE)*Conv!$I$5*1000*365</f>
        <v>13.755994212239996</v>
      </c>
      <c r="AC122" s="42">
        <f>Y122*VLOOKUP($B122,Types!$B$2:$D$13,3,FALSE)*Conv!$I$5*1000*365</f>
        <v>11.889109283436001</v>
      </c>
      <c r="AD122" s="42">
        <f>Z122*VLOOKUP($B122,Types!$B$2:$D$13,3,FALSE)*Conv!$I$5*1000*365</f>
        <v>12.871680298595997</v>
      </c>
      <c r="AE122" s="42">
        <f>AA122*VLOOKUP($B122,Types!$B$2:$D$13,3,FALSE)*Conv!$I$5*1000*365</f>
        <v>13.9328569949688</v>
      </c>
      <c r="AF122" s="42">
        <f>AB122-AF121</f>
        <v>1.5284438013599964</v>
      </c>
      <c r="AG122" s="42">
        <f t="shared" ref="AG122" si="582">AC122-AG121</f>
        <v>1.3210121426040011</v>
      </c>
      <c r="AH122" s="42">
        <f t="shared" ref="AH122" si="583">AD122-AH121</f>
        <v>1.4301866998439987</v>
      </c>
      <c r="AI122" s="42">
        <f t="shared" ref="AI122" si="584">AE122-AI121</f>
        <v>1.5480952216632016</v>
      </c>
      <c r="AJ122" s="42"/>
      <c r="AK122" s="42"/>
      <c r="AL122" s="42"/>
    </row>
    <row r="123" spans="1:38">
      <c r="A123" s="9" t="str">
        <f t="shared" si="579"/>
        <v>Other Refined Prod.</v>
      </c>
      <c r="B123" s="9" t="str">
        <f>VLOOKUP($A123,Types!$A$2:$C$13,2,FALSE)</f>
        <v>KER</v>
      </c>
      <c r="C123" s="9">
        <v>4</v>
      </c>
      <c r="D123" s="9">
        <v>2</v>
      </c>
      <c r="E123" s="9" t="str">
        <f t="shared" si="569"/>
        <v>IMPKERP24</v>
      </c>
      <c r="F123" s="9" t="str">
        <f>CONCATENATE("Imported ",VLOOKUP($A123,Types!$A$2:$C$13,3,FALSE),", PADD ",D123,", Step ",RIGHT(C123,1))</f>
        <v>Imported Kerosene and Other Refined Products, PADD 2, Step 4</v>
      </c>
      <c r="G123" s="9" t="str">
        <f>CONCATENATE(VLOOKUP($A123,Types!$A$2:$C$13,2,FALSE),"P",D123)</f>
        <v>KERP2</v>
      </c>
      <c r="H123" s="66">
        <f>H120*$C$8</f>
        <v>71.856070000000003</v>
      </c>
      <c r="I123" s="66">
        <f t="shared" ref="I123:K123" si="585">I120*$C$8</f>
        <v>43.667580000000008</v>
      </c>
      <c r="J123" s="66">
        <f t="shared" si="585"/>
        <v>35.370500000000007</v>
      </c>
      <c r="K123" s="66">
        <f t="shared" si="585"/>
        <v>44.864399999999996</v>
      </c>
      <c r="L123" s="67">
        <f>H123*Conv!$J$20/10^6/VLOOKUP($B123,Types!$B$2:$D$13,3,FALSE)/Conv!$I$5</f>
        <v>18.431822824796907</v>
      </c>
      <c r="M123" s="67">
        <f>I123*Conv!$J$20/10^6/VLOOKUP($B123,Types!$B$2:$D$13,3,FALSE)/Conv!$I$5</f>
        <v>11.201184503238837</v>
      </c>
      <c r="N123" s="67" t="e">
        <f>M123*#REF!</f>
        <v>#REF!</v>
      </c>
      <c r="O123" s="67" t="e">
        <f>N123*#REF!</f>
        <v>#REF!</v>
      </c>
      <c r="P123" s="67" t="e">
        <f>O123*#REF!</f>
        <v>#REF!</v>
      </c>
      <c r="Q123" s="67" t="e">
        <f>P123*#REF!</f>
        <v>#REF!</v>
      </c>
      <c r="R123" s="67" t="e">
        <f>Q123*#REF!</f>
        <v>#REF!</v>
      </c>
      <c r="S123" s="67" t="e">
        <f>R123*#REF!</f>
        <v>#REF!</v>
      </c>
      <c r="T123" s="67" t="e">
        <f>S123*#REF!</f>
        <v>#REF!</v>
      </c>
      <c r="U123" s="67" t="e">
        <f>T123*#REF!</f>
        <v>#REF!</v>
      </c>
      <c r="V123" s="67" t="e">
        <f>U123*#REF!</f>
        <v>#REF!</v>
      </c>
      <c r="W123" s="42"/>
      <c r="X123" s="9">
        <f>X120*$E$8</f>
        <v>8.4</v>
      </c>
      <c r="Y123" s="9">
        <f t="shared" ref="Y123:AA123" si="586">Y120*$E$8</f>
        <v>7.26</v>
      </c>
      <c r="Z123" s="9">
        <f t="shared" si="586"/>
        <v>7.8599999999999994</v>
      </c>
      <c r="AA123" s="9">
        <f t="shared" si="586"/>
        <v>8.5079999999999991</v>
      </c>
      <c r="AB123" s="42">
        <f>X123*VLOOKUP($B123,Types!$B$2:$D$13,3,FALSE)*Conv!$I$5*1000*365</f>
        <v>18.341325616319999</v>
      </c>
      <c r="AC123" s="42">
        <f>Y123*VLOOKUP($B123,Types!$B$2:$D$13,3,FALSE)*Conv!$I$5*1000*365</f>
        <v>15.852145711248001</v>
      </c>
      <c r="AD123" s="42">
        <f>Z123*VLOOKUP($B123,Types!$B$2:$D$13,3,FALSE)*Conv!$I$5*1000*365</f>
        <v>17.162240398127995</v>
      </c>
      <c r="AE123" s="42">
        <f>AA123*VLOOKUP($B123,Types!$B$2:$D$13,3,FALSE)*Conv!$I$5*1000*365</f>
        <v>18.577142659958398</v>
      </c>
      <c r="AF123" s="42">
        <f>AB123-AB120</f>
        <v>3.0568876027200016</v>
      </c>
      <c r="AG123" s="42">
        <f t="shared" ref="AG123" si="587">AC123-AC120</f>
        <v>2.6420242852080023</v>
      </c>
      <c r="AH123" s="42">
        <f t="shared" ref="AH123" si="588">AD123-AD120</f>
        <v>2.8603733996879939</v>
      </c>
      <c r="AI123" s="42">
        <f t="shared" ref="AI123" si="589">AE123-AE120</f>
        <v>3.0961904433263978</v>
      </c>
      <c r="AJ123" s="42"/>
      <c r="AK123" s="42"/>
      <c r="AL123" s="42"/>
    </row>
    <row r="124" spans="1:38">
      <c r="A124" s="9" t="str">
        <f t="shared" si="579"/>
        <v>Other Refined Prod.</v>
      </c>
      <c r="B124" s="9" t="str">
        <f>VLOOKUP($A124,Types!$A$2:$C$13,2,FALSE)</f>
        <v>KER</v>
      </c>
      <c r="C124" s="9">
        <v>5</v>
      </c>
      <c r="D124" s="9">
        <v>2</v>
      </c>
      <c r="E124" s="9" t="str">
        <f t="shared" si="569"/>
        <v>IMPKERP25</v>
      </c>
      <c r="F124" s="9" t="str">
        <f>CONCATENATE("Imported ",VLOOKUP($A124,Types!$A$2:$C$13,3,FALSE),", PADD ",D124,", Step ",RIGHT(C124,1))</f>
        <v>Imported Kerosene and Other Refined Products, PADD 2, Step 5</v>
      </c>
      <c r="G124" s="9" t="str">
        <f>CONCATENATE(VLOOKUP($A124,Types!$A$2:$C$13,2,FALSE),"P",D124)</f>
        <v>KERP2</v>
      </c>
      <c r="H124" s="66">
        <f>H120*$C$9</f>
        <v>85.6999</v>
      </c>
      <c r="I124" s="66">
        <f t="shared" ref="I124:K124" si="590">I120*$C$9</f>
        <v>52.080600000000011</v>
      </c>
      <c r="J124" s="66">
        <f t="shared" si="590"/>
        <v>42.185000000000002</v>
      </c>
      <c r="K124" s="66">
        <f t="shared" si="590"/>
        <v>53.507999999999996</v>
      </c>
      <c r="L124" s="67">
        <f>H124*Conv!$J$20/10^6/VLOOKUP($B124,Types!$B$2:$D$13,3,FALSE)/Conv!$I$5</f>
        <v>21.982907956179794</v>
      </c>
      <c r="M124" s="67">
        <f>I124*Conv!$J$20/10^6/VLOOKUP($B124,Types!$B$2:$D$13,3,FALSE)/Conv!$I$5</f>
        <v>13.359210875422464</v>
      </c>
      <c r="N124" s="67" t="e">
        <f>M124*#REF!</f>
        <v>#REF!</v>
      </c>
      <c r="O124" s="67" t="e">
        <f>N124*#REF!</f>
        <v>#REF!</v>
      </c>
      <c r="P124" s="67" t="e">
        <f>O124*#REF!</f>
        <v>#REF!</v>
      </c>
      <c r="Q124" s="67" t="e">
        <f>P124*#REF!</f>
        <v>#REF!</v>
      </c>
      <c r="R124" s="67" t="e">
        <f>Q124*#REF!</f>
        <v>#REF!</v>
      </c>
      <c r="S124" s="67" t="e">
        <f>R124*#REF!</f>
        <v>#REF!</v>
      </c>
      <c r="T124" s="67" t="e">
        <f>S124*#REF!</f>
        <v>#REF!</v>
      </c>
      <c r="U124" s="67" t="e">
        <f>T124*#REF!</f>
        <v>#REF!</v>
      </c>
      <c r="V124" s="67" t="e">
        <f>U124*#REF!</f>
        <v>#REF!</v>
      </c>
      <c r="W124" s="42"/>
      <c r="X124" s="9">
        <f>X120*$E$9</f>
        <v>14</v>
      </c>
      <c r="Y124" s="9">
        <f t="shared" ref="Y124:AA124" si="591">Y120*$E$9</f>
        <v>12.1</v>
      </c>
      <c r="Z124" s="9">
        <f t="shared" si="591"/>
        <v>13.1</v>
      </c>
      <c r="AA124" s="9">
        <f t="shared" si="591"/>
        <v>14.18</v>
      </c>
      <c r="AB124" s="42">
        <f>X124*VLOOKUP($B124,Types!$B$2:$D$13,3,FALSE)*Conv!$I$5*1000*365</f>
        <v>30.568876027199995</v>
      </c>
      <c r="AC124" s="42">
        <f>Y124*VLOOKUP($B124,Types!$B$2:$D$13,3,FALSE)*Conv!$I$5*1000*365</f>
        <v>26.420242852079998</v>
      </c>
      <c r="AD124" s="42">
        <f>Z124*VLOOKUP($B124,Types!$B$2:$D$13,3,FALSE)*Conv!$I$5*1000*365</f>
        <v>28.603733996880003</v>
      </c>
      <c r="AE124" s="42">
        <f>AA124*VLOOKUP($B124,Types!$B$2:$D$13,3,FALSE)*Conv!$I$5*1000*365</f>
        <v>30.961904433263999</v>
      </c>
      <c r="AF124" s="42">
        <f>AB124-AB123</f>
        <v>12.227550410879996</v>
      </c>
      <c r="AG124" s="42">
        <f t="shared" ref="AG124" si="592">AC124-AC123</f>
        <v>10.568097140831997</v>
      </c>
      <c r="AH124" s="42">
        <f t="shared" ref="AH124" si="593">AD124-AD123</f>
        <v>11.441493598752007</v>
      </c>
      <c r="AI124" s="42">
        <f t="shared" ref="AI124" si="594">AE124-AE123</f>
        <v>12.384761773305602</v>
      </c>
      <c r="AJ124" s="42"/>
      <c r="AK124" s="42"/>
      <c r="AL124" s="42"/>
    </row>
    <row r="125" spans="1:38">
      <c r="A125" s="9" t="str">
        <f>'Agg prdcrv'!$A$16</f>
        <v>Methanol</v>
      </c>
      <c r="B125" s="9" t="str">
        <f>VLOOKUP($A125,Types!$A$2:$C$13,2,FALSE)</f>
        <v>MTH</v>
      </c>
      <c r="C125" s="9">
        <v>3</v>
      </c>
      <c r="D125" s="9">
        <v>2</v>
      </c>
      <c r="E125" s="9" t="str">
        <f t="shared" si="569"/>
        <v>IMPMTHP23</v>
      </c>
      <c r="F125" s="9" t="str">
        <f>CONCATENATE("Imported ",VLOOKUP($A125,Types!$A$2:$C$13,3,FALSE),", PADD ",D125,", Step ",RIGHT(C125,1))</f>
        <v>Imported Methanol, PADD 2, Step 3</v>
      </c>
      <c r="G125" s="9" t="str">
        <f>CONCATENATE(VLOOKUP($A125,Types!$A$2:$C$13,2,FALSE),"P",D125)</f>
        <v>MTHP2</v>
      </c>
      <c r="H125" s="66">
        <f>SUMIFS('Agg prdcrv'!$M$6:$M$100,'Agg prdcrv'!$A$6:$A$100,'Imp Refined'!$A125,'Agg prdcrv'!$B$6:$B$100,H$11)*K4</f>
        <v>52.195000000000007</v>
      </c>
      <c r="I125" s="66">
        <f>SUMIFS('Agg prdcrv'!$M$6:$M$100,'Agg prdcrv'!$A$6:$A$100,'Imp Refined'!$A125,'Agg prdcrv'!$B$6:$B$100,I$11)*K4</f>
        <v>51.634</v>
      </c>
      <c r="J125" s="66">
        <f t="array" ref="J125">SUMIFS('Agg prdcrv'!$M$6:$M$100,'Agg prdcrv'!$A$6:$A$100,'Imp Refined'!$A125,'Agg prdcrv'!$B$6:$B$100,J$11)</f>
        <v>46.94</v>
      </c>
      <c r="K125" s="66">
        <f t="array" ref="K125">SUMIFS('Agg prdcrv'!$M$6:$M$100,'Agg prdcrv'!$A$6:$A$100,'Imp Refined'!$A125,'Agg prdcrv'!$B$6:$B$100,K$11)</f>
        <v>46.94</v>
      </c>
      <c r="L125" s="67">
        <f>H125*Conv!$J$20/10^6/VLOOKUP($B125,Types!$B$2:$D$13,3,FALSE)/Conv!$I$5</f>
        <v>27.636926810656256</v>
      </c>
      <c r="M125" s="67">
        <f>I125*Conv!$J$20/10^6/VLOOKUP($B125,Types!$B$2:$D$13,3,FALSE)/Conv!$I$5</f>
        <v>27.339880811216108</v>
      </c>
      <c r="N125" s="67" t="e">
        <f>M125*#REF!</f>
        <v>#REF!</v>
      </c>
      <c r="O125" s="67" t="e">
        <f>N125*#REF!</f>
        <v>#REF!</v>
      </c>
      <c r="P125" s="67" t="e">
        <f>O125*#REF!</f>
        <v>#REF!</v>
      </c>
      <c r="Q125" s="67" t="e">
        <f>P125*#REF!</f>
        <v>#REF!</v>
      </c>
      <c r="R125" s="67" t="e">
        <f>Q125*#REF!</f>
        <v>#REF!</v>
      </c>
      <c r="S125" s="67" t="e">
        <f>R125*#REF!</f>
        <v>#REF!</v>
      </c>
      <c r="T125" s="67" t="e">
        <f>S125*#REF!</f>
        <v>#REF!</v>
      </c>
      <c r="U125" s="67" t="e">
        <f>T125*#REF!</f>
        <v>#REF!</v>
      </c>
      <c r="V125" s="67" t="e">
        <f>U125*#REF!</f>
        <v>#REF!</v>
      </c>
      <c r="W125" s="42"/>
      <c r="X125" s="9">
        <f t="array" ref="X125">SUMIFS('Agg prdcrv'!$E$6:$E$100,'Agg prdcrv'!$A$6:$A$100,'Imp Refined'!$A125,'Agg prdcrv'!$B$6:$B$100,X$11)</f>
        <v>0</v>
      </c>
      <c r="Y125" s="9">
        <f t="array" ref="Y125">SUMIFS('Agg prdcrv'!$E$6:$E$100,'Agg prdcrv'!$A$6:$A$100,'Imp Refined'!$A125,'Agg prdcrv'!$B$6:$B$100,Y$11)</f>
        <v>0</v>
      </c>
      <c r="Z125" s="9">
        <f t="array" ref="Z125">SUMIFS('Agg prdcrv'!$E$6:$E$100,'Agg prdcrv'!$A$6:$A$100,'Imp Refined'!$A125,'Agg prdcrv'!$B$6:$B$100,Z$11)</f>
        <v>0</v>
      </c>
      <c r="AA125" s="9">
        <f t="array" ref="AA125">SUMIFS('Agg prdcrv'!$E$6:$E$100,'Agg prdcrv'!$A$6:$A$100,'Imp Refined'!$A125,'Agg prdcrv'!$B$6:$B$100,AA$11)</f>
        <v>0</v>
      </c>
      <c r="AB125" s="42">
        <f>X125*VLOOKUP($B125,Types!$B$2:$D$13,3,FALSE)*Conv!$I$5*1000*365</f>
        <v>0</v>
      </c>
      <c r="AC125" s="42">
        <f>Y125*VLOOKUP($B125,Types!$B$2:$D$13,3,FALSE)*Conv!$I$5*1000*365</f>
        <v>0</v>
      </c>
      <c r="AD125" s="42">
        <f>Z125*VLOOKUP($B125,Types!$B$2:$D$13,3,FALSE)*Conv!$I$5*1000*365</f>
        <v>0</v>
      </c>
      <c r="AE125" s="42">
        <f>AA125*VLOOKUP($B125,Types!$B$2:$D$13,3,FALSE)*Conv!$I$5*1000*365</f>
        <v>0</v>
      </c>
      <c r="AF125" s="42">
        <f>AB125-AB127</f>
        <v>0</v>
      </c>
      <c r="AG125" s="42">
        <f t="shared" ref="AG125" si="595">AC125-AC127</f>
        <v>0</v>
      </c>
      <c r="AH125" s="42">
        <f t="shared" ref="AH125" si="596">AD125-AD127</f>
        <v>0</v>
      </c>
      <c r="AI125" s="42">
        <f t="shared" ref="AI125" si="597">AE125-AE127</f>
        <v>0</v>
      </c>
      <c r="AJ125" s="42"/>
      <c r="AK125" s="42"/>
      <c r="AL125" s="42"/>
    </row>
    <row r="126" spans="1:38">
      <c r="A126" s="9" t="str">
        <f>A125</f>
        <v>Methanol</v>
      </c>
      <c r="B126" s="9" t="str">
        <f>VLOOKUP($A126,Types!$A$2:$C$13,2,FALSE)</f>
        <v>MTH</v>
      </c>
      <c r="C126" s="9">
        <v>1</v>
      </c>
      <c r="D126" s="9">
        <v>2</v>
      </c>
      <c r="E126" s="9" t="str">
        <f t="shared" si="569"/>
        <v>IMPMTHP21</v>
      </c>
      <c r="F126" s="9" t="str">
        <f>CONCATENATE("Imported ",VLOOKUP($A126,Types!$A$2:$C$13,3,FALSE),", PADD ",D126,", Step ",RIGHT(C126,1))</f>
        <v>Imported Methanol, PADD 2, Step 1</v>
      </c>
      <c r="G126" s="9" t="str">
        <f>CONCATENATE(VLOOKUP($A126,Types!$A$2:$C$13,2,FALSE),"P",D126)</f>
        <v>MTHP2</v>
      </c>
      <c r="H126" s="66">
        <f>H125*$C$5</f>
        <v>49.585250000000002</v>
      </c>
      <c r="I126" s="66">
        <f t="shared" ref="I126" si="598">I125*$C$5</f>
        <v>49.052299999999995</v>
      </c>
      <c r="J126" s="66">
        <f t="shared" ref="J126" si="599">J125*$C$5</f>
        <v>44.592999999999996</v>
      </c>
      <c r="K126" s="66">
        <f t="shared" ref="K126" si="600">K125*$C$5</f>
        <v>44.592999999999996</v>
      </c>
      <c r="L126" s="67">
        <f>H126*Conv!$J$20/10^6/VLOOKUP($B126,Types!$B$2:$D$13,3,FALSE)/Conv!$I$5</f>
        <v>26.255080470123435</v>
      </c>
      <c r="M126" s="67">
        <f>I126*Conv!$J$20/10^6/VLOOKUP($B126,Types!$B$2:$D$13,3,FALSE)/Conv!$I$5</f>
        <v>25.972886770655304</v>
      </c>
      <c r="N126" s="67" t="e">
        <f>M126*#REF!</f>
        <v>#REF!</v>
      </c>
      <c r="O126" s="67" t="e">
        <f>N126*#REF!</f>
        <v>#REF!</v>
      </c>
      <c r="P126" s="67" t="e">
        <f>O126*#REF!</f>
        <v>#REF!</v>
      </c>
      <c r="Q126" s="67" t="e">
        <f>P126*#REF!</f>
        <v>#REF!</v>
      </c>
      <c r="R126" s="67" t="e">
        <f>Q126*#REF!</f>
        <v>#REF!</v>
      </c>
      <c r="S126" s="67" t="e">
        <f>R126*#REF!</f>
        <v>#REF!</v>
      </c>
      <c r="T126" s="67" t="e">
        <f>S126*#REF!</f>
        <v>#REF!</v>
      </c>
      <c r="U126" s="67" t="e">
        <f>T126*#REF!</f>
        <v>#REF!</v>
      </c>
      <c r="V126" s="67" t="e">
        <f>U126*#REF!</f>
        <v>#REF!</v>
      </c>
      <c r="W126" s="42"/>
      <c r="X126" s="9">
        <f>X125*$E$5</f>
        <v>0</v>
      </c>
      <c r="Y126" s="9">
        <f t="shared" ref="Y126" si="601">Y125*$E$5</f>
        <v>0</v>
      </c>
      <c r="Z126" s="9">
        <f t="shared" ref="Z126" si="602">Z125*$E$5</f>
        <v>0</v>
      </c>
      <c r="AA126" s="9">
        <f t="shared" ref="AA126" si="603">AA125*$E$5</f>
        <v>0</v>
      </c>
      <c r="AB126" s="42">
        <f>X126*VLOOKUP($B126,Types!$B$2:$D$13,3,FALSE)*Conv!$I$5*1000*365</f>
        <v>0</v>
      </c>
      <c r="AC126" s="42">
        <f>Y126*VLOOKUP($B126,Types!$B$2:$D$13,3,FALSE)*Conv!$I$5*1000*365</f>
        <v>0</v>
      </c>
      <c r="AD126" s="42">
        <f>Z126*VLOOKUP($B126,Types!$B$2:$D$13,3,FALSE)*Conv!$I$5*1000*365</f>
        <v>0</v>
      </c>
      <c r="AE126" s="42">
        <f>AA126*VLOOKUP($B126,Types!$B$2:$D$13,3,FALSE)*Conv!$I$5*1000*365</f>
        <v>0</v>
      </c>
      <c r="AF126" s="42">
        <f>AB126</f>
        <v>0</v>
      </c>
      <c r="AG126" s="42">
        <f t="shared" ref="AG126" si="604">AC126</f>
        <v>0</v>
      </c>
      <c r="AH126" s="42">
        <f t="shared" ref="AH126" si="605">AD126</f>
        <v>0</v>
      </c>
      <c r="AI126" s="42">
        <f t="shared" ref="AI126" si="606">AE126</f>
        <v>0</v>
      </c>
      <c r="AJ126" s="42"/>
      <c r="AK126" s="42"/>
      <c r="AL126" s="42"/>
    </row>
    <row r="127" spans="1:38">
      <c r="A127" s="9" t="str">
        <f t="shared" ref="A127:A129" si="607">A126</f>
        <v>Methanol</v>
      </c>
      <c r="B127" s="9" t="str">
        <f>VLOOKUP($A127,Types!$A$2:$C$13,2,FALSE)</f>
        <v>MTH</v>
      </c>
      <c r="C127" s="9">
        <v>2</v>
      </c>
      <c r="D127" s="9">
        <v>2</v>
      </c>
      <c r="E127" s="9" t="str">
        <f t="shared" si="569"/>
        <v>IMPMTHP22</v>
      </c>
      <c r="F127" s="9" t="str">
        <f>CONCATENATE("Imported ",VLOOKUP($A127,Types!$A$2:$C$13,3,FALSE),", PADD ",D127,", Step ",RIGHT(C127,1))</f>
        <v>Imported Methanol, PADD 2, Step 2</v>
      </c>
      <c r="G127" s="9" t="str">
        <f>CONCATENATE(VLOOKUP($A127,Types!$A$2:$C$13,2,FALSE),"P",D127)</f>
        <v>MTHP2</v>
      </c>
      <c r="H127" s="66">
        <f>H125*$C$6</f>
        <v>51.151100000000007</v>
      </c>
      <c r="I127" s="66">
        <f t="shared" ref="I127:K127" si="608">I125*$C$6</f>
        <v>50.601320000000001</v>
      </c>
      <c r="J127" s="66">
        <f t="shared" si="608"/>
        <v>46.001199999999997</v>
      </c>
      <c r="K127" s="66">
        <f t="shared" si="608"/>
        <v>46.001199999999997</v>
      </c>
      <c r="L127" s="67">
        <f>H127*Conv!$J$20/10^6/VLOOKUP($B127,Types!$B$2:$D$13,3,FALSE)/Conv!$I$5</f>
        <v>27.084188274443125</v>
      </c>
      <c r="M127" s="67">
        <f>I127*Conv!$J$20/10^6/VLOOKUP($B127,Types!$B$2:$D$13,3,FALSE)/Conv!$I$5</f>
        <v>26.793083194991791</v>
      </c>
      <c r="N127" s="67" t="e">
        <f>M127*#REF!</f>
        <v>#REF!</v>
      </c>
      <c r="O127" s="67" t="e">
        <f>N127*#REF!</f>
        <v>#REF!</v>
      </c>
      <c r="P127" s="67" t="e">
        <f>O127*#REF!</f>
        <v>#REF!</v>
      </c>
      <c r="Q127" s="67" t="e">
        <f>P127*#REF!</f>
        <v>#REF!</v>
      </c>
      <c r="R127" s="67" t="e">
        <f>Q127*#REF!</f>
        <v>#REF!</v>
      </c>
      <c r="S127" s="67" t="e">
        <f>R127*#REF!</f>
        <v>#REF!</v>
      </c>
      <c r="T127" s="67" t="e">
        <f>S127*#REF!</f>
        <v>#REF!</v>
      </c>
      <c r="U127" s="67" t="e">
        <f>T127*#REF!</f>
        <v>#REF!</v>
      </c>
      <c r="V127" s="67" t="e">
        <f>U127*#REF!</f>
        <v>#REF!</v>
      </c>
      <c r="W127" s="42"/>
      <c r="X127" s="9">
        <f>X125*$E$6</f>
        <v>0</v>
      </c>
      <c r="Y127" s="9">
        <f t="shared" ref="Y127:AA127" si="609">Y125*$E$6</f>
        <v>0</v>
      </c>
      <c r="Z127" s="9">
        <f t="shared" si="609"/>
        <v>0</v>
      </c>
      <c r="AA127" s="9">
        <f t="shared" si="609"/>
        <v>0</v>
      </c>
      <c r="AB127" s="42">
        <f>X127*VLOOKUP($B127,Types!$B$2:$D$13,3,FALSE)*Conv!$I$5*1000*365</f>
        <v>0</v>
      </c>
      <c r="AC127" s="42">
        <f>Y127*VLOOKUP($B127,Types!$B$2:$D$13,3,FALSE)*Conv!$I$5*1000*365</f>
        <v>0</v>
      </c>
      <c r="AD127" s="42">
        <f>Z127*VLOOKUP($B127,Types!$B$2:$D$13,3,FALSE)*Conv!$I$5*1000*365</f>
        <v>0</v>
      </c>
      <c r="AE127" s="42">
        <f>AA127*VLOOKUP($B127,Types!$B$2:$D$13,3,FALSE)*Conv!$I$5*1000*365</f>
        <v>0</v>
      </c>
      <c r="AF127" s="42">
        <f>AB127-AF126</f>
        <v>0</v>
      </c>
      <c r="AG127" s="42">
        <f t="shared" ref="AG127" si="610">AC127-AG126</f>
        <v>0</v>
      </c>
      <c r="AH127" s="42">
        <f t="shared" ref="AH127" si="611">AD127-AH126</f>
        <v>0</v>
      </c>
      <c r="AI127" s="42">
        <f t="shared" ref="AI127" si="612">AE127-AI126</f>
        <v>0</v>
      </c>
      <c r="AJ127" s="42"/>
      <c r="AK127" s="42"/>
      <c r="AL127" s="42"/>
    </row>
    <row r="128" spans="1:38">
      <c r="A128" s="9" t="str">
        <f t="shared" si="607"/>
        <v>Methanol</v>
      </c>
      <c r="B128" s="9" t="str">
        <f>VLOOKUP($A128,Types!$A$2:$C$13,2,FALSE)</f>
        <v>MTH</v>
      </c>
      <c r="C128" s="9">
        <v>4</v>
      </c>
      <c r="D128" s="9">
        <v>2</v>
      </c>
      <c r="E128" s="9" t="str">
        <f t="shared" si="569"/>
        <v>IMPMTHP24</v>
      </c>
      <c r="F128" s="9" t="str">
        <f>CONCATENATE("Imported ",VLOOKUP($A128,Types!$A$2:$C$13,3,FALSE),", PADD ",D128,", Step ",RIGHT(C128,1))</f>
        <v>Imported Methanol, PADD 2, Step 4</v>
      </c>
      <c r="G128" s="9" t="str">
        <f>CONCATENATE(VLOOKUP($A128,Types!$A$2:$C$13,2,FALSE),"P",D128)</f>
        <v>MTHP2</v>
      </c>
      <c r="H128" s="66">
        <f>H125*$C$8</f>
        <v>56.892550000000014</v>
      </c>
      <c r="I128" s="66">
        <f t="shared" ref="I128:K128" si="613">I125*$C$8</f>
        <v>56.281060000000004</v>
      </c>
      <c r="J128" s="66">
        <f t="shared" si="613"/>
        <v>51.1646</v>
      </c>
      <c r="K128" s="66">
        <f t="shared" si="613"/>
        <v>51.1646</v>
      </c>
      <c r="L128" s="67">
        <f>H128*Conv!$J$20/10^6/VLOOKUP($B128,Types!$B$2:$D$13,3,FALSE)/Conv!$I$5</f>
        <v>30.124250223615316</v>
      </c>
      <c r="M128" s="67">
        <f>I128*Conv!$J$20/10^6/VLOOKUP($B128,Types!$B$2:$D$13,3,FALSE)/Conv!$I$5</f>
        <v>29.800470084225566</v>
      </c>
      <c r="N128" s="67" t="e">
        <f>M128*#REF!</f>
        <v>#REF!</v>
      </c>
      <c r="O128" s="67" t="e">
        <f>N128*#REF!</f>
        <v>#REF!</v>
      </c>
      <c r="P128" s="67" t="e">
        <f>O128*#REF!</f>
        <v>#REF!</v>
      </c>
      <c r="Q128" s="67" t="e">
        <f>P128*#REF!</f>
        <v>#REF!</v>
      </c>
      <c r="R128" s="67" t="e">
        <f>Q128*#REF!</f>
        <v>#REF!</v>
      </c>
      <c r="S128" s="67" t="e">
        <f>R128*#REF!</f>
        <v>#REF!</v>
      </c>
      <c r="T128" s="67" t="e">
        <f>S128*#REF!</f>
        <v>#REF!</v>
      </c>
      <c r="U128" s="67" t="e">
        <f>T128*#REF!</f>
        <v>#REF!</v>
      </c>
      <c r="V128" s="67" t="e">
        <f>U128*#REF!</f>
        <v>#REF!</v>
      </c>
      <c r="W128" s="42"/>
      <c r="X128" s="9">
        <f>X125*$E$8</f>
        <v>0</v>
      </c>
      <c r="Y128" s="9">
        <f t="shared" ref="Y128:AA128" si="614">Y125*$E$8</f>
        <v>0</v>
      </c>
      <c r="Z128" s="9">
        <f t="shared" si="614"/>
        <v>0</v>
      </c>
      <c r="AA128" s="9">
        <f t="shared" si="614"/>
        <v>0</v>
      </c>
      <c r="AB128" s="42">
        <f>X128*VLOOKUP($B128,Types!$B$2:$D$13,3,FALSE)*Conv!$I$5*1000*365</f>
        <v>0</v>
      </c>
      <c r="AC128" s="42">
        <f>Y128*VLOOKUP($B128,Types!$B$2:$D$13,3,FALSE)*Conv!$I$5*1000*365</f>
        <v>0</v>
      </c>
      <c r="AD128" s="42">
        <f>Z128*VLOOKUP($B128,Types!$B$2:$D$13,3,FALSE)*Conv!$I$5*1000*365</f>
        <v>0</v>
      </c>
      <c r="AE128" s="42">
        <f>AA128*VLOOKUP($B128,Types!$B$2:$D$13,3,FALSE)*Conv!$I$5*1000*365</f>
        <v>0</v>
      </c>
      <c r="AF128" s="42">
        <f>AB128-AB125</f>
        <v>0</v>
      </c>
      <c r="AG128" s="42">
        <f t="shared" ref="AG128" si="615">AC128-AC125</f>
        <v>0</v>
      </c>
      <c r="AH128" s="42">
        <f t="shared" ref="AH128" si="616">AD128-AD125</f>
        <v>0</v>
      </c>
      <c r="AI128" s="42">
        <f t="shared" ref="AI128" si="617">AE128-AE125</f>
        <v>0</v>
      </c>
      <c r="AJ128" s="42"/>
      <c r="AK128" s="42"/>
      <c r="AL128" s="42"/>
    </row>
    <row r="129" spans="1:38">
      <c r="A129" s="9" t="str">
        <f t="shared" si="607"/>
        <v>Methanol</v>
      </c>
      <c r="B129" s="9" t="str">
        <f>VLOOKUP($A129,Types!$A$2:$C$13,2,FALSE)</f>
        <v>MTH</v>
      </c>
      <c r="C129" s="9">
        <v>5</v>
      </c>
      <c r="D129" s="9">
        <v>2</v>
      </c>
      <c r="E129" s="9" t="str">
        <f t="shared" si="569"/>
        <v>IMPMTHP25</v>
      </c>
      <c r="F129" s="9" t="str">
        <f>CONCATENATE("Imported ",VLOOKUP($A129,Types!$A$2:$C$13,3,FALSE),", PADD ",D129,", Step ",RIGHT(C129,1))</f>
        <v>Imported Methanol, PADD 2, Step 5</v>
      </c>
      <c r="G129" s="9" t="str">
        <f>CONCATENATE(VLOOKUP($A129,Types!$A$2:$C$13,2,FALSE),"P",D129)</f>
        <v>MTHP2</v>
      </c>
      <c r="H129" s="66">
        <f>H125*$C$9</f>
        <v>67.853500000000011</v>
      </c>
      <c r="I129" s="66">
        <f t="shared" ref="I129:K129" si="618">I125*$C$9</f>
        <v>67.124200000000002</v>
      </c>
      <c r="J129" s="66">
        <f t="shared" si="618"/>
        <v>61.021999999999998</v>
      </c>
      <c r="K129" s="66">
        <f t="shared" si="618"/>
        <v>61.021999999999998</v>
      </c>
      <c r="L129" s="67">
        <f>H129*Conv!$J$20/10^6/VLOOKUP($B129,Types!$B$2:$D$13,3,FALSE)/Conv!$I$5</f>
        <v>35.928004853853132</v>
      </c>
      <c r="M129" s="67">
        <f>I129*Conv!$J$20/10^6/VLOOKUP($B129,Types!$B$2:$D$13,3,FALSE)/Conv!$I$5</f>
        <v>35.541845054580939</v>
      </c>
      <c r="N129" s="67" t="e">
        <f>M129*#REF!</f>
        <v>#REF!</v>
      </c>
      <c r="O129" s="67" t="e">
        <f>N129*#REF!</f>
        <v>#REF!</v>
      </c>
      <c r="P129" s="67" t="e">
        <f>O129*#REF!</f>
        <v>#REF!</v>
      </c>
      <c r="Q129" s="67" t="e">
        <f>P129*#REF!</f>
        <v>#REF!</v>
      </c>
      <c r="R129" s="67" t="e">
        <f>Q129*#REF!</f>
        <v>#REF!</v>
      </c>
      <c r="S129" s="67" t="e">
        <f>R129*#REF!</f>
        <v>#REF!</v>
      </c>
      <c r="T129" s="67" t="e">
        <f>S129*#REF!</f>
        <v>#REF!</v>
      </c>
      <c r="U129" s="67" t="e">
        <f>T129*#REF!</f>
        <v>#REF!</v>
      </c>
      <c r="V129" s="67" t="e">
        <f>U129*#REF!</f>
        <v>#REF!</v>
      </c>
      <c r="W129" s="42"/>
      <c r="X129" s="9">
        <f>X125*$E$9</f>
        <v>0</v>
      </c>
      <c r="Y129" s="9">
        <f t="shared" ref="Y129:AA129" si="619">Y125*$E$9</f>
        <v>0</v>
      </c>
      <c r="Z129" s="9">
        <f t="shared" si="619"/>
        <v>0</v>
      </c>
      <c r="AA129" s="9">
        <f t="shared" si="619"/>
        <v>0</v>
      </c>
      <c r="AB129" s="42">
        <f>X129*VLOOKUP($B129,Types!$B$2:$D$13,3,FALSE)*Conv!$I$5*1000*365</f>
        <v>0</v>
      </c>
      <c r="AC129" s="42">
        <f>Y129*VLOOKUP($B129,Types!$B$2:$D$13,3,FALSE)*Conv!$I$5*1000*365</f>
        <v>0</v>
      </c>
      <c r="AD129" s="42">
        <f>Z129*VLOOKUP($B129,Types!$B$2:$D$13,3,FALSE)*Conv!$I$5*1000*365</f>
        <v>0</v>
      </c>
      <c r="AE129" s="42">
        <f>AA129*VLOOKUP($B129,Types!$B$2:$D$13,3,FALSE)*Conv!$I$5*1000*365</f>
        <v>0</v>
      </c>
      <c r="AF129" s="42">
        <f>AB129-AB128</f>
        <v>0</v>
      </c>
      <c r="AG129" s="42">
        <f t="shared" ref="AG129" si="620">AC129-AC128</f>
        <v>0</v>
      </c>
      <c r="AH129" s="42">
        <f t="shared" ref="AH129" si="621">AD129-AD128</f>
        <v>0</v>
      </c>
      <c r="AI129" s="42">
        <f t="shared" ref="AI129" si="622">AE129-AE128</f>
        <v>0</v>
      </c>
      <c r="AJ129" s="42"/>
      <c r="AK129" s="42"/>
      <c r="AL129" s="42"/>
    </row>
    <row r="130" spans="1:38">
      <c r="A130" s="9" t="str">
        <f>'Agg prdcrv'!$A$19</f>
        <v>ULS Diesel (15 ppm)</v>
      </c>
      <c r="B130" s="9" t="str">
        <f>VLOOKUP($A130,Types!$A$2:$C$13,2,FALSE)</f>
        <v>DSU</v>
      </c>
      <c r="C130" s="9">
        <v>3</v>
      </c>
      <c r="D130" s="9">
        <v>2</v>
      </c>
      <c r="E130" s="9" t="str">
        <f t="shared" si="569"/>
        <v>IMPDSUP23</v>
      </c>
      <c r="F130" s="9" t="str">
        <f>CONCATENATE("Imported ",VLOOKUP($A130,Types!$A$2:$C$13,3,FALSE),", PADD ",D130,", Step ",RIGHT(C130,1))</f>
        <v>Imported Distillate-Ultralow Sulfur Highway Diesel (15 ppm), PADD 2, Step 3</v>
      </c>
      <c r="G130" s="9" t="str">
        <f>CONCATENATE(VLOOKUP($A130,Types!$A$2:$C$13,2,FALSE),"P",D130)</f>
        <v>DSUP2</v>
      </c>
      <c r="H130" s="66">
        <f>SUMIFS('Agg prdcrv'!$M$6:$M$100,'Agg prdcrv'!$A$6:$A$100,'Imp Refined'!$A130,'Agg prdcrv'!$B$6:$B$100,H$11)*K4</f>
        <v>63.536000000000001</v>
      </c>
      <c r="I130" s="66">
        <f>SUMIFS('Agg prdcrv'!$M$6:$M$100,'Agg prdcrv'!$A$6:$A$100,'Imp Refined'!$A130,'Agg prdcrv'!$B$6:$B$100,I$11)*K4</f>
        <v>53.250999999999998</v>
      </c>
      <c r="J130" s="66">
        <f t="array" ref="J130">SUMIFS('Agg prdcrv'!$M$6:$M$100,'Agg prdcrv'!$A$6:$A$100,'Imp Refined'!$A130,'Agg prdcrv'!$B$6:$B$100,J$11)</f>
        <v>41.34</v>
      </c>
      <c r="K130" s="66">
        <f t="array" ref="K130">SUMIFS('Agg prdcrv'!$M$6:$M$100,'Agg prdcrv'!$A$6:$A$100,'Imp Refined'!$A130,'Agg prdcrv'!$B$6:$B$100,K$11)</f>
        <v>44.71</v>
      </c>
      <c r="L130" s="67">
        <f>H130*Conv!$J$20/10^6/VLOOKUP($B130,Types!$B$2:$D$13,3,FALSE)/Conv!$I$5</f>
        <v>15.863968002997044</v>
      </c>
      <c r="M130" s="67">
        <f>I130*Conv!$J$20/10^6/VLOOKUP($B130,Types!$B$2:$D$13,3,FALSE)/Conv!$I$5</f>
        <v>13.295960717193331</v>
      </c>
      <c r="N130" s="67" t="e">
        <f>M130*#REF!</f>
        <v>#REF!</v>
      </c>
      <c r="O130" s="67" t="e">
        <f>N130*#REF!</f>
        <v>#REF!</v>
      </c>
      <c r="P130" s="67" t="e">
        <f>O130*#REF!</f>
        <v>#REF!</v>
      </c>
      <c r="Q130" s="67" t="e">
        <f>P130*#REF!</f>
        <v>#REF!</v>
      </c>
      <c r="R130" s="67" t="e">
        <f>Q130*#REF!</f>
        <v>#REF!</v>
      </c>
      <c r="S130" s="67" t="e">
        <f>R130*#REF!</f>
        <v>#REF!</v>
      </c>
      <c r="T130" s="67" t="e">
        <f>S130*#REF!</f>
        <v>#REF!</v>
      </c>
      <c r="U130" s="67" t="e">
        <f>T130*#REF!</f>
        <v>#REF!</v>
      </c>
      <c r="V130" s="67" t="e">
        <f>U130*#REF!</f>
        <v>#REF!</v>
      </c>
      <c r="W130" s="42"/>
      <c r="X130" s="9">
        <f t="array" ref="X130">SUMIFS('Agg prdcrv'!$E$6:$E$100,'Agg prdcrv'!$A$6:$A$100,'Imp Refined'!$A130,'Agg prdcrv'!$B$6:$B$100,X$11)</f>
        <v>0</v>
      </c>
      <c r="Y130" s="9">
        <f t="array" ref="Y130">SUMIFS('Agg prdcrv'!$E$6:$E$100,'Agg prdcrv'!$A$6:$A$100,'Imp Refined'!$A130,'Agg prdcrv'!$B$6:$B$100,Y$11)</f>
        <v>0</v>
      </c>
      <c r="Z130" s="9">
        <f t="array" ref="Z130">SUMIFS('Agg prdcrv'!$E$6:$E$100,'Agg prdcrv'!$A$6:$A$100,'Imp Refined'!$A130,'Agg prdcrv'!$B$6:$B$100,Z$11)</f>
        <v>0</v>
      </c>
      <c r="AA130" s="9">
        <f t="array" ref="AA130">SUMIFS('Agg prdcrv'!$E$6:$E$100,'Agg prdcrv'!$A$6:$A$100,'Imp Refined'!$A130,'Agg prdcrv'!$B$6:$B$100,AA$11)</f>
        <v>0</v>
      </c>
      <c r="AB130" s="42">
        <f>X130*VLOOKUP($B130,Types!$B$2:$D$13,3,FALSE)*Conv!$I$5*1000*365</f>
        <v>0</v>
      </c>
      <c r="AC130" s="42">
        <f>Y130*VLOOKUP($B130,Types!$B$2:$D$13,3,FALSE)*Conv!$I$5*1000*365</f>
        <v>0</v>
      </c>
      <c r="AD130" s="42">
        <f>Z130*VLOOKUP($B130,Types!$B$2:$D$13,3,FALSE)*Conv!$I$5*1000*365</f>
        <v>0</v>
      </c>
      <c r="AE130" s="42">
        <f>AA130*VLOOKUP($B130,Types!$B$2:$D$13,3,FALSE)*Conv!$I$5*1000*365</f>
        <v>0</v>
      </c>
      <c r="AF130" s="42">
        <f>AB130-AB132</f>
        <v>0</v>
      </c>
      <c r="AG130" s="42">
        <f t="shared" ref="AG130" si="623">AC130-AC132</f>
        <v>0</v>
      </c>
      <c r="AH130" s="42">
        <f t="shared" ref="AH130" si="624">AD130-AD132</f>
        <v>0</v>
      </c>
      <c r="AI130" s="42">
        <f t="shared" ref="AI130" si="625">AE130-AE132</f>
        <v>0</v>
      </c>
      <c r="AJ130" s="42"/>
      <c r="AK130" s="42"/>
      <c r="AL130" s="42"/>
    </row>
    <row r="131" spans="1:38">
      <c r="A131" s="9" t="str">
        <f>A130</f>
        <v>ULS Diesel (15 ppm)</v>
      </c>
      <c r="B131" s="9" t="str">
        <f>VLOOKUP($A131,Types!$A$2:$C$13,2,FALSE)</f>
        <v>DSU</v>
      </c>
      <c r="C131" s="9">
        <v>1</v>
      </c>
      <c r="D131" s="9">
        <v>2</v>
      </c>
      <c r="E131" s="9" t="str">
        <f t="shared" si="569"/>
        <v>IMPDSUP21</v>
      </c>
      <c r="F131" s="9" t="str">
        <f>CONCATENATE("Imported ",VLOOKUP($A131,Types!$A$2:$C$13,3,FALSE),", PADD ",D131,", Step ",RIGHT(C131,1))</f>
        <v>Imported Distillate-Ultralow Sulfur Highway Diesel (15 ppm), PADD 2, Step 1</v>
      </c>
      <c r="G131" s="9" t="str">
        <f>CONCATENATE(VLOOKUP($A131,Types!$A$2:$C$13,2,FALSE),"P",D131)</f>
        <v>DSUP2</v>
      </c>
      <c r="H131" s="66">
        <f>H130*$C$5</f>
        <v>60.359200000000001</v>
      </c>
      <c r="I131" s="66">
        <f t="shared" ref="I131" si="626">I130*$C$5</f>
        <v>50.588449999999995</v>
      </c>
      <c r="J131" s="66">
        <f t="shared" ref="J131" si="627">J130*$C$5</f>
        <v>39.273000000000003</v>
      </c>
      <c r="K131" s="66">
        <f t="shared" ref="K131" si="628">K130*$C$5</f>
        <v>42.474499999999999</v>
      </c>
      <c r="L131" s="67">
        <f>H131*Conv!$J$20/10^6/VLOOKUP($B131,Types!$B$2:$D$13,3,FALSE)/Conv!$I$5</f>
        <v>15.070769602847189</v>
      </c>
      <c r="M131" s="67">
        <f>I131*Conv!$J$20/10^6/VLOOKUP($B131,Types!$B$2:$D$13,3,FALSE)/Conv!$I$5</f>
        <v>12.631162681333663</v>
      </c>
      <c r="N131" s="67" t="e">
        <f>M131*#REF!</f>
        <v>#REF!</v>
      </c>
      <c r="O131" s="67" t="e">
        <f>N131*#REF!</f>
        <v>#REF!</v>
      </c>
      <c r="P131" s="67" t="e">
        <f>O131*#REF!</f>
        <v>#REF!</v>
      </c>
      <c r="Q131" s="67" t="e">
        <f>P131*#REF!</f>
        <v>#REF!</v>
      </c>
      <c r="R131" s="67" t="e">
        <f>Q131*#REF!</f>
        <v>#REF!</v>
      </c>
      <c r="S131" s="67" t="e">
        <f>R131*#REF!</f>
        <v>#REF!</v>
      </c>
      <c r="T131" s="67" t="e">
        <f>S131*#REF!</f>
        <v>#REF!</v>
      </c>
      <c r="U131" s="67" t="e">
        <f>T131*#REF!</f>
        <v>#REF!</v>
      </c>
      <c r="V131" s="67" t="e">
        <f>U131*#REF!</f>
        <v>#REF!</v>
      </c>
      <c r="W131" s="42"/>
      <c r="X131" s="9">
        <f>X130*$E$5</f>
        <v>0</v>
      </c>
      <c r="Y131" s="9">
        <f t="shared" ref="Y131" si="629">Y130*$E$5</f>
        <v>0</v>
      </c>
      <c r="Z131" s="9">
        <f t="shared" ref="Z131" si="630">Z130*$E$5</f>
        <v>0</v>
      </c>
      <c r="AA131" s="9">
        <f t="shared" ref="AA131" si="631">AA130*$E$5</f>
        <v>0</v>
      </c>
      <c r="AB131" s="42">
        <f>X131*VLOOKUP($B131,Types!$B$2:$D$13,3,FALSE)*Conv!$I$5*1000*365</f>
        <v>0</v>
      </c>
      <c r="AC131" s="42">
        <f>Y131*VLOOKUP($B131,Types!$B$2:$D$13,3,FALSE)*Conv!$I$5*1000*365</f>
        <v>0</v>
      </c>
      <c r="AD131" s="42">
        <f>Z131*VLOOKUP($B131,Types!$B$2:$D$13,3,FALSE)*Conv!$I$5*1000*365</f>
        <v>0</v>
      </c>
      <c r="AE131" s="42">
        <f>AA131*VLOOKUP($B131,Types!$B$2:$D$13,3,FALSE)*Conv!$I$5*1000*365</f>
        <v>0</v>
      </c>
      <c r="AF131" s="42">
        <f>AB131</f>
        <v>0</v>
      </c>
      <c r="AG131" s="42">
        <f t="shared" ref="AG131" si="632">AC131</f>
        <v>0</v>
      </c>
      <c r="AH131" s="42">
        <f t="shared" ref="AH131" si="633">AD131</f>
        <v>0</v>
      </c>
      <c r="AI131" s="42">
        <f t="shared" ref="AI131" si="634">AE131</f>
        <v>0</v>
      </c>
      <c r="AJ131" s="42"/>
      <c r="AK131" s="42"/>
      <c r="AL131" s="42"/>
    </row>
    <row r="132" spans="1:38">
      <c r="A132" s="9" t="str">
        <f t="shared" ref="A132:A134" si="635">A131</f>
        <v>ULS Diesel (15 ppm)</v>
      </c>
      <c r="B132" s="9" t="str">
        <f>VLOOKUP($A132,Types!$A$2:$C$13,2,FALSE)</f>
        <v>DSU</v>
      </c>
      <c r="C132" s="9">
        <v>2</v>
      </c>
      <c r="D132" s="9">
        <v>2</v>
      </c>
      <c r="E132" s="9" t="str">
        <f t="shared" si="569"/>
        <v>IMPDSUP22</v>
      </c>
      <c r="F132" s="9" t="str">
        <f>CONCATENATE("Imported ",VLOOKUP($A132,Types!$A$2:$C$13,3,FALSE),", PADD ",D132,", Step ",RIGHT(C132,1))</f>
        <v>Imported Distillate-Ultralow Sulfur Highway Diesel (15 ppm), PADD 2, Step 2</v>
      </c>
      <c r="G132" s="9" t="str">
        <f>CONCATENATE(VLOOKUP($A132,Types!$A$2:$C$13,2,FALSE),"P",D132)</f>
        <v>DSUP2</v>
      </c>
      <c r="H132" s="66">
        <f>H130*$C$6</f>
        <v>62.265279999999997</v>
      </c>
      <c r="I132" s="66">
        <f t="shared" ref="I132:K132" si="636">I130*$C$6</f>
        <v>52.185979999999994</v>
      </c>
      <c r="J132" s="66">
        <f t="shared" si="636"/>
        <v>40.513200000000005</v>
      </c>
      <c r="K132" s="66">
        <f t="shared" si="636"/>
        <v>43.815800000000003</v>
      </c>
      <c r="L132" s="67">
        <f>H132*Conv!$J$20/10^6/VLOOKUP($B132,Types!$B$2:$D$13,3,FALSE)/Conv!$I$5</f>
        <v>15.546688642937102</v>
      </c>
      <c r="M132" s="67">
        <f>I132*Conv!$J$20/10^6/VLOOKUP($B132,Types!$B$2:$D$13,3,FALSE)/Conv!$I$5</f>
        <v>13.030041502849462</v>
      </c>
      <c r="N132" s="67" t="e">
        <f>M132*#REF!</f>
        <v>#REF!</v>
      </c>
      <c r="O132" s="67" t="e">
        <f>N132*#REF!</f>
        <v>#REF!</v>
      </c>
      <c r="P132" s="67" t="e">
        <f>O132*#REF!</f>
        <v>#REF!</v>
      </c>
      <c r="Q132" s="67" t="e">
        <f>P132*#REF!</f>
        <v>#REF!</v>
      </c>
      <c r="R132" s="67" t="e">
        <f>Q132*#REF!</f>
        <v>#REF!</v>
      </c>
      <c r="S132" s="67" t="e">
        <f>R132*#REF!</f>
        <v>#REF!</v>
      </c>
      <c r="T132" s="67" t="e">
        <f>S132*#REF!</f>
        <v>#REF!</v>
      </c>
      <c r="U132" s="67" t="e">
        <f>T132*#REF!</f>
        <v>#REF!</v>
      </c>
      <c r="V132" s="67" t="e">
        <f>U132*#REF!</f>
        <v>#REF!</v>
      </c>
      <c r="W132" s="42"/>
      <c r="X132" s="9">
        <f>X130*$E$6</f>
        <v>0</v>
      </c>
      <c r="Y132" s="9">
        <f t="shared" ref="Y132:AA132" si="637">Y130*$E$6</f>
        <v>0</v>
      </c>
      <c r="Z132" s="9">
        <f t="shared" si="637"/>
        <v>0</v>
      </c>
      <c r="AA132" s="9">
        <f t="shared" si="637"/>
        <v>0</v>
      </c>
      <c r="AB132" s="42">
        <f>X132*VLOOKUP($B132,Types!$B$2:$D$13,3,FALSE)*Conv!$I$5*1000*365</f>
        <v>0</v>
      </c>
      <c r="AC132" s="42">
        <f>Y132*VLOOKUP($B132,Types!$B$2:$D$13,3,FALSE)*Conv!$I$5*1000*365</f>
        <v>0</v>
      </c>
      <c r="AD132" s="42">
        <f>Z132*VLOOKUP($B132,Types!$B$2:$D$13,3,FALSE)*Conv!$I$5*1000*365</f>
        <v>0</v>
      </c>
      <c r="AE132" s="42">
        <f>AA132*VLOOKUP($B132,Types!$B$2:$D$13,3,FALSE)*Conv!$I$5*1000*365</f>
        <v>0</v>
      </c>
      <c r="AF132" s="42">
        <f>AB132-AF131</f>
        <v>0</v>
      </c>
      <c r="AG132" s="42">
        <f t="shared" ref="AG132" si="638">AC132-AG131</f>
        <v>0</v>
      </c>
      <c r="AH132" s="42">
        <f t="shared" ref="AH132" si="639">AD132-AH131</f>
        <v>0</v>
      </c>
      <c r="AI132" s="42">
        <f t="shared" ref="AI132" si="640">AE132-AI131</f>
        <v>0</v>
      </c>
      <c r="AJ132" s="42"/>
      <c r="AK132" s="42"/>
      <c r="AL132" s="42"/>
    </row>
    <row r="133" spans="1:38">
      <c r="A133" s="9" t="str">
        <f t="shared" si="635"/>
        <v>ULS Diesel (15 ppm)</v>
      </c>
      <c r="B133" s="9" t="str">
        <f>VLOOKUP($A133,Types!$A$2:$C$13,2,FALSE)</f>
        <v>DSU</v>
      </c>
      <c r="C133" s="9">
        <v>4</v>
      </c>
      <c r="D133" s="9">
        <v>2</v>
      </c>
      <c r="E133" s="9" t="str">
        <f t="shared" si="569"/>
        <v>IMPDSUP24</v>
      </c>
      <c r="F133" s="9" t="str">
        <f>CONCATENATE("Imported ",VLOOKUP($A133,Types!$A$2:$C$13,3,FALSE),", PADD ",D133,", Step ",RIGHT(C133,1))</f>
        <v>Imported Distillate-Ultralow Sulfur Highway Diesel (15 ppm), PADD 2, Step 4</v>
      </c>
      <c r="G133" s="9" t="str">
        <f>CONCATENATE(VLOOKUP($A133,Types!$A$2:$C$13,2,FALSE),"P",D133)</f>
        <v>DSUP2</v>
      </c>
      <c r="H133" s="66">
        <f>H130*$C$8</f>
        <v>69.25424000000001</v>
      </c>
      <c r="I133" s="66">
        <f t="shared" ref="I133:K133" si="641">I130*$C$8</f>
        <v>58.043590000000002</v>
      </c>
      <c r="J133" s="66">
        <f t="shared" si="641"/>
        <v>45.060600000000008</v>
      </c>
      <c r="K133" s="66">
        <f t="shared" si="641"/>
        <v>48.733900000000006</v>
      </c>
      <c r="L133" s="67">
        <f>H133*Conv!$J$20/10^6/VLOOKUP($B133,Types!$B$2:$D$13,3,FALSE)/Conv!$I$5</f>
        <v>17.291725123266779</v>
      </c>
      <c r="M133" s="67">
        <f>I133*Conv!$J$20/10^6/VLOOKUP($B133,Types!$B$2:$D$13,3,FALSE)/Conv!$I$5</f>
        <v>14.492597181740731</v>
      </c>
      <c r="N133" s="67" t="e">
        <f>M133*#REF!</f>
        <v>#REF!</v>
      </c>
      <c r="O133" s="67" t="e">
        <f>N133*#REF!</f>
        <v>#REF!</v>
      </c>
      <c r="P133" s="67" t="e">
        <f>O133*#REF!</f>
        <v>#REF!</v>
      </c>
      <c r="Q133" s="67" t="e">
        <f>P133*#REF!</f>
        <v>#REF!</v>
      </c>
      <c r="R133" s="67" t="e">
        <f>Q133*#REF!</f>
        <v>#REF!</v>
      </c>
      <c r="S133" s="67" t="e">
        <f>R133*#REF!</f>
        <v>#REF!</v>
      </c>
      <c r="T133" s="67" t="e">
        <f>S133*#REF!</f>
        <v>#REF!</v>
      </c>
      <c r="U133" s="67" t="e">
        <f>T133*#REF!</f>
        <v>#REF!</v>
      </c>
      <c r="V133" s="67" t="e">
        <f>U133*#REF!</f>
        <v>#REF!</v>
      </c>
      <c r="W133" s="42"/>
      <c r="X133" s="9">
        <f>X130*$E$8</f>
        <v>0</v>
      </c>
      <c r="Y133" s="9">
        <f t="shared" ref="Y133:AA133" si="642">Y130*$E$8</f>
        <v>0</v>
      </c>
      <c r="Z133" s="9">
        <f t="shared" si="642"/>
        <v>0</v>
      </c>
      <c r="AA133" s="9">
        <f t="shared" si="642"/>
        <v>0</v>
      </c>
      <c r="AB133" s="42">
        <f>X133*VLOOKUP($B133,Types!$B$2:$D$13,3,FALSE)*Conv!$I$5*1000*365</f>
        <v>0</v>
      </c>
      <c r="AC133" s="42">
        <f>Y133*VLOOKUP($B133,Types!$B$2:$D$13,3,FALSE)*Conv!$I$5*1000*365</f>
        <v>0</v>
      </c>
      <c r="AD133" s="42">
        <f>Z133*VLOOKUP($B133,Types!$B$2:$D$13,3,FALSE)*Conv!$I$5*1000*365</f>
        <v>0</v>
      </c>
      <c r="AE133" s="42">
        <f>AA133*VLOOKUP($B133,Types!$B$2:$D$13,3,FALSE)*Conv!$I$5*1000*365</f>
        <v>0</v>
      </c>
      <c r="AF133" s="42">
        <f>AB133-AB130</f>
        <v>0</v>
      </c>
      <c r="AG133" s="42">
        <f t="shared" ref="AG133" si="643">AC133-AC130</f>
        <v>0</v>
      </c>
      <c r="AH133" s="42">
        <f t="shared" ref="AH133" si="644">AD133-AD130</f>
        <v>0</v>
      </c>
      <c r="AI133" s="42">
        <f t="shared" ref="AI133" si="645">AE133-AE130</f>
        <v>0</v>
      </c>
      <c r="AJ133" s="42"/>
      <c r="AK133" s="42"/>
      <c r="AL133" s="42"/>
    </row>
    <row r="134" spans="1:38">
      <c r="A134" s="9" t="str">
        <f t="shared" si="635"/>
        <v>ULS Diesel (15 ppm)</v>
      </c>
      <c r="B134" s="9" t="str">
        <f>VLOOKUP($A134,Types!$A$2:$C$13,2,FALSE)</f>
        <v>DSU</v>
      </c>
      <c r="C134" s="9">
        <v>5</v>
      </c>
      <c r="D134" s="9">
        <v>2</v>
      </c>
      <c r="E134" s="9" t="str">
        <f t="shared" si="569"/>
        <v>IMPDSUP25</v>
      </c>
      <c r="F134" s="9" t="str">
        <f>CONCATENATE("Imported ",VLOOKUP($A134,Types!$A$2:$C$13,3,FALSE),", PADD ",D134,", Step ",RIGHT(C134,1))</f>
        <v>Imported Distillate-Ultralow Sulfur Highway Diesel (15 ppm), PADD 2, Step 5</v>
      </c>
      <c r="G134" s="9" t="str">
        <f>CONCATENATE(VLOOKUP($A134,Types!$A$2:$C$13,2,FALSE),"P",D134)</f>
        <v>DSUP2</v>
      </c>
      <c r="H134" s="66">
        <f>H130*$C$9</f>
        <v>82.596800000000002</v>
      </c>
      <c r="I134" s="66">
        <f t="shared" ref="I134:K134" si="646">I130*$C$9</f>
        <v>69.226299999999995</v>
      </c>
      <c r="J134" s="66">
        <f t="shared" si="646"/>
        <v>53.742000000000004</v>
      </c>
      <c r="K134" s="66">
        <f t="shared" si="646"/>
        <v>58.123000000000005</v>
      </c>
      <c r="L134" s="67">
        <f>H134*Conv!$J$20/10^6/VLOOKUP($B134,Types!$B$2:$D$13,3,FALSE)/Conv!$I$5</f>
        <v>20.623158403896152</v>
      </c>
      <c r="M134" s="67">
        <f>I134*Conv!$J$20/10^6/VLOOKUP($B134,Types!$B$2:$D$13,3,FALSE)/Conv!$I$5</f>
        <v>17.284748932351331</v>
      </c>
      <c r="N134" s="67" t="e">
        <f>M134*#REF!</f>
        <v>#REF!</v>
      </c>
      <c r="O134" s="67" t="e">
        <f>N134*#REF!</f>
        <v>#REF!</v>
      </c>
      <c r="P134" s="67" t="e">
        <f>O134*#REF!</f>
        <v>#REF!</v>
      </c>
      <c r="Q134" s="67" t="e">
        <f>P134*#REF!</f>
        <v>#REF!</v>
      </c>
      <c r="R134" s="67" t="e">
        <f>Q134*#REF!</f>
        <v>#REF!</v>
      </c>
      <c r="S134" s="67" t="e">
        <f>R134*#REF!</f>
        <v>#REF!</v>
      </c>
      <c r="T134" s="67" t="e">
        <f>S134*#REF!</f>
        <v>#REF!</v>
      </c>
      <c r="U134" s="67" t="e">
        <f>T134*#REF!</f>
        <v>#REF!</v>
      </c>
      <c r="V134" s="67" t="e">
        <f>U134*#REF!</f>
        <v>#REF!</v>
      </c>
      <c r="W134" s="42"/>
      <c r="X134" s="9">
        <f>X130*$E$9</f>
        <v>0</v>
      </c>
      <c r="Y134" s="9">
        <f t="shared" ref="Y134:AA134" si="647">Y130*$E$9</f>
        <v>0</v>
      </c>
      <c r="Z134" s="9">
        <f t="shared" si="647"/>
        <v>0</v>
      </c>
      <c r="AA134" s="9">
        <f t="shared" si="647"/>
        <v>0</v>
      </c>
      <c r="AB134" s="42">
        <f>X134*VLOOKUP($B134,Types!$B$2:$D$13,3,FALSE)*Conv!$I$5*1000*365</f>
        <v>0</v>
      </c>
      <c r="AC134" s="42">
        <f>Y134*VLOOKUP($B134,Types!$B$2:$D$13,3,FALSE)*Conv!$I$5*1000*365</f>
        <v>0</v>
      </c>
      <c r="AD134" s="42">
        <f>Z134*VLOOKUP($B134,Types!$B$2:$D$13,3,FALSE)*Conv!$I$5*1000*365</f>
        <v>0</v>
      </c>
      <c r="AE134" s="42">
        <f>AA134*VLOOKUP($B134,Types!$B$2:$D$13,3,FALSE)*Conv!$I$5*1000*365</f>
        <v>0</v>
      </c>
      <c r="AF134" s="42">
        <f>AB134-AB133</f>
        <v>0</v>
      </c>
      <c r="AG134" s="42">
        <f t="shared" ref="AG134" si="648">AC134-AC133</f>
        <v>0</v>
      </c>
      <c r="AH134" s="42">
        <f t="shared" ref="AH134" si="649">AD134-AD133</f>
        <v>0</v>
      </c>
      <c r="AI134" s="42">
        <f t="shared" ref="AI134" si="650">AE134-AE133</f>
        <v>0</v>
      </c>
      <c r="AJ134" s="42"/>
      <c r="AK134" s="42"/>
      <c r="AL134" s="42"/>
    </row>
    <row r="135" spans="1:38">
      <c r="A135" s="9" t="s">
        <v>398</v>
      </c>
      <c r="H135" s="66"/>
      <c r="I135" s="66"/>
      <c r="J135" s="66"/>
      <c r="K135" s="66"/>
      <c r="L135" s="67"/>
      <c r="M135" s="67"/>
      <c r="N135" s="67"/>
      <c r="O135" s="67"/>
      <c r="P135" s="67"/>
      <c r="Q135" s="67"/>
      <c r="R135" s="67"/>
      <c r="S135" s="67"/>
      <c r="T135" s="67"/>
      <c r="U135" s="67"/>
      <c r="V135" s="67"/>
      <c r="W135" s="42"/>
      <c r="AB135" s="42"/>
      <c r="AC135" s="42"/>
      <c r="AD135" s="42"/>
      <c r="AE135" s="42"/>
      <c r="AF135" s="42"/>
      <c r="AG135" s="42"/>
      <c r="AH135" s="42"/>
      <c r="AI135" s="42"/>
      <c r="AJ135" s="42"/>
      <c r="AK135" s="42"/>
      <c r="AL135" s="42"/>
    </row>
    <row r="136" spans="1:38" s="10" customFormat="1">
      <c r="A136" s="10" t="s">
        <v>528</v>
      </c>
      <c r="H136" s="63"/>
      <c r="I136" s="63"/>
      <c r="J136" s="63"/>
      <c r="K136" s="63"/>
      <c r="L136" s="64"/>
      <c r="M136" s="64"/>
      <c r="N136" s="64"/>
      <c r="O136" s="64"/>
      <c r="P136" s="64"/>
      <c r="Q136" s="64"/>
      <c r="R136" s="64"/>
      <c r="S136" s="64"/>
      <c r="T136" s="64"/>
      <c r="U136" s="64"/>
      <c r="V136" s="64"/>
    </row>
    <row r="137" spans="1:38">
      <c r="A137" s="9" t="str">
        <f>'Agg prdcrv'!$A$6</f>
        <v>Reformulated Mogas</v>
      </c>
      <c r="B137" s="9" t="str">
        <f>VLOOKUP($A137,Types!$A$2:$C$13,2,FALSE)</f>
        <v>GSR</v>
      </c>
      <c r="C137" s="9">
        <v>3</v>
      </c>
      <c r="D137" s="9">
        <v>3</v>
      </c>
      <c r="E137" s="9" t="str">
        <f t="shared" ref="E137:E180" si="651">CONCATENATE("IMP",G137,RIGHT(C137,1))</f>
        <v>IMPGSRP33</v>
      </c>
      <c r="F137" s="9" t="str">
        <f>CONCATENATE("Imported ",VLOOKUP($A137,Types!$A$2:$C$13,3,FALSE),", PADD ",D137,", Step ",RIGHT(C137,1))</f>
        <v>Imported Reformulated Gasoline, PADD 3, Step 3</v>
      </c>
      <c r="G137" s="9" t="str">
        <f>CONCATENATE(VLOOKUP($A137,Types!$A$2:$C$13,2,FALSE),"P",D137)</f>
        <v>GSRP3</v>
      </c>
      <c r="H137" s="66">
        <f>SUMIFS('Agg prdcrv'!$N$6:$N$100,'Agg prdcrv'!$A$6:$A$100,'Imp Refined'!$A137,'Agg prdcrv'!$B$6:$B$100,H$11)*K4</f>
        <v>68.233000000000004</v>
      </c>
      <c r="I137" s="66">
        <f>SUMIFS('Agg prdcrv'!$N$6:$N$100,'Agg prdcrv'!$A$6:$A$100,'Imp Refined'!$A137,'Agg prdcrv'!$B$6:$B$100,I$11)*K4</f>
        <v>124.91600000000001</v>
      </c>
      <c r="J137" s="66">
        <f t="array" ref="J137">SUMIFS('Agg prdcrv'!$N$6:$N$100,'Agg prdcrv'!$A$6:$A$100,'Imp Refined'!$A137,'Agg prdcrv'!$B$6:$B$100,J$11)</f>
        <v>113.56</v>
      </c>
      <c r="K137" s="66">
        <f t="array" ref="K137">SUMIFS('Agg prdcrv'!$N$6:$N$100,'Agg prdcrv'!$A$6:$A$100,'Imp Refined'!$A137,'Agg prdcrv'!$B$6:$B$100,K$11)</f>
        <v>113.56</v>
      </c>
      <c r="L137" s="67">
        <f>H137*Conv!$J$20/10^6/VLOOKUP($B137,Types!$B$2:$D$13,3,FALSE)/Conv!$I$5</f>
        <v>19.269707503062243</v>
      </c>
      <c r="M137" s="67">
        <f>I137*Conv!$J$20/10^6/VLOOKUP($B137,Types!$B$2:$D$13,3,FALSE)/Conv!$I$5</f>
        <v>35.277575109588071</v>
      </c>
      <c r="N137" s="67" t="e">
        <f>M137*#REF!</f>
        <v>#REF!</v>
      </c>
      <c r="O137" s="67" t="e">
        <f>N137*#REF!</f>
        <v>#REF!</v>
      </c>
      <c r="P137" s="67" t="e">
        <f>O137*#REF!</f>
        <v>#REF!</v>
      </c>
      <c r="Q137" s="67" t="e">
        <f>P137*#REF!</f>
        <v>#REF!</v>
      </c>
      <c r="R137" s="67" t="e">
        <f>Q137*#REF!</f>
        <v>#REF!</v>
      </c>
      <c r="S137" s="67" t="e">
        <f>R137*#REF!</f>
        <v>#REF!</v>
      </c>
      <c r="T137" s="67" t="e">
        <f>S137*#REF!</f>
        <v>#REF!</v>
      </c>
      <c r="U137" s="67" t="e">
        <f>T137*#REF!</f>
        <v>#REF!</v>
      </c>
      <c r="V137" s="67" t="e">
        <f>U137*#REF!</f>
        <v>#REF!</v>
      </c>
      <c r="W137" s="42"/>
      <c r="X137" s="9">
        <f t="array" ref="X137">SUMIFS('Agg prdcrv'!$F$6:$F$100,'Agg prdcrv'!$A$6:$A$100,'Imp Refined'!$A137,'Agg prdcrv'!$B$6:$B$100,X$11)</f>
        <v>4.12</v>
      </c>
      <c r="Y137" s="9">
        <f t="array" ref="Y137">SUMIFS('Agg prdcrv'!$F$6:$F$100,'Agg prdcrv'!$A$6:$A$100,'Imp Refined'!$A137,'Agg prdcrv'!$B$6:$B$100,Y$11)</f>
        <v>0</v>
      </c>
      <c r="Z137" s="9">
        <f t="array" ref="Z137">SUMIFS('Agg prdcrv'!$F$6:$F$100,'Agg prdcrv'!$A$6:$A$100,'Imp Refined'!$A137,'Agg prdcrv'!$B$6:$B$100,Z$11)</f>
        <v>0</v>
      </c>
      <c r="AA137" s="9">
        <f t="array" ref="AA137">SUMIFS('Agg prdcrv'!$F$6:$F$100,'Agg prdcrv'!$A$6:$A$100,'Imp Refined'!$A137,'Agg prdcrv'!$B$6:$B$100,AA$11)</f>
        <v>0</v>
      </c>
      <c r="AB137" s="42">
        <f>X137*VLOOKUP($B137,Types!$B$2:$D$13,3,FALSE)*Conv!$I$5*1000*365</f>
        <v>8.1709550459200013</v>
      </c>
      <c r="AC137" s="42">
        <f>Y137*VLOOKUP($B137,Types!$B$2:$D$13,3,FALSE)*Conv!$I$5*1000*365</f>
        <v>0</v>
      </c>
      <c r="AD137" s="42">
        <f>Z137*VLOOKUP($B137,Types!$B$2:$D$13,3,FALSE)*Conv!$I$5*1000*365</f>
        <v>0</v>
      </c>
      <c r="AE137" s="42">
        <f>AA137*VLOOKUP($B137,Types!$B$2:$D$13,3,FALSE)*Conv!$I$5*1000*365</f>
        <v>0</v>
      </c>
      <c r="AF137" s="42">
        <f>AB137-AB139</f>
        <v>0.8170955045920012</v>
      </c>
      <c r="AG137" s="42">
        <f t="shared" ref="AG137" si="652">AC137-AC139</f>
        <v>0</v>
      </c>
      <c r="AH137" s="42">
        <f t="shared" ref="AH137" si="653">AD137-AD139</f>
        <v>0</v>
      </c>
      <c r="AI137" s="42">
        <f t="shared" ref="AI137" si="654">AE137-AE139</f>
        <v>0</v>
      </c>
      <c r="AJ137" s="42"/>
      <c r="AK137" s="42"/>
      <c r="AL137" s="42"/>
    </row>
    <row r="138" spans="1:38">
      <c r="A138" s="9" t="str">
        <f>A137</f>
        <v>Reformulated Mogas</v>
      </c>
      <c r="B138" s="9" t="str">
        <f>VLOOKUP($A138,Types!$A$2:$C$13,2,FALSE)</f>
        <v>GSR</v>
      </c>
      <c r="C138" s="9">
        <v>1</v>
      </c>
      <c r="D138" s="9">
        <v>3</v>
      </c>
      <c r="E138" s="9" t="str">
        <f t="shared" si="651"/>
        <v>IMPGSRP31</v>
      </c>
      <c r="F138" s="9" t="str">
        <f>CONCATENATE("Imported ",VLOOKUP($A138,Types!$A$2:$C$13,3,FALSE),", PADD ",D138,", Step ",RIGHT(C138,1))</f>
        <v>Imported Reformulated Gasoline, PADD 3, Step 1</v>
      </c>
      <c r="G138" s="9" t="str">
        <f>CONCATENATE(VLOOKUP($A138,Types!$A$2:$C$13,2,FALSE),"P",D138)</f>
        <v>GSRP3</v>
      </c>
      <c r="H138" s="66">
        <f>H137*$C$5</f>
        <v>64.821349999999995</v>
      </c>
      <c r="I138" s="66">
        <f t="shared" ref="I138" si="655">I137*$C$5</f>
        <v>118.67020000000001</v>
      </c>
      <c r="J138" s="66">
        <f t="shared" ref="J138" si="656">J137*$C$5</f>
        <v>107.88199999999999</v>
      </c>
      <c r="K138" s="66">
        <f t="shared" ref="K138" si="657">K137*$C$5</f>
        <v>107.88199999999999</v>
      </c>
      <c r="L138" s="67">
        <f>H138*Conv!$J$20/10^6/VLOOKUP($B138,Types!$B$2:$D$13,3,FALSE)/Conv!$I$5</f>
        <v>18.306222127909123</v>
      </c>
      <c r="M138" s="67">
        <f>I138*Conv!$J$20/10^6/VLOOKUP($B138,Types!$B$2:$D$13,3,FALSE)/Conv!$I$5</f>
        <v>33.51369635410866</v>
      </c>
      <c r="N138" s="67" t="e">
        <f>M138*#REF!</f>
        <v>#REF!</v>
      </c>
      <c r="O138" s="67" t="e">
        <f>N138*#REF!</f>
        <v>#REF!</v>
      </c>
      <c r="P138" s="67" t="e">
        <f>O138*#REF!</f>
        <v>#REF!</v>
      </c>
      <c r="Q138" s="67" t="e">
        <f>P138*#REF!</f>
        <v>#REF!</v>
      </c>
      <c r="R138" s="67" t="e">
        <f>Q138*#REF!</f>
        <v>#REF!</v>
      </c>
      <c r="S138" s="67" t="e">
        <f>R138*#REF!</f>
        <v>#REF!</v>
      </c>
      <c r="T138" s="67" t="e">
        <f>S138*#REF!</f>
        <v>#REF!</v>
      </c>
      <c r="U138" s="67" t="e">
        <f>T138*#REF!</f>
        <v>#REF!</v>
      </c>
      <c r="V138" s="67" t="e">
        <f>U138*#REF!</f>
        <v>#REF!</v>
      </c>
      <c r="W138" s="42"/>
      <c r="X138" s="9">
        <f>X137*$E$5</f>
        <v>3.2960000000000003</v>
      </c>
      <c r="Y138" s="9">
        <f t="shared" ref="Y138" si="658">Y137*$E$5</f>
        <v>0</v>
      </c>
      <c r="Z138" s="9">
        <f t="shared" ref="Z138" si="659">Z137*$E$5</f>
        <v>0</v>
      </c>
      <c r="AA138" s="9">
        <f t="shared" ref="AA138" si="660">AA137*$E$5</f>
        <v>0</v>
      </c>
      <c r="AB138" s="42">
        <f>X138*VLOOKUP($B138,Types!$B$2:$D$13,3,FALSE)*Conv!$I$5*1000*365</f>
        <v>6.5367640367359998</v>
      </c>
      <c r="AC138" s="42">
        <f>Y138*VLOOKUP($B138,Types!$B$2:$D$13,3,FALSE)*Conv!$I$5*1000*365</f>
        <v>0</v>
      </c>
      <c r="AD138" s="42">
        <f>Z138*VLOOKUP($B138,Types!$B$2:$D$13,3,FALSE)*Conv!$I$5*1000*365</f>
        <v>0</v>
      </c>
      <c r="AE138" s="42">
        <f>AA138*VLOOKUP($B138,Types!$B$2:$D$13,3,FALSE)*Conv!$I$5*1000*365</f>
        <v>0</v>
      </c>
      <c r="AF138" s="42">
        <f>AB138</f>
        <v>6.5367640367359998</v>
      </c>
      <c r="AG138" s="42">
        <f t="shared" ref="AG138" si="661">AC138</f>
        <v>0</v>
      </c>
      <c r="AH138" s="42">
        <f t="shared" ref="AH138" si="662">AD138</f>
        <v>0</v>
      </c>
      <c r="AI138" s="42">
        <f t="shared" ref="AI138" si="663">AE138</f>
        <v>0</v>
      </c>
      <c r="AJ138" s="42"/>
      <c r="AK138" s="42"/>
      <c r="AL138" s="42"/>
    </row>
    <row r="139" spans="1:38">
      <c r="A139" s="9" t="str">
        <f t="shared" ref="A139:A141" si="664">A138</f>
        <v>Reformulated Mogas</v>
      </c>
      <c r="B139" s="9" t="str">
        <f>VLOOKUP($A139,Types!$A$2:$C$13,2,FALSE)</f>
        <v>GSR</v>
      </c>
      <c r="C139" s="9">
        <v>2</v>
      </c>
      <c r="D139" s="9">
        <v>3</v>
      </c>
      <c r="E139" s="9" t="str">
        <f t="shared" si="651"/>
        <v>IMPGSRP32</v>
      </c>
      <c r="F139" s="9" t="str">
        <f>CONCATENATE("Imported ",VLOOKUP($A139,Types!$A$2:$C$13,3,FALSE),", PADD ",D139,", Step ",RIGHT(C139,1))</f>
        <v>Imported Reformulated Gasoline, PADD 3, Step 2</v>
      </c>
      <c r="G139" s="9" t="str">
        <f>CONCATENATE(VLOOKUP($A139,Types!$A$2:$C$13,2,FALSE),"P",D139)</f>
        <v>GSRP3</v>
      </c>
      <c r="H139" s="66">
        <f>H137*$C$6</f>
        <v>66.868340000000003</v>
      </c>
      <c r="I139" s="66">
        <f t="shared" ref="I139:K139" si="665">I137*$C$6</f>
        <v>122.41768</v>
      </c>
      <c r="J139" s="66">
        <f t="shared" si="665"/>
        <v>111.28879999999999</v>
      </c>
      <c r="K139" s="66">
        <f t="shared" si="665"/>
        <v>111.28879999999999</v>
      </c>
      <c r="L139" s="67">
        <f>H139*Conv!$J$20/10^6/VLOOKUP($B139,Types!$B$2:$D$13,3,FALSE)/Conv!$I$5</f>
        <v>18.884313353000994</v>
      </c>
      <c r="M139" s="67">
        <f>I139*Conv!$J$20/10^6/VLOOKUP($B139,Types!$B$2:$D$13,3,FALSE)/Conv!$I$5</f>
        <v>34.572023607396304</v>
      </c>
      <c r="N139" s="67" t="e">
        <f>M139*#REF!</f>
        <v>#REF!</v>
      </c>
      <c r="O139" s="67" t="e">
        <f>N139*#REF!</f>
        <v>#REF!</v>
      </c>
      <c r="P139" s="67" t="e">
        <f>O139*#REF!</f>
        <v>#REF!</v>
      </c>
      <c r="Q139" s="67" t="e">
        <f>P139*#REF!</f>
        <v>#REF!</v>
      </c>
      <c r="R139" s="67" t="e">
        <f>Q139*#REF!</f>
        <v>#REF!</v>
      </c>
      <c r="S139" s="67" t="e">
        <f>R139*#REF!</f>
        <v>#REF!</v>
      </c>
      <c r="T139" s="67" t="e">
        <f>S139*#REF!</f>
        <v>#REF!</v>
      </c>
      <c r="U139" s="67" t="e">
        <f>T139*#REF!</f>
        <v>#REF!</v>
      </c>
      <c r="V139" s="67" t="e">
        <f>U139*#REF!</f>
        <v>#REF!</v>
      </c>
      <c r="W139" s="42"/>
      <c r="X139" s="9">
        <f>X137*$E$6</f>
        <v>3.7080000000000002</v>
      </c>
      <c r="Y139" s="9">
        <f t="shared" ref="Y139:AA139" si="666">Y137*$E$6</f>
        <v>0</v>
      </c>
      <c r="Z139" s="9">
        <f t="shared" si="666"/>
        <v>0</v>
      </c>
      <c r="AA139" s="9">
        <f t="shared" si="666"/>
        <v>0</v>
      </c>
      <c r="AB139" s="42">
        <f>X139*VLOOKUP($B139,Types!$B$2:$D$13,3,FALSE)*Conv!$I$5*1000*365</f>
        <v>7.3538595413280001</v>
      </c>
      <c r="AC139" s="42">
        <f>Y139*VLOOKUP($B139,Types!$B$2:$D$13,3,FALSE)*Conv!$I$5*1000*365</f>
        <v>0</v>
      </c>
      <c r="AD139" s="42">
        <f>Z139*VLOOKUP($B139,Types!$B$2:$D$13,3,FALSE)*Conv!$I$5*1000*365</f>
        <v>0</v>
      </c>
      <c r="AE139" s="42">
        <f>AA139*VLOOKUP($B139,Types!$B$2:$D$13,3,FALSE)*Conv!$I$5*1000*365</f>
        <v>0</v>
      </c>
      <c r="AF139" s="42">
        <f>AB139-AF138</f>
        <v>0.81709550459200031</v>
      </c>
      <c r="AG139" s="42">
        <f t="shared" ref="AG139" si="667">AC139-AG138</f>
        <v>0</v>
      </c>
      <c r="AH139" s="42">
        <f t="shared" ref="AH139" si="668">AD139-AH138</f>
        <v>0</v>
      </c>
      <c r="AI139" s="42">
        <f t="shared" ref="AI139" si="669">AE139-AI138</f>
        <v>0</v>
      </c>
      <c r="AJ139" s="42"/>
      <c r="AK139" s="42"/>
      <c r="AL139" s="42"/>
    </row>
    <row r="140" spans="1:38">
      <c r="A140" s="9" t="str">
        <f t="shared" si="664"/>
        <v>Reformulated Mogas</v>
      </c>
      <c r="B140" s="9" t="str">
        <f>VLOOKUP($A140,Types!$A$2:$C$13,2,FALSE)</f>
        <v>GSR</v>
      </c>
      <c r="C140" s="9">
        <v>4</v>
      </c>
      <c r="D140" s="9">
        <v>3</v>
      </c>
      <c r="E140" s="9" t="str">
        <f t="shared" si="651"/>
        <v>IMPGSRP34</v>
      </c>
      <c r="F140" s="9" t="str">
        <f>CONCATENATE("Imported ",VLOOKUP($A140,Types!$A$2:$C$13,3,FALSE),", PADD ",D140,", Step ",RIGHT(C140,1))</f>
        <v>Imported Reformulated Gasoline, PADD 3, Step 4</v>
      </c>
      <c r="G140" s="9" t="str">
        <f>CONCATENATE(VLOOKUP($A140,Types!$A$2:$C$13,2,FALSE),"P",D140)</f>
        <v>GSRP3</v>
      </c>
      <c r="H140" s="66">
        <f>H137*$C$8</f>
        <v>74.373970000000014</v>
      </c>
      <c r="I140" s="66">
        <f t="shared" ref="I140:K140" si="670">I137*$C$8</f>
        <v>136.15844000000001</v>
      </c>
      <c r="J140" s="66">
        <f t="shared" si="670"/>
        <v>123.78040000000001</v>
      </c>
      <c r="K140" s="66">
        <f t="shared" si="670"/>
        <v>123.78040000000001</v>
      </c>
      <c r="L140" s="67">
        <f>H140*Conv!$J$20/10^6/VLOOKUP($B140,Types!$B$2:$D$13,3,FALSE)/Conv!$I$5</f>
        <v>21.003981178337842</v>
      </c>
      <c r="M140" s="67">
        <f>I140*Conv!$J$20/10^6/VLOOKUP($B140,Types!$B$2:$D$13,3,FALSE)/Conv!$I$5</f>
        <v>38.452556869451001</v>
      </c>
      <c r="N140" s="67" t="e">
        <f>M140*#REF!</f>
        <v>#REF!</v>
      </c>
      <c r="O140" s="67" t="e">
        <f>N140*#REF!</f>
        <v>#REF!</v>
      </c>
      <c r="P140" s="67" t="e">
        <f>O140*#REF!</f>
        <v>#REF!</v>
      </c>
      <c r="Q140" s="67" t="e">
        <f>P140*#REF!</f>
        <v>#REF!</v>
      </c>
      <c r="R140" s="67" t="e">
        <f>Q140*#REF!</f>
        <v>#REF!</v>
      </c>
      <c r="S140" s="67" t="e">
        <f>R140*#REF!</f>
        <v>#REF!</v>
      </c>
      <c r="T140" s="67" t="e">
        <f>S140*#REF!</f>
        <v>#REF!</v>
      </c>
      <c r="U140" s="67" t="e">
        <f>T140*#REF!</f>
        <v>#REF!</v>
      </c>
      <c r="V140" s="67" t="e">
        <f>U140*#REF!</f>
        <v>#REF!</v>
      </c>
      <c r="W140" s="42"/>
      <c r="X140" s="9">
        <f>X137*$E$8</f>
        <v>4.944</v>
      </c>
      <c r="Y140" s="9">
        <f t="shared" ref="Y140:AA140" si="671">Y137*$E$8</f>
        <v>0</v>
      </c>
      <c r="Z140" s="9">
        <f t="shared" si="671"/>
        <v>0</v>
      </c>
      <c r="AA140" s="9">
        <f t="shared" si="671"/>
        <v>0</v>
      </c>
      <c r="AB140" s="42">
        <f>X140*VLOOKUP($B140,Types!$B$2:$D$13,3,FALSE)*Conv!$I$5*1000*365</f>
        <v>9.8051460551040002</v>
      </c>
      <c r="AC140" s="42">
        <f>Y140*VLOOKUP($B140,Types!$B$2:$D$13,3,FALSE)*Conv!$I$5*1000*365</f>
        <v>0</v>
      </c>
      <c r="AD140" s="42">
        <f>Z140*VLOOKUP($B140,Types!$B$2:$D$13,3,FALSE)*Conv!$I$5*1000*365</f>
        <v>0</v>
      </c>
      <c r="AE140" s="42">
        <f>AA140*VLOOKUP($B140,Types!$B$2:$D$13,3,FALSE)*Conv!$I$5*1000*365</f>
        <v>0</v>
      </c>
      <c r="AF140" s="42">
        <f>AB140-AB137</f>
        <v>1.6341910091839988</v>
      </c>
      <c r="AG140" s="42">
        <f t="shared" ref="AG140" si="672">AC140-AC137</f>
        <v>0</v>
      </c>
      <c r="AH140" s="42">
        <f t="shared" ref="AH140" si="673">AD140-AD137</f>
        <v>0</v>
      </c>
      <c r="AI140" s="42">
        <f t="shared" ref="AI140" si="674">AE140-AE137</f>
        <v>0</v>
      </c>
      <c r="AJ140" s="42"/>
      <c r="AK140" s="42"/>
      <c r="AL140" s="42"/>
    </row>
    <row r="141" spans="1:38">
      <c r="A141" s="9" t="str">
        <f t="shared" si="664"/>
        <v>Reformulated Mogas</v>
      </c>
      <c r="B141" s="9" t="str">
        <f>VLOOKUP($A141,Types!$A$2:$C$13,2,FALSE)</f>
        <v>GSR</v>
      </c>
      <c r="C141" s="9">
        <v>5</v>
      </c>
      <c r="D141" s="9">
        <v>3</v>
      </c>
      <c r="E141" s="9" t="str">
        <f t="shared" si="651"/>
        <v>IMPGSRP35</v>
      </c>
      <c r="F141" s="9" t="str">
        <f>CONCATENATE("Imported ",VLOOKUP($A141,Types!$A$2:$C$13,3,FALSE),", PADD ",D141,", Step ",RIGHT(C141,1))</f>
        <v>Imported Reformulated Gasoline, PADD 3, Step 5</v>
      </c>
      <c r="G141" s="9" t="str">
        <f>CONCATENATE(VLOOKUP($A141,Types!$A$2:$C$13,2,FALSE),"P",D141)</f>
        <v>GSRP3</v>
      </c>
      <c r="H141" s="66">
        <f>H137*$C$9</f>
        <v>88.702900000000014</v>
      </c>
      <c r="I141" s="66">
        <f t="shared" ref="I141:K141" si="675">I137*$C$9</f>
        <v>162.39080000000001</v>
      </c>
      <c r="J141" s="66">
        <f t="shared" si="675"/>
        <v>147.62800000000001</v>
      </c>
      <c r="K141" s="66">
        <f t="shared" si="675"/>
        <v>147.62800000000001</v>
      </c>
      <c r="L141" s="67">
        <f>H141*Conv!$J$20/10^6/VLOOKUP($B141,Types!$B$2:$D$13,3,FALSE)/Conv!$I$5</f>
        <v>25.050619753980918</v>
      </c>
      <c r="M141" s="67">
        <f>I141*Conv!$J$20/10^6/VLOOKUP($B141,Types!$B$2:$D$13,3,FALSE)/Conv!$I$5</f>
        <v>45.860847642464492</v>
      </c>
      <c r="N141" s="67" t="e">
        <f>M141*#REF!</f>
        <v>#REF!</v>
      </c>
      <c r="O141" s="67" t="e">
        <f>N141*#REF!</f>
        <v>#REF!</v>
      </c>
      <c r="P141" s="67" t="e">
        <f>O141*#REF!</f>
        <v>#REF!</v>
      </c>
      <c r="Q141" s="67" t="e">
        <f>P141*#REF!</f>
        <v>#REF!</v>
      </c>
      <c r="R141" s="67" t="e">
        <f>Q141*#REF!</f>
        <v>#REF!</v>
      </c>
      <c r="S141" s="67" t="e">
        <f>R141*#REF!</f>
        <v>#REF!</v>
      </c>
      <c r="T141" s="67" t="e">
        <f>S141*#REF!</f>
        <v>#REF!</v>
      </c>
      <c r="U141" s="67" t="e">
        <f>T141*#REF!</f>
        <v>#REF!</v>
      </c>
      <c r="V141" s="67" t="e">
        <f>U141*#REF!</f>
        <v>#REF!</v>
      </c>
      <c r="W141" s="42"/>
      <c r="X141" s="9">
        <f>X137*$E$9</f>
        <v>8.24</v>
      </c>
      <c r="Y141" s="9">
        <f t="shared" ref="Y141:AA141" si="676">Y137*$E$9</f>
        <v>0</v>
      </c>
      <c r="Z141" s="9">
        <f t="shared" si="676"/>
        <v>0</v>
      </c>
      <c r="AA141" s="9">
        <f t="shared" si="676"/>
        <v>0</v>
      </c>
      <c r="AB141" s="42">
        <f>X141*VLOOKUP($B141,Types!$B$2:$D$13,3,FALSE)*Conv!$I$5*1000*365</f>
        <v>16.341910091840003</v>
      </c>
      <c r="AC141" s="42">
        <f>Y141*VLOOKUP($B141,Types!$B$2:$D$13,3,FALSE)*Conv!$I$5*1000*365</f>
        <v>0</v>
      </c>
      <c r="AD141" s="42">
        <f>Z141*VLOOKUP($B141,Types!$B$2:$D$13,3,FALSE)*Conv!$I$5*1000*365</f>
        <v>0</v>
      </c>
      <c r="AE141" s="42">
        <f>AA141*VLOOKUP($B141,Types!$B$2:$D$13,3,FALSE)*Conv!$I$5*1000*365</f>
        <v>0</v>
      </c>
      <c r="AF141" s="42">
        <f>AB141-AB140</f>
        <v>6.5367640367360025</v>
      </c>
      <c r="AG141" s="42">
        <f t="shared" ref="AG141" si="677">AC141-AC140</f>
        <v>0</v>
      </c>
      <c r="AH141" s="42">
        <f t="shared" ref="AH141" si="678">AD141-AD140</f>
        <v>0</v>
      </c>
      <c r="AI141" s="42">
        <f t="shared" ref="AI141" si="679">AE141-AE140</f>
        <v>0</v>
      </c>
      <c r="AJ141" s="42"/>
      <c r="AK141" s="42"/>
      <c r="AL141" s="42"/>
    </row>
    <row r="142" spans="1:38">
      <c r="A142" s="9" t="str">
        <f>'Agg prdcrv'!$A$7</f>
        <v>Conventional Mogas</v>
      </c>
      <c r="B142" s="9" t="str">
        <f>VLOOKUP($A142,Types!$A$2:$C$13,2,FALSE)</f>
        <v>GSC</v>
      </c>
      <c r="C142" s="9">
        <v>3</v>
      </c>
      <c r="D142" s="9">
        <v>3</v>
      </c>
      <c r="E142" s="9" t="str">
        <f t="shared" si="651"/>
        <v>IMPGSCP33</v>
      </c>
      <c r="F142" s="9" t="str">
        <f>CONCATENATE("Imported ",VLOOKUP($A142,Types!$A$2:$C$13,3,FALSE),", PADD ",D142,", Step ",RIGHT(C142,1))</f>
        <v>Imported Conventional Gasoline, PADD 3, Step 3</v>
      </c>
      <c r="G142" s="9" t="str">
        <f>CONCATENATE(VLOOKUP($A142,Types!$A$2:$C$13,2,FALSE),"P",D142)</f>
        <v>GSCP3</v>
      </c>
      <c r="H142" s="66">
        <f>SUMIFS('Agg prdcrv'!$N$6:$N$100,'Agg prdcrv'!$A$6:$A$100,'Imp Refined'!$A142,'Agg prdcrv'!$B$6:$B$100,H$11)*K4</f>
        <v>66.077000000000012</v>
      </c>
      <c r="I142" s="66">
        <f>SUMIFS('Agg prdcrv'!$N$6:$N$100,'Agg prdcrv'!$A$6:$A$100,'Imp Refined'!$A142,'Agg prdcrv'!$B$6:$B$100,I$11)*K4</f>
        <v>54.78</v>
      </c>
      <c r="J142" s="66">
        <f t="array" ref="J142">SUMIFS('Agg prdcrv'!$N$6:$N$100,'Agg prdcrv'!$A$6:$A$100,'Imp Refined'!$A142,'Agg prdcrv'!$B$6:$B$100,J$11)</f>
        <v>43.07</v>
      </c>
      <c r="K142" s="66">
        <f t="array" ref="K142">SUMIFS('Agg prdcrv'!$N$6:$N$100,'Agg prdcrv'!$A$6:$A$100,'Imp Refined'!$A142,'Agg prdcrv'!$B$6:$B$100,K$11)</f>
        <v>46.65</v>
      </c>
      <c r="L142" s="67">
        <f>H142*Conv!$J$20/10^6/VLOOKUP($B142,Types!$B$2:$D$13,3,FALSE)/Conv!$I$5</f>
        <v>18.29493208076024</v>
      </c>
      <c r="M142" s="67">
        <f>I142*Conv!$J$20/10^6/VLOOKUP($B142,Types!$B$2:$D$13,3,FALSE)/Conv!$I$5</f>
        <v>15.167098678572664</v>
      </c>
      <c r="N142" s="67" t="e">
        <f>M142*#REF!</f>
        <v>#REF!</v>
      </c>
      <c r="O142" s="67" t="e">
        <f>N142*#REF!</f>
        <v>#REF!</v>
      </c>
      <c r="P142" s="67" t="e">
        <f>O142*#REF!</f>
        <v>#REF!</v>
      </c>
      <c r="Q142" s="67" t="e">
        <f>P142*#REF!</f>
        <v>#REF!</v>
      </c>
      <c r="R142" s="67" t="e">
        <f>Q142*#REF!</f>
        <v>#REF!</v>
      </c>
      <c r="S142" s="67" t="e">
        <f>R142*#REF!</f>
        <v>#REF!</v>
      </c>
      <c r="T142" s="67" t="e">
        <f>S142*#REF!</f>
        <v>#REF!</v>
      </c>
      <c r="U142" s="67" t="e">
        <f>T142*#REF!</f>
        <v>#REF!</v>
      </c>
      <c r="V142" s="67" t="e">
        <f>U142*#REF!</f>
        <v>#REF!</v>
      </c>
      <c r="W142" s="42"/>
      <c r="X142" s="9">
        <f t="array" ref="X142">SUMIFS('Agg prdcrv'!$F$6:$F$100,'Agg prdcrv'!$A$6:$A$100,'Imp Refined'!$A142,'Agg prdcrv'!$B$6:$B$100,X$11)</f>
        <v>32.270000000000003</v>
      </c>
      <c r="Y142" s="9">
        <f t="array" ref="Y142">SUMIFS('Agg prdcrv'!$F$6:$F$100,'Agg prdcrv'!$A$6:$A$100,'Imp Refined'!$A142,'Agg prdcrv'!$B$6:$B$100,Y$11)</f>
        <v>28.56</v>
      </c>
      <c r="Z142" s="9">
        <f t="array" ref="Z142">SUMIFS('Agg prdcrv'!$F$6:$F$100,'Agg prdcrv'!$A$6:$A$100,'Imp Refined'!$A142,'Agg prdcrv'!$B$6:$B$100,Z$11)</f>
        <v>30.76</v>
      </c>
      <c r="AA142" s="9">
        <f t="array" ref="AA142">SUMIFS('Agg prdcrv'!$F$6:$F$100,'Agg prdcrv'!$A$6:$A$100,'Imp Refined'!$A142,'Agg prdcrv'!$B$6:$B$100,AA$11)</f>
        <v>33.14</v>
      </c>
      <c r="AB142" s="42">
        <f>X142*VLOOKUP($B142,Types!$B$2:$D$13,3,FALSE)*Conv!$I$5*1000*365</f>
        <v>65.27918779574641</v>
      </c>
      <c r="AC142" s="42">
        <f>Y142*VLOOKUP($B142,Types!$B$2:$D$13,3,FALSE)*Conv!$I$5*1000*365</f>
        <v>57.774205250899186</v>
      </c>
      <c r="AD142" s="42">
        <f>Z142*VLOOKUP($B142,Types!$B$2:$D$13,3,FALSE)*Conv!$I$5*1000*365</f>
        <v>62.224599212803206</v>
      </c>
      <c r="AE142" s="42">
        <f>AA142*VLOOKUP($B142,Types!$B$2:$D$13,3,FALSE)*Conv!$I$5*1000*365</f>
        <v>67.039116317044801</v>
      </c>
      <c r="AF142" s="42">
        <f>AB142-AB144</f>
        <v>6.5279187795746481</v>
      </c>
      <c r="AG142" s="42">
        <f t="shared" ref="AG142" si="680">AC142-AC144</f>
        <v>5.7774205250899158</v>
      </c>
      <c r="AH142" s="42">
        <f t="shared" ref="AH142" si="681">AD142-AD144</f>
        <v>6.2224599212803255</v>
      </c>
      <c r="AI142" s="42">
        <f t="shared" ref="AI142" si="682">AE142-AE144</f>
        <v>6.7039116317044787</v>
      </c>
      <c r="AJ142" s="42"/>
      <c r="AK142" s="42"/>
      <c r="AL142" s="42"/>
    </row>
    <row r="143" spans="1:38">
      <c r="A143" s="9" t="str">
        <f>A142</f>
        <v>Conventional Mogas</v>
      </c>
      <c r="B143" s="9" t="str">
        <f>VLOOKUP($A143,Types!$A$2:$C$13,2,FALSE)</f>
        <v>GSC</v>
      </c>
      <c r="C143" s="9">
        <v>1</v>
      </c>
      <c r="D143" s="9">
        <v>3</v>
      </c>
      <c r="E143" s="9" t="str">
        <f t="shared" si="651"/>
        <v>IMPGSCP31</v>
      </c>
      <c r="F143" s="9" t="str">
        <f>CONCATENATE("Imported ",VLOOKUP($A143,Types!$A$2:$C$13,3,FALSE),", PADD ",D143,", Step ",RIGHT(C143,1))</f>
        <v>Imported Conventional Gasoline, PADD 3, Step 1</v>
      </c>
      <c r="G143" s="9" t="str">
        <f>CONCATENATE(VLOOKUP($A143,Types!$A$2:$C$13,2,FALSE),"P",D143)</f>
        <v>GSCP3</v>
      </c>
      <c r="H143" s="66">
        <f>H142*$C$5</f>
        <v>62.773150000000008</v>
      </c>
      <c r="I143" s="66">
        <f t="shared" ref="I143" si="683">I142*$C$5</f>
        <v>52.040999999999997</v>
      </c>
      <c r="J143" s="66">
        <f t="shared" ref="J143" si="684">J142*$C$5</f>
        <v>40.916499999999999</v>
      </c>
      <c r="K143" s="66">
        <f t="shared" ref="K143" si="685">K142*$C$5</f>
        <v>44.317499999999995</v>
      </c>
      <c r="L143" s="67">
        <f>H143*Conv!$J$20/10^6/VLOOKUP($B143,Types!$B$2:$D$13,3,FALSE)/Conv!$I$5</f>
        <v>17.380185476722229</v>
      </c>
      <c r="M143" s="67">
        <f>I143*Conv!$J$20/10^6/VLOOKUP($B143,Types!$B$2:$D$13,3,FALSE)/Conv!$I$5</f>
        <v>14.408743744644029</v>
      </c>
      <c r="N143" s="67" t="e">
        <f>M143*#REF!</f>
        <v>#REF!</v>
      </c>
      <c r="O143" s="67" t="e">
        <f>N143*#REF!</f>
        <v>#REF!</v>
      </c>
      <c r="P143" s="67" t="e">
        <f>O143*#REF!</f>
        <v>#REF!</v>
      </c>
      <c r="Q143" s="67" t="e">
        <f>P143*#REF!</f>
        <v>#REF!</v>
      </c>
      <c r="R143" s="67" t="e">
        <f>Q143*#REF!</f>
        <v>#REF!</v>
      </c>
      <c r="S143" s="67" t="e">
        <f>R143*#REF!</f>
        <v>#REF!</v>
      </c>
      <c r="T143" s="67" t="e">
        <f>S143*#REF!</f>
        <v>#REF!</v>
      </c>
      <c r="U143" s="67" t="e">
        <f>T143*#REF!</f>
        <v>#REF!</v>
      </c>
      <c r="V143" s="67" t="e">
        <f>U143*#REF!</f>
        <v>#REF!</v>
      </c>
      <c r="W143" s="42"/>
      <c r="X143" s="9">
        <f>X142*$E$5</f>
        <v>25.816000000000003</v>
      </c>
      <c r="Y143" s="9">
        <f t="shared" ref="Y143" si="686">Y142*$E$5</f>
        <v>22.847999999999999</v>
      </c>
      <c r="Z143" s="9">
        <f t="shared" ref="Z143" si="687">Z142*$E$5</f>
        <v>24.608000000000004</v>
      </c>
      <c r="AA143" s="9">
        <f t="shared" ref="AA143" si="688">AA142*$E$5</f>
        <v>26.512</v>
      </c>
      <c r="AB143" s="42">
        <f>X143*VLOOKUP($B143,Types!$B$2:$D$13,3,FALSE)*Conv!$I$5*1000*365</f>
        <v>52.22335023659712</v>
      </c>
      <c r="AC143" s="42">
        <f>Y143*VLOOKUP($B143,Types!$B$2:$D$13,3,FALSE)*Conv!$I$5*1000*365</f>
        <v>46.219364200719362</v>
      </c>
      <c r="AD143" s="42">
        <f>Z143*VLOOKUP($B143,Types!$B$2:$D$13,3,FALSE)*Conv!$I$5*1000*365</f>
        <v>49.779679370242569</v>
      </c>
      <c r="AE143" s="42">
        <f>AA143*VLOOKUP($B143,Types!$B$2:$D$13,3,FALSE)*Conv!$I$5*1000*365</f>
        <v>53.631293053635837</v>
      </c>
      <c r="AF143" s="42">
        <f>AB143</f>
        <v>52.22335023659712</v>
      </c>
      <c r="AG143" s="42">
        <f t="shared" ref="AG143" si="689">AC143</f>
        <v>46.219364200719362</v>
      </c>
      <c r="AH143" s="42">
        <f t="shared" ref="AH143" si="690">AD143</f>
        <v>49.779679370242569</v>
      </c>
      <c r="AI143" s="42">
        <f t="shared" ref="AI143" si="691">AE143</f>
        <v>53.631293053635837</v>
      </c>
      <c r="AJ143" s="42"/>
      <c r="AK143" s="42"/>
      <c r="AL143" s="42"/>
    </row>
    <row r="144" spans="1:38">
      <c r="A144" s="9" t="str">
        <f t="shared" ref="A144:A146" si="692">A143</f>
        <v>Conventional Mogas</v>
      </c>
      <c r="B144" s="9" t="str">
        <f>VLOOKUP($A144,Types!$A$2:$C$13,2,FALSE)</f>
        <v>GSC</v>
      </c>
      <c r="C144" s="9">
        <v>2</v>
      </c>
      <c r="D144" s="9">
        <v>3</v>
      </c>
      <c r="E144" s="9" t="str">
        <f t="shared" si="651"/>
        <v>IMPGSCP32</v>
      </c>
      <c r="F144" s="9" t="str">
        <f>CONCATENATE("Imported ",VLOOKUP($A144,Types!$A$2:$C$13,3,FALSE),", PADD ",D144,", Step ",RIGHT(C144,1))</f>
        <v>Imported Conventional Gasoline, PADD 3, Step 2</v>
      </c>
      <c r="G144" s="9" t="str">
        <f>CONCATENATE(VLOOKUP($A144,Types!$A$2:$C$13,2,FALSE),"P",D144)</f>
        <v>GSCP3</v>
      </c>
      <c r="H144" s="66">
        <f>H142*$C$6</f>
        <v>64.755460000000014</v>
      </c>
      <c r="I144" s="66">
        <f t="shared" ref="I144:K144" si="693">I142*$C$6</f>
        <v>53.684400000000004</v>
      </c>
      <c r="J144" s="66">
        <f t="shared" si="693"/>
        <v>42.208599999999997</v>
      </c>
      <c r="K144" s="66">
        <f t="shared" si="693"/>
        <v>45.716999999999999</v>
      </c>
      <c r="L144" s="67">
        <f>H144*Conv!$J$20/10^6/VLOOKUP($B144,Types!$B$2:$D$13,3,FALSE)/Conv!$I$5</f>
        <v>17.929033439145037</v>
      </c>
      <c r="M144" s="67">
        <f>I144*Conv!$J$20/10^6/VLOOKUP($B144,Types!$B$2:$D$13,3,FALSE)/Conv!$I$5</f>
        <v>14.863756705001212</v>
      </c>
      <c r="N144" s="67" t="e">
        <f>M144*#REF!</f>
        <v>#REF!</v>
      </c>
      <c r="O144" s="67" t="e">
        <f>N144*#REF!</f>
        <v>#REF!</v>
      </c>
      <c r="P144" s="67" t="e">
        <f>O144*#REF!</f>
        <v>#REF!</v>
      </c>
      <c r="Q144" s="67" t="e">
        <f>P144*#REF!</f>
        <v>#REF!</v>
      </c>
      <c r="R144" s="67" t="e">
        <f>Q144*#REF!</f>
        <v>#REF!</v>
      </c>
      <c r="S144" s="67" t="e">
        <f>R144*#REF!</f>
        <v>#REF!</v>
      </c>
      <c r="T144" s="67" t="e">
        <f>S144*#REF!</f>
        <v>#REF!</v>
      </c>
      <c r="U144" s="67" t="e">
        <f>T144*#REF!</f>
        <v>#REF!</v>
      </c>
      <c r="V144" s="67" t="e">
        <f>U144*#REF!</f>
        <v>#REF!</v>
      </c>
      <c r="W144" s="42"/>
      <c r="X144" s="9">
        <f>X142*$E$6</f>
        <v>29.043000000000003</v>
      </c>
      <c r="Y144" s="9">
        <f t="shared" ref="Y144:AA144" si="694">Y142*$E$6</f>
        <v>25.704000000000001</v>
      </c>
      <c r="Z144" s="9">
        <f t="shared" si="694"/>
        <v>27.684000000000001</v>
      </c>
      <c r="AA144" s="9">
        <f t="shared" si="694"/>
        <v>29.826000000000001</v>
      </c>
      <c r="AB144" s="42">
        <f>X144*VLOOKUP($B144,Types!$B$2:$D$13,3,FALSE)*Conv!$I$5*1000*365</f>
        <v>58.751269016171761</v>
      </c>
      <c r="AC144" s="42">
        <f>Y144*VLOOKUP($B144,Types!$B$2:$D$13,3,FALSE)*Conv!$I$5*1000*365</f>
        <v>51.99678472580927</v>
      </c>
      <c r="AD144" s="42">
        <f>Z144*VLOOKUP($B144,Types!$B$2:$D$13,3,FALSE)*Conv!$I$5*1000*365</f>
        <v>56.00213929152288</v>
      </c>
      <c r="AE144" s="42">
        <f>AA144*VLOOKUP($B144,Types!$B$2:$D$13,3,FALSE)*Conv!$I$5*1000*365</f>
        <v>60.335204685340322</v>
      </c>
      <c r="AF144" s="42">
        <f>AB144-AF143</f>
        <v>6.527918779574641</v>
      </c>
      <c r="AG144" s="42">
        <f t="shared" ref="AG144" si="695">AC144-AG143</f>
        <v>5.7774205250899087</v>
      </c>
      <c r="AH144" s="42">
        <f t="shared" ref="AH144" si="696">AD144-AH143</f>
        <v>6.2224599212803113</v>
      </c>
      <c r="AI144" s="42">
        <f t="shared" ref="AI144" si="697">AE144-AI143</f>
        <v>6.7039116317044858</v>
      </c>
      <c r="AJ144" s="42"/>
      <c r="AK144" s="42"/>
      <c r="AL144" s="42"/>
    </row>
    <row r="145" spans="1:38">
      <c r="A145" s="9" t="str">
        <f t="shared" si="692"/>
        <v>Conventional Mogas</v>
      </c>
      <c r="B145" s="9" t="str">
        <f>VLOOKUP($A145,Types!$A$2:$C$13,2,FALSE)</f>
        <v>GSC</v>
      </c>
      <c r="C145" s="9">
        <v>4</v>
      </c>
      <c r="D145" s="9">
        <v>3</v>
      </c>
      <c r="E145" s="9" t="str">
        <f t="shared" si="651"/>
        <v>IMPGSCP34</v>
      </c>
      <c r="F145" s="9" t="str">
        <f>CONCATENATE("Imported ",VLOOKUP($A145,Types!$A$2:$C$13,3,FALSE),", PADD ",D145,", Step ",RIGHT(C145,1))</f>
        <v>Imported Conventional Gasoline, PADD 3, Step 4</v>
      </c>
      <c r="G145" s="9" t="str">
        <f>CONCATENATE(VLOOKUP($A145,Types!$A$2:$C$13,2,FALSE),"P",D145)</f>
        <v>GSCP3</v>
      </c>
      <c r="H145" s="66">
        <f>H142*$C$8</f>
        <v>72.023930000000021</v>
      </c>
      <c r="I145" s="66">
        <f t="shared" ref="I145:K145" si="698">I142*$C$8</f>
        <v>59.710200000000007</v>
      </c>
      <c r="J145" s="66">
        <f t="shared" si="698"/>
        <v>46.946300000000001</v>
      </c>
      <c r="K145" s="66">
        <f t="shared" si="698"/>
        <v>50.848500000000001</v>
      </c>
      <c r="L145" s="67">
        <f>H145*Conv!$J$20/10^6/VLOOKUP($B145,Types!$B$2:$D$13,3,FALSE)/Conv!$I$5</f>
        <v>19.941475968028669</v>
      </c>
      <c r="M145" s="67">
        <f>I145*Conv!$J$20/10^6/VLOOKUP($B145,Types!$B$2:$D$13,3,FALSE)/Conv!$I$5</f>
        <v>16.532137559644205</v>
      </c>
      <c r="N145" s="67" t="e">
        <f>M145*#REF!</f>
        <v>#REF!</v>
      </c>
      <c r="O145" s="67" t="e">
        <f>N145*#REF!</f>
        <v>#REF!</v>
      </c>
      <c r="P145" s="67" t="e">
        <f>O145*#REF!</f>
        <v>#REF!</v>
      </c>
      <c r="Q145" s="67" t="e">
        <f>P145*#REF!</f>
        <v>#REF!</v>
      </c>
      <c r="R145" s="67" t="e">
        <f>Q145*#REF!</f>
        <v>#REF!</v>
      </c>
      <c r="S145" s="67" t="e">
        <f>R145*#REF!</f>
        <v>#REF!</v>
      </c>
      <c r="T145" s="67" t="e">
        <f>S145*#REF!</f>
        <v>#REF!</v>
      </c>
      <c r="U145" s="67" t="e">
        <f>T145*#REF!</f>
        <v>#REF!</v>
      </c>
      <c r="V145" s="67" t="e">
        <f>U145*#REF!</f>
        <v>#REF!</v>
      </c>
      <c r="W145" s="42"/>
      <c r="X145" s="9">
        <f>X142*$E$8</f>
        <v>38.724000000000004</v>
      </c>
      <c r="Y145" s="9">
        <f t="shared" ref="Y145:AA145" si="699">Y142*$E$8</f>
        <v>34.271999999999998</v>
      </c>
      <c r="Z145" s="9">
        <f t="shared" si="699"/>
        <v>36.911999999999999</v>
      </c>
      <c r="AA145" s="9">
        <f t="shared" si="699"/>
        <v>39.768000000000001</v>
      </c>
      <c r="AB145" s="42">
        <f>X145*VLOOKUP($B145,Types!$B$2:$D$13,3,FALSE)*Conv!$I$5*1000*365</f>
        <v>78.335025354895691</v>
      </c>
      <c r="AC145" s="42">
        <f>Y145*VLOOKUP($B145,Types!$B$2:$D$13,3,FALSE)*Conv!$I$5*1000*365</f>
        <v>69.329046301079032</v>
      </c>
      <c r="AD145" s="42">
        <f>Z145*VLOOKUP($B145,Types!$B$2:$D$13,3,FALSE)*Conv!$I$5*1000*365</f>
        <v>74.669519055363821</v>
      </c>
      <c r="AE145" s="42">
        <f>AA145*VLOOKUP($B145,Types!$B$2:$D$13,3,FALSE)*Conv!$I$5*1000*365</f>
        <v>80.446939580453744</v>
      </c>
      <c r="AF145" s="42">
        <f>AB145-AB142</f>
        <v>13.055837559149282</v>
      </c>
      <c r="AG145" s="42">
        <f t="shared" ref="AG145" si="700">AC145-AC142</f>
        <v>11.554841050179846</v>
      </c>
      <c r="AH145" s="42">
        <f t="shared" ref="AH145" si="701">AD145-AD142</f>
        <v>12.444919842560616</v>
      </c>
      <c r="AI145" s="42">
        <f t="shared" ref="AI145" si="702">AE145-AE142</f>
        <v>13.407823263408943</v>
      </c>
      <c r="AJ145" s="42"/>
      <c r="AK145" s="42"/>
      <c r="AL145" s="42"/>
    </row>
    <row r="146" spans="1:38">
      <c r="A146" s="9" t="str">
        <f t="shared" si="692"/>
        <v>Conventional Mogas</v>
      </c>
      <c r="B146" s="9" t="str">
        <f>VLOOKUP($A146,Types!$A$2:$C$13,2,FALSE)</f>
        <v>GSC</v>
      </c>
      <c r="C146" s="9">
        <v>5</v>
      </c>
      <c r="D146" s="9">
        <v>3</v>
      </c>
      <c r="E146" s="9" t="str">
        <f t="shared" si="651"/>
        <v>IMPGSCP35</v>
      </c>
      <c r="F146" s="9" t="str">
        <f>CONCATENATE("Imported ",VLOOKUP($A146,Types!$A$2:$C$13,3,FALSE),", PADD ",D146,", Step ",RIGHT(C146,1))</f>
        <v>Imported Conventional Gasoline, PADD 3, Step 5</v>
      </c>
      <c r="G146" s="9" t="str">
        <f>CONCATENATE(VLOOKUP($A146,Types!$A$2:$C$13,2,FALSE),"P",D146)</f>
        <v>GSCP3</v>
      </c>
      <c r="H146" s="66">
        <f>H142*$C$9</f>
        <v>85.900100000000023</v>
      </c>
      <c r="I146" s="66">
        <f t="shared" ref="I146:K146" si="703">I142*$C$9</f>
        <v>71.213999999999999</v>
      </c>
      <c r="J146" s="66">
        <f t="shared" si="703"/>
        <v>55.991</v>
      </c>
      <c r="K146" s="66">
        <f t="shared" si="703"/>
        <v>60.645000000000003</v>
      </c>
      <c r="L146" s="67">
        <f>H146*Conv!$J$20/10^6/VLOOKUP($B146,Types!$B$2:$D$13,3,FALSE)/Conv!$I$5</f>
        <v>23.78341170498831</v>
      </c>
      <c r="M146" s="67">
        <f>I146*Conv!$J$20/10^6/VLOOKUP($B146,Types!$B$2:$D$13,3,FALSE)/Conv!$I$5</f>
        <v>19.717228282144461</v>
      </c>
      <c r="N146" s="67" t="e">
        <f>M146*#REF!</f>
        <v>#REF!</v>
      </c>
      <c r="O146" s="67" t="e">
        <f>N146*#REF!</f>
        <v>#REF!</v>
      </c>
      <c r="P146" s="67" t="e">
        <f>O146*#REF!</f>
        <v>#REF!</v>
      </c>
      <c r="Q146" s="67" t="e">
        <f>P146*#REF!</f>
        <v>#REF!</v>
      </c>
      <c r="R146" s="67" t="e">
        <f>Q146*#REF!</f>
        <v>#REF!</v>
      </c>
      <c r="S146" s="67" t="e">
        <f>R146*#REF!</f>
        <v>#REF!</v>
      </c>
      <c r="T146" s="67" t="e">
        <f>S146*#REF!</f>
        <v>#REF!</v>
      </c>
      <c r="U146" s="67" t="e">
        <f>T146*#REF!</f>
        <v>#REF!</v>
      </c>
      <c r="V146" s="67" t="e">
        <f>U146*#REF!</f>
        <v>#REF!</v>
      </c>
      <c r="W146" s="42"/>
      <c r="X146" s="9">
        <f>X142*$E$9</f>
        <v>64.540000000000006</v>
      </c>
      <c r="Y146" s="9">
        <f t="shared" ref="Y146:AA146" si="704">Y142*$E$9</f>
        <v>57.12</v>
      </c>
      <c r="Z146" s="9">
        <f t="shared" si="704"/>
        <v>61.52</v>
      </c>
      <c r="AA146" s="9">
        <f t="shared" si="704"/>
        <v>66.28</v>
      </c>
      <c r="AB146" s="42">
        <f>X146*VLOOKUP($B146,Types!$B$2:$D$13,3,FALSE)*Conv!$I$5*1000*365</f>
        <v>130.55837559149282</v>
      </c>
      <c r="AC146" s="42">
        <f>Y146*VLOOKUP($B146,Types!$B$2:$D$13,3,FALSE)*Conv!$I$5*1000*365</f>
        <v>115.54841050179837</v>
      </c>
      <c r="AD146" s="42">
        <f>Z146*VLOOKUP($B146,Types!$B$2:$D$13,3,FALSE)*Conv!$I$5*1000*365</f>
        <v>124.44919842560641</v>
      </c>
      <c r="AE146" s="42">
        <f>AA146*VLOOKUP($B146,Types!$B$2:$D$13,3,FALSE)*Conv!$I$5*1000*365</f>
        <v>134.0782326340896</v>
      </c>
      <c r="AF146" s="42">
        <f>AB146-AB145</f>
        <v>52.223350236597128</v>
      </c>
      <c r="AG146" s="42">
        <f t="shared" ref="AG146" si="705">AC146-AC145</f>
        <v>46.21936420071934</v>
      </c>
      <c r="AH146" s="42">
        <f t="shared" ref="AH146" si="706">AD146-AD145</f>
        <v>49.77967937024259</v>
      </c>
      <c r="AI146" s="42">
        <f t="shared" ref="AI146" si="707">AE146-AE145</f>
        <v>53.631293053635858</v>
      </c>
      <c r="AJ146" s="42"/>
      <c r="AK146" s="42"/>
      <c r="AL146" s="42"/>
    </row>
    <row r="147" spans="1:38">
      <c r="A147" s="9" t="str">
        <f>'Agg prdcrv'!$A$8</f>
        <v>Heating No. 2</v>
      </c>
      <c r="B147" s="9" t="str">
        <f>VLOOKUP($A147,Types!$A$2:$C$13,2,FALSE)</f>
        <v>DSH</v>
      </c>
      <c r="C147" s="9">
        <v>3</v>
      </c>
      <c r="D147" s="9">
        <v>3</v>
      </c>
      <c r="E147" s="9" t="str">
        <f t="shared" si="651"/>
        <v>IMPDSHP33</v>
      </c>
      <c r="F147" s="9" t="str">
        <f>CONCATENATE("Imported ",VLOOKUP($A147,Types!$A$2:$C$13,3,FALSE),", PADD ",D147,", Step ",RIGHT(C147,1))</f>
        <v>Imported Distillate-Heating Oil No. 2, PADD 3, Step 3</v>
      </c>
      <c r="G147" s="9" t="str">
        <f>CONCATENATE(VLOOKUP($A147,Types!$A$2:$C$13,2,FALSE),"P",D147)</f>
        <v>DSHP3</v>
      </c>
      <c r="H147" s="66">
        <f>SUMIFS('Agg prdcrv'!$N$6:$N$100,'Agg prdcrv'!$A$6:$A$100,'Imp Refined'!$A147,'Agg prdcrv'!$B$6:$B$100,H$11)*K4</f>
        <v>56.231999999999999</v>
      </c>
      <c r="I147" s="66">
        <f>SUMIFS('Agg prdcrv'!$N$6:$N$100,'Agg prdcrv'!$A$6:$A$100,'Imp Refined'!$A147,'Agg prdcrv'!$B$6:$B$100,I$11)*K4</f>
        <v>53.537000000000006</v>
      </c>
      <c r="J147" s="66">
        <f t="array" ref="J147">SUMIFS('Agg prdcrv'!$N$6:$N$100,'Agg prdcrv'!$A$6:$A$100,'Imp Refined'!$A147,'Agg prdcrv'!$B$6:$B$100,J$11)</f>
        <v>37.409999999999997</v>
      </c>
      <c r="K147" s="66">
        <f t="array" ref="K147">SUMIFS('Agg prdcrv'!$N$6:$N$100,'Agg prdcrv'!$A$6:$A$100,'Imp Refined'!$A147,'Agg prdcrv'!$B$6:$B$100,K$11)</f>
        <v>41.05</v>
      </c>
      <c r="L147" s="67">
        <f>H147*Conv!$J$20/10^6/VLOOKUP($B147,Types!$B$2:$D$13,3,FALSE)/Conv!$I$5</f>
        <v>14.040270850297935</v>
      </c>
      <c r="M147" s="67">
        <f>I147*Conv!$J$20/10^6/VLOOKUP($B147,Types!$B$2:$D$13,3,FALSE)/Conv!$I$5</f>
        <v>13.367370545461673</v>
      </c>
      <c r="N147" s="67" t="e">
        <f>M147*#REF!</f>
        <v>#REF!</v>
      </c>
      <c r="O147" s="67" t="e">
        <f>N147*#REF!</f>
        <v>#REF!</v>
      </c>
      <c r="P147" s="67" t="e">
        <f>O147*#REF!</f>
        <v>#REF!</v>
      </c>
      <c r="Q147" s="67" t="e">
        <f>P147*#REF!</f>
        <v>#REF!</v>
      </c>
      <c r="R147" s="67" t="e">
        <f>Q147*#REF!</f>
        <v>#REF!</v>
      </c>
      <c r="S147" s="67" t="e">
        <f>R147*#REF!</f>
        <v>#REF!</v>
      </c>
      <c r="T147" s="67" t="e">
        <f>S147*#REF!</f>
        <v>#REF!</v>
      </c>
      <c r="U147" s="67" t="e">
        <f>T147*#REF!</f>
        <v>#REF!</v>
      </c>
      <c r="V147" s="67" t="e">
        <f>U147*#REF!</f>
        <v>#REF!</v>
      </c>
      <c r="W147" s="42"/>
      <c r="X147" s="9">
        <f t="array" ref="X147">SUMIFS('Agg prdcrv'!$F$6:$F$100,'Agg prdcrv'!$A$6:$A$100,'Imp Refined'!$A147,'Agg prdcrv'!$B$6:$B$100,X$11)</f>
        <v>7.88</v>
      </c>
      <c r="Y147" s="9">
        <f t="array" ref="Y147">SUMIFS('Agg prdcrv'!$F$6:$F$100,'Agg prdcrv'!$A$6:$A$100,'Imp Refined'!$A147,'Agg prdcrv'!$B$6:$B$100,Y$11)</f>
        <v>8.23</v>
      </c>
      <c r="Z147" s="9">
        <f t="array" ref="Z147">SUMIFS('Agg prdcrv'!$F$6:$F$100,'Agg prdcrv'!$A$6:$A$100,'Imp Refined'!$A147,'Agg prdcrv'!$B$6:$B$100,Z$11)</f>
        <v>9.08</v>
      </c>
      <c r="AA147" s="9">
        <f t="array" ref="AA147">SUMIFS('Agg prdcrv'!$F$6:$F$100,'Agg prdcrv'!$A$6:$A$100,'Imp Refined'!$A147,'Agg prdcrv'!$B$6:$B$100,AA$11)</f>
        <v>10.029999999999999</v>
      </c>
      <c r="AB147" s="42">
        <f>X147*VLOOKUP($B147,Types!$B$2:$D$13,3,FALSE)*Conv!$I$5*1000*365</f>
        <v>17.676265791439999</v>
      </c>
      <c r="AC147" s="42">
        <f>Y147*VLOOKUP($B147,Types!$B$2:$D$13,3,FALSE)*Conv!$I$5*1000*365</f>
        <v>18.461379119739998</v>
      </c>
      <c r="AD147" s="42">
        <f>Z147*VLOOKUP($B147,Types!$B$2:$D$13,3,FALSE)*Conv!$I$5*1000*365</f>
        <v>20.368082917040002</v>
      </c>
      <c r="AE147" s="42">
        <f>AA147*VLOOKUP($B147,Types!$B$2:$D$13,3,FALSE)*Conv!$I$5*1000*365</f>
        <v>22.499104808139997</v>
      </c>
      <c r="AF147" s="42">
        <f>AB147-AB149</f>
        <v>1.767626579144002</v>
      </c>
      <c r="AG147" s="42">
        <f t="shared" ref="AG147" si="708">AC147-AC149</f>
        <v>1.8461379119739973</v>
      </c>
      <c r="AH147" s="42">
        <f t="shared" ref="AH147" si="709">AD147-AD149</f>
        <v>2.036808291704002</v>
      </c>
      <c r="AI147" s="42">
        <f t="shared" ref="AI147" si="710">AE147-AE149</f>
        <v>2.2499104808140018</v>
      </c>
      <c r="AJ147" s="42"/>
      <c r="AK147" s="42"/>
      <c r="AL147" s="42"/>
    </row>
    <row r="148" spans="1:38">
      <c r="A148" s="9" t="str">
        <f>A147</f>
        <v>Heating No. 2</v>
      </c>
      <c r="B148" s="9" t="str">
        <f>VLOOKUP($A148,Types!$A$2:$C$13,2,FALSE)</f>
        <v>DSH</v>
      </c>
      <c r="C148" s="9">
        <v>1</v>
      </c>
      <c r="D148" s="9">
        <v>3</v>
      </c>
      <c r="E148" s="9" t="str">
        <f t="shared" si="651"/>
        <v>IMPDSHP31</v>
      </c>
      <c r="F148" s="9" t="str">
        <f>CONCATENATE("Imported ",VLOOKUP($A148,Types!$A$2:$C$13,3,FALSE),", PADD ",D148,", Step ",RIGHT(C148,1))</f>
        <v>Imported Distillate-Heating Oil No. 2, PADD 3, Step 1</v>
      </c>
      <c r="G148" s="9" t="str">
        <f>CONCATENATE(VLOOKUP($A148,Types!$A$2:$C$13,2,FALSE),"P",D148)</f>
        <v>DSHP3</v>
      </c>
      <c r="H148" s="66">
        <f>H147*$C$5</f>
        <v>53.420399999999994</v>
      </c>
      <c r="I148" s="66">
        <f t="shared" ref="I148" si="711">I147*$C$5</f>
        <v>50.860150000000004</v>
      </c>
      <c r="J148" s="66">
        <f t="shared" ref="J148" si="712">J147*$C$5</f>
        <v>35.539499999999997</v>
      </c>
      <c r="K148" s="66">
        <f t="shared" ref="K148" si="713">K147*$C$5</f>
        <v>38.997499999999995</v>
      </c>
      <c r="L148" s="67">
        <f>H148*Conv!$J$20/10^6/VLOOKUP($B148,Types!$B$2:$D$13,3,FALSE)/Conv!$I$5</f>
        <v>13.338257307783039</v>
      </c>
      <c r="M148" s="67">
        <f>I148*Conv!$J$20/10^6/VLOOKUP($B148,Types!$B$2:$D$13,3,FALSE)/Conv!$I$5</f>
        <v>12.699002018188589</v>
      </c>
      <c r="N148" s="67" t="e">
        <f>M148*#REF!</f>
        <v>#REF!</v>
      </c>
      <c r="O148" s="67" t="e">
        <f>N148*#REF!</f>
        <v>#REF!</v>
      </c>
      <c r="P148" s="67" t="e">
        <f>O148*#REF!</f>
        <v>#REF!</v>
      </c>
      <c r="Q148" s="67" t="e">
        <f>P148*#REF!</f>
        <v>#REF!</v>
      </c>
      <c r="R148" s="67" t="e">
        <f>Q148*#REF!</f>
        <v>#REF!</v>
      </c>
      <c r="S148" s="67" t="e">
        <f>R148*#REF!</f>
        <v>#REF!</v>
      </c>
      <c r="T148" s="67" t="e">
        <f>S148*#REF!</f>
        <v>#REF!</v>
      </c>
      <c r="U148" s="67" t="e">
        <f>T148*#REF!</f>
        <v>#REF!</v>
      </c>
      <c r="V148" s="67" t="e">
        <f>U148*#REF!</f>
        <v>#REF!</v>
      </c>
      <c r="W148" s="42"/>
      <c r="X148" s="9">
        <f>X147*$E$5</f>
        <v>6.3040000000000003</v>
      </c>
      <c r="Y148" s="9">
        <f t="shared" ref="Y148" si="714">Y147*$E$5</f>
        <v>6.5840000000000005</v>
      </c>
      <c r="Z148" s="9">
        <f t="shared" ref="Z148" si="715">Z147*$E$5</f>
        <v>7.2640000000000002</v>
      </c>
      <c r="AA148" s="9">
        <f t="shared" ref="AA148" si="716">AA147*$E$5</f>
        <v>8.0239999999999991</v>
      </c>
      <c r="AB148" s="42">
        <f>X148*VLOOKUP($B148,Types!$B$2:$D$13,3,FALSE)*Conv!$I$5*1000*365</f>
        <v>14.141012633152</v>
      </c>
      <c r="AC148" s="42">
        <f>Y148*VLOOKUP($B148,Types!$B$2:$D$13,3,FALSE)*Conv!$I$5*1000*365</f>
        <v>14.769103295791998</v>
      </c>
      <c r="AD148" s="42">
        <f>Z148*VLOOKUP($B148,Types!$B$2:$D$13,3,FALSE)*Conv!$I$5*1000*365</f>
        <v>16.294466333631998</v>
      </c>
      <c r="AE148" s="42">
        <f>AA148*VLOOKUP($B148,Types!$B$2:$D$13,3,FALSE)*Conv!$I$5*1000*365</f>
        <v>17.999283846511997</v>
      </c>
      <c r="AF148" s="42">
        <f>AB148</f>
        <v>14.141012633152</v>
      </c>
      <c r="AG148" s="42">
        <f t="shared" ref="AG148" si="717">AC148</f>
        <v>14.769103295791998</v>
      </c>
      <c r="AH148" s="42">
        <f t="shared" ref="AH148" si="718">AD148</f>
        <v>16.294466333631998</v>
      </c>
      <c r="AI148" s="42">
        <f t="shared" ref="AI148" si="719">AE148</f>
        <v>17.999283846511997</v>
      </c>
      <c r="AJ148" s="42"/>
      <c r="AK148" s="42"/>
      <c r="AL148" s="42"/>
    </row>
    <row r="149" spans="1:38">
      <c r="A149" s="9" t="str">
        <f t="shared" ref="A149:A151" si="720">A148</f>
        <v>Heating No. 2</v>
      </c>
      <c r="B149" s="9" t="str">
        <f>VLOOKUP($A149,Types!$A$2:$C$13,2,FALSE)</f>
        <v>DSH</v>
      </c>
      <c r="C149" s="9">
        <v>2</v>
      </c>
      <c r="D149" s="9">
        <v>3</v>
      </c>
      <c r="E149" s="9" t="str">
        <f t="shared" si="651"/>
        <v>IMPDSHP32</v>
      </c>
      <c r="F149" s="9" t="str">
        <f>CONCATENATE("Imported ",VLOOKUP($A149,Types!$A$2:$C$13,3,FALSE),", PADD ",D149,", Step ",RIGHT(C149,1))</f>
        <v>Imported Distillate-Heating Oil No. 2, PADD 3, Step 2</v>
      </c>
      <c r="G149" s="9" t="str">
        <f>CONCATENATE(VLOOKUP($A149,Types!$A$2:$C$13,2,FALSE),"P",D149)</f>
        <v>DSHP3</v>
      </c>
      <c r="H149" s="66">
        <f>H147*$C$6</f>
        <v>55.10736</v>
      </c>
      <c r="I149" s="66">
        <f t="shared" ref="I149:K149" si="721">I147*$C$6</f>
        <v>52.466260000000005</v>
      </c>
      <c r="J149" s="66">
        <f t="shared" si="721"/>
        <v>36.661799999999999</v>
      </c>
      <c r="K149" s="66">
        <f t="shared" si="721"/>
        <v>40.228999999999999</v>
      </c>
      <c r="L149" s="67">
        <f>H149*Conv!$J$20/10^6/VLOOKUP($B149,Types!$B$2:$D$13,3,FALSE)/Conv!$I$5</f>
        <v>13.759465433291979</v>
      </c>
      <c r="M149" s="67">
        <f>I149*Conv!$J$20/10^6/VLOOKUP($B149,Types!$B$2:$D$13,3,FALSE)/Conv!$I$5</f>
        <v>13.100023134552437</v>
      </c>
      <c r="N149" s="67" t="e">
        <f>M149*#REF!</f>
        <v>#REF!</v>
      </c>
      <c r="O149" s="67" t="e">
        <f>N149*#REF!</f>
        <v>#REF!</v>
      </c>
      <c r="P149" s="67" t="e">
        <f>O149*#REF!</f>
        <v>#REF!</v>
      </c>
      <c r="Q149" s="67" t="e">
        <f>P149*#REF!</f>
        <v>#REF!</v>
      </c>
      <c r="R149" s="67" t="e">
        <f>Q149*#REF!</f>
        <v>#REF!</v>
      </c>
      <c r="S149" s="67" t="e">
        <f>R149*#REF!</f>
        <v>#REF!</v>
      </c>
      <c r="T149" s="67" t="e">
        <f>S149*#REF!</f>
        <v>#REF!</v>
      </c>
      <c r="U149" s="67" t="e">
        <f>T149*#REF!</f>
        <v>#REF!</v>
      </c>
      <c r="V149" s="67" t="e">
        <f>U149*#REF!</f>
        <v>#REF!</v>
      </c>
      <c r="W149" s="42"/>
      <c r="X149" s="9">
        <f>X147*$E$6</f>
        <v>7.0919999999999996</v>
      </c>
      <c r="Y149" s="9">
        <f t="shared" ref="Y149:AA149" si="722">Y147*$E$6</f>
        <v>7.4070000000000009</v>
      </c>
      <c r="Z149" s="9">
        <f t="shared" si="722"/>
        <v>8.1720000000000006</v>
      </c>
      <c r="AA149" s="9">
        <f t="shared" si="722"/>
        <v>9.0269999999999992</v>
      </c>
      <c r="AB149" s="42">
        <f>X149*VLOOKUP($B149,Types!$B$2:$D$13,3,FALSE)*Conv!$I$5*1000*365</f>
        <v>15.908639212295997</v>
      </c>
      <c r="AC149" s="42">
        <f>Y149*VLOOKUP($B149,Types!$B$2:$D$13,3,FALSE)*Conv!$I$5*1000*365</f>
        <v>16.615241207766001</v>
      </c>
      <c r="AD149" s="42">
        <f>Z149*VLOOKUP($B149,Types!$B$2:$D$13,3,FALSE)*Conv!$I$5*1000*365</f>
        <v>18.331274625336</v>
      </c>
      <c r="AE149" s="42">
        <f>AA149*VLOOKUP($B149,Types!$B$2:$D$13,3,FALSE)*Conv!$I$5*1000*365</f>
        <v>20.249194327325995</v>
      </c>
      <c r="AF149" s="42">
        <f>AB149-AF148</f>
        <v>1.7676265791439967</v>
      </c>
      <c r="AG149" s="42">
        <f t="shared" ref="AG149" si="723">AC149-AG148</f>
        <v>1.8461379119740027</v>
      </c>
      <c r="AH149" s="42">
        <f t="shared" ref="AH149" si="724">AD149-AH148</f>
        <v>2.036808291704002</v>
      </c>
      <c r="AI149" s="42">
        <f t="shared" ref="AI149" si="725">AE149-AI148</f>
        <v>2.2499104808139982</v>
      </c>
      <c r="AJ149" s="42"/>
      <c r="AK149" s="42"/>
      <c r="AL149" s="42"/>
    </row>
    <row r="150" spans="1:38">
      <c r="A150" s="9" t="str">
        <f t="shared" si="720"/>
        <v>Heating No. 2</v>
      </c>
      <c r="B150" s="9" t="str">
        <f>VLOOKUP($A150,Types!$A$2:$C$13,2,FALSE)</f>
        <v>DSH</v>
      </c>
      <c r="C150" s="9">
        <v>4</v>
      </c>
      <c r="D150" s="9">
        <v>3</v>
      </c>
      <c r="E150" s="9" t="str">
        <f t="shared" si="651"/>
        <v>IMPDSHP34</v>
      </c>
      <c r="F150" s="9" t="str">
        <f>CONCATENATE("Imported ",VLOOKUP($A150,Types!$A$2:$C$13,3,FALSE),", PADD ",D150,", Step ",RIGHT(C150,1))</f>
        <v>Imported Distillate-Heating Oil No. 2, PADD 3, Step 4</v>
      </c>
      <c r="G150" s="9" t="str">
        <f>CONCATENATE(VLOOKUP($A150,Types!$A$2:$C$13,2,FALSE),"P",D150)</f>
        <v>DSHP3</v>
      </c>
      <c r="H150" s="66">
        <f>H147*$C$8</f>
        <v>61.292880000000004</v>
      </c>
      <c r="I150" s="66">
        <f t="shared" ref="I150:K150" si="726">I147*$C$8</f>
        <v>58.355330000000009</v>
      </c>
      <c r="J150" s="66">
        <f t="shared" si="726"/>
        <v>40.776899999999998</v>
      </c>
      <c r="K150" s="66">
        <f t="shared" si="726"/>
        <v>44.744500000000002</v>
      </c>
      <c r="L150" s="67">
        <f>H150*Conv!$J$20/10^6/VLOOKUP($B150,Types!$B$2:$D$13,3,FALSE)/Conv!$I$5</f>
        <v>15.303895226824753</v>
      </c>
      <c r="M150" s="67">
        <f>I150*Conv!$J$20/10^6/VLOOKUP($B150,Types!$B$2:$D$13,3,FALSE)/Conv!$I$5</f>
        <v>14.570433894553224</v>
      </c>
      <c r="N150" s="67" t="e">
        <f>M150*#REF!</f>
        <v>#REF!</v>
      </c>
      <c r="O150" s="67" t="e">
        <f>N150*#REF!</f>
        <v>#REF!</v>
      </c>
      <c r="P150" s="67" t="e">
        <f>O150*#REF!</f>
        <v>#REF!</v>
      </c>
      <c r="Q150" s="67" t="e">
        <f>P150*#REF!</f>
        <v>#REF!</v>
      </c>
      <c r="R150" s="67" t="e">
        <f>Q150*#REF!</f>
        <v>#REF!</v>
      </c>
      <c r="S150" s="67" t="e">
        <f>R150*#REF!</f>
        <v>#REF!</v>
      </c>
      <c r="T150" s="67" t="e">
        <f>S150*#REF!</f>
        <v>#REF!</v>
      </c>
      <c r="U150" s="67" t="e">
        <f>T150*#REF!</f>
        <v>#REF!</v>
      </c>
      <c r="V150" s="67" t="e">
        <f>U150*#REF!</f>
        <v>#REF!</v>
      </c>
      <c r="W150" s="42"/>
      <c r="X150" s="9">
        <f>X147*$E$8</f>
        <v>9.4559999999999995</v>
      </c>
      <c r="Y150" s="9">
        <f t="shared" ref="Y150:AA150" si="727">Y147*$E$8</f>
        <v>9.8759999999999994</v>
      </c>
      <c r="Z150" s="9">
        <f t="shared" si="727"/>
        <v>10.895999999999999</v>
      </c>
      <c r="AA150" s="9">
        <f t="shared" si="727"/>
        <v>12.036</v>
      </c>
      <c r="AB150" s="42">
        <f>X150*VLOOKUP($B150,Types!$B$2:$D$13,3,FALSE)*Conv!$I$5*1000*365</f>
        <v>21.211518949727996</v>
      </c>
      <c r="AC150" s="42">
        <f>Y150*VLOOKUP($B150,Types!$B$2:$D$13,3,FALSE)*Conv!$I$5*1000*365</f>
        <v>22.153654943687997</v>
      </c>
      <c r="AD150" s="42">
        <f>Z150*VLOOKUP($B150,Types!$B$2:$D$13,3,FALSE)*Conv!$I$5*1000*365</f>
        <v>24.441699500447996</v>
      </c>
      <c r="AE150" s="42">
        <f>AA150*VLOOKUP($B150,Types!$B$2:$D$13,3,FALSE)*Conv!$I$5*1000*365</f>
        <v>26.998925769768</v>
      </c>
      <c r="AF150" s="42">
        <f>AB150-AB147</f>
        <v>3.5352531582879969</v>
      </c>
      <c r="AG150" s="42">
        <f t="shared" ref="AG150" si="728">AC150-AC147</f>
        <v>3.6922758239479982</v>
      </c>
      <c r="AH150" s="42">
        <f t="shared" ref="AH150" si="729">AD150-AD147</f>
        <v>4.0736165834079934</v>
      </c>
      <c r="AI150" s="42">
        <f t="shared" ref="AI150" si="730">AE150-AE147</f>
        <v>4.4998209616280036</v>
      </c>
      <c r="AJ150" s="42"/>
      <c r="AK150" s="42"/>
      <c r="AL150" s="42"/>
    </row>
    <row r="151" spans="1:38">
      <c r="A151" s="9" t="str">
        <f t="shared" si="720"/>
        <v>Heating No. 2</v>
      </c>
      <c r="B151" s="9" t="str">
        <f>VLOOKUP($A151,Types!$A$2:$C$13,2,FALSE)</f>
        <v>DSH</v>
      </c>
      <c r="C151" s="9">
        <v>5</v>
      </c>
      <c r="D151" s="9">
        <v>3</v>
      </c>
      <c r="E151" s="9" t="str">
        <f t="shared" si="651"/>
        <v>IMPDSHP35</v>
      </c>
      <c r="F151" s="9" t="str">
        <f>CONCATENATE("Imported ",VLOOKUP($A151,Types!$A$2:$C$13,3,FALSE),", PADD ",D151,", Step ",RIGHT(C151,1))</f>
        <v>Imported Distillate-Heating Oil No. 2, PADD 3, Step 5</v>
      </c>
      <c r="G151" s="9" t="str">
        <f>CONCATENATE(VLOOKUP($A151,Types!$A$2:$C$13,2,FALSE),"P",D151)</f>
        <v>DSHP3</v>
      </c>
      <c r="H151" s="66">
        <f>H147*$C$9</f>
        <v>73.101600000000005</v>
      </c>
      <c r="I151" s="66">
        <f t="shared" ref="I151:K151" si="731">I147*$C$9</f>
        <v>69.598100000000017</v>
      </c>
      <c r="J151" s="66">
        <f t="shared" si="731"/>
        <v>48.632999999999996</v>
      </c>
      <c r="K151" s="66">
        <f t="shared" si="731"/>
        <v>53.364999999999995</v>
      </c>
      <c r="L151" s="67">
        <f>H151*Conv!$J$20/10^6/VLOOKUP($B151,Types!$B$2:$D$13,3,FALSE)/Conv!$I$5</f>
        <v>18.25235210538732</v>
      </c>
      <c r="M151" s="67">
        <f>I151*Conv!$J$20/10^6/VLOOKUP($B151,Types!$B$2:$D$13,3,FALSE)/Conv!$I$5</f>
        <v>17.377581709100177</v>
      </c>
      <c r="N151" s="67" t="e">
        <f>M151*#REF!</f>
        <v>#REF!</v>
      </c>
      <c r="O151" s="67" t="e">
        <f>N151*#REF!</f>
        <v>#REF!</v>
      </c>
      <c r="P151" s="67" t="e">
        <f>O151*#REF!</f>
        <v>#REF!</v>
      </c>
      <c r="Q151" s="67" t="e">
        <f>P151*#REF!</f>
        <v>#REF!</v>
      </c>
      <c r="R151" s="67" t="e">
        <f>Q151*#REF!</f>
        <v>#REF!</v>
      </c>
      <c r="S151" s="67" t="e">
        <f>R151*#REF!</f>
        <v>#REF!</v>
      </c>
      <c r="T151" s="67" t="e">
        <f>S151*#REF!</f>
        <v>#REF!</v>
      </c>
      <c r="U151" s="67" t="e">
        <f>T151*#REF!</f>
        <v>#REF!</v>
      </c>
      <c r="V151" s="67" t="e">
        <f>U151*#REF!</f>
        <v>#REF!</v>
      </c>
      <c r="W151" s="42"/>
      <c r="X151" s="9">
        <f>X147*$E$9</f>
        <v>15.76</v>
      </c>
      <c r="Y151" s="9">
        <f t="shared" ref="Y151:AA151" si="732">Y147*$E$9</f>
        <v>16.46</v>
      </c>
      <c r="Z151" s="9">
        <f t="shared" si="732"/>
        <v>18.16</v>
      </c>
      <c r="AA151" s="9">
        <f t="shared" si="732"/>
        <v>20.059999999999999</v>
      </c>
      <c r="AB151" s="42">
        <f>X151*VLOOKUP($B151,Types!$B$2:$D$13,3,FALSE)*Conv!$I$5*1000*365</f>
        <v>35.352531582879998</v>
      </c>
      <c r="AC151" s="42">
        <f>Y151*VLOOKUP($B151,Types!$B$2:$D$13,3,FALSE)*Conv!$I$5*1000*365</f>
        <v>36.922758239479997</v>
      </c>
      <c r="AD151" s="42">
        <f>Z151*VLOOKUP($B151,Types!$B$2:$D$13,3,FALSE)*Conv!$I$5*1000*365</f>
        <v>40.736165834080005</v>
      </c>
      <c r="AE151" s="42">
        <f>AA151*VLOOKUP($B151,Types!$B$2:$D$13,3,FALSE)*Conv!$I$5*1000*365</f>
        <v>44.998209616279993</v>
      </c>
      <c r="AF151" s="42">
        <f>AB151-AB150</f>
        <v>14.141012633152002</v>
      </c>
      <c r="AG151" s="42">
        <f t="shared" ref="AG151" si="733">AC151-AC150</f>
        <v>14.769103295792</v>
      </c>
      <c r="AH151" s="42">
        <f t="shared" ref="AH151" si="734">AD151-AD150</f>
        <v>16.294466333632009</v>
      </c>
      <c r="AI151" s="42">
        <f t="shared" ref="AI151" si="735">AE151-AE150</f>
        <v>17.999283846511993</v>
      </c>
      <c r="AJ151" s="42"/>
      <c r="AK151" s="42"/>
      <c r="AL151" s="42"/>
    </row>
    <row r="152" spans="1:38">
      <c r="A152" s="9" t="str">
        <f>'Agg prdcrv'!$A$9</f>
        <v>LS Diesel (500 ppm)</v>
      </c>
      <c r="B152" s="9" t="str">
        <f>VLOOKUP($A152,Types!$A$2:$C$13,2,FALSE)</f>
        <v>DSL</v>
      </c>
      <c r="C152" s="9">
        <v>3</v>
      </c>
      <c r="D152" s="9">
        <v>3</v>
      </c>
      <c r="E152" s="9" t="str">
        <f t="shared" si="651"/>
        <v>IMPDSLP33</v>
      </c>
      <c r="F152" s="9" t="str">
        <f>CONCATENATE("Imported ",VLOOKUP($A152,Types!$A$2:$C$13,3,FALSE),", PADD ",D152,", Step ",RIGHT(C152,1))</f>
        <v>Imported Distillate-Low Sulfur Highway Diesel (500 ppm), PADD 3, Step 3</v>
      </c>
      <c r="G152" s="9" t="str">
        <f>CONCATENATE(VLOOKUP($A152,Types!$A$2:$C$13,2,FALSE),"P",D152)</f>
        <v>DSLP3</v>
      </c>
      <c r="H152" s="66">
        <f>SUMIFS('Agg prdcrv'!$N$6:$N$100,'Agg prdcrv'!$A$6:$A$100,'Imp Refined'!$A152,'Agg prdcrv'!$B$6:$B$100,H$11)*K4</f>
        <v>55.979000000000006</v>
      </c>
      <c r="I152" s="66">
        <f>SUMIFS('Agg prdcrv'!$N$6:$N$100,'Agg prdcrv'!$A$6:$A$100,'Imp Refined'!$A152,'Agg prdcrv'!$B$6:$B$100,I$11)*K4</f>
        <v>49.401000000000003</v>
      </c>
      <c r="J152" s="66">
        <f t="array" ref="J152">SUMIFS('Agg prdcrv'!$N$6:$N$100,'Agg prdcrv'!$A$6:$A$100,'Imp Refined'!$A152,'Agg prdcrv'!$B$6:$B$100,J$11)</f>
        <v>113.56</v>
      </c>
      <c r="K152" s="66">
        <f t="array" ref="K152">SUMIFS('Agg prdcrv'!$N$6:$N$100,'Agg prdcrv'!$A$6:$A$100,'Imp Refined'!$A152,'Agg prdcrv'!$B$6:$B$100,K$11)</f>
        <v>113.56</v>
      </c>
      <c r="L152" s="67">
        <f>H152*Conv!$J$20/10^6/VLOOKUP($B152,Types!$B$2:$D$13,3,FALSE)/Conv!$I$5</f>
        <v>13.977100617599024</v>
      </c>
      <c r="M152" s="67">
        <f>I152*Conv!$J$20/10^6/VLOOKUP($B152,Types!$B$2:$D$13,3,FALSE)/Conv!$I$5</f>
        <v>12.334674567427236</v>
      </c>
      <c r="N152" s="67" t="e">
        <f>M152*#REF!</f>
        <v>#REF!</v>
      </c>
      <c r="O152" s="67" t="e">
        <f>N152*#REF!</f>
        <v>#REF!</v>
      </c>
      <c r="P152" s="67" t="e">
        <f>O152*#REF!</f>
        <v>#REF!</v>
      </c>
      <c r="Q152" s="67" t="e">
        <f>P152*#REF!</f>
        <v>#REF!</v>
      </c>
      <c r="R152" s="67" t="e">
        <f>Q152*#REF!</f>
        <v>#REF!</v>
      </c>
      <c r="S152" s="67" t="e">
        <f>R152*#REF!</f>
        <v>#REF!</v>
      </c>
      <c r="T152" s="67" t="e">
        <f>S152*#REF!</f>
        <v>#REF!</v>
      </c>
      <c r="U152" s="67" t="e">
        <f>T152*#REF!</f>
        <v>#REF!</v>
      </c>
      <c r="V152" s="67" t="e">
        <f>U152*#REF!</f>
        <v>#REF!</v>
      </c>
      <c r="W152" s="42"/>
      <c r="X152" s="9">
        <f t="array" ref="X152">SUMIFS('Agg prdcrv'!$F$6:$F$100,'Agg prdcrv'!$A$6:$A$100,'Imp Refined'!$A152,'Agg prdcrv'!$B$6:$B$100,X$11)</f>
        <v>8.2799999999999994</v>
      </c>
      <c r="Y152" s="9">
        <f t="array" ref="Y152">SUMIFS('Agg prdcrv'!$F$6:$F$100,'Agg prdcrv'!$A$6:$A$100,'Imp Refined'!$A152,'Agg prdcrv'!$B$6:$B$100,Y$11)</f>
        <v>1.77</v>
      </c>
      <c r="Z152" s="9">
        <f t="array" ref="Z152">SUMIFS('Agg prdcrv'!$F$6:$F$100,'Agg prdcrv'!$A$6:$A$100,'Imp Refined'!$A152,'Agg prdcrv'!$B$6:$B$100,Z$11)</f>
        <v>0.42</v>
      </c>
      <c r="AA152" s="9">
        <f t="array" ref="AA152">SUMIFS('Agg prdcrv'!$F$6:$F$100,'Agg prdcrv'!$A$6:$A$100,'Imp Refined'!$A152,'Agg prdcrv'!$B$6:$B$100,AA$11)</f>
        <v>0.1</v>
      </c>
      <c r="AB152" s="42">
        <f>X152*VLOOKUP($B152,Types!$B$2:$D$13,3,FALSE)*Conv!$I$5*1000*365</f>
        <v>18.573538166639995</v>
      </c>
      <c r="AC152" s="42">
        <f>Y152*VLOOKUP($B152,Types!$B$2:$D$13,3,FALSE)*Conv!$I$5*1000*365</f>
        <v>3.9704302602599992</v>
      </c>
      <c r="AD152" s="42">
        <f>Z152*VLOOKUP($B152,Types!$B$2:$D$13,3,FALSE)*Conv!$I$5*1000*365</f>
        <v>0.94213599395999981</v>
      </c>
      <c r="AE152" s="42">
        <f>AA152*VLOOKUP($B152,Types!$B$2:$D$13,3,FALSE)*Conv!$I$5*1000*365</f>
        <v>0.22431809379999995</v>
      </c>
      <c r="AF152" s="42">
        <f>AB152-AB154</f>
        <v>1.8573538166639985</v>
      </c>
      <c r="AG152" s="42">
        <f t="shared" ref="AG152" si="736">AC152-AC154</f>
        <v>0.39704302602599961</v>
      </c>
      <c r="AH152" s="42">
        <f t="shared" ref="AH152" si="737">AD152-AD154</f>
        <v>9.4213599396000047E-2</v>
      </c>
      <c r="AI152" s="42">
        <f t="shared" ref="AI152" si="738">AE152-AE154</f>
        <v>2.2431809379999945E-2</v>
      </c>
      <c r="AJ152" s="42"/>
      <c r="AK152" s="42"/>
      <c r="AL152" s="42"/>
    </row>
    <row r="153" spans="1:38">
      <c r="A153" s="9" t="str">
        <f>A152</f>
        <v>LS Diesel (500 ppm)</v>
      </c>
      <c r="B153" s="9" t="str">
        <f>VLOOKUP($A153,Types!$A$2:$C$13,2,FALSE)</f>
        <v>DSL</v>
      </c>
      <c r="C153" s="9">
        <v>1</v>
      </c>
      <c r="D153" s="9">
        <v>3</v>
      </c>
      <c r="E153" s="9" t="str">
        <f t="shared" si="651"/>
        <v>IMPDSLP31</v>
      </c>
      <c r="F153" s="9" t="str">
        <f>CONCATENATE("Imported ",VLOOKUP($A153,Types!$A$2:$C$13,3,FALSE),", PADD ",D153,", Step ",RIGHT(C153,1))</f>
        <v>Imported Distillate-Low Sulfur Highway Diesel (500 ppm), PADD 3, Step 1</v>
      </c>
      <c r="G153" s="9" t="str">
        <f>CONCATENATE(VLOOKUP($A153,Types!$A$2:$C$13,2,FALSE),"P",D153)</f>
        <v>DSLP3</v>
      </c>
      <c r="H153" s="66">
        <f>H152*$C$5</f>
        <v>53.180050000000001</v>
      </c>
      <c r="I153" s="66">
        <f t="shared" ref="I153" si="739">I152*$C$5</f>
        <v>46.930950000000003</v>
      </c>
      <c r="J153" s="66">
        <f t="shared" ref="J153" si="740">J152*$C$5</f>
        <v>107.88199999999999</v>
      </c>
      <c r="K153" s="66">
        <f t="shared" ref="K153" si="741">K152*$C$5</f>
        <v>107.88199999999999</v>
      </c>
      <c r="L153" s="67">
        <f>H153*Conv!$J$20/10^6/VLOOKUP($B153,Types!$B$2:$D$13,3,FALSE)/Conv!$I$5</f>
        <v>13.278245586719072</v>
      </c>
      <c r="M153" s="67">
        <f>I153*Conv!$J$20/10^6/VLOOKUP($B153,Types!$B$2:$D$13,3,FALSE)/Conv!$I$5</f>
        <v>11.717940839055876</v>
      </c>
      <c r="N153" s="67" t="e">
        <f>M153*#REF!</f>
        <v>#REF!</v>
      </c>
      <c r="O153" s="67" t="e">
        <f>N153*#REF!</f>
        <v>#REF!</v>
      </c>
      <c r="P153" s="67" t="e">
        <f>O153*#REF!</f>
        <v>#REF!</v>
      </c>
      <c r="Q153" s="67" t="e">
        <f>P153*#REF!</f>
        <v>#REF!</v>
      </c>
      <c r="R153" s="67" t="e">
        <f>Q153*#REF!</f>
        <v>#REF!</v>
      </c>
      <c r="S153" s="67" t="e">
        <f>R153*#REF!</f>
        <v>#REF!</v>
      </c>
      <c r="T153" s="67" t="e">
        <f>S153*#REF!</f>
        <v>#REF!</v>
      </c>
      <c r="U153" s="67" t="e">
        <f>T153*#REF!</f>
        <v>#REF!</v>
      </c>
      <c r="V153" s="67" t="e">
        <f>U153*#REF!</f>
        <v>#REF!</v>
      </c>
      <c r="W153" s="42"/>
      <c r="X153" s="9">
        <f>X152*$E$5</f>
        <v>6.6239999999999997</v>
      </c>
      <c r="Y153" s="9">
        <f t="shared" ref="Y153" si="742">Y152*$E$5</f>
        <v>1.4160000000000001</v>
      </c>
      <c r="Z153" s="9">
        <f t="shared" ref="Z153" si="743">Z152*$E$5</f>
        <v>0.33600000000000002</v>
      </c>
      <c r="AA153" s="9">
        <f t="shared" ref="AA153" si="744">AA152*$E$5</f>
        <v>8.0000000000000016E-2</v>
      </c>
      <c r="AB153" s="42">
        <f>X153*VLOOKUP($B153,Types!$B$2:$D$13,3,FALSE)*Conv!$I$5*1000*365</f>
        <v>14.858830533312</v>
      </c>
      <c r="AC153" s="42">
        <f>Y153*VLOOKUP($B153,Types!$B$2:$D$13,3,FALSE)*Conv!$I$5*1000*365</f>
        <v>3.176344208208</v>
      </c>
      <c r="AD153" s="42">
        <f>Z153*VLOOKUP($B153,Types!$B$2:$D$13,3,FALSE)*Conv!$I$5*1000*365</f>
        <v>0.75370879516800005</v>
      </c>
      <c r="AE153" s="42">
        <f>AA153*VLOOKUP($B153,Types!$B$2:$D$13,3,FALSE)*Conv!$I$5*1000*365</f>
        <v>0.17945447504000003</v>
      </c>
      <c r="AF153" s="42">
        <f>AB153</f>
        <v>14.858830533312</v>
      </c>
      <c r="AG153" s="42">
        <f t="shared" ref="AG153" si="745">AC153</f>
        <v>3.176344208208</v>
      </c>
      <c r="AH153" s="42">
        <f t="shared" ref="AH153" si="746">AD153</f>
        <v>0.75370879516800005</v>
      </c>
      <c r="AI153" s="42">
        <f t="shared" ref="AI153" si="747">AE153</f>
        <v>0.17945447504000003</v>
      </c>
      <c r="AJ153" s="42"/>
      <c r="AK153" s="42"/>
      <c r="AL153" s="42"/>
    </row>
    <row r="154" spans="1:38">
      <c r="A154" s="9" t="str">
        <f t="shared" ref="A154:A156" si="748">A153</f>
        <v>LS Diesel (500 ppm)</v>
      </c>
      <c r="B154" s="9" t="str">
        <f>VLOOKUP($A154,Types!$A$2:$C$13,2,FALSE)</f>
        <v>DSL</v>
      </c>
      <c r="C154" s="9">
        <v>2</v>
      </c>
      <c r="D154" s="9">
        <v>3</v>
      </c>
      <c r="E154" s="9" t="str">
        <f t="shared" si="651"/>
        <v>IMPDSLP32</v>
      </c>
      <c r="F154" s="9" t="str">
        <f>CONCATENATE("Imported ",VLOOKUP($A154,Types!$A$2:$C$13,3,FALSE),", PADD ",D154,", Step ",RIGHT(C154,1))</f>
        <v>Imported Distillate-Low Sulfur Highway Diesel (500 ppm), PADD 3, Step 2</v>
      </c>
      <c r="G154" s="9" t="str">
        <f>CONCATENATE(VLOOKUP($A154,Types!$A$2:$C$13,2,FALSE),"P",D154)</f>
        <v>DSLP3</v>
      </c>
      <c r="H154" s="66">
        <f>H152*$C$6</f>
        <v>54.859420000000007</v>
      </c>
      <c r="I154" s="66">
        <f t="shared" ref="I154:K154" si="749">I152*$C$6</f>
        <v>48.412980000000005</v>
      </c>
      <c r="J154" s="66">
        <f t="shared" si="749"/>
        <v>111.28879999999999</v>
      </c>
      <c r="K154" s="66">
        <f t="shared" si="749"/>
        <v>111.28879999999999</v>
      </c>
      <c r="L154" s="67">
        <f>H154*Conv!$J$20/10^6/VLOOKUP($B154,Types!$B$2:$D$13,3,FALSE)/Conv!$I$5</f>
        <v>13.697558605247044</v>
      </c>
      <c r="M154" s="67">
        <f>I154*Conv!$J$20/10^6/VLOOKUP($B154,Types!$B$2:$D$13,3,FALSE)/Conv!$I$5</f>
        <v>12.087981076078693</v>
      </c>
      <c r="N154" s="67" t="e">
        <f>M154*#REF!</f>
        <v>#REF!</v>
      </c>
      <c r="O154" s="67" t="e">
        <f>N154*#REF!</f>
        <v>#REF!</v>
      </c>
      <c r="P154" s="67" t="e">
        <f>O154*#REF!</f>
        <v>#REF!</v>
      </c>
      <c r="Q154" s="67" t="e">
        <f>P154*#REF!</f>
        <v>#REF!</v>
      </c>
      <c r="R154" s="67" t="e">
        <f>Q154*#REF!</f>
        <v>#REF!</v>
      </c>
      <c r="S154" s="67" t="e">
        <f>R154*#REF!</f>
        <v>#REF!</v>
      </c>
      <c r="T154" s="67" t="e">
        <f>S154*#REF!</f>
        <v>#REF!</v>
      </c>
      <c r="U154" s="67" t="e">
        <f>T154*#REF!</f>
        <v>#REF!</v>
      </c>
      <c r="V154" s="67" t="e">
        <f>U154*#REF!</f>
        <v>#REF!</v>
      </c>
      <c r="W154" s="42"/>
      <c r="X154" s="9">
        <f>X152*$E$6</f>
        <v>7.452</v>
      </c>
      <c r="Y154" s="9">
        <f t="shared" ref="Y154:AA154" si="750">Y152*$E$6</f>
        <v>1.593</v>
      </c>
      <c r="Z154" s="9">
        <f t="shared" si="750"/>
        <v>0.378</v>
      </c>
      <c r="AA154" s="9">
        <f t="shared" si="750"/>
        <v>9.0000000000000011E-2</v>
      </c>
      <c r="AB154" s="42">
        <f>X154*VLOOKUP($B154,Types!$B$2:$D$13,3,FALSE)*Conv!$I$5*1000*365</f>
        <v>16.716184349975997</v>
      </c>
      <c r="AC154" s="42">
        <f>Y154*VLOOKUP($B154,Types!$B$2:$D$13,3,FALSE)*Conv!$I$5*1000*365</f>
        <v>3.5733872342339996</v>
      </c>
      <c r="AD154" s="42">
        <f>Z154*VLOOKUP($B154,Types!$B$2:$D$13,3,FALSE)*Conv!$I$5*1000*365</f>
        <v>0.84792239456399976</v>
      </c>
      <c r="AE154" s="42">
        <f>AA154*VLOOKUP($B154,Types!$B$2:$D$13,3,FALSE)*Conv!$I$5*1000*365</f>
        <v>0.20188628442000001</v>
      </c>
      <c r="AF154" s="42">
        <f>AB154-AF153</f>
        <v>1.8573538166639967</v>
      </c>
      <c r="AG154" s="42">
        <f t="shared" ref="AG154" si="751">AC154-AG153</f>
        <v>0.39704302602599961</v>
      </c>
      <c r="AH154" s="42">
        <f t="shared" ref="AH154" si="752">AD154-AH153</f>
        <v>9.4213599395999714E-2</v>
      </c>
      <c r="AI154" s="42">
        <f t="shared" ref="AI154" si="753">AE154-AI153</f>
        <v>2.2431809379999973E-2</v>
      </c>
      <c r="AJ154" s="42"/>
      <c r="AK154" s="42"/>
      <c r="AL154" s="42"/>
    </row>
    <row r="155" spans="1:38">
      <c r="A155" s="9" t="str">
        <f t="shared" si="748"/>
        <v>LS Diesel (500 ppm)</v>
      </c>
      <c r="B155" s="9" t="str">
        <f>VLOOKUP($A155,Types!$A$2:$C$13,2,FALSE)</f>
        <v>DSL</v>
      </c>
      <c r="C155" s="9">
        <v>4</v>
      </c>
      <c r="D155" s="9">
        <v>3</v>
      </c>
      <c r="E155" s="9" t="str">
        <f t="shared" si="651"/>
        <v>IMPDSLP34</v>
      </c>
      <c r="F155" s="9" t="str">
        <f>CONCATENATE("Imported ",VLOOKUP($A155,Types!$A$2:$C$13,3,FALSE),", PADD ",D155,", Step ",RIGHT(C155,1))</f>
        <v>Imported Distillate-Low Sulfur Highway Diesel (500 ppm), PADD 3, Step 4</v>
      </c>
      <c r="G155" s="9" t="str">
        <f>CONCATENATE(VLOOKUP($A155,Types!$A$2:$C$13,2,FALSE),"P",D155)</f>
        <v>DSLP3</v>
      </c>
      <c r="H155" s="66">
        <f>H152*$C$8</f>
        <v>61.01711000000001</v>
      </c>
      <c r="I155" s="66">
        <f t="shared" ref="I155:K155" si="754">I152*$C$8</f>
        <v>53.847090000000009</v>
      </c>
      <c r="J155" s="66">
        <f t="shared" si="754"/>
        <v>123.78040000000001</v>
      </c>
      <c r="K155" s="66">
        <f t="shared" si="754"/>
        <v>123.78040000000001</v>
      </c>
      <c r="L155" s="67">
        <f>H155*Conv!$J$20/10^6/VLOOKUP($B155,Types!$B$2:$D$13,3,FALSE)/Conv!$I$5</f>
        <v>15.235039673182937</v>
      </c>
      <c r="M155" s="67">
        <f>I155*Conv!$J$20/10^6/VLOOKUP($B155,Types!$B$2:$D$13,3,FALSE)/Conv!$I$5</f>
        <v>13.44479527849569</v>
      </c>
      <c r="N155" s="67" t="e">
        <f>M155*#REF!</f>
        <v>#REF!</v>
      </c>
      <c r="O155" s="67" t="e">
        <f>N155*#REF!</f>
        <v>#REF!</v>
      </c>
      <c r="P155" s="67" t="e">
        <f>O155*#REF!</f>
        <v>#REF!</v>
      </c>
      <c r="Q155" s="67" t="e">
        <f>P155*#REF!</f>
        <v>#REF!</v>
      </c>
      <c r="R155" s="67" t="e">
        <f>Q155*#REF!</f>
        <v>#REF!</v>
      </c>
      <c r="S155" s="67" t="e">
        <f>R155*#REF!</f>
        <v>#REF!</v>
      </c>
      <c r="T155" s="67" t="e">
        <f>S155*#REF!</f>
        <v>#REF!</v>
      </c>
      <c r="U155" s="67" t="e">
        <f>T155*#REF!</f>
        <v>#REF!</v>
      </c>
      <c r="V155" s="67" t="e">
        <f>U155*#REF!</f>
        <v>#REF!</v>
      </c>
      <c r="W155" s="42"/>
      <c r="X155" s="9">
        <f>X152*$E$8</f>
        <v>9.9359999999999982</v>
      </c>
      <c r="Y155" s="9">
        <f t="shared" ref="Y155:AA155" si="755">Y152*$E$8</f>
        <v>2.1240000000000001</v>
      </c>
      <c r="Z155" s="9">
        <f t="shared" si="755"/>
        <v>0.504</v>
      </c>
      <c r="AA155" s="9">
        <f t="shared" si="755"/>
        <v>0.12</v>
      </c>
      <c r="AB155" s="42">
        <f>X155*VLOOKUP($B155,Types!$B$2:$D$13,3,FALSE)*Conv!$I$5*1000*365</f>
        <v>22.288245799967996</v>
      </c>
      <c r="AC155" s="42">
        <f>Y155*VLOOKUP($B155,Types!$B$2:$D$13,3,FALSE)*Conv!$I$5*1000*365</f>
        <v>4.7645163123120007</v>
      </c>
      <c r="AD155" s="42">
        <f>Z155*VLOOKUP($B155,Types!$B$2:$D$13,3,FALSE)*Conv!$I$5*1000*365</f>
        <v>1.1305631927519999</v>
      </c>
      <c r="AE155" s="42">
        <f>AA155*VLOOKUP($B155,Types!$B$2:$D$13,3,FALSE)*Conv!$I$5*1000*365</f>
        <v>0.26918171255999995</v>
      </c>
      <c r="AF155" s="42">
        <f>AB155-AB152</f>
        <v>3.7147076333280005</v>
      </c>
      <c r="AG155" s="42">
        <f t="shared" ref="AG155" si="756">AC155-AC152</f>
        <v>0.79408605205200145</v>
      </c>
      <c r="AH155" s="42">
        <f t="shared" ref="AH155" si="757">AD155-AD152</f>
        <v>0.18842719879200009</v>
      </c>
      <c r="AI155" s="42">
        <f t="shared" ref="AI155" si="758">AE155-AE152</f>
        <v>4.4863618760000001E-2</v>
      </c>
      <c r="AJ155" s="42"/>
      <c r="AK155" s="42"/>
      <c r="AL155" s="42"/>
    </row>
    <row r="156" spans="1:38">
      <c r="A156" s="9" t="str">
        <f t="shared" si="748"/>
        <v>LS Diesel (500 ppm)</v>
      </c>
      <c r="B156" s="9" t="str">
        <f>VLOOKUP($A156,Types!$A$2:$C$13,2,FALSE)</f>
        <v>DSL</v>
      </c>
      <c r="C156" s="9">
        <v>5</v>
      </c>
      <c r="D156" s="9">
        <v>3</v>
      </c>
      <c r="E156" s="9" t="str">
        <f t="shared" si="651"/>
        <v>IMPDSLP35</v>
      </c>
      <c r="F156" s="9" t="str">
        <f>CONCATENATE("Imported ",VLOOKUP($A156,Types!$A$2:$C$13,3,FALSE),", PADD ",D156,", Step ",RIGHT(C156,1))</f>
        <v>Imported Distillate-Low Sulfur Highway Diesel (500 ppm), PADD 3, Step 5</v>
      </c>
      <c r="G156" s="9" t="str">
        <f>CONCATENATE(VLOOKUP($A156,Types!$A$2:$C$13,2,FALSE),"P",D156)</f>
        <v>DSLP3</v>
      </c>
      <c r="H156" s="66">
        <f>H152*$C$9</f>
        <v>72.772700000000015</v>
      </c>
      <c r="I156" s="66">
        <f t="shared" ref="I156:K156" si="759">I152*$C$9</f>
        <v>64.221300000000014</v>
      </c>
      <c r="J156" s="66">
        <f t="shared" si="759"/>
        <v>147.62800000000001</v>
      </c>
      <c r="K156" s="66">
        <f t="shared" si="759"/>
        <v>147.62800000000001</v>
      </c>
      <c r="L156" s="67">
        <f>H156*Conv!$J$20/10^6/VLOOKUP($B156,Types!$B$2:$D$13,3,FALSE)/Conv!$I$5</f>
        <v>18.170230802878731</v>
      </c>
      <c r="M156" s="67">
        <f>I156*Conv!$J$20/10^6/VLOOKUP($B156,Types!$B$2:$D$13,3,FALSE)/Conv!$I$5</f>
        <v>16.035076937655411</v>
      </c>
      <c r="N156" s="67" t="e">
        <f>M156*#REF!</f>
        <v>#REF!</v>
      </c>
      <c r="O156" s="67" t="e">
        <f>N156*#REF!</f>
        <v>#REF!</v>
      </c>
      <c r="P156" s="67" t="e">
        <f>O156*#REF!</f>
        <v>#REF!</v>
      </c>
      <c r="Q156" s="67" t="e">
        <f>P156*#REF!</f>
        <v>#REF!</v>
      </c>
      <c r="R156" s="67" t="e">
        <f>Q156*#REF!</f>
        <v>#REF!</v>
      </c>
      <c r="S156" s="67" t="e">
        <f>R156*#REF!</f>
        <v>#REF!</v>
      </c>
      <c r="T156" s="67" t="e">
        <f>S156*#REF!</f>
        <v>#REF!</v>
      </c>
      <c r="U156" s="67" t="e">
        <f>T156*#REF!</f>
        <v>#REF!</v>
      </c>
      <c r="V156" s="67" t="e">
        <f>U156*#REF!</f>
        <v>#REF!</v>
      </c>
      <c r="W156" s="42"/>
      <c r="X156" s="9">
        <f>X152*$E$9</f>
        <v>16.559999999999999</v>
      </c>
      <c r="Y156" s="9">
        <f t="shared" ref="Y156:AA156" si="760">Y152*$E$9</f>
        <v>3.54</v>
      </c>
      <c r="Z156" s="9">
        <f t="shared" si="760"/>
        <v>0.84</v>
      </c>
      <c r="AA156" s="9">
        <f t="shared" si="760"/>
        <v>0.2</v>
      </c>
      <c r="AB156" s="42">
        <f>X156*VLOOKUP($B156,Types!$B$2:$D$13,3,FALSE)*Conv!$I$5*1000*365</f>
        <v>37.14707633327999</v>
      </c>
      <c r="AC156" s="42">
        <f>Y156*VLOOKUP($B156,Types!$B$2:$D$13,3,FALSE)*Conv!$I$5*1000*365</f>
        <v>7.9408605205199985</v>
      </c>
      <c r="AD156" s="42">
        <f>Z156*VLOOKUP($B156,Types!$B$2:$D$13,3,FALSE)*Conv!$I$5*1000*365</f>
        <v>1.8842719879199996</v>
      </c>
      <c r="AE156" s="42">
        <f>AA156*VLOOKUP($B156,Types!$B$2:$D$13,3,FALSE)*Conv!$I$5*1000*365</f>
        <v>0.4486361875999999</v>
      </c>
      <c r="AF156" s="42">
        <f>AB156-AB155</f>
        <v>14.858830533311995</v>
      </c>
      <c r="AG156" s="42">
        <f t="shared" ref="AG156" si="761">AC156-AC155</f>
        <v>3.1763442082079978</v>
      </c>
      <c r="AH156" s="42">
        <f t="shared" ref="AH156" si="762">AD156-AD155</f>
        <v>0.75370879516799971</v>
      </c>
      <c r="AI156" s="42">
        <f t="shared" ref="AI156" si="763">AE156-AE155</f>
        <v>0.17945447503999995</v>
      </c>
      <c r="AJ156" s="42"/>
      <c r="AK156" s="42"/>
      <c r="AL156" s="42"/>
    </row>
    <row r="157" spans="1:38">
      <c r="A157" s="9" t="str">
        <f>'Agg prdcrv'!$A$10</f>
        <v>Low Sulfur Fuel Oil</v>
      </c>
      <c r="B157" s="9" t="str">
        <f>VLOOKUP($A157,Types!$A$2:$C$13,2,FALSE)</f>
        <v>RFL</v>
      </c>
      <c r="C157" s="9">
        <v>3</v>
      </c>
      <c r="D157" s="9">
        <v>3</v>
      </c>
      <c r="E157" s="9" t="str">
        <f t="shared" si="651"/>
        <v>IMPRFLP33</v>
      </c>
      <c r="F157" s="9" t="str">
        <f>CONCATENATE("Imported ",VLOOKUP($A157,Types!$A$2:$C$13,3,FALSE),", PADD ",D157,", Step ",RIGHT(C157,1))</f>
        <v>Imported Low Sulfur Residual Fuel Oil, PADD 3, Step 3</v>
      </c>
      <c r="G157" s="9" t="str">
        <f>CONCATENATE(VLOOKUP($A157,Types!$A$2:$C$13,2,FALSE),"P",D157)</f>
        <v>RFLP3</v>
      </c>
      <c r="H157" s="66">
        <f>SUMIFS('Agg prdcrv'!$N$6:$N$100,'Agg prdcrv'!$A$6:$A$100,'Imp Refined'!$A157,'Agg prdcrv'!$B$6:$B$100,H$11)*K4</f>
        <v>43.120000000000005</v>
      </c>
      <c r="I157" s="66">
        <f>SUMIFS('Agg prdcrv'!$N$6:$N$100,'Agg prdcrv'!$A$6:$A$100,'Imp Refined'!$A157,'Agg prdcrv'!$B$6:$B$100,I$11)*K4</f>
        <v>36.927000000000007</v>
      </c>
      <c r="J157" s="66">
        <f t="array" ref="J157">SUMIFS('Agg prdcrv'!$N$6:$N$100,'Agg prdcrv'!$A$6:$A$100,'Imp Refined'!$A157,'Agg prdcrv'!$B$6:$B$100,J$11)</f>
        <v>29.66</v>
      </c>
      <c r="K157" s="66">
        <f t="array" ref="K157">SUMIFS('Agg prdcrv'!$N$6:$N$100,'Agg prdcrv'!$A$6:$A$100,'Imp Refined'!$A157,'Agg prdcrv'!$B$6:$B$100,K$11)</f>
        <v>32.6</v>
      </c>
      <c r="L157" s="67">
        <f>H157*Conv!$J$20/10^6/VLOOKUP($B157,Types!$B$2:$D$13,3,FALSE)/Conv!$I$5</f>
        <v>9.9752359489009166</v>
      </c>
      <c r="M157" s="67">
        <f>I157*Conv!$J$20/10^6/VLOOKUP($B157,Types!$B$2:$D$13,3,FALSE)/Conv!$I$5</f>
        <v>8.5425681327705032</v>
      </c>
      <c r="N157" s="67" t="e">
        <f>M157*#REF!</f>
        <v>#REF!</v>
      </c>
      <c r="O157" s="67" t="e">
        <f>N157*#REF!</f>
        <v>#REF!</v>
      </c>
      <c r="P157" s="67" t="e">
        <f>O157*#REF!</f>
        <v>#REF!</v>
      </c>
      <c r="Q157" s="67" t="e">
        <f>P157*#REF!</f>
        <v>#REF!</v>
      </c>
      <c r="R157" s="67" t="e">
        <f>Q157*#REF!</f>
        <v>#REF!</v>
      </c>
      <c r="S157" s="67" t="e">
        <f>R157*#REF!</f>
        <v>#REF!</v>
      </c>
      <c r="T157" s="67" t="e">
        <f>S157*#REF!</f>
        <v>#REF!</v>
      </c>
      <c r="U157" s="67" t="e">
        <f>T157*#REF!</f>
        <v>#REF!</v>
      </c>
      <c r="V157" s="67" t="e">
        <f>U157*#REF!</f>
        <v>#REF!</v>
      </c>
      <c r="W157" s="42"/>
      <c r="X157" s="9">
        <f t="array" ref="X157">SUMIFS('Agg prdcrv'!$F$6:$F$100,'Agg prdcrv'!$A$6:$A$100,'Imp Refined'!$A157,'Agg prdcrv'!$B$6:$B$100,X$11)</f>
        <v>62.6</v>
      </c>
      <c r="Y157" s="9">
        <f t="array" ref="Y157">SUMIFS('Agg prdcrv'!$F$6:$F$100,'Agg prdcrv'!$A$6:$A$100,'Imp Refined'!$A157,'Agg prdcrv'!$B$6:$B$100,Y$11)</f>
        <v>32.909999999999997</v>
      </c>
      <c r="Z157" s="9">
        <f t="array" ref="Z157">SUMIFS('Agg prdcrv'!$F$6:$F$100,'Agg prdcrv'!$A$6:$A$100,'Imp Refined'!$A157,'Agg prdcrv'!$B$6:$B$100,Z$11)</f>
        <v>36.33</v>
      </c>
      <c r="AA157" s="9">
        <f t="array" ref="AA157">SUMIFS('Agg prdcrv'!$F$6:$F$100,'Agg prdcrv'!$A$6:$A$100,'Imp Refined'!$A157,'Agg prdcrv'!$B$6:$B$100,AA$11)</f>
        <v>40.11</v>
      </c>
      <c r="AB157" s="42">
        <f>X157*VLOOKUP($B157,Types!$B$2:$D$13,3,FALSE)*Conv!$I$5*1000*365</f>
        <v>151.56054895812798</v>
      </c>
      <c r="AC157" s="42">
        <f>Y157*VLOOKUP($B157,Types!$B$2:$D$13,3,FALSE)*Conv!$I$5*1000*365</f>
        <v>79.67823747942478</v>
      </c>
      <c r="AD157" s="42">
        <f>Z157*VLOOKUP($B157,Types!$B$2:$D$13,3,FALSE)*Conv!$I$5*1000*365</f>
        <v>87.958382486402385</v>
      </c>
      <c r="AE157" s="42">
        <f>AA157*VLOOKUP($B157,Types!$B$2:$D$13,3,FALSE)*Conv!$I$5*1000*365</f>
        <v>97.11012170464079</v>
      </c>
      <c r="AF157" s="42">
        <f>AB157-AB159</f>
        <v>15.156054895812787</v>
      </c>
      <c r="AG157" s="42">
        <f t="shared" ref="AG157" si="764">AC157-AC159</f>
        <v>7.9678237479424894</v>
      </c>
      <c r="AH157" s="42">
        <f t="shared" ref="AH157" si="765">AD157-AD159</f>
        <v>8.7958382486402229</v>
      </c>
      <c r="AI157" s="42">
        <f t="shared" ref="AI157" si="766">AE157-AE159</f>
        <v>9.7110121704640591</v>
      </c>
      <c r="AJ157" s="42"/>
      <c r="AK157" s="42"/>
      <c r="AL157" s="42"/>
    </row>
    <row r="158" spans="1:38">
      <c r="A158" s="9" t="str">
        <f>A157</f>
        <v>Low Sulfur Fuel Oil</v>
      </c>
      <c r="B158" s="9" t="str">
        <f>VLOOKUP($A158,Types!$A$2:$C$13,2,FALSE)</f>
        <v>RFL</v>
      </c>
      <c r="C158" s="9">
        <v>1</v>
      </c>
      <c r="D158" s="9">
        <v>3</v>
      </c>
      <c r="E158" s="9" t="str">
        <f t="shared" si="651"/>
        <v>IMPRFLP31</v>
      </c>
      <c r="F158" s="9" t="str">
        <f>CONCATENATE("Imported ",VLOOKUP($A158,Types!$A$2:$C$13,3,FALSE),", PADD ",D158,", Step ",RIGHT(C158,1))</f>
        <v>Imported Low Sulfur Residual Fuel Oil, PADD 3, Step 1</v>
      </c>
      <c r="G158" s="9" t="str">
        <f>CONCATENATE(VLOOKUP($A158,Types!$A$2:$C$13,2,FALSE),"P",D158)</f>
        <v>RFLP3</v>
      </c>
      <c r="H158" s="66">
        <f>H157*$C$5</f>
        <v>40.964000000000006</v>
      </c>
      <c r="I158" s="66">
        <f t="shared" ref="I158" si="767">I157*$C$5</f>
        <v>35.080650000000006</v>
      </c>
      <c r="J158" s="66">
        <f t="shared" ref="J158" si="768">J157*$C$5</f>
        <v>28.177</v>
      </c>
      <c r="K158" s="66">
        <f t="shared" ref="K158" si="769">K157*$C$5</f>
        <v>30.97</v>
      </c>
      <c r="L158" s="67">
        <f>H158*Conv!$J$20/10^6/VLOOKUP($B158,Types!$B$2:$D$13,3,FALSE)/Conv!$I$5</f>
        <v>9.4764741514558697</v>
      </c>
      <c r="M158" s="67">
        <f>I158*Conv!$J$20/10^6/VLOOKUP($B158,Types!$B$2:$D$13,3,FALSE)/Conv!$I$5</f>
        <v>8.1154397261319779</v>
      </c>
      <c r="N158" s="67" t="e">
        <f>M158*#REF!</f>
        <v>#REF!</v>
      </c>
      <c r="O158" s="67" t="e">
        <f>N158*#REF!</f>
        <v>#REF!</v>
      </c>
      <c r="P158" s="67" t="e">
        <f>O158*#REF!</f>
        <v>#REF!</v>
      </c>
      <c r="Q158" s="67" t="e">
        <f>P158*#REF!</f>
        <v>#REF!</v>
      </c>
      <c r="R158" s="67" t="e">
        <f>Q158*#REF!</f>
        <v>#REF!</v>
      </c>
      <c r="S158" s="67" t="e">
        <f>R158*#REF!</f>
        <v>#REF!</v>
      </c>
      <c r="T158" s="67" t="e">
        <f>S158*#REF!</f>
        <v>#REF!</v>
      </c>
      <c r="U158" s="67" t="e">
        <f>T158*#REF!</f>
        <v>#REF!</v>
      </c>
      <c r="V158" s="67" t="e">
        <f>U158*#REF!</f>
        <v>#REF!</v>
      </c>
      <c r="W158" s="42"/>
      <c r="X158" s="9">
        <f>X157*$E$5</f>
        <v>50.080000000000005</v>
      </c>
      <c r="Y158" s="9">
        <f t="shared" ref="Y158" si="770">Y157*$E$5</f>
        <v>26.327999999999999</v>
      </c>
      <c r="Z158" s="9">
        <f t="shared" ref="Z158" si="771">Z157*$E$5</f>
        <v>29.064</v>
      </c>
      <c r="AA158" s="9">
        <f t="shared" ref="AA158" si="772">AA157*$E$5</f>
        <v>32.088000000000001</v>
      </c>
      <c r="AB158" s="42">
        <f>X158*VLOOKUP($B158,Types!$B$2:$D$13,3,FALSE)*Conv!$I$5*1000*365</f>
        <v>121.24843916650241</v>
      </c>
      <c r="AC158" s="42">
        <f>Y158*VLOOKUP($B158,Types!$B$2:$D$13,3,FALSE)*Conv!$I$5*1000*365</f>
        <v>63.742589983539844</v>
      </c>
      <c r="AD158" s="42">
        <f>Z158*VLOOKUP($B158,Types!$B$2:$D$13,3,FALSE)*Conv!$I$5*1000*365</f>
        <v>70.366705989121911</v>
      </c>
      <c r="AE158" s="42">
        <f>AA158*VLOOKUP($B158,Types!$B$2:$D$13,3,FALSE)*Conv!$I$5*1000*365</f>
        <v>77.688097363712643</v>
      </c>
      <c r="AF158" s="42">
        <f>AB158</f>
        <v>121.24843916650241</v>
      </c>
      <c r="AG158" s="42">
        <f t="shared" ref="AG158" si="773">AC158</f>
        <v>63.742589983539844</v>
      </c>
      <c r="AH158" s="42">
        <f t="shared" ref="AH158" si="774">AD158</f>
        <v>70.366705989121911</v>
      </c>
      <c r="AI158" s="42">
        <f t="shared" ref="AI158" si="775">AE158</f>
        <v>77.688097363712643</v>
      </c>
      <c r="AJ158" s="42"/>
      <c r="AK158" s="42"/>
      <c r="AL158" s="42"/>
    </row>
    <row r="159" spans="1:38">
      <c r="A159" s="9" t="str">
        <f t="shared" ref="A159:A161" si="776">A158</f>
        <v>Low Sulfur Fuel Oil</v>
      </c>
      <c r="B159" s="9" t="str">
        <f>VLOOKUP($A159,Types!$A$2:$C$13,2,FALSE)</f>
        <v>RFL</v>
      </c>
      <c r="C159" s="9">
        <v>2</v>
      </c>
      <c r="D159" s="9">
        <v>3</v>
      </c>
      <c r="E159" s="9" t="str">
        <f t="shared" si="651"/>
        <v>IMPRFLP32</v>
      </c>
      <c r="F159" s="9" t="str">
        <f>CONCATENATE("Imported ",VLOOKUP($A159,Types!$A$2:$C$13,3,FALSE),", PADD ",D159,", Step ",RIGHT(C159,1))</f>
        <v>Imported Low Sulfur Residual Fuel Oil, PADD 3, Step 2</v>
      </c>
      <c r="G159" s="9" t="str">
        <f>CONCATENATE(VLOOKUP($A159,Types!$A$2:$C$13,2,FALSE),"P",D159)</f>
        <v>RFLP3</v>
      </c>
      <c r="H159" s="66">
        <f>H157*$C$6</f>
        <v>42.257600000000004</v>
      </c>
      <c r="I159" s="66">
        <f t="shared" ref="I159:K159" si="777">I157*$C$6</f>
        <v>36.188460000000006</v>
      </c>
      <c r="J159" s="66">
        <f t="shared" si="777"/>
        <v>29.066800000000001</v>
      </c>
      <c r="K159" s="66">
        <f t="shared" si="777"/>
        <v>31.948</v>
      </c>
      <c r="L159" s="67">
        <f>H159*Conv!$J$20/10^6/VLOOKUP($B159,Types!$B$2:$D$13,3,FALSE)/Conv!$I$5</f>
        <v>9.7757312299228953</v>
      </c>
      <c r="M159" s="67">
        <f>I159*Conv!$J$20/10^6/VLOOKUP($B159,Types!$B$2:$D$13,3,FALSE)/Conv!$I$5</f>
        <v>8.3717167701150927</v>
      </c>
      <c r="N159" s="67" t="e">
        <f>M159*#REF!</f>
        <v>#REF!</v>
      </c>
      <c r="O159" s="67" t="e">
        <f>N159*#REF!</f>
        <v>#REF!</v>
      </c>
      <c r="P159" s="67" t="e">
        <f>O159*#REF!</f>
        <v>#REF!</v>
      </c>
      <c r="Q159" s="67" t="e">
        <f>P159*#REF!</f>
        <v>#REF!</v>
      </c>
      <c r="R159" s="67" t="e">
        <f>Q159*#REF!</f>
        <v>#REF!</v>
      </c>
      <c r="S159" s="67" t="e">
        <f>R159*#REF!</f>
        <v>#REF!</v>
      </c>
      <c r="T159" s="67" t="e">
        <f>S159*#REF!</f>
        <v>#REF!</v>
      </c>
      <c r="U159" s="67" t="e">
        <f>T159*#REF!</f>
        <v>#REF!</v>
      </c>
      <c r="V159" s="67" t="e">
        <f>U159*#REF!</f>
        <v>#REF!</v>
      </c>
      <c r="W159" s="42"/>
      <c r="X159" s="9">
        <f>X157*$E$6</f>
        <v>56.34</v>
      </c>
      <c r="Y159" s="9">
        <f t="shared" ref="Y159:AA159" si="778">Y157*$E$6</f>
        <v>29.618999999999996</v>
      </c>
      <c r="Z159" s="9">
        <f t="shared" si="778"/>
        <v>32.697000000000003</v>
      </c>
      <c r="AA159" s="9">
        <f t="shared" si="778"/>
        <v>36.099000000000004</v>
      </c>
      <c r="AB159" s="42">
        <f>X159*VLOOKUP($B159,Types!$B$2:$D$13,3,FALSE)*Conv!$I$5*1000*365</f>
        <v>136.40449406231519</v>
      </c>
      <c r="AC159" s="42">
        <f>Y159*VLOOKUP($B159,Types!$B$2:$D$13,3,FALSE)*Conv!$I$5*1000*365</f>
        <v>71.710413731482291</v>
      </c>
      <c r="AD159" s="42">
        <f>Z159*VLOOKUP($B159,Types!$B$2:$D$13,3,FALSE)*Conv!$I$5*1000*365</f>
        <v>79.162544237762162</v>
      </c>
      <c r="AE159" s="42">
        <f>AA159*VLOOKUP($B159,Types!$B$2:$D$13,3,FALSE)*Conv!$I$5*1000*365</f>
        <v>87.399109534176731</v>
      </c>
      <c r="AF159" s="42">
        <f>AB159-AF158</f>
        <v>15.156054895812787</v>
      </c>
      <c r="AG159" s="42">
        <f t="shared" ref="AG159" si="779">AC159-AG158</f>
        <v>7.9678237479424467</v>
      </c>
      <c r="AH159" s="42">
        <f t="shared" ref="AH159" si="780">AD159-AH158</f>
        <v>8.7958382486402513</v>
      </c>
      <c r="AI159" s="42">
        <f t="shared" ref="AI159" si="781">AE159-AI158</f>
        <v>9.7110121704640875</v>
      </c>
      <c r="AJ159" s="42"/>
      <c r="AK159" s="42"/>
      <c r="AL159" s="42"/>
    </row>
    <row r="160" spans="1:38">
      <c r="A160" s="9" t="str">
        <f t="shared" si="776"/>
        <v>Low Sulfur Fuel Oil</v>
      </c>
      <c r="B160" s="9" t="str">
        <f>VLOOKUP($A160,Types!$A$2:$C$13,2,FALSE)</f>
        <v>RFL</v>
      </c>
      <c r="C160" s="9">
        <v>4</v>
      </c>
      <c r="D160" s="9">
        <v>3</v>
      </c>
      <c r="E160" s="9" t="str">
        <f t="shared" si="651"/>
        <v>IMPRFLP34</v>
      </c>
      <c r="F160" s="9" t="str">
        <f>CONCATENATE("Imported ",VLOOKUP($A160,Types!$A$2:$C$13,3,FALSE),", PADD ",D160,", Step ",RIGHT(C160,1))</f>
        <v>Imported Low Sulfur Residual Fuel Oil, PADD 3, Step 4</v>
      </c>
      <c r="G160" s="9" t="str">
        <f>CONCATENATE(VLOOKUP($A160,Types!$A$2:$C$13,2,FALSE),"P",D160)</f>
        <v>RFLP3</v>
      </c>
      <c r="H160" s="66">
        <f>H157*$C$8</f>
        <v>47.000800000000005</v>
      </c>
      <c r="I160" s="66">
        <f t="shared" ref="I160:K160" si="782">I157*$C$8</f>
        <v>40.250430000000009</v>
      </c>
      <c r="J160" s="66">
        <f t="shared" si="782"/>
        <v>32.3294</v>
      </c>
      <c r="K160" s="66">
        <f t="shared" si="782"/>
        <v>35.534000000000006</v>
      </c>
      <c r="L160" s="67">
        <f>H160*Conv!$J$20/10^6/VLOOKUP($B160,Types!$B$2:$D$13,3,FALSE)/Conv!$I$5</f>
        <v>10.873007184301995</v>
      </c>
      <c r="M160" s="67">
        <f>I160*Conv!$J$20/10^6/VLOOKUP($B160,Types!$B$2:$D$13,3,FALSE)/Conv!$I$5</f>
        <v>9.3113992647198476</v>
      </c>
      <c r="N160" s="67" t="e">
        <f>M160*#REF!</f>
        <v>#REF!</v>
      </c>
      <c r="O160" s="67" t="e">
        <f>N160*#REF!</f>
        <v>#REF!</v>
      </c>
      <c r="P160" s="67" t="e">
        <f>O160*#REF!</f>
        <v>#REF!</v>
      </c>
      <c r="Q160" s="67" t="e">
        <f>P160*#REF!</f>
        <v>#REF!</v>
      </c>
      <c r="R160" s="67" t="e">
        <f>Q160*#REF!</f>
        <v>#REF!</v>
      </c>
      <c r="S160" s="67" t="e">
        <f>R160*#REF!</f>
        <v>#REF!</v>
      </c>
      <c r="T160" s="67" t="e">
        <f>S160*#REF!</f>
        <v>#REF!</v>
      </c>
      <c r="U160" s="67" t="e">
        <f>T160*#REF!</f>
        <v>#REF!</v>
      </c>
      <c r="V160" s="67" t="e">
        <f>U160*#REF!</f>
        <v>#REF!</v>
      </c>
      <c r="W160" s="42"/>
      <c r="X160" s="9">
        <f>X157*$E$8</f>
        <v>75.12</v>
      </c>
      <c r="Y160" s="9">
        <f t="shared" ref="Y160:AA160" si="783">Y157*$E$8</f>
        <v>39.491999999999997</v>
      </c>
      <c r="Z160" s="9">
        <f t="shared" si="783"/>
        <v>43.595999999999997</v>
      </c>
      <c r="AA160" s="9">
        <f t="shared" si="783"/>
        <v>48.131999999999998</v>
      </c>
      <c r="AB160" s="42">
        <f>X160*VLOOKUP($B160,Types!$B$2:$D$13,3,FALSE)*Conv!$I$5*1000*365</f>
        <v>181.87265874975358</v>
      </c>
      <c r="AC160" s="42">
        <f>Y160*VLOOKUP($B160,Types!$B$2:$D$13,3,FALSE)*Conv!$I$5*1000*365</f>
        <v>95.61388497530973</v>
      </c>
      <c r="AD160" s="42">
        <f>Z160*VLOOKUP($B160,Types!$B$2:$D$13,3,FALSE)*Conv!$I$5*1000*365</f>
        <v>105.55005898368285</v>
      </c>
      <c r="AE160" s="42">
        <f>AA160*VLOOKUP($B160,Types!$B$2:$D$13,3,FALSE)*Conv!$I$5*1000*365</f>
        <v>116.53214604556894</v>
      </c>
      <c r="AF160" s="42">
        <f>AB160-AB157</f>
        <v>30.312109791625602</v>
      </c>
      <c r="AG160" s="42">
        <f t="shared" ref="AG160" si="784">AC160-AC157</f>
        <v>15.93564749588495</v>
      </c>
      <c r="AH160" s="42">
        <f t="shared" ref="AH160" si="785">AD160-AD157</f>
        <v>17.59167649728046</v>
      </c>
      <c r="AI160" s="42">
        <f t="shared" ref="AI160" si="786">AE160-AE157</f>
        <v>19.422024340928147</v>
      </c>
      <c r="AJ160" s="42"/>
      <c r="AK160" s="42"/>
      <c r="AL160" s="42"/>
    </row>
    <row r="161" spans="1:38">
      <c r="A161" s="9" t="str">
        <f t="shared" si="776"/>
        <v>Low Sulfur Fuel Oil</v>
      </c>
      <c r="B161" s="9" t="str">
        <f>VLOOKUP($A161,Types!$A$2:$C$13,2,FALSE)</f>
        <v>RFL</v>
      </c>
      <c r="C161" s="9">
        <v>5</v>
      </c>
      <c r="D161" s="9">
        <v>3</v>
      </c>
      <c r="E161" s="9" t="str">
        <f t="shared" si="651"/>
        <v>IMPRFLP35</v>
      </c>
      <c r="F161" s="9" t="str">
        <f>CONCATENATE("Imported ",VLOOKUP($A161,Types!$A$2:$C$13,3,FALSE),", PADD ",D161,", Step ",RIGHT(C161,1))</f>
        <v>Imported Low Sulfur Residual Fuel Oil, PADD 3, Step 5</v>
      </c>
      <c r="G161" s="9" t="str">
        <f>CONCATENATE(VLOOKUP($A161,Types!$A$2:$C$13,2,FALSE),"P",D161)</f>
        <v>RFLP3</v>
      </c>
      <c r="H161" s="66">
        <f>H157*$C$9</f>
        <v>56.056000000000004</v>
      </c>
      <c r="I161" s="66">
        <f t="shared" ref="I161:K161" si="787">I157*$C$9</f>
        <v>48.005100000000013</v>
      </c>
      <c r="J161" s="66">
        <f t="shared" si="787"/>
        <v>38.558</v>
      </c>
      <c r="K161" s="66">
        <f t="shared" si="787"/>
        <v>42.38</v>
      </c>
      <c r="L161" s="67">
        <f>H161*Conv!$J$20/10^6/VLOOKUP($B161,Types!$B$2:$D$13,3,FALSE)/Conv!$I$5</f>
        <v>12.967806733571189</v>
      </c>
      <c r="M161" s="67">
        <f>I161*Conv!$J$20/10^6/VLOOKUP($B161,Types!$B$2:$D$13,3,FALSE)/Conv!$I$5</f>
        <v>11.105338572601656</v>
      </c>
      <c r="N161" s="67" t="e">
        <f>M161*#REF!</f>
        <v>#REF!</v>
      </c>
      <c r="O161" s="67" t="e">
        <f>N161*#REF!</f>
        <v>#REF!</v>
      </c>
      <c r="P161" s="67" t="e">
        <f>O161*#REF!</f>
        <v>#REF!</v>
      </c>
      <c r="Q161" s="67" t="e">
        <f>P161*#REF!</f>
        <v>#REF!</v>
      </c>
      <c r="R161" s="67" t="e">
        <f>Q161*#REF!</f>
        <v>#REF!</v>
      </c>
      <c r="S161" s="67" t="e">
        <f>R161*#REF!</f>
        <v>#REF!</v>
      </c>
      <c r="T161" s="67" t="e">
        <f>S161*#REF!</f>
        <v>#REF!</v>
      </c>
      <c r="U161" s="67" t="e">
        <f>T161*#REF!</f>
        <v>#REF!</v>
      </c>
      <c r="V161" s="67" t="e">
        <f>U161*#REF!</f>
        <v>#REF!</v>
      </c>
      <c r="W161" s="42"/>
      <c r="X161" s="9">
        <f>X157*$E$9</f>
        <v>125.2</v>
      </c>
      <c r="Y161" s="9">
        <f t="shared" ref="Y161:AA161" si="788">Y157*$E$9</f>
        <v>65.819999999999993</v>
      </c>
      <c r="Z161" s="9">
        <f t="shared" si="788"/>
        <v>72.66</v>
      </c>
      <c r="AA161" s="9">
        <f t="shared" si="788"/>
        <v>80.22</v>
      </c>
      <c r="AB161" s="42">
        <f>X161*VLOOKUP($B161,Types!$B$2:$D$13,3,FALSE)*Conv!$I$5*1000*365</f>
        <v>303.12109791625596</v>
      </c>
      <c r="AC161" s="42">
        <f>Y161*VLOOKUP($B161,Types!$B$2:$D$13,3,FALSE)*Conv!$I$5*1000*365</f>
        <v>159.35647495884956</v>
      </c>
      <c r="AD161" s="42">
        <f>Z161*VLOOKUP($B161,Types!$B$2:$D$13,3,FALSE)*Conv!$I$5*1000*365</f>
        <v>175.91676497280477</v>
      </c>
      <c r="AE161" s="42">
        <f>AA161*VLOOKUP($B161,Types!$B$2:$D$13,3,FALSE)*Conv!$I$5*1000*365</f>
        <v>194.22024340928158</v>
      </c>
      <c r="AF161" s="42">
        <f>AB161-AB160</f>
        <v>121.24843916650238</v>
      </c>
      <c r="AG161" s="42">
        <f t="shared" ref="AG161" si="789">AC161-AC160</f>
        <v>63.74258998353983</v>
      </c>
      <c r="AH161" s="42">
        <f t="shared" ref="AH161" si="790">AD161-AD160</f>
        <v>70.366705989121925</v>
      </c>
      <c r="AI161" s="42">
        <f t="shared" ref="AI161" si="791">AE161-AE160</f>
        <v>77.688097363712643</v>
      </c>
      <c r="AJ161" s="42"/>
      <c r="AK161" s="42"/>
      <c r="AL161" s="42"/>
    </row>
    <row r="162" spans="1:38">
      <c r="A162" s="9" t="str">
        <f>'Agg prdcrv'!$A$11</f>
        <v>High Sulfur Fuel Oil</v>
      </c>
      <c r="B162" s="9" t="str">
        <f>VLOOKUP($A162,Types!$A$2:$C$13,2,FALSE)</f>
        <v>RFH</v>
      </c>
      <c r="C162" s="9">
        <v>3</v>
      </c>
      <c r="D162" s="9">
        <v>3</v>
      </c>
      <c r="E162" s="9" t="str">
        <f t="shared" si="651"/>
        <v>IMPRFHP33</v>
      </c>
      <c r="F162" s="9" t="str">
        <f>CONCATENATE("Imported ",VLOOKUP($A162,Types!$A$2:$C$13,3,FALSE),", PADD ",D162,", Step ",RIGHT(C162,1))</f>
        <v>Imported High Sulfur Residual Fuel Oil, PADD 3, Step 3</v>
      </c>
      <c r="G162" s="9" t="str">
        <f>CONCATENATE(VLOOKUP($A162,Types!$A$2:$C$13,2,FALSE),"P",D162)</f>
        <v>RFHP3</v>
      </c>
      <c r="H162" s="66">
        <f>SUMIFS('Agg prdcrv'!$N$6:$N$100,'Agg prdcrv'!$A$6:$A$100,'Imp Refined'!$A162,'Agg prdcrv'!$B$6:$B$100,H$11)*K4</f>
        <v>41.920999999999999</v>
      </c>
      <c r="I162" s="66">
        <f>SUMIFS('Agg prdcrv'!$N$6:$N$100,'Agg prdcrv'!$A$6:$A$100,'Imp Refined'!$A162,'Agg prdcrv'!$B$6:$B$100,I$11)*K4</f>
        <v>36.750999999999998</v>
      </c>
      <c r="J162" s="66">
        <f t="array" ref="J162">SUMIFS('Agg prdcrv'!$N$6:$N$100,'Agg prdcrv'!$A$6:$A$100,'Imp Refined'!$A162,'Agg prdcrv'!$B$6:$B$100,J$11)</f>
        <v>29.26</v>
      </c>
      <c r="K162" s="66">
        <f t="array" ref="K162">SUMIFS('Agg prdcrv'!$N$6:$N$100,'Agg prdcrv'!$A$6:$A$100,'Imp Refined'!$A162,'Agg prdcrv'!$B$6:$B$100,K$11)</f>
        <v>32.28</v>
      </c>
      <c r="L162" s="67">
        <f>H162*Conv!$J$20/10^6/VLOOKUP($B162,Types!$B$2:$D$13,3,FALSE)/Conv!$I$5</f>
        <v>9.697863316648311</v>
      </c>
      <c r="M162" s="67">
        <f>I162*Conv!$J$20/10^6/VLOOKUP($B162,Types!$B$2:$D$13,3,FALSE)/Conv!$I$5</f>
        <v>8.5018528839994776</v>
      </c>
      <c r="N162" s="67" t="e">
        <f>M162*#REF!</f>
        <v>#REF!</v>
      </c>
      <c r="O162" s="67" t="e">
        <f>N162*#REF!</f>
        <v>#REF!</v>
      </c>
      <c r="P162" s="67" t="e">
        <f>O162*#REF!</f>
        <v>#REF!</v>
      </c>
      <c r="Q162" s="67" t="e">
        <f>P162*#REF!</f>
        <v>#REF!</v>
      </c>
      <c r="R162" s="67" t="e">
        <f>Q162*#REF!</f>
        <v>#REF!</v>
      </c>
      <c r="S162" s="67" t="e">
        <f>R162*#REF!</f>
        <v>#REF!</v>
      </c>
      <c r="T162" s="67" t="e">
        <f>S162*#REF!</f>
        <v>#REF!</v>
      </c>
      <c r="U162" s="67" t="e">
        <f>T162*#REF!</f>
        <v>#REF!</v>
      </c>
      <c r="V162" s="67" t="e">
        <f>U162*#REF!</f>
        <v>#REF!</v>
      </c>
      <c r="W162" s="42"/>
      <c r="X162" s="9">
        <f t="array" ref="X162">SUMIFS('Agg prdcrv'!$F$6:$F$100,'Agg prdcrv'!$A$6:$A$100,'Imp Refined'!$A162,'Agg prdcrv'!$B$6:$B$100,X$11)</f>
        <v>33.5</v>
      </c>
      <c r="Y162" s="9">
        <f t="array" ref="Y162">SUMIFS('Agg prdcrv'!$F$6:$F$100,'Agg prdcrv'!$A$6:$A$100,'Imp Refined'!$A162,'Agg prdcrv'!$B$6:$B$100,Y$11)</f>
        <v>24.16</v>
      </c>
      <c r="Z162" s="9">
        <f t="array" ref="Z162">SUMIFS('Agg prdcrv'!$F$6:$F$100,'Agg prdcrv'!$A$6:$A$100,'Imp Refined'!$A162,'Agg prdcrv'!$B$6:$B$100,Z$11)</f>
        <v>22.98</v>
      </c>
      <c r="AA162" s="9">
        <f t="array" ref="AA162">SUMIFS('Agg prdcrv'!$F$6:$F$100,'Agg prdcrv'!$A$6:$A$100,'Imp Refined'!$A162,'Agg prdcrv'!$B$6:$B$100,AA$11)</f>
        <v>21.85</v>
      </c>
      <c r="AB162" s="42">
        <f>X162*VLOOKUP($B162,Types!$B$2:$D$13,3,FALSE)*Conv!$I$5*1000*365</f>
        <v>81.106683547879996</v>
      </c>
      <c r="AC162" s="42">
        <f>Y162*VLOOKUP($B162,Types!$B$2:$D$13,3,FALSE)*Conv!$I$5*1000*365</f>
        <v>58.493655955724797</v>
      </c>
      <c r="AD162" s="42">
        <f>Z162*VLOOKUP($B162,Types!$B$2:$D$13,3,FALSE)*Conv!$I$5*1000*365</f>
        <v>55.636763818814387</v>
      </c>
      <c r="AE162" s="42">
        <f>AA162*VLOOKUP($B162,Types!$B$2:$D$13,3,FALSE)*Conv!$I$5*1000*365</f>
        <v>52.900926433467994</v>
      </c>
      <c r="AF162" s="42">
        <f>AB162-AB164</f>
        <v>8.1106683547880039</v>
      </c>
      <c r="AG162" s="42">
        <f t="shared" ref="AG162" si="792">AC162-AC164</f>
        <v>5.849365595572479</v>
      </c>
      <c r="AH162" s="42">
        <f t="shared" ref="AH162" si="793">AD162-AD164</f>
        <v>5.5636763818814217</v>
      </c>
      <c r="AI162" s="42">
        <f t="shared" ref="AI162" si="794">AE162-AE164</f>
        <v>5.2900926433467959</v>
      </c>
      <c r="AJ162" s="42"/>
      <c r="AK162" s="42"/>
      <c r="AL162" s="42"/>
    </row>
    <row r="163" spans="1:38">
      <c r="A163" s="9" t="str">
        <f>A162</f>
        <v>High Sulfur Fuel Oil</v>
      </c>
      <c r="B163" s="9" t="str">
        <f>VLOOKUP($A163,Types!$A$2:$C$13,2,FALSE)</f>
        <v>RFH</v>
      </c>
      <c r="C163" s="9">
        <v>1</v>
      </c>
      <c r="D163" s="9">
        <v>3</v>
      </c>
      <c r="E163" s="9" t="str">
        <f t="shared" si="651"/>
        <v>IMPRFHP31</v>
      </c>
      <c r="F163" s="9" t="str">
        <f>CONCATENATE("Imported ",VLOOKUP($A163,Types!$A$2:$C$13,3,FALSE),", PADD ",D163,", Step ",RIGHT(C163,1))</f>
        <v>Imported High Sulfur Residual Fuel Oil, PADD 3, Step 1</v>
      </c>
      <c r="G163" s="9" t="str">
        <f>CONCATENATE(VLOOKUP($A163,Types!$A$2:$C$13,2,FALSE),"P",D163)</f>
        <v>RFHP3</v>
      </c>
      <c r="H163" s="66">
        <f>H162*$C$5</f>
        <v>39.824949999999994</v>
      </c>
      <c r="I163" s="66">
        <f t="shared" ref="I163" si="795">I162*$C$5</f>
        <v>34.913449999999997</v>
      </c>
      <c r="J163" s="66">
        <f t="shared" ref="J163" si="796">J162*$C$5</f>
        <v>27.797000000000001</v>
      </c>
      <c r="K163" s="66">
        <f t="shared" ref="K163" si="797">K162*$C$5</f>
        <v>30.666</v>
      </c>
      <c r="L163" s="67">
        <f>H163*Conv!$J$20/10^6/VLOOKUP($B163,Types!$B$2:$D$13,3,FALSE)/Conv!$I$5</f>
        <v>9.2129701508158952</v>
      </c>
      <c r="M163" s="67">
        <f>I163*Conv!$J$20/10^6/VLOOKUP($B163,Types!$B$2:$D$13,3,FALSE)/Conv!$I$5</f>
        <v>8.0767602397995031</v>
      </c>
      <c r="N163" s="67" t="e">
        <f>M163*#REF!</f>
        <v>#REF!</v>
      </c>
      <c r="O163" s="67" t="e">
        <f>N163*#REF!</f>
        <v>#REF!</v>
      </c>
      <c r="P163" s="67" t="e">
        <f>O163*#REF!</f>
        <v>#REF!</v>
      </c>
      <c r="Q163" s="67" t="e">
        <f>P163*#REF!</f>
        <v>#REF!</v>
      </c>
      <c r="R163" s="67" t="e">
        <f>Q163*#REF!</f>
        <v>#REF!</v>
      </c>
      <c r="S163" s="67" t="e">
        <f>R163*#REF!</f>
        <v>#REF!</v>
      </c>
      <c r="T163" s="67" t="e">
        <f>S163*#REF!</f>
        <v>#REF!</v>
      </c>
      <c r="U163" s="67" t="e">
        <f>T163*#REF!</f>
        <v>#REF!</v>
      </c>
      <c r="V163" s="67" t="e">
        <f>U163*#REF!</f>
        <v>#REF!</v>
      </c>
      <c r="W163" s="42"/>
      <c r="X163" s="9">
        <f>X162*$E$5</f>
        <v>26.8</v>
      </c>
      <c r="Y163" s="9">
        <f t="shared" ref="Y163" si="798">Y162*$E$5</f>
        <v>19.328000000000003</v>
      </c>
      <c r="Z163" s="9">
        <f t="shared" ref="Z163" si="799">Z162*$E$5</f>
        <v>18.384</v>
      </c>
      <c r="AA163" s="9">
        <f t="shared" ref="AA163" si="800">AA162*$E$5</f>
        <v>17.48</v>
      </c>
      <c r="AB163" s="42">
        <f>X163*VLOOKUP($B163,Types!$B$2:$D$13,3,FALSE)*Conv!$I$5*1000*365</f>
        <v>64.885346838304002</v>
      </c>
      <c r="AC163" s="42">
        <f>Y163*VLOOKUP($B163,Types!$B$2:$D$13,3,FALSE)*Conv!$I$5*1000*365</f>
        <v>46.794924764579839</v>
      </c>
      <c r="AD163" s="42">
        <f>Z163*VLOOKUP($B163,Types!$B$2:$D$13,3,FALSE)*Conv!$I$5*1000*365</f>
        <v>44.509411055051523</v>
      </c>
      <c r="AE163" s="42">
        <f>AA163*VLOOKUP($B163,Types!$B$2:$D$13,3,FALSE)*Conv!$I$5*1000*365</f>
        <v>42.320741146774395</v>
      </c>
      <c r="AF163" s="42">
        <f>AB163</f>
        <v>64.885346838304002</v>
      </c>
      <c r="AG163" s="42">
        <f t="shared" ref="AG163" si="801">AC163</f>
        <v>46.794924764579839</v>
      </c>
      <c r="AH163" s="42">
        <f t="shared" ref="AH163" si="802">AD163</f>
        <v>44.509411055051523</v>
      </c>
      <c r="AI163" s="42">
        <f t="shared" ref="AI163" si="803">AE163</f>
        <v>42.320741146774395</v>
      </c>
      <c r="AJ163" s="42"/>
      <c r="AK163" s="42"/>
      <c r="AL163" s="42"/>
    </row>
    <row r="164" spans="1:38">
      <c r="A164" s="9" t="str">
        <f t="shared" ref="A164:A166" si="804">A163</f>
        <v>High Sulfur Fuel Oil</v>
      </c>
      <c r="B164" s="9" t="str">
        <f>VLOOKUP($A164,Types!$A$2:$C$13,2,FALSE)</f>
        <v>RFH</v>
      </c>
      <c r="C164" s="9">
        <v>2</v>
      </c>
      <c r="D164" s="9">
        <v>3</v>
      </c>
      <c r="E164" s="9" t="str">
        <f t="shared" si="651"/>
        <v>IMPRFHP32</v>
      </c>
      <c r="F164" s="9" t="str">
        <f>CONCATENATE("Imported ",VLOOKUP($A164,Types!$A$2:$C$13,3,FALSE),", PADD ",D164,", Step ",RIGHT(C164,1))</f>
        <v>Imported High Sulfur Residual Fuel Oil, PADD 3, Step 2</v>
      </c>
      <c r="G164" s="9" t="str">
        <f>CONCATENATE(VLOOKUP($A164,Types!$A$2:$C$13,2,FALSE),"P",D164)</f>
        <v>RFHP3</v>
      </c>
      <c r="H164" s="66">
        <f>H162*$C$6</f>
        <v>41.08258</v>
      </c>
      <c r="I164" s="66">
        <f t="shared" ref="I164:K164" si="805">I162*$C$6</f>
        <v>36.015979999999999</v>
      </c>
      <c r="J164" s="66">
        <f t="shared" si="805"/>
        <v>28.674800000000001</v>
      </c>
      <c r="K164" s="66">
        <f t="shared" si="805"/>
        <v>31.634399999999999</v>
      </c>
      <c r="L164" s="67">
        <f>H164*Conv!$J$20/10^6/VLOOKUP($B164,Types!$B$2:$D$13,3,FALSE)/Conv!$I$5</f>
        <v>9.5039060503153454</v>
      </c>
      <c r="M164" s="67">
        <f>I164*Conv!$J$20/10^6/VLOOKUP($B164,Types!$B$2:$D$13,3,FALSE)/Conv!$I$5</f>
        <v>8.3318158263194881</v>
      </c>
      <c r="N164" s="67" t="e">
        <f>M164*#REF!</f>
        <v>#REF!</v>
      </c>
      <c r="O164" s="67" t="e">
        <f>N164*#REF!</f>
        <v>#REF!</v>
      </c>
      <c r="P164" s="67" t="e">
        <f>O164*#REF!</f>
        <v>#REF!</v>
      </c>
      <c r="Q164" s="67" t="e">
        <f>P164*#REF!</f>
        <v>#REF!</v>
      </c>
      <c r="R164" s="67" t="e">
        <f>Q164*#REF!</f>
        <v>#REF!</v>
      </c>
      <c r="S164" s="67" t="e">
        <f>R164*#REF!</f>
        <v>#REF!</v>
      </c>
      <c r="T164" s="67" t="e">
        <f>S164*#REF!</f>
        <v>#REF!</v>
      </c>
      <c r="U164" s="67" t="e">
        <f>T164*#REF!</f>
        <v>#REF!</v>
      </c>
      <c r="V164" s="67" t="e">
        <f>U164*#REF!</f>
        <v>#REF!</v>
      </c>
      <c r="W164" s="42"/>
      <c r="X164" s="9">
        <f>X162*$E$6</f>
        <v>30.150000000000002</v>
      </c>
      <c r="Y164" s="9">
        <f t="shared" ref="Y164:AA164" si="806">Y162*$E$6</f>
        <v>21.744</v>
      </c>
      <c r="Z164" s="9">
        <f t="shared" si="806"/>
        <v>20.682000000000002</v>
      </c>
      <c r="AA164" s="9">
        <f t="shared" si="806"/>
        <v>19.665000000000003</v>
      </c>
      <c r="AB164" s="42">
        <f>X164*VLOOKUP($B164,Types!$B$2:$D$13,3,FALSE)*Conv!$I$5*1000*365</f>
        <v>72.996015193091992</v>
      </c>
      <c r="AC164" s="42">
        <f>Y164*VLOOKUP($B164,Types!$B$2:$D$13,3,FALSE)*Conv!$I$5*1000*365</f>
        <v>52.644290360152318</v>
      </c>
      <c r="AD164" s="42">
        <f>Z164*VLOOKUP($B164,Types!$B$2:$D$13,3,FALSE)*Conv!$I$5*1000*365</f>
        <v>50.073087436932965</v>
      </c>
      <c r="AE164" s="42">
        <f>AA164*VLOOKUP($B164,Types!$B$2:$D$13,3,FALSE)*Conv!$I$5*1000*365</f>
        <v>47.610833790121198</v>
      </c>
      <c r="AF164" s="42">
        <f>AB164-AF163</f>
        <v>8.1106683547879896</v>
      </c>
      <c r="AG164" s="42">
        <f t="shared" ref="AG164" si="807">AC164-AG163</f>
        <v>5.849365595572479</v>
      </c>
      <c r="AH164" s="42">
        <f t="shared" ref="AH164" si="808">AD164-AH163</f>
        <v>5.563676381881443</v>
      </c>
      <c r="AI164" s="42">
        <f t="shared" ref="AI164" si="809">AE164-AI163</f>
        <v>5.290092643346803</v>
      </c>
      <c r="AJ164" s="42"/>
      <c r="AK164" s="42"/>
      <c r="AL164" s="42"/>
    </row>
    <row r="165" spans="1:38">
      <c r="A165" s="9" t="str">
        <f t="shared" si="804"/>
        <v>High Sulfur Fuel Oil</v>
      </c>
      <c r="B165" s="9" t="str">
        <f>VLOOKUP($A165,Types!$A$2:$C$13,2,FALSE)</f>
        <v>RFH</v>
      </c>
      <c r="C165" s="9">
        <v>4</v>
      </c>
      <c r="D165" s="9">
        <v>3</v>
      </c>
      <c r="E165" s="9" t="str">
        <f t="shared" si="651"/>
        <v>IMPRFHP34</v>
      </c>
      <c r="F165" s="9" t="str">
        <f>CONCATENATE("Imported ",VLOOKUP($A165,Types!$A$2:$C$13,3,FALSE),", PADD ",D165,", Step ",RIGHT(C165,1))</f>
        <v>Imported High Sulfur Residual Fuel Oil, PADD 3, Step 4</v>
      </c>
      <c r="G165" s="9" t="str">
        <f>CONCATENATE(VLOOKUP($A165,Types!$A$2:$C$13,2,FALSE),"P",D165)</f>
        <v>RFHP3</v>
      </c>
      <c r="H165" s="66">
        <f>H162*$C$8</f>
        <v>45.693890000000003</v>
      </c>
      <c r="I165" s="66">
        <f t="shared" ref="I165:K165" si="810">I162*$C$8</f>
        <v>40.058590000000002</v>
      </c>
      <c r="J165" s="66">
        <f t="shared" si="810"/>
        <v>31.893400000000003</v>
      </c>
      <c r="K165" s="66">
        <f t="shared" si="810"/>
        <v>35.185200000000002</v>
      </c>
      <c r="L165" s="67">
        <f>H165*Conv!$J$20/10^6/VLOOKUP($B165,Types!$B$2:$D$13,3,FALSE)/Conv!$I$5</f>
        <v>10.57067101514666</v>
      </c>
      <c r="M165" s="67">
        <f>I165*Conv!$J$20/10^6/VLOOKUP($B165,Types!$B$2:$D$13,3,FALSE)/Conv!$I$5</f>
        <v>9.267019643559431</v>
      </c>
      <c r="N165" s="67" t="e">
        <f>M165*#REF!</f>
        <v>#REF!</v>
      </c>
      <c r="O165" s="67" t="e">
        <f>N165*#REF!</f>
        <v>#REF!</v>
      </c>
      <c r="P165" s="67" t="e">
        <f>O165*#REF!</f>
        <v>#REF!</v>
      </c>
      <c r="Q165" s="67" t="e">
        <f>P165*#REF!</f>
        <v>#REF!</v>
      </c>
      <c r="R165" s="67" t="e">
        <f>Q165*#REF!</f>
        <v>#REF!</v>
      </c>
      <c r="S165" s="67" t="e">
        <f>R165*#REF!</f>
        <v>#REF!</v>
      </c>
      <c r="T165" s="67" t="e">
        <f>S165*#REF!</f>
        <v>#REF!</v>
      </c>
      <c r="U165" s="67" t="e">
        <f>T165*#REF!</f>
        <v>#REF!</v>
      </c>
      <c r="V165" s="67" t="e">
        <f>U165*#REF!</f>
        <v>#REF!</v>
      </c>
      <c r="W165" s="42"/>
      <c r="X165" s="9">
        <f>X162*$E$8</f>
        <v>40.199999999999996</v>
      </c>
      <c r="Y165" s="9">
        <f t="shared" ref="Y165:AA165" si="811">Y162*$E$8</f>
        <v>28.991999999999997</v>
      </c>
      <c r="Z165" s="9">
        <f t="shared" si="811"/>
        <v>27.576000000000001</v>
      </c>
      <c r="AA165" s="9">
        <f t="shared" si="811"/>
        <v>26.220000000000002</v>
      </c>
      <c r="AB165" s="42">
        <f>X165*VLOOKUP($B165,Types!$B$2:$D$13,3,FALSE)*Conv!$I$5*1000*365</f>
        <v>97.328020257455975</v>
      </c>
      <c r="AC165" s="42">
        <f>Y165*VLOOKUP($B165,Types!$B$2:$D$13,3,FALSE)*Conv!$I$5*1000*365</f>
        <v>70.192387146869748</v>
      </c>
      <c r="AD165" s="42">
        <f>Z165*VLOOKUP($B165,Types!$B$2:$D$13,3,FALSE)*Conv!$I$5*1000*365</f>
        <v>66.764116582577273</v>
      </c>
      <c r="AE165" s="42">
        <f>AA165*VLOOKUP($B165,Types!$B$2:$D$13,3,FALSE)*Conv!$I$5*1000*365</f>
        <v>63.4811117201616</v>
      </c>
      <c r="AF165" s="42">
        <f>AB165-AB162</f>
        <v>16.221336709575979</v>
      </c>
      <c r="AG165" s="42">
        <f t="shared" ref="AG165" si="812">AC165-AC162</f>
        <v>11.698731191144951</v>
      </c>
      <c r="AH165" s="42">
        <f t="shared" ref="AH165" si="813">AD165-AD162</f>
        <v>11.127352763762886</v>
      </c>
      <c r="AI165" s="42">
        <f t="shared" ref="AI165" si="814">AE165-AE162</f>
        <v>10.580185286693606</v>
      </c>
      <c r="AJ165" s="42"/>
      <c r="AK165" s="42"/>
      <c r="AL165" s="42"/>
    </row>
    <row r="166" spans="1:38">
      <c r="A166" s="9" t="str">
        <f t="shared" si="804"/>
        <v>High Sulfur Fuel Oil</v>
      </c>
      <c r="B166" s="9" t="str">
        <f>VLOOKUP($A166,Types!$A$2:$C$13,2,FALSE)</f>
        <v>RFH</v>
      </c>
      <c r="C166" s="9">
        <v>5</v>
      </c>
      <c r="D166" s="9">
        <v>3</v>
      </c>
      <c r="E166" s="9" t="str">
        <f t="shared" si="651"/>
        <v>IMPRFHP35</v>
      </c>
      <c r="F166" s="9" t="str">
        <f>CONCATENATE("Imported ",VLOOKUP($A166,Types!$A$2:$C$13,3,FALSE),", PADD ",D166,", Step ",RIGHT(C166,1))</f>
        <v>Imported High Sulfur Residual Fuel Oil, PADD 3, Step 5</v>
      </c>
      <c r="G166" s="9" t="str">
        <f>CONCATENATE(VLOOKUP($A166,Types!$A$2:$C$13,2,FALSE),"P",D166)</f>
        <v>RFHP3</v>
      </c>
      <c r="H166" s="66">
        <f>H162*$C$9</f>
        <v>54.497300000000003</v>
      </c>
      <c r="I166" s="66">
        <f t="shared" ref="I166:K166" si="815">I162*$C$9</f>
        <v>47.776299999999999</v>
      </c>
      <c r="J166" s="66">
        <f t="shared" si="815"/>
        <v>38.038000000000004</v>
      </c>
      <c r="K166" s="66">
        <f t="shared" si="815"/>
        <v>41.964000000000006</v>
      </c>
      <c r="L166" s="67">
        <f>H166*Conv!$J$20/10^6/VLOOKUP($B166,Types!$B$2:$D$13,3,FALSE)/Conv!$I$5</f>
        <v>12.607222311642806</v>
      </c>
      <c r="M166" s="67">
        <f>I166*Conv!$J$20/10^6/VLOOKUP($B166,Types!$B$2:$D$13,3,FALSE)/Conv!$I$5</f>
        <v>11.052408749199319</v>
      </c>
      <c r="N166" s="67" t="e">
        <f>M166*#REF!</f>
        <v>#REF!</v>
      </c>
      <c r="O166" s="67" t="e">
        <f>N166*#REF!</f>
        <v>#REF!</v>
      </c>
      <c r="P166" s="67" t="e">
        <f>O166*#REF!</f>
        <v>#REF!</v>
      </c>
      <c r="Q166" s="67" t="e">
        <f>P166*#REF!</f>
        <v>#REF!</v>
      </c>
      <c r="R166" s="67" t="e">
        <f>Q166*#REF!</f>
        <v>#REF!</v>
      </c>
      <c r="S166" s="67" t="e">
        <f>R166*#REF!</f>
        <v>#REF!</v>
      </c>
      <c r="T166" s="67" t="e">
        <f>S166*#REF!</f>
        <v>#REF!</v>
      </c>
      <c r="U166" s="67" t="e">
        <f>T166*#REF!</f>
        <v>#REF!</v>
      </c>
      <c r="V166" s="67" t="e">
        <f>U166*#REF!</f>
        <v>#REF!</v>
      </c>
      <c r="W166" s="42"/>
      <c r="X166" s="9">
        <f>X162*$E$9</f>
        <v>67</v>
      </c>
      <c r="Y166" s="9">
        <f t="shared" ref="Y166:AA166" si="816">Y162*$E$9</f>
        <v>48.32</v>
      </c>
      <c r="Z166" s="9">
        <f t="shared" si="816"/>
        <v>45.96</v>
      </c>
      <c r="AA166" s="9">
        <f t="shared" si="816"/>
        <v>43.7</v>
      </c>
      <c r="AB166" s="42">
        <f>X166*VLOOKUP($B166,Types!$B$2:$D$13,3,FALSE)*Conv!$I$5*1000*365</f>
        <v>162.21336709575999</v>
      </c>
      <c r="AC166" s="42">
        <f>Y166*VLOOKUP($B166,Types!$B$2:$D$13,3,FALSE)*Conv!$I$5*1000*365</f>
        <v>116.98731191144959</v>
      </c>
      <c r="AD166" s="42">
        <f>Z166*VLOOKUP($B166,Types!$B$2:$D$13,3,FALSE)*Conv!$I$5*1000*365</f>
        <v>111.27352763762877</v>
      </c>
      <c r="AE166" s="42">
        <f>AA166*VLOOKUP($B166,Types!$B$2:$D$13,3,FALSE)*Conv!$I$5*1000*365</f>
        <v>105.80185286693599</v>
      </c>
      <c r="AF166" s="42">
        <f>AB166-AB165</f>
        <v>64.885346838304017</v>
      </c>
      <c r="AG166" s="42">
        <f t="shared" ref="AG166" si="817">AC166-AC165</f>
        <v>46.794924764579847</v>
      </c>
      <c r="AH166" s="42">
        <f t="shared" ref="AH166" si="818">AD166-AD165</f>
        <v>44.509411055051501</v>
      </c>
      <c r="AI166" s="42">
        <f t="shared" ref="AI166" si="819">AE166-AE165</f>
        <v>42.320741146774388</v>
      </c>
      <c r="AJ166" s="42"/>
      <c r="AK166" s="42"/>
      <c r="AL166" s="42"/>
    </row>
    <row r="167" spans="1:38">
      <c r="A167" s="9" t="str">
        <f>'Agg prdcrv'!$A$12</f>
        <v>Jet Fuel</v>
      </c>
      <c r="B167" s="9" t="str">
        <f>VLOOKUP($A167,Types!$A$2:$C$13,2,FALSE)</f>
        <v>JTF</v>
      </c>
      <c r="C167" s="9">
        <v>3</v>
      </c>
      <c r="D167" s="9">
        <v>3</v>
      </c>
      <c r="E167" s="9" t="str">
        <f t="shared" si="651"/>
        <v>IMPJTFP33</v>
      </c>
      <c r="F167" s="9" t="str">
        <f>CONCATENATE("Imported ",VLOOKUP($A167,Types!$A$2:$C$13,3,FALSE),", PADD ",D167,", Step ",RIGHT(C167,1))</f>
        <v>Imported Jet Fuel, PADD 3, Step 3</v>
      </c>
      <c r="G167" s="9" t="str">
        <f>CONCATENATE(VLOOKUP($A167,Types!$A$2:$C$13,2,FALSE),"P",D167)</f>
        <v>JTFP3</v>
      </c>
      <c r="H167" s="66">
        <f>SUMIFS('Agg prdcrv'!$N$6:$N$100,'Agg prdcrv'!$A$6:$A$100,'Imp Refined'!$A167,'Agg prdcrv'!$B$6:$B$100,H$11)*K4</f>
        <v>47.597000000000008</v>
      </c>
      <c r="I167" s="66">
        <f>SUMIFS('Agg prdcrv'!$N$6:$N$100,'Agg prdcrv'!$A$6:$A$100,'Imp Refined'!$A167,'Agg prdcrv'!$B$6:$B$100,I$11)*K4</f>
        <v>42.581000000000003</v>
      </c>
      <c r="J167" s="66">
        <f t="array" ref="J167">SUMIFS('Agg prdcrv'!$N$6:$N$100,'Agg prdcrv'!$A$6:$A$100,'Imp Refined'!$A167,'Agg prdcrv'!$B$6:$B$100,J$11)</f>
        <v>34.159999999999997</v>
      </c>
      <c r="K167" s="66">
        <f t="array" ref="K167">SUMIFS('Agg prdcrv'!$N$6:$N$100,'Agg prdcrv'!$A$6:$A$100,'Imp Refined'!$A167,'Agg prdcrv'!$B$6:$B$100,K$11)</f>
        <v>37.28</v>
      </c>
      <c r="L167" s="67">
        <f>H167*Conv!$J$20/10^6/VLOOKUP($B167,Types!$B$2:$D$13,3,FALSE)/Conv!$I$5</f>
        <v>12.209121247402738</v>
      </c>
      <c r="M167" s="67">
        <f>I167*Conv!$J$20/10^6/VLOOKUP($B167,Types!$B$2:$D$13,3,FALSE)/Conv!$I$5</f>
        <v>10.922465530089204</v>
      </c>
      <c r="N167" s="67" t="e">
        <f>M167*#REF!</f>
        <v>#REF!</v>
      </c>
      <c r="O167" s="67" t="e">
        <f>N167*#REF!</f>
        <v>#REF!</v>
      </c>
      <c r="P167" s="67" t="e">
        <f>O167*#REF!</f>
        <v>#REF!</v>
      </c>
      <c r="Q167" s="67" t="e">
        <f>P167*#REF!</f>
        <v>#REF!</v>
      </c>
      <c r="R167" s="67" t="e">
        <f>Q167*#REF!</f>
        <v>#REF!</v>
      </c>
      <c r="S167" s="67" t="e">
        <f>R167*#REF!</f>
        <v>#REF!</v>
      </c>
      <c r="T167" s="67" t="e">
        <f>S167*#REF!</f>
        <v>#REF!</v>
      </c>
      <c r="U167" s="67" t="e">
        <f>T167*#REF!</f>
        <v>#REF!</v>
      </c>
      <c r="V167" s="67" t="e">
        <f>U167*#REF!</f>
        <v>#REF!</v>
      </c>
      <c r="W167" s="42"/>
      <c r="X167" s="9">
        <f t="array" ref="X167">SUMIFS('Agg prdcrv'!$F$6:$F$100,'Agg prdcrv'!$A$6:$A$100,'Imp Refined'!$A167,'Agg prdcrv'!$B$6:$B$100,X$11)</f>
        <v>16.05</v>
      </c>
      <c r="Y167" s="9">
        <f t="array" ref="Y167">SUMIFS('Agg prdcrv'!$F$6:$F$100,'Agg prdcrv'!$A$6:$A$100,'Imp Refined'!$A167,'Agg prdcrv'!$B$6:$B$100,Y$11)</f>
        <v>5.04</v>
      </c>
      <c r="Z167" s="9">
        <f t="array" ref="Z167">SUMIFS('Agg prdcrv'!$F$6:$F$100,'Agg prdcrv'!$A$6:$A$100,'Imp Refined'!$A167,'Agg prdcrv'!$B$6:$B$100,Z$11)</f>
        <v>5.57</v>
      </c>
      <c r="AA167" s="9">
        <f t="array" ref="AA167">SUMIFS('Agg prdcrv'!$F$6:$F$100,'Agg prdcrv'!$A$6:$A$100,'Imp Refined'!$A167,'Agg prdcrv'!$B$6:$B$100,AA$11)</f>
        <v>6.15</v>
      </c>
      <c r="AB167" s="42">
        <f>X167*VLOOKUP($B167,Types!$B$2:$D$13,3,FALSE)*Conv!$I$5*1000*365</f>
        <v>35.045032874039997</v>
      </c>
      <c r="AC167" s="42">
        <f>Y167*VLOOKUP($B167,Types!$B$2:$D$13,3,FALSE)*Conv!$I$5*1000*365</f>
        <v>11.004795369791999</v>
      </c>
      <c r="AD167" s="42">
        <f>Z167*VLOOKUP($B167,Types!$B$2:$D$13,3,FALSE)*Conv!$I$5*1000*365</f>
        <v>12.162045676536</v>
      </c>
      <c r="AE167" s="42">
        <f>AA167*VLOOKUP($B167,Types!$B$2:$D$13,3,FALSE)*Conv!$I$5*1000*365</f>
        <v>13.428470540519999</v>
      </c>
      <c r="AF167" s="42">
        <f>AB167-AB169</f>
        <v>3.5045032874040025</v>
      </c>
      <c r="AG167" s="42">
        <f t="shared" ref="AG167" si="820">AC167-AC169</f>
        <v>1.1004795369791989</v>
      </c>
      <c r="AH167" s="42">
        <f t="shared" ref="AH167" si="821">AD167-AD169</f>
        <v>1.2162045676536</v>
      </c>
      <c r="AI167" s="42">
        <f t="shared" ref="AI167" si="822">AE167-AE169</f>
        <v>1.3428470540519992</v>
      </c>
      <c r="AJ167" s="42"/>
      <c r="AK167" s="42"/>
      <c r="AL167" s="42"/>
    </row>
    <row r="168" spans="1:38">
      <c r="A168" s="9" t="str">
        <f>A167</f>
        <v>Jet Fuel</v>
      </c>
      <c r="B168" s="9" t="str">
        <f>VLOOKUP($A168,Types!$A$2:$C$13,2,FALSE)</f>
        <v>JTF</v>
      </c>
      <c r="C168" s="9">
        <v>1</v>
      </c>
      <c r="D168" s="9">
        <v>3</v>
      </c>
      <c r="E168" s="9" t="str">
        <f t="shared" si="651"/>
        <v>IMPJTFP31</v>
      </c>
      <c r="F168" s="9" t="str">
        <f>CONCATENATE("Imported ",VLOOKUP($A168,Types!$A$2:$C$13,3,FALSE),", PADD ",D168,", Step ",RIGHT(C168,1))</f>
        <v>Imported Jet Fuel, PADD 3, Step 1</v>
      </c>
      <c r="G168" s="9" t="str">
        <f>CONCATENATE(VLOOKUP($A168,Types!$A$2:$C$13,2,FALSE),"P",D168)</f>
        <v>JTFP3</v>
      </c>
      <c r="H168" s="66">
        <f>H167*$C$5</f>
        <v>45.217150000000004</v>
      </c>
      <c r="I168" s="66">
        <f t="shared" ref="I168" si="823">I167*$C$5</f>
        <v>40.451950000000004</v>
      </c>
      <c r="J168" s="66">
        <f t="shared" ref="J168" si="824">J167*$C$5</f>
        <v>32.451999999999998</v>
      </c>
      <c r="K168" s="66">
        <f t="shared" ref="K168" si="825">K167*$C$5</f>
        <v>35.415999999999997</v>
      </c>
      <c r="L168" s="67">
        <f>H168*Conv!$J$20/10^6/VLOOKUP($B168,Types!$B$2:$D$13,3,FALSE)/Conv!$I$5</f>
        <v>11.598665185032601</v>
      </c>
      <c r="M168" s="67">
        <f>I168*Conv!$J$20/10^6/VLOOKUP($B168,Types!$B$2:$D$13,3,FALSE)/Conv!$I$5</f>
        <v>10.376342253584745</v>
      </c>
      <c r="N168" s="67" t="e">
        <f>M168*#REF!</f>
        <v>#REF!</v>
      </c>
      <c r="O168" s="67" t="e">
        <f>N168*#REF!</f>
        <v>#REF!</v>
      </c>
      <c r="P168" s="67" t="e">
        <f>O168*#REF!</f>
        <v>#REF!</v>
      </c>
      <c r="Q168" s="67" t="e">
        <f>P168*#REF!</f>
        <v>#REF!</v>
      </c>
      <c r="R168" s="67" t="e">
        <f>Q168*#REF!</f>
        <v>#REF!</v>
      </c>
      <c r="S168" s="67" t="e">
        <f>R168*#REF!</f>
        <v>#REF!</v>
      </c>
      <c r="T168" s="67" t="e">
        <f>S168*#REF!</f>
        <v>#REF!</v>
      </c>
      <c r="U168" s="67" t="e">
        <f>T168*#REF!</f>
        <v>#REF!</v>
      </c>
      <c r="V168" s="67" t="e">
        <f>U168*#REF!</f>
        <v>#REF!</v>
      </c>
      <c r="W168" s="42"/>
      <c r="X168" s="9">
        <f>X167*$E$5</f>
        <v>12.840000000000002</v>
      </c>
      <c r="Y168" s="9">
        <f t="shared" ref="Y168" si="826">Y167*$E$5</f>
        <v>4.032</v>
      </c>
      <c r="Z168" s="9">
        <f t="shared" ref="Z168" si="827">Z167*$E$5</f>
        <v>4.4560000000000004</v>
      </c>
      <c r="AA168" s="9">
        <f t="shared" ref="AA168" si="828">AA167*$E$5</f>
        <v>4.9200000000000008</v>
      </c>
      <c r="AB168" s="42">
        <f>X168*VLOOKUP($B168,Types!$B$2:$D$13,3,FALSE)*Conv!$I$5*1000*365</f>
        <v>28.036026299232002</v>
      </c>
      <c r="AC168" s="42">
        <f>Y168*VLOOKUP($B168,Types!$B$2:$D$13,3,FALSE)*Conv!$I$5*1000*365</f>
        <v>8.8038362958335981</v>
      </c>
      <c r="AD168" s="42">
        <f>Z168*VLOOKUP($B168,Types!$B$2:$D$13,3,FALSE)*Conv!$I$5*1000*365</f>
        <v>9.7296365412287997</v>
      </c>
      <c r="AE168" s="42">
        <f>AA168*VLOOKUP($B168,Types!$B$2:$D$13,3,FALSE)*Conv!$I$5*1000*365</f>
        <v>10.742776432416001</v>
      </c>
      <c r="AF168" s="42">
        <f>AB168</f>
        <v>28.036026299232002</v>
      </c>
      <c r="AG168" s="42">
        <f t="shared" ref="AG168" si="829">AC168</f>
        <v>8.8038362958335981</v>
      </c>
      <c r="AH168" s="42">
        <f t="shared" ref="AH168" si="830">AD168</f>
        <v>9.7296365412287997</v>
      </c>
      <c r="AI168" s="42">
        <f t="shared" ref="AI168" si="831">AE168</f>
        <v>10.742776432416001</v>
      </c>
      <c r="AJ168" s="42"/>
      <c r="AK168" s="42"/>
      <c r="AL168" s="42"/>
    </row>
    <row r="169" spans="1:38">
      <c r="A169" s="9" t="str">
        <f t="shared" ref="A169:A171" si="832">A168</f>
        <v>Jet Fuel</v>
      </c>
      <c r="B169" s="9" t="str">
        <f>VLOOKUP($A169,Types!$A$2:$C$13,2,FALSE)</f>
        <v>JTF</v>
      </c>
      <c r="C169" s="9">
        <v>2</v>
      </c>
      <c r="D169" s="9">
        <v>3</v>
      </c>
      <c r="E169" s="9" t="str">
        <f t="shared" si="651"/>
        <v>IMPJTFP32</v>
      </c>
      <c r="F169" s="9" t="str">
        <f>CONCATENATE("Imported ",VLOOKUP($A169,Types!$A$2:$C$13,3,FALSE),", PADD ",D169,", Step ",RIGHT(C169,1))</f>
        <v>Imported Jet Fuel, PADD 3, Step 2</v>
      </c>
      <c r="G169" s="9" t="str">
        <f>CONCATENATE(VLOOKUP($A169,Types!$A$2:$C$13,2,FALSE),"P",D169)</f>
        <v>JTFP3</v>
      </c>
      <c r="H169" s="66">
        <f>H167*$C$6</f>
        <v>46.645060000000008</v>
      </c>
      <c r="I169" s="66">
        <f t="shared" ref="I169:K169" si="833">I167*$C$6</f>
        <v>41.729379999999999</v>
      </c>
      <c r="J169" s="66">
        <f t="shared" si="833"/>
        <v>33.476799999999997</v>
      </c>
      <c r="K169" s="66">
        <f t="shared" si="833"/>
        <v>36.534399999999998</v>
      </c>
      <c r="L169" s="67">
        <f>H169*Conv!$J$20/10^6/VLOOKUP($B169,Types!$B$2:$D$13,3,FALSE)/Conv!$I$5</f>
        <v>11.964938822454684</v>
      </c>
      <c r="M169" s="67">
        <f>I169*Conv!$J$20/10^6/VLOOKUP($B169,Types!$B$2:$D$13,3,FALSE)/Conv!$I$5</f>
        <v>10.704016219487421</v>
      </c>
      <c r="N169" s="67" t="e">
        <f>M169*#REF!</f>
        <v>#REF!</v>
      </c>
      <c r="O169" s="67" t="e">
        <f>N169*#REF!</f>
        <v>#REF!</v>
      </c>
      <c r="P169" s="67" t="e">
        <f>O169*#REF!</f>
        <v>#REF!</v>
      </c>
      <c r="Q169" s="67" t="e">
        <f>P169*#REF!</f>
        <v>#REF!</v>
      </c>
      <c r="R169" s="67" t="e">
        <f>Q169*#REF!</f>
        <v>#REF!</v>
      </c>
      <c r="S169" s="67" t="e">
        <f>R169*#REF!</f>
        <v>#REF!</v>
      </c>
      <c r="T169" s="67" t="e">
        <f>S169*#REF!</f>
        <v>#REF!</v>
      </c>
      <c r="U169" s="67" t="e">
        <f>T169*#REF!</f>
        <v>#REF!</v>
      </c>
      <c r="V169" s="67" t="e">
        <f>U169*#REF!</f>
        <v>#REF!</v>
      </c>
      <c r="W169" s="42"/>
      <c r="X169" s="9">
        <f>X167*$E$6</f>
        <v>14.445</v>
      </c>
      <c r="Y169" s="9">
        <f t="shared" ref="Y169:AA169" si="834">Y167*$E$6</f>
        <v>4.5360000000000005</v>
      </c>
      <c r="Z169" s="9">
        <f t="shared" si="834"/>
        <v>5.0130000000000008</v>
      </c>
      <c r="AA169" s="9">
        <f t="shared" si="834"/>
        <v>5.5350000000000001</v>
      </c>
      <c r="AB169" s="42">
        <f>X169*VLOOKUP($B169,Types!$B$2:$D$13,3,FALSE)*Conv!$I$5*1000*365</f>
        <v>31.540529586635994</v>
      </c>
      <c r="AC169" s="42">
        <f>Y169*VLOOKUP($B169,Types!$B$2:$D$13,3,FALSE)*Conv!$I$5*1000*365</f>
        <v>9.9043158328128005</v>
      </c>
      <c r="AD169" s="42">
        <f>Z169*VLOOKUP($B169,Types!$B$2:$D$13,3,FALSE)*Conv!$I$5*1000*365</f>
        <v>10.9458411088824</v>
      </c>
      <c r="AE169" s="42">
        <f>AA169*VLOOKUP($B169,Types!$B$2:$D$13,3,FALSE)*Conv!$I$5*1000*365</f>
        <v>12.085623486468</v>
      </c>
      <c r="AF169" s="42">
        <f>AB169-AF168</f>
        <v>3.5045032874039919</v>
      </c>
      <c r="AG169" s="42">
        <f t="shared" ref="AG169" si="835">AC169-AG168</f>
        <v>1.1004795369792024</v>
      </c>
      <c r="AH169" s="42">
        <f t="shared" ref="AH169" si="836">AD169-AH168</f>
        <v>1.2162045676536</v>
      </c>
      <c r="AI169" s="42">
        <f t="shared" ref="AI169" si="837">AE169-AI168</f>
        <v>1.3428470540519992</v>
      </c>
      <c r="AJ169" s="42"/>
      <c r="AK169" s="42"/>
      <c r="AL169" s="42"/>
    </row>
    <row r="170" spans="1:38">
      <c r="A170" s="9" t="str">
        <f t="shared" si="832"/>
        <v>Jet Fuel</v>
      </c>
      <c r="B170" s="9" t="str">
        <f>VLOOKUP($A170,Types!$A$2:$C$13,2,FALSE)</f>
        <v>JTF</v>
      </c>
      <c r="C170" s="9">
        <v>4</v>
      </c>
      <c r="D170" s="9">
        <v>3</v>
      </c>
      <c r="E170" s="9" t="str">
        <f t="shared" si="651"/>
        <v>IMPJTFP34</v>
      </c>
      <c r="F170" s="9" t="str">
        <f>CONCATENATE("Imported ",VLOOKUP($A170,Types!$A$2:$C$13,3,FALSE),", PADD ",D170,", Step ",RIGHT(C170,1))</f>
        <v>Imported Jet Fuel, PADD 3, Step 4</v>
      </c>
      <c r="G170" s="9" t="str">
        <f>CONCATENATE(VLOOKUP($A170,Types!$A$2:$C$13,2,FALSE),"P",D170)</f>
        <v>JTFP3</v>
      </c>
      <c r="H170" s="66">
        <f>H167*$C$8</f>
        <v>51.880730000000014</v>
      </c>
      <c r="I170" s="66">
        <f t="shared" ref="I170:K170" si="838">I167*$C$8</f>
        <v>46.413290000000003</v>
      </c>
      <c r="J170" s="66">
        <f t="shared" si="838"/>
        <v>37.234400000000001</v>
      </c>
      <c r="K170" s="66">
        <f t="shared" si="838"/>
        <v>40.635200000000005</v>
      </c>
      <c r="L170" s="67">
        <f>H170*Conv!$J$20/10^6/VLOOKUP($B170,Types!$B$2:$D$13,3,FALSE)/Conv!$I$5</f>
        <v>13.307942159668986</v>
      </c>
      <c r="M170" s="67">
        <f>I170*Conv!$J$20/10^6/VLOOKUP($B170,Types!$B$2:$D$13,3,FALSE)/Conv!$I$5</f>
        <v>11.905487427797235</v>
      </c>
      <c r="N170" s="67" t="e">
        <f>M170*#REF!</f>
        <v>#REF!</v>
      </c>
      <c r="O170" s="67" t="e">
        <f>N170*#REF!</f>
        <v>#REF!</v>
      </c>
      <c r="P170" s="67" t="e">
        <f>O170*#REF!</f>
        <v>#REF!</v>
      </c>
      <c r="Q170" s="67" t="e">
        <f>P170*#REF!</f>
        <v>#REF!</v>
      </c>
      <c r="R170" s="67" t="e">
        <f>Q170*#REF!</f>
        <v>#REF!</v>
      </c>
      <c r="S170" s="67" t="e">
        <f>R170*#REF!</f>
        <v>#REF!</v>
      </c>
      <c r="T170" s="67" t="e">
        <f>S170*#REF!</f>
        <v>#REF!</v>
      </c>
      <c r="U170" s="67" t="e">
        <f>T170*#REF!</f>
        <v>#REF!</v>
      </c>
      <c r="V170" s="67" t="e">
        <f>U170*#REF!</f>
        <v>#REF!</v>
      </c>
      <c r="W170" s="42"/>
      <c r="X170" s="9">
        <f>X167*$E$8</f>
        <v>19.260000000000002</v>
      </c>
      <c r="Y170" s="9">
        <f t="shared" ref="Y170:AA170" si="839">Y167*$E$8</f>
        <v>6.048</v>
      </c>
      <c r="Z170" s="9">
        <f t="shared" si="839"/>
        <v>6.6840000000000002</v>
      </c>
      <c r="AA170" s="9">
        <f t="shared" si="839"/>
        <v>7.38</v>
      </c>
      <c r="AB170" s="42">
        <f>X170*VLOOKUP($B170,Types!$B$2:$D$13,3,FALSE)*Conv!$I$5*1000*365</f>
        <v>42.054039448848002</v>
      </c>
      <c r="AC170" s="42">
        <f>Y170*VLOOKUP($B170,Types!$B$2:$D$13,3,FALSE)*Conv!$I$5*1000*365</f>
        <v>13.205754443750401</v>
      </c>
      <c r="AD170" s="42">
        <f>Z170*VLOOKUP($B170,Types!$B$2:$D$13,3,FALSE)*Conv!$I$5*1000*365</f>
        <v>14.594454811843198</v>
      </c>
      <c r="AE170" s="42">
        <f>AA170*VLOOKUP($B170,Types!$B$2:$D$13,3,FALSE)*Conv!$I$5*1000*365</f>
        <v>16.114164648624001</v>
      </c>
      <c r="AF170" s="42">
        <f>AB170-AB167</f>
        <v>7.009006574808005</v>
      </c>
      <c r="AG170" s="42">
        <f t="shared" ref="AG170" si="840">AC170-AC167</f>
        <v>2.2009590739584013</v>
      </c>
      <c r="AH170" s="42">
        <f t="shared" ref="AH170" si="841">AD170-AD167</f>
        <v>2.4324091353071982</v>
      </c>
      <c r="AI170" s="42">
        <f t="shared" ref="AI170" si="842">AE170-AE167</f>
        <v>2.685694108104002</v>
      </c>
      <c r="AJ170" s="42"/>
      <c r="AK170" s="42"/>
      <c r="AL170" s="42"/>
    </row>
    <row r="171" spans="1:38">
      <c r="A171" s="9" t="str">
        <f t="shared" si="832"/>
        <v>Jet Fuel</v>
      </c>
      <c r="B171" s="9" t="str">
        <f>VLOOKUP($A171,Types!$A$2:$C$13,2,FALSE)</f>
        <v>JTF</v>
      </c>
      <c r="C171" s="9">
        <v>5</v>
      </c>
      <c r="D171" s="9">
        <v>3</v>
      </c>
      <c r="E171" s="9" t="str">
        <f t="shared" si="651"/>
        <v>IMPJTFP35</v>
      </c>
      <c r="F171" s="9" t="str">
        <f>CONCATENATE("Imported ",VLOOKUP($A171,Types!$A$2:$C$13,3,FALSE),", PADD ",D171,", Step ",RIGHT(C171,1))</f>
        <v>Imported Jet Fuel, PADD 3, Step 5</v>
      </c>
      <c r="G171" s="9" t="str">
        <f>CONCATENATE(VLOOKUP($A171,Types!$A$2:$C$13,2,FALSE),"P",D171)</f>
        <v>JTFP3</v>
      </c>
      <c r="H171" s="66">
        <f>H167*$C$9</f>
        <v>61.876100000000015</v>
      </c>
      <c r="I171" s="66">
        <f t="shared" ref="I171:K171" si="843">I167*$C$9</f>
        <v>55.355300000000007</v>
      </c>
      <c r="J171" s="66">
        <f t="shared" si="843"/>
        <v>44.407999999999994</v>
      </c>
      <c r="K171" s="66">
        <f t="shared" si="843"/>
        <v>48.464000000000006</v>
      </c>
      <c r="L171" s="67">
        <f>H171*Conv!$J$20/10^6/VLOOKUP($B171,Types!$B$2:$D$13,3,FALSE)/Conv!$I$5</f>
        <v>15.871857621623562</v>
      </c>
      <c r="M171" s="67">
        <f>I171*Conv!$J$20/10^6/VLOOKUP($B171,Types!$B$2:$D$13,3,FALSE)/Conv!$I$5</f>
        <v>14.199205189115967</v>
      </c>
      <c r="N171" s="67" t="e">
        <f>M171*#REF!</f>
        <v>#REF!</v>
      </c>
      <c r="O171" s="67" t="e">
        <f>N171*#REF!</f>
        <v>#REF!</v>
      </c>
      <c r="P171" s="67" t="e">
        <f>O171*#REF!</f>
        <v>#REF!</v>
      </c>
      <c r="Q171" s="67" t="e">
        <f>P171*#REF!</f>
        <v>#REF!</v>
      </c>
      <c r="R171" s="67" t="e">
        <f>Q171*#REF!</f>
        <v>#REF!</v>
      </c>
      <c r="S171" s="67" t="e">
        <f>R171*#REF!</f>
        <v>#REF!</v>
      </c>
      <c r="T171" s="67" t="e">
        <f>S171*#REF!</f>
        <v>#REF!</v>
      </c>
      <c r="U171" s="67" t="e">
        <f>T171*#REF!</f>
        <v>#REF!</v>
      </c>
      <c r="V171" s="67" t="e">
        <f>U171*#REF!</f>
        <v>#REF!</v>
      </c>
      <c r="W171" s="42"/>
      <c r="X171" s="9">
        <f>X167*$E$9</f>
        <v>32.1</v>
      </c>
      <c r="Y171" s="9">
        <f t="shared" ref="Y171:AA171" si="844">Y167*$E$9</f>
        <v>10.08</v>
      </c>
      <c r="Z171" s="9">
        <f t="shared" si="844"/>
        <v>11.14</v>
      </c>
      <c r="AA171" s="9">
        <f t="shared" si="844"/>
        <v>12.3</v>
      </c>
      <c r="AB171" s="42">
        <f>X171*VLOOKUP($B171,Types!$B$2:$D$13,3,FALSE)*Conv!$I$5*1000*365</f>
        <v>70.090065748079994</v>
      </c>
      <c r="AC171" s="42">
        <f>Y171*VLOOKUP($B171,Types!$B$2:$D$13,3,FALSE)*Conv!$I$5*1000*365</f>
        <v>22.009590739583999</v>
      </c>
      <c r="AD171" s="42">
        <f>Z171*VLOOKUP($B171,Types!$B$2:$D$13,3,FALSE)*Conv!$I$5*1000*365</f>
        <v>24.324091353071999</v>
      </c>
      <c r="AE171" s="42">
        <f>AA171*VLOOKUP($B171,Types!$B$2:$D$13,3,FALSE)*Conv!$I$5*1000*365</f>
        <v>26.856941081039999</v>
      </c>
      <c r="AF171" s="42">
        <f>AB171-AB170</f>
        <v>28.036026299231992</v>
      </c>
      <c r="AG171" s="42">
        <f t="shared" ref="AG171" si="845">AC171-AC170</f>
        <v>8.8038362958335981</v>
      </c>
      <c r="AH171" s="42">
        <f t="shared" ref="AH171" si="846">AD171-AD170</f>
        <v>9.7296365412288015</v>
      </c>
      <c r="AI171" s="42">
        <f t="shared" ref="AI171" si="847">AE171-AE170</f>
        <v>10.742776432415997</v>
      </c>
      <c r="AJ171" s="42"/>
      <c r="AK171" s="42"/>
      <c r="AL171" s="42"/>
    </row>
    <row r="172" spans="1:38">
      <c r="A172" s="9" t="str">
        <f>'Agg prdcrv'!$A$13</f>
        <v>LPG</v>
      </c>
      <c r="B172" s="9" t="str">
        <f>VLOOKUP($A172,Types!$A$2:$C$13,2,FALSE)</f>
        <v>LPG</v>
      </c>
      <c r="C172" s="9">
        <v>3</v>
      </c>
      <c r="D172" s="9">
        <v>3</v>
      </c>
      <c r="E172" s="9" t="str">
        <f t="shared" si="651"/>
        <v>IMPLPGP33</v>
      </c>
      <c r="F172" s="9" t="str">
        <f>CONCATENATE("Imported ",VLOOKUP($A172,Types!$A$2:$C$13,3,FALSE),", PADD ",D172,", Step ",RIGHT(C172,1))</f>
        <v>Imported LPG, PADD 3, Step 3</v>
      </c>
      <c r="G172" s="9" t="str">
        <f>CONCATENATE(VLOOKUP($A172,Types!$A$2:$C$13,2,FALSE),"P",D172)</f>
        <v>LPGP3</v>
      </c>
      <c r="H172" s="66">
        <f>SUMIFS('Agg prdcrv'!$N$6:$N$100,'Agg prdcrv'!$A$6:$A$100,'Imp Refined'!$A172,'Agg prdcrv'!$B$6:$B$100,H$11)*K4</f>
        <v>31.691000000000003</v>
      </c>
      <c r="I172" s="66">
        <f>SUMIFS('Agg prdcrv'!$N$6:$N$100,'Agg prdcrv'!$A$6:$A$100,'Imp Refined'!$A172,'Agg prdcrv'!$B$6:$B$100,I$11)*K4</f>
        <v>31.35</v>
      </c>
      <c r="J172" s="66">
        <f t="array" ref="J172">SUMIFS('Agg prdcrv'!$N$6:$N$100,'Agg prdcrv'!$A$6:$A$100,'Imp Refined'!$A172,'Agg prdcrv'!$B$6:$B$100,J$11)</f>
        <v>28.5</v>
      </c>
      <c r="K172" s="66">
        <f t="array" ref="K172">SUMIFS('Agg prdcrv'!$N$6:$N$100,'Agg prdcrv'!$A$6:$A$100,'Imp Refined'!$A172,'Agg prdcrv'!$B$6:$B$100,K$11)</f>
        <v>28.5</v>
      </c>
      <c r="L172" s="67">
        <f>H172*Conv!$J$20/10^6/VLOOKUP($B172,Types!$B$2:$D$13,3,FALSE)/Conv!$I$5</f>
        <v>12.958059311858628</v>
      </c>
      <c r="M172" s="67">
        <f>I172*Conv!$J$20/10^6/VLOOKUP($B172,Types!$B$2:$D$13,3,FALSE)/Conv!$I$5</f>
        <v>12.818628614646682</v>
      </c>
      <c r="N172" s="67" t="e">
        <f>M172*#REF!</f>
        <v>#REF!</v>
      </c>
      <c r="O172" s="67" t="e">
        <f>N172*#REF!</f>
        <v>#REF!</v>
      </c>
      <c r="P172" s="67" t="e">
        <f>O172*#REF!</f>
        <v>#REF!</v>
      </c>
      <c r="Q172" s="67" t="e">
        <f>P172*#REF!</f>
        <v>#REF!</v>
      </c>
      <c r="R172" s="67" t="e">
        <f>Q172*#REF!</f>
        <v>#REF!</v>
      </c>
      <c r="S172" s="67" t="e">
        <f>R172*#REF!</f>
        <v>#REF!</v>
      </c>
      <c r="T172" s="67" t="e">
        <f>S172*#REF!</f>
        <v>#REF!</v>
      </c>
      <c r="U172" s="67" t="e">
        <f>T172*#REF!</f>
        <v>#REF!</v>
      </c>
      <c r="V172" s="67" t="e">
        <f>U172*#REF!</f>
        <v>#REF!</v>
      </c>
      <c r="W172" s="42"/>
      <c r="X172" s="9">
        <f t="array" ref="X172">SUMIFS('Agg prdcrv'!$F$6:$F$100,'Agg prdcrv'!$A$6:$A$100,'Imp Refined'!$A172,'Agg prdcrv'!$B$6:$B$100,X$11)</f>
        <v>191.43</v>
      </c>
      <c r="Y172" s="9">
        <f t="array" ref="Y172">SUMIFS('Agg prdcrv'!$F$6:$F$100,'Agg prdcrv'!$A$6:$A$100,'Imp Refined'!$A172,'Agg prdcrv'!$B$6:$B$100,Y$11)</f>
        <v>152.81</v>
      </c>
      <c r="Z172" s="9">
        <f t="array" ref="Z172">SUMIFS('Agg prdcrv'!$F$6:$F$100,'Agg prdcrv'!$A$6:$A$100,'Imp Refined'!$A172,'Agg prdcrv'!$B$6:$B$100,Z$11)</f>
        <v>168.72</v>
      </c>
      <c r="AA172" s="9">
        <f t="array" ref="AA172">SUMIFS('Agg prdcrv'!$F$6:$F$100,'Agg prdcrv'!$A$6:$A$100,'Imp Refined'!$A172,'Agg prdcrv'!$B$6:$B$100,AA$11)</f>
        <v>186.28</v>
      </c>
      <c r="AB172" s="42">
        <f>X172*VLOOKUP($B172,Types!$B$2:$D$13,3,FALSE)*Conv!$I$5*1000*365</f>
        <v>262.21784302171437</v>
      </c>
      <c r="AC172" s="42">
        <f>Y172*VLOOKUP($B172,Types!$B$2:$D$13,3,FALSE)*Conv!$I$5*1000*365</f>
        <v>209.31676640102478</v>
      </c>
      <c r="AD172" s="42">
        <f>Z172*VLOOKUP($B172,Types!$B$2:$D$13,3,FALSE)*Conv!$I$5*1000*365</f>
        <v>231.11003747909757</v>
      </c>
      <c r="AE172" s="42">
        <f>AA172*VLOOKUP($B172,Types!$B$2:$D$13,3,FALSE)*Conv!$I$5*1000*365</f>
        <v>255.16345294930235</v>
      </c>
      <c r="AF172" s="42">
        <f>AB172-AB174</f>
        <v>26.221784302171415</v>
      </c>
      <c r="AG172" s="42">
        <f t="shared" ref="AG172" si="848">AC172-AC174</f>
        <v>20.931676640102495</v>
      </c>
      <c r="AH172" s="42">
        <f t="shared" ref="AH172" si="849">AD172-AD174</f>
        <v>23.111003747909763</v>
      </c>
      <c r="AI172" s="42">
        <f t="shared" ref="AI172" si="850">AE172-AE174</f>
        <v>25.516345294930204</v>
      </c>
      <c r="AJ172" s="42"/>
      <c r="AK172" s="42"/>
      <c r="AL172" s="42"/>
    </row>
    <row r="173" spans="1:38">
      <c r="A173" s="9" t="str">
        <f>A172</f>
        <v>LPG</v>
      </c>
      <c r="B173" s="9" t="str">
        <f>VLOOKUP($A173,Types!$A$2:$C$13,2,FALSE)</f>
        <v>LPG</v>
      </c>
      <c r="C173" s="9">
        <v>1</v>
      </c>
      <c r="D173" s="9">
        <v>3</v>
      </c>
      <c r="E173" s="9" t="str">
        <f t="shared" si="651"/>
        <v>IMPLPGP31</v>
      </c>
      <c r="F173" s="9" t="str">
        <f>CONCATENATE("Imported ",VLOOKUP($A173,Types!$A$2:$C$13,3,FALSE),", PADD ",D173,", Step ",RIGHT(C173,1))</f>
        <v>Imported LPG, PADD 3, Step 1</v>
      </c>
      <c r="G173" s="9" t="str">
        <f>CONCATENATE(VLOOKUP($A173,Types!$A$2:$C$13,2,FALSE),"P",D173)</f>
        <v>LPGP3</v>
      </c>
      <c r="H173" s="66">
        <f>H172*$C$5</f>
        <v>30.106450000000002</v>
      </c>
      <c r="I173" s="66">
        <f t="shared" ref="I173" si="851">I172*$C$5</f>
        <v>29.782499999999999</v>
      </c>
      <c r="J173" s="66">
        <f t="shared" ref="J173" si="852">J172*$C$5</f>
        <v>27.074999999999999</v>
      </c>
      <c r="K173" s="66">
        <f t="shared" ref="K173" si="853">K172*$C$5</f>
        <v>27.074999999999999</v>
      </c>
      <c r="L173" s="67">
        <f>H173*Conv!$J$20/10^6/VLOOKUP($B173,Types!$B$2:$D$13,3,FALSE)/Conv!$I$5</f>
        <v>12.310156346265698</v>
      </c>
      <c r="M173" s="67">
        <f>I173*Conv!$J$20/10^6/VLOOKUP($B173,Types!$B$2:$D$13,3,FALSE)/Conv!$I$5</f>
        <v>12.177697183914349</v>
      </c>
      <c r="N173" s="67" t="e">
        <f>M173*#REF!</f>
        <v>#REF!</v>
      </c>
      <c r="O173" s="67" t="e">
        <f>N173*#REF!</f>
        <v>#REF!</v>
      </c>
      <c r="P173" s="67" t="e">
        <f>O173*#REF!</f>
        <v>#REF!</v>
      </c>
      <c r="Q173" s="67" t="e">
        <f>P173*#REF!</f>
        <v>#REF!</v>
      </c>
      <c r="R173" s="67" t="e">
        <f>Q173*#REF!</f>
        <v>#REF!</v>
      </c>
      <c r="S173" s="67" t="e">
        <f>R173*#REF!</f>
        <v>#REF!</v>
      </c>
      <c r="T173" s="67" t="e">
        <f>S173*#REF!</f>
        <v>#REF!</v>
      </c>
      <c r="U173" s="67" t="e">
        <f>T173*#REF!</f>
        <v>#REF!</v>
      </c>
      <c r="V173" s="67" t="e">
        <f>U173*#REF!</f>
        <v>#REF!</v>
      </c>
      <c r="W173" s="42"/>
      <c r="X173" s="9">
        <f>X172*$E$5</f>
        <v>153.14400000000001</v>
      </c>
      <c r="Y173" s="9">
        <f t="shared" ref="Y173" si="854">Y172*$E$5</f>
        <v>122.248</v>
      </c>
      <c r="Z173" s="9">
        <f t="shared" ref="Z173" si="855">Z172*$E$5</f>
        <v>134.976</v>
      </c>
      <c r="AA173" s="9">
        <f t="shared" ref="AA173" si="856">AA172*$E$5</f>
        <v>149.024</v>
      </c>
      <c r="AB173" s="42">
        <f>X173*VLOOKUP($B173,Types!$B$2:$D$13,3,FALSE)*Conv!$I$5*1000*365</f>
        <v>209.77427441737149</v>
      </c>
      <c r="AC173" s="42">
        <f>Y173*VLOOKUP($B173,Types!$B$2:$D$13,3,FALSE)*Conv!$I$5*1000*365</f>
        <v>167.45341312081982</v>
      </c>
      <c r="AD173" s="42">
        <f>Z173*VLOOKUP($B173,Types!$B$2:$D$13,3,FALSE)*Conv!$I$5*1000*365</f>
        <v>184.88802998327805</v>
      </c>
      <c r="AE173" s="42">
        <f>AA173*VLOOKUP($B173,Types!$B$2:$D$13,3,FALSE)*Conv!$I$5*1000*365</f>
        <v>204.13076235944192</v>
      </c>
      <c r="AF173" s="42">
        <f>AB173</f>
        <v>209.77427441737149</v>
      </c>
      <c r="AG173" s="42">
        <f t="shared" ref="AG173" si="857">AC173</f>
        <v>167.45341312081982</v>
      </c>
      <c r="AH173" s="42">
        <f t="shared" ref="AH173" si="858">AD173</f>
        <v>184.88802998327805</v>
      </c>
      <c r="AI173" s="42">
        <f t="shared" ref="AI173" si="859">AE173</f>
        <v>204.13076235944192</v>
      </c>
      <c r="AJ173" s="42"/>
      <c r="AK173" s="42"/>
      <c r="AL173" s="42"/>
    </row>
    <row r="174" spans="1:38">
      <c r="A174" s="9" t="str">
        <f t="shared" ref="A174:A176" si="860">A173</f>
        <v>LPG</v>
      </c>
      <c r="B174" s="9" t="str">
        <f>VLOOKUP($A174,Types!$A$2:$C$13,2,FALSE)</f>
        <v>LPG</v>
      </c>
      <c r="C174" s="9">
        <v>2</v>
      </c>
      <c r="D174" s="9">
        <v>3</v>
      </c>
      <c r="E174" s="9" t="str">
        <f t="shared" si="651"/>
        <v>IMPLPGP32</v>
      </c>
      <c r="F174" s="9" t="str">
        <f>CONCATENATE("Imported ",VLOOKUP($A174,Types!$A$2:$C$13,3,FALSE),", PADD ",D174,", Step ",RIGHT(C174,1))</f>
        <v>Imported LPG, PADD 3, Step 2</v>
      </c>
      <c r="G174" s="9" t="str">
        <f>CONCATENATE(VLOOKUP($A174,Types!$A$2:$C$13,2,FALSE),"P",D174)</f>
        <v>LPGP3</v>
      </c>
      <c r="H174" s="66">
        <f>H172*$C$6</f>
        <v>31.057180000000002</v>
      </c>
      <c r="I174" s="66">
        <f t="shared" ref="I174:K174" si="861">I172*$C$6</f>
        <v>30.723000000000003</v>
      </c>
      <c r="J174" s="66">
        <f t="shared" si="861"/>
        <v>27.93</v>
      </c>
      <c r="K174" s="66">
        <f t="shared" si="861"/>
        <v>27.93</v>
      </c>
      <c r="L174" s="67">
        <f>H174*Conv!$J$20/10^6/VLOOKUP($B174,Types!$B$2:$D$13,3,FALSE)/Conv!$I$5</f>
        <v>12.698898125621454</v>
      </c>
      <c r="M174" s="67">
        <f>I174*Conv!$J$20/10^6/VLOOKUP($B174,Types!$B$2:$D$13,3,FALSE)/Conv!$I$5</f>
        <v>12.56225604235375</v>
      </c>
      <c r="N174" s="67" t="e">
        <f>M174*#REF!</f>
        <v>#REF!</v>
      </c>
      <c r="O174" s="67" t="e">
        <f>N174*#REF!</f>
        <v>#REF!</v>
      </c>
      <c r="P174" s="67" t="e">
        <f>O174*#REF!</f>
        <v>#REF!</v>
      </c>
      <c r="Q174" s="67" t="e">
        <f>P174*#REF!</f>
        <v>#REF!</v>
      </c>
      <c r="R174" s="67" t="e">
        <f>Q174*#REF!</f>
        <v>#REF!</v>
      </c>
      <c r="S174" s="67" t="e">
        <f>R174*#REF!</f>
        <v>#REF!</v>
      </c>
      <c r="T174" s="67" t="e">
        <f>S174*#REF!</f>
        <v>#REF!</v>
      </c>
      <c r="U174" s="67" t="e">
        <f>T174*#REF!</f>
        <v>#REF!</v>
      </c>
      <c r="V174" s="67" t="e">
        <f>U174*#REF!</f>
        <v>#REF!</v>
      </c>
      <c r="W174" s="42"/>
      <c r="X174" s="9">
        <f>X172*$E$6</f>
        <v>172.28700000000001</v>
      </c>
      <c r="Y174" s="9">
        <f t="shared" ref="Y174:AA174" si="862">Y172*$E$6</f>
        <v>137.529</v>
      </c>
      <c r="Z174" s="9">
        <f t="shared" si="862"/>
        <v>151.84800000000001</v>
      </c>
      <c r="AA174" s="9">
        <f t="shared" si="862"/>
        <v>167.65200000000002</v>
      </c>
      <c r="AB174" s="42">
        <f>X174*VLOOKUP($B174,Types!$B$2:$D$13,3,FALSE)*Conv!$I$5*1000*365</f>
        <v>235.99605871954296</v>
      </c>
      <c r="AC174" s="42">
        <f>Y174*VLOOKUP($B174,Types!$B$2:$D$13,3,FALSE)*Conv!$I$5*1000*365</f>
        <v>188.38508976092228</v>
      </c>
      <c r="AD174" s="42">
        <f>Z174*VLOOKUP($B174,Types!$B$2:$D$13,3,FALSE)*Conv!$I$5*1000*365</f>
        <v>207.99903373118781</v>
      </c>
      <c r="AE174" s="42">
        <f>AA174*VLOOKUP($B174,Types!$B$2:$D$13,3,FALSE)*Conv!$I$5*1000*365</f>
        <v>229.64710765437215</v>
      </c>
      <c r="AF174" s="42">
        <f>AB174-AF173</f>
        <v>26.221784302171471</v>
      </c>
      <c r="AG174" s="42">
        <f t="shared" ref="AG174" si="863">AC174-AG173</f>
        <v>20.931676640102467</v>
      </c>
      <c r="AH174" s="42">
        <f t="shared" ref="AH174" si="864">AD174-AH173</f>
        <v>23.111003747909763</v>
      </c>
      <c r="AI174" s="42">
        <f t="shared" ref="AI174" si="865">AE174-AI173</f>
        <v>25.516345294930233</v>
      </c>
      <c r="AJ174" s="42"/>
      <c r="AK174" s="42"/>
      <c r="AL174" s="42"/>
    </row>
    <row r="175" spans="1:38">
      <c r="A175" s="9" t="str">
        <f t="shared" si="860"/>
        <v>LPG</v>
      </c>
      <c r="B175" s="9" t="str">
        <f>VLOOKUP($A175,Types!$A$2:$C$13,2,FALSE)</f>
        <v>LPG</v>
      </c>
      <c r="C175" s="9">
        <v>4</v>
      </c>
      <c r="D175" s="9">
        <v>3</v>
      </c>
      <c r="E175" s="9" t="str">
        <f t="shared" si="651"/>
        <v>IMPLPGP34</v>
      </c>
      <c r="F175" s="9" t="str">
        <f>CONCATENATE("Imported ",VLOOKUP($A175,Types!$A$2:$C$13,3,FALSE),", PADD ",D175,", Step ",RIGHT(C175,1))</f>
        <v>Imported LPG, PADD 3, Step 4</v>
      </c>
      <c r="G175" s="9" t="str">
        <f>CONCATENATE(VLOOKUP($A175,Types!$A$2:$C$13,2,FALSE),"P",D175)</f>
        <v>LPGP3</v>
      </c>
      <c r="H175" s="66">
        <f>H172*$C$8</f>
        <v>34.543190000000003</v>
      </c>
      <c r="I175" s="66">
        <f t="shared" ref="I175:K175" si="866">I172*$C$8</f>
        <v>34.171500000000002</v>
      </c>
      <c r="J175" s="66">
        <f t="shared" si="866"/>
        <v>31.065000000000001</v>
      </c>
      <c r="K175" s="66">
        <f t="shared" si="866"/>
        <v>31.065000000000001</v>
      </c>
      <c r="L175" s="67">
        <f>H175*Conv!$J$20/10^6/VLOOKUP($B175,Types!$B$2:$D$13,3,FALSE)/Conv!$I$5</f>
        <v>14.124284649925904</v>
      </c>
      <c r="M175" s="67">
        <f>I175*Conv!$J$20/10^6/VLOOKUP($B175,Types!$B$2:$D$13,3,FALSE)/Conv!$I$5</f>
        <v>13.972305189964885</v>
      </c>
      <c r="N175" s="67" t="e">
        <f>M175*#REF!</f>
        <v>#REF!</v>
      </c>
      <c r="O175" s="67" t="e">
        <f>N175*#REF!</f>
        <v>#REF!</v>
      </c>
      <c r="P175" s="67" t="e">
        <f>O175*#REF!</f>
        <v>#REF!</v>
      </c>
      <c r="Q175" s="67" t="e">
        <f>P175*#REF!</f>
        <v>#REF!</v>
      </c>
      <c r="R175" s="67" t="e">
        <f>Q175*#REF!</f>
        <v>#REF!</v>
      </c>
      <c r="S175" s="67" t="e">
        <f>R175*#REF!</f>
        <v>#REF!</v>
      </c>
      <c r="T175" s="67" t="e">
        <f>S175*#REF!</f>
        <v>#REF!</v>
      </c>
      <c r="U175" s="67" t="e">
        <f>T175*#REF!</f>
        <v>#REF!</v>
      </c>
      <c r="V175" s="67" t="e">
        <f>U175*#REF!</f>
        <v>#REF!</v>
      </c>
      <c r="W175" s="42"/>
      <c r="X175" s="9">
        <f>X172*$E$8</f>
        <v>229.71600000000001</v>
      </c>
      <c r="Y175" s="9">
        <f t="shared" ref="Y175:AA175" si="867">Y172*$E$8</f>
        <v>183.37199999999999</v>
      </c>
      <c r="Z175" s="9">
        <f t="shared" si="867"/>
        <v>202.464</v>
      </c>
      <c r="AA175" s="9">
        <f t="shared" si="867"/>
        <v>223.536</v>
      </c>
      <c r="AB175" s="42">
        <f>X175*VLOOKUP($B175,Types!$B$2:$D$13,3,FALSE)*Conv!$I$5*1000*365</f>
        <v>314.66141162605726</v>
      </c>
      <c r="AC175" s="42">
        <f>Y175*VLOOKUP($B175,Types!$B$2:$D$13,3,FALSE)*Conv!$I$5*1000*365</f>
        <v>251.18011968122971</v>
      </c>
      <c r="AD175" s="42">
        <f>Z175*VLOOKUP($B175,Types!$B$2:$D$13,3,FALSE)*Conv!$I$5*1000*365</f>
        <v>277.3320449749171</v>
      </c>
      <c r="AE175" s="42">
        <f>AA175*VLOOKUP($B175,Types!$B$2:$D$13,3,FALSE)*Conv!$I$5*1000*365</f>
        <v>306.19614353916285</v>
      </c>
      <c r="AF175" s="42">
        <f>AB175-AB172</f>
        <v>52.443568604342886</v>
      </c>
      <c r="AG175" s="42">
        <f t="shared" ref="AG175" si="868">AC175-AC172</f>
        <v>41.863353280204933</v>
      </c>
      <c r="AH175" s="42">
        <f t="shared" ref="AH175" si="869">AD175-AD172</f>
        <v>46.222007495819526</v>
      </c>
      <c r="AI175" s="42">
        <f t="shared" ref="AI175" si="870">AE175-AE172</f>
        <v>51.032690589860493</v>
      </c>
      <c r="AJ175" s="42"/>
      <c r="AK175" s="42"/>
      <c r="AL175" s="42"/>
    </row>
    <row r="176" spans="1:38">
      <c r="A176" s="9" t="str">
        <f t="shared" si="860"/>
        <v>LPG</v>
      </c>
      <c r="B176" s="9" t="str">
        <f>VLOOKUP($A176,Types!$A$2:$C$13,2,FALSE)</f>
        <v>LPG</v>
      </c>
      <c r="C176" s="9">
        <v>5</v>
      </c>
      <c r="D176" s="9">
        <v>3</v>
      </c>
      <c r="E176" s="9" t="str">
        <f t="shared" si="651"/>
        <v>IMPLPGP35</v>
      </c>
      <c r="F176" s="9" t="str">
        <f>CONCATENATE("Imported ",VLOOKUP($A176,Types!$A$2:$C$13,3,FALSE),", PADD ",D176,", Step ",RIGHT(C176,1))</f>
        <v>Imported LPG, PADD 3, Step 5</v>
      </c>
      <c r="G176" s="9" t="str">
        <f>CONCATENATE(VLOOKUP($A176,Types!$A$2:$C$13,2,FALSE),"P",D176)</f>
        <v>LPGP3</v>
      </c>
      <c r="H176" s="66">
        <f>H172*$C$9</f>
        <v>41.198300000000003</v>
      </c>
      <c r="I176" s="66">
        <f t="shared" ref="I176:K176" si="871">I172*$C$9</f>
        <v>40.755000000000003</v>
      </c>
      <c r="J176" s="66">
        <f t="shared" si="871"/>
        <v>37.050000000000004</v>
      </c>
      <c r="K176" s="66">
        <f t="shared" si="871"/>
        <v>37.050000000000004</v>
      </c>
      <c r="L176" s="67">
        <f>H176*Conv!$J$20/10^6/VLOOKUP($B176,Types!$B$2:$D$13,3,FALSE)/Conv!$I$5</f>
        <v>16.845477105416219</v>
      </c>
      <c r="M176" s="67">
        <f>I176*Conv!$J$20/10^6/VLOOKUP($B176,Types!$B$2:$D$13,3,FALSE)/Conv!$I$5</f>
        <v>16.664217199040689</v>
      </c>
      <c r="N176" s="67" t="e">
        <f>M176*#REF!</f>
        <v>#REF!</v>
      </c>
      <c r="O176" s="67" t="e">
        <f>N176*#REF!</f>
        <v>#REF!</v>
      </c>
      <c r="P176" s="67" t="e">
        <f>O176*#REF!</f>
        <v>#REF!</v>
      </c>
      <c r="Q176" s="67" t="e">
        <f>P176*#REF!</f>
        <v>#REF!</v>
      </c>
      <c r="R176" s="67" t="e">
        <f>Q176*#REF!</f>
        <v>#REF!</v>
      </c>
      <c r="S176" s="67" t="e">
        <f>R176*#REF!</f>
        <v>#REF!</v>
      </c>
      <c r="T176" s="67" t="e">
        <f>S176*#REF!</f>
        <v>#REF!</v>
      </c>
      <c r="U176" s="67" t="e">
        <f>T176*#REF!</f>
        <v>#REF!</v>
      </c>
      <c r="V176" s="67" t="e">
        <f>U176*#REF!</f>
        <v>#REF!</v>
      </c>
      <c r="W176" s="42"/>
      <c r="X176" s="9">
        <f>X172*$E$9</f>
        <v>382.86</v>
      </c>
      <c r="Y176" s="9">
        <f t="shared" ref="Y176:AA176" si="872">Y172*$E$9</f>
        <v>305.62</v>
      </c>
      <c r="Z176" s="9">
        <f t="shared" si="872"/>
        <v>337.44</v>
      </c>
      <c r="AA176" s="9">
        <f t="shared" si="872"/>
        <v>372.56</v>
      </c>
      <c r="AB176" s="42">
        <f>X176*VLOOKUP($B176,Types!$B$2:$D$13,3,FALSE)*Conv!$I$5*1000*365</f>
        <v>524.43568604342875</v>
      </c>
      <c r="AC176" s="42">
        <f>Y176*VLOOKUP($B176,Types!$B$2:$D$13,3,FALSE)*Conv!$I$5*1000*365</f>
        <v>418.63353280204956</v>
      </c>
      <c r="AD176" s="42">
        <f>Z176*VLOOKUP($B176,Types!$B$2:$D$13,3,FALSE)*Conv!$I$5*1000*365</f>
        <v>462.22007495819514</v>
      </c>
      <c r="AE176" s="42">
        <f>AA176*VLOOKUP($B176,Types!$B$2:$D$13,3,FALSE)*Conv!$I$5*1000*365</f>
        <v>510.32690589860471</v>
      </c>
      <c r="AF176" s="42">
        <f>AB176-AB175</f>
        <v>209.77427441737149</v>
      </c>
      <c r="AG176" s="42">
        <f t="shared" ref="AG176" si="873">AC176-AC175</f>
        <v>167.45341312081985</v>
      </c>
      <c r="AH176" s="42">
        <f t="shared" ref="AH176" si="874">AD176-AD175</f>
        <v>184.88802998327805</v>
      </c>
      <c r="AI176" s="42">
        <f t="shared" ref="AI176" si="875">AE176-AE175</f>
        <v>204.13076235944186</v>
      </c>
      <c r="AJ176" s="42"/>
      <c r="AK176" s="42"/>
      <c r="AL176" s="42"/>
    </row>
    <row r="177" spans="1:38">
      <c r="A177" s="9" t="str">
        <f>'Agg prdcrv'!$A$14</f>
        <v>Petchem. Feedstocks</v>
      </c>
      <c r="B177" s="9" t="str">
        <f>VLOOKUP($A177,Types!$A$2:$C$13,2,FALSE)</f>
        <v>PFS</v>
      </c>
      <c r="C177" s="9">
        <v>3</v>
      </c>
      <c r="D177" s="9">
        <v>3</v>
      </c>
      <c r="E177" s="9" t="str">
        <f t="shared" si="651"/>
        <v>IMPPFSP33</v>
      </c>
      <c r="F177" s="9" t="str">
        <f>CONCATENATE("Imported ",VLOOKUP($A177,Types!$A$2:$C$13,3,FALSE),", PADD ",D177,", Step ",RIGHT(C177,1))</f>
        <v>Imported Petrochemical Feedstocks, PADD 3, Step 3</v>
      </c>
      <c r="G177" s="9" t="str">
        <f>CONCATENATE(VLOOKUP($A177,Types!$A$2:$C$13,2,FALSE),"P",D177)</f>
        <v>PFSP3</v>
      </c>
      <c r="H177" s="66">
        <f>SUMIFS('Agg prdcrv'!$N$6:$N$100,'Agg prdcrv'!$A$6:$A$100,'Imp Refined'!$A177,'Agg prdcrv'!$B$6:$B$100,H$11)*K4</f>
        <v>39.974000000000004</v>
      </c>
      <c r="I177" s="66">
        <f>SUMIFS('Agg prdcrv'!$N$6:$N$100,'Agg prdcrv'!$A$6:$A$100,'Imp Refined'!$A177,'Agg prdcrv'!$B$6:$B$100,I$11)*K4</f>
        <v>30.513999999999999</v>
      </c>
      <c r="J177" s="66">
        <f t="array" ref="J177">SUMIFS('Agg prdcrv'!$N$6:$N$100,'Agg prdcrv'!$A$6:$A$100,'Imp Refined'!$A177,'Agg prdcrv'!$B$6:$B$100,J$11)</f>
        <v>21.68</v>
      </c>
      <c r="K177" s="66">
        <f t="array" ref="K177">SUMIFS('Agg prdcrv'!$N$6:$N$100,'Agg prdcrv'!$A$6:$A$100,'Imp Refined'!$A177,'Agg prdcrv'!$B$6:$B$100,K$11)</f>
        <v>24.91</v>
      </c>
      <c r="L177" s="67">
        <f>H177*Conv!$J$20/10^6/VLOOKUP($B177,Types!$B$2:$D$13,3,FALSE)/Conv!$I$5</f>
        <v>10.215906460103017</v>
      </c>
      <c r="M177" s="67">
        <f>I177*Conv!$J$20/10^6/VLOOKUP($B177,Types!$B$2:$D$13,3,FALSE)/Conv!$I$5</f>
        <v>7.7982731206179858</v>
      </c>
      <c r="N177" s="67" t="e">
        <f>M177*#REF!</f>
        <v>#REF!</v>
      </c>
      <c r="O177" s="67" t="e">
        <f>N177*#REF!</f>
        <v>#REF!</v>
      </c>
      <c r="P177" s="67" t="e">
        <f>O177*#REF!</f>
        <v>#REF!</v>
      </c>
      <c r="Q177" s="67" t="e">
        <f>P177*#REF!</f>
        <v>#REF!</v>
      </c>
      <c r="R177" s="67" t="e">
        <f>Q177*#REF!</f>
        <v>#REF!</v>
      </c>
      <c r="S177" s="67" t="e">
        <f>R177*#REF!</f>
        <v>#REF!</v>
      </c>
      <c r="T177" s="67" t="e">
        <f>S177*#REF!</f>
        <v>#REF!</v>
      </c>
      <c r="U177" s="67" t="e">
        <f>T177*#REF!</f>
        <v>#REF!</v>
      </c>
      <c r="V177" s="67" t="e">
        <f>U177*#REF!</f>
        <v>#REF!</v>
      </c>
      <c r="W177" s="42"/>
      <c r="X177" s="9">
        <f t="array" ref="X177">SUMIFS('Agg prdcrv'!$F$6:$F$100,'Agg prdcrv'!$A$6:$A$100,'Imp Refined'!$A177,'Agg prdcrv'!$B$6:$B$100,X$11)</f>
        <v>293</v>
      </c>
      <c r="Y177" s="9">
        <f t="array" ref="Y177">SUMIFS('Agg prdcrv'!$F$6:$F$100,'Agg prdcrv'!$A$6:$A$100,'Imp Refined'!$A177,'Agg prdcrv'!$B$6:$B$100,Y$11)</f>
        <v>254.69</v>
      </c>
      <c r="Z177" s="9">
        <f t="array" ref="Z177">SUMIFS('Agg prdcrv'!$F$6:$F$100,'Agg prdcrv'!$A$6:$A$100,'Imp Refined'!$A177,'Agg prdcrv'!$B$6:$B$100,Z$11)</f>
        <v>281.2</v>
      </c>
      <c r="AA177" s="9">
        <f t="array" ref="AA177">SUMIFS('Agg prdcrv'!$F$6:$F$100,'Agg prdcrv'!$A$6:$A$100,'Imp Refined'!$A177,'Agg prdcrv'!$B$6:$B$100,AA$11)</f>
        <v>310.47000000000003</v>
      </c>
      <c r="AB177" s="42">
        <f>X177*VLOOKUP($B177,Types!$B$2:$D$13,3,FALSE)*Conv!$I$5*1000*365</f>
        <v>642.13239766871993</v>
      </c>
      <c r="AC177" s="42">
        <f>Y177*VLOOKUP($B177,Types!$B$2:$D$13,3,FALSE)*Conv!$I$5*1000*365</f>
        <v>558.17303877899747</v>
      </c>
      <c r="AD177" s="42">
        <f>Z177*VLOOKUP($B177,Types!$B$2:$D$13,3,FALSE)*Conv!$I$5*1000*365</f>
        <v>616.27177551004797</v>
      </c>
      <c r="AE177" s="42">
        <f>AA177*VLOOKUP($B177,Types!$B$2:$D$13,3,FALSE)*Conv!$I$5*1000*365</f>
        <v>680.41926793244875</v>
      </c>
      <c r="AF177" s="42">
        <f>AB177-AB179</f>
        <v>64.213239766871993</v>
      </c>
      <c r="AG177" s="42">
        <f t="shared" ref="AG177" si="876">AC177-AC179</f>
        <v>55.817303877899633</v>
      </c>
      <c r="AH177" s="42">
        <f t="shared" ref="AH177" si="877">AD177-AD179</f>
        <v>61.627177551004934</v>
      </c>
      <c r="AI177" s="42">
        <f t="shared" ref="AI177" si="878">AE177-AE179</f>
        <v>68.041926793244784</v>
      </c>
      <c r="AJ177" s="42"/>
      <c r="AK177" s="42"/>
      <c r="AL177" s="42"/>
    </row>
    <row r="178" spans="1:38">
      <c r="A178" s="9" t="str">
        <f>A177</f>
        <v>Petchem. Feedstocks</v>
      </c>
      <c r="B178" s="9" t="str">
        <f>VLOOKUP($A178,Types!$A$2:$C$13,2,FALSE)</f>
        <v>PFS</v>
      </c>
      <c r="C178" s="9">
        <v>1</v>
      </c>
      <c r="D178" s="9">
        <v>3</v>
      </c>
      <c r="E178" s="9" t="str">
        <f t="shared" si="651"/>
        <v>IMPPFSP31</v>
      </c>
      <c r="F178" s="9" t="str">
        <f>CONCATENATE("Imported ",VLOOKUP($A178,Types!$A$2:$C$13,3,FALSE),", PADD ",D178,", Step ",RIGHT(C178,1))</f>
        <v>Imported Petrochemical Feedstocks, PADD 3, Step 1</v>
      </c>
      <c r="G178" s="9" t="str">
        <f>CONCATENATE(VLOOKUP($A178,Types!$A$2:$C$13,2,FALSE),"P",D178)</f>
        <v>PFSP3</v>
      </c>
      <c r="H178" s="66">
        <f>H177*$C$5</f>
        <v>37.975300000000004</v>
      </c>
      <c r="I178" s="66">
        <f t="shared" ref="I178" si="879">I177*$C$5</f>
        <v>28.988299999999999</v>
      </c>
      <c r="J178" s="66">
        <f t="shared" ref="J178" si="880">J177*$C$5</f>
        <v>20.596</v>
      </c>
      <c r="K178" s="66">
        <f t="shared" ref="K178" si="881">K177*$C$5</f>
        <v>23.6645</v>
      </c>
      <c r="L178" s="67">
        <f>H178*Conv!$J$20/10^6/VLOOKUP($B178,Types!$B$2:$D$13,3,FALSE)/Conv!$I$5</f>
        <v>9.7051111370978624</v>
      </c>
      <c r="M178" s="67">
        <f>I178*Conv!$J$20/10^6/VLOOKUP($B178,Types!$B$2:$D$13,3,FALSE)/Conv!$I$5</f>
        <v>7.4083594645870861</v>
      </c>
      <c r="N178" s="67" t="e">
        <f>M178*#REF!</f>
        <v>#REF!</v>
      </c>
      <c r="O178" s="67" t="e">
        <f>N178*#REF!</f>
        <v>#REF!</v>
      </c>
      <c r="P178" s="67" t="e">
        <f>O178*#REF!</f>
        <v>#REF!</v>
      </c>
      <c r="Q178" s="67" t="e">
        <f>P178*#REF!</f>
        <v>#REF!</v>
      </c>
      <c r="R178" s="67" t="e">
        <f>Q178*#REF!</f>
        <v>#REF!</v>
      </c>
      <c r="S178" s="67" t="e">
        <f>R178*#REF!</f>
        <v>#REF!</v>
      </c>
      <c r="T178" s="67" t="e">
        <f>S178*#REF!</f>
        <v>#REF!</v>
      </c>
      <c r="U178" s="67" t="e">
        <f>T178*#REF!</f>
        <v>#REF!</v>
      </c>
      <c r="V178" s="67" t="e">
        <f>U178*#REF!</f>
        <v>#REF!</v>
      </c>
      <c r="W178" s="42"/>
      <c r="X178" s="9">
        <f>X177*$E$5</f>
        <v>234.4</v>
      </c>
      <c r="Y178" s="9">
        <f t="shared" ref="Y178" si="882">Y177*$E$5</f>
        <v>203.75200000000001</v>
      </c>
      <c r="Z178" s="9">
        <f t="shared" ref="Z178" si="883">Z177*$E$5</f>
        <v>224.96</v>
      </c>
      <c r="AA178" s="9">
        <f t="shared" ref="AA178" si="884">AA177*$E$5</f>
        <v>248.37600000000003</v>
      </c>
      <c r="AB178" s="42">
        <f>X178*VLOOKUP($B178,Types!$B$2:$D$13,3,FALSE)*Conv!$I$5*1000*365</f>
        <v>513.70591813497583</v>
      </c>
      <c r="AC178" s="42">
        <f>Y178*VLOOKUP($B178,Types!$B$2:$D$13,3,FALSE)*Conv!$I$5*1000*365</f>
        <v>446.53843102319814</v>
      </c>
      <c r="AD178" s="42">
        <f>Z178*VLOOKUP($B178,Types!$B$2:$D$13,3,FALSE)*Conv!$I$5*1000*365</f>
        <v>493.01742040803839</v>
      </c>
      <c r="AE178" s="42">
        <f>AA178*VLOOKUP($B178,Types!$B$2:$D$13,3,FALSE)*Conv!$I$5*1000*365</f>
        <v>544.33541434595895</v>
      </c>
      <c r="AF178" s="42">
        <f>AB178</f>
        <v>513.70591813497583</v>
      </c>
      <c r="AG178" s="42">
        <f t="shared" ref="AG178" si="885">AC178</f>
        <v>446.53843102319814</v>
      </c>
      <c r="AH178" s="42">
        <f t="shared" ref="AH178" si="886">AD178</f>
        <v>493.01742040803839</v>
      </c>
      <c r="AI178" s="42">
        <f t="shared" ref="AI178" si="887">AE178</f>
        <v>544.33541434595895</v>
      </c>
      <c r="AJ178" s="42"/>
      <c r="AK178" s="42"/>
      <c r="AL178" s="42"/>
    </row>
    <row r="179" spans="1:38">
      <c r="A179" s="9" t="str">
        <f t="shared" ref="A179:A180" si="888">A178</f>
        <v>Petchem. Feedstocks</v>
      </c>
      <c r="B179" s="9" t="str">
        <f>VLOOKUP($A179,Types!$A$2:$C$13,2,FALSE)</f>
        <v>PFS</v>
      </c>
      <c r="C179" s="9">
        <v>2</v>
      </c>
      <c r="D179" s="9">
        <v>3</v>
      </c>
      <c r="E179" s="9" t="str">
        <f t="shared" si="651"/>
        <v>IMPPFSP32</v>
      </c>
      <c r="F179" s="9" t="str">
        <f>CONCATENATE("Imported ",VLOOKUP($A179,Types!$A$2:$C$13,3,FALSE),", PADD ",D179,", Step ",RIGHT(C179,1))</f>
        <v>Imported Petrochemical Feedstocks, PADD 3, Step 2</v>
      </c>
      <c r="G179" s="9" t="str">
        <f>CONCATENATE(VLOOKUP($A179,Types!$A$2:$C$13,2,FALSE),"P",D179)</f>
        <v>PFSP3</v>
      </c>
      <c r="H179" s="66">
        <f>H177*$C$6</f>
        <v>39.174520000000001</v>
      </c>
      <c r="I179" s="66">
        <f t="shared" ref="I179:K179" si="889">I177*$C$6</f>
        <v>29.90372</v>
      </c>
      <c r="J179" s="66">
        <f t="shared" si="889"/>
        <v>21.246399999999998</v>
      </c>
      <c r="K179" s="66">
        <f t="shared" si="889"/>
        <v>24.411799999999999</v>
      </c>
      <c r="L179" s="67">
        <f>H179*Conv!$J$20/10^6/VLOOKUP($B179,Types!$B$2:$D$13,3,FALSE)/Conv!$I$5</f>
        <v>10.011588330900956</v>
      </c>
      <c r="M179" s="67">
        <f>I179*Conv!$J$20/10^6/VLOOKUP($B179,Types!$B$2:$D$13,3,FALSE)/Conv!$I$5</f>
        <v>7.6423076582056266</v>
      </c>
      <c r="N179" s="67" t="e">
        <f>M179*#REF!</f>
        <v>#REF!</v>
      </c>
      <c r="O179" s="67" t="e">
        <f>N179*#REF!</f>
        <v>#REF!</v>
      </c>
      <c r="P179" s="67" t="e">
        <f>O179*#REF!</f>
        <v>#REF!</v>
      </c>
      <c r="Q179" s="67" t="e">
        <f>P179*#REF!</f>
        <v>#REF!</v>
      </c>
      <c r="R179" s="67" t="e">
        <f>Q179*#REF!</f>
        <v>#REF!</v>
      </c>
      <c r="S179" s="67" t="e">
        <f>R179*#REF!</f>
        <v>#REF!</v>
      </c>
      <c r="T179" s="67" t="e">
        <f>S179*#REF!</f>
        <v>#REF!</v>
      </c>
      <c r="U179" s="67" t="e">
        <f>T179*#REF!</f>
        <v>#REF!</v>
      </c>
      <c r="V179" s="67" t="e">
        <f>U179*#REF!</f>
        <v>#REF!</v>
      </c>
      <c r="W179" s="42"/>
      <c r="X179" s="9">
        <f>X177*$E$6</f>
        <v>263.7</v>
      </c>
      <c r="Y179" s="9">
        <f t="shared" ref="Y179:AA179" si="890">Y177*$E$6</f>
        <v>229.221</v>
      </c>
      <c r="Z179" s="9">
        <f t="shared" si="890"/>
        <v>253.07999999999998</v>
      </c>
      <c r="AA179" s="9">
        <f t="shared" si="890"/>
        <v>279.42300000000006</v>
      </c>
      <c r="AB179" s="42">
        <f>X179*VLOOKUP($B179,Types!$B$2:$D$13,3,FALSE)*Conv!$I$5*1000*365</f>
        <v>577.91915790184794</v>
      </c>
      <c r="AC179" s="42">
        <f>Y179*VLOOKUP($B179,Types!$B$2:$D$13,3,FALSE)*Conv!$I$5*1000*365</f>
        <v>502.35573490109783</v>
      </c>
      <c r="AD179" s="42">
        <f>Z179*VLOOKUP($B179,Types!$B$2:$D$13,3,FALSE)*Conv!$I$5*1000*365</f>
        <v>554.64459795904304</v>
      </c>
      <c r="AE179" s="42">
        <f>AA179*VLOOKUP($B179,Types!$B$2:$D$13,3,FALSE)*Conv!$I$5*1000*365</f>
        <v>612.37734113920396</v>
      </c>
      <c r="AF179" s="42">
        <f>AB179-AF178</f>
        <v>64.213239766872107</v>
      </c>
      <c r="AG179" s="42">
        <f t="shared" ref="AG179" si="891">AC179-AG178</f>
        <v>55.81730387789969</v>
      </c>
      <c r="AH179" s="42">
        <f t="shared" ref="AH179" si="892">AD179-AH178</f>
        <v>61.62717755100465</v>
      </c>
      <c r="AI179" s="42">
        <f t="shared" ref="AI179" si="893">AE179-AI178</f>
        <v>68.041926793245011</v>
      </c>
      <c r="AJ179" s="42"/>
      <c r="AK179" s="42"/>
      <c r="AL179" s="42"/>
    </row>
    <row r="180" spans="1:38">
      <c r="A180" s="9" t="str">
        <f t="shared" si="888"/>
        <v>Petchem. Feedstocks</v>
      </c>
      <c r="B180" s="9" t="str">
        <f>VLOOKUP($A180,Types!$A$2:$C$13,2,FALSE)</f>
        <v>PFS</v>
      </c>
      <c r="C180" s="9">
        <v>4</v>
      </c>
      <c r="D180" s="9">
        <v>3</v>
      </c>
      <c r="E180" s="9" t="str">
        <f t="shared" si="651"/>
        <v>IMPPFSP34</v>
      </c>
      <c r="F180" s="9" t="str">
        <f>CONCATENATE("Imported ",VLOOKUP($A180,Types!$A$2:$C$13,3,FALSE),", PADD ",D180,", Step ",RIGHT(C180,1))</f>
        <v>Imported Petrochemical Feedstocks, PADD 3, Step 4</v>
      </c>
      <c r="G180" s="9" t="str">
        <f>CONCATENATE(VLOOKUP($A180,Types!$A$2:$C$13,2,FALSE),"P",D180)</f>
        <v>PFSP3</v>
      </c>
      <c r="H180" s="66">
        <f>H177*$C$8</f>
        <v>43.571660000000008</v>
      </c>
      <c r="I180" s="66">
        <f t="shared" ref="I180:K180" si="894">I177*$C$8</f>
        <v>33.260260000000002</v>
      </c>
      <c r="J180" s="66">
        <f t="shared" si="894"/>
        <v>23.6312</v>
      </c>
      <c r="K180" s="66">
        <f t="shared" si="894"/>
        <v>27.151900000000001</v>
      </c>
      <c r="L180" s="67">
        <f>H180*Conv!$J$20/10^6/VLOOKUP($B180,Types!$B$2:$D$13,3,FALSE)/Conv!$I$5</f>
        <v>11.13533804151229</v>
      </c>
      <c r="M180" s="67">
        <f>I180*Conv!$J$20/10^6/VLOOKUP($B180,Types!$B$2:$D$13,3,FALSE)/Conv!$I$5</f>
        <v>8.5001177014736058</v>
      </c>
      <c r="N180" s="67" t="e">
        <f>M180*#REF!</f>
        <v>#REF!</v>
      </c>
      <c r="O180" s="67" t="e">
        <f>N180*#REF!</f>
        <v>#REF!</v>
      </c>
      <c r="P180" s="67" t="e">
        <f>O180*#REF!</f>
        <v>#REF!</v>
      </c>
      <c r="Q180" s="67" t="e">
        <f>P180*#REF!</f>
        <v>#REF!</v>
      </c>
      <c r="R180" s="67" t="e">
        <f>Q180*#REF!</f>
        <v>#REF!</v>
      </c>
      <c r="S180" s="67" t="e">
        <f>R180*#REF!</f>
        <v>#REF!</v>
      </c>
      <c r="T180" s="67" t="e">
        <f>S180*#REF!</f>
        <v>#REF!</v>
      </c>
      <c r="U180" s="67" t="e">
        <f>T180*#REF!</f>
        <v>#REF!</v>
      </c>
      <c r="V180" s="67" t="e">
        <f>U180*#REF!</f>
        <v>#REF!</v>
      </c>
      <c r="W180" s="42"/>
      <c r="X180" s="9">
        <f>X177*$E$8</f>
        <v>351.59999999999997</v>
      </c>
      <c r="Y180" s="9">
        <f t="shared" ref="Y180:AA180" si="895">Y177*$E$8</f>
        <v>305.62799999999999</v>
      </c>
      <c r="Z180" s="9">
        <f t="shared" si="895"/>
        <v>337.44</v>
      </c>
      <c r="AA180" s="9">
        <f t="shared" si="895"/>
        <v>372.56400000000002</v>
      </c>
      <c r="AB180" s="42">
        <f>X180*VLOOKUP($B180,Types!$B$2:$D$13,3,FALSE)*Conv!$I$5*1000*365</f>
        <v>770.55887720246392</v>
      </c>
      <c r="AC180" s="42">
        <f>Y180*VLOOKUP($B180,Types!$B$2:$D$13,3,FALSE)*Conv!$I$5*1000*365</f>
        <v>669.80764653479707</v>
      </c>
      <c r="AD180" s="42">
        <f>Z180*VLOOKUP($B180,Types!$B$2:$D$13,3,FALSE)*Conv!$I$5*1000*365</f>
        <v>739.5261306120575</v>
      </c>
      <c r="AE180" s="42">
        <f>AA180*VLOOKUP($B180,Types!$B$2:$D$13,3,FALSE)*Conv!$I$5*1000*365</f>
        <v>816.50312151893854</v>
      </c>
      <c r="AF180" s="42">
        <f>AB180-AB177</f>
        <v>128.42647953374399</v>
      </c>
      <c r="AG180" s="42">
        <f t="shared" ref="AG180" si="896">AC180-AC177</f>
        <v>111.63460775579961</v>
      </c>
      <c r="AH180" s="42">
        <f t="shared" ref="AH180" si="897">AD180-AD177</f>
        <v>123.25435510200953</v>
      </c>
      <c r="AI180" s="42">
        <f t="shared" ref="AI180" si="898">AE180-AE177</f>
        <v>136.08385358648979</v>
      </c>
      <c r="AJ180" s="42"/>
      <c r="AK180" s="42"/>
      <c r="AL180" s="42"/>
    </row>
    <row r="181" spans="1:38">
      <c r="A181" s="9" t="str">
        <f>A180</f>
        <v>Petchem. Feedstocks</v>
      </c>
      <c r="B181" s="9" t="str">
        <f>VLOOKUP($A181,Types!$A$2:$C$13,2,FALSE)</f>
        <v>PFS</v>
      </c>
      <c r="C181" s="9">
        <v>5</v>
      </c>
      <c r="D181" s="9">
        <v>3</v>
      </c>
      <c r="E181" s="9" t="str">
        <f>CONCATENATE("IMP",G181,RIGHT(C181,1))</f>
        <v>IMPPFSP35</v>
      </c>
      <c r="F181" s="9" t="str">
        <f>CONCATENATE("Imported ",VLOOKUP($A181,Types!$A$2:$C$13,3,FALSE),", PADD ",D181,", Step ",RIGHT(C181,1))</f>
        <v>Imported Petrochemical Feedstocks, PADD 3, Step 5</v>
      </c>
      <c r="G181" s="9" t="str">
        <f>CONCATENATE(VLOOKUP($A181,Types!$A$2:$C$13,2,FALSE),"P",D181)</f>
        <v>PFSP3</v>
      </c>
      <c r="H181" s="66">
        <f>H177*$C$9</f>
        <v>51.966200000000008</v>
      </c>
      <c r="I181" s="66">
        <f t="shared" ref="I181:K181" si="899">I177*$C$9</f>
        <v>39.668199999999999</v>
      </c>
      <c r="J181" s="66">
        <f t="shared" si="899"/>
        <v>28.184000000000001</v>
      </c>
      <c r="K181" s="66">
        <f t="shared" si="899"/>
        <v>32.383000000000003</v>
      </c>
      <c r="L181" s="67">
        <f>H181*Conv!$J$20/10^6/VLOOKUP($B181,Types!$B$2:$D$13,3,FALSE)/Conv!$I$5</f>
        <v>13.280678398133922</v>
      </c>
      <c r="M181" s="67">
        <f>I181*Conv!$J$20/10^6/VLOOKUP($B181,Types!$B$2:$D$13,3,FALSE)/Conv!$I$5</f>
        <v>10.137755056803382</v>
      </c>
      <c r="N181" s="67" t="e">
        <f>M181*#REF!</f>
        <v>#REF!</v>
      </c>
      <c r="O181" s="67" t="e">
        <f>N181*#REF!</f>
        <v>#REF!</v>
      </c>
      <c r="P181" s="67" t="e">
        <f>O181*#REF!</f>
        <v>#REF!</v>
      </c>
      <c r="Q181" s="67" t="e">
        <f>P181*#REF!</f>
        <v>#REF!</v>
      </c>
      <c r="R181" s="67" t="e">
        <f>Q181*#REF!</f>
        <v>#REF!</v>
      </c>
      <c r="S181" s="67" t="e">
        <f>R181*#REF!</f>
        <v>#REF!</v>
      </c>
      <c r="T181" s="67" t="e">
        <f>S181*#REF!</f>
        <v>#REF!</v>
      </c>
      <c r="U181" s="67" t="e">
        <f>T181*#REF!</f>
        <v>#REF!</v>
      </c>
      <c r="V181" s="67" t="e">
        <f>U181*#REF!</f>
        <v>#REF!</v>
      </c>
      <c r="W181" s="42"/>
      <c r="X181" s="9">
        <f>X177*$E$9</f>
        <v>586</v>
      </c>
      <c r="Y181" s="9">
        <f t="shared" ref="Y181:AA181" si="900">Y177*$E$9</f>
        <v>509.38</v>
      </c>
      <c r="Z181" s="9">
        <f t="shared" si="900"/>
        <v>562.4</v>
      </c>
      <c r="AA181" s="9">
        <f t="shared" si="900"/>
        <v>620.94000000000005</v>
      </c>
      <c r="AB181" s="42">
        <f>X181*VLOOKUP($B181,Types!$B$2:$D$13,3,FALSE)*Conv!$I$5*1000*365</f>
        <v>1284.2647953374399</v>
      </c>
      <c r="AC181" s="42">
        <f>Y181*VLOOKUP($B181,Types!$B$2:$D$13,3,FALSE)*Conv!$I$5*1000*365</f>
        <v>1116.3460775579949</v>
      </c>
      <c r="AD181" s="42">
        <f>Z181*VLOOKUP($B181,Types!$B$2:$D$13,3,FALSE)*Conv!$I$5*1000*365</f>
        <v>1232.5435510200959</v>
      </c>
      <c r="AE181" s="42">
        <f>AA181*VLOOKUP($B181,Types!$B$2:$D$13,3,FALSE)*Conv!$I$5*1000*365</f>
        <v>1360.8385358648975</v>
      </c>
      <c r="AF181" s="42">
        <f>AB181-AB180</f>
        <v>513.70591813497595</v>
      </c>
      <c r="AG181" s="42">
        <f t="shared" ref="AG181" si="901">AC181-AC180</f>
        <v>446.53843102319786</v>
      </c>
      <c r="AH181" s="42">
        <f t="shared" ref="AH181" si="902">AD181-AD180</f>
        <v>493.01742040803845</v>
      </c>
      <c r="AI181" s="42">
        <f t="shared" ref="AI181" si="903">AE181-AE180</f>
        <v>544.33541434595895</v>
      </c>
      <c r="AJ181" s="42"/>
      <c r="AK181" s="42"/>
      <c r="AL181" s="42"/>
    </row>
    <row r="182" spans="1:38">
      <c r="A182" s="9" t="str">
        <f>'Agg prdcrv'!$A$15</f>
        <v>Other Refined Prod.</v>
      </c>
      <c r="B182" s="9" t="str">
        <f>VLOOKUP($A182,Types!$A$2:$C$13,2,FALSE)</f>
        <v>KER</v>
      </c>
      <c r="C182" s="9">
        <v>3</v>
      </c>
      <c r="D182" s="9">
        <v>3</v>
      </c>
      <c r="E182" s="9" t="str">
        <f>CONCATENATE("IMP",G182,RIGHT(C182,1))</f>
        <v>IMPKERP33</v>
      </c>
      <c r="F182" s="9" t="str">
        <f>CONCATENATE("Imported ",VLOOKUP($A182,Types!$A$2:$C$13,3,FALSE),", PADD ",D182,", Step ",RIGHT(C182,1))</f>
        <v>Imported Kerosene and Other Refined Products, PADD 3, Step 3</v>
      </c>
      <c r="G182" s="9" t="str">
        <f>CONCATENATE(VLOOKUP($A182,Types!$A$2:$C$13,2,FALSE),"P",D182)</f>
        <v>KERP3</v>
      </c>
      <c r="H182" s="66">
        <f>SUMIFS('Agg prdcrv'!$N$6:$N$100,'Agg prdcrv'!$A$6:$A$100,'Imp Refined'!$A182,'Agg prdcrv'!$B$6:$B$100,H$11)*K4</f>
        <v>66.649000000000015</v>
      </c>
      <c r="I182" s="66">
        <f>SUMIFS('Agg prdcrv'!$N$6:$N$100,'Agg prdcrv'!$A$6:$A$100,'Imp Refined'!$A182,'Agg prdcrv'!$B$6:$B$100,I$11)*K4</f>
        <v>40.744</v>
      </c>
      <c r="J182" s="66">
        <f t="array" ref="J182">SUMIFS('Agg prdcrv'!$N$6:$N$100,'Agg prdcrv'!$A$6:$A$100,'Imp Refined'!$A182,'Agg prdcrv'!$B$6:$B$100,J$11)</f>
        <v>33.04</v>
      </c>
      <c r="K182" s="66">
        <f t="array" ref="K182">SUMIFS('Agg prdcrv'!$N$6:$N$100,'Agg prdcrv'!$A$6:$A$100,'Imp Refined'!$A182,'Agg prdcrv'!$B$6:$B$100,K$11)</f>
        <v>41.76</v>
      </c>
      <c r="L182" s="67">
        <f>H182*Conv!$J$20/10^6/VLOOKUP($B182,Types!$B$2:$D$13,3,FALSE)/Conv!$I$5</f>
        <v>17.09615568246203</v>
      </c>
      <c r="M182" s="67">
        <f>I182*Conv!$J$20/10^6/VLOOKUP($B182,Types!$B$2:$D$13,3,FALSE)/Conv!$I$5</f>
        <v>10.451256089757276</v>
      </c>
      <c r="N182" s="67" t="e">
        <f>M182*#REF!</f>
        <v>#REF!</v>
      </c>
      <c r="O182" s="67" t="e">
        <f>N182*#REF!</f>
        <v>#REF!</v>
      </c>
      <c r="P182" s="67" t="e">
        <f>O182*#REF!</f>
        <v>#REF!</v>
      </c>
      <c r="Q182" s="67" t="e">
        <f>P182*#REF!</f>
        <v>#REF!</v>
      </c>
      <c r="R182" s="67" t="e">
        <f>Q182*#REF!</f>
        <v>#REF!</v>
      </c>
      <c r="S182" s="67" t="e">
        <f>R182*#REF!</f>
        <v>#REF!</v>
      </c>
      <c r="T182" s="67" t="e">
        <f>S182*#REF!</f>
        <v>#REF!</v>
      </c>
      <c r="U182" s="67" t="e">
        <f>T182*#REF!</f>
        <v>#REF!</v>
      </c>
      <c r="V182" s="67" t="e">
        <f>U182*#REF!</f>
        <v>#REF!</v>
      </c>
      <c r="W182" s="42"/>
      <c r="X182" s="9">
        <f t="array" ref="X182">SUMIFS('Agg prdcrv'!$F$6:$F$100,'Agg prdcrv'!$A$6:$A$100,'Imp Refined'!$A182,'Agg prdcrv'!$B$6:$B$100,X$11)</f>
        <v>109</v>
      </c>
      <c r="Y182" s="9">
        <f t="array" ref="Y182">SUMIFS('Agg prdcrv'!$F$6:$F$100,'Agg prdcrv'!$A$6:$A$100,'Imp Refined'!$A182,'Agg prdcrv'!$B$6:$B$100,Y$11)</f>
        <v>19.59</v>
      </c>
      <c r="Z182" s="9">
        <f t="array" ref="Z182">SUMIFS('Agg prdcrv'!$F$6:$F$100,'Agg prdcrv'!$A$6:$A$100,'Imp Refined'!$A182,'Agg prdcrv'!$B$6:$B$100,Z$11)</f>
        <v>21.2</v>
      </c>
      <c r="AA182" s="9">
        <f t="array" ref="AA182">SUMIFS('Agg prdcrv'!$F$6:$F$100,'Agg prdcrv'!$A$6:$A$100,'Imp Refined'!$A182,'Agg prdcrv'!$B$6:$B$100,AA$11)</f>
        <v>22.96</v>
      </c>
      <c r="AB182" s="42">
        <f>X182*VLOOKUP($B182,Types!$B$2:$D$13,3,FALSE)*Conv!$I$5*1000*365</f>
        <v>238.00053478319998</v>
      </c>
      <c r="AC182" s="42">
        <f>Y182*VLOOKUP($B182,Types!$B$2:$D$13,3,FALSE)*Conv!$I$5*1000*365</f>
        <v>42.774591526631994</v>
      </c>
      <c r="AD182" s="42">
        <f>Z182*VLOOKUP($B182,Types!$B$2:$D$13,3,FALSE)*Conv!$I$5*1000*365</f>
        <v>46.290012269759998</v>
      </c>
      <c r="AE182" s="42">
        <f>AA182*VLOOKUP($B182,Types!$B$2:$D$13,3,FALSE)*Conv!$I$5*1000*365</f>
        <v>50.132956684608004</v>
      </c>
      <c r="AF182" s="42">
        <f>AB182-AB184</f>
        <v>23.800053478319938</v>
      </c>
      <c r="AG182" s="42">
        <f t="shared" ref="AG182" si="904">AC182-AC184</f>
        <v>4.277459152663198</v>
      </c>
      <c r="AH182" s="42">
        <f t="shared" ref="AH182" si="905">AD182-AD184</f>
        <v>4.6290012269760084</v>
      </c>
      <c r="AI182" s="42">
        <f t="shared" ref="AI182" si="906">AE182-AE184</f>
        <v>5.013295668460799</v>
      </c>
      <c r="AJ182" s="42"/>
      <c r="AK182" s="42"/>
      <c r="AL182" s="42"/>
    </row>
    <row r="183" spans="1:38">
      <c r="A183" s="9" t="str">
        <f>A182</f>
        <v>Other Refined Prod.</v>
      </c>
      <c r="B183" s="9" t="str">
        <f>VLOOKUP($A183,Types!$A$2:$C$13,2,FALSE)</f>
        <v>KER</v>
      </c>
      <c r="C183" s="9">
        <v>1</v>
      </c>
      <c r="D183" s="9">
        <v>3</v>
      </c>
      <c r="E183" s="9" t="str">
        <f t="shared" ref="E183:E196" si="907">CONCATENATE("IMP",G183,RIGHT(C183,1))</f>
        <v>IMPKERP31</v>
      </c>
      <c r="F183" s="9" t="str">
        <f>CONCATENATE("Imported ",VLOOKUP($A183,Types!$A$2:$C$13,3,FALSE),", PADD ",D183,", Step ",RIGHT(C183,1))</f>
        <v>Imported Kerosene and Other Refined Products, PADD 3, Step 1</v>
      </c>
      <c r="G183" s="9" t="str">
        <f>CONCATENATE(VLOOKUP($A183,Types!$A$2:$C$13,2,FALSE),"P",D183)</f>
        <v>KERP3</v>
      </c>
      <c r="H183" s="66">
        <f>H182*$C$5</f>
        <v>63.316550000000014</v>
      </c>
      <c r="I183" s="66">
        <f t="shared" ref="I183" si="908">I182*$C$5</f>
        <v>38.706800000000001</v>
      </c>
      <c r="J183" s="66">
        <f t="shared" ref="J183" si="909">J182*$C$5</f>
        <v>31.387999999999998</v>
      </c>
      <c r="K183" s="66">
        <f t="shared" ref="K183" si="910">K182*$C$5</f>
        <v>39.671999999999997</v>
      </c>
      <c r="L183" s="67">
        <f>H183*Conv!$J$20/10^6/VLOOKUP($B183,Types!$B$2:$D$13,3,FALSE)/Conv!$I$5</f>
        <v>16.24134789833893</v>
      </c>
      <c r="M183" s="67">
        <f>I183*Conv!$J$20/10^6/VLOOKUP($B183,Types!$B$2:$D$13,3,FALSE)/Conv!$I$5</f>
        <v>9.9286932852694125</v>
      </c>
      <c r="N183" s="67" t="e">
        <f>M183*#REF!</f>
        <v>#REF!</v>
      </c>
      <c r="O183" s="67" t="e">
        <f>N183*#REF!</f>
        <v>#REF!</v>
      </c>
      <c r="P183" s="67" t="e">
        <f>O183*#REF!</f>
        <v>#REF!</v>
      </c>
      <c r="Q183" s="67" t="e">
        <f>P183*#REF!</f>
        <v>#REF!</v>
      </c>
      <c r="R183" s="67" t="e">
        <f>Q183*#REF!</f>
        <v>#REF!</v>
      </c>
      <c r="S183" s="67" t="e">
        <f>R183*#REF!</f>
        <v>#REF!</v>
      </c>
      <c r="T183" s="67" t="e">
        <f>S183*#REF!</f>
        <v>#REF!</v>
      </c>
      <c r="U183" s="67" t="e">
        <f>T183*#REF!</f>
        <v>#REF!</v>
      </c>
      <c r="V183" s="67" t="e">
        <f>U183*#REF!</f>
        <v>#REF!</v>
      </c>
      <c r="W183" s="42"/>
      <c r="X183" s="9">
        <f>X182*$E$5</f>
        <v>87.2</v>
      </c>
      <c r="Y183" s="9">
        <f t="shared" ref="Y183" si="911">Y182*$E$5</f>
        <v>15.672000000000001</v>
      </c>
      <c r="Z183" s="9">
        <f t="shared" ref="Z183" si="912">Z182*$E$5</f>
        <v>16.96</v>
      </c>
      <c r="AA183" s="9">
        <f t="shared" ref="AA183" si="913">AA182*$E$5</f>
        <v>18.368000000000002</v>
      </c>
      <c r="AB183" s="42">
        <f>X183*VLOOKUP($B183,Types!$B$2:$D$13,3,FALSE)*Conv!$I$5*1000*365</f>
        <v>190.40042782656002</v>
      </c>
      <c r="AC183" s="42">
        <f>Y183*VLOOKUP($B183,Types!$B$2:$D$13,3,FALSE)*Conv!$I$5*1000*365</f>
        <v>34.219673221305598</v>
      </c>
      <c r="AD183" s="42">
        <f>Z183*VLOOKUP($B183,Types!$B$2:$D$13,3,FALSE)*Conv!$I$5*1000*365</f>
        <v>37.032009815808003</v>
      </c>
      <c r="AE183" s="42">
        <f>AA183*VLOOKUP($B183,Types!$B$2:$D$13,3,FALSE)*Conv!$I$5*1000*365</f>
        <v>40.106365347686399</v>
      </c>
      <c r="AF183" s="42">
        <f>AB183</f>
        <v>190.40042782656002</v>
      </c>
      <c r="AG183" s="42">
        <f t="shared" ref="AG183" si="914">AC183</f>
        <v>34.219673221305598</v>
      </c>
      <c r="AH183" s="42">
        <f t="shared" ref="AH183" si="915">AD183</f>
        <v>37.032009815808003</v>
      </c>
      <c r="AI183" s="42">
        <f t="shared" ref="AI183" si="916">AE183</f>
        <v>40.106365347686399</v>
      </c>
      <c r="AJ183" s="42"/>
      <c r="AK183" s="42"/>
      <c r="AL183" s="42"/>
    </row>
    <row r="184" spans="1:38">
      <c r="A184" s="9" t="str">
        <f t="shared" ref="A184:A186" si="917">A183</f>
        <v>Other Refined Prod.</v>
      </c>
      <c r="B184" s="9" t="str">
        <f>VLOOKUP($A184,Types!$A$2:$C$13,2,FALSE)</f>
        <v>KER</v>
      </c>
      <c r="C184" s="9">
        <v>2</v>
      </c>
      <c r="D184" s="9">
        <v>3</v>
      </c>
      <c r="E184" s="9" t="str">
        <f t="shared" si="907"/>
        <v>IMPKERP32</v>
      </c>
      <c r="F184" s="9" t="str">
        <f>CONCATENATE("Imported ",VLOOKUP($A184,Types!$A$2:$C$13,3,FALSE),", PADD ",D184,", Step ",RIGHT(C184,1))</f>
        <v>Imported Kerosene and Other Refined Products, PADD 3, Step 2</v>
      </c>
      <c r="G184" s="9" t="str">
        <f>CONCATENATE(VLOOKUP($A184,Types!$A$2:$C$13,2,FALSE),"P",D184)</f>
        <v>KERP3</v>
      </c>
      <c r="H184" s="66">
        <f>H182*$C$6</f>
        <v>65.316020000000009</v>
      </c>
      <c r="I184" s="66">
        <f t="shared" ref="I184:K184" si="918">I182*$C$6</f>
        <v>39.929119999999998</v>
      </c>
      <c r="J184" s="66">
        <f t="shared" si="918"/>
        <v>32.379199999999997</v>
      </c>
      <c r="K184" s="66">
        <f t="shared" si="918"/>
        <v>40.924799999999998</v>
      </c>
      <c r="L184" s="67">
        <f>H184*Conv!$J$20/10^6/VLOOKUP($B184,Types!$B$2:$D$13,3,FALSE)/Conv!$I$5</f>
        <v>16.754232568812785</v>
      </c>
      <c r="M184" s="67">
        <f>I184*Conv!$J$20/10^6/VLOOKUP($B184,Types!$B$2:$D$13,3,FALSE)/Conv!$I$5</f>
        <v>10.242230967962131</v>
      </c>
      <c r="N184" s="67" t="e">
        <f>M184*#REF!</f>
        <v>#REF!</v>
      </c>
      <c r="O184" s="67" t="e">
        <f>N184*#REF!</f>
        <v>#REF!</v>
      </c>
      <c r="P184" s="67" t="e">
        <f>O184*#REF!</f>
        <v>#REF!</v>
      </c>
      <c r="Q184" s="67" t="e">
        <f>P184*#REF!</f>
        <v>#REF!</v>
      </c>
      <c r="R184" s="67" t="e">
        <f>Q184*#REF!</f>
        <v>#REF!</v>
      </c>
      <c r="S184" s="67" t="e">
        <f>R184*#REF!</f>
        <v>#REF!</v>
      </c>
      <c r="T184" s="67" t="e">
        <f>S184*#REF!</f>
        <v>#REF!</v>
      </c>
      <c r="U184" s="67" t="e">
        <f>T184*#REF!</f>
        <v>#REF!</v>
      </c>
      <c r="V184" s="67" t="e">
        <f>U184*#REF!</f>
        <v>#REF!</v>
      </c>
      <c r="W184" s="42"/>
      <c r="X184" s="9">
        <f>X182*$E$6</f>
        <v>98.100000000000009</v>
      </c>
      <c r="Y184" s="9">
        <f t="shared" ref="Y184:AA184" si="919">Y182*$E$6</f>
        <v>17.631</v>
      </c>
      <c r="Z184" s="9">
        <f t="shared" si="919"/>
        <v>19.079999999999998</v>
      </c>
      <c r="AA184" s="9">
        <f t="shared" si="919"/>
        <v>20.664000000000001</v>
      </c>
      <c r="AB184" s="42">
        <f>X184*VLOOKUP($B184,Types!$B$2:$D$13,3,FALSE)*Conv!$I$5*1000*365</f>
        <v>214.20048130488004</v>
      </c>
      <c r="AC184" s="42">
        <f>Y184*VLOOKUP($B184,Types!$B$2:$D$13,3,FALSE)*Conv!$I$5*1000*365</f>
        <v>38.497132373968796</v>
      </c>
      <c r="AD184" s="42">
        <f>Z184*VLOOKUP($B184,Types!$B$2:$D$13,3,FALSE)*Conv!$I$5*1000*365</f>
        <v>41.66101104278399</v>
      </c>
      <c r="AE184" s="42">
        <f>AA184*VLOOKUP($B184,Types!$B$2:$D$13,3,FALSE)*Conv!$I$5*1000*365</f>
        <v>45.119661016147205</v>
      </c>
      <c r="AF184" s="42">
        <f>AB184-AF183</f>
        <v>23.800053478320024</v>
      </c>
      <c r="AG184" s="42">
        <f t="shared" ref="AG184" si="920">AC184-AG183</f>
        <v>4.277459152663198</v>
      </c>
      <c r="AH184" s="42">
        <f t="shared" ref="AH184" si="921">AD184-AH183</f>
        <v>4.629001226975987</v>
      </c>
      <c r="AI184" s="42">
        <f t="shared" ref="AI184" si="922">AE184-AI183</f>
        <v>5.0132956684608061</v>
      </c>
      <c r="AJ184" s="42"/>
      <c r="AK184" s="42"/>
      <c r="AL184" s="42"/>
    </row>
    <row r="185" spans="1:38">
      <c r="A185" s="9" t="str">
        <f t="shared" si="917"/>
        <v>Other Refined Prod.</v>
      </c>
      <c r="B185" s="9" t="str">
        <f>VLOOKUP($A185,Types!$A$2:$C$13,2,FALSE)</f>
        <v>KER</v>
      </c>
      <c r="C185" s="9">
        <v>4</v>
      </c>
      <c r="D185" s="9">
        <v>3</v>
      </c>
      <c r="E185" s="9" t="str">
        <f t="shared" si="907"/>
        <v>IMPKERP34</v>
      </c>
      <c r="F185" s="9" t="str">
        <f>CONCATENATE("Imported ",VLOOKUP($A185,Types!$A$2:$C$13,3,FALSE),", PADD ",D185,", Step ",RIGHT(C185,1))</f>
        <v>Imported Kerosene and Other Refined Products, PADD 3, Step 4</v>
      </c>
      <c r="G185" s="9" t="str">
        <f>CONCATENATE(VLOOKUP($A185,Types!$A$2:$C$13,2,FALSE),"P",D185)</f>
        <v>KERP3</v>
      </c>
      <c r="H185" s="66">
        <f>H182*$C$8</f>
        <v>72.647410000000022</v>
      </c>
      <c r="I185" s="66">
        <f t="shared" ref="I185:K185" si="923">I182*$C$8</f>
        <v>44.410960000000003</v>
      </c>
      <c r="J185" s="66">
        <f t="shared" si="923"/>
        <v>36.013600000000004</v>
      </c>
      <c r="K185" s="66">
        <f t="shared" si="923"/>
        <v>45.5184</v>
      </c>
      <c r="L185" s="67">
        <f>H185*Conv!$J$20/10^6/VLOOKUP($B185,Types!$B$2:$D$13,3,FALSE)/Conv!$I$5</f>
        <v>18.634809693883611</v>
      </c>
      <c r="M185" s="67">
        <f>I185*Conv!$J$20/10^6/VLOOKUP($B185,Types!$B$2:$D$13,3,FALSE)/Conv!$I$5</f>
        <v>11.391869137835432</v>
      </c>
      <c r="N185" s="67" t="e">
        <f>M185*#REF!</f>
        <v>#REF!</v>
      </c>
      <c r="O185" s="67" t="e">
        <f>N185*#REF!</f>
        <v>#REF!</v>
      </c>
      <c r="P185" s="67" t="e">
        <f>O185*#REF!</f>
        <v>#REF!</v>
      </c>
      <c r="Q185" s="67" t="e">
        <f>P185*#REF!</f>
        <v>#REF!</v>
      </c>
      <c r="R185" s="67" t="e">
        <f>Q185*#REF!</f>
        <v>#REF!</v>
      </c>
      <c r="S185" s="67" t="e">
        <f>R185*#REF!</f>
        <v>#REF!</v>
      </c>
      <c r="T185" s="67" t="e">
        <f>S185*#REF!</f>
        <v>#REF!</v>
      </c>
      <c r="U185" s="67" t="e">
        <f>T185*#REF!</f>
        <v>#REF!</v>
      </c>
      <c r="V185" s="67" t="e">
        <f>U185*#REF!</f>
        <v>#REF!</v>
      </c>
      <c r="W185" s="42"/>
      <c r="X185" s="9">
        <f>X182*$E$8</f>
        <v>130.79999999999998</v>
      </c>
      <c r="Y185" s="9">
        <f t="shared" ref="Y185:AA185" si="924">Y182*$E$8</f>
        <v>23.507999999999999</v>
      </c>
      <c r="Z185" s="9">
        <f t="shared" si="924"/>
        <v>25.439999999999998</v>
      </c>
      <c r="AA185" s="9">
        <f t="shared" si="924"/>
        <v>27.552</v>
      </c>
      <c r="AB185" s="42">
        <f>X185*VLOOKUP($B185,Types!$B$2:$D$13,3,FALSE)*Conv!$I$5*1000*365</f>
        <v>285.60064173983994</v>
      </c>
      <c r="AC185" s="42">
        <f>Y185*VLOOKUP($B185,Types!$B$2:$D$13,3,FALSE)*Conv!$I$5*1000*365</f>
        <v>51.329509831958383</v>
      </c>
      <c r="AD185" s="42">
        <f>Z185*VLOOKUP($B185,Types!$B$2:$D$13,3,FALSE)*Conv!$I$5*1000*365</f>
        <v>55.548014723712001</v>
      </c>
      <c r="AE185" s="42">
        <f>AA185*VLOOKUP($B185,Types!$B$2:$D$13,3,FALSE)*Conv!$I$5*1000*365</f>
        <v>60.159548021529602</v>
      </c>
      <c r="AF185" s="42">
        <f>AB185-AB182</f>
        <v>47.600106956639962</v>
      </c>
      <c r="AG185" s="42">
        <f t="shared" ref="AG185" si="925">AC185-AC182</f>
        <v>8.5549183053263889</v>
      </c>
      <c r="AH185" s="42">
        <f t="shared" ref="AH185" si="926">AD185-AD182</f>
        <v>9.2580024539520025</v>
      </c>
      <c r="AI185" s="42">
        <f t="shared" ref="AI185" si="927">AE185-AE182</f>
        <v>10.026591336921598</v>
      </c>
      <c r="AJ185" s="42"/>
      <c r="AK185" s="42"/>
      <c r="AL185" s="42"/>
    </row>
    <row r="186" spans="1:38">
      <c r="A186" s="9" t="str">
        <f t="shared" si="917"/>
        <v>Other Refined Prod.</v>
      </c>
      <c r="B186" s="9" t="str">
        <f>VLOOKUP($A186,Types!$A$2:$C$13,2,FALSE)</f>
        <v>KER</v>
      </c>
      <c r="C186" s="9">
        <v>5</v>
      </c>
      <c r="D186" s="9">
        <v>3</v>
      </c>
      <c r="E186" s="9" t="str">
        <f t="shared" si="907"/>
        <v>IMPKERP35</v>
      </c>
      <c r="F186" s="9" t="str">
        <f>CONCATENATE("Imported ",VLOOKUP($A186,Types!$A$2:$C$13,3,FALSE),", PADD ",D186,", Step ",RIGHT(C186,1))</f>
        <v>Imported Kerosene and Other Refined Products, PADD 3, Step 5</v>
      </c>
      <c r="G186" s="9" t="str">
        <f>CONCATENATE(VLOOKUP($A186,Types!$A$2:$C$13,2,FALSE),"P",D186)</f>
        <v>KERP3</v>
      </c>
      <c r="H186" s="66">
        <f>H182*$C$9</f>
        <v>86.643700000000024</v>
      </c>
      <c r="I186" s="66">
        <f t="shared" ref="I186:K186" si="928">I182*$C$9</f>
        <v>52.967199999999998</v>
      </c>
      <c r="J186" s="66">
        <f t="shared" si="928"/>
        <v>42.951999999999998</v>
      </c>
      <c r="K186" s="66">
        <f t="shared" si="928"/>
        <v>54.287999999999997</v>
      </c>
      <c r="L186" s="67">
        <f>H186*Conv!$J$20/10^6/VLOOKUP($B186,Types!$B$2:$D$13,3,FALSE)/Conv!$I$5</f>
        <v>22.225002387200636</v>
      </c>
      <c r="M186" s="67">
        <f>I186*Conv!$J$20/10^6/VLOOKUP($B186,Types!$B$2:$D$13,3,FALSE)/Conv!$I$5</f>
        <v>13.586632916684458</v>
      </c>
      <c r="N186" s="67" t="e">
        <f>M186*#REF!</f>
        <v>#REF!</v>
      </c>
      <c r="O186" s="67" t="e">
        <f>N186*#REF!</f>
        <v>#REF!</v>
      </c>
      <c r="P186" s="67" t="e">
        <f>O186*#REF!</f>
        <v>#REF!</v>
      </c>
      <c r="Q186" s="67" t="e">
        <f>P186*#REF!</f>
        <v>#REF!</v>
      </c>
      <c r="R186" s="67" t="e">
        <f>Q186*#REF!</f>
        <v>#REF!</v>
      </c>
      <c r="S186" s="67" t="e">
        <f>R186*#REF!</f>
        <v>#REF!</v>
      </c>
      <c r="T186" s="67" t="e">
        <f>S186*#REF!</f>
        <v>#REF!</v>
      </c>
      <c r="U186" s="67" t="e">
        <f>T186*#REF!</f>
        <v>#REF!</v>
      </c>
      <c r="V186" s="67" t="e">
        <f>U186*#REF!</f>
        <v>#REF!</v>
      </c>
      <c r="W186" s="42"/>
      <c r="X186" s="9">
        <f>X182*$E$9</f>
        <v>218</v>
      </c>
      <c r="Y186" s="9">
        <f t="shared" ref="Y186:AA186" si="929">Y182*$E$9</f>
        <v>39.18</v>
      </c>
      <c r="Z186" s="9">
        <f t="shared" si="929"/>
        <v>42.4</v>
      </c>
      <c r="AA186" s="9">
        <f t="shared" si="929"/>
        <v>45.92</v>
      </c>
      <c r="AB186" s="42">
        <f>X186*VLOOKUP($B186,Types!$B$2:$D$13,3,FALSE)*Conv!$I$5*1000*365</f>
        <v>476.00106956639996</v>
      </c>
      <c r="AC186" s="42">
        <f>Y186*VLOOKUP($B186,Types!$B$2:$D$13,3,FALSE)*Conv!$I$5*1000*365</f>
        <v>85.549183053263988</v>
      </c>
      <c r="AD186" s="42">
        <f>Z186*VLOOKUP($B186,Types!$B$2:$D$13,3,FALSE)*Conv!$I$5*1000*365</f>
        <v>92.580024539519997</v>
      </c>
      <c r="AE186" s="42">
        <f>AA186*VLOOKUP($B186,Types!$B$2:$D$13,3,FALSE)*Conv!$I$5*1000*365</f>
        <v>100.26591336921601</v>
      </c>
      <c r="AF186" s="42">
        <f>AB186-AB185</f>
        <v>190.40042782656002</v>
      </c>
      <c r="AG186" s="42">
        <f t="shared" ref="AG186" si="930">AC186-AC185</f>
        <v>34.219673221305605</v>
      </c>
      <c r="AH186" s="42">
        <f t="shared" ref="AH186" si="931">AD186-AD185</f>
        <v>37.032009815807996</v>
      </c>
      <c r="AI186" s="42">
        <f t="shared" ref="AI186" si="932">AE186-AE185</f>
        <v>40.106365347686406</v>
      </c>
      <c r="AJ186" s="42"/>
      <c r="AK186" s="42"/>
      <c r="AL186" s="42"/>
    </row>
    <row r="187" spans="1:38">
      <c r="A187" s="9" t="str">
        <f>'Agg prdcrv'!$A$16</f>
        <v>Methanol</v>
      </c>
      <c r="B187" s="9" t="str">
        <f>VLOOKUP($A187,Types!$A$2:$C$13,2,FALSE)</f>
        <v>MTH</v>
      </c>
      <c r="C187" s="9">
        <v>3</v>
      </c>
      <c r="D187" s="9">
        <v>3</v>
      </c>
      <c r="E187" s="9" t="str">
        <f t="shared" si="907"/>
        <v>IMPMTHP33</v>
      </c>
      <c r="F187" s="9" t="str">
        <f>CONCATENATE("Imported ",VLOOKUP($A187,Types!$A$2:$C$13,3,FALSE),", PADD ",D187,", Step ",RIGHT(C187,1))</f>
        <v>Imported Methanol, PADD 3, Step 3</v>
      </c>
      <c r="G187" s="9" t="str">
        <f>CONCATENATE(VLOOKUP($A187,Types!$A$2:$C$13,2,FALSE),"P",D187)</f>
        <v>MTHP3</v>
      </c>
      <c r="H187" s="66">
        <f>SUMIFS('Agg prdcrv'!$N$6:$N$100,'Agg prdcrv'!$A$6:$A$100,'Imp Refined'!$A187,'Agg prdcrv'!$B$6:$B$100,H$11)*K4</f>
        <v>51.689000000000007</v>
      </c>
      <c r="I187" s="66">
        <f>SUMIFS('Agg prdcrv'!$N$6:$N$100,'Agg prdcrv'!$A$6:$A$100,'Imp Refined'!$A187,'Agg prdcrv'!$B$6:$B$100,I$11)*K4</f>
        <v>51.128</v>
      </c>
      <c r="J187" s="66">
        <f t="array" ref="J187">SUMIFS('Agg prdcrv'!$N$6:$N$100,'Agg prdcrv'!$A$6:$A$100,'Imp Refined'!$A187,'Agg prdcrv'!$B$6:$B$100,J$11)</f>
        <v>46.48</v>
      </c>
      <c r="K187" s="66">
        <f t="array" ref="K187">SUMIFS('Agg prdcrv'!$N$6:$N$100,'Agg prdcrv'!$A$6:$A$100,'Imp Refined'!$A187,'Agg prdcrv'!$B$6:$B$100,K$11)</f>
        <v>46.48</v>
      </c>
      <c r="L187" s="67">
        <f>H187*Conv!$J$20/10^6/VLOOKUP($B187,Types!$B$2:$D$13,3,FALSE)/Conv!$I$5</f>
        <v>27.369002968023974</v>
      </c>
      <c r="M187" s="67">
        <f>I187*Conv!$J$20/10^6/VLOOKUP($B187,Types!$B$2:$D$13,3,FALSE)/Conv!$I$5</f>
        <v>27.071956968583827</v>
      </c>
      <c r="N187" s="67" t="e">
        <f>M187*#REF!</f>
        <v>#REF!</v>
      </c>
      <c r="O187" s="67" t="e">
        <f>N187*#REF!</f>
        <v>#REF!</v>
      </c>
      <c r="P187" s="67" t="e">
        <f>O187*#REF!</f>
        <v>#REF!</v>
      </c>
      <c r="Q187" s="67" t="e">
        <f>P187*#REF!</f>
        <v>#REF!</v>
      </c>
      <c r="R187" s="67" t="e">
        <f>Q187*#REF!</f>
        <v>#REF!</v>
      </c>
      <c r="S187" s="67" t="e">
        <f>R187*#REF!</f>
        <v>#REF!</v>
      </c>
      <c r="T187" s="67" t="e">
        <f>S187*#REF!</f>
        <v>#REF!</v>
      </c>
      <c r="U187" s="67" t="e">
        <f>T187*#REF!</f>
        <v>#REF!</v>
      </c>
      <c r="V187" s="67" t="e">
        <f>U187*#REF!</f>
        <v>#REF!</v>
      </c>
      <c r="W187" s="42"/>
      <c r="X187" s="9">
        <f t="array" ref="X187">SUMIFS('Agg prdcrv'!$F$6:$F$100,'Agg prdcrv'!$A$6:$A$100,'Imp Refined'!$A187,'Agg prdcrv'!$B$6:$B$100,X$11)</f>
        <v>0</v>
      </c>
      <c r="Y187" s="9">
        <f t="array" ref="Y187">SUMIFS('Agg prdcrv'!$F$6:$F$100,'Agg prdcrv'!$A$6:$A$100,'Imp Refined'!$A187,'Agg prdcrv'!$B$6:$B$100,Y$11)</f>
        <v>0</v>
      </c>
      <c r="Z187" s="9">
        <f t="array" ref="Z187">SUMIFS('Agg prdcrv'!$F$6:$F$100,'Agg prdcrv'!$A$6:$A$100,'Imp Refined'!$A187,'Agg prdcrv'!$B$6:$B$100,Z$11)</f>
        <v>0</v>
      </c>
      <c r="AA187" s="9">
        <f t="array" ref="AA187">SUMIFS('Agg prdcrv'!$F$6:$F$100,'Agg prdcrv'!$A$6:$A$100,'Imp Refined'!$A187,'Agg prdcrv'!$B$6:$B$100,AA$11)</f>
        <v>0</v>
      </c>
      <c r="AB187" s="42">
        <f>X187*VLOOKUP($B187,Types!$B$2:$D$13,3,FALSE)*Conv!$I$5*1000*365</f>
        <v>0</v>
      </c>
      <c r="AC187" s="42">
        <f>Y187*VLOOKUP($B187,Types!$B$2:$D$13,3,FALSE)*Conv!$I$5*1000*365</f>
        <v>0</v>
      </c>
      <c r="AD187" s="42">
        <f>Z187*VLOOKUP($B187,Types!$B$2:$D$13,3,FALSE)*Conv!$I$5*1000*365</f>
        <v>0</v>
      </c>
      <c r="AE187" s="42">
        <f>AA187*VLOOKUP($B187,Types!$B$2:$D$13,3,FALSE)*Conv!$I$5*1000*365</f>
        <v>0</v>
      </c>
      <c r="AF187" s="42">
        <f>AB187-AB189</f>
        <v>0</v>
      </c>
      <c r="AG187" s="42">
        <f t="shared" ref="AG187" si="933">AC187-AC189</f>
        <v>0</v>
      </c>
      <c r="AH187" s="42">
        <f t="shared" ref="AH187" si="934">AD187-AD189</f>
        <v>0</v>
      </c>
      <c r="AI187" s="42">
        <f t="shared" ref="AI187" si="935">AE187-AE189</f>
        <v>0</v>
      </c>
      <c r="AJ187" s="42"/>
      <c r="AK187" s="42"/>
      <c r="AL187" s="42"/>
    </row>
    <row r="188" spans="1:38">
      <c r="A188" s="9" t="str">
        <f>A187</f>
        <v>Methanol</v>
      </c>
      <c r="B188" s="9" t="str">
        <f>VLOOKUP($A188,Types!$A$2:$C$13,2,FALSE)</f>
        <v>MTH</v>
      </c>
      <c r="C188" s="9">
        <v>1</v>
      </c>
      <c r="D188" s="9">
        <v>3</v>
      </c>
      <c r="E188" s="9" t="str">
        <f t="shared" si="907"/>
        <v>IMPMTHP31</v>
      </c>
      <c r="F188" s="9" t="str">
        <f>CONCATENATE("Imported ",VLOOKUP($A188,Types!$A$2:$C$13,3,FALSE),", PADD ",D188,", Step ",RIGHT(C188,1))</f>
        <v>Imported Methanol, PADD 3, Step 1</v>
      </c>
      <c r="G188" s="9" t="str">
        <f>CONCATENATE(VLOOKUP($A188,Types!$A$2:$C$13,2,FALSE),"P",D188)</f>
        <v>MTHP3</v>
      </c>
      <c r="H188" s="66">
        <f>H187*$C$5</f>
        <v>49.104550000000003</v>
      </c>
      <c r="I188" s="66">
        <f t="shared" ref="I188" si="936">I187*$C$5</f>
        <v>48.571599999999997</v>
      </c>
      <c r="J188" s="66">
        <f t="shared" ref="J188" si="937">J187*$C$5</f>
        <v>44.155999999999992</v>
      </c>
      <c r="K188" s="66">
        <f t="shared" ref="K188" si="938">K187*$C$5</f>
        <v>44.155999999999992</v>
      </c>
      <c r="L188" s="67">
        <f>H188*Conv!$J$20/10^6/VLOOKUP($B188,Types!$B$2:$D$13,3,FALSE)/Conv!$I$5</f>
        <v>26.000552819622769</v>
      </c>
      <c r="M188" s="67">
        <f>I188*Conv!$J$20/10^6/VLOOKUP($B188,Types!$B$2:$D$13,3,FALSE)/Conv!$I$5</f>
        <v>25.718359120154631</v>
      </c>
      <c r="N188" s="67" t="e">
        <f>M188*#REF!</f>
        <v>#REF!</v>
      </c>
      <c r="O188" s="67" t="e">
        <f>N188*#REF!</f>
        <v>#REF!</v>
      </c>
      <c r="P188" s="67" t="e">
        <f>O188*#REF!</f>
        <v>#REF!</v>
      </c>
      <c r="Q188" s="67" t="e">
        <f>P188*#REF!</f>
        <v>#REF!</v>
      </c>
      <c r="R188" s="67" t="e">
        <f>Q188*#REF!</f>
        <v>#REF!</v>
      </c>
      <c r="S188" s="67" t="e">
        <f>R188*#REF!</f>
        <v>#REF!</v>
      </c>
      <c r="T188" s="67" t="e">
        <f>S188*#REF!</f>
        <v>#REF!</v>
      </c>
      <c r="U188" s="67" t="e">
        <f>T188*#REF!</f>
        <v>#REF!</v>
      </c>
      <c r="V188" s="67" t="e">
        <f>U188*#REF!</f>
        <v>#REF!</v>
      </c>
      <c r="W188" s="42"/>
      <c r="X188" s="9">
        <f>X187*$E$5</f>
        <v>0</v>
      </c>
      <c r="Y188" s="9">
        <f t="shared" ref="Y188" si="939">Y187*$E$5</f>
        <v>0</v>
      </c>
      <c r="Z188" s="9">
        <f t="shared" ref="Z188" si="940">Z187*$E$5</f>
        <v>0</v>
      </c>
      <c r="AA188" s="9">
        <f t="shared" ref="AA188" si="941">AA187*$E$5</f>
        <v>0</v>
      </c>
      <c r="AB188" s="42">
        <f>X188*VLOOKUP($B188,Types!$B$2:$D$13,3,FALSE)*Conv!$I$5*1000*365</f>
        <v>0</v>
      </c>
      <c r="AC188" s="42">
        <f>Y188*VLOOKUP($B188,Types!$B$2:$D$13,3,FALSE)*Conv!$I$5*1000*365</f>
        <v>0</v>
      </c>
      <c r="AD188" s="42">
        <f>Z188*VLOOKUP($B188,Types!$B$2:$D$13,3,FALSE)*Conv!$I$5*1000*365</f>
        <v>0</v>
      </c>
      <c r="AE188" s="42">
        <f>AA188*VLOOKUP($B188,Types!$B$2:$D$13,3,FALSE)*Conv!$I$5*1000*365</f>
        <v>0</v>
      </c>
      <c r="AF188" s="42">
        <f>AB188</f>
        <v>0</v>
      </c>
      <c r="AG188" s="42">
        <f t="shared" ref="AG188" si="942">AC188</f>
        <v>0</v>
      </c>
      <c r="AH188" s="42">
        <f t="shared" ref="AH188" si="943">AD188</f>
        <v>0</v>
      </c>
      <c r="AI188" s="42">
        <f t="shared" ref="AI188" si="944">AE188</f>
        <v>0</v>
      </c>
      <c r="AJ188" s="42"/>
      <c r="AK188" s="42"/>
      <c r="AL188" s="42"/>
    </row>
    <row r="189" spans="1:38">
      <c r="A189" s="9" t="str">
        <f t="shared" ref="A189:A191" si="945">A188</f>
        <v>Methanol</v>
      </c>
      <c r="B189" s="9" t="str">
        <f>VLOOKUP($A189,Types!$A$2:$C$13,2,FALSE)</f>
        <v>MTH</v>
      </c>
      <c r="C189" s="9">
        <v>2</v>
      </c>
      <c r="D189" s="9">
        <v>3</v>
      </c>
      <c r="E189" s="9" t="str">
        <f t="shared" si="907"/>
        <v>IMPMTHP32</v>
      </c>
      <c r="F189" s="9" t="str">
        <f>CONCATENATE("Imported ",VLOOKUP($A189,Types!$A$2:$C$13,3,FALSE),", PADD ",D189,", Step ",RIGHT(C189,1))</f>
        <v>Imported Methanol, PADD 3, Step 2</v>
      </c>
      <c r="G189" s="9" t="str">
        <f>CONCATENATE(VLOOKUP($A189,Types!$A$2:$C$13,2,FALSE),"P",D189)</f>
        <v>MTHP3</v>
      </c>
      <c r="H189" s="66">
        <f>H187*$C$6</f>
        <v>50.655220000000007</v>
      </c>
      <c r="I189" s="66">
        <f t="shared" ref="I189:K189" si="946">I187*$C$6</f>
        <v>50.105440000000002</v>
      </c>
      <c r="J189" s="66">
        <f t="shared" si="946"/>
        <v>45.550399999999996</v>
      </c>
      <c r="K189" s="66">
        <f t="shared" si="946"/>
        <v>45.550399999999996</v>
      </c>
      <c r="L189" s="67">
        <f>H189*Conv!$J$20/10^6/VLOOKUP($B189,Types!$B$2:$D$13,3,FALSE)/Conv!$I$5</f>
        <v>26.821622908663493</v>
      </c>
      <c r="M189" s="67">
        <f>I189*Conv!$J$20/10^6/VLOOKUP($B189,Types!$B$2:$D$13,3,FALSE)/Conv!$I$5</f>
        <v>26.530517829212151</v>
      </c>
      <c r="N189" s="67" t="e">
        <f>M189*#REF!</f>
        <v>#REF!</v>
      </c>
      <c r="O189" s="67" t="e">
        <f>N189*#REF!</f>
        <v>#REF!</v>
      </c>
      <c r="P189" s="67" t="e">
        <f>O189*#REF!</f>
        <v>#REF!</v>
      </c>
      <c r="Q189" s="67" t="e">
        <f>P189*#REF!</f>
        <v>#REF!</v>
      </c>
      <c r="R189" s="67" t="e">
        <f>Q189*#REF!</f>
        <v>#REF!</v>
      </c>
      <c r="S189" s="67" t="e">
        <f>R189*#REF!</f>
        <v>#REF!</v>
      </c>
      <c r="T189" s="67" t="e">
        <f>S189*#REF!</f>
        <v>#REF!</v>
      </c>
      <c r="U189" s="67" t="e">
        <f>T189*#REF!</f>
        <v>#REF!</v>
      </c>
      <c r="V189" s="67" t="e">
        <f>U189*#REF!</f>
        <v>#REF!</v>
      </c>
      <c r="W189" s="42"/>
      <c r="X189" s="9">
        <f>X187*$E$6</f>
        <v>0</v>
      </c>
      <c r="Y189" s="9">
        <f t="shared" ref="Y189:AA189" si="947">Y187*$E$6</f>
        <v>0</v>
      </c>
      <c r="Z189" s="9">
        <f t="shared" si="947"/>
        <v>0</v>
      </c>
      <c r="AA189" s="9">
        <f t="shared" si="947"/>
        <v>0</v>
      </c>
      <c r="AB189" s="42">
        <f>X189*VLOOKUP($B189,Types!$B$2:$D$13,3,FALSE)*Conv!$I$5*1000*365</f>
        <v>0</v>
      </c>
      <c r="AC189" s="42">
        <f>Y189*VLOOKUP($B189,Types!$B$2:$D$13,3,FALSE)*Conv!$I$5*1000*365</f>
        <v>0</v>
      </c>
      <c r="AD189" s="42">
        <f>Z189*VLOOKUP($B189,Types!$B$2:$D$13,3,FALSE)*Conv!$I$5*1000*365</f>
        <v>0</v>
      </c>
      <c r="AE189" s="42">
        <f>AA189*VLOOKUP($B189,Types!$B$2:$D$13,3,FALSE)*Conv!$I$5*1000*365</f>
        <v>0</v>
      </c>
      <c r="AF189" s="42">
        <f>AB189-AF188</f>
        <v>0</v>
      </c>
      <c r="AG189" s="42">
        <f t="shared" ref="AG189" si="948">AC189-AG188</f>
        <v>0</v>
      </c>
      <c r="AH189" s="42">
        <f t="shared" ref="AH189" si="949">AD189-AH188</f>
        <v>0</v>
      </c>
      <c r="AI189" s="42">
        <f t="shared" ref="AI189" si="950">AE189-AI188</f>
        <v>0</v>
      </c>
      <c r="AJ189" s="42"/>
      <c r="AK189" s="42"/>
      <c r="AL189" s="42"/>
    </row>
    <row r="190" spans="1:38">
      <c r="A190" s="9" t="str">
        <f t="shared" si="945"/>
        <v>Methanol</v>
      </c>
      <c r="B190" s="9" t="str">
        <f>VLOOKUP($A190,Types!$A$2:$C$13,2,FALSE)</f>
        <v>MTH</v>
      </c>
      <c r="C190" s="9">
        <v>4</v>
      </c>
      <c r="D190" s="9">
        <v>3</v>
      </c>
      <c r="E190" s="9" t="str">
        <f t="shared" si="907"/>
        <v>IMPMTHP34</v>
      </c>
      <c r="F190" s="9" t="str">
        <f>CONCATENATE("Imported ",VLOOKUP($A190,Types!$A$2:$C$13,3,FALSE),", PADD ",D190,", Step ",RIGHT(C190,1))</f>
        <v>Imported Methanol, PADD 3, Step 4</v>
      </c>
      <c r="G190" s="9" t="str">
        <f>CONCATENATE(VLOOKUP($A190,Types!$A$2:$C$13,2,FALSE),"P",D190)</f>
        <v>MTHP3</v>
      </c>
      <c r="H190" s="66">
        <f>H187*$C$8</f>
        <v>56.341010000000011</v>
      </c>
      <c r="I190" s="66">
        <f t="shared" ref="I190:K190" si="951">I187*$C$8</f>
        <v>55.729520000000001</v>
      </c>
      <c r="J190" s="66">
        <f t="shared" si="951"/>
        <v>50.663200000000003</v>
      </c>
      <c r="K190" s="66">
        <f t="shared" si="951"/>
        <v>50.663200000000003</v>
      </c>
      <c r="L190" s="67">
        <f>H190*Conv!$J$20/10^6/VLOOKUP($B190,Types!$B$2:$D$13,3,FALSE)/Conv!$I$5</f>
        <v>29.832213235146135</v>
      </c>
      <c r="M190" s="67">
        <f>I190*Conv!$J$20/10^6/VLOOKUP($B190,Types!$B$2:$D$13,3,FALSE)/Conv!$I$5</f>
        <v>29.508433095756374</v>
      </c>
      <c r="N190" s="67" t="e">
        <f>M190*#REF!</f>
        <v>#REF!</v>
      </c>
      <c r="O190" s="67" t="e">
        <f>N190*#REF!</f>
        <v>#REF!</v>
      </c>
      <c r="P190" s="67" t="e">
        <f>O190*#REF!</f>
        <v>#REF!</v>
      </c>
      <c r="Q190" s="67" t="e">
        <f>P190*#REF!</f>
        <v>#REF!</v>
      </c>
      <c r="R190" s="67" t="e">
        <f>Q190*#REF!</f>
        <v>#REF!</v>
      </c>
      <c r="S190" s="67" t="e">
        <f>R190*#REF!</f>
        <v>#REF!</v>
      </c>
      <c r="T190" s="67" t="e">
        <f>S190*#REF!</f>
        <v>#REF!</v>
      </c>
      <c r="U190" s="67" t="e">
        <f>T190*#REF!</f>
        <v>#REF!</v>
      </c>
      <c r="V190" s="67" t="e">
        <f>U190*#REF!</f>
        <v>#REF!</v>
      </c>
      <c r="W190" s="42"/>
      <c r="X190" s="9">
        <f>X187*$E$8</f>
        <v>0</v>
      </c>
      <c r="Y190" s="9">
        <f t="shared" ref="Y190:AA190" si="952">Y187*$E$8</f>
        <v>0</v>
      </c>
      <c r="Z190" s="9">
        <f t="shared" si="952"/>
        <v>0</v>
      </c>
      <c r="AA190" s="9">
        <f t="shared" si="952"/>
        <v>0</v>
      </c>
      <c r="AB190" s="42">
        <f>X190*VLOOKUP($B190,Types!$B$2:$D$13,3,FALSE)*Conv!$I$5*1000*365</f>
        <v>0</v>
      </c>
      <c r="AC190" s="42">
        <f>Y190*VLOOKUP($B190,Types!$B$2:$D$13,3,FALSE)*Conv!$I$5*1000*365</f>
        <v>0</v>
      </c>
      <c r="AD190" s="42">
        <f>Z190*VLOOKUP($B190,Types!$B$2:$D$13,3,FALSE)*Conv!$I$5*1000*365</f>
        <v>0</v>
      </c>
      <c r="AE190" s="42">
        <f>AA190*VLOOKUP($B190,Types!$B$2:$D$13,3,FALSE)*Conv!$I$5*1000*365</f>
        <v>0</v>
      </c>
      <c r="AF190" s="42">
        <f>AB190-AB187</f>
        <v>0</v>
      </c>
      <c r="AG190" s="42">
        <f t="shared" ref="AG190" si="953">AC190-AC187</f>
        <v>0</v>
      </c>
      <c r="AH190" s="42">
        <f t="shared" ref="AH190" si="954">AD190-AD187</f>
        <v>0</v>
      </c>
      <c r="AI190" s="42">
        <f t="shared" ref="AI190" si="955">AE190-AE187</f>
        <v>0</v>
      </c>
      <c r="AJ190" s="42"/>
      <c r="AK190" s="42"/>
      <c r="AL190" s="42"/>
    </row>
    <row r="191" spans="1:38">
      <c r="A191" s="9" t="str">
        <f t="shared" si="945"/>
        <v>Methanol</v>
      </c>
      <c r="B191" s="9" t="str">
        <f>VLOOKUP($A191,Types!$A$2:$C$13,2,FALSE)</f>
        <v>MTH</v>
      </c>
      <c r="C191" s="9">
        <v>5</v>
      </c>
      <c r="D191" s="9">
        <v>3</v>
      </c>
      <c r="E191" s="9" t="str">
        <f t="shared" si="907"/>
        <v>IMPMTHP35</v>
      </c>
      <c r="F191" s="9" t="str">
        <f>CONCATENATE("Imported ",VLOOKUP($A191,Types!$A$2:$C$13,3,FALSE),", PADD ",D191,", Step ",RIGHT(C191,1))</f>
        <v>Imported Methanol, PADD 3, Step 5</v>
      </c>
      <c r="G191" s="9" t="str">
        <f>CONCATENATE(VLOOKUP($A191,Types!$A$2:$C$13,2,FALSE),"P",D191)</f>
        <v>MTHP3</v>
      </c>
      <c r="H191" s="66">
        <f>H187*$C$9</f>
        <v>67.195700000000016</v>
      </c>
      <c r="I191" s="66">
        <f t="shared" ref="I191:K191" si="956">I187*$C$9</f>
        <v>66.466400000000007</v>
      </c>
      <c r="J191" s="66">
        <f t="shared" si="956"/>
        <v>60.423999999999999</v>
      </c>
      <c r="K191" s="66">
        <f t="shared" si="956"/>
        <v>60.423999999999999</v>
      </c>
      <c r="L191" s="67">
        <f>H191*Conv!$J$20/10^6/VLOOKUP($B191,Types!$B$2:$D$13,3,FALSE)/Conv!$I$5</f>
        <v>35.579703858431166</v>
      </c>
      <c r="M191" s="67">
        <f>I191*Conv!$J$20/10^6/VLOOKUP($B191,Types!$B$2:$D$13,3,FALSE)/Conv!$I$5</f>
        <v>35.193544059158974</v>
      </c>
      <c r="N191" s="67" t="e">
        <f>M191*#REF!</f>
        <v>#REF!</v>
      </c>
      <c r="O191" s="67" t="e">
        <f>N191*#REF!</f>
        <v>#REF!</v>
      </c>
      <c r="P191" s="67" t="e">
        <f>O191*#REF!</f>
        <v>#REF!</v>
      </c>
      <c r="Q191" s="67" t="e">
        <f>P191*#REF!</f>
        <v>#REF!</v>
      </c>
      <c r="R191" s="67" t="e">
        <f>Q191*#REF!</f>
        <v>#REF!</v>
      </c>
      <c r="S191" s="67" t="e">
        <f>R191*#REF!</f>
        <v>#REF!</v>
      </c>
      <c r="T191" s="67" t="e">
        <f>S191*#REF!</f>
        <v>#REF!</v>
      </c>
      <c r="U191" s="67" t="e">
        <f>T191*#REF!</f>
        <v>#REF!</v>
      </c>
      <c r="V191" s="67" t="e">
        <f>U191*#REF!</f>
        <v>#REF!</v>
      </c>
      <c r="W191" s="42"/>
      <c r="X191" s="9">
        <f>X187*$E$9</f>
        <v>0</v>
      </c>
      <c r="Y191" s="9">
        <f t="shared" ref="Y191:AA191" si="957">Y187*$E$9</f>
        <v>0</v>
      </c>
      <c r="Z191" s="9">
        <f t="shared" si="957"/>
        <v>0</v>
      </c>
      <c r="AA191" s="9">
        <f t="shared" si="957"/>
        <v>0</v>
      </c>
      <c r="AB191" s="42">
        <f>X191*VLOOKUP($B191,Types!$B$2:$D$13,3,FALSE)*Conv!$I$5*1000*365</f>
        <v>0</v>
      </c>
      <c r="AC191" s="42">
        <f>Y191*VLOOKUP($B191,Types!$B$2:$D$13,3,FALSE)*Conv!$I$5*1000*365</f>
        <v>0</v>
      </c>
      <c r="AD191" s="42">
        <f>Z191*VLOOKUP($B191,Types!$B$2:$D$13,3,FALSE)*Conv!$I$5*1000*365</f>
        <v>0</v>
      </c>
      <c r="AE191" s="42">
        <f>AA191*VLOOKUP($B191,Types!$B$2:$D$13,3,FALSE)*Conv!$I$5*1000*365</f>
        <v>0</v>
      </c>
      <c r="AF191" s="42">
        <f>AB191-AB190</f>
        <v>0</v>
      </c>
      <c r="AG191" s="42">
        <f t="shared" ref="AG191" si="958">AC191-AC190</f>
        <v>0</v>
      </c>
      <c r="AH191" s="42">
        <f t="shared" ref="AH191" si="959">AD191-AD190</f>
        <v>0</v>
      </c>
      <c r="AI191" s="42">
        <f t="shared" ref="AI191" si="960">AE191-AE190</f>
        <v>0</v>
      </c>
      <c r="AJ191" s="42"/>
      <c r="AK191" s="42"/>
      <c r="AL191" s="42"/>
    </row>
    <row r="192" spans="1:38">
      <c r="A192" s="9" t="str">
        <f>'Agg prdcrv'!$A$19</f>
        <v>ULS Diesel (15 ppm)</v>
      </c>
      <c r="B192" s="9" t="str">
        <f>VLOOKUP($A192,Types!$A$2:$C$13,2,FALSE)</f>
        <v>DSU</v>
      </c>
      <c r="C192" s="9">
        <v>3</v>
      </c>
      <c r="D192" s="9">
        <v>3</v>
      </c>
      <c r="E192" s="9" t="str">
        <f t="shared" si="907"/>
        <v>IMPDSUP33</v>
      </c>
      <c r="F192" s="9" t="str">
        <f>CONCATENATE("Imported ",VLOOKUP($A192,Types!$A$2:$C$13,3,FALSE),", PADD ",D192,", Step ",RIGHT(C192,1))</f>
        <v>Imported Distillate-Ultralow Sulfur Highway Diesel (15 ppm), PADD 3, Step 3</v>
      </c>
      <c r="G192" s="9" t="str">
        <f>CONCATENATE(VLOOKUP($A192,Types!$A$2:$C$13,2,FALSE),"P",D192)</f>
        <v>DSUP3</v>
      </c>
      <c r="H192" s="66">
        <f>SUMIFS('Agg prdcrv'!$N$6:$N$100,'Agg prdcrv'!$A$6:$A$100,'Imp Refined'!$A192,'Agg prdcrv'!$B$6:$B$100,H$11)*K4</f>
        <v>62.458000000000006</v>
      </c>
      <c r="I192" s="66">
        <f>SUMIFS('Agg prdcrv'!$N$6:$N$100,'Agg prdcrv'!$A$6:$A$100,'Imp Refined'!$A192,'Agg prdcrv'!$B$6:$B$100,I$11)*K4</f>
        <v>53.504000000000005</v>
      </c>
      <c r="J192" s="66">
        <f t="array" ref="J192">SUMIFS('Agg prdcrv'!$N$6:$N$100,'Agg prdcrv'!$A$6:$A$100,'Imp Refined'!$A192,'Agg prdcrv'!$B$6:$B$100,J$11)</f>
        <v>40.380000000000003</v>
      </c>
      <c r="K192" s="66">
        <f t="array" ref="K192">SUMIFS('Agg prdcrv'!$N$6:$N$100,'Agg prdcrv'!$A$6:$A$100,'Imp Refined'!$A192,'Agg prdcrv'!$B$6:$B$100,K$11)</f>
        <v>43.75</v>
      </c>
      <c r="L192" s="67">
        <f>H192*Conv!$J$20/10^6/VLOOKUP($B192,Types!$B$2:$D$13,3,FALSE)/Conv!$I$5</f>
        <v>15.59480788106254</v>
      </c>
      <c r="M192" s="67">
        <f>I192*Conv!$J$20/10^6/VLOOKUP($B192,Types!$B$2:$D$13,3,FALSE)/Conv!$I$5</f>
        <v>13.359130949892247</v>
      </c>
      <c r="N192" s="67" t="e">
        <f>M192*#REF!</f>
        <v>#REF!</v>
      </c>
      <c r="O192" s="67" t="e">
        <f>N192*#REF!</f>
        <v>#REF!</v>
      </c>
      <c r="P192" s="67" t="e">
        <f>O192*#REF!</f>
        <v>#REF!</v>
      </c>
      <c r="Q192" s="67" t="e">
        <f>P192*#REF!</f>
        <v>#REF!</v>
      </c>
      <c r="R192" s="67" t="e">
        <f>Q192*#REF!</f>
        <v>#REF!</v>
      </c>
      <c r="S192" s="67" t="e">
        <f>R192*#REF!</f>
        <v>#REF!</v>
      </c>
      <c r="T192" s="67" t="e">
        <f>S192*#REF!</f>
        <v>#REF!</v>
      </c>
      <c r="U192" s="67" t="e">
        <f>T192*#REF!</f>
        <v>#REF!</v>
      </c>
      <c r="V192" s="67" t="e">
        <f>U192*#REF!</f>
        <v>#REF!</v>
      </c>
      <c r="W192" s="42"/>
      <c r="X192" s="9">
        <f t="array" ref="X192">SUMIFS('Agg prdcrv'!$F$6:$F$100,'Agg prdcrv'!$A$6:$A$100,'Imp Refined'!$A192,'Agg prdcrv'!$B$6:$B$100,X$11)</f>
        <v>3.05</v>
      </c>
      <c r="Y192" s="9">
        <f t="array" ref="Y192">SUMIFS('Agg prdcrv'!$F$6:$F$100,'Agg prdcrv'!$A$6:$A$100,'Imp Refined'!$A192,'Agg prdcrv'!$B$6:$B$100,Y$11)</f>
        <v>4.79</v>
      </c>
      <c r="Z192" s="9">
        <f t="array" ref="Z192">SUMIFS('Agg prdcrv'!$F$6:$F$100,'Agg prdcrv'!$A$6:$A$100,'Imp Refined'!$A192,'Agg prdcrv'!$B$6:$B$100,Z$11)</f>
        <v>5.69</v>
      </c>
      <c r="AA192" s="9">
        <f t="array" ref="AA192">SUMIFS('Agg prdcrv'!$F$6:$F$100,'Agg prdcrv'!$A$6:$A$100,'Imp Refined'!$A192,'Agg prdcrv'!$B$6:$B$100,AA$11)</f>
        <v>6.76</v>
      </c>
      <c r="AB192" s="42">
        <f>X192*VLOOKUP($B192,Types!$B$2:$D$13,3,FALSE)*Conv!$I$5*1000*365</f>
        <v>6.8417018608999998</v>
      </c>
      <c r="AC192" s="42">
        <f>Y192*VLOOKUP($B192,Types!$B$2:$D$13,3,FALSE)*Conv!$I$5*1000*365</f>
        <v>10.74483669302</v>
      </c>
      <c r="AD192" s="42">
        <f>Z192*VLOOKUP($B192,Types!$B$2:$D$13,3,FALSE)*Conv!$I$5*1000*365</f>
        <v>12.763699537220001</v>
      </c>
      <c r="AE192" s="42">
        <f>AA192*VLOOKUP($B192,Types!$B$2:$D$13,3,FALSE)*Conv!$I$5*1000*365</f>
        <v>15.16390314088</v>
      </c>
      <c r="AF192" s="42">
        <f>AB192-AB194</f>
        <v>0.68417018609000024</v>
      </c>
      <c r="AG192" s="42">
        <f t="shared" ref="AG192" si="961">AC192-AC194</f>
        <v>1.0744836693019995</v>
      </c>
      <c r="AH192" s="42">
        <f t="shared" ref="AH192" si="962">AD192-AD194</f>
        <v>1.2763699537219981</v>
      </c>
      <c r="AI192" s="42">
        <f t="shared" ref="AI192" si="963">AE192-AE194</f>
        <v>1.5163903140880048</v>
      </c>
      <c r="AJ192" s="42"/>
      <c r="AK192" s="42"/>
      <c r="AL192" s="42"/>
    </row>
    <row r="193" spans="1:38">
      <c r="A193" s="9" t="str">
        <f>A192</f>
        <v>ULS Diesel (15 ppm)</v>
      </c>
      <c r="B193" s="9" t="str">
        <f>VLOOKUP($A193,Types!$A$2:$C$13,2,FALSE)</f>
        <v>DSU</v>
      </c>
      <c r="C193" s="9">
        <v>1</v>
      </c>
      <c r="D193" s="9">
        <v>3</v>
      </c>
      <c r="E193" s="9" t="str">
        <f t="shared" si="907"/>
        <v>IMPDSUP31</v>
      </c>
      <c r="F193" s="9" t="str">
        <f>CONCATENATE("Imported ",VLOOKUP($A193,Types!$A$2:$C$13,3,FALSE),", PADD ",D193,", Step ",RIGHT(C193,1))</f>
        <v>Imported Distillate-Ultralow Sulfur Highway Diesel (15 ppm), PADD 3, Step 1</v>
      </c>
      <c r="G193" s="9" t="str">
        <f>CONCATENATE(VLOOKUP($A193,Types!$A$2:$C$13,2,FALSE),"P",D193)</f>
        <v>DSUP3</v>
      </c>
      <c r="H193" s="66">
        <f>H192*$C$5</f>
        <v>59.335100000000004</v>
      </c>
      <c r="I193" s="66">
        <f t="shared" ref="I193" si="964">I192*$C$5</f>
        <v>50.828800000000001</v>
      </c>
      <c r="J193" s="66">
        <f t="shared" ref="J193" si="965">J192*$C$5</f>
        <v>38.360999999999997</v>
      </c>
      <c r="K193" s="66">
        <f t="shared" ref="K193" si="966">K192*$C$5</f>
        <v>41.5625</v>
      </c>
      <c r="L193" s="67">
        <f>H193*Conv!$J$20/10^6/VLOOKUP($B193,Types!$B$2:$D$13,3,FALSE)/Conv!$I$5</f>
        <v>14.815067487009408</v>
      </c>
      <c r="M193" s="67">
        <f>I193*Conv!$J$20/10^6/VLOOKUP($B193,Types!$B$2:$D$13,3,FALSE)/Conv!$I$5</f>
        <v>12.691174402397635</v>
      </c>
      <c r="N193" s="67" t="e">
        <f>M193*#REF!</f>
        <v>#REF!</v>
      </c>
      <c r="O193" s="67" t="e">
        <f>N193*#REF!</f>
        <v>#REF!</v>
      </c>
      <c r="P193" s="67" t="e">
        <f>O193*#REF!</f>
        <v>#REF!</v>
      </c>
      <c r="Q193" s="67" t="e">
        <f>P193*#REF!</f>
        <v>#REF!</v>
      </c>
      <c r="R193" s="67" t="e">
        <f>Q193*#REF!</f>
        <v>#REF!</v>
      </c>
      <c r="S193" s="67" t="e">
        <f>R193*#REF!</f>
        <v>#REF!</v>
      </c>
      <c r="T193" s="67" t="e">
        <f>S193*#REF!</f>
        <v>#REF!</v>
      </c>
      <c r="U193" s="67" t="e">
        <f>T193*#REF!</f>
        <v>#REF!</v>
      </c>
      <c r="V193" s="67" t="e">
        <f>U193*#REF!</f>
        <v>#REF!</v>
      </c>
      <c r="W193" s="42"/>
      <c r="X193" s="9">
        <f>X192*$E$5</f>
        <v>2.44</v>
      </c>
      <c r="Y193" s="9">
        <f t="shared" ref="Y193" si="967">Y192*$E$5</f>
        <v>3.8320000000000003</v>
      </c>
      <c r="Z193" s="9">
        <f t="shared" ref="Z193" si="968">Z192*$E$5</f>
        <v>4.5520000000000005</v>
      </c>
      <c r="AA193" s="9">
        <f t="shared" ref="AA193" si="969">AA192*$E$5</f>
        <v>5.4080000000000004</v>
      </c>
      <c r="AB193" s="42">
        <f>X193*VLOOKUP($B193,Types!$B$2:$D$13,3,FALSE)*Conv!$I$5*1000*365</f>
        <v>5.4733614887200002</v>
      </c>
      <c r="AC193" s="42">
        <f>Y193*VLOOKUP($B193,Types!$B$2:$D$13,3,FALSE)*Conv!$I$5*1000*365</f>
        <v>8.595869354416001</v>
      </c>
      <c r="AD193" s="42">
        <f>Z193*VLOOKUP($B193,Types!$B$2:$D$13,3,FALSE)*Conv!$I$5*1000*365</f>
        <v>10.210959629775999</v>
      </c>
      <c r="AE193" s="42">
        <f>AA193*VLOOKUP($B193,Types!$B$2:$D$13,3,FALSE)*Conv!$I$5*1000*365</f>
        <v>12.131122512704</v>
      </c>
      <c r="AF193" s="42">
        <f>AB193</f>
        <v>5.4733614887200002</v>
      </c>
      <c r="AG193" s="42">
        <f t="shared" ref="AG193" si="970">AC193</f>
        <v>8.595869354416001</v>
      </c>
      <c r="AH193" s="42">
        <f t="shared" ref="AH193" si="971">AD193</f>
        <v>10.210959629775999</v>
      </c>
      <c r="AI193" s="42">
        <f t="shared" ref="AI193" si="972">AE193</f>
        <v>12.131122512704</v>
      </c>
      <c r="AJ193" s="42"/>
      <c r="AK193" s="42"/>
      <c r="AL193" s="42"/>
    </row>
    <row r="194" spans="1:38">
      <c r="A194" s="9" t="str">
        <f t="shared" ref="A194:A196" si="973">A193</f>
        <v>ULS Diesel (15 ppm)</v>
      </c>
      <c r="B194" s="9" t="str">
        <f>VLOOKUP($A194,Types!$A$2:$C$13,2,FALSE)</f>
        <v>DSU</v>
      </c>
      <c r="C194" s="9">
        <v>2</v>
      </c>
      <c r="D194" s="9">
        <v>3</v>
      </c>
      <c r="E194" s="9" t="str">
        <f t="shared" si="907"/>
        <v>IMPDSUP32</v>
      </c>
      <c r="F194" s="9" t="str">
        <f>CONCATENATE("Imported ",VLOOKUP($A194,Types!$A$2:$C$13,3,FALSE),", PADD ",D194,", Step ",RIGHT(C194,1))</f>
        <v>Imported Distillate-Ultralow Sulfur Highway Diesel (15 ppm), PADD 3, Step 2</v>
      </c>
      <c r="G194" s="9" t="str">
        <f>CONCATENATE(VLOOKUP($A194,Types!$A$2:$C$13,2,FALSE),"P",D194)</f>
        <v>DSUP3</v>
      </c>
      <c r="H194" s="66">
        <f>H192*$C$6</f>
        <v>61.208840000000002</v>
      </c>
      <c r="I194" s="66">
        <f t="shared" ref="I194:K194" si="974">I192*$C$6</f>
        <v>52.433920000000001</v>
      </c>
      <c r="J194" s="66">
        <f t="shared" si="974"/>
        <v>39.572400000000002</v>
      </c>
      <c r="K194" s="66">
        <f t="shared" si="974"/>
        <v>42.875</v>
      </c>
      <c r="L194" s="67">
        <f>H194*Conv!$J$20/10^6/VLOOKUP($B194,Types!$B$2:$D$13,3,FALSE)/Conv!$I$5</f>
        <v>15.282911723441286</v>
      </c>
      <c r="M194" s="67">
        <f>I194*Conv!$J$20/10^6/VLOOKUP($B194,Types!$B$2:$D$13,3,FALSE)/Conv!$I$5</f>
        <v>13.091948330894402</v>
      </c>
      <c r="N194" s="67" t="e">
        <f>M194*#REF!</f>
        <v>#REF!</v>
      </c>
      <c r="O194" s="67" t="e">
        <f>N194*#REF!</f>
        <v>#REF!</v>
      </c>
      <c r="P194" s="67" t="e">
        <f>O194*#REF!</f>
        <v>#REF!</v>
      </c>
      <c r="Q194" s="67" t="e">
        <f>P194*#REF!</f>
        <v>#REF!</v>
      </c>
      <c r="R194" s="67" t="e">
        <f>Q194*#REF!</f>
        <v>#REF!</v>
      </c>
      <c r="S194" s="67" t="e">
        <f>R194*#REF!</f>
        <v>#REF!</v>
      </c>
      <c r="T194" s="67" t="e">
        <f>S194*#REF!</f>
        <v>#REF!</v>
      </c>
      <c r="U194" s="67" t="e">
        <f>T194*#REF!</f>
        <v>#REF!</v>
      </c>
      <c r="V194" s="67" t="e">
        <f>U194*#REF!</f>
        <v>#REF!</v>
      </c>
      <c r="W194" s="42"/>
      <c r="X194" s="9">
        <f>X192*$E$6</f>
        <v>2.7450000000000001</v>
      </c>
      <c r="Y194" s="9">
        <f t="shared" ref="Y194:AA194" si="975">Y192*$E$6</f>
        <v>4.3109999999999999</v>
      </c>
      <c r="Z194" s="9">
        <f t="shared" si="975"/>
        <v>5.1210000000000004</v>
      </c>
      <c r="AA194" s="9">
        <f t="shared" si="975"/>
        <v>6.0839999999999996</v>
      </c>
      <c r="AB194" s="42">
        <f>X194*VLOOKUP($B194,Types!$B$2:$D$13,3,FALSE)*Conv!$I$5*1000*365</f>
        <v>6.1575316748099995</v>
      </c>
      <c r="AC194" s="42">
        <f>Y194*VLOOKUP($B194,Types!$B$2:$D$13,3,FALSE)*Conv!$I$5*1000*365</f>
        <v>9.6703530237180004</v>
      </c>
      <c r="AD194" s="42">
        <f>Z194*VLOOKUP($B194,Types!$B$2:$D$13,3,FALSE)*Conv!$I$5*1000*365</f>
        <v>11.487329583498003</v>
      </c>
      <c r="AE194" s="42">
        <f>AA194*VLOOKUP($B194,Types!$B$2:$D$13,3,FALSE)*Conv!$I$5*1000*365</f>
        <v>13.647512826791996</v>
      </c>
      <c r="AF194" s="42">
        <f>AB194-AF193</f>
        <v>0.68417018608999935</v>
      </c>
      <c r="AG194" s="42">
        <f t="shared" ref="AG194" si="976">AC194-AG193</f>
        <v>1.0744836693019995</v>
      </c>
      <c r="AH194" s="42">
        <f t="shared" ref="AH194" si="977">AD194-AH193</f>
        <v>1.2763699537220035</v>
      </c>
      <c r="AI194" s="42">
        <f t="shared" ref="AI194" si="978">AE194-AI193</f>
        <v>1.516390314087996</v>
      </c>
      <c r="AJ194" s="42"/>
      <c r="AK194" s="42"/>
      <c r="AL194" s="42"/>
    </row>
    <row r="195" spans="1:38">
      <c r="A195" s="9" t="str">
        <f t="shared" si="973"/>
        <v>ULS Diesel (15 ppm)</v>
      </c>
      <c r="B195" s="9" t="str">
        <f>VLOOKUP($A195,Types!$A$2:$C$13,2,FALSE)</f>
        <v>DSU</v>
      </c>
      <c r="C195" s="9">
        <v>4</v>
      </c>
      <c r="D195" s="9">
        <v>3</v>
      </c>
      <c r="E195" s="9" t="str">
        <f t="shared" si="907"/>
        <v>IMPDSUP34</v>
      </c>
      <c r="F195" s="9" t="str">
        <f>CONCATENATE("Imported ",VLOOKUP($A195,Types!$A$2:$C$13,3,FALSE),", PADD ",D195,", Step ",RIGHT(C195,1))</f>
        <v>Imported Distillate-Ultralow Sulfur Highway Diesel (15 ppm), PADD 3, Step 4</v>
      </c>
      <c r="G195" s="9" t="str">
        <f>CONCATENATE(VLOOKUP($A195,Types!$A$2:$C$13,2,FALSE),"P",D195)</f>
        <v>DSUP3</v>
      </c>
      <c r="H195" s="66">
        <f>H192*$C$8</f>
        <v>68.079220000000007</v>
      </c>
      <c r="I195" s="66">
        <f t="shared" ref="I195:K195" si="979">I192*$C$8</f>
        <v>58.31936000000001</v>
      </c>
      <c r="J195" s="66">
        <f t="shared" si="979"/>
        <v>44.01420000000001</v>
      </c>
      <c r="K195" s="66">
        <f t="shared" si="979"/>
        <v>47.6875</v>
      </c>
      <c r="L195" s="67">
        <f>H195*Conv!$J$20/10^6/VLOOKUP($B195,Types!$B$2:$D$13,3,FALSE)/Conv!$I$5</f>
        <v>16.998340590358168</v>
      </c>
      <c r="M195" s="67">
        <f>I195*Conv!$J$20/10^6/VLOOKUP($B195,Types!$B$2:$D$13,3,FALSE)/Conv!$I$5</f>
        <v>14.56145273538255</v>
      </c>
      <c r="N195" s="67" t="e">
        <f>M195*#REF!</f>
        <v>#REF!</v>
      </c>
      <c r="O195" s="67" t="e">
        <f>N195*#REF!</f>
        <v>#REF!</v>
      </c>
      <c r="P195" s="67" t="e">
        <f>O195*#REF!</f>
        <v>#REF!</v>
      </c>
      <c r="Q195" s="67" t="e">
        <f>P195*#REF!</f>
        <v>#REF!</v>
      </c>
      <c r="R195" s="67" t="e">
        <f>Q195*#REF!</f>
        <v>#REF!</v>
      </c>
      <c r="S195" s="67" t="e">
        <f>R195*#REF!</f>
        <v>#REF!</v>
      </c>
      <c r="T195" s="67" t="e">
        <f>S195*#REF!</f>
        <v>#REF!</v>
      </c>
      <c r="U195" s="67" t="e">
        <f>T195*#REF!</f>
        <v>#REF!</v>
      </c>
      <c r="V195" s="67" t="e">
        <f>U195*#REF!</f>
        <v>#REF!</v>
      </c>
      <c r="W195" s="42"/>
      <c r="X195" s="9">
        <f>X192*$E$8</f>
        <v>3.6599999999999997</v>
      </c>
      <c r="Y195" s="9">
        <f t="shared" ref="Y195:AA195" si="980">Y192*$E$8</f>
        <v>5.7480000000000002</v>
      </c>
      <c r="Z195" s="9">
        <f t="shared" si="980"/>
        <v>6.8280000000000003</v>
      </c>
      <c r="AA195" s="9">
        <f t="shared" si="980"/>
        <v>8.1120000000000001</v>
      </c>
      <c r="AB195" s="42">
        <f>X195*VLOOKUP($B195,Types!$B$2:$D$13,3,FALSE)*Conv!$I$5*1000*365</f>
        <v>8.2100422330799976</v>
      </c>
      <c r="AC195" s="42">
        <f>Y195*VLOOKUP($B195,Types!$B$2:$D$13,3,FALSE)*Conv!$I$5*1000*365</f>
        <v>12.893804031623999</v>
      </c>
      <c r="AD195" s="42">
        <f>Z195*VLOOKUP($B195,Types!$B$2:$D$13,3,FALSE)*Conv!$I$5*1000*365</f>
        <v>15.316439444663999</v>
      </c>
      <c r="AE195" s="42">
        <f>AA195*VLOOKUP($B195,Types!$B$2:$D$13,3,FALSE)*Conv!$I$5*1000*365</f>
        <v>18.196683769055998</v>
      </c>
      <c r="AF195" s="42">
        <f>AB195-AB192</f>
        <v>1.3683403721799978</v>
      </c>
      <c r="AG195" s="42">
        <f t="shared" ref="AG195" si="981">AC195-AC192</f>
        <v>2.1489673386039989</v>
      </c>
      <c r="AH195" s="42">
        <f t="shared" ref="AH195" si="982">AD195-AD192</f>
        <v>2.552739907443998</v>
      </c>
      <c r="AI195" s="42">
        <f t="shared" ref="AI195" si="983">AE195-AE192</f>
        <v>3.0327806281759973</v>
      </c>
      <c r="AJ195" s="42"/>
      <c r="AK195" s="42"/>
      <c r="AL195" s="42"/>
    </row>
    <row r="196" spans="1:38">
      <c r="A196" s="9" t="str">
        <f t="shared" si="973"/>
        <v>ULS Diesel (15 ppm)</v>
      </c>
      <c r="B196" s="9" t="str">
        <f>VLOOKUP($A196,Types!$A$2:$C$13,2,FALSE)</f>
        <v>DSU</v>
      </c>
      <c r="C196" s="9">
        <v>5</v>
      </c>
      <c r="D196" s="9">
        <v>3</v>
      </c>
      <c r="E196" s="9" t="str">
        <f t="shared" si="907"/>
        <v>IMPDSUP35</v>
      </c>
      <c r="F196" s="9" t="str">
        <f>CONCATENATE("Imported ",VLOOKUP($A196,Types!$A$2:$C$13,3,FALSE),", PADD ",D196,", Step ",RIGHT(C196,1))</f>
        <v>Imported Distillate-Ultralow Sulfur Highway Diesel (15 ppm), PADD 3, Step 5</v>
      </c>
      <c r="G196" s="9" t="str">
        <f>CONCATENATE(VLOOKUP($A196,Types!$A$2:$C$13,2,FALSE),"P",D196)</f>
        <v>DSUP3</v>
      </c>
      <c r="H196" s="66">
        <f>H192*$C$9</f>
        <v>81.195400000000006</v>
      </c>
      <c r="I196" s="66">
        <f t="shared" ref="I196:K196" si="984">I192*$C$9</f>
        <v>69.555200000000013</v>
      </c>
      <c r="J196" s="66">
        <f t="shared" si="984"/>
        <v>52.494000000000007</v>
      </c>
      <c r="K196" s="66">
        <f t="shared" si="984"/>
        <v>56.875</v>
      </c>
      <c r="L196" s="67">
        <f>H196*Conv!$J$20/10^6/VLOOKUP($B196,Types!$B$2:$D$13,3,FALSE)/Conv!$I$5</f>
        <v>20.273250245381298</v>
      </c>
      <c r="M196" s="67">
        <f>I196*Conv!$J$20/10^6/VLOOKUP($B196,Types!$B$2:$D$13,3,FALSE)/Conv!$I$5</f>
        <v>17.366870234859924</v>
      </c>
      <c r="N196" s="67" t="e">
        <f>M196*#REF!</f>
        <v>#REF!</v>
      </c>
      <c r="O196" s="67" t="e">
        <f>N196*#REF!</f>
        <v>#REF!</v>
      </c>
      <c r="P196" s="67" t="e">
        <f>O196*#REF!</f>
        <v>#REF!</v>
      </c>
      <c r="Q196" s="67" t="e">
        <f>P196*#REF!</f>
        <v>#REF!</v>
      </c>
      <c r="R196" s="67" t="e">
        <f>Q196*#REF!</f>
        <v>#REF!</v>
      </c>
      <c r="S196" s="67" t="e">
        <f>R196*#REF!</f>
        <v>#REF!</v>
      </c>
      <c r="T196" s="67" t="e">
        <f>S196*#REF!</f>
        <v>#REF!</v>
      </c>
      <c r="U196" s="67" t="e">
        <f>T196*#REF!</f>
        <v>#REF!</v>
      </c>
      <c r="V196" s="67" t="e">
        <f>U196*#REF!</f>
        <v>#REF!</v>
      </c>
      <c r="W196" s="42"/>
      <c r="X196" s="9">
        <f>X192*$E$9</f>
        <v>6.1</v>
      </c>
      <c r="Y196" s="9">
        <f t="shared" ref="Y196:AA196" si="985">Y192*$E$9</f>
        <v>9.58</v>
      </c>
      <c r="Z196" s="9">
        <f t="shared" si="985"/>
        <v>11.38</v>
      </c>
      <c r="AA196" s="9">
        <f t="shared" si="985"/>
        <v>13.52</v>
      </c>
      <c r="AB196" s="42">
        <f>X196*VLOOKUP($B196,Types!$B$2:$D$13,3,FALSE)*Conv!$I$5*1000*365</f>
        <v>13.6834037218</v>
      </c>
      <c r="AC196" s="42">
        <f>Y196*VLOOKUP($B196,Types!$B$2:$D$13,3,FALSE)*Conv!$I$5*1000*365</f>
        <v>21.48967338604</v>
      </c>
      <c r="AD196" s="42">
        <f>Z196*VLOOKUP($B196,Types!$B$2:$D$13,3,FALSE)*Conv!$I$5*1000*365</f>
        <v>25.527399074440002</v>
      </c>
      <c r="AE196" s="42">
        <f>AA196*VLOOKUP($B196,Types!$B$2:$D$13,3,FALSE)*Conv!$I$5*1000*365</f>
        <v>30.327806281760001</v>
      </c>
      <c r="AF196" s="42">
        <f>AB196-AB195</f>
        <v>5.4733614887200019</v>
      </c>
      <c r="AG196" s="42">
        <f t="shared" ref="AG196" si="986">AC196-AC195</f>
        <v>8.595869354416001</v>
      </c>
      <c r="AH196" s="42">
        <f t="shared" ref="AH196" si="987">AD196-AD195</f>
        <v>10.210959629776003</v>
      </c>
      <c r="AI196" s="42">
        <f t="shared" ref="AI196" si="988">AE196-AE195</f>
        <v>12.131122512704003</v>
      </c>
      <c r="AJ196" s="42"/>
      <c r="AK196" s="42"/>
      <c r="AL196" s="42"/>
    </row>
    <row r="197" spans="1:38">
      <c r="A197" s="9" t="s">
        <v>398</v>
      </c>
      <c r="H197" s="66"/>
      <c r="I197" s="66"/>
      <c r="J197" s="66"/>
      <c r="K197" s="66"/>
      <c r="L197" s="67"/>
      <c r="M197" s="67"/>
      <c r="N197" s="67"/>
      <c r="O197" s="67"/>
      <c r="P197" s="67"/>
      <c r="Q197" s="67"/>
      <c r="R197" s="67"/>
      <c r="S197" s="67"/>
      <c r="T197" s="67"/>
      <c r="U197" s="67"/>
      <c r="V197" s="67"/>
      <c r="W197" s="42"/>
      <c r="AB197" s="42"/>
      <c r="AC197" s="42"/>
      <c r="AD197" s="42"/>
      <c r="AE197" s="42"/>
      <c r="AF197" s="42"/>
      <c r="AG197" s="42"/>
      <c r="AH197" s="42"/>
      <c r="AI197" s="42"/>
      <c r="AJ197" s="42"/>
      <c r="AK197" s="42"/>
      <c r="AL197" s="42"/>
    </row>
    <row r="198" spans="1:38" s="10" customFormat="1">
      <c r="A198" s="10" t="s">
        <v>529</v>
      </c>
      <c r="H198" s="63"/>
      <c r="I198" s="63"/>
      <c r="J198" s="63"/>
      <c r="K198" s="63"/>
      <c r="L198" s="64"/>
      <c r="M198" s="64"/>
      <c r="N198" s="64"/>
      <c r="O198" s="64"/>
      <c r="P198" s="64"/>
      <c r="Q198" s="64"/>
      <c r="R198" s="64"/>
      <c r="S198" s="64"/>
      <c r="T198" s="64"/>
      <c r="U198" s="64"/>
      <c r="V198" s="64"/>
    </row>
    <row r="199" spans="1:38">
      <c r="A199" s="9" t="str">
        <f>'Agg prdcrv'!$A$6</f>
        <v>Reformulated Mogas</v>
      </c>
      <c r="B199" s="9" t="str">
        <f>VLOOKUP($A199,Types!$A$2:$C$13,2,FALSE)</f>
        <v>GSR</v>
      </c>
      <c r="C199" s="9">
        <v>3</v>
      </c>
      <c r="D199" s="9">
        <v>4</v>
      </c>
      <c r="E199" s="9" t="str">
        <f t="shared" ref="E199:E242" si="989">CONCATENATE("IMP",G199,RIGHT(C199,1))</f>
        <v>IMPGSRP43</v>
      </c>
      <c r="F199" s="9" t="str">
        <f>CONCATENATE("Imported ",VLOOKUP($A199,Types!$A$2:$C$13,3,FALSE),", PADD ",D199,", Step ",RIGHT(C199,1))</f>
        <v>Imported Reformulated Gasoline, PADD 4, Step 3</v>
      </c>
      <c r="G199" s="9" t="str">
        <f>CONCATENATE(VLOOKUP($A199,Types!$A$2:$C$13,2,FALSE),"P",D199)</f>
        <v>GSRP4</v>
      </c>
      <c r="H199" s="66">
        <f>SUMIFS('Agg prdcrv'!$O$6:$O$100,'Agg prdcrv'!$A$6:$A$100,'Imp Refined'!$A199,'Agg prdcrv'!$B$6:$B$100,H$11)*K4</f>
        <v>68.024000000000015</v>
      </c>
      <c r="I199" s="66">
        <f>SUMIFS('Agg prdcrv'!$O$6:$O$100,'Agg prdcrv'!$A$6:$A$100,'Imp Refined'!$A199,'Agg prdcrv'!$B$6:$B$100,I$11)*K4</f>
        <v>124.63000000000001</v>
      </c>
      <c r="J199" s="66">
        <f t="array" ref="J199">SUMIFS('Agg prdcrv'!$O$6:$O$100,'Agg prdcrv'!$A$6:$A$100,'Imp Refined'!$A199,'Agg prdcrv'!$B$6:$B$100,J$11)</f>
        <v>113.3</v>
      </c>
      <c r="K199" s="66">
        <f t="array" ref="K199">SUMIFS('Agg prdcrv'!$O$6:$O$100,'Agg prdcrv'!$A$6:$A$100,'Imp Refined'!$A199,'Agg prdcrv'!$B$6:$B$100,K$11)</f>
        <v>113.3</v>
      </c>
      <c r="L199" s="67">
        <f>H199*Conv!$J$20/10^6/VLOOKUP($B199,Types!$B$2:$D$13,3,FALSE)/Conv!$I$5</f>
        <v>19.210683733505871</v>
      </c>
      <c r="M199" s="67">
        <f>I199*Conv!$J$20/10^6/VLOOKUP($B199,Types!$B$2:$D$13,3,FALSE)/Conv!$I$5</f>
        <v>35.196805740721445</v>
      </c>
      <c r="N199" s="67" t="e">
        <f>M199*#REF!</f>
        <v>#REF!</v>
      </c>
      <c r="O199" s="67" t="e">
        <f>N199*#REF!</f>
        <v>#REF!</v>
      </c>
      <c r="P199" s="67" t="e">
        <f>O199*#REF!</f>
        <v>#REF!</v>
      </c>
      <c r="Q199" s="67" t="e">
        <f>P199*#REF!</f>
        <v>#REF!</v>
      </c>
      <c r="R199" s="67" t="e">
        <f>Q199*#REF!</f>
        <v>#REF!</v>
      </c>
      <c r="S199" s="67" t="e">
        <f>R199*#REF!</f>
        <v>#REF!</v>
      </c>
      <c r="T199" s="67" t="e">
        <f>S199*#REF!</f>
        <v>#REF!</v>
      </c>
      <c r="U199" s="67" t="e">
        <f>T199*#REF!</f>
        <v>#REF!</v>
      </c>
      <c r="V199" s="67" t="e">
        <f>U199*#REF!</f>
        <v>#REF!</v>
      </c>
      <c r="W199" s="42"/>
      <c r="X199" s="9">
        <f t="array" ref="X199">SUMIFS('Agg prdcrv'!$G$6:$G$100,'Agg prdcrv'!$A$6:$A$100,'Imp Refined'!$A199,'Agg prdcrv'!$B$6:$B$100,X$11)</f>
        <v>0</v>
      </c>
      <c r="Y199" s="9">
        <f t="array" ref="Y199">SUMIFS('Agg prdcrv'!$G$6:$G$100,'Agg prdcrv'!$A$6:$A$100,'Imp Refined'!$A199,'Agg prdcrv'!$B$6:$B$100,Y$11)</f>
        <v>0</v>
      </c>
      <c r="Z199" s="9">
        <f t="array" ref="Z199">SUMIFS('Agg prdcrv'!$G$6:$G$100,'Agg prdcrv'!$A$6:$A$100,'Imp Refined'!$A199,'Agg prdcrv'!$B$6:$B$100,Z$11)</f>
        <v>0</v>
      </c>
      <c r="AA199" s="9">
        <f t="array" ref="AA199">SUMIFS('Agg prdcrv'!$G$6:$G$100,'Agg prdcrv'!$A$6:$A$100,'Imp Refined'!$A199,'Agg prdcrv'!$B$6:$B$100,AA$11)</f>
        <v>0</v>
      </c>
      <c r="AB199" s="42">
        <f>X199*VLOOKUP($B199,Types!$B$2:$D$13,3,FALSE)*Conv!$I$5*1000*365</f>
        <v>0</v>
      </c>
      <c r="AC199" s="42">
        <f>Y199*VLOOKUP($B199,Types!$B$2:$D$13,3,FALSE)*Conv!$I$5*1000*365</f>
        <v>0</v>
      </c>
      <c r="AD199" s="42">
        <f>Z199*VLOOKUP($B199,Types!$B$2:$D$13,3,FALSE)*Conv!$I$5*1000*365</f>
        <v>0</v>
      </c>
      <c r="AE199" s="42">
        <f>AA199*VLOOKUP($B199,Types!$B$2:$D$13,3,FALSE)*Conv!$I$5*1000*365</f>
        <v>0</v>
      </c>
      <c r="AF199" s="42">
        <f>AB199-AB201</f>
        <v>0</v>
      </c>
      <c r="AG199" s="42">
        <f t="shared" ref="AG199" si="990">AC199-AC201</f>
        <v>0</v>
      </c>
      <c r="AH199" s="42">
        <f t="shared" ref="AH199" si="991">AD199-AD201</f>
        <v>0</v>
      </c>
      <c r="AI199" s="42">
        <f t="shared" ref="AI199" si="992">AE199-AE201</f>
        <v>0</v>
      </c>
      <c r="AJ199" s="42"/>
      <c r="AK199" s="42"/>
      <c r="AL199" s="42"/>
    </row>
    <row r="200" spans="1:38">
      <c r="A200" s="9" t="str">
        <f>A199</f>
        <v>Reformulated Mogas</v>
      </c>
      <c r="B200" s="9" t="str">
        <f>VLOOKUP($A200,Types!$A$2:$C$13,2,FALSE)</f>
        <v>GSR</v>
      </c>
      <c r="C200" s="9">
        <v>1</v>
      </c>
      <c r="D200" s="9">
        <v>4</v>
      </c>
      <c r="E200" s="9" t="str">
        <f t="shared" si="989"/>
        <v>IMPGSRP41</v>
      </c>
      <c r="F200" s="9" t="str">
        <f>CONCATENATE("Imported ",VLOOKUP($A200,Types!$A$2:$C$13,3,FALSE),", PADD ",D200,", Step ",RIGHT(C200,1))</f>
        <v>Imported Reformulated Gasoline, PADD 4, Step 1</v>
      </c>
      <c r="G200" s="9" t="str">
        <f>CONCATENATE(VLOOKUP($A200,Types!$A$2:$C$13,2,FALSE),"P",D200)</f>
        <v>GSRP4</v>
      </c>
      <c r="H200" s="66">
        <f>H199*$C$5</f>
        <v>64.622800000000012</v>
      </c>
      <c r="I200" s="66">
        <f t="shared" ref="I200" si="993">I199*$C$5</f>
        <v>118.3985</v>
      </c>
      <c r="J200" s="66">
        <f t="shared" ref="J200" si="994">J199*$C$5</f>
        <v>107.63499999999999</v>
      </c>
      <c r="K200" s="66">
        <f t="shared" ref="K200" si="995">K199*$C$5</f>
        <v>107.63499999999999</v>
      </c>
      <c r="L200" s="67">
        <f>H200*Conv!$J$20/10^6/VLOOKUP($B200,Types!$B$2:$D$13,3,FALSE)/Conv!$I$5</f>
        <v>18.250149546830574</v>
      </c>
      <c r="M200" s="67">
        <f>I200*Conv!$J$20/10^6/VLOOKUP($B200,Types!$B$2:$D$13,3,FALSE)/Conv!$I$5</f>
        <v>33.436965453685382</v>
      </c>
      <c r="N200" s="67" t="e">
        <f>M200*#REF!</f>
        <v>#REF!</v>
      </c>
      <c r="O200" s="67" t="e">
        <f>N200*#REF!</f>
        <v>#REF!</v>
      </c>
      <c r="P200" s="67" t="e">
        <f>O200*#REF!</f>
        <v>#REF!</v>
      </c>
      <c r="Q200" s="67" t="e">
        <f>P200*#REF!</f>
        <v>#REF!</v>
      </c>
      <c r="R200" s="67" t="e">
        <f>Q200*#REF!</f>
        <v>#REF!</v>
      </c>
      <c r="S200" s="67" t="e">
        <f>R200*#REF!</f>
        <v>#REF!</v>
      </c>
      <c r="T200" s="67" t="e">
        <f>S200*#REF!</f>
        <v>#REF!</v>
      </c>
      <c r="U200" s="67" t="e">
        <f>T200*#REF!</f>
        <v>#REF!</v>
      </c>
      <c r="V200" s="67" t="e">
        <f>U200*#REF!</f>
        <v>#REF!</v>
      </c>
      <c r="W200" s="42"/>
      <c r="X200" s="9">
        <f>X199*$E$5</f>
        <v>0</v>
      </c>
      <c r="Y200" s="9">
        <f t="shared" ref="Y200" si="996">Y199*$E$5</f>
        <v>0</v>
      </c>
      <c r="Z200" s="9">
        <f t="shared" ref="Z200" si="997">Z199*$E$5</f>
        <v>0</v>
      </c>
      <c r="AA200" s="9">
        <f t="shared" ref="AA200" si="998">AA199*$E$5</f>
        <v>0</v>
      </c>
      <c r="AB200" s="42">
        <f>X200*VLOOKUP($B200,Types!$B$2:$D$13,3,FALSE)*Conv!$I$5*1000*365</f>
        <v>0</v>
      </c>
      <c r="AC200" s="42">
        <f>Y200*VLOOKUP($B200,Types!$B$2:$D$13,3,FALSE)*Conv!$I$5*1000*365</f>
        <v>0</v>
      </c>
      <c r="AD200" s="42">
        <f>Z200*VLOOKUP($B200,Types!$B$2:$D$13,3,FALSE)*Conv!$I$5*1000*365</f>
        <v>0</v>
      </c>
      <c r="AE200" s="42">
        <f>AA200*VLOOKUP($B200,Types!$B$2:$D$13,3,FALSE)*Conv!$I$5*1000*365</f>
        <v>0</v>
      </c>
      <c r="AF200" s="42">
        <f>AB200</f>
        <v>0</v>
      </c>
      <c r="AG200" s="42">
        <f t="shared" ref="AG200" si="999">AC200</f>
        <v>0</v>
      </c>
      <c r="AH200" s="42">
        <f t="shared" ref="AH200" si="1000">AD200</f>
        <v>0</v>
      </c>
      <c r="AI200" s="42">
        <f t="shared" ref="AI200" si="1001">AE200</f>
        <v>0</v>
      </c>
      <c r="AJ200" s="42"/>
      <c r="AK200" s="42"/>
      <c r="AL200" s="42"/>
    </row>
    <row r="201" spans="1:38">
      <c r="A201" s="9" t="str">
        <f t="shared" ref="A201:A203" si="1002">A200</f>
        <v>Reformulated Mogas</v>
      </c>
      <c r="B201" s="9" t="str">
        <f>VLOOKUP($A201,Types!$A$2:$C$13,2,FALSE)</f>
        <v>GSR</v>
      </c>
      <c r="C201" s="9">
        <v>2</v>
      </c>
      <c r="D201" s="9">
        <v>4</v>
      </c>
      <c r="E201" s="9" t="str">
        <f t="shared" si="989"/>
        <v>IMPGSRP42</v>
      </c>
      <c r="F201" s="9" t="str">
        <f>CONCATENATE("Imported ",VLOOKUP($A201,Types!$A$2:$C$13,3,FALSE),", PADD ",D201,", Step ",RIGHT(C201,1))</f>
        <v>Imported Reformulated Gasoline, PADD 4, Step 2</v>
      </c>
      <c r="G201" s="9" t="str">
        <f>CONCATENATE(VLOOKUP($A201,Types!$A$2:$C$13,2,FALSE),"P",D201)</f>
        <v>GSRP4</v>
      </c>
      <c r="H201" s="66">
        <f>H199*$C$6</f>
        <v>66.66352000000002</v>
      </c>
      <c r="I201" s="66">
        <f t="shared" ref="I201:K201" si="1003">I199*$C$6</f>
        <v>122.13740000000001</v>
      </c>
      <c r="J201" s="66">
        <f t="shared" si="1003"/>
        <v>111.03399999999999</v>
      </c>
      <c r="K201" s="66">
        <f t="shared" si="1003"/>
        <v>111.03399999999999</v>
      </c>
      <c r="L201" s="67">
        <f>H201*Conv!$J$20/10^6/VLOOKUP($B201,Types!$B$2:$D$13,3,FALSE)/Conv!$I$5</f>
        <v>18.826470058835753</v>
      </c>
      <c r="M201" s="67">
        <f>I201*Conv!$J$20/10^6/VLOOKUP($B201,Types!$B$2:$D$13,3,FALSE)/Conv!$I$5</f>
        <v>34.492869625907026</v>
      </c>
      <c r="N201" s="67" t="e">
        <f>M201*#REF!</f>
        <v>#REF!</v>
      </c>
      <c r="O201" s="67" t="e">
        <f>N201*#REF!</f>
        <v>#REF!</v>
      </c>
      <c r="P201" s="67" t="e">
        <f>O201*#REF!</f>
        <v>#REF!</v>
      </c>
      <c r="Q201" s="67" t="e">
        <f>P201*#REF!</f>
        <v>#REF!</v>
      </c>
      <c r="R201" s="67" t="e">
        <f>Q201*#REF!</f>
        <v>#REF!</v>
      </c>
      <c r="S201" s="67" t="e">
        <f>R201*#REF!</f>
        <v>#REF!</v>
      </c>
      <c r="T201" s="67" t="e">
        <f>S201*#REF!</f>
        <v>#REF!</v>
      </c>
      <c r="U201" s="67" t="e">
        <f>T201*#REF!</f>
        <v>#REF!</v>
      </c>
      <c r="V201" s="67" t="e">
        <f>U201*#REF!</f>
        <v>#REF!</v>
      </c>
      <c r="W201" s="42"/>
      <c r="X201" s="9">
        <f>X199*$E$6</f>
        <v>0</v>
      </c>
      <c r="Y201" s="9">
        <f t="shared" ref="Y201:AA201" si="1004">Y199*$E$6</f>
        <v>0</v>
      </c>
      <c r="Z201" s="9">
        <f t="shared" si="1004"/>
        <v>0</v>
      </c>
      <c r="AA201" s="9">
        <f t="shared" si="1004"/>
        <v>0</v>
      </c>
      <c r="AB201" s="42">
        <f>X201*VLOOKUP($B201,Types!$B$2:$D$13,3,FALSE)*Conv!$I$5*1000*365</f>
        <v>0</v>
      </c>
      <c r="AC201" s="42">
        <f>Y201*VLOOKUP($B201,Types!$B$2:$D$13,3,FALSE)*Conv!$I$5*1000*365</f>
        <v>0</v>
      </c>
      <c r="AD201" s="42">
        <f>Z201*VLOOKUP($B201,Types!$B$2:$D$13,3,FALSE)*Conv!$I$5*1000*365</f>
        <v>0</v>
      </c>
      <c r="AE201" s="42">
        <f>AA201*VLOOKUP($B201,Types!$B$2:$D$13,3,FALSE)*Conv!$I$5*1000*365</f>
        <v>0</v>
      </c>
      <c r="AF201" s="42">
        <f>AB201-AF200</f>
        <v>0</v>
      </c>
      <c r="AG201" s="42">
        <f t="shared" ref="AG201" si="1005">AC201-AG200</f>
        <v>0</v>
      </c>
      <c r="AH201" s="42">
        <f t="shared" ref="AH201" si="1006">AD201-AH200</f>
        <v>0</v>
      </c>
      <c r="AI201" s="42">
        <f t="shared" ref="AI201" si="1007">AE201-AI200</f>
        <v>0</v>
      </c>
      <c r="AJ201" s="42"/>
      <c r="AK201" s="42"/>
      <c r="AL201" s="42"/>
    </row>
    <row r="202" spans="1:38">
      <c r="A202" s="9" t="str">
        <f t="shared" si="1002"/>
        <v>Reformulated Mogas</v>
      </c>
      <c r="B202" s="9" t="str">
        <f>VLOOKUP($A202,Types!$A$2:$C$13,2,FALSE)</f>
        <v>GSR</v>
      </c>
      <c r="C202" s="9">
        <v>4</v>
      </c>
      <c r="D202" s="9">
        <v>4</v>
      </c>
      <c r="E202" s="9" t="str">
        <f t="shared" si="989"/>
        <v>IMPGSRP44</v>
      </c>
      <c r="F202" s="9" t="str">
        <f>CONCATENATE("Imported ",VLOOKUP($A202,Types!$A$2:$C$13,3,FALSE),", PADD ",D202,", Step ",RIGHT(C202,1))</f>
        <v>Imported Reformulated Gasoline, PADD 4, Step 4</v>
      </c>
      <c r="G202" s="9" t="str">
        <f>CONCATENATE(VLOOKUP($A202,Types!$A$2:$C$13,2,FALSE),"P",D202)</f>
        <v>GSRP4</v>
      </c>
      <c r="H202" s="66">
        <f>H199*$C$8</f>
        <v>74.146160000000023</v>
      </c>
      <c r="I202" s="66">
        <f t="shared" ref="I202:K202" si="1008">I199*$C$8</f>
        <v>135.84670000000003</v>
      </c>
      <c r="J202" s="66">
        <f t="shared" si="1008"/>
        <v>123.497</v>
      </c>
      <c r="K202" s="66">
        <f t="shared" si="1008"/>
        <v>123.497</v>
      </c>
      <c r="L202" s="67">
        <f>H202*Conv!$J$20/10^6/VLOOKUP($B202,Types!$B$2:$D$13,3,FALSE)/Conv!$I$5</f>
        <v>20.939645269521399</v>
      </c>
      <c r="M202" s="67">
        <f>I202*Conv!$J$20/10^6/VLOOKUP($B202,Types!$B$2:$D$13,3,FALSE)/Conv!$I$5</f>
        <v>38.364518257386393</v>
      </c>
      <c r="N202" s="67" t="e">
        <f>M202*#REF!</f>
        <v>#REF!</v>
      </c>
      <c r="O202" s="67" t="e">
        <f>N202*#REF!</f>
        <v>#REF!</v>
      </c>
      <c r="P202" s="67" t="e">
        <f>O202*#REF!</f>
        <v>#REF!</v>
      </c>
      <c r="Q202" s="67" t="e">
        <f>P202*#REF!</f>
        <v>#REF!</v>
      </c>
      <c r="R202" s="67" t="e">
        <f>Q202*#REF!</f>
        <v>#REF!</v>
      </c>
      <c r="S202" s="67" t="e">
        <f>R202*#REF!</f>
        <v>#REF!</v>
      </c>
      <c r="T202" s="67" t="e">
        <f>S202*#REF!</f>
        <v>#REF!</v>
      </c>
      <c r="U202" s="67" t="e">
        <f>T202*#REF!</f>
        <v>#REF!</v>
      </c>
      <c r="V202" s="67" t="e">
        <f>U202*#REF!</f>
        <v>#REF!</v>
      </c>
      <c r="W202" s="42"/>
      <c r="X202" s="9">
        <f>X199*$E$8</f>
        <v>0</v>
      </c>
      <c r="Y202" s="9">
        <f t="shared" ref="Y202:AA202" si="1009">Y199*$E$8</f>
        <v>0</v>
      </c>
      <c r="Z202" s="9">
        <f t="shared" si="1009"/>
        <v>0</v>
      </c>
      <c r="AA202" s="9">
        <f t="shared" si="1009"/>
        <v>0</v>
      </c>
      <c r="AB202" s="42">
        <f>X202*VLOOKUP($B202,Types!$B$2:$D$13,3,FALSE)*Conv!$I$5*1000*365</f>
        <v>0</v>
      </c>
      <c r="AC202" s="42">
        <f>Y202*VLOOKUP($B202,Types!$B$2:$D$13,3,FALSE)*Conv!$I$5*1000*365</f>
        <v>0</v>
      </c>
      <c r="AD202" s="42">
        <f>Z202*VLOOKUP($B202,Types!$B$2:$D$13,3,FALSE)*Conv!$I$5*1000*365</f>
        <v>0</v>
      </c>
      <c r="AE202" s="42">
        <f>AA202*VLOOKUP($B202,Types!$B$2:$D$13,3,FALSE)*Conv!$I$5*1000*365</f>
        <v>0</v>
      </c>
      <c r="AF202" s="42">
        <f>AB202-AB199</f>
        <v>0</v>
      </c>
      <c r="AG202" s="42">
        <f t="shared" ref="AG202" si="1010">AC202-AC199</f>
        <v>0</v>
      </c>
      <c r="AH202" s="42">
        <f t="shared" ref="AH202" si="1011">AD202-AD199</f>
        <v>0</v>
      </c>
      <c r="AI202" s="42">
        <f t="shared" ref="AI202" si="1012">AE202-AE199</f>
        <v>0</v>
      </c>
      <c r="AJ202" s="42"/>
      <c r="AK202" s="42"/>
      <c r="AL202" s="42"/>
    </row>
    <row r="203" spans="1:38">
      <c r="A203" s="9" t="str">
        <f t="shared" si="1002"/>
        <v>Reformulated Mogas</v>
      </c>
      <c r="B203" s="9" t="str">
        <f>VLOOKUP($A203,Types!$A$2:$C$13,2,FALSE)</f>
        <v>GSR</v>
      </c>
      <c r="C203" s="9">
        <v>5</v>
      </c>
      <c r="D203" s="9">
        <v>4</v>
      </c>
      <c r="E203" s="9" t="str">
        <f t="shared" si="989"/>
        <v>IMPGSRP45</v>
      </c>
      <c r="F203" s="9" t="str">
        <f>CONCATENATE("Imported ",VLOOKUP($A203,Types!$A$2:$C$13,3,FALSE),", PADD ",D203,", Step ",RIGHT(C203,1))</f>
        <v>Imported Reformulated Gasoline, PADD 4, Step 5</v>
      </c>
      <c r="G203" s="9" t="str">
        <f>CONCATENATE(VLOOKUP($A203,Types!$A$2:$C$13,2,FALSE),"P",D203)</f>
        <v>GSRP4</v>
      </c>
      <c r="H203" s="66">
        <f>H199*$C$9</f>
        <v>88.431200000000018</v>
      </c>
      <c r="I203" s="66">
        <f t="shared" ref="I203:K203" si="1013">I199*$C$9</f>
        <v>162.01900000000001</v>
      </c>
      <c r="J203" s="66">
        <f t="shared" si="1013"/>
        <v>147.29</v>
      </c>
      <c r="K203" s="66">
        <f t="shared" si="1013"/>
        <v>147.29</v>
      </c>
      <c r="L203" s="67">
        <f>H203*Conv!$J$20/10^6/VLOOKUP($B203,Types!$B$2:$D$13,3,FALSE)/Conv!$I$5</f>
        <v>24.973888853557632</v>
      </c>
      <c r="M203" s="67">
        <f>I203*Conv!$J$20/10^6/VLOOKUP($B203,Types!$B$2:$D$13,3,FALSE)/Conv!$I$5</f>
        <v>45.755847462937894</v>
      </c>
      <c r="N203" s="67" t="e">
        <f>M203*#REF!</f>
        <v>#REF!</v>
      </c>
      <c r="O203" s="67" t="e">
        <f>N203*#REF!</f>
        <v>#REF!</v>
      </c>
      <c r="P203" s="67" t="e">
        <f>O203*#REF!</f>
        <v>#REF!</v>
      </c>
      <c r="Q203" s="67" t="e">
        <f>P203*#REF!</f>
        <v>#REF!</v>
      </c>
      <c r="R203" s="67" t="e">
        <f>Q203*#REF!</f>
        <v>#REF!</v>
      </c>
      <c r="S203" s="67" t="e">
        <f>R203*#REF!</f>
        <v>#REF!</v>
      </c>
      <c r="T203" s="67" t="e">
        <f>S203*#REF!</f>
        <v>#REF!</v>
      </c>
      <c r="U203" s="67" t="e">
        <f>T203*#REF!</f>
        <v>#REF!</v>
      </c>
      <c r="V203" s="67" t="e">
        <f>U203*#REF!</f>
        <v>#REF!</v>
      </c>
      <c r="W203" s="42"/>
      <c r="X203" s="9">
        <f>X199*$E$9</f>
        <v>0</v>
      </c>
      <c r="Y203" s="9">
        <f t="shared" ref="Y203:AA203" si="1014">Y199*$E$9</f>
        <v>0</v>
      </c>
      <c r="Z203" s="9">
        <f t="shared" si="1014"/>
        <v>0</v>
      </c>
      <c r="AA203" s="9">
        <f t="shared" si="1014"/>
        <v>0</v>
      </c>
      <c r="AB203" s="42">
        <f>X203*VLOOKUP($B203,Types!$B$2:$D$13,3,FALSE)*Conv!$I$5*1000*365</f>
        <v>0</v>
      </c>
      <c r="AC203" s="42">
        <f>Y203*VLOOKUP($B203,Types!$B$2:$D$13,3,FALSE)*Conv!$I$5*1000*365</f>
        <v>0</v>
      </c>
      <c r="AD203" s="42">
        <f>Z203*VLOOKUP($B203,Types!$B$2:$D$13,3,FALSE)*Conv!$I$5*1000*365</f>
        <v>0</v>
      </c>
      <c r="AE203" s="42">
        <f>AA203*VLOOKUP($B203,Types!$B$2:$D$13,3,FALSE)*Conv!$I$5*1000*365</f>
        <v>0</v>
      </c>
      <c r="AF203" s="42">
        <f>AB203-AB202</f>
        <v>0</v>
      </c>
      <c r="AG203" s="42">
        <f t="shared" ref="AG203" si="1015">AC203-AC202</f>
        <v>0</v>
      </c>
      <c r="AH203" s="42">
        <f t="shared" ref="AH203" si="1016">AD203-AD202</f>
        <v>0</v>
      </c>
      <c r="AI203" s="42">
        <f t="shared" ref="AI203" si="1017">AE203-AE202</f>
        <v>0</v>
      </c>
      <c r="AJ203" s="42"/>
      <c r="AK203" s="42"/>
      <c r="AL203" s="42"/>
    </row>
    <row r="204" spans="1:38">
      <c r="A204" s="9" t="str">
        <f>'Agg prdcrv'!$A$7</f>
        <v>Conventional Mogas</v>
      </c>
      <c r="B204" s="9" t="str">
        <f>VLOOKUP($A204,Types!$A$2:$C$13,2,FALSE)</f>
        <v>GSC</v>
      </c>
      <c r="C204" s="9">
        <v>3</v>
      </c>
      <c r="D204" s="9">
        <v>4</v>
      </c>
      <c r="E204" s="9" t="str">
        <f t="shared" si="989"/>
        <v>IMPGSCP43</v>
      </c>
      <c r="F204" s="9" t="str">
        <f>CONCATENATE("Imported ",VLOOKUP($A204,Types!$A$2:$C$13,3,FALSE),", PADD ",D204,", Step ",RIGHT(C204,1))</f>
        <v>Imported Conventional Gasoline, PADD 4, Step 3</v>
      </c>
      <c r="G204" s="9" t="str">
        <f>CONCATENATE(VLOOKUP($A204,Types!$A$2:$C$13,2,FALSE),"P",D204)</f>
        <v>GSCP4</v>
      </c>
      <c r="H204" s="66">
        <f>SUMIFS('Agg prdcrv'!$O$6:$O$100,'Agg prdcrv'!$A$6:$A$100,'Imp Refined'!$A204,'Agg prdcrv'!$B$6:$B$100,H$11)*K4</f>
        <v>65.868000000000009</v>
      </c>
      <c r="I204" s="66">
        <f>SUMIFS('Agg prdcrv'!$O$6:$O$100,'Agg prdcrv'!$A$6:$A$100,'Imp Refined'!$A204,'Agg prdcrv'!$B$6:$B$100,I$11)*K4</f>
        <v>54.571000000000005</v>
      </c>
      <c r="J204" s="66">
        <f t="array" ref="J204">SUMIFS('Agg prdcrv'!$O$6:$O$100,'Agg prdcrv'!$A$6:$A$100,'Imp Refined'!$A204,'Agg prdcrv'!$B$6:$B$100,J$11)</f>
        <v>42.88</v>
      </c>
      <c r="K204" s="66">
        <f t="array" ref="K204">SUMIFS('Agg prdcrv'!$O$6:$O$100,'Agg prdcrv'!$A$6:$A$100,'Imp Refined'!$A204,'Agg prdcrv'!$B$6:$B$100,K$11)</f>
        <v>46.46</v>
      </c>
      <c r="L204" s="67">
        <f>H204*Conv!$J$20/10^6/VLOOKUP($B204,Types!$B$2:$D$13,3,FALSE)/Conv!$I$5</f>
        <v>18.237065640018699</v>
      </c>
      <c r="M204" s="67">
        <f>I204*Conv!$J$20/10^6/VLOOKUP($B204,Types!$B$2:$D$13,3,FALSE)/Conv!$I$5</f>
        <v>15.109232237831122</v>
      </c>
      <c r="N204" s="67" t="e">
        <f>M204*#REF!</f>
        <v>#REF!</v>
      </c>
      <c r="O204" s="67" t="e">
        <f>N204*#REF!</f>
        <v>#REF!</v>
      </c>
      <c r="P204" s="67" t="e">
        <f>O204*#REF!</f>
        <v>#REF!</v>
      </c>
      <c r="Q204" s="67" t="e">
        <f>P204*#REF!</f>
        <v>#REF!</v>
      </c>
      <c r="R204" s="67" t="e">
        <f>Q204*#REF!</f>
        <v>#REF!</v>
      </c>
      <c r="S204" s="67" t="e">
        <f>R204*#REF!</f>
        <v>#REF!</v>
      </c>
      <c r="T204" s="67" t="e">
        <f>S204*#REF!</f>
        <v>#REF!</v>
      </c>
      <c r="U204" s="67" t="e">
        <f>T204*#REF!</f>
        <v>#REF!</v>
      </c>
      <c r="V204" s="67" t="e">
        <f>U204*#REF!</f>
        <v>#REF!</v>
      </c>
      <c r="W204" s="42"/>
      <c r="X204" s="9">
        <f t="array" ref="X204">SUMIFS('Agg prdcrv'!$G$6:$G$100,'Agg prdcrv'!$A$6:$A$100,'Imp Refined'!$A204,'Agg prdcrv'!$B$6:$B$100,X$11)</f>
        <v>0.55000000000000004</v>
      </c>
      <c r="Y204" s="9">
        <f t="array" ref="Y204">SUMIFS('Agg prdcrv'!$G$6:$G$100,'Agg prdcrv'!$A$6:$A$100,'Imp Refined'!$A204,'Agg prdcrv'!$B$6:$B$100,Y$11)</f>
        <v>0</v>
      </c>
      <c r="Z204" s="9">
        <f t="array" ref="Z204">SUMIFS('Agg prdcrv'!$G$6:$G$100,'Agg prdcrv'!$A$6:$A$100,'Imp Refined'!$A204,'Agg prdcrv'!$B$6:$B$100,Z$11)</f>
        <v>0</v>
      </c>
      <c r="AA204" s="9">
        <f t="array" ref="AA204">SUMIFS('Agg prdcrv'!$G$6:$G$100,'Agg prdcrv'!$A$6:$A$100,'Imp Refined'!$A204,'Agg prdcrv'!$B$6:$B$100,AA$11)</f>
        <v>0</v>
      </c>
      <c r="AB204" s="42">
        <f>X204*VLOOKUP($B204,Types!$B$2:$D$13,3,FALSE)*Conv!$I$5*1000*365</f>
        <v>1.1125984904759998</v>
      </c>
      <c r="AC204" s="42">
        <f>Y204*VLOOKUP($B204,Types!$B$2:$D$13,3,FALSE)*Conv!$I$5*1000*365</f>
        <v>0</v>
      </c>
      <c r="AD204" s="42">
        <f>Z204*VLOOKUP($B204,Types!$B$2:$D$13,3,FALSE)*Conv!$I$5*1000*365</f>
        <v>0</v>
      </c>
      <c r="AE204" s="42">
        <f>AA204*VLOOKUP($B204,Types!$B$2:$D$13,3,FALSE)*Conv!$I$5*1000*365</f>
        <v>0</v>
      </c>
      <c r="AF204" s="42">
        <f>AB204-AB206</f>
        <v>0.11125984904759978</v>
      </c>
      <c r="AG204" s="42">
        <f t="shared" ref="AG204" si="1018">AC204-AC206</f>
        <v>0</v>
      </c>
      <c r="AH204" s="42">
        <f t="shared" ref="AH204" si="1019">AD204-AD206</f>
        <v>0</v>
      </c>
      <c r="AI204" s="42">
        <f t="shared" ref="AI204" si="1020">AE204-AE206</f>
        <v>0</v>
      </c>
      <c r="AJ204" s="42"/>
      <c r="AK204" s="42"/>
      <c r="AL204" s="42"/>
    </row>
    <row r="205" spans="1:38">
      <c r="A205" s="9" t="str">
        <f>A204</f>
        <v>Conventional Mogas</v>
      </c>
      <c r="B205" s="9" t="str">
        <f>VLOOKUP($A205,Types!$A$2:$C$13,2,FALSE)</f>
        <v>GSC</v>
      </c>
      <c r="C205" s="9">
        <v>1</v>
      </c>
      <c r="D205" s="9">
        <v>4</v>
      </c>
      <c r="E205" s="9" t="str">
        <f t="shared" si="989"/>
        <v>IMPGSCP41</v>
      </c>
      <c r="F205" s="9" t="str">
        <f>CONCATENATE("Imported ",VLOOKUP($A205,Types!$A$2:$C$13,3,FALSE),", PADD ",D205,", Step ",RIGHT(C205,1))</f>
        <v>Imported Conventional Gasoline, PADD 4, Step 1</v>
      </c>
      <c r="G205" s="9" t="str">
        <f>CONCATENATE(VLOOKUP($A205,Types!$A$2:$C$13,2,FALSE),"P",D205)</f>
        <v>GSCP4</v>
      </c>
      <c r="H205" s="66">
        <f>H204*$C$5</f>
        <v>62.574600000000004</v>
      </c>
      <c r="I205" s="66">
        <f t="shared" ref="I205" si="1021">I204*$C$5</f>
        <v>51.842449999999999</v>
      </c>
      <c r="J205" s="66">
        <f t="shared" ref="J205" si="1022">J204*$C$5</f>
        <v>40.735999999999997</v>
      </c>
      <c r="K205" s="66">
        <f t="shared" ref="K205" si="1023">K204*$C$5</f>
        <v>44.137</v>
      </c>
      <c r="L205" s="67">
        <f>H205*Conv!$J$20/10^6/VLOOKUP($B205,Types!$B$2:$D$13,3,FALSE)/Conv!$I$5</f>
        <v>17.325212358017762</v>
      </c>
      <c r="M205" s="67">
        <f>I205*Conv!$J$20/10^6/VLOOKUP($B205,Types!$B$2:$D$13,3,FALSE)/Conv!$I$5</f>
        <v>14.353770625939566</v>
      </c>
      <c r="N205" s="67" t="e">
        <f>M205*#REF!</f>
        <v>#REF!</v>
      </c>
      <c r="O205" s="67" t="e">
        <f>N205*#REF!</f>
        <v>#REF!</v>
      </c>
      <c r="P205" s="67" t="e">
        <f>O205*#REF!</f>
        <v>#REF!</v>
      </c>
      <c r="Q205" s="67" t="e">
        <f>P205*#REF!</f>
        <v>#REF!</v>
      </c>
      <c r="R205" s="67" t="e">
        <f>Q205*#REF!</f>
        <v>#REF!</v>
      </c>
      <c r="S205" s="67" t="e">
        <f>R205*#REF!</f>
        <v>#REF!</v>
      </c>
      <c r="T205" s="67" t="e">
        <f>S205*#REF!</f>
        <v>#REF!</v>
      </c>
      <c r="U205" s="67" t="e">
        <f>T205*#REF!</f>
        <v>#REF!</v>
      </c>
      <c r="V205" s="67" t="e">
        <f>U205*#REF!</f>
        <v>#REF!</v>
      </c>
      <c r="W205" s="42"/>
      <c r="X205" s="9">
        <f>X204*$E$5</f>
        <v>0.44000000000000006</v>
      </c>
      <c r="Y205" s="9">
        <f t="shared" ref="Y205" si="1024">Y204*$E$5</f>
        <v>0</v>
      </c>
      <c r="Z205" s="9">
        <f t="shared" ref="Z205" si="1025">Z204*$E$5</f>
        <v>0</v>
      </c>
      <c r="AA205" s="9">
        <f t="shared" ref="AA205" si="1026">AA204*$E$5</f>
        <v>0</v>
      </c>
      <c r="AB205" s="42">
        <f>X205*VLOOKUP($B205,Types!$B$2:$D$13,3,FALSE)*Conv!$I$5*1000*365</f>
        <v>0.89007879238080001</v>
      </c>
      <c r="AC205" s="42">
        <f>Y205*VLOOKUP($B205,Types!$B$2:$D$13,3,FALSE)*Conv!$I$5*1000*365</f>
        <v>0</v>
      </c>
      <c r="AD205" s="42">
        <f>Z205*VLOOKUP($B205,Types!$B$2:$D$13,3,FALSE)*Conv!$I$5*1000*365</f>
        <v>0</v>
      </c>
      <c r="AE205" s="42">
        <f>AA205*VLOOKUP($B205,Types!$B$2:$D$13,3,FALSE)*Conv!$I$5*1000*365</f>
        <v>0</v>
      </c>
      <c r="AF205" s="42">
        <f>AB205</f>
        <v>0.89007879238080001</v>
      </c>
      <c r="AG205" s="42">
        <f t="shared" ref="AG205" si="1027">AC205</f>
        <v>0</v>
      </c>
      <c r="AH205" s="42">
        <f t="shared" ref="AH205" si="1028">AD205</f>
        <v>0</v>
      </c>
      <c r="AI205" s="42">
        <f t="shared" ref="AI205" si="1029">AE205</f>
        <v>0</v>
      </c>
      <c r="AJ205" s="42"/>
      <c r="AK205" s="42"/>
      <c r="AL205" s="42"/>
    </row>
    <row r="206" spans="1:38">
      <c r="A206" s="9" t="str">
        <f t="shared" ref="A206:A208" si="1030">A205</f>
        <v>Conventional Mogas</v>
      </c>
      <c r="B206" s="9" t="str">
        <f>VLOOKUP($A206,Types!$A$2:$C$13,2,FALSE)</f>
        <v>GSC</v>
      </c>
      <c r="C206" s="9">
        <v>2</v>
      </c>
      <c r="D206" s="9">
        <v>4</v>
      </c>
      <c r="E206" s="9" t="str">
        <f t="shared" si="989"/>
        <v>IMPGSCP42</v>
      </c>
      <c r="F206" s="9" t="str">
        <f>CONCATENATE("Imported ",VLOOKUP($A206,Types!$A$2:$C$13,3,FALSE),", PADD ",D206,", Step ",RIGHT(C206,1))</f>
        <v>Imported Conventional Gasoline, PADD 4, Step 2</v>
      </c>
      <c r="G206" s="9" t="str">
        <f>CONCATENATE(VLOOKUP($A206,Types!$A$2:$C$13,2,FALSE),"P",D206)</f>
        <v>GSCP4</v>
      </c>
      <c r="H206" s="66">
        <f>H204*$C$6</f>
        <v>64.550640000000001</v>
      </c>
      <c r="I206" s="66">
        <f t="shared" ref="I206:K206" si="1031">I204*$C$6</f>
        <v>53.479580000000006</v>
      </c>
      <c r="J206" s="66">
        <f t="shared" si="1031"/>
        <v>42.022400000000005</v>
      </c>
      <c r="K206" s="66">
        <f t="shared" si="1031"/>
        <v>45.530799999999999</v>
      </c>
      <c r="L206" s="67">
        <f>H206*Conv!$J$20/10^6/VLOOKUP($B206,Types!$B$2:$D$13,3,FALSE)/Conv!$I$5</f>
        <v>17.872324327218326</v>
      </c>
      <c r="M206" s="67">
        <f>I206*Conv!$J$20/10^6/VLOOKUP($B206,Types!$B$2:$D$13,3,FALSE)/Conv!$I$5</f>
        <v>14.807047593074502</v>
      </c>
      <c r="N206" s="67" t="e">
        <f>M206*#REF!</f>
        <v>#REF!</v>
      </c>
      <c r="O206" s="67" t="e">
        <f>N206*#REF!</f>
        <v>#REF!</v>
      </c>
      <c r="P206" s="67" t="e">
        <f>O206*#REF!</f>
        <v>#REF!</v>
      </c>
      <c r="Q206" s="67" t="e">
        <f>P206*#REF!</f>
        <v>#REF!</v>
      </c>
      <c r="R206" s="67" t="e">
        <f>Q206*#REF!</f>
        <v>#REF!</v>
      </c>
      <c r="S206" s="67" t="e">
        <f>R206*#REF!</f>
        <v>#REF!</v>
      </c>
      <c r="T206" s="67" t="e">
        <f>S206*#REF!</f>
        <v>#REF!</v>
      </c>
      <c r="U206" s="67" t="e">
        <f>T206*#REF!</f>
        <v>#REF!</v>
      </c>
      <c r="V206" s="67" t="e">
        <f>U206*#REF!</f>
        <v>#REF!</v>
      </c>
      <c r="W206" s="42"/>
      <c r="X206" s="9">
        <f>X204*$E$6</f>
        <v>0.49500000000000005</v>
      </c>
      <c r="Y206" s="9">
        <f t="shared" ref="Y206:AA206" si="1032">Y204*$E$6</f>
        <v>0</v>
      </c>
      <c r="Z206" s="9">
        <f t="shared" si="1032"/>
        <v>0</v>
      </c>
      <c r="AA206" s="9">
        <f t="shared" si="1032"/>
        <v>0</v>
      </c>
      <c r="AB206" s="42">
        <f>X206*VLOOKUP($B206,Types!$B$2:$D$13,3,FALSE)*Conv!$I$5*1000*365</f>
        <v>1.0013386414284</v>
      </c>
      <c r="AC206" s="42">
        <f>Y206*VLOOKUP($B206,Types!$B$2:$D$13,3,FALSE)*Conv!$I$5*1000*365</f>
        <v>0</v>
      </c>
      <c r="AD206" s="42">
        <f>Z206*VLOOKUP($B206,Types!$B$2:$D$13,3,FALSE)*Conv!$I$5*1000*365</f>
        <v>0</v>
      </c>
      <c r="AE206" s="42">
        <f>AA206*VLOOKUP($B206,Types!$B$2:$D$13,3,FALSE)*Conv!$I$5*1000*365</f>
        <v>0</v>
      </c>
      <c r="AF206" s="42">
        <f>AB206-AF205</f>
        <v>0.1112598490476</v>
      </c>
      <c r="AG206" s="42">
        <f t="shared" ref="AG206" si="1033">AC206-AG205</f>
        <v>0</v>
      </c>
      <c r="AH206" s="42">
        <f t="shared" ref="AH206" si="1034">AD206-AH205</f>
        <v>0</v>
      </c>
      <c r="AI206" s="42">
        <f t="shared" ref="AI206" si="1035">AE206-AI205</f>
        <v>0</v>
      </c>
      <c r="AJ206" s="42"/>
      <c r="AK206" s="42"/>
      <c r="AL206" s="42"/>
    </row>
    <row r="207" spans="1:38">
      <c r="A207" s="9" t="str">
        <f t="shared" si="1030"/>
        <v>Conventional Mogas</v>
      </c>
      <c r="B207" s="9" t="str">
        <f>VLOOKUP($A207,Types!$A$2:$C$13,2,FALSE)</f>
        <v>GSC</v>
      </c>
      <c r="C207" s="9">
        <v>4</v>
      </c>
      <c r="D207" s="9">
        <v>4</v>
      </c>
      <c r="E207" s="9" t="str">
        <f t="shared" si="989"/>
        <v>IMPGSCP44</v>
      </c>
      <c r="F207" s="9" t="str">
        <f>CONCATENATE("Imported ",VLOOKUP($A207,Types!$A$2:$C$13,3,FALSE),", PADD ",D207,", Step ",RIGHT(C207,1))</f>
        <v>Imported Conventional Gasoline, PADD 4, Step 4</v>
      </c>
      <c r="G207" s="9" t="str">
        <f>CONCATENATE(VLOOKUP($A207,Types!$A$2:$C$13,2,FALSE),"P",D207)</f>
        <v>GSCP4</v>
      </c>
      <c r="H207" s="66">
        <f>H204*$C$8</f>
        <v>71.796120000000016</v>
      </c>
      <c r="I207" s="66">
        <f t="shared" ref="I207:K207" si="1036">I204*$C$8</f>
        <v>59.482390000000009</v>
      </c>
      <c r="J207" s="66">
        <f t="shared" si="1036"/>
        <v>46.739200000000004</v>
      </c>
      <c r="K207" s="66">
        <f t="shared" si="1036"/>
        <v>50.641400000000004</v>
      </c>
      <c r="L207" s="67">
        <f>H207*Conv!$J$20/10^6/VLOOKUP($B207,Types!$B$2:$D$13,3,FALSE)/Conv!$I$5</f>
        <v>19.878401547620381</v>
      </c>
      <c r="M207" s="67">
        <f>I207*Conv!$J$20/10^6/VLOOKUP($B207,Types!$B$2:$D$13,3,FALSE)/Conv!$I$5</f>
        <v>16.469063139235921</v>
      </c>
      <c r="N207" s="67" t="e">
        <f>M207*#REF!</f>
        <v>#REF!</v>
      </c>
      <c r="O207" s="67" t="e">
        <f>N207*#REF!</f>
        <v>#REF!</v>
      </c>
      <c r="P207" s="67" t="e">
        <f>O207*#REF!</f>
        <v>#REF!</v>
      </c>
      <c r="Q207" s="67" t="e">
        <f>P207*#REF!</f>
        <v>#REF!</v>
      </c>
      <c r="R207" s="67" t="e">
        <f>Q207*#REF!</f>
        <v>#REF!</v>
      </c>
      <c r="S207" s="67" t="e">
        <f>R207*#REF!</f>
        <v>#REF!</v>
      </c>
      <c r="T207" s="67" t="e">
        <f>S207*#REF!</f>
        <v>#REF!</v>
      </c>
      <c r="U207" s="67" t="e">
        <f>T207*#REF!</f>
        <v>#REF!</v>
      </c>
      <c r="V207" s="67" t="e">
        <f>U207*#REF!</f>
        <v>#REF!</v>
      </c>
      <c r="W207" s="42"/>
      <c r="X207" s="9">
        <f>X204*$E$8</f>
        <v>0.66</v>
      </c>
      <c r="Y207" s="9">
        <f t="shared" ref="Y207:AA207" si="1037">Y204*$E$8</f>
        <v>0</v>
      </c>
      <c r="Z207" s="9">
        <f t="shared" si="1037"/>
        <v>0</v>
      </c>
      <c r="AA207" s="9">
        <f t="shared" si="1037"/>
        <v>0</v>
      </c>
      <c r="AB207" s="42">
        <f>X207*VLOOKUP($B207,Types!$B$2:$D$13,3,FALSE)*Conv!$I$5*1000*365</f>
        <v>1.3351181885712</v>
      </c>
      <c r="AC207" s="42">
        <f>Y207*VLOOKUP($B207,Types!$B$2:$D$13,3,FALSE)*Conv!$I$5*1000*365</f>
        <v>0</v>
      </c>
      <c r="AD207" s="42">
        <f>Z207*VLOOKUP($B207,Types!$B$2:$D$13,3,FALSE)*Conv!$I$5*1000*365</f>
        <v>0</v>
      </c>
      <c r="AE207" s="42">
        <f>AA207*VLOOKUP($B207,Types!$B$2:$D$13,3,FALSE)*Conv!$I$5*1000*365</f>
        <v>0</v>
      </c>
      <c r="AF207" s="42">
        <f>AB207-AB204</f>
        <v>0.22251969809520022</v>
      </c>
      <c r="AG207" s="42">
        <f t="shared" ref="AG207" si="1038">AC207-AC204</f>
        <v>0</v>
      </c>
      <c r="AH207" s="42">
        <f t="shared" ref="AH207" si="1039">AD207-AD204</f>
        <v>0</v>
      </c>
      <c r="AI207" s="42">
        <f t="shared" ref="AI207" si="1040">AE207-AE204</f>
        <v>0</v>
      </c>
      <c r="AJ207" s="42"/>
      <c r="AK207" s="42"/>
      <c r="AL207" s="42"/>
    </row>
    <row r="208" spans="1:38">
      <c r="A208" s="9" t="str">
        <f t="shared" si="1030"/>
        <v>Conventional Mogas</v>
      </c>
      <c r="B208" s="9" t="str">
        <f>VLOOKUP($A208,Types!$A$2:$C$13,2,FALSE)</f>
        <v>GSC</v>
      </c>
      <c r="C208" s="9">
        <v>5</v>
      </c>
      <c r="D208" s="9">
        <v>4</v>
      </c>
      <c r="E208" s="9" t="str">
        <f t="shared" si="989"/>
        <v>IMPGSCP45</v>
      </c>
      <c r="F208" s="9" t="str">
        <f>CONCATENATE("Imported ",VLOOKUP($A208,Types!$A$2:$C$13,3,FALSE),", PADD ",D208,", Step ",RIGHT(C208,1))</f>
        <v>Imported Conventional Gasoline, PADD 4, Step 5</v>
      </c>
      <c r="G208" s="9" t="str">
        <f>CONCATENATE(VLOOKUP($A208,Types!$A$2:$C$13,2,FALSE),"P",D208)</f>
        <v>GSCP4</v>
      </c>
      <c r="H208" s="66">
        <f>H204*$C$9</f>
        <v>85.628400000000013</v>
      </c>
      <c r="I208" s="66">
        <f t="shared" ref="I208:K208" si="1041">I204*$C$9</f>
        <v>70.942300000000003</v>
      </c>
      <c r="J208" s="66">
        <f t="shared" si="1041"/>
        <v>55.744000000000007</v>
      </c>
      <c r="K208" s="66">
        <f t="shared" si="1041"/>
        <v>60.398000000000003</v>
      </c>
      <c r="L208" s="67">
        <f>H208*Conv!$J$20/10^6/VLOOKUP($B208,Types!$B$2:$D$13,3,FALSE)/Conv!$I$5</f>
        <v>23.708185332024311</v>
      </c>
      <c r="M208" s="67">
        <f>I208*Conv!$J$20/10^6/VLOOKUP($B208,Types!$B$2:$D$13,3,FALSE)/Conv!$I$5</f>
        <v>19.642001909180458</v>
      </c>
      <c r="N208" s="67" t="e">
        <f>M208*#REF!</f>
        <v>#REF!</v>
      </c>
      <c r="O208" s="67" t="e">
        <f>N208*#REF!</f>
        <v>#REF!</v>
      </c>
      <c r="P208" s="67" t="e">
        <f>O208*#REF!</f>
        <v>#REF!</v>
      </c>
      <c r="Q208" s="67" t="e">
        <f>P208*#REF!</f>
        <v>#REF!</v>
      </c>
      <c r="R208" s="67" t="e">
        <f>Q208*#REF!</f>
        <v>#REF!</v>
      </c>
      <c r="S208" s="67" t="e">
        <f>R208*#REF!</f>
        <v>#REF!</v>
      </c>
      <c r="T208" s="67" t="e">
        <f>S208*#REF!</f>
        <v>#REF!</v>
      </c>
      <c r="U208" s="67" t="e">
        <f>T208*#REF!</f>
        <v>#REF!</v>
      </c>
      <c r="V208" s="67" t="e">
        <f>U208*#REF!</f>
        <v>#REF!</v>
      </c>
      <c r="W208" s="42"/>
      <c r="X208" s="9">
        <f>X204*$E$9</f>
        <v>1.1000000000000001</v>
      </c>
      <c r="Y208" s="9">
        <f t="shared" ref="Y208:AA208" si="1042">Y204*$E$9</f>
        <v>0</v>
      </c>
      <c r="Z208" s="9">
        <f t="shared" si="1042"/>
        <v>0</v>
      </c>
      <c r="AA208" s="9">
        <f t="shared" si="1042"/>
        <v>0</v>
      </c>
      <c r="AB208" s="42">
        <f>X208*VLOOKUP($B208,Types!$B$2:$D$13,3,FALSE)*Conv!$I$5*1000*365</f>
        <v>2.2251969809519996</v>
      </c>
      <c r="AC208" s="42">
        <f>Y208*VLOOKUP($B208,Types!$B$2:$D$13,3,FALSE)*Conv!$I$5*1000*365</f>
        <v>0</v>
      </c>
      <c r="AD208" s="42">
        <f>Z208*VLOOKUP($B208,Types!$B$2:$D$13,3,FALSE)*Conv!$I$5*1000*365</f>
        <v>0</v>
      </c>
      <c r="AE208" s="42">
        <f>AA208*VLOOKUP($B208,Types!$B$2:$D$13,3,FALSE)*Conv!$I$5*1000*365</f>
        <v>0</v>
      </c>
      <c r="AF208" s="42">
        <f>AB208-AB207</f>
        <v>0.89007879238079957</v>
      </c>
      <c r="AG208" s="42">
        <f t="shared" ref="AG208" si="1043">AC208-AC207</f>
        <v>0</v>
      </c>
      <c r="AH208" s="42">
        <f t="shared" ref="AH208" si="1044">AD208-AD207</f>
        <v>0</v>
      </c>
      <c r="AI208" s="42">
        <f t="shared" ref="AI208" si="1045">AE208-AE207</f>
        <v>0</v>
      </c>
      <c r="AJ208" s="42"/>
      <c r="AK208" s="42"/>
      <c r="AL208" s="42"/>
    </row>
    <row r="209" spans="1:38">
      <c r="A209" s="9" t="str">
        <f>'Agg prdcrv'!$A$8</f>
        <v>Heating No. 2</v>
      </c>
      <c r="B209" s="9" t="str">
        <f>VLOOKUP($A209,Types!$A$2:$C$13,2,FALSE)</f>
        <v>DSH</v>
      </c>
      <c r="C209" s="9">
        <v>3</v>
      </c>
      <c r="D209" s="9">
        <v>4</v>
      </c>
      <c r="E209" s="9" t="str">
        <f t="shared" si="989"/>
        <v>IMPDSHP43</v>
      </c>
      <c r="F209" s="9" t="str">
        <f>CONCATENATE("Imported ",VLOOKUP($A209,Types!$A$2:$C$13,3,FALSE),", PADD ",D209,", Step ",RIGHT(C209,1))</f>
        <v>Imported Distillate-Heating Oil No. 2, PADD 4, Step 3</v>
      </c>
      <c r="G209" s="9" t="str">
        <f>CONCATENATE(VLOOKUP($A209,Types!$A$2:$C$13,2,FALSE),"P",D209)</f>
        <v>DSHP4</v>
      </c>
      <c r="H209" s="66">
        <f>SUMIFS('Agg prdcrv'!$O$6:$O$100,'Agg prdcrv'!$A$6:$A$100,'Imp Refined'!$A209,'Agg prdcrv'!$B$6:$B$100,H$11)*K4</f>
        <v>58.861000000000004</v>
      </c>
      <c r="I209" s="66">
        <f>SUMIFS('Agg prdcrv'!$O$6:$O$100,'Agg prdcrv'!$A$6:$A$100,'Imp Refined'!$A209,'Agg prdcrv'!$B$6:$B$100,I$11)*K4</f>
        <v>44.902000000000001</v>
      </c>
      <c r="J209" s="66">
        <f t="array" ref="J209">SUMIFS('Agg prdcrv'!$O$6:$O$100,'Agg prdcrv'!$A$6:$A$100,'Imp Refined'!$A209,'Agg prdcrv'!$B$6:$B$100,J$11)</f>
        <v>35.19</v>
      </c>
      <c r="K209" s="66">
        <f t="array" ref="K209">SUMIFS('Agg prdcrv'!$O$6:$O$100,'Agg prdcrv'!$A$6:$A$100,'Imp Refined'!$A209,'Agg prdcrv'!$B$6:$B$100,K$11)</f>
        <v>37.42</v>
      </c>
      <c r="L209" s="67">
        <f>H209*Conv!$J$20/10^6/VLOOKUP($B209,Types!$B$2:$D$13,3,FALSE)/Conv!$I$5</f>
        <v>14.696691963995358</v>
      </c>
      <c r="M209" s="67">
        <f>I209*Conv!$J$20/10^6/VLOOKUP($B209,Types!$B$2:$D$13,3,FALSE)/Conv!$I$5</f>
        <v>11.211343038129144</v>
      </c>
      <c r="N209" s="67" t="e">
        <f>M209*#REF!</f>
        <v>#REF!</v>
      </c>
      <c r="O209" s="67" t="e">
        <f>N209*#REF!</f>
        <v>#REF!</v>
      </c>
      <c r="P209" s="67" t="e">
        <f>O209*#REF!</f>
        <v>#REF!</v>
      </c>
      <c r="Q209" s="67" t="e">
        <f>P209*#REF!</f>
        <v>#REF!</v>
      </c>
      <c r="R209" s="67" t="e">
        <f>Q209*#REF!</f>
        <v>#REF!</v>
      </c>
      <c r="S209" s="67" t="e">
        <f>R209*#REF!</f>
        <v>#REF!</v>
      </c>
      <c r="T209" s="67" t="e">
        <f>S209*#REF!</f>
        <v>#REF!</v>
      </c>
      <c r="U209" s="67" t="e">
        <f>T209*#REF!</f>
        <v>#REF!</v>
      </c>
      <c r="V209" s="67" t="e">
        <f>U209*#REF!</f>
        <v>#REF!</v>
      </c>
      <c r="W209" s="42"/>
      <c r="X209" s="9">
        <f t="array" ref="X209">SUMIFS('Agg prdcrv'!$G$6:$G$100,'Agg prdcrv'!$A$6:$A$100,'Imp Refined'!$A209,'Agg prdcrv'!$B$6:$B$100,X$11)</f>
        <v>1.34</v>
      </c>
      <c r="Y209" s="9">
        <f t="array" ref="Y209">SUMIFS('Agg prdcrv'!$G$6:$G$100,'Agg prdcrv'!$A$6:$A$100,'Imp Refined'!$A209,'Agg prdcrv'!$B$6:$B$100,Y$11)</f>
        <v>0.87</v>
      </c>
      <c r="Z209" s="9">
        <f t="array" ref="Z209">SUMIFS('Agg prdcrv'!$G$6:$G$100,'Agg prdcrv'!$A$6:$A$100,'Imp Refined'!$A209,'Agg prdcrv'!$B$6:$B$100,Z$11)</f>
        <v>0.96</v>
      </c>
      <c r="AA209" s="9">
        <f t="array" ref="AA209">SUMIFS('Agg prdcrv'!$G$6:$G$100,'Agg prdcrv'!$A$6:$A$100,'Imp Refined'!$A209,'Agg prdcrv'!$B$6:$B$100,AA$11)</f>
        <v>1.06</v>
      </c>
      <c r="AB209" s="42">
        <f>X209*VLOOKUP($B209,Types!$B$2:$D$13,3,FALSE)*Conv!$I$5*1000*365</f>
        <v>3.0058624569199996</v>
      </c>
      <c r="AC209" s="42">
        <f>Y209*VLOOKUP($B209,Types!$B$2:$D$13,3,FALSE)*Conv!$I$5*1000*365</f>
        <v>1.9515674160599998</v>
      </c>
      <c r="AD209" s="42">
        <f>Z209*VLOOKUP($B209,Types!$B$2:$D$13,3,FALSE)*Conv!$I$5*1000*365</f>
        <v>2.1534537004799996</v>
      </c>
      <c r="AE209" s="42">
        <f>AA209*VLOOKUP($B209,Types!$B$2:$D$13,3,FALSE)*Conv!$I$5*1000*365</f>
        <v>2.3777717942799996</v>
      </c>
      <c r="AF209" s="42">
        <f>AB209-AB211</f>
        <v>0.30058624569199921</v>
      </c>
      <c r="AG209" s="42">
        <f t="shared" ref="AG209" si="1046">AC209-AC211</f>
        <v>0.19515674160599983</v>
      </c>
      <c r="AH209" s="42">
        <f t="shared" ref="AH209" si="1047">AD209-AD211</f>
        <v>0.21534537004799992</v>
      </c>
      <c r="AI209" s="42">
        <f t="shared" ref="AI209" si="1048">AE209-AE211</f>
        <v>0.23777717942799947</v>
      </c>
      <c r="AJ209" s="42"/>
      <c r="AK209" s="42"/>
      <c r="AL209" s="42"/>
    </row>
    <row r="210" spans="1:38">
      <c r="A210" s="9" t="str">
        <f>A209</f>
        <v>Heating No. 2</v>
      </c>
      <c r="B210" s="9" t="str">
        <f>VLOOKUP($A210,Types!$A$2:$C$13,2,FALSE)</f>
        <v>DSH</v>
      </c>
      <c r="C210" s="9">
        <v>1</v>
      </c>
      <c r="D210" s="9">
        <v>4</v>
      </c>
      <c r="E210" s="9" t="str">
        <f t="shared" si="989"/>
        <v>IMPDSHP41</v>
      </c>
      <c r="F210" s="9" t="str">
        <f>CONCATENATE("Imported ",VLOOKUP($A210,Types!$A$2:$C$13,3,FALSE),", PADD ",D210,", Step ",RIGHT(C210,1))</f>
        <v>Imported Distillate-Heating Oil No. 2, PADD 4, Step 1</v>
      </c>
      <c r="G210" s="9" t="str">
        <f>CONCATENATE(VLOOKUP($A210,Types!$A$2:$C$13,2,FALSE),"P",D210)</f>
        <v>DSHP4</v>
      </c>
      <c r="H210" s="66">
        <f>H209*$C$5</f>
        <v>55.917950000000005</v>
      </c>
      <c r="I210" s="66">
        <f t="shared" ref="I210" si="1049">I209*$C$5</f>
        <v>42.6569</v>
      </c>
      <c r="J210" s="66">
        <f t="shared" ref="J210" si="1050">J209*$C$5</f>
        <v>33.430499999999995</v>
      </c>
      <c r="K210" s="66">
        <f t="shared" ref="K210" si="1051">K209*$C$5</f>
        <v>35.548999999999999</v>
      </c>
      <c r="L210" s="67">
        <f>H210*Conv!$J$20/10^6/VLOOKUP($B210,Types!$B$2:$D$13,3,FALSE)/Conv!$I$5</f>
        <v>13.96185736579559</v>
      </c>
      <c r="M210" s="67">
        <f>I210*Conv!$J$20/10^6/VLOOKUP($B210,Types!$B$2:$D$13,3,FALSE)/Conv!$I$5</f>
        <v>10.650775886222686</v>
      </c>
      <c r="N210" s="67" t="e">
        <f>M210*#REF!</f>
        <v>#REF!</v>
      </c>
      <c r="O210" s="67" t="e">
        <f>N210*#REF!</f>
        <v>#REF!</v>
      </c>
      <c r="P210" s="67" t="e">
        <f>O210*#REF!</f>
        <v>#REF!</v>
      </c>
      <c r="Q210" s="67" t="e">
        <f>P210*#REF!</f>
        <v>#REF!</v>
      </c>
      <c r="R210" s="67" t="e">
        <f>Q210*#REF!</f>
        <v>#REF!</v>
      </c>
      <c r="S210" s="67" t="e">
        <f>R210*#REF!</f>
        <v>#REF!</v>
      </c>
      <c r="T210" s="67" t="e">
        <f>S210*#REF!</f>
        <v>#REF!</v>
      </c>
      <c r="U210" s="67" t="e">
        <f>T210*#REF!</f>
        <v>#REF!</v>
      </c>
      <c r="V210" s="67" t="e">
        <f>U210*#REF!</f>
        <v>#REF!</v>
      </c>
      <c r="W210" s="42"/>
      <c r="X210" s="9">
        <f>X209*$E$5</f>
        <v>1.0720000000000001</v>
      </c>
      <c r="Y210" s="9">
        <f t="shared" ref="Y210" si="1052">Y209*$E$5</f>
        <v>0.69600000000000006</v>
      </c>
      <c r="Z210" s="9">
        <f t="shared" ref="Z210" si="1053">Z209*$E$5</f>
        <v>0.76800000000000002</v>
      </c>
      <c r="AA210" s="9">
        <f t="shared" ref="AA210" si="1054">AA209*$E$5</f>
        <v>0.84800000000000009</v>
      </c>
      <c r="AB210" s="42">
        <f>X210*VLOOKUP($B210,Types!$B$2:$D$13,3,FALSE)*Conv!$I$5*1000*365</f>
        <v>2.4046899655359999</v>
      </c>
      <c r="AC210" s="42">
        <f>Y210*VLOOKUP($B210,Types!$B$2:$D$13,3,FALSE)*Conv!$I$5*1000*365</f>
        <v>1.561253932848</v>
      </c>
      <c r="AD210" s="42">
        <f>Z210*VLOOKUP($B210,Types!$B$2:$D$13,3,FALSE)*Conv!$I$5*1000*365</f>
        <v>1.7227629603839998</v>
      </c>
      <c r="AE210" s="42">
        <f>AA210*VLOOKUP($B210,Types!$B$2:$D$13,3,FALSE)*Conv!$I$5*1000*365</f>
        <v>1.902217435424</v>
      </c>
      <c r="AF210" s="42">
        <f>AB210</f>
        <v>2.4046899655359999</v>
      </c>
      <c r="AG210" s="42">
        <f t="shared" ref="AG210" si="1055">AC210</f>
        <v>1.561253932848</v>
      </c>
      <c r="AH210" s="42">
        <f t="shared" ref="AH210" si="1056">AD210</f>
        <v>1.7227629603839998</v>
      </c>
      <c r="AI210" s="42">
        <f t="shared" ref="AI210" si="1057">AE210</f>
        <v>1.902217435424</v>
      </c>
      <c r="AJ210" s="42"/>
      <c r="AK210" s="42"/>
      <c r="AL210" s="42"/>
    </row>
    <row r="211" spans="1:38">
      <c r="A211" s="9" t="str">
        <f t="shared" ref="A211:A213" si="1058">A210</f>
        <v>Heating No. 2</v>
      </c>
      <c r="B211" s="9" t="str">
        <f>VLOOKUP($A211,Types!$A$2:$C$13,2,FALSE)</f>
        <v>DSH</v>
      </c>
      <c r="C211" s="9">
        <v>2</v>
      </c>
      <c r="D211" s="9">
        <v>4</v>
      </c>
      <c r="E211" s="9" t="str">
        <f t="shared" si="989"/>
        <v>IMPDSHP42</v>
      </c>
      <c r="F211" s="9" t="str">
        <f>CONCATENATE("Imported ",VLOOKUP($A211,Types!$A$2:$C$13,3,FALSE),", PADD ",D211,", Step ",RIGHT(C211,1))</f>
        <v>Imported Distillate-Heating Oil No. 2, PADD 4, Step 2</v>
      </c>
      <c r="G211" s="9" t="str">
        <f>CONCATENATE(VLOOKUP($A211,Types!$A$2:$C$13,2,FALSE),"P",D211)</f>
        <v>DSHP4</v>
      </c>
      <c r="H211" s="66">
        <f>H209*$C$6</f>
        <v>57.683780000000006</v>
      </c>
      <c r="I211" s="66">
        <f t="shared" ref="I211:K211" si="1059">I209*$C$6</f>
        <v>44.003959999999999</v>
      </c>
      <c r="J211" s="66">
        <f t="shared" si="1059"/>
        <v>34.486199999999997</v>
      </c>
      <c r="K211" s="66">
        <f t="shared" si="1059"/>
        <v>36.671599999999998</v>
      </c>
      <c r="L211" s="67">
        <f>H211*Conv!$J$20/10^6/VLOOKUP($B211,Types!$B$2:$D$13,3,FALSE)/Conv!$I$5</f>
        <v>14.402758124715453</v>
      </c>
      <c r="M211" s="67">
        <f>I211*Conv!$J$20/10^6/VLOOKUP($B211,Types!$B$2:$D$13,3,FALSE)/Conv!$I$5</f>
        <v>10.987116177366559</v>
      </c>
      <c r="N211" s="67" t="e">
        <f>M211*#REF!</f>
        <v>#REF!</v>
      </c>
      <c r="O211" s="67" t="e">
        <f>N211*#REF!</f>
        <v>#REF!</v>
      </c>
      <c r="P211" s="67" t="e">
        <f>O211*#REF!</f>
        <v>#REF!</v>
      </c>
      <c r="Q211" s="67" t="e">
        <f>P211*#REF!</f>
        <v>#REF!</v>
      </c>
      <c r="R211" s="67" t="e">
        <f>Q211*#REF!</f>
        <v>#REF!</v>
      </c>
      <c r="S211" s="67" t="e">
        <f>R211*#REF!</f>
        <v>#REF!</v>
      </c>
      <c r="T211" s="67" t="e">
        <f>S211*#REF!</f>
        <v>#REF!</v>
      </c>
      <c r="U211" s="67" t="e">
        <f>T211*#REF!</f>
        <v>#REF!</v>
      </c>
      <c r="V211" s="67" t="e">
        <f>U211*#REF!</f>
        <v>#REF!</v>
      </c>
      <c r="W211" s="42"/>
      <c r="X211" s="9">
        <f>X209*$E$6</f>
        <v>1.2060000000000002</v>
      </c>
      <c r="Y211" s="9">
        <f t="shared" ref="Y211:AA211" si="1060">Y209*$E$6</f>
        <v>0.78300000000000003</v>
      </c>
      <c r="Z211" s="9">
        <f t="shared" si="1060"/>
        <v>0.86399999999999999</v>
      </c>
      <c r="AA211" s="9">
        <f t="shared" si="1060"/>
        <v>0.95400000000000007</v>
      </c>
      <c r="AB211" s="42">
        <f>X211*VLOOKUP($B211,Types!$B$2:$D$13,3,FALSE)*Conv!$I$5*1000*365</f>
        <v>2.7052762112280004</v>
      </c>
      <c r="AC211" s="42">
        <f>Y211*VLOOKUP($B211,Types!$B$2:$D$13,3,FALSE)*Conv!$I$5*1000*365</f>
        <v>1.756410674454</v>
      </c>
      <c r="AD211" s="42">
        <f>Z211*VLOOKUP($B211,Types!$B$2:$D$13,3,FALSE)*Conv!$I$5*1000*365</f>
        <v>1.9381083304319997</v>
      </c>
      <c r="AE211" s="42">
        <f>AA211*VLOOKUP($B211,Types!$B$2:$D$13,3,FALSE)*Conv!$I$5*1000*365</f>
        <v>2.1399946148520002</v>
      </c>
      <c r="AF211" s="42">
        <f>AB211-AF210</f>
        <v>0.30058624569200054</v>
      </c>
      <c r="AG211" s="42">
        <f t="shared" ref="AG211" si="1061">AC211-AG210</f>
        <v>0.19515674160600005</v>
      </c>
      <c r="AH211" s="42">
        <f t="shared" ref="AH211" si="1062">AD211-AH210</f>
        <v>0.21534537004799992</v>
      </c>
      <c r="AI211" s="42">
        <f t="shared" ref="AI211" si="1063">AE211-AI210</f>
        <v>0.23777717942800014</v>
      </c>
      <c r="AJ211" s="42"/>
      <c r="AK211" s="42"/>
      <c r="AL211" s="42"/>
    </row>
    <row r="212" spans="1:38">
      <c r="A212" s="9" t="str">
        <f t="shared" si="1058"/>
        <v>Heating No. 2</v>
      </c>
      <c r="B212" s="9" t="str">
        <f>VLOOKUP($A212,Types!$A$2:$C$13,2,FALSE)</f>
        <v>DSH</v>
      </c>
      <c r="C212" s="9">
        <v>4</v>
      </c>
      <c r="D212" s="9">
        <v>4</v>
      </c>
      <c r="E212" s="9" t="str">
        <f t="shared" si="989"/>
        <v>IMPDSHP44</v>
      </c>
      <c r="F212" s="9" t="str">
        <f>CONCATENATE("Imported ",VLOOKUP($A212,Types!$A$2:$C$13,3,FALSE),", PADD ",D212,", Step ",RIGHT(C212,1))</f>
        <v>Imported Distillate-Heating Oil No. 2, PADD 4, Step 4</v>
      </c>
      <c r="G212" s="9" t="str">
        <f>CONCATENATE(VLOOKUP($A212,Types!$A$2:$C$13,2,FALSE),"P",D212)</f>
        <v>DSHP4</v>
      </c>
      <c r="H212" s="66">
        <f>H209*$C$8</f>
        <v>64.158490000000015</v>
      </c>
      <c r="I212" s="66">
        <f t="shared" ref="I212:K212" si="1064">I209*$C$8</f>
        <v>48.943180000000005</v>
      </c>
      <c r="J212" s="66">
        <f t="shared" si="1064"/>
        <v>38.357100000000003</v>
      </c>
      <c r="K212" s="66">
        <f t="shared" si="1064"/>
        <v>40.787800000000004</v>
      </c>
      <c r="L212" s="67">
        <f>H212*Conv!$J$20/10^6/VLOOKUP($B212,Types!$B$2:$D$13,3,FALSE)/Conv!$I$5</f>
        <v>16.019394240754941</v>
      </c>
      <c r="M212" s="67">
        <f>I212*Conv!$J$20/10^6/VLOOKUP($B212,Types!$B$2:$D$13,3,FALSE)/Conv!$I$5</f>
        <v>12.220363911560765</v>
      </c>
      <c r="N212" s="67" t="e">
        <f>M212*#REF!</f>
        <v>#REF!</v>
      </c>
      <c r="O212" s="67" t="e">
        <f>N212*#REF!</f>
        <v>#REF!</v>
      </c>
      <c r="P212" s="67" t="e">
        <f>O212*#REF!</f>
        <v>#REF!</v>
      </c>
      <c r="Q212" s="67" t="e">
        <f>P212*#REF!</f>
        <v>#REF!</v>
      </c>
      <c r="R212" s="67" t="e">
        <f>Q212*#REF!</f>
        <v>#REF!</v>
      </c>
      <c r="S212" s="67" t="e">
        <f>R212*#REF!</f>
        <v>#REF!</v>
      </c>
      <c r="T212" s="67" t="e">
        <f>S212*#REF!</f>
        <v>#REF!</v>
      </c>
      <c r="U212" s="67" t="e">
        <f>T212*#REF!</f>
        <v>#REF!</v>
      </c>
      <c r="V212" s="67" t="e">
        <f>U212*#REF!</f>
        <v>#REF!</v>
      </c>
      <c r="W212" s="42"/>
      <c r="X212" s="9">
        <f>X209*$E$8</f>
        <v>1.6080000000000001</v>
      </c>
      <c r="Y212" s="9">
        <f t="shared" ref="Y212:AA212" si="1065">Y209*$E$8</f>
        <v>1.044</v>
      </c>
      <c r="Z212" s="9">
        <f t="shared" si="1065"/>
        <v>1.1519999999999999</v>
      </c>
      <c r="AA212" s="9">
        <f t="shared" si="1065"/>
        <v>1.272</v>
      </c>
      <c r="AB212" s="42">
        <f>X212*VLOOKUP($B212,Types!$B$2:$D$13,3,FALSE)*Conv!$I$5*1000*365</f>
        <v>3.6070349483039998</v>
      </c>
      <c r="AC212" s="42">
        <f>Y212*VLOOKUP($B212,Types!$B$2:$D$13,3,FALSE)*Conv!$I$5*1000*365</f>
        <v>2.3418808992720002</v>
      </c>
      <c r="AD212" s="42">
        <f>Z212*VLOOKUP($B212,Types!$B$2:$D$13,3,FALSE)*Conv!$I$5*1000*365</f>
        <v>2.5841444405759999</v>
      </c>
      <c r="AE212" s="42">
        <f>AA212*VLOOKUP($B212,Types!$B$2:$D$13,3,FALSE)*Conv!$I$5*1000*365</f>
        <v>2.8533261531360004</v>
      </c>
      <c r="AF212" s="42">
        <f>AB212-AB209</f>
        <v>0.6011724913840002</v>
      </c>
      <c r="AG212" s="42">
        <f t="shared" ref="AG212" si="1066">AC212-AC209</f>
        <v>0.39031348321200032</v>
      </c>
      <c r="AH212" s="42">
        <f t="shared" ref="AH212" si="1067">AD212-AD209</f>
        <v>0.43069074009600028</v>
      </c>
      <c r="AI212" s="42">
        <f t="shared" ref="AI212" si="1068">AE212-AE209</f>
        <v>0.47555435885600073</v>
      </c>
      <c r="AJ212" s="42"/>
      <c r="AK212" s="42"/>
      <c r="AL212" s="42"/>
    </row>
    <row r="213" spans="1:38">
      <c r="A213" s="9" t="str">
        <f t="shared" si="1058"/>
        <v>Heating No. 2</v>
      </c>
      <c r="B213" s="9" t="str">
        <f>VLOOKUP($A213,Types!$A$2:$C$13,2,FALSE)</f>
        <v>DSH</v>
      </c>
      <c r="C213" s="9">
        <v>5</v>
      </c>
      <c r="D213" s="9">
        <v>4</v>
      </c>
      <c r="E213" s="9" t="str">
        <f t="shared" si="989"/>
        <v>IMPDSHP45</v>
      </c>
      <c r="F213" s="9" t="str">
        <f>CONCATENATE("Imported ",VLOOKUP($A213,Types!$A$2:$C$13,3,FALSE),", PADD ",D213,", Step ",RIGHT(C213,1))</f>
        <v>Imported Distillate-Heating Oil No. 2, PADD 4, Step 5</v>
      </c>
      <c r="G213" s="9" t="str">
        <f>CONCATENATE(VLOOKUP($A213,Types!$A$2:$C$13,2,FALSE),"P",D213)</f>
        <v>DSHP4</v>
      </c>
      <c r="H213" s="66">
        <f>H209*$C$9</f>
        <v>76.519300000000001</v>
      </c>
      <c r="I213" s="66">
        <f t="shared" ref="I213:K213" si="1069">I209*$C$9</f>
        <v>58.372600000000006</v>
      </c>
      <c r="J213" s="66">
        <f t="shared" si="1069"/>
        <v>45.747</v>
      </c>
      <c r="K213" s="66">
        <f t="shared" si="1069"/>
        <v>48.646000000000001</v>
      </c>
      <c r="L213" s="67">
        <f>H213*Conv!$J$20/10^6/VLOOKUP($B213,Types!$B$2:$D$13,3,FALSE)/Conv!$I$5</f>
        <v>19.105699553193965</v>
      </c>
      <c r="M213" s="67">
        <f>I213*Conv!$J$20/10^6/VLOOKUP($B213,Types!$B$2:$D$13,3,FALSE)/Conv!$I$5</f>
        <v>14.574745949567887</v>
      </c>
      <c r="N213" s="67" t="e">
        <f>M213*#REF!</f>
        <v>#REF!</v>
      </c>
      <c r="O213" s="67" t="e">
        <f>N213*#REF!</f>
        <v>#REF!</v>
      </c>
      <c r="P213" s="67" t="e">
        <f>O213*#REF!</f>
        <v>#REF!</v>
      </c>
      <c r="Q213" s="67" t="e">
        <f>P213*#REF!</f>
        <v>#REF!</v>
      </c>
      <c r="R213" s="67" t="e">
        <f>Q213*#REF!</f>
        <v>#REF!</v>
      </c>
      <c r="S213" s="67" t="e">
        <f>R213*#REF!</f>
        <v>#REF!</v>
      </c>
      <c r="T213" s="67" t="e">
        <f>S213*#REF!</f>
        <v>#REF!</v>
      </c>
      <c r="U213" s="67" t="e">
        <f>T213*#REF!</f>
        <v>#REF!</v>
      </c>
      <c r="V213" s="67" t="e">
        <f>U213*#REF!</f>
        <v>#REF!</v>
      </c>
      <c r="W213" s="42"/>
      <c r="X213" s="9">
        <f>X209*$E$9</f>
        <v>2.68</v>
      </c>
      <c r="Y213" s="9">
        <f t="shared" ref="Y213:AA213" si="1070">Y209*$E$9</f>
        <v>1.74</v>
      </c>
      <c r="Z213" s="9">
        <f t="shared" si="1070"/>
        <v>1.92</v>
      </c>
      <c r="AA213" s="9">
        <f t="shared" si="1070"/>
        <v>2.12</v>
      </c>
      <c r="AB213" s="42">
        <f>X213*VLOOKUP($B213,Types!$B$2:$D$13,3,FALSE)*Conv!$I$5*1000*365</f>
        <v>6.0117249138399993</v>
      </c>
      <c r="AC213" s="42">
        <f>Y213*VLOOKUP($B213,Types!$B$2:$D$13,3,FALSE)*Conv!$I$5*1000*365</f>
        <v>3.9031348321199997</v>
      </c>
      <c r="AD213" s="42">
        <f>Z213*VLOOKUP($B213,Types!$B$2:$D$13,3,FALSE)*Conv!$I$5*1000*365</f>
        <v>4.3069074009599992</v>
      </c>
      <c r="AE213" s="42">
        <f>AA213*VLOOKUP($B213,Types!$B$2:$D$13,3,FALSE)*Conv!$I$5*1000*365</f>
        <v>4.7555435885599993</v>
      </c>
      <c r="AF213" s="42">
        <f>AB213-AB212</f>
        <v>2.4046899655359995</v>
      </c>
      <c r="AG213" s="42">
        <f t="shared" ref="AG213" si="1071">AC213-AC212</f>
        <v>1.5612539328479995</v>
      </c>
      <c r="AH213" s="42">
        <f t="shared" ref="AH213" si="1072">AD213-AD212</f>
        <v>1.7227629603839993</v>
      </c>
      <c r="AI213" s="42">
        <f t="shared" ref="AI213" si="1073">AE213-AE212</f>
        <v>1.9022174354239989</v>
      </c>
      <c r="AJ213" s="42"/>
      <c r="AK213" s="42"/>
      <c r="AL213" s="42"/>
    </row>
    <row r="214" spans="1:38">
      <c r="A214" s="9" t="str">
        <f>'Agg prdcrv'!$A$9</f>
        <v>LS Diesel (500 ppm)</v>
      </c>
      <c r="B214" s="9" t="str">
        <f>VLOOKUP($A214,Types!$A$2:$C$13,2,FALSE)</f>
        <v>DSL</v>
      </c>
      <c r="C214" s="9">
        <v>3</v>
      </c>
      <c r="D214" s="9">
        <v>4</v>
      </c>
      <c r="E214" s="9" t="str">
        <f t="shared" si="989"/>
        <v>IMPDSLP43</v>
      </c>
      <c r="F214" s="9" t="str">
        <f>CONCATENATE("Imported ",VLOOKUP($A214,Types!$A$2:$C$13,3,FALSE),", PADD ",D214,", Step ",RIGHT(C214,1))</f>
        <v>Imported Distillate-Low Sulfur Highway Diesel (500 ppm), PADD 4, Step 3</v>
      </c>
      <c r="G214" s="9" t="str">
        <f>CONCATENATE(VLOOKUP($A214,Types!$A$2:$C$13,2,FALSE),"P",D214)</f>
        <v>DSLP4</v>
      </c>
      <c r="H214" s="66">
        <f>SUMIFS('Agg prdcrv'!$O$6:$O$100,'Agg prdcrv'!$A$6:$A$100,'Imp Refined'!$A214,'Agg prdcrv'!$B$6:$B$100,H$11)*K4</f>
        <v>67.463000000000008</v>
      </c>
      <c r="I214" s="66">
        <f>SUMIFS('Agg prdcrv'!$O$6:$O$100,'Agg prdcrv'!$A$6:$A$100,'Imp Refined'!$A214,'Agg prdcrv'!$B$6:$B$100,I$11)*K4</f>
        <v>50.754000000000005</v>
      </c>
      <c r="J214" s="66">
        <f t="array" ref="J214">SUMIFS('Agg prdcrv'!$O$6:$O$100,'Agg prdcrv'!$A$6:$A$100,'Imp Refined'!$A214,'Agg prdcrv'!$B$6:$B$100,J$11)</f>
        <v>113.5</v>
      </c>
      <c r="K214" s="66">
        <f t="array" ref="K214">SUMIFS('Agg prdcrv'!$O$6:$O$100,'Agg prdcrv'!$A$6:$A$100,'Imp Refined'!$A214,'Agg prdcrv'!$B$6:$B$100,K$11)</f>
        <v>113.5</v>
      </c>
      <c r="L214" s="67">
        <f>H214*Conv!$J$20/10^6/VLOOKUP($B214,Types!$B$2:$D$13,3,FALSE)/Conv!$I$5</f>
        <v>16.844479875758459</v>
      </c>
      <c r="M214" s="67">
        <f>I214*Conv!$J$20/10^6/VLOOKUP($B214,Types!$B$2:$D$13,3,FALSE)/Conv!$I$5</f>
        <v>12.672497985773608</v>
      </c>
      <c r="N214" s="67" t="e">
        <f>M214*#REF!</f>
        <v>#REF!</v>
      </c>
      <c r="O214" s="67" t="e">
        <f>N214*#REF!</f>
        <v>#REF!</v>
      </c>
      <c r="P214" s="67" t="e">
        <f>O214*#REF!</f>
        <v>#REF!</v>
      </c>
      <c r="Q214" s="67" t="e">
        <f>P214*#REF!</f>
        <v>#REF!</v>
      </c>
      <c r="R214" s="67" t="e">
        <f>Q214*#REF!</f>
        <v>#REF!</v>
      </c>
      <c r="S214" s="67" t="e">
        <f>R214*#REF!</f>
        <v>#REF!</v>
      </c>
      <c r="T214" s="67" t="e">
        <f>S214*#REF!</f>
        <v>#REF!</v>
      </c>
      <c r="U214" s="67" t="e">
        <f>T214*#REF!</f>
        <v>#REF!</v>
      </c>
      <c r="V214" s="67" t="e">
        <f>U214*#REF!</f>
        <v>#REF!</v>
      </c>
      <c r="W214" s="42"/>
      <c r="X214" s="9">
        <f t="array" ref="X214">SUMIFS('Agg prdcrv'!$G$6:$G$100,'Agg prdcrv'!$A$6:$A$100,'Imp Refined'!$A214,'Agg prdcrv'!$B$6:$B$100,X$11)</f>
        <v>9.3699999999999992</v>
      </c>
      <c r="Y214" s="9">
        <f t="array" ref="Y214">SUMIFS('Agg prdcrv'!$G$6:$G$100,'Agg prdcrv'!$A$6:$A$100,'Imp Refined'!$A214,'Agg prdcrv'!$B$6:$B$100,Y$11)</f>
        <v>2.13</v>
      </c>
      <c r="Z214" s="9">
        <f t="array" ref="Z214">SUMIFS('Agg prdcrv'!$G$6:$G$100,'Agg prdcrv'!$A$6:$A$100,'Imp Refined'!$A214,'Agg prdcrv'!$B$6:$B$100,Z$11)</f>
        <v>0.5</v>
      </c>
      <c r="AA214" s="9">
        <f t="array" ref="AA214">SUMIFS('Agg prdcrv'!$G$6:$G$100,'Agg prdcrv'!$A$6:$A$100,'Imp Refined'!$A214,'Agg prdcrv'!$B$6:$B$100,AA$11)</f>
        <v>0.12</v>
      </c>
      <c r="AB214" s="42">
        <f>X214*VLOOKUP($B214,Types!$B$2:$D$13,3,FALSE)*Conv!$I$5*1000*365</f>
        <v>21.018605389059999</v>
      </c>
      <c r="AC214" s="42">
        <f>Y214*VLOOKUP($B214,Types!$B$2:$D$13,3,FALSE)*Conv!$I$5*1000*365</f>
        <v>4.7779753979399997</v>
      </c>
      <c r="AD214" s="42">
        <f>Z214*VLOOKUP($B214,Types!$B$2:$D$13,3,FALSE)*Conv!$I$5*1000*365</f>
        <v>1.1215904689999998</v>
      </c>
      <c r="AE214" s="42">
        <f>AA214*VLOOKUP($B214,Types!$B$2:$D$13,3,FALSE)*Conv!$I$5*1000*365</f>
        <v>0.26918171255999995</v>
      </c>
      <c r="AF214" s="42">
        <f>AB214-AB216</f>
        <v>2.1018605389060028</v>
      </c>
      <c r="AG214" s="42">
        <f t="shared" ref="AG214" si="1074">AC214-AC216</f>
        <v>0.47779753979400041</v>
      </c>
      <c r="AH214" s="42">
        <f t="shared" ref="AH214" si="1075">AD214-AD216</f>
        <v>0.11215904689999978</v>
      </c>
      <c r="AI214" s="42">
        <f t="shared" ref="AI214" si="1076">AE214-AE216</f>
        <v>2.691817125599999E-2</v>
      </c>
      <c r="AJ214" s="42"/>
      <c r="AK214" s="42"/>
      <c r="AL214" s="42"/>
    </row>
    <row r="215" spans="1:38">
      <c r="A215" s="9" t="str">
        <f>A214</f>
        <v>LS Diesel (500 ppm)</v>
      </c>
      <c r="B215" s="9" t="str">
        <f>VLOOKUP($A215,Types!$A$2:$C$13,2,FALSE)</f>
        <v>DSL</v>
      </c>
      <c r="C215" s="9">
        <v>1</v>
      </c>
      <c r="D215" s="9">
        <v>4</v>
      </c>
      <c r="E215" s="9" t="str">
        <f t="shared" si="989"/>
        <v>IMPDSLP41</v>
      </c>
      <c r="F215" s="9" t="str">
        <f>CONCATENATE("Imported ",VLOOKUP($A215,Types!$A$2:$C$13,3,FALSE),", PADD ",D215,", Step ",RIGHT(C215,1))</f>
        <v>Imported Distillate-Low Sulfur Highway Diesel (500 ppm), PADD 4, Step 1</v>
      </c>
      <c r="G215" s="9" t="str">
        <f>CONCATENATE(VLOOKUP($A215,Types!$A$2:$C$13,2,FALSE),"P",D215)</f>
        <v>DSLP4</v>
      </c>
      <c r="H215" s="66">
        <f>H214*$C$5</f>
        <v>64.089849999999998</v>
      </c>
      <c r="I215" s="66">
        <f t="shared" ref="I215" si="1077">I214*$C$5</f>
        <v>48.216300000000004</v>
      </c>
      <c r="J215" s="66">
        <f t="shared" ref="J215" si="1078">J214*$C$5</f>
        <v>107.82499999999999</v>
      </c>
      <c r="K215" s="66">
        <f t="shared" ref="K215" si="1079">K214*$C$5</f>
        <v>107.82499999999999</v>
      </c>
      <c r="L215" s="67">
        <f>H215*Conv!$J$20/10^6/VLOOKUP($B215,Types!$B$2:$D$13,3,FALSE)/Conv!$I$5</f>
        <v>16.002255881970537</v>
      </c>
      <c r="M215" s="67">
        <f>I215*Conv!$J$20/10^6/VLOOKUP($B215,Types!$B$2:$D$13,3,FALSE)/Conv!$I$5</f>
        <v>12.038873086484926</v>
      </c>
      <c r="N215" s="67" t="e">
        <f>M215*#REF!</f>
        <v>#REF!</v>
      </c>
      <c r="O215" s="67" t="e">
        <f>N215*#REF!</f>
        <v>#REF!</v>
      </c>
      <c r="P215" s="67" t="e">
        <f>O215*#REF!</f>
        <v>#REF!</v>
      </c>
      <c r="Q215" s="67" t="e">
        <f>P215*#REF!</f>
        <v>#REF!</v>
      </c>
      <c r="R215" s="67" t="e">
        <f>Q215*#REF!</f>
        <v>#REF!</v>
      </c>
      <c r="S215" s="67" t="e">
        <f>R215*#REF!</f>
        <v>#REF!</v>
      </c>
      <c r="T215" s="67" t="e">
        <f>S215*#REF!</f>
        <v>#REF!</v>
      </c>
      <c r="U215" s="67" t="e">
        <f>T215*#REF!</f>
        <v>#REF!</v>
      </c>
      <c r="V215" s="67" t="e">
        <f>U215*#REF!</f>
        <v>#REF!</v>
      </c>
      <c r="W215" s="42"/>
      <c r="X215" s="9">
        <f>X214*$E$5</f>
        <v>7.4959999999999996</v>
      </c>
      <c r="Y215" s="9">
        <f t="shared" ref="Y215" si="1080">Y214*$E$5</f>
        <v>1.704</v>
      </c>
      <c r="Z215" s="9">
        <f t="shared" ref="Z215" si="1081">Z214*$E$5</f>
        <v>0.4</v>
      </c>
      <c r="AA215" s="9">
        <f t="shared" ref="AA215" si="1082">AA214*$E$5</f>
        <v>9.6000000000000002E-2</v>
      </c>
      <c r="AB215" s="42">
        <f>X215*VLOOKUP($B215,Types!$B$2:$D$13,3,FALSE)*Conv!$I$5*1000*365</f>
        <v>16.814884311247997</v>
      </c>
      <c r="AC215" s="42">
        <f>Y215*VLOOKUP($B215,Types!$B$2:$D$13,3,FALSE)*Conv!$I$5*1000*365</f>
        <v>3.8223803183519998</v>
      </c>
      <c r="AD215" s="42">
        <f>Z215*VLOOKUP($B215,Types!$B$2:$D$13,3,FALSE)*Conv!$I$5*1000*365</f>
        <v>0.89727237519999981</v>
      </c>
      <c r="AE215" s="42">
        <f>AA215*VLOOKUP($B215,Types!$B$2:$D$13,3,FALSE)*Conv!$I$5*1000*365</f>
        <v>0.21534537004799997</v>
      </c>
      <c r="AF215" s="42">
        <f>AB215</f>
        <v>16.814884311247997</v>
      </c>
      <c r="AG215" s="42">
        <f t="shared" ref="AG215" si="1083">AC215</f>
        <v>3.8223803183519998</v>
      </c>
      <c r="AH215" s="42">
        <f t="shared" ref="AH215" si="1084">AD215</f>
        <v>0.89727237519999981</v>
      </c>
      <c r="AI215" s="42">
        <f t="shared" ref="AI215" si="1085">AE215</f>
        <v>0.21534537004799997</v>
      </c>
      <c r="AJ215" s="42"/>
      <c r="AK215" s="42"/>
      <c r="AL215" s="42"/>
    </row>
    <row r="216" spans="1:38">
      <c r="A216" s="9" t="str">
        <f t="shared" ref="A216:A218" si="1086">A215</f>
        <v>LS Diesel (500 ppm)</v>
      </c>
      <c r="B216" s="9" t="str">
        <f>VLOOKUP($A216,Types!$A$2:$C$13,2,FALSE)</f>
        <v>DSL</v>
      </c>
      <c r="C216" s="9">
        <v>2</v>
      </c>
      <c r="D216" s="9">
        <v>4</v>
      </c>
      <c r="E216" s="9" t="str">
        <f t="shared" si="989"/>
        <v>IMPDSLP42</v>
      </c>
      <c r="F216" s="9" t="str">
        <f>CONCATENATE("Imported ",VLOOKUP($A216,Types!$A$2:$C$13,3,FALSE),", PADD ",D216,", Step ",RIGHT(C216,1))</f>
        <v>Imported Distillate-Low Sulfur Highway Diesel (500 ppm), PADD 4, Step 2</v>
      </c>
      <c r="G216" s="9" t="str">
        <f>CONCATENATE(VLOOKUP($A216,Types!$A$2:$C$13,2,FALSE),"P",D216)</f>
        <v>DSLP4</v>
      </c>
      <c r="H216" s="66">
        <f>H214*$C$6</f>
        <v>66.113740000000007</v>
      </c>
      <c r="I216" s="66">
        <f t="shared" ref="I216:K216" si="1087">I214*$C$6</f>
        <v>49.738920000000007</v>
      </c>
      <c r="J216" s="66">
        <f t="shared" si="1087"/>
        <v>111.23</v>
      </c>
      <c r="K216" s="66">
        <f t="shared" si="1087"/>
        <v>111.23</v>
      </c>
      <c r="L216" s="67">
        <f>H216*Conv!$J$20/10^6/VLOOKUP($B216,Types!$B$2:$D$13,3,FALSE)/Conv!$I$5</f>
        <v>16.507590278243296</v>
      </c>
      <c r="M216" s="67">
        <f>I216*Conv!$J$20/10^6/VLOOKUP($B216,Types!$B$2:$D$13,3,FALSE)/Conv!$I$5</f>
        <v>12.419048026058137</v>
      </c>
      <c r="N216" s="67" t="e">
        <f>M216*#REF!</f>
        <v>#REF!</v>
      </c>
      <c r="O216" s="67" t="e">
        <f>N216*#REF!</f>
        <v>#REF!</v>
      </c>
      <c r="P216" s="67" t="e">
        <f>O216*#REF!</f>
        <v>#REF!</v>
      </c>
      <c r="Q216" s="67" t="e">
        <f>P216*#REF!</f>
        <v>#REF!</v>
      </c>
      <c r="R216" s="67" t="e">
        <f>Q216*#REF!</f>
        <v>#REF!</v>
      </c>
      <c r="S216" s="67" t="e">
        <f>R216*#REF!</f>
        <v>#REF!</v>
      </c>
      <c r="T216" s="67" t="e">
        <f>S216*#REF!</f>
        <v>#REF!</v>
      </c>
      <c r="U216" s="67" t="e">
        <f>T216*#REF!</f>
        <v>#REF!</v>
      </c>
      <c r="V216" s="67" t="e">
        <f>U216*#REF!</f>
        <v>#REF!</v>
      </c>
      <c r="W216" s="42"/>
      <c r="X216" s="9">
        <f>X214*$E$6</f>
        <v>8.4329999999999998</v>
      </c>
      <c r="Y216" s="9">
        <f t="shared" ref="Y216:AA216" si="1088">Y214*$E$6</f>
        <v>1.917</v>
      </c>
      <c r="Z216" s="9">
        <f t="shared" si="1088"/>
        <v>0.45</v>
      </c>
      <c r="AA216" s="9">
        <f t="shared" si="1088"/>
        <v>0.108</v>
      </c>
      <c r="AB216" s="42">
        <f>X216*VLOOKUP($B216,Types!$B$2:$D$13,3,FALSE)*Conv!$I$5*1000*365</f>
        <v>18.916744850153997</v>
      </c>
      <c r="AC216" s="42">
        <f>Y216*VLOOKUP($B216,Types!$B$2:$D$13,3,FALSE)*Conv!$I$5*1000*365</f>
        <v>4.3001778581459993</v>
      </c>
      <c r="AD216" s="42">
        <f>Z216*VLOOKUP($B216,Types!$B$2:$D$13,3,FALSE)*Conv!$I$5*1000*365</f>
        <v>1.0094314221</v>
      </c>
      <c r="AE216" s="42">
        <f>AA216*VLOOKUP($B216,Types!$B$2:$D$13,3,FALSE)*Conv!$I$5*1000*365</f>
        <v>0.24226354130399996</v>
      </c>
      <c r="AF216" s="42">
        <f>AB216-AF215</f>
        <v>2.1018605389059992</v>
      </c>
      <c r="AG216" s="42">
        <f t="shared" ref="AG216" si="1089">AC216-AG215</f>
        <v>0.47779753979399953</v>
      </c>
      <c r="AH216" s="42">
        <f t="shared" ref="AH216" si="1090">AD216-AH215</f>
        <v>0.11215904690000023</v>
      </c>
      <c r="AI216" s="42">
        <f t="shared" ref="AI216" si="1091">AE216-AI215</f>
        <v>2.691817125599999E-2</v>
      </c>
      <c r="AJ216" s="42"/>
      <c r="AK216" s="42"/>
      <c r="AL216" s="42"/>
    </row>
    <row r="217" spans="1:38">
      <c r="A217" s="9" t="str">
        <f t="shared" si="1086"/>
        <v>LS Diesel (500 ppm)</v>
      </c>
      <c r="B217" s="9" t="str">
        <f>VLOOKUP($A217,Types!$A$2:$C$13,2,FALSE)</f>
        <v>DSL</v>
      </c>
      <c r="C217" s="9">
        <v>4</v>
      </c>
      <c r="D217" s="9">
        <v>4</v>
      </c>
      <c r="E217" s="9" t="str">
        <f t="shared" si="989"/>
        <v>IMPDSLP44</v>
      </c>
      <c r="F217" s="9" t="str">
        <f>CONCATENATE("Imported ",VLOOKUP($A217,Types!$A$2:$C$13,3,FALSE),", PADD ",D217,", Step ",RIGHT(C217,1))</f>
        <v>Imported Distillate-Low Sulfur Highway Diesel (500 ppm), PADD 4, Step 4</v>
      </c>
      <c r="G217" s="9" t="str">
        <f>CONCATENATE(VLOOKUP($A217,Types!$A$2:$C$13,2,FALSE),"P",D217)</f>
        <v>DSLP4</v>
      </c>
      <c r="H217" s="66">
        <f>H214*$C$8</f>
        <v>73.53467000000002</v>
      </c>
      <c r="I217" s="66">
        <f t="shared" ref="I217:K217" si="1092">I214*$C$8</f>
        <v>55.321860000000008</v>
      </c>
      <c r="J217" s="66">
        <f t="shared" si="1092"/>
        <v>123.715</v>
      </c>
      <c r="K217" s="66">
        <f t="shared" si="1092"/>
        <v>123.715</v>
      </c>
      <c r="L217" s="67">
        <f>H217*Conv!$J$20/10^6/VLOOKUP($B217,Types!$B$2:$D$13,3,FALSE)/Conv!$I$5</f>
        <v>18.360483064576727</v>
      </c>
      <c r="M217" s="67">
        <f>I217*Conv!$J$20/10^6/VLOOKUP($B217,Types!$B$2:$D$13,3,FALSE)/Conv!$I$5</f>
        <v>13.813022804493235</v>
      </c>
      <c r="N217" s="67" t="e">
        <f>M217*#REF!</f>
        <v>#REF!</v>
      </c>
      <c r="O217" s="67" t="e">
        <f>N217*#REF!</f>
        <v>#REF!</v>
      </c>
      <c r="P217" s="67" t="e">
        <f>O217*#REF!</f>
        <v>#REF!</v>
      </c>
      <c r="Q217" s="67" t="e">
        <f>P217*#REF!</f>
        <v>#REF!</v>
      </c>
      <c r="R217" s="67" t="e">
        <f>Q217*#REF!</f>
        <v>#REF!</v>
      </c>
      <c r="S217" s="67" t="e">
        <f>R217*#REF!</f>
        <v>#REF!</v>
      </c>
      <c r="T217" s="67" t="e">
        <f>S217*#REF!</f>
        <v>#REF!</v>
      </c>
      <c r="U217" s="67" t="e">
        <f>T217*#REF!</f>
        <v>#REF!</v>
      </c>
      <c r="V217" s="67" t="e">
        <f>U217*#REF!</f>
        <v>#REF!</v>
      </c>
      <c r="W217" s="42"/>
      <c r="X217" s="9">
        <f>X214*$E$8</f>
        <v>11.243999999999998</v>
      </c>
      <c r="Y217" s="9">
        <f t="shared" ref="Y217:AA217" si="1093">Y214*$E$8</f>
        <v>2.5559999999999996</v>
      </c>
      <c r="Z217" s="9">
        <f t="shared" si="1093"/>
        <v>0.6</v>
      </c>
      <c r="AA217" s="9">
        <f t="shared" si="1093"/>
        <v>0.14399999999999999</v>
      </c>
      <c r="AB217" s="42">
        <f>X217*VLOOKUP($B217,Types!$B$2:$D$13,3,FALSE)*Conv!$I$5*1000*365</f>
        <v>25.222326466871998</v>
      </c>
      <c r="AC217" s="42">
        <f>Y217*VLOOKUP($B217,Types!$B$2:$D$13,3,FALSE)*Conv!$I$5*1000*365</f>
        <v>5.7335704775279988</v>
      </c>
      <c r="AD217" s="42">
        <f>Z217*VLOOKUP($B217,Types!$B$2:$D$13,3,FALSE)*Conv!$I$5*1000*365</f>
        <v>1.3459085628</v>
      </c>
      <c r="AE217" s="42">
        <f>AA217*VLOOKUP($B217,Types!$B$2:$D$13,3,FALSE)*Conv!$I$5*1000*365</f>
        <v>0.32301805507199999</v>
      </c>
      <c r="AF217" s="42">
        <f>AB217-AB214</f>
        <v>4.2037210778119984</v>
      </c>
      <c r="AG217" s="42">
        <f t="shared" ref="AG217" si="1094">AC217-AC214</f>
        <v>0.95559507958799905</v>
      </c>
      <c r="AH217" s="42">
        <f t="shared" ref="AH217" si="1095">AD217-AD214</f>
        <v>0.22431809380000023</v>
      </c>
      <c r="AI217" s="42">
        <f t="shared" ref="AI217" si="1096">AE217-AE214</f>
        <v>5.3836342512000035E-2</v>
      </c>
      <c r="AJ217" s="42"/>
      <c r="AK217" s="42"/>
      <c r="AL217" s="42"/>
    </row>
    <row r="218" spans="1:38">
      <c r="A218" s="9" t="str">
        <f t="shared" si="1086"/>
        <v>LS Diesel (500 ppm)</v>
      </c>
      <c r="B218" s="9" t="str">
        <f>VLOOKUP($A218,Types!$A$2:$C$13,2,FALSE)</f>
        <v>DSL</v>
      </c>
      <c r="C218" s="9">
        <v>5</v>
      </c>
      <c r="D218" s="9">
        <v>4</v>
      </c>
      <c r="E218" s="9" t="str">
        <f t="shared" si="989"/>
        <v>IMPDSLP45</v>
      </c>
      <c r="F218" s="9" t="str">
        <f>CONCATENATE("Imported ",VLOOKUP($A218,Types!$A$2:$C$13,3,FALSE),", PADD ",D218,", Step ",RIGHT(C218,1))</f>
        <v>Imported Distillate-Low Sulfur Highway Diesel (500 ppm), PADD 4, Step 5</v>
      </c>
      <c r="G218" s="9" t="str">
        <f>CONCATENATE(VLOOKUP($A218,Types!$A$2:$C$13,2,FALSE),"P",D218)</f>
        <v>DSLP4</v>
      </c>
      <c r="H218" s="66">
        <f>H214*$C$9</f>
        <v>87.701900000000009</v>
      </c>
      <c r="I218" s="66">
        <f t="shared" ref="I218:K218" si="1097">I214*$C$9</f>
        <v>65.980200000000011</v>
      </c>
      <c r="J218" s="66">
        <f t="shared" si="1097"/>
        <v>147.55000000000001</v>
      </c>
      <c r="K218" s="66">
        <f t="shared" si="1097"/>
        <v>147.55000000000001</v>
      </c>
      <c r="L218" s="67">
        <f>H218*Conv!$J$20/10^6/VLOOKUP($B218,Types!$B$2:$D$13,3,FALSE)/Conv!$I$5</f>
        <v>21.897823838485998</v>
      </c>
      <c r="M218" s="67">
        <f>I218*Conv!$J$20/10^6/VLOOKUP($B218,Types!$B$2:$D$13,3,FALSE)/Conv!$I$5</f>
        <v>16.474247381505691</v>
      </c>
      <c r="N218" s="67" t="e">
        <f>M218*#REF!</f>
        <v>#REF!</v>
      </c>
      <c r="O218" s="67" t="e">
        <f>N218*#REF!</f>
        <v>#REF!</v>
      </c>
      <c r="P218" s="67" t="e">
        <f>O218*#REF!</f>
        <v>#REF!</v>
      </c>
      <c r="Q218" s="67" t="e">
        <f>P218*#REF!</f>
        <v>#REF!</v>
      </c>
      <c r="R218" s="67" t="e">
        <f>Q218*#REF!</f>
        <v>#REF!</v>
      </c>
      <c r="S218" s="67" t="e">
        <f>R218*#REF!</f>
        <v>#REF!</v>
      </c>
      <c r="T218" s="67" t="e">
        <f>S218*#REF!</f>
        <v>#REF!</v>
      </c>
      <c r="U218" s="67" t="e">
        <f>T218*#REF!</f>
        <v>#REF!</v>
      </c>
      <c r="V218" s="67" t="e">
        <f>U218*#REF!</f>
        <v>#REF!</v>
      </c>
      <c r="W218" s="42"/>
      <c r="X218" s="9">
        <f>X214*$E$9</f>
        <v>18.739999999999998</v>
      </c>
      <c r="Y218" s="9">
        <f t="shared" ref="Y218:AA218" si="1098">Y214*$E$9</f>
        <v>4.26</v>
      </c>
      <c r="Z218" s="9">
        <f t="shared" si="1098"/>
        <v>1</v>
      </c>
      <c r="AA218" s="9">
        <f t="shared" si="1098"/>
        <v>0.24</v>
      </c>
      <c r="AB218" s="42">
        <f>X218*VLOOKUP($B218,Types!$B$2:$D$13,3,FALSE)*Conv!$I$5*1000*365</f>
        <v>42.037210778119999</v>
      </c>
      <c r="AC218" s="42">
        <f>Y218*VLOOKUP($B218,Types!$B$2:$D$13,3,FALSE)*Conv!$I$5*1000*365</f>
        <v>9.5559507958799994</v>
      </c>
      <c r="AD218" s="42">
        <f>Z218*VLOOKUP($B218,Types!$B$2:$D$13,3,FALSE)*Conv!$I$5*1000*365</f>
        <v>2.2431809379999996</v>
      </c>
      <c r="AE218" s="42">
        <f>AA218*VLOOKUP($B218,Types!$B$2:$D$13,3,FALSE)*Conv!$I$5*1000*365</f>
        <v>0.53836342511999991</v>
      </c>
      <c r="AF218" s="42">
        <f>AB218-AB217</f>
        <v>16.814884311248001</v>
      </c>
      <c r="AG218" s="42">
        <f t="shared" ref="AG218" si="1099">AC218-AC217</f>
        <v>3.8223803183520006</v>
      </c>
      <c r="AH218" s="42">
        <f t="shared" ref="AH218" si="1100">AD218-AD217</f>
        <v>0.89727237519999958</v>
      </c>
      <c r="AI218" s="42">
        <f t="shared" ref="AI218" si="1101">AE218-AE217</f>
        <v>0.21534537004799992</v>
      </c>
      <c r="AJ218" s="42"/>
      <c r="AK218" s="42"/>
      <c r="AL218" s="42"/>
    </row>
    <row r="219" spans="1:38">
      <c r="A219" s="9" t="str">
        <f>'Agg prdcrv'!$A$10</f>
        <v>Low Sulfur Fuel Oil</v>
      </c>
      <c r="B219" s="9" t="str">
        <f>VLOOKUP($A219,Types!$A$2:$C$13,2,FALSE)</f>
        <v>RFL</v>
      </c>
      <c r="C219" s="9">
        <v>3</v>
      </c>
      <c r="D219" s="9">
        <v>4</v>
      </c>
      <c r="E219" s="9" t="str">
        <f t="shared" si="989"/>
        <v>IMPRFLP43</v>
      </c>
      <c r="F219" s="9" t="str">
        <f>CONCATENATE("Imported ",VLOOKUP($A219,Types!$A$2:$C$13,3,FALSE),", PADD ",D219,", Step ",RIGHT(C219,1))</f>
        <v>Imported Low Sulfur Residual Fuel Oil, PADD 4, Step 3</v>
      </c>
      <c r="G219" s="9" t="str">
        <f>CONCATENATE(VLOOKUP($A219,Types!$A$2:$C$13,2,FALSE),"P",D219)</f>
        <v>RFLP4</v>
      </c>
      <c r="H219" s="66">
        <f>SUMIFS('Agg prdcrv'!$O$6:$O$100,'Agg prdcrv'!$A$6:$A$100,'Imp Refined'!$A219,'Agg prdcrv'!$B$6:$B$100,H$11)*K4</f>
        <v>42.273000000000003</v>
      </c>
      <c r="I219" s="66">
        <f>SUMIFS('Agg prdcrv'!$O$6:$O$100,'Agg prdcrv'!$A$6:$A$100,'Imp Refined'!$A219,'Agg prdcrv'!$B$6:$B$100,I$11)*K4</f>
        <v>36.817</v>
      </c>
      <c r="J219" s="66">
        <f t="array" ref="J219">SUMIFS('Agg prdcrv'!$O$6:$O$100,'Agg prdcrv'!$A$6:$A$100,'Imp Refined'!$A219,'Agg prdcrv'!$B$6:$B$100,J$11)</f>
        <v>28.46</v>
      </c>
      <c r="K219" s="66">
        <f t="array" ref="K219">SUMIFS('Agg prdcrv'!$O$6:$O$100,'Agg prdcrv'!$A$6:$A$100,'Imp Refined'!$A219,'Agg prdcrv'!$B$6:$B$100,K$11)</f>
        <v>31.37</v>
      </c>
      <c r="L219" s="67">
        <f>H219*Conv!$J$20/10^6/VLOOKUP($B219,Types!$B$2:$D$13,3,FALSE)/Conv!$I$5</f>
        <v>9.7792938141903605</v>
      </c>
      <c r="M219" s="67">
        <f>I219*Conv!$J$20/10^6/VLOOKUP($B219,Types!$B$2:$D$13,3,FALSE)/Conv!$I$5</f>
        <v>8.5171211022886126</v>
      </c>
      <c r="N219" s="67" t="e">
        <f>M219*#REF!</f>
        <v>#REF!</v>
      </c>
      <c r="O219" s="67" t="e">
        <f>N219*#REF!</f>
        <v>#REF!</v>
      </c>
      <c r="P219" s="67" t="e">
        <f>O219*#REF!</f>
        <v>#REF!</v>
      </c>
      <c r="Q219" s="67" t="e">
        <f>P219*#REF!</f>
        <v>#REF!</v>
      </c>
      <c r="R219" s="67" t="e">
        <f>Q219*#REF!</f>
        <v>#REF!</v>
      </c>
      <c r="S219" s="67" t="e">
        <f>R219*#REF!</f>
        <v>#REF!</v>
      </c>
      <c r="T219" s="67" t="e">
        <f>S219*#REF!</f>
        <v>#REF!</v>
      </c>
      <c r="U219" s="67" t="e">
        <f>T219*#REF!</f>
        <v>#REF!</v>
      </c>
      <c r="V219" s="67" t="e">
        <f>U219*#REF!</f>
        <v>#REF!</v>
      </c>
      <c r="W219" s="42"/>
      <c r="X219" s="9">
        <f t="array" ref="X219">SUMIFS('Agg prdcrv'!$G$6:$G$100,'Agg prdcrv'!$A$6:$A$100,'Imp Refined'!$A219,'Agg prdcrv'!$B$6:$B$100,X$11)</f>
        <v>0</v>
      </c>
      <c r="Y219" s="9">
        <f t="array" ref="Y219">SUMIFS('Agg prdcrv'!$G$6:$G$100,'Agg prdcrv'!$A$6:$A$100,'Imp Refined'!$A219,'Agg prdcrv'!$B$6:$B$100,Y$11)</f>
        <v>0</v>
      </c>
      <c r="Z219" s="9">
        <f t="array" ref="Z219">SUMIFS('Agg prdcrv'!$G$6:$G$100,'Agg prdcrv'!$A$6:$A$100,'Imp Refined'!$A219,'Agg prdcrv'!$B$6:$B$100,Z$11)</f>
        <v>0</v>
      </c>
      <c r="AA219" s="9">
        <f t="array" ref="AA219">SUMIFS('Agg prdcrv'!$G$6:$G$100,'Agg prdcrv'!$A$6:$A$100,'Imp Refined'!$A219,'Agg prdcrv'!$B$6:$B$100,AA$11)</f>
        <v>0</v>
      </c>
      <c r="AB219" s="42">
        <f>X219*VLOOKUP($B219,Types!$B$2:$D$13,3,FALSE)*Conv!$I$5*1000*365</f>
        <v>0</v>
      </c>
      <c r="AC219" s="42">
        <f>Y219*VLOOKUP($B219,Types!$B$2:$D$13,3,FALSE)*Conv!$I$5*1000*365</f>
        <v>0</v>
      </c>
      <c r="AD219" s="42">
        <f>Z219*VLOOKUP($B219,Types!$B$2:$D$13,3,FALSE)*Conv!$I$5*1000*365</f>
        <v>0</v>
      </c>
      <c r="AE219" s="42">
        <f>AA219*VLOOKUP($B219,Types!$B$2:$D$13,3,FALSE)*Conv!$I$5*1000*365</f>
        <v>0</v>
      </c>
      <c r="AF219" s="42">
        <f>AB219-AB221</f>
        <v>0</v>
      </c>
      <c r="AG219" s="42">
        <f t="shared" ref="AG219" si="1102">AC219-AC221</f>
        <v>0</v>
      </c>
      <c r="AH219" s="42">
        <f t="shared" ref="AH219" si="1103">AD219-AD221</f>
        <v>0</v>
      </c>
      <c r="AI219" s="42">
        <f t="shared" ref="AI219" si="1104">AE219-AE221</f>
        <v>0</v>
      </c>
      <c r="AJ219" s="42"/>
      <c r="AK219" s="42"/>
      <c r="AL219" s="42"/>
    </row>
    <row r="220" spans="1:38">
      <c r="A220" s="9" t="str">
        <f>A219</f>
        <v>Low Sulfur Fuel Oil</v>
      </c>
      <c r="B220" s="9" t="str">
        <f>VLOOKUP($A220,Types!$A$2:$C$13,2,FALSE)</f>
        <v>RFL</v>
      </c>
      <c r="C220" s="9">
        <v>1</v>
      </c>
      <c r="D220" s="9">
        <v>4</v>
      </c>
      <c r="E220" s="9" t="str">
        <f t="shared" si="989"/>
        <v>IMPRFLP41</v>
      </c>
      <c r="F220" s="9" t="str">
        <f>CONCATENATE("Imported ",VLOOKUP($A220,Types!$A$2:$C$13,3,FALSE),", PADD ",D220,", Step ",RIGHT(C220,1))</f>
        <v>Imported Low Sulfur Residual Fuel Oil, PADD 4, Step 1</v>
      </c>
      <c r="G220" s="9" t="str">
        <f>CONCATENATE(VLOOKUP($A220,Types!$A$2:$C$13,2,FALSE),"P",D220)</f>
        <v>RFLP4</v>
      </c>
      <c r="H220" s="66">
        <f>H219*$C$5</f>
        <v>40.159350000000003</v>
      </c>
      <c r="I220" s="66">
        <f t="shared" ref="I220" si="1105">I219*$C$5</f>
        <v>34.976149999999997</v>
      </c>
      <c r="J220" s="66">
        <f t="shared" ref="J220" si="1106">J219*$C$5</f>
        <v>27.036999999999999</v>
      </c>
      <c r="K220" s="66">
        <f t="shared" ref="K220" si="1107">K219*$C$5</f>
        <v>29.801500000000001</v>
      </c>
      <c r="L220" s="67">
        <f>H220*Conv!$J$20/10^6/VLOOKUP($B220,Types!$B$2:$D$13,3,FALSE)/Conv!$I$5</f>
        <v>9.2903291234808432</v>
      </c>
      <c r="M220" s="67">
        <f>I220*Conv!$J$20/10^6/VLOOKUP($B220,Types!$B$2:$D$13,3,FALSE)/Conv!$I$5</f>
        <v>8.0912650471741809</v>
      </c>
      <c r="N220" s="67" t="e">
        <f>M220*#REF!</f>
        <v>#REF!</v>
      </c>
      <c r="O220" s="67" t="e">
        <f>N220*#REF!</f>
        <v>#REF!</v>
      </c>
      <c r="P220" s="67" t="e">
        <f>O220*#REF!</f>
        <v>#REF!</v>
      </c>
      <c r="Q220" s="67" t="e">
        <f>P220*#REF!</f>
        <v>#REF!</v>
      </c>
      <c r="R220" s="67" t="e">
        <f>Q220*#REF!</f>
        <v>#REF!</v>
      </c>
      <c r="S220" s="67" t="e">
        <f>R220*#REF!</f>
        <v>#REF!</v>
      </c>
      <c r="T220" s="67" t="e">
        <f>S220*#REF!</f>
        <v>#REF!</v>
      </c>
      <c r="U220" s="67" t="e">
        <f>T220*#REF!</f>
        <v>#REF!</v>
      </c>
      <c r="V220" s="67" t="e">
        <f>U220*#REF!</f>
        <v>#REF!</v>
      </c>
      <c r="W220" s="42"/>
      <c r="X220" s="9">
        <f>X219*$E$5</f>
        <v>0</v>
      </c>
      <c r="Y220" s="9">
        <f t="shared" ref="Y220" si="1108">Y219*$E$5</f>
        <v>0</v>
      </c>
      <c r="Z220" s="9">
        <f t="shared" ref="Z220" si="1109">Z219*$E$5</f>
        <v>0</v>
      </c>
      <c r="AA220" s="9">
        <f t="shared" ref="AA220" si="1110">AA219*$E$5</f>
        <v>0</v>
      </c>
      <c r="AB220" s="42">
        <f>X220*VLOOKUP($B220,Types!$B$2:$D$13,3,FALSE)*Conv!$I$5*1000*365</f>
        <v>0</v>
      </c>
      <c r="AC220" s="42">
        <f>Y220*VLOOKUP($B220,Types!$B$2:$D$13,3,FALSE)*Conv!$I$5*1000*365</f>
        <v>0</v>
      </c>
      <c r="AD220" s="42">
        <f>Z220*VLOOKUP($B220,Types!$B$2:$D$13,3,FALSE)*Conv!$I$5*1000*365</f>
        <v>0</v>
      </c>
      <c r="AE220" s="42">
        <f>AA220*VLOOKUP($B220,Types!$B$2:$D$13,3,FALSE)*Conv!$I$5*1000*365</f>
        <v>0</v>
      </c>
      <c r="AF220" s="42">
        <f>AB220</f>
        <v>0</v>
      </c>
      <c r="AG220" s="42">
        <f t="shared" ref="AG220" si="1111">AC220</f>
        <v>0</v>
      </c>
      <c r="AH220" s="42">
        <f t="shared" ref="AH220" si="1112">AD220</f>
        <v>0</v>
      </c>
      <c r="AI220" s="42">
        <f t="shared" ref="AI220" si="1113">AE220</f>
        <v>0</v>
      </c>
      <c r="AJ220" s="42"/>
      <c r="AK220" s="42"/>
      <c r="AL220" s="42"/>
    </row>
    <row r="221" spans="1:38">
      <c r="A221" s="9" t="str">
        <f t="shared" ref="A221:A223" si="1114">A220</f>
        <v>Low Sulfur Fuel Oil</v>
      </c>
      <c r="B221" s="9" t="str">
        <f>VLOOKUP($A221,Types!$A$2:$C$13,2,FALSE)</f>
        <v>RFL</v>
      </c>
      <c r="C221" s="9">
        <v>2</v>
      </c>
      <c r="D221" s="9">
        <v>4</v>
      </c>
      <c r="E221" s="9" t="str">
        <f t="shared" si="989"/>
        <v>IMPRFLP42</v>
      </c>
      <c r="F221" s="9" t="str">
        <f>CONCATENATE("Imported ",VLOOKUP($A221,Types!$A$2:$C$13,3,FALSE),", PADD ",D221,", Step ",RIGHT(C221,1))</f>
        <v>Imported Low Sulfur Residual Fuel Oil, PADD 4, Step 2</v>
      </c>
      <c r="G221" s="9" t="str">
        <f>CONCATENATE(VLOOKUP($A221,Types!$A$2:$C$13,2,FALSE),"P",D221)</f>
        <v>RFLP4</v>
      </c>
      <c r="H221" s="66">
        <f>H219*$C$6</f>
        <v>41.42754</v>
      </c>
      <c r="I221" s="66">
        <f t="shared" ref="I221:K221" si="1115">I219*$C$6</f>
        <v>36.080660000000002</v>
      </c>
      <c r="J221" s="66">
        <f t="shared" si="1115"/>
        <v>27.890799999999999</v>
      </c>
      <c r="K221" s="66">
        <f t="shared" si="1115"/>
        <v>30.742599999999999</v>
      </c>
      <c r="L221" s="67">
        <f>H221*Conv!$J$20/10^6/VLOOKUP($B221,Types!$B$2:$D$13,3,FALSE)/Conv!$I$5</f>
        <v>9.5837079379065528</v>
      </c>
      <c r="M221" s="67">
        <f>I221*Conv!$J$20/10^6/VLOOKUP($B221,Types!$B$2:$D$13,3,FALSE)/Conv!$I$5</f>
        <v>8.3467786802428403</v>
      </c>
      <c r="N221" s="67" t="e">
        <f>M221*#REF!</f>
        <v>#REF!</v>
      </c>
      <c r="O221" s="67" t="e">
        <f>N221*#REF!</f>
        <v>#REF!</v>
      </c>
      <c r="P221" s="67" t="e">
        <f>O221*#REF!</f>
        <v>#REF!</v>
      </c>
      <c r="Q221" s="67" t="e">
        <f>P221*#REF!</f>
        <v>#REF!</v>
      </c>
      <c r="R221" s="67" t="e">
        <f>Q221*#REF!</f>
        <v>#REF!</v>
      </c>
      <c r="S221" s="67" t="e">
        <f>R221*#REF!</f>
        <v>#REF!</v>
      </c>
      <c r="T221" s="67" t="e">
        <f>S221*#REF!</f>
        <v>#REF!</v>
      </c>
      <c r="U221" s="67" t="e">
        <f>T221*#REF!</f>
        <v>#REF!</v>
      </c>
      <c r="V221" s="67" t="e">
        <f>U221*#REF!</f>
        <v>#REF!</v>
      </c>
      <c r="W221" s="42"/>
      <c r="X221" s="9">
        <f>X219*$E$6</f>
        <v>0</v>
      </c>
      <c r="Y221" s="9">
        <f t="shared" ref="Y221:AA221" si="1116">Y219*$E$6</f>
        <v>0</v>
      </c>
      <c r="Z221" s="9">
        <f t="shared" si="1116"/>
        <v>0</v>
      </c>
      <c r="AA221" s="9">
        <f t="shared" si="1116"/>
        <v>0</v>
      </c>
      <c r="AB221" s="42">
        <f>X221*VLOOKUP($B221,Types!$B$2:$D$13,3,FALSE)*Conv!$I$5*1000*365</f>
        <v>0</v>
      </c>
      <c r="AC221" s="42">
        <f>Y221*VLOOKUP($B221,Types!$B$2:$D$13,3,FALSE)*Conv!$I$5*1000*365</f>
        <v>0</v>
      </c>
      <c r="AD221" s="42">
        <f>Z221*VLOOKUP($B221,Types!$B$2:$D$13,3,FALSE)*Conv!$I$5*1000*365</f>
        <v>0</v>
      </c>
      <c r="AE221" s="42">
        <f>AA221*VLOOKUP($B221,Types!$B$2:$D$13,3,FALSE)*Conv!$I$5*1000*365</f>
        <v>0</v>
      </c>
      <c r="AF221" s="42">
        <f>AB221-AF220</f>
        <v>0</v>
      </c>
      <c r="AG221" s="42">
        <f t="shared" ref="AG221" si="1117">AC221-AG220</f>
        <v>0</v>
      </c>
      <c r="AH221" s="42">
        <f t="shared" ref="AH221" si="1118">AD221-AH220</f>
        <v>0</v>
      </c>
      <c r="AI221" s="42">
        <f t="shared" ref="AI221" si="1119">AE221-AI220</f>
        <v>0</v>
      </c>
      <c r="AJ221" s="42"/>
      <c r="AK221" s="42"/>
      <c r="AL221" s="42"/>
    </row>
    <row r="222" spans="1:38">
      <c r="A222" s="9" t="str">
        <f t="shared" si="1114"/>
        <v>Low Sulfur Fuel Oil</v>
      </c>
      <c r="B222" s="9" t="str">
        <f>VLOOKUP($A222,Types!$A$2:$C$13,2,FALSE)</f>
        <v>RFL</v>
      </c>
      <c r="C222" s="9">
        <v>4</v>
      </c>
      <c r="D222" s="9">
        <v>4</v>
      </c>
      <c r="E222" s="9" t="str">
        <f t="shared" si="989"/>
        <v>IMPRFLP44</v>
      </c>
      <c r="F222" s="9" t="str">
        <f>CONCATENATE("Imported ",VLOOKUP($A222,Types!$A$2:$C$13,3,FALSE),", PADD ",D222,", Step ",RIGHT(C222,1))</f>
        <v>Imported Low Sulfur Residual Fuel Oil, PADD 4, Step 4</v>
      </c>
      <c r="G222" s="9" t="str">
        <f>CONCATENATE(VLOOKUP($A222,Types!$A$2:$C$13,2,FALSE),"P",D222)</f>
        <v>RFLP4</v>
      </c>
      <c r="H222" s="66">
        <f>H219*$C$8</f>
        <v>46.077570000000009</v>
      </c>
      <c r="I222" s="66">
        <f t="shared" ref="I222:K222" si="1120">I219*$C$8</f>
        <v>40.13053</v>
      </c>
      <c r="J222" s="66">
        <f t="shared" si="1120"/>
        <v>31.021400000000003</v>
      </c>
      <c r="K222" s="66">
        <f t="shared" si="1120"/>
        <v>34.193300000000001</v>
      </c>
      <c r="L222" s="67">
        <f>H222*Conv!$J$20/10^6/VLOOKUP($B222,Types!$B$2:$D$13,3,FALSE)/Conv!$I$5</f>
        <v>10.659430257467495</v>
      </c>
      <c r="M222" s="67">
        <f>I222*Conv!$J$20/10^6/VLOOKUP($B222,Types!$B$2:$D$13,3,FALSE)/Conv!$I$5</f>
        <v>9.2836620014945854</v>
      </c>
      <c r="N222" s="67" t="e">
        <f>M222*#REF!</f>
        <v>#REF!</v>
      </c>
      <c r="O222" s="67" t="e">
        <f>N222*#REF!</f>
        <v>#REF!</v>
      </c>
      <c r="P222" s="67" t="e">
        <f>O222*#REF!</f>
        <v>#REF!</v>
      </c>
      <c r="Q222" s="67" t="e">
        <f>P222*#REF!</f>
        <v>#REF!</v>
      </c>
      <c r="R222" s="67" t="e">
        <f>Q222*#REF!</f>
        <v>#REF!</v>
      </c>
      <c r="S222" s="67" t="e">
        <f>R222*#REF!</f>
        <v>#REF!</v>
      </c>
      <c r="T222" s="67" t="e">
        <f>S222*#REF!</f>
        <v>#REF!</v>
      </c>
      <c r="U222" s="67" t="e">
        <f>T222*#REF!</f>
        <v>#REF!</v>
      </c>
      <c r="V222" s="67" t="e">
        <f>U222*#REF!</f>
        <v>#REF!</v>
      </c>
      <c r="W222" s="42"/>
      <c r="X222" s="9">
        <f>X219*$E$8</f>
        <v>0</v>
      </c>
      <c r="Y222" s="9">
        <f t="shared" ref="Y222:AA222" si="1121">Y219*$E$8</f>
        <v>0</v>
      </c>
      <c r="Z222" s="9">
        <f t="shared" si="1121"/>
        <v>0</v>
      </c>
      <c r="AA222" s="9">
        <f t="shared" si="1121"/>
        <v>0</v>
      </c>
      <c r="AB222" s="42">
        <f>X222*VLOOKUP($B222,Types!$B$2:$D$13,3,FALSE)*Conv!$I$5*1000*365</f>
        <v>0</v>
      </c>
      <c r="AC222" s="42">
        <f>Y222*VLOOKUP($B222,Types!$B$2:$D$13,3,FALSE)*Conv!$I$5*1000*365</f>
        <v>0</v>
      </c>
      <c r="AD222" s="42">
        <f>Z222*VLOOKUP($B222,Types!$B$2:$D$13,3,FALSE)*Conv!$I$5*1000*365</f>
        <v>0</v>
      </c>
      <c r="AE222" s="42">
        <f>AA222*VLOOKUP($B222,Types!$B$2:$D$13,3,FALSE)*Conv!$I$5*1000*365</f>
        <v>0</v>
      </c>
      <c r="AF222" s="42">
        <f>AB222-AB219</f>
        <v>0</v>
      </c>
      <c r="AG222" s="42">
        <f t="shared" ref="AG222" si="1122">AC222-AC219</f>
        <v>0</v>
      </c>
      <c r="AH222" s="42">
        <f t="shared" ref="AH222" si="1123">AD222-AD219</f>
        <v>0</v>
      </c>
      <c r="AI222" s="42">
        <f t="shared" ref="AI222" si="1124">AE222-AE219</f>
        <v>0</v>
      </c>
      <c r="AJ222" s="42"/>
      <c r="AK222" s="42"/>
      <c r="AL222" s="42"/>
    </row>
    <row r="223" spans="1:38">
      <c r="A223" s="9" t="str">
        <f t="shared" si="1114"/>
        <v>Low Sulfur Fuel Oil</v>
      </c>
      <c r="B223" s="9" t="str">
        <f>VLOOKUP($A223,Types!$A$2:$C$13,2,FALSE)</f>
        <v>RFL</v>
      </c>
      <c r="C223" s="9">
        <v>5</v>
      </c>
      <c r="D223" s="9">
        <v>4</v>
      </c>
      <c r="E223" s="9" t="str">
        <f t="shared" si="989"/>
        <v>IMPRFLP45</v>
      </c>
      <c r="F223" s="9" t="str">
        <f>CONCATENATE("Imported ",VLOOKUP($A223,Types!$A$2:$C$13,3,FALSE),", PADD ",D223,", Step ",RIGHT(C223,1))</f>
        <v>Imported Low Sulfur Residual Fuel Oil, PADD 4, Step 5</v>
      </c>
      <c r="G223" s="9" t="str">
        <f>CONCATENATE(VLOOKUP($A223,Types!$A$2:$C$13,2,FALSE),"P",D223)</f>
        <v>RFLP4</v>
      </c>
      <c r="H223" s="66">
        <f>H219*$C$9</f>
        <v>54.954900000000009</v>
      </c>
      <c r="I223" s="66">
        <f t="shared" ref="I223:K223" si="1125">I219*$C$9</f>
        <v>47.862100000000005</v>
      </c>
      <c r="J223" s="66">
        <f t="shared" si="1125"/>
        <v>36.998000000000005</v>
      </c>
      <c r="K223" s="66">
        <f t="shared" si="1125"/>
        <v>40.781000000000006</v>
      </c>
      <c r="L223" s="67">
        <f>H223*Conv!$J$20/10^6/VLOOKUP($B223,Types!$B$2:$D$13,3,FALSE)/Conv!$I$5</f>
        <v>12.71308195844747</v>
      </c>
      <c r="M223" s="67">
        <f>I223*Conv!$J$20/10^6/VLOOKUP($B223,Types!$B$2:$D$13,3,FALSE)/Conv!$I$5</f>
        <v>11.072257432975196</v>
      </c>
      <c r="N223" s="67" t="e">
        <f>M223*#REF!</f>
        <v>#REF!</v>
      </c>
      <c r="O223" s="67" t="e">
        <f>N223*#REF!</f>
        <v>#REF!</v>
      </c>
      <c r="P223" s="67" t="e">
        <f>O223*#REF!</f>
        <v>#REF!</v>
      </c>
      <c r="Q223" s="67" t="e">
        <f>P223*#REF!</f>
        <v>#REF!</v>
      </c>
      <c r="R223" s="67" t="e">
        <f>Q223*#REF!</f>
        <v>#REF!</v>
      </c>
      <c r="S223" s="67" t="e">
        <f>R223*#REF!</f>
        <v>#REF!</v>
      </c>
      <c r="T223" s="67" t="e">
        <f>S223*#REF!</f>
        <v>#REF!</v>
      </c>
      <c r="U223" s="67" t="e">
        <f>T223*#REF!</f>
        <v>#REF!</v>
      </c>
      <c r="V223" s="67" t="e">
        <f>U223*#REF!</f>
        <v>#REF!</v>
      </c>
      <c r="W223" s="42"/>
      <c r="X223" s="9">
        <f>X219*$E$9</f>
        <v>0</v>
      </c>
      <c r="Y223" s="9">
        <f t="shared" ref="Y223:AA223" si="1126">Y219*$E$9</f>
        <v>0</v>
      </c>
      <c r="Z223" s="9">
        <f t="shared" si="1126"/>
        <v>0</v>
      </c>
      <c r="AA223" s="9">
        <f t="shared" si="1126"/>
        <v>0</v>
      </c>
      <c r="AB223" s="42">
        <f>X223*VLOOKUP($B223,Types!$B$2:$D$13,3,FALSE)*Conv!$I$5*1000*365</f>
        <v>0</v>
      </c>
      <c r="AC223" s="42">
        <f>Y223*VLOOKUP($B223,Types!$B$2:$D$13,3,FALSE)*Conv!$I$5*1000*365</f>
        <v>0</v>
      </c>
      <c r="AD223" s="42">
        <f>Z223*VLOOKUP($B223,Types!$B$2:$D$13,3,FALSE)*Conv!$I$5*1000*365</f>
        <v>0</v>
      </c>
      <c r="AE223" s="42">
        <f>AA223*VLOOKUP($B223,Types!$B$2:$D$13,3,FALSE)*Conv!$I$5*1000*365</f>
        <v>0</v>
      </c>
      <c r="AF223" s="42">
        <f>AB223-AB222</f>
        <v>0</v>
      </c>
      <c r="AG223" s="42">
        <f t="shared" ref="AG223" si="1127">AC223-AC222</f>
        <v>0</v>
      </c>
      <c r="AH223" s="42">
        <f t="shared" ref="AH223" si="1128">AD223-AD222</f>
        <v>0</v>
      </c>
      <c r="AI223" s="42">
        <f t="shared" ref="AI223" si="1129">AE223-AE222</f>
        <v>0</v>
      </c>
      <c r="AJ223" s="42"/>
      <c r="AK223" s="42"/>
      <c r="AL223" s="42"/>
    </row>
    <row r="224" spans="1:38">
      <c r="A224" s="9" t="str">
        <f>'Agg prdcrv'!$A$11</f>
        <v>High Sulfur Fuel Oil</v>
      </c>
      <c r="B224" s="9" t="str">
        <f>VLOOKUP($A224,Types!$A$2:$C$13,2,FALSE)</f>
        <v>RFH</v>
      </c>
      <c r="C224" s="9">
        <v>3</v>
      </c>
      <c r="D224" s="9">
        <v>4</v>
      </c>
      <c r="E224" s="9" t="str">
        <f t="shared" si="989"/>
        <v>IMPRFHP43</v>
      </c>
      <c r="F224" s="9" t="str">
        <f>CONCATENATE("Imported ",VLOOKUP($A224,Types!$A$2:$C$13,3,FALSE),", PADD ",D224,", Step ",RIGHT(C224,1))</f>
        <v>Imported High Sulfur Residual Fuel Oil, PADD 4, Step 3</v>
      </c>
      <c r="G224" s="9" t="str">
        <f>CONCATENATE(VLOOKUP($A224,Types!$A$2:$C$13,2,FALSE),"P",D224)</f>
        <v>RFHP4</v>
      </c>
      <c r="H224" s="66">
        <f>SUMIFS('Agg prdcrv'!$O$6:$O$100,'Agg prdcrv'!$A$6:$A$100,'Imp Refined'!$A224,'Agg prdcrv'!$B$6:$B$100,H$11)*K4</f>
        <v>40.854000000000006</v>
      </c>
      <c r="I224" s="66">
        <f>SUMIFS('Agg prdcrv'!$O$6:$O$100,'Agg prdcrv'!$A$6:$A$100,'Imp Refined'!$A224,'Agg prdcrv'!$B$6:$B$100,I$11)*K4</f>
        <v>36.091000000000008</v>
      </c>
      <c r="J224" s="66">
        <f t="array" ref="J224">SUMIFS('Agg prdcrv'!$O$6:$O$100,'Agg prdcrv'!$A$6:$A$100,'Imp Refined'!$A224,'Agg prdcrv'!$B$6:$B$100,J$11)</f>
        <v>28.39</v>
      </c>
      <c r="K224" s="66">
        <f t="array" ref="K224">SUMIFS('Agg prdcrv'!$O$6:$O$100,'Agg prdcrv'!$A$6:$A$100,'Imp Refined'!$A224,'Agg prdcrv'!$B$6:$B$100,K$11)</f>
        <v>31.39</v>
      </c>
      <c r="L224" s="67">
        <f>H224*Conv!$J$20/10^6/VLOOKUP($B224,Types!$B$2:$D$13,3,FALSE)/Conv!$I$5</f>
        <v>9.4510271209739809</v>
      </c>
      <c r="M224" s="67">
        <f>I224*Conv!$J$20/10^6/VLOOKUP($B224,Types!$B$2:$D$13,3,FALSE)/Conv!$I$5</f>
        <v>8.3491707011081395</v>
      </c>
      <c r="N224" s="67" t="e">
        <f>M224*#REF!</f>
        <v>#REF!</v>
      </c>
      <c r="O224" s="67" t="e">
        <f>N224*#REF!</f>
        <v>#REF!</v>
      </c>
      <c r="P224" s="67" t="e">
        <f>O224*#REF!</f>
        <v>#REF!</v>
      </c>
      <c r="Q224" s="67" t="e">
        <f>P224*#REF!</f>
        <v>#REF!</v>
      </c>
      <c r="R224" s="67" t="e">
        <f>Q224*#REF!</f>
        <v>#REF!</v>
      </c>
      <c r="S224" s="67" t="e">
        <f>R224*#REF!</f>
        <v>#REF!</v>
      </c>
      <c r="T224" s="67" t="e">
        <f>S224*#REF!</f>
        <v>#REF!</v>
      </c>
      <c r="U224" s="67" t="e">
        <f>T224*#REF!</f>
        <v>#REF!</v>
      </c>
      <c r="V224" s="67" t="e">
        <f>U224*#REF!</f>
        <v>#REF!</v>
      </c>
      <c r="W224" s="42"/>
      <c r="X224" s="9">
        <f t="array" ref="X224">SUMIFS('Agg prdcrv'!$G$6:$G$100,'Agg prdcrv'!$A$6:$A$100,'Imp Refined'!$A224,'Agg prdcrv'!$B$6:$B$100,X$11)</f>
        <v>0</v>
      </c>
      <c r="Y224" s="9">
        <f t="array" ref="Y224">SUMIFS('Agg prdcrv'!$G$6:$G$100,'Agg prdcrv'!$A$6:$A$100,'Imp Refined'!$A224,'Agg prdcrv'!$B$6:$B$100,Y$11)</f>
        <v>0</v>
      </c>
      <c r="Z224" s="9">
        <f t="array" ref="Z224">SUMIFS('Agg prdcrv'!$G$6:$G$100,'Agg prdcrv'!$A$6:$A$100,'Imp Refined'!$A224,'Agg prdcrv'!$B$6:$B$100,Z$11)</f>
        <v>0</v>
      </c>
      <c r="AA224" s="9">
        <f t="array" ref="AA224">SUMIFS('Agg prdcrv'!$G$6:$G$100,'Agg prdcrv'!$A$6:$A$100,'Imp Refined'!$A224,'Agg prdcrv'!$B$6:$B$100,AA$11)</f>
        <v>0</v>
      </c>
      <c r="AB224" s="42">
        <f>X224*VLOOKUP($B224,Types!$B$2:$D$13,3,FALSE)*Conv!$I$5*1000*365</f>
        <v>0</v>
      </c>
      <c r="AC224" s="42">
        <f>Y224*VLOOKUP($B224,Types!$B$2:$D$13,3,FALSE)*Conv!$I$5*1000*365</f>
        <v>0</v>
      </c>
      <c r="AD224" s="42">
        <f>Z224*VLOOKUP($B224,Types!$B$2:$D$13,3,FALSE)*Conv!$I$5*1000*365</f>
        <v>0</v>
      </c>
      <c r="AE224" s="42">
        <f>AA224*VLOOKUP($B224,Types!$B$2:$D$13,3,FALSE)*Conv!$I$5*1000*365</f>
        <v>0</v>
      </c>
      <c r="AF224" s="42">
        <f>AB224-AB226</f>
        <v>0</v>
      </c>
      <c r="AG224" s="42">
        <f t="shared" ref="AG224" si="1130">AC224-AC226</f>
        <v>0</v>
      </c>
      <c r="AH224" s="42">
        <f t="shared" ref="AH224" si="1131">AD224-AD226</f>
        <v>0</v>
      </c>
      <c r="AI224" s="42">
        <f t="shared" ref="AI224" si="1132">AE224-AE226</f>
        <v>0</v>
      </c>
      <c r="AJ224" s="42"/>
      <c r="AK224" s="42"/>
      <c r="AL224" s="42"/>
    </row>
    <row r="225" spans="1:38">
      <c r="A225" s="9" t="str">
        <f>A224</f>
        <v>High Sulfur Fuel Oil</v>
      </c>
      <c r="B225" s="9" t="str">
        <f>VLOOKUP($A225,Types!$A$2:$C$13,2,FALSE)</f>
        <v>RFH</v>
      </c>
      <c r="C225" s="9">
        <v>1</v>
      </c>
      <c r="D225" s="9">
        <v>4</v>
      </c>
      <c r="E225" s="9" t="str">
        <f t="shared" si="989"/>
        <v>IMPRFHP41</v>
      </c>
      <c r="F225" s="9" t="str">
        <f>CONCATENATE("Imported ",VLOOKUP($A225,Types!$A$2:$C$13,3,FALSE),", PADD ",D225,", Step ",RIGHT(C225,1))</f>
        <v>Imported High Sulfur Residual Fuel Oil, PADD 4, Step 1</v>
      </c>
      <c r="G225" s="9" t="str">
        <f>CONCATENATE(VLOOKUP($A225,Types!$A$2:$C$13,2,FALSE),"P",D225)</f>
        <v>RFHP4</v>
      </c>
      <c r="H225" s="66">
        <f>H224*$C$5</f>
        <v>38.811300000000003</v>
      </c>
      <c r="I225" s="66">
        <f t="shared" ref="I225" si="1133">I224*$C$5</f>
        <v>34.286450000000009</v>
      </c>
      <c r="J225" s="66">
        <f t="shared" ref="J225" si="1134">J224*$C$5</f>
        <v>26.970499999999998</v>
      </c>
      <c r="K225" s="66">
        <f t="shared" ref="K225" si="1135">K224*$C$5</f>
        <v>29.820499999999999</v>
      </c>
      <c r="L225" s="67">
        <f>H225*Conv!$J$20/10^6/VLOOKUP($B225,Types!$B$2:$D$13,3,FALSE)/Conv!$I$5</f>
        <v>8.9784757649252818</v>
      </c>
      <c r="M225" s="67">
        <f>I225*Conv!$J$20/10^6/VLOOKUP($B225,Types!$B$2:$D$13,3,FALSE)/Conv!$I$5</f>
        <v>7.9317121660527317</v>
      </c>
      <c r="N225" s="67" t="e">
        <f>M225*#REF!</f>
        <v>#REF!</v>
      </c>
      <c r="O225" s="67" t="e">
        <f>N225*#REF!</f>
        <v>#REF!</v>
      </c>
      <c r="P225" s="67" t="e">
        <f>O225*#REF!</f>
        <v>#REF!</v>
      </c>
      <c r="Q225" s="67" t="e">
        <f>P225*#REF!</f>
        <v>#REF!</v>
      </c>
      <c r="R225" s="67" t="e">
        <f>Q225*#REF!</f>
        <v>#REF!</v>
      </c>
      <c r="S225" s="67" t="e">
        <f>R225*#REF!</f>
        <v>#REF!</v>
      </c>
      <c r="T225" s="67" t="e">
        <f>S225*#REF!</f>
        <v>#REF!</v>
      </c>
      <c r="U225" s="67" t="e">
        <f>T225*#REF!</f>
        <v>#REF!</v>
      </c>
      <c r="V225" s="67" t="e">
        <f>U225*#REF!</f>
        <v>#REF!</v>
      </c>
      <c r="W225" s="42"/>
      <c r="X225" s="9">
        <f>X224*$E$5</f>
        <v>0</v>
      </c>
      <c r="Y225" s="9">
        <f t="shared" ref="Y225" si="1136">Y224*$E$5</f>
        <v>0</v>
      </c>
      <c r="Z225" s="9">
        <f t="shared" ref="Z225" si="1137">Z224*$E$5</f>
        <v>0</v>
      </c>
      <c r="AA225" s="9">
        <f t="shared" ref="AA225" si="1138">AA224*$E$5</f>
        <v>0</v>
      </c>
      <c r="AB225" s="42">
        <f>X225*VLOOKUP($B225,Types!$B$2:$D$13,3,FALSE)*Conv!$I$5*1000*365</f>
        <v>0</v>
      </c>
      <c r="AC225" s="42">
        <f>Y225*VLOOKUP($B225,Types!$B$2:$D$13,3,FALSE)*Conv!$I$5*1000*365</f>
        <v>0</v>
      </c>
      <c r="AD225" s="42">
        <f>Z225*VLOOKUP($B225,Types!$B$2:$D$13,3,FALSE)*Conv!$I$5*1000*365</f>
        <v>0</v>
      </c>
      <c r="AE225" s="42">
        <f>AA225*VLOOKUP($B225,Types!$B$2:$D$13,3,FALSE)*Conv!$I$5*1000*365</f>
        <v>0</v>
      </c>
      <c r="AF225" s="42">
        <f>AB225</f>
        <v>0</v>
      </c>
      <c r="AG225" s="42">
        <f t="shared" ref="AG225" si="1139">AC225</f>
        <v>0</v>
      </c>
      <c r="AH225" s="42">
        <f t="shared" ref="AH225" si="1140">AD225</f>
        <v>0</v>
      </c>
      <c r="AI225" s="42">
        <f t="shared" ref="AI225" si="1141">AE225</f>
        <v>0</v>
      </c>
      <c r="AJ225" s="42"/>
      <c r="AK225" s="42"/>
      <c r="AL225" s="42"/>
    </row>
    <row r="226" spans="1:38">
      <c r="A226" s="9" t="str">
        <f t="shared" ref="A226:A228" si="1142">A225</f>
        <v>High Sulfur Fuel Oil</v>
      </c>
      <c r="B226" s="9" t="str">
        <f>VLOOKUP($A226,Types!$A$2:$C$13,2,FALSE)</f>
        <v>RFH</v>
      </c>
      <c r="C226" s="9">
        <v>2</v>
      </c>
      <c r="D226" s="9">
        <v>4</v>
      </c>
      <c r="E226" s="9" t="str">
        <f t="shared" si="989"/>
        <v>IMPRFHP42</v>
      </c>
      <c r="F226" s="9" t="str">
        <f>CONCATENATE("Imported ",VLOOKUP($A226,Types!$A$2:$C$13,3,FALSE),", PADD ",D226,", Step ",RIGHT(C226,1))</f>
        <v>Imported High Sulfur Residual Fuel Oil, PADD 4, Step 2</v>
      </c>
      <c r="G226" s="9" t="str">
        <f>CONCATENATE(VLOOKUP($A226,Types!$A$2:$C$13,2,FALSE),"P",D226)</f>
        <v>RFHP4</v>
      </c>
      <c r="H226" s="66">
        <f>H224*$C$6</f>
        <v>40.036920000000002</v>
      </c>
      <c r="I226" s="66">
        <f t="shared" ref="I226:K226" si="1143">I224*$C$6</f>
        <v>35.369180000000007</v>
      </c>
      <c r="J226" s="66">
        <f t="shared" si="1143"/>
        <v>27.822199999999999</v>
      </c>
      <c r="K226" s="66">
        <f t="shared" si="1143"/>
        <v>30.7622</v>
      </c>
      <c r="L226" s="67">
        <f>H226*Conv!$J$20/10^6/VLOOKUP($B226,Types!$B$2:$D$13,3,FALSE)/Conv!$I$5</f>
        <v>9.2620065785544998</v>
      </c>
      <c r="M226" s="67">
        <f>I226*Conv!$J$20/10^6/VLOOKUP($B226,Types!$B$2:$D$13,3,FALSE)/Conv!$I$5</f>
        <v>8.1821872870859753</v>
      </c>
      <c r="N226" s="67" t="e">
        <f>M226*#REF!</f>
        <v>#REF!</v>
      </c>
      <c r="O226" s="67" t="e">
        <f>N226*#REF!</f>
        <v>#REF!</v>
      </c>
      <c r="P226" s="67" t="e">
        <f>O226*#REF!</f>
        <v>#REF!</v>
      </c>
      <c r="Q226" s="67" t="e">
        <f>P226*#REF!</f>
        <v>#REF!</v>
      </c>
      <c r="R226" s="67" t="e">
        <f>Q226*#REF!</f>
        <v>#REF!</v>
      </c>
      <c r="S226" s="67" t="e">
        <f>R226*#REF!</f>
        <v>#REF!</v>
      </c>
      <c r="T226" s="67" t="e">
        <f>S226*#REF!</f>
        <v>#REF!</v>
      </c>
      <c r="U226" s="67" t="e">
        <f>T226*#REF!</f>
        <v>#REF!</v>
      </c>
      <c r="V226" s="67" t="e">
        <f>U226*#REF!</f>
        <v>#REF!</v>
      </c>
      <c r="W226" s="42"/>
      <c r="X226" s="9">
        <f>X224*$E$6</f>
        <v>0</v>
      </c>
      <c r="Y226" s="9">
        <f t="shared" ref="Y226:AA226" si="1144">Y224*$E$6</f>
        <v>0</v>
      </c>
      <c r="Z226" s="9">
        <f t="shared" si="1144"/>
        <v>0</v>
      </c>
      <c r="AA226" s="9">
        <f t="shared" si="1144"/>
        <v>0</v>
      </c>
      <c r="AB226" s="42">
        <f>X226*VLOOKUP($B226,Types!$B$2:$D$13,3,FALSE)*Conv!$I$5*1000*365</f>
        <v>0</v>
      </c>
      <c r="AC226" s="42">
        <f>Y226*VLOOKUP($B226,Types!$B$2:$D$13,3,FALSE)*Conv!$I$5*1000*365</f>
        <v>0</v>
      </c>
      <c r="AD226" s="42">
        <f>Z226*VLOOKUP($B226,Types!$B$2:$D$13,3,FALSE)*Conv!$I$5*1000*365</f>
        <v>0</v>
      </c>
      <c r="AE226" s="42">
        <f>AA226*VLOOKUP($B226,Types!$B$2:$D$13,3,FALSE)*Conv!$I$5*1000*365</f>
        <v>0</v>
      </c>
      <c r="AF226" s="42">
        <f>AB226-AF225</f>
        <v>0</v>
      </c>
      <c r="AG226" s="42">
        <f t="shared" ref="AG226" si="1145">AC226-AG225</f>
        <v>0</v>
      </c>
      <c r="AH226" s="42">
        <f t="shared" ref="AH226" si="1146">AD226-AH225</f>
        <v>0</v>
      </c>
      <c r="AI226" s="42">
        <f t="shared" ref="AI226" si="1147">AE226-AI225</f>
        <v>0</v>
      </c>
      <c r="AJ226" s="42"/>
      <c r="AK226" s="42"/>
      <c r="AL226" s="42"/>
    </row>
    <row r="227" spans="1:38">
      <c r="A227" s="9" t="str">
        <f t="shared" si="1142"/>
        <v>High Sulfur Fuel Oil</v>
      </c>
      <c r="B227" s="9" t="str">
        <f>VLOOKUP($A227,Types!$A$2:$C$13,2,FALSE)</f>
        <v>RFH</v>
      </c>
      <c r="C227" s="9">
        <v>4</v>
      </c>
      <c r="D227" s="9">
        <v>4</v>
      </c>
      <c r="E227" s="9" t="str">
        <f t="shared" si="989"/>
        <v>IMPRFHP44</v>
      </c>
      <c r="F227" s="9" t="str">
        <f>CONCATENATE("Imported ",VLOOKUP($A227,Types!$A$2:$C$13,3,FALSE),", PADD ",D227,", Step ",RIGHT(C227,1))</f>
        <v>Imported High Sulfur Residual Fuel Oil, PADD 4, Step 4</v>
      </c>
      <c r="G227" s="9" t="str">
        <f>CONCATENATE(VLOOKUP($A227,Types!$A$2:$C$13,2,FALSE),"P",D227)</f>
        <v>RFHP4</v>
      </c>
      <c r="H227" s="66">
        <f>H224*$C$8</f>
        <v>44.530860000000011</v>
      </c>
      <c r="I227" s="66">
        <f t="shared" ref="I227:K227" si="1148">I224*$C$8</f>
        <v>39.339190000000009</v>
      </c>
      <c r="J227" s="66">
        <f t="shared" si="1148"/>
        <v>30.945100000000004</v>
      </c>
      <c r="K227" s="66">
        <f t="shared" si="1148"/>
        <v>34.2151</v>
      </c>
      <c r="L227" s="67">
        <f>H227*Conv!$J$20/10^6/VLOOKUP($B227,Types!$B$2:$D$13,3,FALSE)/Conv!$I$5</f>
        <v>10.30161956186164</v>
      </c>
      <c r="M227" s="67">
        <f>I227*Conv!$J$20/10^6/VLOOKUP($B227,Types!$B$2:$D$13,3,FALSE)/Conv!$I$5</f>
        <v>9.1005960642078705</v>
      </c>
      <c r="N227" s="67" t="e">
        <f>M227*#REF!</f>
        <v>#REF!</v>
      </c>
      <c r="O227" s="67" t="e">
        <f>N227*#REF!</f>
        <v>#REF!</v>
      </c>
      <c r="P227" s="67" t="e">
        <f>O227*#REF!</f>
        <v>#REF!</v>
      </c>
      <c r="Q227" s="67" t="e">
        <f>P227*#REF!</f>
        <v>#REF!</v>
      </c>
      <c r="R227" s="67" t="e">
        <f>Q227*#REF!</f>
        <v>#REF!</v>
      </c>
      <c r="S227" s="67" t="e">
        <f>R227*#REF!</f>
        <v>#REF!</v>
      </c>
      <c r="T227" s="67" t="e">
        <f>S227*#REF!</f>
        <v>#REF!</v>
      </c>
      <c r="U227" s="67" t="e">
        <f>T227*#REF!</f>
        <v>#REF!</v>
      </c>
      <c r="V227" s="67" t="e">
        <f>U227*#REF!</f>
        <v>#REF!</v>
      </c>
      <c r="W227" s="42"/>
      <c r="X227" s="9">
        <f>X224*$E$8</f>
        <v>0</v>
      </c>
      <c r="Y227" s="9">
        <f t="shared" ref="Y227:AA227" si="1149">Y224*$E$8</f>
        <v>0</v>
      </c>
      <c r="Z227" s="9">
        <f t="shared" si="1149"/>
        <v>0</v>
      </c>
      <c r="AA227" s="9">
        <f t="shared" si="1149"/>
        <v>0</v>
      </c>
      <c r="AB227" s="42">
        <f>X227*VLOOKUP($B227,Types!$B$2:$D$13,3,FALSE)*Conv!$I$5*1000*365</f>
        <v>0</v>
      </c>
      <c r="AC227" s="42">
        <f>Y227*VLOOKUP($B227,Types!$B$2:$D$13,3,FALSE)*Conv!$I$5*1000*365</f>
        <v>0</v>
      </c>
      <c r="AD227" s="42">
        <f>Z227*VLOOKUP($B227,Types!$B$2:$D$13,3,FALSE)*Conv!$I$5*1000*365</f>
        <v>0</v>
      </c>
      <c r="AE227" s="42">
        <f>AA227*VLOOKUP($B227,Types!$B$2:$D$13,3,FALSE)*Conv!$I$5*1000*365</f>
        <v>0</v>
      </c>
      <c r="AF227" s="42">
        <f>AB227-AB224</f>
        <v>0</v>
      </c>
      <c r="AG227" s="42">
        <f t="shared" ref="AG227" si="1150">AC227-AC224</f>
        <v>0</v>
      </c>
      <c r="AH227" s="42">
        <f t="shared" ref="AH227" si="1151">AD227-AD224</f>
        <v>0</v>
      </c>
      <c r="AI227" s="42">
        <f t="shared" ref="AI227" si="1152">AE227-AE224</f>
        <v>0</v>
      </c>
      <c r="AJ227" s="42"/>
      <c r="AK227" s="42"/>
      <c r="AL227" s="42"/>
    </row>
    <row r="228" spans="1:38">
      <c r="A228" s="9" t="str">
        <f t="shared" si="1142"/>
        <v>High Sulfur Fuel Oil</v>
      </c>
      <c r="B228" s="9" t="str">
        <f>VLOOKUP($A228,Types!$A$2:$C$13,2,FALSE)</f>
        <v>RFH</v>
      </c>
      <c r="C228" s="9">
        <v>5</v>
      </c>
      <c r="D228" s="9">
        <v>4</v>
      </c>
      <c r="E228" s="9" t="str">
        <f t="shared" si="989"/>
        <v>IMPRFHP45</v>
      </c>
      <c r="F228" s="9" t="str">
        <f>CONCATENATE("Imported ",VLOOKUP($A228,Types!$A$2:$C$13,3,FALSE),", PADD ",D228,", Step ",RIGHT(C228,1))</f>
        <v>Imported High Sulfur Residual Fuel Oil, PADD 4, Step 5</v>
      </c>
      <c r="G228" s="9" t="str">
        <f>CONCATENATE(VLOOKUP($A228,Types!$A$2:$C$13,2,FALSE),"P",D228)</f>
        <v>RFHP4</v>
      </c>
      <c r="H228" s="66">
        <f>H224*$C$9</f>
        <v>53.110200000000013</v>
      </c>
      <c r="I228" s="66">
        <f t="shared" ref="I228:K228" si="1153">I224*$C$9</f>
        <v>46.918300000000009</v>
      </c>
      <c r="J228" s="66">
        <f t="shared" si="1153"/>
        <v>36.907000000000004</v>
      </c>
      <c r="K228" s="66">
        <f t="shared" si="1153"/>
        <v>40.807000000000002</v>
      </c>
      <c r="L228" s="67">
        <f>H228*Conv!$J$20/10^6/VLOOKUP($B228,Types!$B$2:$D$13,3,FALSE)/Conv!$I$5</f>
        <v>12.286335257266176</v>
      </c>
      <c r="M228" s="67">
        <f>I228*Conv!$J$20/10^6/VLOOKUP($B228,Types!$B$2:$D$13,3,FALSE)/Conv!$I$5</f>
        <v>10.85392191144058</v>
      </c>
      <c r="N228" s="67" t="e">
        <f>M228*#REF!</f>
        <v>#REF!</v>
      </c>
      <c r="O228" s="67" t="e">
        <f>N228*#REF!</f>
        <v>#REF!</v>
      </c>
      <c r="P228" s="67" t="e">
        <f>O228*#REF!</f>
        <v>#REF!</v>
      </c>
      <c r="Q228" s="67" t="e">
        <f>P228*#REF!</f>
        <v>#REF!</v>
      </c>
      <c r="R228" s="67" t="e">
        <f>Q228*#REF!</f>
        <v>#REF!</v>
      </c>
      <c r="S228" s="67" t="e">
        <f>R228*#REF!</f>
        <v>#REF!</v>
      </c>
      <c r="T228" s="67" t="e">
        <f>S228*#REF!</f>
        <v>#REF!</v>
      </c>
      <c r="U228" s="67" t="e">
        <f>T228*#REF!</f>
        <v>#REF!</v>
      </c>
      <c r="V228" s="67" t="e">
        <f>U228*#REF!</f>
        <v>#REF!</v>
      </c>
      <c r="W228" s="42"/>
      <c r="X228" s="9">
        <f>X224*$E$9</f>
        <v>0</v>
      </c>
      <c r="Y228" s="9">
        <f t="shared" ref="Y228:AA228" si="1154">Y224*$E$9</f>
        <v>0</v>
      </c>
      <c r="Z228" s="9">
        <f t="shared" si="1154"/>
        <v>0</v>
      </c>
      <c r="AA228" s="9">
        <f t="shared" si="1154"/>
        <v>0</v>
      </c>
      <c r="AB228" s="42">
        <f>X228*VLOOKUP($B228,Types!$B$2:$D$13,3,FALSE)*Conv!$I$5*1000*365</f>
        <v>0</v>
      </c>
      <c r="AC228" s="42">
        <f>Y228*VLOOKUP($B228,Types!$B$2:$D$13,3,FALSE)*Conv!$I$5*1000*365</f>
        <v>0</v>
      </c>
      <c r="AD228" s="42">
        <f>Z228*VLOOKUP($B228,Types!$B$2:$D$13,3,FALSE)*Conv!$I$5*1000*365</f>
        <v>0</v>
      </c>
      <c r="AE228" s="42">
        <f>AA228*VLOOKUP($B228,Types!$B$2:$D$13,3,FALSE)*Conv!$I$5*1000*365</f>
        <v>0</v>
      </c>
      <c r="AF228" s="42">
        <f>AB228-AB227</f>
        <v>0</v>
      </c>
      <c r="AG228" s="42">
        <f t="shared" ref="AG228" si="1155">AC228-AC227</f>
        <v>0</v>
      </c>
      <c r="AH228" s="42">
        <f t="shared" ref="AH228" si="1156">AD228-AD227</f>
        <v>0</v>
      </c>
      <c r="AI228" s="42">
        <f t="shared" ref="AI228" si="1157">AE228-AE227</f>
        <v>0</v>
      </c>
      <c r="AJ228" s="42"/>
      <c r="AK228" s="42"/>
      <c r="AL228" s="42"/>
    </row>
    <row r="229" spans="1:38">
      <c r="A229" s="9" t="str">
        <f>'Agg prdcrv'!$A$12</f>
        <v>Jet Fuel</v>
      </c>
      <c r="B229" s="9" t="str">
        <f>VLOOKUP($A229,Types!$A$2:$C$13,2,FALSE)</f>
        <v>JTF</v>
      </c>
      <c r="C229" s="9">
        <v>3</v>
      </c>
      <c r="D229" s="9">
        <v>4</v>
      </c>
      <c r="E229" s="9" t="str">
        <f t="shared" si="989"/>
        <v>IMPJTFP43</v>
      </c>
      <c r="F229" s="9" t="str">
        <f>CONCATENATE("Imported ",VLOOKUP($A229,Types!$A$2:$C$13,3,FALSE),", PADD ",D229,", Step ",RIGHT(C229,1))</f>
        <v>Imported Jet Fuel, PADD 4, Step 3</v>
      </c>
      <c r="G229" s="9" t="str">
        <f>CONCATENATE(VLOOKUP($A229,Types!$A$2:$C$13,2,FALSE),"P",D229)</f>
        <v>JTFP4</v>
      </c>
      <c r="H229" s="66">
        <f>SUMIFS('Agg prdcrv'!$O$6:$O$100,'Agg prdcrv'!$A$6:$A$100,'Imp Refined'!$A229,'Agg prdcrv'!$B$6:$B$100,H$11)*K4</f>
        <v>61.27000000000001</v>
      </c>
      <c r="I229" s="66">
        <f>SUMIFS('Agg prdcrv'!$O$6:$O$100,'Agg prdcrv'!$A$6:$A$100,'Imp Refined'!$A229,'Agg prdcrv'!$B$6:$B$100,I$11)*K4</f>
        <v>43.933999999999997</v>
      </c>
      <c r="J229" s="66">
        <f t="array" ref="J229">SUMIFS('Agg prdcrv'!$O$6:$O$100,'Agg prdcrv'!$A$6:$A$100,'Imp Refined'!$A229,'Agg prdcrv'!$B$6:$B$100,J$11)</f>
        <v>37.049999999999997</v>
      </c>
      <c r="K229" s="66">
        <f t="array" ref="K229">SUMIFS('Agg prdcrv'!$O$6:$O$100,'Agg prdcrv'!$A$6:$A$100,'Imp Refined'!$A229,'Agg prdcrv'!$B$6:$B$100,K$11)</f>
        <v>38.42</v>
      </c>
      <c r="L229" s="67">
        <f>H229*Conv!$J$20/10^6/VLOOKUP($B229,Types!$B$2:$D$13,3,FALSE)/Conv!$I$5</f>
        <v>15.716386722448176</v>
      </c>
      <c r="M229" s="67">
        <f>I229*Conv!$J$20/10^6/VLOOKUP($B229,Types!$B$2:$D$13,3,FALSE)/Conv!$I$5</f>
        <v>11.269523980154039</v>
      </c>
      <c r="N229" s="67" t="e">
        <f>M229*#REF!</f>
        <v>#REF!</v>
      </c>
      <c r="O229" s="67" t="e">
        <f>N229*#REF!</f>
        <v>#REF!</v>
      </c>
      <c r="P229" s="67" t="e">
        <f>O229*#REF!</f>
        <v>#REF!</v>
      </c>
      <c r="Q229" s="67" t="e">
        <f>P229*#REF!</f>
        <v>#REF!</v>
      </c>
      <c r="R229" s="67" t="e">
        <f>Q229*#REF!</f>
        <v>#REF!</v>
      </c>
      <c r="S229" s="67" t="e">
        <f>R229*#REF!</f>
        <v>#REF!</v>
      </c>
      <c r="T229" s="67" t="e">
        <f>S229*#REF!</f>
        <v>#REF!</v>
      </c>
      <c r="U229" s="67" t="e">
        <f>T229*#REF!</f>
        <v>#REF!</v>
      </c>
      <c r="V229" s="67" t="e">
        <f>U229*#REF!</f>
        <v>#REF!</v>
      </c>
      <c r="W229" s="42"/>
      <c r="X229" s="9">
        <f t="array" ref="X229">SUMIFS('Agg prdcrv'!$G$6:$G$100,'Agg prdcrv'!$A$6:$A$100,'Imp Refined'!$A229,'Agg prdcrv'!$B$6:$B$100,X$11)</f>
        <v>0.43</v>
      </c>
      <c r="Y229" s="9">
        <f t="array" ref="Y229">SUMIFS('Agg prdcrv'!$G$6:$G$100,'Agg prdcrv'!$A$6:$A$100,'Imp Refined'!$A229,'Agg prdcrv'!$B$6:$B$100,Y$11)</f>
        <v>0</v>
      </c>
      <c r="Z229" s="9">
        <f t="array" ref="Z229">SUMIFS('Agg prdcrv'!$G$6:$G$100,'Agg prdcrv'!$A$6:$A$100,'Imp Refined'!$A229,'Agg prdcrv'!$B$6:$B$100,Z$11)</f>
        <v>0</v>
      </c>
      <c r="AA229" s="9">
        <f t="array" ref="AA229">SUMIFS('Agg prdcrv'!$G$6:$G$100,'Agg prdcrv'!$A$6:$A$100,'Imp Refined'!$A229,'Agg prdcrv'!$B$6:$B$100,AA$11)</f>
        <v>0</v>
      </c>
      <c r="AB229" s="42">
        <f>X229*VLOOKUP($B229,Types!$B$2:$D$13,3,FALSE)*Conv!$I$5*1000*365</f>
        <v>0.93890119226399982</v>
      </c>
      <c r="AC229" s="42">
        <f>Y229*VLOOKUP($B229,Types!$B$2:$D$13,3,FALSE)*Conv!$I$5*1000*365</f>
        <v>0</v>
      </c>
      <c r="AD229" s="42">
        <f>Z229*VLOOKUP($B229,Types!$B$2:$D$13,3,FALSE)*Conv!$I$5*1000*365</f>
        <v>0</v>
      </c>
      <c r="AE229" s="42">
        <f>AA229*VLOOKUP($B229,Types!$B$2:$D$13,3,FALSE)*Conv!$I$5*1000*365</f>
        <v>0</v>
      </c>
      <c r="AF229" s="42">
        <f>AB229-AB231</f>
        <v>9.3890119226399893E-2</v>
      </c>
      <c r="AG229" s="42">
        <f t="shared" ref="AG229" si="1158">AC229-AC231</f>
        <v>0</v>
      </c>
      <c r="AH229" s="42">
        <f t="shared" ref="AH229" si="1159">AD229-AD231</f>
        <v>0</v>
      </c>
      <c r="AI229" s="42">
        <f t="shared" ref="AI229" si="1160">AE229-AE231</f>
        <v>0</v>
      </c>
      <c r="AJ229" s="42"/>
      <c r="AK229" s="42"/>
      <c r="AL229" s="42"/>
    </row>
    <row r="230" spans="1:38">
      <c r="A230" s="9" t="str">
        <f>A229</f>
        <v>Jet Fuel</v>
      </c>
      <c r="B230" s="9" t="str">
        <f>VLOOKUP($A230,Types!$A$2:$C$13,2,FALSE)</f>
        <v>JTF</v>
      </c>
      <c r="C230" s="9">
        <v>1</v>
      </c>
      <c r="D230" s="9">
        <v>4</v>
      </c>
      <c r="E230" s="9" t="str">
        <f t="shared" si="989"/>
        <v>IMPJTFP41</v>
      </c>
      <c r="F230" s="9" t="str">
        <f>CONCATENATE("Imported ",VLOOKUP($A230,Types!$A$2:$C$13,3,FALSE),", PADD ",D230,", Step ",RIGHT(C230,1))</f>
        <v>Imported Jet Fuel, PADD 4, Step 1</v>
      </c>
      <c r="G230" s="9" t="str">
        <f>CONCATENATE(VLOOKUP($A230,Types!$A$2:$C$13,2,FALSE),"P",D230)</f>
        <v>JTFP4</v>
      </c>
      <c r="H230" s="66">
        <f>H229*$C$5</f>
        <v>58.206500000000005</v>
      </c>
      <c r="I230" s="66">
        <f t="shared" ref="I230" si="1161">I229*$C$5</f>
        <v>41.737299999999998</v>
      </c>
      <c r="J230" s="66">
        <f t="shared" ref="J230" si="1162">J229*$C$5</f>
        <v>35.197499999999998</v>
      </c>
      <c r="K230" s="66">
        <f t="shared" ref="K230" si="1163">K229*$C$5</f>
        <v>36.499000000000002</v>
      </c>
      <c r="L230" s="67">
        <f>H230*Conv!$J$20/10^6/VLOOKUP($B230,Types!$B$2:$D$13,3,FALSE)/Conv!$I$5</f>
        <v>14.930567386325764</v>
      </c>
      <c r="M230" s="67">
        <f>I230*Conv!$J$20/10^6/VLOOKUP($B230,Types!$B$2:$D$13,3,FALSE)/Conv!$I$5</f>
        <v>10.706047781146337</v>
      </c>
      <c r="N230" s="67" t="e">
        <f>M230*#REF!</f>
        <v>#REF!</v>
      </c>
      <c r="O230" s="67" t="e">
        <f>N230*#REF!</f>
        <v>#REF!</v>
      </c>
      <c r="P230" s="67" t="e">
        <f>O230*#REF!</f>
        <v>#REF!</v>
      </c>
      <c r="Q230" s="67" t="e">
        <f>P230*#REF!</f>
        <v>#REF!</v>
      </c>
      <c r="R230" s="67" t="e">
        <f>Q230*#REF!</f>
        <v>#REF!</v>
      </c>
      <c r="S230" s="67" t="e">
        <f>R230*#REF!</f>
        <v>#REF!</v>
      </c>
      <c r="T230" s="67" t="e">
        <f>S230*#REF!</f>
        <v>#REF!</v>
      </c>
      <c r="U230" s="67" t="e">
        <f>T230*#REF!</f>
        <v>#REF!</v>
      </c>
      <c r="V230" s="67" t="e">
        <f>U230*#REF!</f>
        <v>#REF!</v>
      </c>
      <c r="W230" s="42"/>
      <c r="X230" s="9">
        <f>X229*$E$5</f>
        <v>0.34400000000000003</v>
      </c>
      <c r="Y230" s="9">
        <f t="shared" ref="Y230" si="1164">Y229*$E$5</f>
        <v>0</v>
      </c>
      <c r="Z230" s="9">
        <f t="shared" ref="Z230" si="1165">Z229*$E$5</f>
        <v>0</v>
      </c>
      <c r="AA230" s="9">
        <f t="shared" ref="AA230" si="1166">AA229*$E$5</f>
        <v>0</v>
      </c>
      <c r="AB230" s="42">
        <f>X230*VLOOKUP($B230,Types!$B$2:$D$13,3,FALSE)*Conv!$I$5*1000*365</f>
        <v>0.75112095381120003</v>
      </c>
      <c r="AC230" s="42">
        <f>Y230*VLOOKUP($B230,Types!$B$2:$D$13,3,FALSE)*Conv!$I$5*1000*365</f>
        <v>0</v>
      </c>
      <c r="AD230" s="42">
        <f>Z230*VLOOKUP($B230,Types!$B$2:$D$13,3,FALSE)*Conv!$I$5*1000*365</f>
        <v>0</v>
      </c>
      <c r="AE230" s="42">
        <f>AA230*VLOOKUP($B230,Types!$B$2:$D$13,3,FALSE)*Conv!$I$5*1000*365</f>
        <v>0</v>
      </c>
      <c r="AF230" s="42">
        <f>AB230</f>
        <v>0.75112095381120003</v>
      </c>
      <c r="AG230" s="42">
        <f t="shared" ref="AG230" si="1167">AC230</f>
        <v>0</v>
      </c>
      <c r="AH230" s="42">
        <f t="shared" ref="AH230" si="1168">AD230</f>
        <v>0</v>
      </c>
      <c r="AI230" s="42">
        <f t="shared" ref="AI230" si="1169">AE230</f>
        <v>0</v>
      </c>
      <c r="AJ230" s="42"/>
      <c r="AK230" s="42"/>
      <c r="AL230" s="42"/>
    </row>
    <row r="231" spans="1:38">
      <c r="A231" s="9" t="str">
        <f t="shared" ref="A231:A233" si="1170">A230</f>
        <v>Jet Fuel</v>
      </c>
      <c r="B231" s="9" t="str">
        <f>VLOOKUP($A231,Types!$A$2:$C$13,2,FALSE)</f>
        <v>JTF</v>
      </c>
      <c r="C231" s="9">
        <v>2</v>
      </c>
      <c r="D231" s="9">
        <v>4</v>
      </c>
      <c r="E231" s="9" t="str">
        <f t="shared" si="989"/>
        <v>IMPJTFP42</v>
      </c>
      <c r="F231" s="9" t="str">
        <f>CONCATENATE("Imported ",VLOOKUP($A231,Types!$A$2:$C$13,3,FALSE),", PADD ",D231,", Step ",RIGHT(C231,1))</f>
        <v>Imported Jet Fuel, PADD 4, Step 2</v>
      </c>
      <c r="G231" s="9" t="str">
        <f>CONCATENATE(VLOOKUP($A231,Types!$A$2:$C$13,2,FALSE),"P",D231)</f>
        <v>JTFP4</v>
      </c>
      <c r="H231" s="66">
        <f>H229*$C$6</f>
        <v>60.04460000000001</v>
      </c>
      <c r="I231" s="66">
        <f t="shared" ref="I231:K231" si="1171">I229*$C$6</f>
        <v>43.055319999999995</v>
      </c>
      <c r="J231" s="66">
        <f t="shared" si="1171"/>
        <v>36.308999999999997</v>
      </c>
      <c r="K231" s="66">
        <f t="shared" si="1171"/>
        <v>37.651600000000002</v>
      </c>
      <c r="L231" s="67">
        <f>H231*Conv!$J$20/10^6/VLOOKUP($B231,Types!$B$2:$D$13,3,FALSE)/Conv!$I$5</f>
        <v>15.40205898799921</v>
      </c>
      <c r="M231" s="67">
        <f>I231*Conv!$J$20/10^6/VLOOKUP($B231,Types!$B$2:$D$13,3,FALSE)/Conv!$I$5</f>
        <v>11.044133500550956</v>
      </c>
      <c r="N231" s="67" t="e">
        <f>M231*#REF!</f>
        <v>#REF!</v>
      </c>
      <c r="O231" s="67" t="e">
        <f>N231*#REF!</f>
        <v>#REF!</v>
      </c>
      <c r="P231" s="67" t="e">
        <f>O231*#REF!</f>
        <v>#REF!</v>
      </c>
      <c r="Q231" s="67" t="e">
        <f>P231*#REF!</f>
        <v>#REF!</v>
      </c>
      <c r="R231" s="67" t="e">
        <f>Q231*#REF!</f>
        <v>#REF!</v>
      </c>
      <c r="S231" s="67" t="e">
        <f>R231*#REF!</f>
        <v>#REF!</v>
      </c>
      <c r="T231" s="67" t="e">
        <f>S231*#REF!</f>
        <v>#REF!</v>
      </c>
      <c r="U231" s="67" t="e">
        <f>T231*#REF!</f>
        <v>#REF!</v>
      </c>
      <c r="V231" s="67" t="e">
        <f>U231*#REF!</f>
        <v>#REF!</v>
      </c>
      <c r="W231" s="42"/>
      <c r="X231" s="9">
        <f>X229*$E$6</f>
        <v>0.38700000000000001</v>
      </c>
      <c r="Y231" s="9">
        <f t="shared" ref="Y231:AA231" si="1172">Y229*$E$6</f>
        <v>0</v>
      </c>
      <c r="Z231" s="9">
        <f t="shared" si="1172"/>
        <v>0</v>
      </c>
      <c r="AA231" s="9">
        <f t="shared" si="1172"/>
        <v>0</v>
      </c>
      <c r="AB231" s="42">
        <f>X231*VLOOKUP($B231,Types!$B$2:$D$13,3,FALSE)*Conv!$I$5*1000*365</f>
        <v>0.84501107303759992</v>
      </c>
      <c r="AC231" s="42">
        <f>Y231*VLOOKUP($B231,Types!$B$2:$D$13,3,FALSE)*Conv!$I$5*1000*365</f>
        <v>0</v>
      </c>
      <c r="AD231" s="42">
        <f>Z231*VLOOKUP($B231,Types!$B$2:$D$13,3,FALSE)*Conv!$I$5*1000*365</f>
        <v>0</v>
      </c>
      <c r="AE231" s="42">
        <f>AA231*VLOOKUP($B231,Types!$B$2:$D$13,3,FALSE)*Conv!$I$5*1000*365</f>
        <v>0</v>
      </c>
      <c r="AF231" s="42">
        <f>AB231-AF230</f>
        <v>9.3890119226399893E-2</v>
      </c>
      <c r="AG231" s="42">
        <f t="shared" ref="AG231" si="1173">AC231-AG230</f>
        <v>0</v>
      </c>
      <c r="AH231" s="42">
        <f t="shared" ref="AH231" si="1174">AD231-AH230</f>
        <v>0</v>
      </c>
      <c r="AI231" s="42">
        <f t="shared" ref="AI231" si="1175">AE231-AI230</f>
        <v>0</v>
      </c>
      <c r="AJ231" s="42"/>
      <c r="AK231" s="42"/>
      <c r="AL231" s="42"/>
    </row>
    <row r="232" spans="1:38">
      <c r="A232" s="9" t="str">
        <f t="shared" si="1170"/>
        <v>Jet Fuel</v>
      </c>
      <c r="B232" s="9" t="str">
        <f>VLOOKUP($A232,Types!$A$2:$C$13,2,FALSE)</f>
        <v>JTF</v>
      </c>
      <c r="C232" s="9">
        <v>4</v>
      </c>
      <c r="D232" s="9">
        <v>4</v>
      </c>
      <c r="E232" s="9" t="str">
        <f t="shared" si="989"/>
        <v>IMPJTFP44</v>
      </c>
      <c r="F232" s="9" t="str">
        <f>CONCATENATE("Imported ",VLOOKUP($A232,Types!$A$2:$C$13,3,FALSE),", PADD ",D232,", Step ",RIGHT(C232,1))</f>
        <v>Imported Jet Fuel, PADD 4, Step 4</v>
      </c>
      <c r="G232" s="9" t="str">
        <f>CONCATENATE(VLOOKUP($A232,Types!$A$2:$C$13,2,FALSE),"P",D232)</f>
        <v>JTFP4</v>
      </c>
      <c r="H232" s="66">
        <f>H229*$C$8</f>
        <v>66.784300000000016</v>
      </c>
      <c r="I232" s="66">
        <f t="shared" ref="I232:K232" si="1176">I229*$C$8</f>
        <v>47.888060000000003</v>
      </c>
      <c r="J232" s="66">
        <f t="shared" si="1176"/>
        <v>40.384500000000003</v>
      </c>
      <c r="K232" s="66">
        <f t="shared" si="1176"/>
        <v>41.877800000000008</v>
      </c>
      <c r="L232" s="67">
        <f>H232*Conv!$J$20/10^6/VLOOKUP($B232,Types!$B$2:$D$13,3,FALSE)/Conv!$I$5</f>
        <v>17.130861527468511</v>
      </c>
      <c r="M232" s="67">
        <f>I232*Conv!$J$20/10^6/VLOOKUP($B232,Types!$B$2:$D$13,3,FALSE)/Conv!$I$5</f>
        <v>12.283781138367903</v>
      </c>
      <c r="N232" s="67" t="e">
        <f>M232*#REF!</f>
        <v>#REF!</v>
      </c>
      <c r="O232" s="67" t="e">
        <f>N232*#REF!</f>
        <v>#REF!</v>
      </c>
      <c r="P232" s="67" t="e">
        <f>O232*#REF!</f>
        <v>#REF!</v>
      </c>
      <c r="Q232" s="67" t="e">
        <f>P232*#REF!</f>
        <v>#REF!</v>
      </c>
      <c r="R232" s="67" t="e">
        <f>Q232*#REF!</f>
        <v>#REF!</v>
      </c>
      <c r="S232" s="67" t="e">
        <f>R232*#REF!</f>
        <v>#REF!</v>
      </c>
      <c r="T232" s="67" t="e">
        <f>S232*#REF!</f>
        <v>#REF!</v>
      </c>
      <c r="U232" s="67" t="e">
        <f>T232*#REF!</f>
        <v>#REF!</v>
      </c>
      <c r="V232" s="67" t="e">
        <f>U232*#REF!</f>
        <v>#REF!</v>
      </c>
      <c r="W232" s="42"/>
      <c r="X232" s="9">
        <f>X229*$E$8</f>
        <v>0.51600000000000001</v>
      </c>
      <c r="Y232" s="9">
        <f t="shared" ref="Y232:AA232" si="1177">Y229*$E$8</f>
        <v>0</v>
      </c>
      <c r="Z232" s="9">
        <f t="shared" si="1177"/>
        <v>0</v>
      </c>
      <c r="AA232" s="9">
        <f t="shared" si="1177"/>
        <v>0</v>
      </c>
      <c r="AB232" s="42">
        <f>X232*VLOOKUP($B232,Types!$B$2:$D$13,3,FALSE)*Conv!$I$5*1000*365</f>
        <v>1.1266814307167998</v>
      </c>
      <c r="AC232" s="42">
        <f>Y232*VLOOKUP($B232,Types!$B$2:$D$13,3,FALSE)*Conv!$I$5*1000*365</f>
        <v>0</v>
      </c>
      <c r="AD232" s="42">
        <f>Z232*VLOOKUP($B232,Types!$B$2:$D$13,3,FALSE)*Conv!$I$5*1000*365</f>
        <v>0</v>
      </c>
      <c r="AE232" s="42">
        <f>AA232*VLOOKUP($B232,Types!$B$2:$D$13,3,FALSE)*Conv!$I$5*1000*365</f>
        <v>0</v>
      </c>
      <c r="AF232" s="42">
        <f>AB232-AB229</f>
        <v>0.18778023845280001</v>
      </c>
      <c r="AG232" s="42">
        <f t="shared" ref="AG232" si="1178">AC232-AC229</f>
        <v>0</v>
      </c>
      <c r="AH232" s="42">
        <f t="shared" ref="AH232" si="1179">AD232-AD229</f>
        <v>0</v>
      </c>
      <c r="AI232" s="42">
        <f t="shared" ref="AI232" si="1180">AE232-AE229</f>
        <v>0</v>
      </c>
      <c r="AJ232" s="42"/>
      <c r="AK232" s="42"/>
      <c r="AL232" s="42"/>
    </row>
    <row r="233" spans="1:38">
      <c r="A233" s="9" t="str">
        <f t="shared" si="1170"/>
        <v>Jet Fuel</v>
      </c>
      <c r="B233" s="9" t="str">
        <f>VLOOKUP($A233,Types!$A$2:$C$13,2,FALSE)</f>
        <v>JTF</v>
      </c>
      <c r="C233" s="9">
        <v>5</v>
      </c>
      <c r="D233" s="9">
        <v>4</v>
      </c>
      <c r="E233" s="9" t="str">
        <f t="shared" si="989"/>
        <v>IMPJTFP45</v>
      </c>
      <c r="F233" s="9" t="str">
        <f>CONCATENATE("Imported ",VLOOKUP($A233,Types!$A$2:$C$13,3,FALSE),", PADD ",D233,", Step ",RIGHT(C233,1))</f>
        <v>Imported Jet Fuel, PADD 4, Step 5</v>
      </c>
      <c r="G233" s="9" t="str">
        <f>CONCATENATE(VLOOKUP($A233,Types!$A$2:$C$13,2,FALSE),"P",D233)</f>
        <v>JTFP4</v>
      </c>
      <c r="H233" s="66">
        <f>H229*$C$9</f>
        <v>79.65100000000001</v>
      </c>
      <c r="I233" s="66">
        <f t="shared" ref="I233:K233" si="1181">I229*$C$9</f>
        <v>57.114199999999997</v>
      </c>
      <c r="J233" s="66">
        <f t="shared" si="1181"/>
        <v>48.164999999999999</v>
      </c>
      <c r="K233" s="66">
        <f t="shared" si="1181"/>
        <v>49.946000000000005</v>
      </c>
      <c r="L233" s="67">
        <f>H233*Conv!$J$20/10^6/VLOOKUP($B233,Types!$B$2:$D$13,3,FALSE)/Conv!$I$5</f>
        <v>20.43130273918263</v>
      </c>
      <c r="M233" s="67">
        <f>I233*Conv!$J$20/10^6/VLOOKUP($B233,Types!$B$2:$D$13,3,FALSE)/Conv!$I$5</f>
        <v>14.650381174200248</v>
      </c>
      <c r="N233" s="67" t="e">
        <f>M233*#REF!</f>
        <v>#REF!</v>
      </c>
      <c r="O233" s="67" t="e">
        <f>N233*#REF!</f>
        <v>#REF!</v>
      </c>
      <c r="P233" s="67" t="e">
        <f>O233*#REF!</f>
        <v>#REF!</v>
      </c>
      <c r="Q233" s="67" t="e">
        <f>P233*#REF!</f>
        <v>#REF!</v>
      </c>
      <c r="R233" s="67" t="e">
        <f>Q233*#REF!</f>
        <v>#REF!</v>
      </c>
      <c r="S233" s="67" t="e">
        <f>R233*#REF!</f>
        <v>#REF!</v>
      </c>
      <c r="T233" s="67" t="e">
        <f>S233*#REF!</f>
        <v>#REF!</v>
      </c>
      <c r="U233" s="67" t="e">
        <f>T233*#REF!</f>
        <v>#REF!</v>
      </c>
      <c r="V233" s="67" t="e">
        <f>U233*#REF!</f>
        <v>#REF!</v>
      </c>
      <c r="W233" s="42"/>
      <c r="X233" s="9">
        <f>X229*$E$9</f>
        <v>0.86</v>
      </c>
      <c r="Y233" s="9">
        <f t="shared" ref="Y233:AA233" si="1182">Y229*$E$9</f>
        <v>0</v>
      </c>
      <c r="Z233" s="9">
        <f t="shared" si="1182"/>
        <v>0</v>
      </c>
      <c r="AA233" s="9">
        <f t="shared" si="1182"/>
        <v>0</v>
      </c>
      <c r="AB233" s="42">
        <f>X233*VLOOKUP($B233,Types!$B$2:$D$13,3,FALSE)*Conv!$I$5*1000*365</f>
        <v>1.8778023845279996</v>
      </c>
      <c r="AC233" s="42">
        <f>Y233*VLOOKUP($B233,Types!$B$2:$D$13,3,FALSE)*Conv!$I$5*1000*365</f>
        <v>0</v>
      </c>
      <c r="AD233" s="42">
        <f>Z233*VLOOKUP($B233,Types!$B$2:$D$13,3,FALSE)*Conv!$I$5*1000*365</f>
        <v>0</v>
      </c>
      <c r="AE233" s="42">
        <f>AA233*VLOOKUP($B233,Types!$B$2:$D$13,3,FALSE)*Conv!$I$5*1000*365</f>
        <v>0</v>
      </c>
      <c r="AF233" s="42">
        <f>AB233-AB232</f>
        <v>0.75112095381119981</v>
      </c>
      <c r="AG233" s="42">
        <f t="shared" ref="AG233" si="1183">AC233-AC232</f>
        <v>0</v>
      </c>
      <c r="AH233" s="42">
        <f t="shared" ref="AH233" si="1184">AD233-AD232</f>
        <v>0</v>
      </c>
      <c r="AI233" s="42">
        <f t="shared" ref="AI233" si="1185">AE233-AE232</f>
        <v>0</v>
      </c>
      <c r="AJ233" s="42"/>
      <c r="AK233" s="42"/>
      <c r="AL233" s="42"/>
    </row>
    <row r="234" spans="1:38">
      <c r="A234" s="9" t="str">
        <f>'Agg prdcrv'!$A$13</f>
        <v>LPG</v>
      </c>
      <c r="B234" s="9" t="str">
        <f>VLOOKUP($A234,Types!$A$2:$C$13,2,FALSE)</f>
        <v>LPG</v>
      </c>
      <c r="C234" s="9">
        <v>3</v>
      </c>
      <c r="D234" s="9">
        <v>4</v>
      </c>
      <c r="E234" s="9" t="str">
        <f t="shared" si="989"/>
        <v>IMPLPGP43</v>
      </c>
      <c r="F234" s="9" t="str">
        <f>CONCATENATE("Imported ",VLOOKUP($A234,Types!$A$2:$C$13,3,FALSE),", PADD ",D234,", Step ",RIGHT(C234,1))</f>
        <v>Imported LPG, PADD 4, Step 3</v>
      </c>
      <c r="G234" s="9" t="str">
        <f>CONCATENATE(VLOOKUP($A234,Types!$A$2:$C$13,2,FALSE),"P",D234)</f>
        <v>LPGP4</v>
      </c>
      <c r="H234" s="66">
        <f>SUMIFS('Agg prdcrv'!$O$6:$O$100,'Agg prdcrv'!$A$6:$A$100,'Imp Refined'!$A234,'Agg prdcrv'!$B$6:$B$100,H$11)*K4</f>
        <v>31.691000000000003</v>
      </c>
      <c r="I234" s="66">
        <f>SUMIFS('Agg prdcrv'!$O$6:$O$100,'Agg prdcrv'!$A$6:$A$100,'Imp Refined'!$A234,'Agg prdcrv'!$B$6:$B$100,I$11)*K4</f>
        <v>31.35</v>
      </c>
      <c r="J234" s="66">
        <f t="array" ref="J234">SUMIFS('Agg prdcrv'!$O$6:$O$100,'Agg prdcrv'!$A$6:$A$100,'Imp Refined'!$A234,'Agg prdcrv'!$B$6:$B$100,J$11)</f>
        <v>28.5</v>
      </c>
      <c r="K234" s="66">
        <f t="array" ref="K234">SUMIFS('Agg prdcrv'!$O$6:$O$100,'Agg prdcrv'!$A$6:$A$100,'Imp Refined'!$A234,'Agg prdcrv'!$B$6:$B$100,K$11)</f>
        <v>28.5</v>
      </c>
      <c r="L234" s="67">
        <f>H234*Conv!$J$20/10^6/VLOOKUP($B234,Types!$B$2:$D$13,3,FALSE)/Conv!$I$5</f>
        <v>12.958059311858628</v>
      </c>
      <c r="M234" s="67">
        <f>I234*Conv!$J$20/10^6/VLOOKUP($B234,Types!$B$2:$D$13,3,FALSE)/Conv!$I$5</f>
        <v>12.818628614646682</v>
      </c>
      <c r="N234" s="67" t="e">
        <f>M234*#REF!</f>
        <v>#REF!</v>
      </c>
      <c r="O234" s="67" t="e">
        <f>N234*#REF!</f>
        <v>#REF!</v>
      </c>
      <c r="P234" s="67" t="e">
        <f>O234*#REF!</f>
        <v>#REF!</v>
      </c>
      <c r="Q234" s="67" t="e">
        <f>P234*#REF!</f>
        <v>#REF!</v>
      </c>
      <c r="R234" s="67" t="e">
        <f>Q234*#REF!</f>
        <v>#REF!</v>
      </c>
      <c r="S234" s="67" t="e">
        <f>R234*#REF!</f>
        <v>#REF!</v>
      </c>
      <c r="T234" s="67" t="e">
        <f>S234*#REF!</f>
        <v>#REF!</v>
      </c>
      <c r="U234" s="67" t="e">
        <f>T234*#REF!</f>
        <v>#REF!</v>
      </c>
      <c r="V234" s="67" t="e">
        <f>U234*#REF!</f>
        <v>#REF!</v>
      </c>
      <c r="W234" s="42"/>
      <c r="X234" s="9">
        <f t="array" ref="X234">SUMIFS('Agg prdcrv'!$G$6:$G$100,'Agg prdcrv'!$A$6:$A$100,'Imp Refined'!$A234,'Agg prdcrv'!$B$6:$B$100,X$11)</f>
        <v>18.350000000000001</v>
      </c>
      <c r="Y234" s="9">
        <f t="array" ref="Y234">SUMIFS('Agg prdcrv'!$G$6:$G$100,'Agg prdcrv'!$A$6:$A$100,'Imp Refined'!$A234,'Agg prdcrv'!$B$6:$B$100,Y$11)</f>
        <v>9.18</v>
      </c>
      <c r="Z234" s="9">
        <f t="array" ref="Z234">SUMIFS('Agg prdcrv'!$G$6:$G$100,'Agg prdcrv'!$A$6:$A$100,'Imp Refined'!$A234,'Agg prdcrv'!$B$6:$B$100,Z$11)</f>
        <v>10.130000000000001</v>
      </c>
      <c r="AA234" s="9">
        <f t="array" ref="AA234">SUMIFS('Agg prdcrv'!$G$6:$G$100,'Agg prdcrv'!$A$6:$A$100,'Imp Refined'!$A234,'Agg prdcrv'!$B$6:$B$100,AA$11)</f>
        <v>11.19</v>
      </c>
      <c r="AB234" s="42">
        <f>X234*VLOOKUP($B234,Types!$B$2:$D$13,3,FALSE)*Conv!$I$5*1000*365</f>
        <v>25.135545209467999</v>
      </c>
      <c r="AC234" s="42">
        <f>Y234*VLOOKUP($B234,Types!$B$2:$D$13,3,FALSE)*Conv!$I$5*1000*365</f>
        <v>12.574621527134399</v>
      </c>
      <c r="AD234" s="42">
        <f>Z234*VLOOKUP($B234,Types!$B$2:$D$13,3,FALSE)*Conv!$I$5*1000*365</f>
        <v>13.875916783210398</v>
      </c>
      <c r="AE234" s="42">
        <f>AA234*VLOOKUP($B234,Types!$B$2:$D$13,3,FALSE)*Conv!$I$5*1000*365</f>
        <v>15.327888332095199</v>
      </c>
      <c r="AF234" s="42">
        <f>AB234-AB236</f>
        <v>2.5135545209468013</v>
      </c>
      <c r="AG234" s="42">
        <f t="shared" ref="AG234" si="1186">AC234-AC236</f>
        <v>1.2574621527134404</v>
      </c>
      <c r="AH234" s="42">
        <f t="shared" ref="AH234" si="1187">AD234-AD236</f>
        <v>1.3875916783210371</v>
      </c>
      <c r="AI234" s="42">
        <f t="shared" ref="AI234" si="1188">AE234-AE236</f>
        <v>1.532788833209521</v>
      </c>
      <c r="AJ234" s="42"/>
      <c r="AK234" s="42"/>
      <c r="AL234" s="42"/>
    </row>
    <row r="235" spans="1:38">
      <c r="A235" s="9" t="str">
        <f>A234</f>
        <v>LPG</v>
      </c>
      <c r="B235" s="9" t="str">
        <f>VLOOKUP($A235,Types!$A$2:$C$13,2,FALSE)</f>
        <v>LPG</v>
      </c>
      <c r="C235" s="9">
        <v>1</v>
      </c>
      <c r="D235" s="9">
        <v>4</v>
      </c>
      <c r="E235" s="9" t="str">
        <f t="shared" si="989"/>
        <v>IMPLPGP41</v>
      </c>
      <c r="F235" s="9" t="str">
        <f>CONCATENATE("Imported ",VLOOKUP($A235,Types!$A$2:$C$13,3,FALSE),", PADD ",D235,", Step ",RIGHT(C235,1))</f>
        <v>Imported LPG, PADD 4, Step 1</v>
      </c>
      <c r="G235" s="9" t="str">
        <f>CONCATENATE(VLOOKUP($A235,Types!$A$2:$C$13,2,FALSE),"P",D235)</f>
        <v>LPGP4</v>
      </c>
      <c r="H235" s="66">
        <f>H234*$C$5</f>
        <v>30.106450000000002</v>
      </c>
      <c r="I235" s="66">
        <f t="shared" ref="I235" si="1189">I234*$C$5</f>
        <v>29.782499999999999</v>
      </c>
      <c r="J235" s="66">
        <f t="shared" ref="J235" si="1190">J234*$C$5</f>
        <v>27.074999999999999</v>
      </c>
      <c r="K235" s="66">
        <f t="shared" ref="K235" si="1191">K234*$C$5</f>
        <v>27.074999999999999</v>
      </c>
      <c r="L235" s="67">
        <f>H235*Conv!$J$20/10^6/VLOOKUP($B235,Types!$B$2:$D$13,3,FALSE)/Conv!$I$5</f>
        <v>12.310156346265698</v>
      </c>
      <c r="M235" s="67">
        <f>I235*Conv!$J$20/10^6/VLOOKUP($B235,Types!$B$2:$D$13,3,FALSE)/Conv!$I$5</f>
        <v>12.177697183914349</v>
      </c>
      <c r="N235" s="67" t="e">
        <f>M235*#REF!</f>
        <v>#REF!</v>
      </c>
      <c r="O235" s="67" t="e">
        <f>N235*#REF!</f>
        <v>#REF!</v>
      </c>
      <c r="P235" s="67" t="e">
        <f>O235*#REF!</f>
        <v>#REF!</v>
      </c>
      <c r="Q235" s="67" t="e">
        <f>P235*#REF!</f>
        <v>#REF!</v>
      </c>
      <c r="R235" s="67" t="e">
        <f>Q235*#REF!</f>
        <v>#REF!</v>
      </c>
      <c r="S235" s="67" t="e">
        <f>R235*#REF!</f>
        <v>#REF!</v>
      </c>
      <c r="T235" s="67" t="e">
        <f>S235*#REF!</f>
        <v>#REF!</v>
      </c>
      <c r="U235" s="67" t="e">
        <f>T235*#REF!</f>
        <v>#REF!</v>
      </c>
      <c r="V235" s="67" t="e">
        <f>U235*#REF!</f>
        <v>#REF!</v>
      </c>
      <c r="W235" s="42"/>
      <c r="X235" s="9">
        <f>X234*$E$5</f>
        <v>14.680000000000001</v>
      </c>
      <c r="Y235" s="9">
        <f t="shared" ref="Y235" si="1192">Y234*$E$5</f>
        <v>7.3440000000000003</v>
      </c>
      <c r="Z235" s="9">
        <f t="shared" ref="Z235" si="1193">Z234*$E$5</f>
        <v>8.104000000000001</v>
      </c>
      <c r="AA235" s="9">
        <f t="shared" ref="AA235" si="1194">AA234*$E$5</f>
        <v>8.952</v>
      </c>
      <c r="AB235" s="42">
        <f>X235*VLOOKUP($B235,Types!$B$2:$D$13,3,FALSE)*Conv!$I$5*1000*365</f>
        <v>20.108436167574403</v>
      </c>
      <c r="AC235" s="42">
        <f>Y235*VLOOKUP($B235,Types!$B$2:$D$13,3,FALSE)*Conv!$I$5*1000*365</f>
        <v>10.059697221707518</v>
      </c>
      <c r="AD235" s="42">
        <f>Z235*VLOOKUP($B235,Types!$B$2:$D$13,3,FALSE)*Conv!$I$5*1000*365</f>
        <v>11.100733426568322</v>
      </c>
      <c r="AE235" s="42">
        <f>AA235*VLOOKUP($B235,Types!$B$2:$D$13,3,FALSE)*Conv!$I$5*1000*365</f>
        <v>12.262310665676159</v>
      </c>
      <c r="AF235" s="42">
        <f>AB235</f>
        <v>20.108436167574403</v>
      </c>
      <c r="AG235" s="42">
        <f t="shared" ref="AG235" si="1195">AC235</f>
        <v>10.059697221707518</v>
      </c>
      <c r="AH235" s="42">
        <f t="shared" ref="AH235" si="1196">AD235</f>
        <v>11.100733426568322</v>
      </c>
      <c r="AI235" s="42">
        <f t="shared" ref="AI235" si="1197">AE235</f>
        <v>12.262310665676159</v>
      </c>
      <c r="AJ235" s="42"/>
      <c r="AK235" s="42"/>
      <c r="AL235" s="42"/>
    </row>
    <row r="236" spans="1:38">
      <c r="A236" s="9" t="str">
        <f t="shared" ref="A236:A238" si="1198">A235</f>
        <v>LPG</v>
      </c>
      <c r="B236" s="9" t="str">
        <f>VLOOKUP($A236,Types!$A$2:$C$13,2,FALSE)</f>
        <v>LPG</v>
      </c>
      <c r="C236" s="9">
        <v>2</v>
      </c>
      <c r="D236" s="9">
        <v>4</v>
      </c>
      <c r="E236" s="9" t="str">
        <f t="shared" si="989"/>
        <v>IMPLPGP42</v>
      </c>
      <c r="F236" s="9" t="str">
        <f>CONCATENATE("Imported ",VLOOKUP($A236,Types!$A$2:$C$13,3,FALSE),", PADD ",D236,", Step ",RIGHT(C236,1))</f>
        <v>Imported LPG, PADD 4, Step 2</v>
      </c>
      <c r="G236" s="9" t="str">
        <f>CONCATENATE(VLOOKUP($A236,Types!$A$2:$C$13,2,FALSE),"P",D236)</f>
        <v>LPGP4</v>
      </c>
      <c r="H236" s="66">
        <f>H234*$C$6</f>
        <v>31.057180000000002</v>
      </c>
      <c r="I236" s="66">
        <f t="shared" ref="I236:K236" si="1199">I234*$C$6</f>
        <v>30.723000000000003</v>
      </c>
      <c r="J236" s="66">
        <f t="shared" si="1199"/>
        <v>27.93</v>
      </c>
      <c r="K236" s="66">
        <f t="shared" si="1199"/>
        <v>27.93</v>
      </c>
      <c r="L236" s="67">
        <f>H236*Conv!$J$20/10^6/VLOOKUP($B236,Types!$B$2:$D$13,3,FALSE)/Conv!$I$5</f>
        <v>12.698898125621454</v>
      </c>
      <c r="M236" s="67">
        <f>I236*Conv!$J$20/10^6/VLOOKUP($B236,Types!$B$2:$D$13,3,FALSE)/Conv!$I$5</f>
        <v>12.56225604235375</v>
      </c>
      <c r="N236" s="67" t="e">
        <f>M236*#REF!</f>
        <v>#REF!</v>
      </c>
      <c r="O236" s="67" t="e">
        <f>N236*#REF!</f>
        <v>#REF!</v>
      </c>
      <c r="P236" s="67" t="e">
        <f>O236*#REF!</f>
        <v>#REF!</v>
      </c>
      <c r="Q236" s="67" t="e">
        <f>P236*#REF!</f>
        <v>#REF!</v>
      </c>
      <c r="R236" s="67" t="e">
        <f>Q236*#REF!</f>
        <v>#REF!</v>
      </c>
      <c r="S236" s="67" t="e">
        <f>R236*#REF!</f>
        <v>#REF!</v>
      </c>
      <c r="T236" s="67" t="e">
        <f>S236*#REF!</f>
        <v>#REF!</v>
      </c>
      <c r="U236" s="67" t="e">
        <f>T236*#REF!</f>
        <v>#REF!</v>
      </c>
      <c r="V236" s="67" t="e">
        <f>U236*#REF!</f>
        <v>#REF!</v>
      </c>
      <c r="W236" s="42"/>
      <c r="X236" s="9">
        <f>X234*$E$6</f>
        <v>16.515000000000001</v>
      </c>
      <c r="Y236" s="9">
        <f t="shared" ref="Y236:AA236" si="1200">Y234*$E$6</f>
        <v>8.2620000000000005</v>
      </c>
      <c r="Z236" s="9">
        <f t="shared" si="1200"/>
        <v>9.1170000000000009</v>
      </c>
      <c r="AA236" s="9">
        <f t="shared" si="1200"/>
        <v>10.071</v>
      </c>
      <c r="AB236" s="42">
        <f>X236*VLOOKUP($B236,Types!$B$2:$D$13,3,FALSE)*Conv!$I$5*1000*365</f>
        <v>22.621990688521198</v>
      </c>
      <c r="AC236" s="42">
        <f>Y236*VLOOKUP($B236,Types!$B$2:$D$13,3,FALSE)*Conv!$I$5*1000*365</f>
        <v>11.317159374420958</v>
      </c>
      <c r="AD236" s="42">
        <f>Z236*VLOOKUP($B236,Types!$B$2:$D$13,3,FALSE)*Conv!$I$5*1000*365</f>
        <v>12.488325104889361</v>
      </c>
      <c r="AE236" s="42">
        <f>AA236*VLOOKUP($B236,Types!$B$2:$D$13,3,FALSE)*Conv!$I$5*1000*365</f>
        <v>13.795099498885678</v>
      </c>
      <c r="AF236" s="42">
        <f>AB236-AF235</f>
        <v>2.5135545209467942</v>
      </c>
      <c r="AG236" s="42">
        <f t="shared" ref="AG236" si="1201">AC236-AG235</f>
        <v>1.2574621527134404</v>
      </c>
      <c r="AH236" s="42">
        <f t="shared" ref="AH236" si="1202">AD236-AH235</f>
        <v>1.3875916783210389</v>
      </c>
      <c r="AI236" s="42">
        <f t="shared" ref="AI236" si="1203">AE236-AI235</f>
        <v>1.5327888332095192</v>
      </c>
      <c r="AJ236" s="42"/>
      <c r="AK236" s="42"/>
      <c r="AL236" s="42"/>
    </row>
    <row r="237" spans="1:38">
      <c r="A237" s="9" t="str">
        <f t="shared" si="1198"/>
        <v>LPG</v>
      </c>
      <c r="B237" s="9" t="str">
        <f>VLOOKUP($A237,Types!$A$2:$C$13,2,FALSE)</f>
        <v>LPG</v>
      </c>
      <c r="C237" s="9">
        <v>4</v>
      </c>
      <c r="D237" s="9">
        <v>4</v>
      </c>
      <c r="E237" s="9" t="str">
        <f t="shared" si="989"/>
        <v>IMPLPGP44</v>
      </c>
      <c r="F237" s="9" t="str">
        <f>CONCATENATE("Imported ",VLOOKUP($A237,Types!$A$2:$C$13,3,FALSE),", PADD ",D237,", Step ",RIGHT(C237,1))</f>
        <v>Imported LPG, PADD 4, Step 4</v>
      </c>
      <c r="G237" s="9" t="str">
        <f>CONCATENATE(VLOOKUP($A237,Types!$A$2:$C$13,2,FALSE),"P",D237)</f>
        <v>LPGP4</v>
      </c>
      <c r="H237" s="66">
        <f>H234*$C$8</f>
        <v>34.543190000000003</v>
      </c>
      <c r="I237" s="66">
        <f t="shared" ref="I237:K237" si="1204">I234*$C$8</f>
        <v>34.171500000000002</v>
      </c>
      <c r="J237" s="66">
        <f t="shared" si="1204"/>
        <v>31.065000000000001</v>
      </c>
      <c r="K237" s="66">
        <f t="shared" si="1204"/>
        <v>31.065000000000001</v>
      </c>
      <c r="L237" s="67">
        <f>H237*Conv!$J$20/10^6/VLOOKUP($B237,Types!$B$2:$D$13,3,FALSE)/Conv!$I$5</f>
        <v>14.124284649925904</v>
      </c>
      <c r="M237" s="67">
        <f>I237*Conv!$J$20/10^6/VLOOKUP($B237,Types!$B$2:$D$13,3,FALSE)/Conv!$I$5</f>
        <v>13.972305189964885</v>
      </c>
      <c r="N237" s="67" t="e">
        <f>M237*#REF!</f>
        <v>#REF!</v>
      </c>
      <c r="O237" s="67" t="e">
        <f>N237*#REF!</f>
        <v>#REF!</v>
      </c>
      <c r="P237" s="67" t="e">
        <f>O237*#REF!</f>
        <v>#REF!</v>
      </c>
      <c r="Q237" s="67" t="e">
        <f>P237*#REF!</f>
        <v>#REF!</v>
      </c>
      <c r="R237" s="67" t="e">
        <f>Q237*#REF!</f>
        <v>#REF!</v>
      </c>
      <c r="S237" s="67" t="e">
        <f>R237*#REF!</f>
        <v>#REF!</v>
      </c>
      <c r="T237" s="67" t="e">
        <f>S237*#REF!</f>
        <v>#REF!</v>
      </c>
      <c r="U237" s="67" t="e">
        <f>T237*#REF!</f>
        <v>#REF!</v>
      </c>
      <c r="V237" s="67" t="e">
        <f>U237*#REF!</f>
        <v>#REF!</v>
      </c>
      <c r="W237" s="42"/>
      <c r="X237" s="9">
        <f>X234*$E$8</f>
        <v>22.02</v>
      </c>
      <c r="Y237" s="9">
        <f t="shared" ref="Y237:AA237" si="1205">Y234*$E$8</f>
        <v>11.016</v>
      </c>
      <c r="Z237" s="9">
        <f t="shared" si="1205"/>
        <v>12.156000000000001</v>
      </c>
      <c r="AA237" s="9">
        <f t="shared" si="1205"/>
        <v>13.427999999999999</v>
      </c>
      <c r="AB237" s="42">
        <f>X237*VLOOKUP($B237,Types!$B$2:$D$13,3,FALSE)*Conv!$I$5*1000*365</f>
        <v>30.162654251361591</v>
      </c>
      <c r="AC237" s="42">
        <f>Y237*VLOOKUP($B237,Types!$B$2:$D$13,3,FALSE)*Conv!$I$5*1000*365</f>
        <v>15.08954583256128</v>
      </c>
      <c r="AD237" s="42">
        <f>Z237*VLOOKUP($B237,Types!$B$2:$D$13,3,FALSE)*Conv!$I$5*1000*365</f>
        <v>16.651100139852481</v>
      </c>
      <c r="AE237" s="42">
        <f>AA237*VLOOKUP($B237,Types!$B$2:$D$13,3,FALSE)*Conv!$I$5*1000*365</f>
        <v>18.393465998514234</v>
      </c>
      <c r="AF237" s="42">
        <f>AB237-AB234</f>
        <v>5.027109041893592</v>
      </c>
      <c r="AG237" s="42">
        <f t="shared" ref="AG237" si="1206">AC237-AC234</f>
        <v>2.5149243054268808</v>
      </c>
      <c r="AH237" s="42">
        <f t="shared" ref="AH237" si="1207">AD237-AD234</f>
        <v>2.7751833566420832</v>
      </c>
      <c r="AI237" s="42">
        <f t="shared" ref="AI237" si="1208">AE237-AE234</f>
        <v>3.0655776664190348</v>
      </c>
      <c r="AJ237" s="42"/>
      <c r="AK237" s="42"/>
      <c r="AL237" s="42"/>
    </row>
    <row r="238" spans="1:38">
      <c r="A238" s="9" t="str">
        <f t="shared" si="1198"/>
        <v>LPG</v>
      </c>
      <c r="B238" s="9" t="str">
        <f>VLOOKUP($A238,Types!$A$2:$C$13,2,FALSE)</f>
        <v>LPG</v>
      </c>
      <c r="C238" s="9">
        <v>5</v>
      </c>
      <c r="D238" s="9">
        <v>4</v>
      </c>
      <c r="E238" s="9" t="str">
        <f t="shared" si="989"/>
        <v>IMPLPGP45</v>
      </c>
      <c r="F238" s="9" t="str">
        <f>CONCATENATE("Imported ",VLOOKUP($A238,Types!$A$2:$C$13,3,FALSE),", PADD ",D238,", Step ",RIGHT(C238,1))</f>
        <v>Imported LPG, PADD 4, Step 5</v>
      </c>
      <c r="G238" s="9" t="str">
        <f>CONCATENATE(VLOOKUP($A238,Types!$A$2:$C$13,2,FALSE),"P",D238)</f>
        <v>LPGP4</v>
      </c>
      <c r="H238" s="66">
        <f>H234*$C$9</f>
        <v>41.198300000000003</v>
      </c>
      <c r="I238" s="66">
        <f t="shared" ref="I238:K238" si="1209">I234*$C$9</f>
        <v>40.755000000000003</v>
      </c>
      <c r="J238" s="66">
        <f t="shared" si="1209"/>
        <v>37.050000000000004</v>
      </c>
      <c r="K238" s="66">
        <f t="shared" si="1209"/>
        <v>37.050000000000004</v>
      </c>
      <c r="L238" s="67">
        <f>H238*Conv!$J$20/10^6/VLOOKUP($B238,Types!$B$2:$D$13,3,FALSE)/Conv!$I$5</f>
        <v>16.845477105416219</v>
      </c>
      <c r="M238" s="67">
        <f>I238*Conv!$J$20/10^6/VLOOKUP($B238,Types!$B$2:$D$13,3,FALSE)/Conv!$I$5</f>
        <v>16.664217199040689</v>
      </c>
      <c r="N238" s="67" t="e">
        <f>M238*#REF!</f>
        <v>#REF!</v>
      </c>
      <c r="O238" s="67" t="e">
        <f>N238*#REF!</f>
        <v>#REF!</v>
      </c>
      <c r="P238" s="67" t="e">
        <f>O238*#REF!</f>
        <v>#REF!</v>
      </c>
      <c r="Q238" s="67" t="e">
        <f>P238*#REF!</f>
        <v>#REF!</v>
      </c>
      <c r="R238" s="67" t="e">
        <f>Q238*#REF!</f>
        <v>#REF!</v>
      </c>
      <c r="S238" s="67" t="e">
        <f>R238*#REF!</f>
        <v>#REF!</v>
      </c>
      <c r="T238" s="67" t="e">
        <f>S238*#REF!</f>
        <v>#REF!</v>
      </c>
      <c r="U238" s="67" t="e">
        <f>T238*#REF!</f>
        <v>#REF!</v>
      </c>
      <c r="V238" s="67" t="e">
        <f>U238*#REF!</f>
        <v>#REF!</v>
      </c>
      <c r="W238" s="42"/>
      <c r="X238" s="9">
        <f>X234*$E$9</f>
        <v>36.700000000000003</v>
      </c>
      <c r="Y238" s="9">
        <f t="shared" ref="Y238:AA238" si="1210">Y234*$E$9</f>
        <v>18.36</v>
      </c>
      <c r="Z238" s="9">
        <f t="shared" si="1210"/>
        <v>20.260000000000002</v>
      </c>
      <c r="AA238" s="9">
        <f t="shared" si="1210"/>
        <v>22.38</v>
      </c>
      <c r="AB238" s="42">
        <f>X238*VLOOKUP($B238,Types!$B$2:$D$13,3,FALSE)*Conv!$I$5*1000*365</f>
        <v>50.271090418935998</v>
      </c>
      <c r="AC238" s="42">
        <f>Y238*VLOOKUP($B238,Types!$B$2:$D$13,3,FALSE)*Conv!$I$5*1000*365</f>
        <v>25.149243054268798</v>
      </c>
      <c r="AD238" s="42">
        <f>Z238*VLOOKUP($B238,Types!$B$2:$D$13,3,FALSE)*Conv!$I$5*1000*365</f>
        <v>27.751833566420796</v>
      </c>
      <c r="AE238" s="42">
        <f>AA238*VLOOKUP($B238,Types!$B$2:$D$13,3,FALSE)*Conv!$I$5*1000*365</f>
        <v>30.655776664190398</v>
      </c>
      <c r="AF238" s="42">
        <f>AB238-AB237</f>
        <v>20.108436167574407</v>
      </c>
      <c r="AG238" s="42">
        <f t="shared" ref="AG238" si="1211">AC238-AC237</f>
        <v>10.059697221707518</v>
      </c>
      <c r="AH238" s="42">
        <f t="shared" ref="AH238" si="1212">AD238-AD237</f>
        <v>11.100733426568315</v>
      </c>
      <c r="AI238" s="42">
        <f t="shared" ref="AI238" si="1213">AE238-AE237</f>
        <v>12.262310665676164</v>
      </c>
      <c r="AJ238" s="42"/>
      <c r="AK238" s="42"/>
      <c r="AL238" s="42"/>
    </row>
    <row r="239" spans="1:38">
      <c r="A239" s="9" t="str">
        <f>'Agg prdcrv'!$A$14</f>
        <v>Petchem. Feedstocks</v>
      </c>
      <c r="B239" s="9" t="str">
        <f>VLOOKUP($A239,Types!$A$2:$C$13,2,FALSE)</f>
        <v>PFS</v>
      </c>
      <c r="C239" s="9">
        <v>3</v>
      </c>
      <c r="D239" s="9">
        <v>4</v>
      </c>
      <c r="E239" s="9" t="str">
        <f t="shared" si="989"/>
        <v>IMPPFSP43</v>
      </c>
      <c r="F239" s="9" t="str">
        <f>CONCATENATE("Imported ",VLOOKUP($A239,Types!$A$2:$C$13,3,FALSE),", PADD ",D239,", Step ",RIGHT(C239,1))</f>
        <v>Imported Petrochemical Feedstocks, PADD 4, Step 3</v>
      </c>
      <c r="G239" s="9" t="str">
        <f>CONCATENATE(VLOOKUP($A239,Types!$A$2:$C$13,2,FALSE),"P",D239)</f>
        <v>PFSP4</v>
      </c>
      <c r="H239" s="66">
        <f>SUMIFS('Agg prdcrv'!$O$6:$O$100,'Agg prdcrv'!$A$6:$A$100,'Imp Refined'!$A239,'Agg prdcrv'!$B$6:$B$100,H$11)*K4</f>
        <v>39.908000000000001</v>
      </c>
      <c r="I239" s="66">
        <f>SUMIFS('Agg prdcrv'!$O$6:$O$100,'Agg prdcrv'!$A$6:$A$100,'Imp Refined'!$A239,'Agg prdcrv'!$B$6:$B$100,I$11)*K4</f>
        <v>29.59</v>
      </c>
      <c r="J239" s="66">
        <f t="array" ref="J239">SUMIFS('Agg prdcrv'!$O$6:$O$100,'Agg prdcrv'!$A$6:$A$100,'Imp Refined'!$A239,'Agg prdcrv'!$B$6:$B$100,J$11)</f>
        <v>21.68</v>
      </c>
      <c r="K239" s="66">
        <f t="array" ref="K239">SUMIFS('Agg prdcrv'!$O$6:$O$100,'Agg prdcrv'!$A$6:$A$100,'Imp Refined'!$A239,'Agg prdcrv'!$B$6:$B$100,K$11)</f>
        <v>24.09</v>
      </c>
      <c r="L239" s="67">
        <f>H239*Conv!$J$20/10^6/VLOOKUP($B239,Types!$B$2:$D$13,3,FALSE)/Conv!$I$5</f>
        <v>10.199039250757771</v>
      </c>
      <c r="M239" s="67">
        <f>I239*Conv!$J$20/10^6/VLOOKUP($B239,Types!$B$2:$D$13,3,FALSE)/Conv!$I$5</f>
        <v>7.5621321897845659</v>
      </c>
      <c r="N239" s="67" t="e">
        <f>M239*#REF!</f>
        <v>#REF!</v>
      </c>
      <c r="O239" s="67" t="e">
        <f>N239*#REF!</f>
        <v>#REF!</v>
      </c>
      <c r="P239" s="67" t="e">
        <f>O239*#REF!</f>
        <v>#REF!</v>
      </c>
      <c r="Q239" s="67" t="e">
        <f>P239*#REF!</f>
        <v>#REF!</v>
      </c>
      <c r="R239" s="67" t="e">
        <f>Q239*#REF!</f>
        <v>#REF!</v>
      </c>
      <c r="S239" s="67" t="e">
        <f>R239*#REF!</f>
        <v>#REF!</v>
      </c>
      <c r="T239" s="67" t="e">
        <f>S239*#REF!</f>
        <v>#REF!</v>
      </c>
      <c r="U239" s="67" t="e">
        <f>T239*#REF!</f>
        <v>#REF!</v>
      </c>
      <c r="V239" s="67" t="e">
        <f>U239*#REF!</f>
        <v>#REF!</v>
      </c>
      <c r="W239" s="42"/>
      <c r="X239" s="9">
        <f t="array" ref="X239">SUMIFS('Agg prdcrv'!$G$6:$G$100,'Agg prdcrv'!$A$6:$A$100,'Imp Refined'!$A239,'Agg prdcrv'!$B$6:$B$100,X$11)</f>
        <v>0</v>
      </c>
      <c r="Y239" s="9">
        <f t="array" ref="Y239">SUMIFS('Agg prdcrv'!$G$6:$G$100,'Agg prdcrv'!$A$6:$A$100,'Imp Refined'!$A239,'Agg prdcrv'!$B$6:$B$100,Y$11)</f>
        <v>0</v>
      </c>
      <c r="Z239" s="9">
        <f t="array" ref="Z239">SUMIFS('Agg prdcrv'!$G$6:$G$100,'Agg prdcrv'!$A$6:$A$100,'Imp Refined'!$A239,'Agg prdcrv'!$B$6:$B$100,Z$11)</f>
        <v>0</v>
      </c>
      <c r="AA239" s="9">
        <f t="array" ref="AA239">SUMIFS('Agg prdcrv'!$G$6:$G$100,'Agg prdcrv'!$A$6:$A$100,'Imp Refined'!$A239,'Agg prdcrv'!$B$6:$B$100,AA$11)</f>
        <v>0</v>
      </c>
      <c r="AB239" s="42">
        <f>X239*VLOOKUP($B239,Types!$B$2:$D$13,3,FALSE)*Conv!$I$5*1000*365</f>
        <v>0</v>
      </c>
      <c r="AC239" s="42">
        <f>Y239*VLOOKUP($B239,Types!$B$2:$D$13,3,FALSE)*Conv!$I$5*1000*365</f>
        <v>0</v>
      </c>
      <c r="AD239" s="42">
        <f>Z239*VLOOKUP($B239,Types!$B$2:$D$13,3,FALSE)*Conv!$I$5*1000*365</f>
        <v>0</v>
      </c>
      <c r="AE239" s="42">
        <f>AA239*VLOOKUP($B239,Types!$B$2:$D$13,3,FALSE)*Conv!$I$5*1000*365</f>
        <v>0</v>
      </c>
      <c r="AF239" s="42">
        <f>AB239-AB241</f>
        <v>0</v>
      </c>
      <c r="AG239" s="42">
        <f t="shared" ref="AG239" si="1214">AC239-AC241</f>
        <v>0</v>
      </c>
      <c r="AH239" s="42">
        <f t="shared" ref="AH239" si="1215">AD239-AD241</f>
        <v>0</v>
      </c>
      <c r="AI239" s="42">
        <f t="shared" ref="AI239" si="1216">AE239-AE241</f>
        <v>0</v>
      </c>
      <c r="AJ239" s="42"/>
      <c r="AK239" s="42"/>
      <c r="AL239" s="42"/>
    </row>
    <row r="240" spans="1:38">
      <c r="A240" s="9" t="str">
        <f>A239</f>
        <v>Petchem. Feedstocks</v>
      </c>
      <c r="B240" s="9" t="str">
        <f>VLOOKUP($A240,Types!$A$2:$C$13,2,FALSE)</f>
        <v>PFS</v>
      </c>
      <c r="C240" s="9">
        <v>1</v>
      </c>
      <c r="D240" s="9">
        <v>4</v>
      </c>
      <c r="E240" s="9" t="str">
        <f t="shared" si="989"/>
        <v>IMPPFSP41</v>
      </c>
      <c r="F240" s="9" t="str">
        <f>CONCATENATE("Imported ",VLOOKUP($A240,Types!$A$2:$C$13,3,FALSE),", PADD ",D240,", Step ",RIGHT(C240,1))</f>
        <v>Imported Petrochemical Feedstocks, PADD 4, Step 1</v>
      </c>
      <c r="G240" s="9" t="str">
        <f>CONCATENATE(VLOOKUP($A240,Types!$A$2:$C$13,2,FALSE),"P",D240)</f>
        <v>PFSP4</v>
      </c>
      <c r="H240" s="66">
        <f>H239*$C$5</f>
        <v>37.912599999999998</v>
      </c>
      <c r="I240" s="66">
        <f t="shared" ref="I240" si="1217">I239*$C$5</f>
        <v>28.110499999999998</v>
      </c>
      <c r="J240" s="66">
        <f t="shared" ref="J240" si="1218">J239*$C$5</f>
        <v>20.596</v>
      </c>
      <c r="K240" s="66">
        <f t="shared" ref="K240" si="1219">K239*$C$5</f>
        <v>22.8855</v>
      </c>
      <c r="L240" s="67">
        <f>H240*Conv!$J$20/10^6/VLOOKUP($B240,Types!$B$2:$D$13,3,FALSE)/Conv!$I$5</f>
        <v>9.6890872882198806</v>
      </c>
      <c r="M240" s="67">
        <f>I240*Conv!$J$20/10^6/VLOOKUP($B240,Types!$B$2:$D$13,3,FALSE)/Conv!$I$5</f>
        <v>7.1840255802953363</v>
      </c>
      <c r="N240" s="67" t="e">
        <f>M240*#REF!</f>
        <v>#REF!</v>
      </c>
      <c r="O240" s="67" t="e">
        <f>N240*#REF!</f>
        <v>#REF!</v>
      </c>
      <c r="P240" s="67" t="e">
        <f>O240*#REF!</f>
        <v>#REF!</v>
      </c>
      <c r="Q240" s="67" t="e">
        <f>P240*#REF!</f>
        <v>#REF!</v>
      </c>
      <c r="R240" s="67" t="e">
        <f>Q240*#REF!</f>
        <v>#REF!</v>
      </c>
      <c r="S240" s="67" t="e">
        <f>R240*#REF!</f>
        <v>#REF!</v>
      </c>
      <c r="T240" s="67" t="e">
        <f>S240*#REF!</f>
        <v>#REF!</v>
      </c>
      <c r="U240" s="67" t="e">
        <f>T240*#REF!</f>
        <v>#REF!</v>
      </c>
      <c r="V240" s="67" t="e">
        <f>U240*#REF!</f>
        <v>#REF!</v>
      </c>
      <c r="W240" s="42"/>
      <c r="X240" s="9">
        <f>X239*$E$5</f>
        <v>0</v>
      </c>
      <c r="Y240" s="9">
        <f t="shared" ref="Y240" si="1220">Y239*$E$5</f>
        <v>0</v>
      </c>
      <c r="Z240" s="9">
        <f t="shared" ref="Z240" si="1221">Z239*$E$5</f>
        <v>0</v>
      </c>
      <c r="AA240" s="9">
        <f t="shared" ref="AA240" si="1222">AA239*$E$5</f>
        <v>0</v>
      </c>
      <c r="AB240" s="42">
        <f>X240*VLOOKUP($B240,Types!$B$2:$D$13,3,FALSE)*Conv!$I$5*1000*365</f>
        <v>0</v>
      </c>
      <c r="AC240" s="42">
        <f>Y240*VLOOKUP($B240,Types!$B$2:$D$13,3,FALSE)*Conv!$I$5*1000*365</f>
        <v>0</v>
      </c>
      <c r="AD240" s="42">
        <f>Z240*VLOOKUP($B240,Types!$B$2:$D$13,3,FALSE)*Conv!$I$5*1000*365</f>
        <v>0</v>
      </c>
      <c r="AE240" s="42">
        <f>AA240*VLOOKUP($B240,Types!$B$2:$D$13,3,FALSE)*Conv!$I$5*1000*365</f>
        <v>0</v>
      </c>
      <c r="AF240" s="42">
        <f>AB240</f>
        <v>0</v>
      </c>
      <c r="AG240" s="42">
        <f t="shared" ref="AG240" si="1223">AC240</f>
        <v>0</v>
      </c>
      <c r="AH240" s="42">
        <f t="shared" ref="AH240" si="1224">AD240</f>
        <v>0</v>
      </c>
      <c r="AI240" s="42">
        <f t="shared" ref="AI240" si="1225">AE240</f>
        <v>0</v>
      </c>
      <c r="AJ240" s="42"/>
      <c r="AK240" s="42"/>
      <c r="AL240" s="42"/>
    </row>
    <row r="241" spans="1:38">
      <c r="A241" s="9" t="str">
        <f t="shared" ref="A241:A242" si="1226">A240</f>
        <v>Petchem. Feedstocks</v>
      </c>
      <c r="B241" s="9" t="str">
        <f>VLOOKUP($A241,Types!$A$2:$C$13,2,FALSE)</f>
        <v>PFS</v>
      </c>
      <c r="C241" s="9">
        <v>2</v>
      </c>
      <c r="D241" s="9">
        <v>4</v>
      </c>
      <c r="E241" s="9" t="str">
        <f t="shared" si="989"/>
        <v>IMPPFSP42</v>
      </c>
      <c r="F241" s="9" t="str">
        <f>CONCATENATE("Imported ",VLOOKUP($A241,Types!$A$2:$C$13,3,FALSE),", PADD ",D241,", Step ",RIGHT(C241,1))</f>
        <v>Imported Petrochemical Feedstocks, PADD 4, Step 2</v>
      </c>
      <c r="G241" s="9" t="str">
        <f>CONCATENATE(VLOOKUP($A241,Types!$A$2:$C$13,2,FALSE),"P",D241)</f>
        <v>PFSP4</v>
      </c>
      <c r="H241" s="66">
        <f>H239*$C$6</f>
        <v>39.109839999999998</v>
      </c>
      <c r="I241" s="66">
        <f t="shared" ref="I241:K241" si="1227">I239*$C$6</f>
        <v>28.998200000000001</v>
      </c>
      <c r="J241" s="66">
        <f t="shared" si="1227"/>
        <v>21.246399999999998</v>
      </c>
      <c r="K241" s="66">
        <f t="shared" si="1227"/>
        <v>23.6082</v>
      </c>
      <c r="L241" s="67">
        <f>H241*Conv!$J$20/10^6/VLOOKUP($B241,Types!$B$2:$D$13,3,FALSE)/Conv!$I$5</f>
        <v>9.9950584657426145</v>
      </c>
      <c r="M241" s="67">
        <f>I241*Conv!$J$20/10^6/VLOOKUP($B241,Types!$B$2:$D$13,3,FALSE)/Conv!$I$5</f>
        <v>7.4108895459888746</v>
      </c>
      <c r="N241" s="67" t="e">
        <f>M241*#REF!</f>
        <v>#REF!</v>
      </c>
      <c r="O241" s="67" t="e">
        <f>N241*#REF!</f>
        <v>#REF!</v>
      </c>
      <c r="P241" s="67" t="e">
        <f>O241*#REF!</f>
        <v>#REF!</v>
      </c>
      <c r="Q241" s="67" t="e">
        <f>P241*#REF!</f>
        <v>#REF!</v>
      </c>
      <c r="R241" s="67" t="e">
        <f>Q241*#REF!</f>
        <v>#REF!</v>
      </c>
      <c r="S241" s="67" t="e">
        <f>R241*#REF!</f>
        <v>#REF!</v>
      </c>
      <c r="T241" s="67" t="e">
        <f>S241*#REF!</f>
        <v>#REF!</v>
      </c>
      <c r="U241" s="67" t="e">
        <f>T241*#REF!</f>
        <v>#REF!</v>
      </c>
      <c r="V241" s="67" t="e">
        <f>U241*#REF!</f>
        <v>#REF!</v>
      </c>
      <c r="W241" s="42"/>
      <c r="X241" s="9">
        <f>X239*$E$6</f>
        <v>0</v>
      </c>
      <c r="Y241" s="9">
        <f t="shared" ref="Y241:AA241" si="1228">Y239*$E$6</f>
        <v>0</v>
      </c>
      <c r="Z241" s="9">
        <f t="shared" si="1228"/>
        <v>0</v>
      </c>
      <c r="AA241" s="9">
        <f t="shared" si="1228"/>
        <v>0</v>
      </c>
      <c r="AB241" s="42">
        <f>X241*VLOOKUP($B241,Types!$B$2:$D$13,3,FALSE)*Conv!$I$5*1000*365</f>
        <v>0</v>
      </c>
      <c r="AC241" s="42">
        <f>Y241*VLOOKUP($B241,Types!$B$2:$D$13,3,FALSE)*Conv!$I$5*1000*365</f>
        <v>0</v>
      </c>
      <c r="AD241" s="42">
        <f>Z241*VLOOKUP($B241,Types!$B$2:$D$13,3,FALSE)*Conv!$I$5*1000*365</f>
        <v>0</v>
      </c>
      <c r="AE241" s="42">
        <f>AA241*VLOOKUP($B241,Types!$B$2:$D$13,3,FALSE)*Conv!$I$5*1000*365</f>
        <v>0</v>
      </c>
      <c r="AF241" s="42">
        <f>AB241-AF240</f>
        <v>0</v>
      </c>
      <c r="AG241" s="42">
        <f t="shared" ref="AG241" si="1229">AC241-AG240</f>
        <v>0</v>
      </c>
      <c r="AH241" s="42">
        <f t="shared" ref="AH241" si="1230">AD241-AH240</f>
        <v>0</v>
      </c>
      <c r="AI241" s="42">
        <f t="shared" ref="AI241" si="1231">AE241-AI240</f>
        <v>0</v>
      </c>
      <c r="AJ241" s="42"/>
      <c r="AK241" s="42"/>
      <c r="AL241" s="42"/>
    </row>
    <row r="242" spans="1:38">
      <c r="A242" s="9" t="str">
        <f t="shared" si="1226"/>
        <v>Petchem. Feedstocks</v>
      </c>
      <c r="B242" s="9" t="str">
        <f>VLOOKUP($A242,Types!$A$2:$C$13,2,FALSE)</f>
        <v>PFS</v>
      </c>
      <c r="C242" s="9">
        <v>4</v>
      </c>
      <c r="D242" s="9">
        <v>4</v>
      </c>
      <c r="E242" s="9" t="str">
        <f t="shared" si="989"/>
        <v>IMPPFSP44</v>
      </c>
      <c r="F242" s="9" t="str">
        <f>CONCATENATE("Imported ",VLOOKUP($A242,Types!$A$2:$C$13,3,FALSE),", PADD ",D242,", Step ",RIGHT(C242,1))</f>
        <v>Imported Petrochemical Feedstocks, PADD 4, Step 4</v>
      </c>
      <c r="G242" s="9" t="str">
        <f>CONCATENATE(VLOOKUP($A242,Types!$A$2:$C$13,2,FALSE),"P",D242)</f>
        <v>PFSP4</v>
      </c>
      <c r="H242" s="66">
        <f>H239*$C$8</f>
        <v>43.499720000000003</v>
      </c>
      <c r="I242" s="66">
        <f t="shared" ref="I242:K242" si="1232">I239*$C$8</f>
        <v>32.253100000000003</v>
      </c>
      <c r="J242" s="66">
        <f t="shared" si="1232"/>
        <v>23.6312</v>
      </c>
      <c r="K242" s="66">
        <f t="shared" si="1232"/>
        <v>26.258100000000002</v>
      </c>
      <c r="L242" s="67">
        <f>H242*Conv!$J$20/10^6/VLOOKUP($B242,Types!$B$2:$D$13,3,FALSE)/Conv!$I$5</f>
        <v>11.116952783325969</v>
      </c>
      <c r="M242" s="67">
        <f>I242*Conv!$J$20/10^6/VLOOKUP($B242,Types!$B$2:$D$13,3,FALSE)/Conv!$I$5</f>
        <v>8.2427240868651772</v>
      </c>
      <c r="N242" s="67" t="e">
        <f>M242*#REF!</f>
        <v>#REF!</v>
      </c>
      <c r="O242" s="67" t="e">
        <f>N242*#REF!</f>
        <v>#REF!</v>
      </c>
      <c r="P242" s="67" t="e">
        <f>O242*#REF!</f>
        <v>#REF!</v>
      </c>
      <c r="Q242" s="67" t="e">
        <f>P242*#REF!</f>
        <v>#REF!</v>
      </c>
      <c r="R242" s="67" t="e">
        <f>Q242*#REF!</f>
        <v>#REF!</v>
      </c>
      <c r="S242" s="67" t="e">
        <f>R242*#REF!</f>
        <v>#REF!</v>
      </c>
      <c r="T242" s="67" t="e">
        <f>S242*#REF!</f>
        <v>#REF!</v>
      </c>
      <c r="U242" s="67" t="e">
        <f>T242*#REF!</f>
        <v>#REF!</v>
      </c>
      <c r="V242" s="67" t="e">
        <f>U242*#REF!</f>
        <v>#REF!</v>
      </c>
      <c r="W242" s="42"/>
      <c r="X242" s="9">
        <f>X239*$E$8</f>
        <v>0</v>
      </c>
      <c r="Y242" s="9">
        <f t="shared" ref="Y242:AA242" si="1233">Y239*$E$8</f>
        <v>0</v>
      </c>
      <c r="Z242" s="9">
        <f t="shared" si="1233"/>
        <v>0</v>
      </c>
      <c r="AA242" s="9">
        <f t="shared" si="1233"/>
        <v>0</v>
      </c>
      <c r="AB242" s="42">
        <f>X242*VLOOKUP($B242,Types!$B$2:$D$13,3,FALSE)*Conv!$I$5*1000*365</f>
        <v>0</v>
      </c>
      <c r="AC242" s="42">
        <f>Y242*VLOOKUP($B242,Types!$B$2:$D$13,3,FALSE)*Conv!$I$5*1000*365</f>
        <v>0</v>
      </c>
      <c r="AD242" s="42">
        <f>Z242*VLOOKUP($B242,Types!$B$2:$D$13,3,FALSE)*Conv!$I$5*1000*365</f>
        <v>0</v>
      </c>
      <c r="AE242" s="42">
        <f>AA242*VLOOKUP($B242,Types!$B$2:$D$13,3,FALSE)*Conv!$I$5*1000*365</f>
        <v>0</v>
      </c>
      <c r="AF242" s="42">
        <f>AB242-AB239</f>
        <v>0</v>
      </c>
      <c r="AG242" s="42">
        <f t="shared" ref="AG242" si="1234">AC242-AC239</f>
        <v>0</v>
      </c>
      <c r="AH242" s="42">
        <f t="shared" ref="AH242" si="1235">AD242-AD239</f>
        <v>0</v>
      </c>
      <c r="AI242" s="42">
        <f t="shared" ref="AI242" si="1236">AE242-AE239</f>
        <v>0</v>
      </c>
      <c r="AJ242" s="42"/>
      <c r="AK242" s="42"/>
      <c r="AL242" s="42"/>
    </row>
    <row r="243" spans="1:38">
      <c r="A243" s="9" t="str">
        <f>A242</f>
        <v>Petchem. Feedstocks</v>
      </c>
      <c r="B243" s="9" t="str">
        <f>VLOOKUP($A243,Types!$A$2:$C$13,2,FALSE)</f>
        <v>PFS</v>
      </c>
      <c r="C243" s="9">
        <v>5</v>
      </c>
      <c r="D243" s="9">
        <v>4</v>
      </c>
      <c r="E243" s="9" t="str">
        <f>CONCATENATE("IMP",G243,RIGHT(C243,1))</f>
        <v>IMPPFSP45</v>
      </c>
      <c r="F243" s="9" t="str">
        <f>CONCATENATE("Imported ",VLOOKUP($A243,Types!$A$2:$C$13,3,FALSE),", PADD ",D243,", Step ",RIGHT(C243,1))</f>
        <v>Imported Petrochemical Feedstocks, PADD 4, Step 5</v>
      </c>
      <c r="G243" s="9" t="str">
        <f>CONCATENATE(VLOOKUP($A243,Types!$A$2:$C$13,2,FALSE),"P",D243)</f>
        <v>PFSP4</v>
      </c>
      <c r="H243" s="66">
        <f>H239*$C$9</f>
        <v>51.880400000000002</v>
      </c>
      <c r="I243" s="66">
        <f t="shared" ref="I243:K243" si="1237">I239*$C$9</f>
        <v>38.466999999999999</v>
      </c>
      <c r="J243" s="66">
        <f t="shared" si="1237"/>
        <v>28.184000000000001</v>
      </c>
      <c r="K243" s="66">
        <f t="shared" si="1237"/>
        <v>31.317</v>
      </c>
      <c r="L243" s="67">
        <f>H243*Conv!$J$20/10^6/VLOOKUP($B243,Types!$B$2:$D$13,3,FALSE)/Conv!$I$5</f>
        <v>13.2587510259851</v>
      </c>
      <c r="M243" s="67">
        <f>I243*Conv!$J$20/10^6/VLOOKUP($B243,Types!$B$2:$D$13,3,FALSE)/Conv!$I$5</f>
        <v>9.8307718467199336</v>
      </c>
      <c r="N243" s="67" t="e">
        <f>M243*#REF!</f>
        <v>#REF!</v>
      </c>
      <c r="O243" s="67" t="e">
        <f>N243*#REF!</f>
        <v>#REF!</v>
      </c>
      <c r="P243" s="67" t="e">
        <f>O243*#REF!</f>
        <v>#REF!</v>
      </c>
      <c r="Q243" s="67" t="e">
        <f>P243*#REF!</f>
        <v>#REF!</v>
      </c>
      <c r="R243" s="67" t="e">
        <f>Q243*#REF!</f>
        <v>#REF!</v>
      </c>
      <c r="S243" s="67" t="e">
        <f>R243*#REF!</f>
        <v>#REF!</v>
      </c>
      <c r="T243" s="67" t="e">
        <f>S243*#REF!</f>
        <v>#REF!</v>
      </c>
      <c r="U243" s="67" t="e">
        <f>T243*#REF!</f>
        <v>#REF!</v>
      </c>
      <c r="V243" s="67" t="e">
        <f>U243*#REF!</f>
        <v>#REF!</v>
      </c>
      <c r="W243" s="42"/>
      <c r="X243" s="9">
        <f>X239*$E$9</f>
        <v>0</v>
      </c>
      <c r="Y243" s="9">
        <f t="shared" ref="Y243:AA243" si="1238">Y239*$E$9</f>
        <v>0</v>
      </c>
      <c r="Z243" s="9">
        <f t="shared" si="1238"/>
        <v>0</v>
      </c>
      <c r="AA243" s="9">
        <f t="shared" si="1238"/>
        <v>0</v>
      </c>
      <c r="AB243" s="42">
        <f>X243*VLOOKUP($B243,Types!$B$2:$D$13,3,FALSE)*Conv!$I$5*1000*365</f>
        <v>0</v>
      </c>
      <c r="AC243" s="42">
        <f>Y243*VLOOKUP($B243,Types!$B$2:$D$13,3,FALSE)*Conv!$I$5*1000*365</f>
        <v>0</v>
      </c>
      <c r="AD243" s="42">
        <f>Z243*VLOOKUP($B243,Types!$B$2:$D$13,3,FALSE)*Conv!$I$5*1000*365</f>
        <v>0</v>
      </c>
      <c r="AE243" s="42">
        <f>AA243*VLOOKUP($B243,Types!$B$2:$D$13,3,FALSE)*Conv!$I$5*1000*365</f>
        <v>0</v>
      </c>
      <c r="AF243" s="42">
        <f>AB243-AB242</f>
        <v>0</v>
      </c>
      <c r="AG243" s="42">
        <f t="shared" ref="AG243" si="1239">AC243-AC242</f>
        <v>0</v>
      </c>
      <c r="AH243" s="42">
        <f t="shared" ref="AH243" si="1240">AD243-AD242</f>
        <v>0</v>
      </c>
      <c r="AI243" s="42">
        <f t="shared" ref="AI243" si="1241">AE243-AE242</f>
        <v>0</v>
      </c>
      <c r="AJ243" s="42"/>
      <c r="AK243" s="42"/>
      <c r="AL243" s="42"/>
    </row>
    <row r="244" spans="1:38">
      <c r="A244" s="9" t="str">
        <f>'Agg prdcrv'!$A$15</f>
        <v>Other Refined Prod.</v>
      </c>
      <c r="B244" s="9" t="str">
        <f>VLOOKUP($A244,Types!$A$2:$C$13,2,FALSE)</f>
        <v>KER</v>
      </c>
      <c r="C244" s="9">
        <v>3</v>
      </c>
      <c r="D244" s="9">
        <v>4</v>
      </c>
      <c r="E244" s="9" t="str">
        <f>CONCATENATE("IMP",G244,RIGHT(C244,1))</f>
        <v>IMPKERP43</v>
      </c>
      <c r="F244" s="9" t="str">
        <f>CONCATENATE("Imported ",VLOOKUP($A244,Types!$A$2:$C$13,3,FALSE),", PADD ",D244,", Step ",RIGHT(C244,1))</f>
        <v>Imported Kerosene and Other Refined Products, PADD 4, Step 3</v>
      </c>
      <c r="G244" s="9" t="str">
        <f>CONCATENATE(VLOOKUP($A244,Types!$A$2:$C$13,2,FALSE),"P",D244)</f>
        <v>KERP4</v>
      </c>
      <c r="H244" s="66">
        <f>SUMIFS('Agg prdcrv'!$O$6:$O$100,'Agg prdcrv'!$A$6:$A$100,'Imp Refined'!$A244,'Agg prdcrv'!$B$6:$B$100,H$11)*K4</f>
        <v>66.099000000000004</v>
      </c>
      <c r="I244" s="66">
        <f>SUMIFS('Agg prdcrv'!$O$6:$O$100,'Agg prdcrv'!$A$6:$A$100,'Imp Refined'!$A244,'Agg prdcrv'!$B$6:$B$100,I$11)*K4</f>
        <v>40.204999999999998</v>
      </c>
      <c r="J244" s="66">
        <f t="array" ref="J244">SUMIFS('Agg prdcrv'!$O$6:$O$100,'Agg prdcrv'!$A$6:$A$100,'Imp Refined'!$A244,'Agg prdcrv'!$B$6:$B$100,J$11)</f>
        <v>32.549999999999997</v>
      </c>
      <c r="K244" s="66">
        <f t="array" ref="K244">SUMIFS('Agg prdcrv'!$O$6:$O$100,'Agg prdcrv'!$A$6:$A$100,'Imp Refined'!$A244,'Agg prdcrv'!$B$6:$B$100,K$11)</f>
        <v>41.27</v>
      </c>
      <c r="L244" s="67">
        <f>H244*Conv!$J$20/10^6/VLOOKUP($B244,Types!$B$2:$D$13,3,FALSE)/Conv!$I$5</f>
        <v>16.955075011703961</v>
      </c>
      <c r="M244" s="67">
        <f>I244*Conv!$J$20/10^6/VLOOKUP($B244,Types!$B$2:$D$13,3,FALSE)/Conv!$I$5</f>
        <v>10.312997032414376</v>
      </c>
      <c r="N244" s="67" t="e">
        <f>M244*#REF!</f>
        <v>#REF!</v>
      </c>
      <c r="O244" s="67" t="e">
        <f>N244*#REF!</f>
        <v>#REF!</v>
      </c>
      <c r="P244" s="67" t="e">
        <f>O244*#REF!</f>
        <v>#REF!</v>
      </c>
      <c r="Q244" s="67" t="e">
        <f>P244*#REF!</f>
        <v>#REF!</v>
      </c>
      <c r="R244" s="67" t="e">
        <f>Q244*#REF!</f>
        <v>#REF!</v>
      </c>
      <c r="S244" s="67" t="e">
        <f>R244*#REF!</f>
        <v>#REF!</v>
      </c>
      <c r="T244" s="67" t="e">
        <f>S244*#REF!</f>
        <v>#REF!</v>
      </c>
      <c r="U244" s="67" t="e">
        <f>T244*#REF!</f>
        <v>#REF!</v>
      </c>
      <c r="V244" s="67" t="e">
        <f>U244*#REF!</f>
        <v>#REF!</v>
      </c>
      <c r="W244" s="42"/>
      <c r="X244" s="9">
        <f t="array" ref="X244">SUMIFS('Agg prdcrv'!$G$6:$G$100,'Agg prdcrv'!$A$6:$A$100,'Imp Refined'!$A244,'Agg prdcrv'!$B$6:$B$100,X$11)</f>
        <v>1</v>
      </c>
      <c r="Y244" s="9">
        <f t="array" ref="Y244">SUMIFS('Agg prdcrv'!$G$6:$G$100,'Agg prdcrv'!$A$6:$A$100,'Imp Refined'!$A244,'Agg prdcrv'!$B$6:$B$100,Y$11)</f>
        <v>0.86</v>
      </c>
      <c r="Z244" s="9">
        <f t="array" ref="Z244">SUMIFS('Agg prdcrv'!$G$6:$G$100,'Agg prdcrv'!$A$6:$A$100,'Imp Refined'!$A244,'Agg prdcrv'!$B$6:$B$100,Z$11)</f>
        <v>0.94</v>
      </c>
      <c r="AA244" s="9">
        <f t="array" ref="AA244">SUMIFS('Agg prdcrv'!$G$6:$G$100,'Agg prdcrv'!$A$6:$A$100,'Imp Refined'!$A244,'Agg prdcrv'!$B$6:$B$100,AA$11)</f>
        <v>1.01</v>
      </c>
      <c r="AB244" s="42">
        <f>X244*VLOOKUP($B244,Types!$B$2:$D$13,3,FALSE)*Conv!$I$5*1000*365</f>
        <v>2.1834911447999996</v>
      </c>
      <c r="AC244" s="42">
        <f>Y244*VLOOKUP($B244,Types!$B$2:$D$13,3,FALSE)*Conv!$I$5*1000*365</f>
        <v>1.8778023845279996</v>
      </c>
      <c r="AD244" s="42">
        <f>Z244*VLOOKUP($B244,Types!$B$2:$D$13,3,FALSE)*Conv!$I$5*1000*365</f>
        <v>2.0524816761119999</v>
      </c>
      <c r="AE244" s="42">
        <f>AA244*VLOOKUP($B244,Types!$B$2:$D$13,3,FALSE)*Conv!$I$5*1000*365</f>
        <v>2.2053260562479999</v>
      </c>
      <c r="AF244" s="42">
        <f>AB244-AB246</f>
        <v>0.21834911448000005</v>
      </c>
      <c r="AG244" s="42">
        <f t="shared" ref="AG244" si="1242">AC244-AC246</f>
        <v>0.18778023845279979</v>
      </c>
      <c r="AH244" s="42">
        <f t="shared" ref="AH244" si="1243">AD244-AD246</f>
        <v>0.20524816761120035</v>
      </c>
      <c r="AI244" s="42">
        <f t="shared" ref="AI244" si="1244">AE244-AE246</f>
        <v>0.22053260562480026</v>
      </c>
      <c r="AJ244" s="42"/>
      <c r="AK244" s="42"/>
      <c r="AL244" s="42"/>
    </row>
    <row r="245" spans="1:38">
      <c r="A245" s="9" t="str">
        <f>A244</f>
        <v>Other Refined Prod.</v>
      </c>
      <c r="B245" s="9" t="str">
        <f>VLOOKUP($A245,Types!$A$2:$C$13,2,FALSE)</f>
        <v>KER</v>
      </c>
      <c r="C245" s="9">
        <v>1</v>
      </c>
      <c r="D245" s="9">
        <v>4</v>
      </c>
      <c r="E245" s="9" t="str">
        <f t="shared" ref="E245:E258" si="1245">CONCATENATE("IMP",G245,RIGHT(C245,1))</f>
        <v>IMPKERP41</v>
      </c>
      <c r="F245" s="9" t="str">
        <f>CONCATENATE("Imported ",VLOOKUP($A245,Types!$A$2:$C$13,3,FALSE),", PADD ",D245,", Step ",RIGHT(C245,1))</f>
        <v>Imported Kerosene and Other Refined Products, PADD 4, Step 1</v>
      </c>
      <c r="G245" s="9" t="str">
        <f>CONCATENATE(VLOOKUP($A245,Types!$A$2:$C$13,2,FALSE),"P",D245)</f>
        <v>KERP4</v>
      </c>
      <c r="H245" s="66">
        <f>H244*$C$5</f>
        <v>62.794049999999999</v>
      </c>
      <c r="I245" s="66">
        <f t="shared" ref="I245" si="1246">I244*$C$5</f>
        <v>38.194749999999999</v>
      </c>
      <c r="J245" s="66">
        <f t="shared" ref="J245" si="1247">J244*$C$5</f>
        <v>30.922499999999996</v>
      </c>
      <c r="K245" s="66">
        <f t="shared" ref="K245" si="1248">K244*$C$5</f>
        <v>39.206499999999998</v>
      </c>
      <c r="L245" s="67">
        <f>H245*Conv!$J$20/10^6/VLOOKUP($B245,Types!$B$2:$D$13,3,FALSE)/Conv!$I$5</f>
        <v>16.107321261118763</v>
      </c>
      <c r="M245" s="67">
        <f>I245*Conv!$J$20/10^6/VLOOKUP($B245,Types!$B$2:$D$13,3,FALSE)/Conv!$I$5</f>
        <v>9.7973471807936559</v>
      </c>
      <c r="N245" s="67" t="e">
        <f>M245*#REF!</f>
        <v>#REF!</v>
      </c>
      <c r="O245" s="67" t="e">
        <f>N245*#REF!</f>
        <v>#REF!</v>
      </c>
      <c r="P245" s="67" t="e">
        <f>O245*#REF!</f>
        <v>#REF!</v>
      </c>
      <c r="Q245" s="67" t="e">
        <f>P245*#REF!</f>
        <v>#REF!</v>
      </c>
      <c r="R245" s="67" t="e">
        <f>Q245*#REF!</f>
        <v>#REF!</v>
      </c>
      <c r="S245" s="67" t="e">
        <f>R245*#REF!</f>
        <v>#REF!</v>
      </c>
      <c r="T245" s="67" t="e">
        <f>S245*#REF!</f>
        <v>#REF!</v>
      </c>
      <c r="U245" s="67" t="e">
        <f>T245*#REF!</f>
        <v>#REF!</v>
      </c>
      <c r="V245" s="67" t="e">
        <f>U245*#REF!</f>
        <v>#REF!</v>
      </c>
      <c r="W245" s="42"/>
      <c r="X245" s="9">
        <f>X244*$E$5</f>
        <v>0.8</v>
      </c>
      <c r="Y245" s="9">
        <f t="shared" ref="Y245" si="1249">Y244*$E$5</f>
        <v>0.68800000000000006</v>
      </c>
      <c r="Z245" s="9">
        <f t="shared" ref="Z245" si="1250">Z244*$E$5</f>
        <v>0.752</v>
      </c>
      <c r="AA245" s="9">
        <f t="shared" ref="AA245" si="1251">AA244*$E$5</f>
        <v>0.80800000000000005</v>
      </c>
      <c r="AB245" s="42">
        <f>X245*VLOOKUP($B245,Types!$B$2:$D$13,3,FALSE)*Conv!$I$5*1000*365</f>
        <v>1.7467929158400002</v>
      </c>
      <c r="AC245" s="42">
        <f>Y245*VLOOKUP($B245,Types!$B$2:$D$13,3,FALSE)*Conv!$I$5*1000*365</f>
        <v>1.5022419076224001</v>
      </c>
      <c r="AD245" s="42">
        <f>Z245*VLOOKUP($B245,Types!$B$2:$D$13,3,FALSE)*Conv!$I$5*1000*365</f>
        <v>1.6419853408895999</v>
      </c>
      <c r="AE245" s="42">
        <f>AA245*VLOOKUP($B245,Types!$B$2:$D$13,3,FALSE)*Conv!$I$5*1000*365</f>
        <v>1.7642608449983999</v>
      </c>
      <c r="AF245" s="42">
        <f>AB245</f>
        <v>1.7467929158400002</v>
      </c>
      <c r="AG245" s="42">
        <f t="shared" ref="AG245" si="1252">AC245</f>
        <v>1.5022419076224001</v>
      </c>
      <c r="AH245" s="42">
        <f t="shared" ref="AH245" si="1253">AD245</f>
        <v>1.6419853408895999</v>
      </c>
      <c r="AI245" s="42">
        <f t="shared" ref="AI245" si="1254">AE245</f>
        <v>1.7642608449983999</v>
      </c>
      <c r="AJ245" s="42"/>
      <c r="AK245" s="42"/>
      <c r="AL245" s="42"/>
    </row>
    <row r="246" spans="1:38">
      <c r="A246" s="9" t="str">
        <f t="shared" ref="A246:A248" si="1255">A245</f>
        <v>Other Refined Prod.</v>
      </c>
      <c r="B246" s="9" t="str">
        <f>VLOOKUP($A246,Types!$A$2:$C$13,2,FALSE)</f>
        <v>KER</v>
      </c>
      <c r="C246" s="9">
        <v>2</v>
      </c>
      <c r="D246" s="9">
        <v>4</v>
      </c>
      <c r="E246" s="9" t="str">
        <f t="shared" si="1245"/>
        <v>IMPKERP42</v>
      </c>
      <c r="F246" s="9" t="str">
        <f>CONCATENATE("Imported ",VLOOKUP($A246,Types!$A$2:$C$13,3,FALSE),", PADD ",D246,", Step ",RIGHT(C246,1))</f>
        <v>Imported Kerosene and Other Refined Products, PADD 4, Step 2</v>
      </c>
      <c r="G246" s="9" t="str">
        <f>CONCATENATE(VLOOKUP($A246,Types!$A$2:$C$13,2,FALSE),"P",D246)</f>
        <v>KERP4</v>
      </c>
      <c r="H246" s="66">
        <f>H244*$C$6</f>
        <v>64.777020000000007</v>
      </c>
      <c r="I246" s="66">
        <f t="shared" ref="I246:K246" si="1256">I244*$C$6</f>
        <v>39.4009</v>
      </c>
      <c r="J246" s="66">
        <f t="shared" si="1256"/>
        <v>31.898999999999997</v>
      </c>
      <c r="K246" s="66">
        <f t="shared" si="1256"/>
        <v>40.444600000000001</v>
      </c>
      <c r="L246" s="67">
        <f>H246*Conv!$J$20/10^6/VLOOKUP($B246,Types!$B$2:$D$13,3,FALSE)/Conv!$I$5</f>
        <v>16.615973511469882</v>
      </c>
      <c r="M246" s="67">
        <f>I246*Conv!$J$20/10^6/VLOOKUP($B246,Types!$B$2:$D$13,3,FALSE)/Conv!$I$5</f>
        <v>10.106737091766087</v>
      </c>
      <c r="N246" s="67" t="e">
        <f>M246*#REF!</f>
        <v>#REF!</v>
      </c>
      <c r="O246" s="67" t="e">
        <f>N246*#REF!</f>
        <v>#REF!</v>
      </c>
      <c r="P246" s="67" t="e">
        <f>O246*#REF!</f>
        <v>#REF!</v>
      </c>
      <c r="Q246" s="67" t="e">
        <f>P246*#REF!</f>
        <v>#REF!</v>
      </c>
      <c r="R246" s="67" t="e">
        <f>Q246*#REF!</f>
        <v>#REF!</v>
      </c>
      <c r="S246" s="67" t="e">
        <f>R246*#REF!</f>
        <v>#REF!</v>
      </c>
      <c r="T246" s="67" t="e">
        <f>S246*#REF!</f>
        <v>#REF!</v>
      </c>
      <c r="U246" s="67" t="e">
        <f>T246*#REF!</f>
        <v>#REF!</v>
      </c>
      <c r="V246" s="67" t="e">
        <f>U246*#REF!</f>
        <v>#REF!</v>
      </c>
      <c r="W246" s="42"/>
      <c r="X246" s="9">
        <f>X244*$E$6</f>
        <v>0.9</v>
      </c>
      <c r="Y246" s="9">
        <f t="shared" ref="Y246:AA246" si="1257">Y244*$E$6</f>
        <v>0.77400000000000002</v>
      </c>
      <c r="Z246" s="9">
        <f t="shared" si="1257"/>
        <v>0.84599999999999997</v>
      </c>
      <c r="AA246" s="9">
        <f t="shared" si="1257"/>
        <v>0.90900000000000003</v>
      </c>
      <c r="AB246" s="42">
        <f>X246*VLOOKUP($B246,Types!$B$2:$D$13,3,FALSE)*Conv!$I$5*1000*365</f>
        <v>1.9651420303199996</v>
      </c>
      <c r="AC246" s="42">
        <f>Y246*VLOOKUP($B246,Types!$B$2:$D$13,3,FALSE)*Conv!$I$5*1000*365</f>
        <v>1.6900221460751998</v>
      </c>
      <c r="AD246" s="42">
        <f>Z246*VLOOKUP($B246,Types!$B$2:$D$13,3,FALSE)*Conv!$I$5*1000*365</f>
        <v>1.8472335085007996</v>
      </c>
      <c r="AE246" s="42">
        <f>AA246*VLOOKUP($B246,Types!$B$2:$D$13,3,FALSE)*Conv!$I$5*1000*365</f>
        <v>1.9847934506231997</v>
      </c>
      <c r="AF246" s="42">
        <f>AB246-AF245</f>
        <v>0.21834911447999938</v>
      </c>
      <c r="AG246" s="42">
        <f t="shared" ref="AG246" si="1258">AC246-AG245</f>
        <v>0.18778023845279979</v>
      </c>
      <c r="AH246" s="42">
        <f t="shared" ref="AH246" si="1259">AD246-AH245</f>
        <v>0.20524816761119968</v>
      </c>
      <c r="AI246" s="42">
        <f t="shared" ref="AI246" si="1260">AE246-AI245</f>
        <v>0.22053260562479982</v>
      </c>
      <c r="AJ246" s="42"/>
      <c r="AK246" s="42"/>
      <c r="AL246" s="42"/>
    </row>
    <row r="247" spans="1:38">
      <c r="A247" s="9" t="str">
        <f t="shared" si="1255"/>
        <v>Other Refined Prod.</v>
      </c>
      <c r="B247" s="9" t="str">
        <f>VLOOKUP($A247,Types!$A$2:$C$13,2,FALSE)</f>
        <v>KER</v>
      </c>
      <c r="C247" s="9">
        <v>4</v>
      </c>
      <c r="D247" s="9">
        <v>4</v>
      </c>
      <c r="E247" s="9" t="str">
        <f t="shared" si="1245"/>
        <v>IMPKERP44</v>
      </c>
      <c r="F247" s="9" t="str">
        <f>CONCATENATE("Imported ",VLOOKUP($A247,Types!$A$2:$C$13,3,FALSE),", PADD ",D247,", Step ",RIGHT(C247,1))</f>
        <v>Imported Kerosene and Other Refined Products, PADD 4, Step 4</v>
      </c>
      <c r="G247" s="9" t="str">
        <f>CONCATENATE(VLOOKUP($A247,Types!$A$2:$C$13,2,FALSE),"P",D247)</f>
        <v>KERP4</v>
      </c>
      <c r="H247" s="66">
        <f>H244*$C$8</f>
        <v>72.047910000000016</v>
      </c>
      <c r="I247" s="66">
        <f t="shared" ref="I247:K247" si="1261">I244*$C$8</f>
        <v>43.823450000000001</v>
      </c>
      <c r="J247" s="66">
        <f t="shared" si="1261"/>
        <v>35.479500000000002</v>
      </c>
      <c r="K247" s="66">
        <f t="shared" si="1261"/>
        <v>44.984300000000005</v>
      </c>
      <c r="L247" s="67">
        <f>H247*Conv!$J$20/10^6/VLOOKUP($B247,Types!$B$2:$D$13,3,FALSE)/Conv!$I$5</f>
        <v>18.481031762757318</v>
      </c>
      <c r="M247" s="67">
        <f>I247*Conv!$J$20/10^6/VLOOKUP($B247,Types!$B$2:$D$13,3,FALSE)/Conv!$I$5</f>
        <v>11.241166765331668</v>
      </c>
      <c r="N247" s="67" t="e">
        <f>M247*#REF!</f>
        <v>#REF!</v>
      </c>
      <c r="O247" s="67" t="e">
        <f>N247*#REF!</f>
        <v>#REF!</v>
      </c>
      <c r="P247" s="67" t="e">
        <f>O247*#REF!</f>
        <v>#REF!</v>
      </c>
      <c r="Q247" s="67" t="e">
        <f>P247*#REF!</f>
        <v>#REF!</v>
      </c>
      <c r="R247" s="67" t="e">
        <f>Q247*#REF!</f>
        <v>#REF!</v>
      </c>
      <c r="S247" s="67" t="e">
        <f>R247*#REF!</f>
        <v>#REF!</v>
      </c>
      <c r="T247" s="67" t="e">
        <f>S247*#REF!</f>
        <v>#REF!</v>
      </c>
      <c r="U247" s="67" t="e">
        <f>T247*#REF!</f>
        <v>#REF!</v>
      </c>
      <c r="V247" s="67" t="e">
        <f>U247*#REF!</f>
        <v>#REF!</v>
      </c>
      <c r="W247" s="42"/>
      <c r="X247" s="9">
        <f>X244*$E$8</f>
        <v>1.2</v>
      </c>
      <c r="Y247" s="9">
        <f t="shared" ref="Y247:AA247" si="1262">Y244*$E$8</f>
        <v>1.032</v>
      </c>
      <c r="Z247" s="9">
        <f t="shared" si="1262"/>
        <v>1.1279999999999999</v>
      </c>
      <c r="AA247" s="9">
        <f t="shared" si="1262"/>
        <v>1.212</v>
      </c>
      <c r="AB247" s="42">
        <f>X247*VLOOKUP($B247,Types!$B$2:$D$13,3,FALSE)*Conv!$I$5*1000*365</f>
        <v>2.6201893737599997</v>
      </c>
      <c r="AC247" s="42">
        <f>Y247*VLOOKUP($B247,Types!$B$2:$D$13,3,FALSE)*Conv!$I$5*1000*365</f>
        <v>2.2533628614335997</v>
      </c>
      <c r="AD247" s="42">
        <f>Z247*VLOOKUP($B247,Types!$B$2:$D$13,3,FALSE)*Conv!$I$5*1000*365</f>
        <v>2.4629780113343998</v>
      </c>
      <c r="AE247" s="42">
        <f>AA247*VLOOKUP($B247,Types!$B$2:$D$13,3,FALSE)*Conv!$I$5*1000*365</f>
        <v>2.6463912674975996</v>
      </c>
      <c r="AF247" s="42">
        <f>AB247-AB244</f>
        <v>0.4366982289600001</v>
      </c>
      <c r="AG247" s="42">
        <f t="shared" ref="AG247" si="1263">AC247-AC244</f>
        <v>0.37556047690560002</v>
      </c>
      <c r="AH247" s="42">
        <f t="shared" ref="AH247" si="1264">AD247-AD244</f>
        <v>0.41049633522239981</v>
      </c>
      <c r="AI247" s="42">
        <f t="shared" ref="AI247" si="1265">AE247-AE244</f>
        <v>0.44106521124959963</v>
      </c>
      <c r="AJ247" s="42"/>
      <c r="AK247" s="42"/>
      <c r="AL247" s="42"/>
    </row>
    <row r="248" spans="1:38">
      <c r="A248" s="9" t="str">
        <f t="shared" si="1255"/>
        <v>Other Refined Prod.</v>
      </c>
      <c r="B248" s="9" t="str">
        <f>VLOOKUP($A248,Types!$A$2:$C$13,2,FALSE)</f>
        <v>KER</v>
      </c>
      <c r="C248" s="9">
        <v>5</v>
      </c>
      <c r="D248" s="9">
        <v>4</v>
      </c>
      <c r="E248" s="9" t="str">
        <f t="shared" si="1245"/>
        <v>IMPKERP45</v>
      </c>
      <c r="F248" s="9" t="str">
        <f>CONCATENATE("Imported ",VLOOKUP($A248,Types!$A$2:$C$13,3,FALSE),", PADD ",D248,", Step ",RIGHT(C248,1))</f>
        <v>Imported Kerosene and Other Refined Products, PADD 4, Step 5</v>
      </c>
      <c r="G248" s="9" t="str">
        <f>CONCATENATE(VLOOKUP($A248,Types!$A$2:$C$13,2,FALSE),"P",D248)</f>
        <v>KERP4</v>
      </c>
      <c r="H248" s="66">
        <f>H244*$C$9</f>
        <v>85.928700000000006</v>
      </c>
      <c r="I248" s="66">
        <f t="shared" ref="I248:K248" si="1266">I244*$C$9</f>
        <v>52.266500000000001</v>
      </c>
      <c r="J248" s="66">
        <f t="shared" si="1266"/>
        <v>42.314999999999998</v>
      </c>
      <c r="K248" s="66">
        <f t="shared" si="1266"/>
        <v>53.651000000000003</v>
      </c>
      <c r="L248" s="67">
        <f>H248*Conv!$J$20/10^6/VLOOKUP($B248,Types!$B$2:$D$13,3,FALSE)/Conv!$I$5</f>
        <v>22.041597515215152</v>
      </c>
      <c r="M248" s="67">
        <f>I248*Conv!$J$20/10^6/VLOOKUP($B248,Types!$B$2:$D$13,3,FALSE)/Conv!$I$5</f>
        <v>13.406896142138688</v>
      </c>
      <c r="N248" s="67" t="e">
        <f>M248*#REF!</f>
        <v>#REF!</v>
      </c>
      <c r="O248" s="67" t="e">
        <f>N248*#REF!</f>
        <v>#REF!</v>
      </c>
      <c r="P248" s="67" t="e">
        <f>O248*#REF!</f>
        <v>#REF!</v>
      </c>
      <c r="Q248" s="67" t="e">
        <f>P248*#REF!</f>
        <v>#REF!</v>
      </c>
      <c r="R248" s="67" t="e">
        <f>Q248*#REF!</f>
        <v>#REF!</v>
      </c>
      <c r="S248" s="67" t="e">
        <f>R248*#REF!</f>
        <v>#REF!</v>
      </c>
      <c r="T248" s="67" t="e">
        <f>S248*#REF!</f>
        <v>#REF!</v>
      </c>
      <c r="U248" s="67" t="e">
        <f>T248*#REF!</f>
        <v>#REF!</v>
      </c>
      <c r="V248" s="67" t="e">
        <f>U248*#REF!</f>
        <v>#REF!</v>
      </c>
      <c r="W248" s="42"/>
      <c r="X248" s="9">
        <f>X244*$E$9</f>
        <v>2</v>
      </c>
      <c r="Y248" s="9">
        <f t="shared" ref="Y248:AA248" si="1267">Y244*$E$9</f>
        <v>1.72</v>
      </c>
      <c r="Z248" s="9">
        <f t="shared" si="1267"/>
        <v>1.88</v>
      </c>
      <c r="AA248" s="9">
        <f t="shared" si="1267"/>
        <v>2.02</v>
      </c>
      <c r="AB248" s="42">
        <f>X248*VLOOKUP($B248,Types!$B$2:$D$13,3,FALSE)*Conv!$I$5*1000*365</f>
        <v>4.3669822895999992</v>
      </c>
      <c r="AC248" s="42">
        <f>Y248*VLOOKUP($B248,Types!$B$2:$D$13,3,FALSE)*Conv!$I$5*1000*365</f>
        <v>3.7556047690559993</v>
      </c>
      <c r="AD248" s="42">
        <f>Z248*VLOOKUP($B248,Types!$B$2:$D$13,3,FALSE)*Conv!$I$5*1000*365</f>
        <v>4.1049633522239999</v>
      </c>
      <c r="AE248" s="42">
        <f>AA248*VLOOKUP($B248,Types!$B$2:$D$13,3,FALSE)*Conv!$I$5*1000*365</f>
        <v>4.4106521124959999</v>
      </c>
      <c r="AF248" s="42">
        <f>AB248-AB247</f>
        <v>1.7467929158399995</v>
      </c>
      <c r="AG248" s="42">
        <f t="shared" ref="AG248" si="1268">AC248-AC247</f>
        <v>1.5022419076223996</v>
      </c>
      <c r="AH248" s="42">
        <f t="shared" ref="AH248" si="1269">AD248-AD247</f>
        <v>1.6419853408896001</v>
      </c>
      <c r="AI248" s="42">
        <f t="shared" ref="AI248" si="1270">AE248-AE247</f>
        <v>1.7642608449984003</v>
      </c>
      <c r="AJ248" s="42"/>
      <c r="AK248" s="42"/>
      <c r="AL248" s="42"/>
    </row>
    <row r="249" spans="1:38">
      <c r="A249" s="9" t="str">
        <f>'Agg prdcrv'!$A$16</f>
        <v>Methanol</v>
      </c>
      <c r="B249" s="9" t="str">
        <f>VLOOKUP($A249,Types!$A$2:$C$13,2,FALSE)</f>
        <v>MTH</v>
      </c>
      <c r="C249" s="9">
        <v>3</v>
      </c>
      <c r="D249" s="9">
        <v>4</v>
      </c>
      <c r="E249" s="9" t="str">
        <f t="shared" si="1245"/>
        <v>IMPMTHP43</v>
      </c>
      <c r="F249" s="9" t="str">
        <f>CONCATENATE("Imported ",VLOOKUP($A249,Types!$A$2:$C$13,3,FALSE),", PADD ",D249,", Step ",RIGHT(C249,1))</f>
        <v>Imported Methanol, PADD 4, Step 3</v>
      </c>
      <c r="G249" s="9" t="str">
        <f>CONCATENATE(VLOOKUP($A249,Types!$A$2:$C$13,2,FALSE),"P",D249)</f>
        <v>MTHP4</v>
      </c>
      <c r="H249" s="66">
        <f>SUMIFS('Agg prdcrv'!$O$6:$O$100,'Agg prdcrv'!$A$6:$A$100,'Imp Refined'!$A249,'Agg prdcrv'!$B$6:$B$100,H$11)*K4</f>
        <v>53.867000000000004</v>
      </c>
      <c r="I249" s="66">
        <f>SUMIFS('Agg prdcrv'!$O$6:$O$100,'Agg prdcrv'!$A$6:$A$100,'Imp Refined'!$A249,'Agg prdcrv'!$B$6:$B$100,I$11)*K4</f>
        <v>53.283999999999999</v>
      </c>
      <c r="J249" s="66">
        <f t="array" ref="J249">SUMIFS('Agg prdcrv'!$O$6:$O$100,'Agg prdcrv'!$A$6:$A$100,'Imp Refined'!$A249,'Agg prdcrv'!$B$6:$B$100,J$11)</f>
        <v>48.44</v>
      </c>
      <c r="K249" s="66">
        <f t="array" ref="K249">SUMIFS('Agg prdcrv'!$O$6:$O$100,'Agg prdcrv'!$A$6:$A$100,'Imp Refined'!$A249,'Agg prdcrv'!$B$6:$B$100,K$11)</f>
        <v>48.44</v>
      </c>
      <c r="L249" s="67">
        <f>H249*Conv!$J$20/10^6/VLOOKUP($B249,Types!$B$2:$D$13,3,FALSE)/Conv!$I$5</f>
        <v>28.522240377615105</v>
      </c>
      <c r="M249" s="67">
        <f>I249*Conv!$J$20/10^6/VLOOKUP($B249,Types!$B$2:$D$13,3,FALSE)/Conv!$I$5</f>
        <v>28.21354551545182</v>
      </c>
      <c r="N249" s="67" t="e">
        <f>M249*#REF!</f>
        <v>#REF!</v>
      </c>
      <c r="O249" s="67" t="e">
        <f>N249*#REF!</f>
        <v>#REF!</v>
      </c>
      <c r="P249" s="67" t="e">
        <f>O249*#REF!</f>
        <v>#REF!</v>
      </c>
      <c r="Q249" s="67" t="e">
        <f>P249*#REF!</f>
        <v>#REF!</v>
      </c>
      <c r="R249" s="67" t="e">
        <f>Q249*#REF!</f>
        <v>#REF!</v>
      </c>
      <c r="S249" s="67" t="e">
        <f>R249*#REF!</f>
        <v>#REF!</v>
      </c>
      <c r="T249" s="67" t="e">
        <f>S249*#REF!</f>
        <v>#REF!</v>
      </c>
      <c r="U249" s="67" t="e">
        <f>T249*#REF!</f>
        <v>#REF!</v>
      </c>
      <c r="V249" s="67" t="e">
        <f>U249*#REF!</f>
        <v>#REF!</v>
      </c>
      <c r="W249" s="42"/>
      <c r="X249" s="9">
        <f t="array" ref="X249">SUMIFS('Agg prdcrv'!$G$6:$G$100,'Agg prdcrv'!$A$6:$A$100,'Imp Refined'!$A249,'Agg prdcrv'!$B$6:$B$100,X$11)</f>
        <v>0</v>
      </c>
      <c r="Y249" s="9">
        <f t="array" ref="Y249">SUMIFS('Agg prdcrv'!$G$6:$G$100,'Agg prdcrv'!$A$6:$A$100,'Imp Refined'!$A249,'Agg prdcrv'!$B$6:$B$100,Y$11)</f>
        <v>0</v>
      </c>
      <c r="Z249" s="9">
        <f t="array" ref="Z249">SUMIFS('Agg prdcrv'!$G$6:$G$100,'Agg prdcrv'!$A$6:$A$100,'Imp Refined'!$A249,'Agg prdcrv'!$B$6:$B$100,Z$11)</f>
        <v>0</v>
      </c>
      <c r="AA249" s="9">
        <f t="array" ref="AA249">SUMIFS('Agg prdcrv'!$G$6:$G$100,'Agg prdcrv'!$A$6:$A$100,'Imp Refined'!$A249,'Agg prdcrv'!$B$6:$B$100,AA$11)</f>
        <v>0</v>
      </c>
      <c r="AB249" s="42">
        <f>X249*VLOOKUP($B249,Types!$B$2:$D$13,3,FALSE)*Conv!$I$5*1000*365</f>
        <v>0</v>
      </c>
      <c r="AC249" s="42">
        <f>Y249*VLOOKUP($B249,Types!$B$2:$D$13,3,FALSE)*Conv!$I$5*1000*365</f>
        <v>0</v>
      </c>
      <c r="AD249" s="42">
        <f>Z249*VLOOKUP($B249,Types!$B$2:$D$13,3,FALSE)*Conv!$I$5*1000*365</f>
        <v>0</v>
      </c>
      <c r="AE249" s="42">
        <f>AA249*VLOOKUP($B249,Types!$B$2:$D$13,3,FALSE)*Conv!$I$5*1000*365</f>
        <v>0</v>
      </c>
      <c r="AF249" s="42">
        <f>AB249-AB251</f>
        <v>0</v>
      </c>
      <c r="AG249" s="42">
        <f t="shared" ref="AG249" si="1271">AC249-AC251</f>
        <v>0</v>
      </c>
      <c r="AH249" s="42">
        <f t="shared" ref="AH249" si="1272">AD249-AD251</f>
        <v>0</v>
      </c>
      <c r="AI249" s="42">
        <f t="shared" ref="AI249" si="1273">AE249-AE251</f>
        <v>0</v>
      </c>
      <c r="AJ249" s="42"/>
      <c r="AK249" s="42"/>
      <c r="AL249" s="42"/>
    </row>
    <row r="250" spans="1:38">
      <c r="A250" s="9" t="str">
        <f>A249</f>
        <v>Methanol</v>
      </c>
      <c r="B250" s="9" t="str">
        <f>VLOOKUP($A250,Types!$A$2:$C$13,2,FALSE)</f>
        <v>MTH</v>
      </c>
      <c r="C250" s="9">
        <v>1</v>
      </c>
      <c r="D250" s="9">
        <v>4</v>
      </c>
      <c r="E250" s="9" t="str">
        <f t="shared" si="1245"/>
        <v>IMPMTHP41</v>
      </c>
      <c r="F250" s="9" t="str">
        <f>CONCATENATE("Imported ",VLOOKUP($A250,Types!$A$2:$C$13,3,FALSE),", PADD ",D250,", Step ",RIGHT(C250,1))</f>
        <v>Imported Methanol, PADD 4, Step 1</v>
      </c>
      <c r="G250" s="9" t="str">
        <f>CONCATENATE(VLOOKUP($A250,Types!$A$2:$C$13,2,FALSE),"P",D250)</f>
        <v>MTHP4</v>
      </c>
      <c r="H250" s="66">
        <f>H249*$C$5</f>
        <v>51.173650000000002</v>
      </c>
      <c r="I250" s="66">
        <f t="shared" ref="I250" si="1274">I249*$C$5</f>
        <v>50.619799999999998</v>
      </c>
      <c r="J250" s="66">
        <f t="shared" ref="J250" si="1275">J249*$C$5</f>
        <v>46.017999999999994</v>
      </c>
      <c r="K250" s="66">
        <f t="shared" ref="K250" si="1276">K249*$C$5</f>
        <v>46.017999999999994</v>
      </c>
      <c r="L250" s="67">
        <f>H250*Conv!$J$20/10^6/VLOOKUP($B250,Types!$B$2:$D$13,3,FALSE)/Conv!$I$5</f>
        <v>27.096128358734344</v>
      </c>
      <c r="M250" s="67">
        <f>I250*Conv!$J$20/10^6/VLOOKUP($B250,Types!$B$2:$D$13,3,FALSE)/Conv!$I$5</f>
        <v>26.802868239679228</v>
      </c>
      <c r="N250" s="67" t="e">
        <f>M250*#REF!</f>
        <v>#REF!</v>
      </c>
      <c r="O250" s="67" t="e">
        <f>N250*#REF!</f>
        <v>#REF!</v>
      </c>
      <c r="P250" s="67" t="e">
        <f>O250*#REF!</f>
        <v>#REF!</v>
      </c>
      <c r="Q250" s="67" t="e">
        <f>P250*#REF!</f>
        <v>#REF!</v>
      </c>
      <c r="R250" s="67" t="e">
        <f>Q250*#REF!</f>
        <v>#REF!</v>
      </c>
      <c r="S250" s="67" t="e">
        <f>R250*#REF!</f>
        <v>#REF!</v>
      </c>
      <c r="T250" s="67" t="e">
        <f>S250*#REF!</f>
        <v>#REF!</v>
      </c>
      <c r="U250" s="67" t="e">
        <f>T250*#REF!</f>
        <v>#REF!</v>
      </c>
      <c r="V250" s="67" t="e">
        <f>U250*#REF!</f>
        <v>#REF!</v>
      </c>
      <c r="W250" s="42"/>
      <c r="X250" s="9">
        <f>X249*$E$5</f>
        <v>0</v>
      </c>
      <c r="Y250" s="9">
        <f t="shared" ref="Y250" si="1277">Y249*$E$5</f>
        <v>0</v>
      </c>
      <c r="Z250" s="9">
        <f t="shared" ref="Z250" si="1278">Z249*$E$5</f>
        <v>0</v>
      </c>
      <c r="AA250" s="9">
        <f t="shared" ref="AA250" si="1279">AA249*$E$5</f>
        <v>0</v>
      </c>
      <c r="AB250" s="42">
        <f>X250*VLOOKUP($B250,Types!$B$2:$D$13,3,FALSE)*Conv!$I$5*1000*365</f>
        <v>0</v>
      </c>
      <c r="AC250" s="42">
        <f>Y250*VLOOKUP($B250,Types!$B$2:$D$13,3,FALSE)*Conv!$I$5*1000*365</f>
        <v>0</v>
      </c>
      <c r="AD250" s="42">
        <f>Z250*VLOOKUP($B250,Types!$B$2:$D$13,3,FALSE)*Conv!$I$5*1000*365</f>
        <v>0</v>
      </c>
      <c r="AE250" s="42">
        <f>AA250*VLOOKUP($B250,Types!$B$2:$D$13,3,FALSE)*Conv!$I$5*1000*365</f>
        <v>0</v>
      </c>
      <c r="AF250" s="42">
        <f>AB250</f>
        <v>0</v>
      </c>
      <c r="AG250" s="42">
        <f t="shared" ref="AG250" si="1280">AC250</f>
        <v>0</v>
      </c>
      <c r="AH250" s="42">
        <f t="shared" ref="AH250" si="1281">AD250</f>
        <v>0</v>
      </c>
      <c r="AI250" s="42">
        <f t="shared" ref="AI250" si="1282">AE250</f>
        <v>0</v>
      </c>
      <c r="AJ250" s="42"/>
      <c r="AK250" s="42"/>
      <c r="AL250" s="42"/>
    </row>
    <row r="251" spans="1:38">
      <c r="A251" s="9" t="str">
        <f t="shared" ref="A251:A253" si="1283">A250</f>
        <v>Methanol</v>
      </c>
      <c r="B251" s="9" t="str">
        <f>VLOOKUP($A251,Types!$A$2:$C$13,2,FALSE)</f>
        <v>MTH</v>
      </c>
      <c r="C251" s="9">
        <v>2</v>
      </c>
      <c r="D251" s="9">
        <v>4</v>
      </c>
      <c r="E251" s="9" t="str">
        <f t="shared" si="1245"/>
        <v>IMPMTHP42</v>
      </c>
      <c r="F251" s="9" t="str">
        <f>CONCATENATE("Imported ",VLOOKUP($A251,Types!$A$2:$C$13,3,FALSE),", PADD ",D251,", Step ",RIGHT(C251,1))</f>
        <v>Imported Methanol, PADD 4, Step 2</v>
      </c>
      <c r="G251" s="9" t="str">
        <f>CONCATENATE(VLOOKUP($A251,Types!$A$2:$C$13,2,FALSE),"P",D251)</f>
        <v>MTHP4</v>
      </c>
      <c r="H251" s="66">
        <f>H249*$C$6</f>
        <v>52.789660000000005</v>
      </c>
      <c r="I251" s="66">
        <f t="shared" ref="I251:K251" si="1284">I249*$C$6</f>
        <v>52.218319999999999</v>
      </c>
      <c r="J251" s="66">
        <f t="shared" si="1284"/>
        <v>47.471199999999996</v>
      </c>
      <c r="K251" s="66">
        <f t="shared" si="1284"/>
        <v>47.471199999999996</v>
      </c>
      <c r="L251" s="67">
        <f>H251*Conv!$J$20/10^6/VLOOKUP($B251,Types!$B$2:$D$13,3,FALSE)/Conv!$I$5</f>
        <v>27.951795570062803</v>
      </c>
      <c r="M251" s="67">
        <f>I251*Conv!$J$20/10^6/VLOOKUP($B251,Types!$B$2:$D$13,3,FALSE)/Conv!$I$5</f>
        <v>27.649274605142782</v>
      </c>
      <c r="N251" s="67" t="e">
        <f>M251*#REF!</f>
        <v>#REF!</v>
      </c>
      <c r="O251" s="67" t="e">
        <f>N251*#REF!</f>
        <v>#REF!</v>
      </c>
      <c r="P251" s="67" t="e">
        <f>O251*#REF!</f>
        <v>#REF!</v>
      </c>
      <c r="Q251" s="67" t="e">
        <f>P251*#REF!</f>
        <v>#REF!</v>
      </c>
      <c r="R251" s="67" t="e">
        <f>Q251*#REF!</f>
        <v>#REF!</v>
      </c>
      <c r="S251" s="67" t="e">
        <f>R251*#REF!</f>
        <v>#REF!</v>
      </c>
      <c r="T251" s="67" t="e">
        <f>S251*#REF!</f>
        <v>#REF!</v>
      </c>
      <c r="U251" s="67" t="e">
        <f>T251*#REF!</f>
        <v>#REF!</v>
      </c>
      <c r="V251" s="67" t="e">
        <f>U251*#REF!</f>
        <v>#REF!</v>
      </c>
      <c r="W251" s="42"/>
      <c r="X251" s="9">
        <f>X249*$E$6</f>
        <v>0</v>
      </c>
      <c r="Y251" s="9">
        <f t="shared" ref="Y251:AA251" si="1285">Y249*$E$6</f>
        <v>0</v>
      </c>
      <c r="Z251" s="9">
        <f t="shared" si="1285"/>
        <v>0</v>
      </c>
      <c r="AA251" s="9">
        <f t="shared" si="1285"/>
        <v>0</v>
      </c>
      <c r="AB251" s="42">
        <f>X251*VLOOKUP($B251,Types!$B$2:$D$13,3,FALSE)*Conv!$I$5*1000*365</f>
        <v>0</v>
      </c>
      <c r="AC251" s="42">
        <f>Y251*VLOOKUP($B251,Types!$B$2:$D$13,3,FALSE)*Conv!$I$5*1000*365</f>
        <v>0</v>
      </c>
      <c r="AD251" s="42">
        <f>Z251*VLOOKUP($B251,Types!$B$2:$D$13,3,FALSE)*Conv!$I$5*1000*365</f>
        <v>0</v>
      </c>
      <c r="AE251" s="42">
        <f>AA251*VLOOKUP($B251,Types!$B$2:$D$13,3,FALSE)*Conv!$I$5*1000*365</f>
        <v>0</v>
      </c>
      <c r="AF251" s="42">
        <f>AB251-AF250</f>
        <v>0</v>
      </c>
      <c r="AG251" s="42">
        <f t="shared" ref="AG251" si="1286">AC251-AG250</f>
        <v>0</v>
      </c>
      <c r="AH251" s="42">
        <f t="shared" ref="AH251" si="1287">AD251-AH250</f>
        <v>0</v>
      </c>
      <c r="AI251" s="42">
        <f t="shared" ref="AI251" si="1288">AE251-AI250</f>
        <v>0</v>
      </c>
      <c r="AJ251" s="42"/>
      <c r="AK251" s="42"/>
      <c r="AL251" s="42"/>
    </row>
    <row r="252" spans="1:38">
      <c r="A252" s="9" t="str">
        <f t="shared" si="1283"/>
        <v>Methanol</v>
      </c>
      <c r="B252" s="9" t="str">
        <f>VLOOKUP($A252,Types!$A$2:$C$13,2,FALSE)</f>
        <v>MTH</v>
      </c>
      <c r="C252" s="9">
        <v>4</v>
      </c>
      <c r="D252" s="9">
        <v>4</v>
      </c>
      <c r="E252" s="9" t="str">
        <f t="shared" si="1245"/>
        <v>IMPMTHP44</v>
      </c>
      <c r="F252" s="9" t="str">
        <f>CONCATENATE("Imported ",VLOOKUP($A252,Types!$A$2:$C$13,3,FALSE),", PADD ",D252,", Step ",RIGHT(C252,1))</f>
        <v>Imported Methanol, PADD 4, Step 4</v>
      </c>
      <c r="G252" s="9" t="str">
        <f>CONCATENATE(VLOOKUP($A252,Types!$A$2:$C$13,2,FALSE),"P",D252)</f>
        <v>MTHP4</v>
      </c>
      <c r="H252" s="66">
        <f>H249*$C$8</f>
        <v>58.715030000000006</v>
      </c>
      <c r="I252" s="66">
        <f t="shared" ref="I252:K252" si="1289">I249*$C$8</f>
        <v>58.079560000000001</v>
      </c>
      <c r="J252" s="66">
        <f t="shared" si="1289"/>
        <v>52.799599999999998</v>
      </c>
      <c r="K252" s="66">
        <f t="shared" si="1289"/>
        <v>52.799599999999998</v>
      </c>
      <c r="L252" s="67">
        <f>H252*Conv!$J$20/10^6/VLOOKUP($B252,Types!$B$2:$D$13,3,FALSE)/Conv!$I$5</f>
        <v>31.089242011600458</v>
      </c>
      <c r="M252" s="67">
        <f>I252*Conv!$J$20/10^6/VLOOKUP($B252,Types!$B$2:$D$13,3,FALSE)/Conv!$I$5</f>
        <v>30.752764611842483</v>
      </c>
      <c r="N252" s="67" t="e">
        <f>M252*#REF!</f>
        <v>#REF!</v>
      </c>
      <c r="O252" s="67" t="e">
        <f>N252*#REF!</f>
        <v>#REF!</v>
      </c>
      <c r="P252" s="67" t="e">
        <f>O252*#REF!</f>
        <v>#REF!</v>
      </c>
      <c r="Q252" s="67" t="e">
        <f>P252*#REF!</f>
        <v>#REF!</v>
      </c>
      <c r="R252" s="67" t="e">
        <f>Q252*#REF!</f>
        <v>#REF!</v>
      </c>
      <c r="S252" s="67" t="e">
        <f>R252*#REF!</f>
        <v>#REF!</v>
      </c>
      <c r="T252" s="67" t="e">
        <f>S252*#REF!</f>
        <v>#REF!</v>
      </c>
      <c r="U252" s="67" t="e">
        <f>T252*#REF!</f>
        <v>#REF!</v>
      </c>
      <c r="V252" s="67" t="e">
        <f>U252*#REF!</f>
        <v>#REF!</v>
      </c>
      <c r="W252" s="42"/>
      <c r="X252" s="9">
        <f>X249*$E$8</f>
        <v>0</v>
      </c>
      <c r="Y252" s="9">
        <f t="shared" ref="Y252:AA252" si="1290">Y249*$E$8</f>
        <v>0</v>
      </c>
      <c r="Z252" s="9">
        <f t="shared" si="1290"/>
        <v>0</v>
      </c>
      <c r="AA252" s="9">
        <f t="shared" si="1290"/>
        <v>0</v>
      </c>
      <c r="AB252" s="42">
        <f>X252*VLOOKUP($B252,Types!$B$2:$D$13,3,FALSE)*Conv!$I$5*1000*365</f>
        <v>0</v>
      </c>
      <c r="AC252" s="42">
        <f>Y252*VLOOKUP($B252,Types!$B$2:$D$13,3,FALSE)*Conv!$I$5*1000*365</f>
        <v>0</v>
      </c>
      <c r="AD252" s="42">
        <f>Z252*VLOOKUP($B252,Types!$B$2:$D$13,3,FALSE)*Conv!$I$5*1000*365</f>
        <v>0</v>
      </c>
      <c r="AE252" s="42">
        <f>AA252*VLOOKUP($B252,Types!$B$2:$D$13,3,FALSE)*Conv!$I$5*1000*365</f>
        <v>0</v>
      </c>
      <c r="AF252" s="42">
        <f>AB252-AB249</f>
        <v>0</v>
      </c>
      <c r="AG252" s="42">
        <f t="shared" ref="AG252" si="1291">AC252-AC249</f>
        <v>0</v>
      </c>
      <c r="AH252" s="42">
        <f t="shared" ref="AH252" si="1292">AD252-AD249</f>
        <v>0</v>
      </c>
      <c r="AI252" s="42">
        <f t="shared" ref="AI252" si="1293">AE252-AE249</f>
        <v>0</v>
      </c>
      <c r="AJ252" s="42"/>
      <c r="AK252" s="42"/>
      <c r="AL252" s="42"/>
    </row>
    <row r="253" spans="1:38">
      <c r="A253" s="9" t="str">
        <f t="shared" si="1283"/>
        <v>Methanol</v>
      </c>
      <c r="B253" s="9" t="str">
        <f>VLOOKUP($A253,Types!$A$2:$C$13,2,FALSE)</f>
        <v>MTH</v>
      </c>
      <c r="C253" s="9">
        <v>5</v>
      </c>
      <c r="D253" s="9">
        <v>4</v>
      </c>
      <c r="E253" s="9" t="str">
        <f t="shared" si="1245"/>
        <v>IMPMTHP45</v>
      </c>
      <c r="F253" s="9" t="str">
        <f>CONCATENATE("Imported ",VLOOKUP($A253,Types!$A$2:$C$13,3,FALSE),", PADD ",D253,", Step ",RIGHT(C253,1))</f>
        <v>Imported Methanol, PADD 4, Step 5</v>
      </c>
      <c r="G253" s="9" t="str">
        <f>CONCATENATE(VLOOKUP($A253,Types!$A$2:$C$13,2,FALSE),"P",D253)</f>
        <v>MTHP4</v>
      </c>
      <c r="H253" s="66">
        <f>H249*$C$9</f>
        <v>70.027100000000004</v>
      </c>
      <c r="I253" s="66">
        <f t="shared" ref="I253:K253" si="1294">I249*$C$9</f>
        <v>69.269199999999998</v>
      </c>
      <c r="J253" s="66">
        <f t="shared" si="1294"/>
        <v>62.972000000000001</v>
      </c>
      <c r="K253" s="66">
        <f t="shared" si="1294"/>
        <v>62.972000000000001</v>
      </c>
      <c r="L253" s="67">
        <f>H253*Conv!$J$20/10^6/VLOOKUP($B253,Types!$B$2:$D$13,3,FALSE)/Conv!$I$5</f>
        <v>37.078912490899633</v>
      </c>
      <c r="M253" s="67">
        <f>I253*Conv!$J$20/10^6/VLOOKUP($B253,Types!$B$2:$D$13,3,FALSE)/Conv!$I$5</f>
        <v>36.677609170087358</v>
      </c>
      <c r="N253" s="67" t="e">
        <f>M253*#REF!</f>
        <v>#REF!</v>
      </c>
      <c r="O253" s="67" t="e">
        <f>N253*#REF!</f>
        <v>#REF!</v>
      </c>
      <c r="P253" s="67" t="e">
        <f>O253*#REF!</f>
        <v>#REF!</v>
      </c>
      <c r="Q253" s="67" t="e">
        <f>P253*#REF!</f>
        <v>#REF!</v>
      </c>
      <c r="R253" s="67" t="e">
        <f>Q253*#REF!</f>
        <v>#REF!</v>
      </c>
      <c r="S253" s="67" t="e">
        <f>R253*#REF!</f>
        <v>#REF!</v>
      </c>
      <c r="T253" s="67" t="e">
        <f>S253*#REF!</f>
        <v>#REF!</v>
      </c>
      <c r="U253" s="67" t="e">
        <f>T253*#REF!</f>
        <v>#REF!</v>
      </c>
      <c r="V253" s="67" t="e">
        <f>U253*#REF!</f>
        <v>#REF!</v>
      </c>
      <c r="W253" s="42"/>
      <c r="X253" s="9">
        <f>X249*$E$9</f>
        <v>0</v>
      </c>
      <c r="Y253" s="9">
        <f t="shared" ref="Y253:AA253" si="1295">Y249*$E$9</f>
        <v>0</v>
      </c>
      <c r="Z253" s="9">
        <f t="shared" si="1295"/>
        <v>0</v>
      </c>
      <c r="AA253" s="9">
        <f t="shared" si="1295"/>
        <v>0</v>
      </c>
      <c r="AB253" s="42">
        <f>X253*VLOOKUP($B253,Types!$B$2:$D$13,3,FALSE)*Conv!$I$5*1000*365</f>
        <v>0</v>
      </c>
      <c r="AC253" s="42">
        <f>Y253*VLOOKUP($B253,Types!$B$2:$D$13,3,FALSE)*Conv!$I$5*1000*365</f>
        <v>0</v>
      </c>
      <c r="AD253" s="42">
        <f>Z253*VLOOKUP($B253,Types!$B$2:$D$13,3,FALSE)*Conv!$I$5*1000*365</f>
        <v>0</v>
      </c>
      <c r="AE253" s="42">
        <f>AA253*VLOOKUP($B253,Types!$B$2:$D$13,3,FALSE)*Conv!$I$5*1000*365</f>
        <v>0</v>
      </c>
      <c r="AF253" s="42">
        <f>AB253-AB252</f>
        <v>0</v>
      </c>
      <c r="AG253" s="42">
        <f t="shared" ref="AG253" si="1296">AC253-AC252</f>
        <v>0</v>
      </c>
      <c r="AH253" s="42">
        <f t="shared" ref="AH253" si="1297">AD253-AD252</f>
        <v>0</v>
      </c>
      <c r="AI253" s="42">
        <f t="shared" ref="AI253" si="1298">AE253-AE252</f>
        <v>0</v>
      </c>
      <c r="AJ253" s="42"/>
      <c r="AK253" s="42"/>
      <c r="AL253" s="42"/>
    </row>
    <row r="254" spans="1:38">
      <c r="A254" s="9" t="str">
        <f>'Agg prdcrv'!$A$19</f>
        <v>ULS Diesel (15 ppm)</v>
      </c>
      <c r="B254" s="9" t="str">
        <f>VLOOKUP($A254,Types!$A$2:$C$13,2,FALSE)</f>
        <v>DSU</v>
      </c>
      <c r="C254" s="9">
        <v>3</v>
      </c>
      <c r="D254" s="9">
        <v>4</v>
      </c>
      <c r="E254" s="9" t="str">
        <f t="shared" si="1245"/>
        <v>IMPDSUP43</v>
      </c>
      <c r="F254" s="9" t="str">
        <f>CONCATENATE("Imported ",VLOOKUP($A254,Types!$A$2:$C$13,3,FALSE),", PADD ",D254,", Step ",RIGHT(C254,1))</f>
        <v>Imported Distillate-Ultralow Sulfur Highway Diesel (15 ppm), PADD 4, Step 3</v>
      </c>
      <c r="G254" s="9" t="str">
        <f>CONCATENATE(VLOOKUP($A254,Types!$A$2:$C$13,2,FALSE),"P",D254)</f>
        <v>DSUP4</v>
      </c>
      <c r="H254" s="66">
        <f>SUMIFS('Agg prdcrv'!$O$6:$O$100,'Agg prdcrv'!$A$6:$A$100,'Imp Refined'!$A254,'Agg prdcrv'!$B$6:$B$100,H$11)*K4</f>
        <v>75.229000000000013</v>
      </c>
      <c r="I254" s="66">
        <f>SUMIFS('Agg prdcrv'!$O$6:$O$100,'Agg prdcrv'!$A$6:$A$100,'Imp Refined'!$A254,'Agg prdcrv'!$B$6:$B$100,I$11)*K4</f>
        <v>54.856999999999999</v>
      </c>
      <c r="J254" s="66">
        <f t="array" ref="J254">SUMIFS('Agg prdcrv'!$O$6:$O$100,'Agg prdcrv'!$A$6:$A$100,'Imp Refined'!$A254,'Agg prdcrv'!$B$6:$B$100,J$11)</f>
        <v>43.49</v>
      </c>
      <c r="K254" s="66">
        <f t="array" ref="K254">SUMIFS('Agg prdcrv'!$O$6:$O$100,'Agg prdcrv'!$A$6:$A$100,'Imp Refined'!$A254,'Agg prdcrv'!$B$6:$B$100,K$11)</f>
        <v>44.76</v>
      </c>
      <c r="L254" s="67">
        <f>H254*Conv!$J$20/10^6/VLOOKUP($B254,Types!$B$2:$D$13,3,FALSE)/Conv!$I$5</f>
        <v>18.783531366429504</v>
      </c>
      <c r="M254" s="67">
        <f>I254*Conv!$J$20/10^6/VLOOKUP($B254,Types!$B$2:$D$13,3,FALSE)/Conv!$I$5</f>
        <v>13.696954368238618</v>
      </c>
      <c r="N254" s="67" t="e">
        <f>M254*#REF!</f>
        <v>#REF!</v>
      </c>
      <c r="O254" s="67" t="e">
        <f>N254*#REF!</f>
        <v>#REF!</v>
      </c>
      <c r="P254" s="67" t="e">
        <f>O254*#REF!</f>
        <v>#REF!</v>
      </c>
      <c r="Q254" s="67" t="e">
        <f>P254*#REF!</f>
        <v>#REF!</v>
      </c>
      <c r="R254" s="67" t="e">
        <f>Q254*#REF!</f>
        <v>#REF!</v>
      </c>
      <c r="S254" s="67" t="e">
        <f>R254*#REF!</f>
        <v>#REF!</v>
      </c>
      <c r="T254" s="67" t="e">
        <f>S254*#REF!</f>
        <v>#REF!</v>
      </c>
      <c r="U254" s="67" t="e">
        <f>T254*#REF!</f>
        <v>#REF!</v>
      </c>
      <c r="V254" s="67" t="e">
        <f>U254*#REF!</f>
        <v>#REF!</v>
      </c>
      <c r="W254" s="42"/>
      <c r="X254" s="9">
        <f t="array" ref="X254">SUMIFS('Agg prdcrv'!$G$6:$G$100,'Agg prdcrv'!$A$6:$A$100,'Imp Refined'!$A254,'Agg prdcrv'!$B$6:$B$100,X$11)</f>
        <v>0</v>
      </c>
      <c r="Y254" s="9">
        <f t="array" ref="Y254">SUMIFS('Agg prdcrv'!$G$6:$G$100,'Agg prdcrv'!$A$6:$A$100,'Imp Refined'!$A254,'Agg prdcrv'!$B$6:$B$100,Y$11)</f>
        <v>0</v>
      </c>
      <c r="Z254" s="9">
        <f t="array" ref="Z254">SUMIFS('Agg prdcrv'!$G$6:$G$100,'Agg prdcrv'!$A$6:$A$100,'Imp Refined'!$A254,'Agg prdcrv'!$B$6:$B$100,Z$11)</f>
        <v>0</v>
      </c>
      <c r="AA254" s="9">
        <f t="array" ref="AA254">SUMIFS('Agg prdcrv'!$G$6:$G$100,'Agg prdcrv'!$A$6:$A$100,'Imp Refined'!$A254,'Agg prdcrv'!$B$6:$B$100,AA$11)</f>
        <v>0</v>
      </c>
      <c r="AB254" s="42">
        <f>X254*VLOOKUP($B254,Types!$B$2:$D$13,3,FALSE)*Conv!$I$5*1000*365</f>
        <v>0</v>
      </c>
      <c r="AC254" s="42">
        <f>Y254*VLOOKUP($B254,Types!$B$2:$D$13,3,FALSE)*Conv!$I$5*1000*365</f>
        <v>0</v>
      </c>
      <c r="AD254" s="42">
        <f>Z254*VLOOKUP($B254,Types!$B$2:$D$13,3,FALSE)*Conv!$I$5*1000*365</f>
        <v>0</v>
      </c>
      <c r="AE254" s="42">
        <f>AA254*VLOOKUP($B254,Types!$B$2:$D$13,3,FALSE)*Conv!$I$5*1000*365</f>
        <v>0</v>
      </c>
      <c r="AF254" s="42">
        <f>AB254-AB256</f>
        <v>0</v>
      </c>
      <c r="AG254" s="42">
        <f t="shared" ref="AG254" si="1299">AC254-AC256</f>
        <v>0</v>
      </c>
      <c r="AH254" s="42">
        <f t="shared" ref="AH254" si="1300">AD254-AD256</f>
        <v>0</v>
      </c>
      <c r="AI254" s="42">
        <f t="shared" ref="AI254" si="1301">AE254-AE256</f>
        <v>0</v>
      </c>
      <c r="AJ254" s="42"/>
      <c r="AK254" s="42"/>
      <c r="AL254" s="42"/>
    </row>
    <row r="255" spans="1:38">
      <c r="A255" s="9" t="str">
        <f>A254</f>
        <v>ULS Diesel (15 ppm)</v>
      </c>
      <c r="B255" s="9" t="str">
        <f>VLOOKUP($A255,Types!$A$2:$C$13,2,FALSE)</f>
        <v>DSU</v>
      </c>
      <c r="C255" s="9">
        <v>1</v>
      </c>
      <c r="D255" s="9">
        <v>4</v>
      </c>
      <c r="E255" s="9" t="str">
        <f t="shared" si="1245"/>
        <v>IMPDSUP41</v>
      </c>
      <c r="F255" s="9" t="str">
        <f>CONCATENATE("Imported ",VLOOKUP($A255,Types!$A$2:$C$13,3,FALSE),", PADD ",D255,", Step ",RIGHT(C255,1))</f>
        <v>Imported Distillate-Ultralow Sulfur Highway Diesel (15 ppm), PADD 4, Step 1</v>
      </c>
      <c r="G255" s="9" t="str">
        <f>CONCATENATE(VLOOKUP($A255,Types!$A$2:$C$13,2,FALSE),"P",D255)</f>
        <v>DSUP4</v>
      </c>
      <c r="H255" s="66">
        <f>H254*$C$5</f>
        <v>71.467550000000003</v>
      </c>
      <c r="I255" s="66">
        <f t="shared" ref="I255" si="1302">I254*$C$5</f>
        <v>52.114149999999995</v>
      </c>
      <c r="J255" s="66">
        <f t="shared" ref="J255" si="1303">J254*$C$5</f>
        <v>41.3155</v>
      </c>
      <c r="K255" s="66">
        <f t="shared" ref="K255" si="1304">K254*$C$5</f>
        <v>42.521999999999998</v>
      </c>
      <c r="L255" s="67">
        <f>H255*Conv!$J$20/10^6/VLOOKUP($B255,Types!$B$2:$D$13,3,FALSE)/Conv!$I$5</f>
        <v>17.844354798108021</v>
      </c>
      <c r="M255" s="67">
        <f>I255*Conv!$J$20/10^6/VLOOKUP($B255,Types!$B$2:$D$13,3,FALSE)/Conv!$I$5</f>
        <v>13.012106649826684</v>
      </c>
      <c r="N255" s="67" t="e">
        <f>M255*#REF!</f>
        <v>#REF!</v>
      </c>
      <c r="O255" s="67" t="e">
        <f>N255*#REF!</f>
        <v>#REF!</v>
      </c>
      <c r="P255" s="67" t="e">
        <f>O255*#REF!</f>
        <v>#REF!</v>
      </c>
      <c r="Q255" s="67" t="e">
        <f>P255*#REF!</f>
        <v>#REF!</v>
      </c>
      <c r="R255" s="67" t="e">
        <f>Q255*#REF!</f>
        <v>#REF!</v>
      </c>
      <c r="S255" s="67" t="e">
        <f>R255*#REF!</f>
        <v>#REF!</v>
      </c>
      <c r="T255" s="67" t="e">
        <f>S255*#REF!</f>
        <v>#REF!</v>
      </c>
      <c r="U255" s="67" t="e">
        <f>T255*#REF!</f>
        <v>#REF!</v>
      </c>
      <c r="V255" s="67" t="e">
        <f>U255*#REF!</f>
        <v>#REF!</v>
      </c>
      <c r="W255" s="42"/>
      <c r="X255" s="9">
        <f>X254*$E$5</f>
        <v>0</v>
      </c>
      <c r="Y255" s="9">
        <f t="shared" ref="Y255" si="1305">Y254*$E$5</f>
        <v>0</v>
      </c>
      <c r="Z255" s="9">
        <f t="shared" ref="Z255" si="1306">Z254*$E$5</f>
        <v>0</v>
      </c>
      <c r="AA255" s="9">
        <f t="shared" ref="AA255" si="1307">AA254*$E$5</f>
        <v>0</v>
      </c>
      <c r="AB255" s="42">
        <f>X255*VLOOKUP($B255,Types!$B$2:$D$13,3,FALSE)*Conv!$I$5*1000*365</f>
        <v>0</v>
      </c>
      <c r="AC255" s="42">
        <f>Y255*VLOOKUP($B255,Types!$B$2:$D$13,3,FALSE)*Conv!$I$5*1000*365</f>
        <v>0</v>
      </c>
      <c r="AD255" s="42">
        <f>Z255*VLOOKUP($B255,Types!$B$2:$D$13,3,FALSE)*Conv!$I$5*1000*365</f>
        <v>0</v>
      </c>
      <c r="AE255" s="42">
        <f>AA255*VLOOKUP($B255,Types!$B$2:$D$13,3,FALSE)*Conv!$I$5*1000*365</f>
        <v>0</v>
      </c>
      <c r="AF255" s="42">
        <f>AB255</f>
        <v>0</v>
      </c>
      <c r="AG255" s="42">
        <f t="shared" ref="AG255" si="1308">AC255</f>
        <v>0</v>
      </c>
      <c r="AH255" s="42">
        <f t="shared" ref="AH255" si="1309">AD255</f>
        <v>0</v>
      </c>
      <c r="AI255" s="42">
        <f t="shared" ref="AI255" si="1310">AE255</f>
        <v>0</v>
      </c>
      <c r="AJ255" s="42"/>
      <c r="AK255" s="42"/>
      <c r="AL255" s="42"/>
    </row>
    <row r="256" spans="1:38">
      <c r="A256" s="9" t="str">
        <f t="shared" ref="A256:A258" si="1311">A255</f>
        <v>ULS Diesel (15 ppm)</v>
      </c>
      <c r="B256" s="9" t="str">
        <f>VLOOKUP($A256,Types!$A$2:$C$13,2,FALSE)</f>
        <v>DSU</v>
      </c>
      <c r="C256" s="9">
        <v>2</v>
      </c>
      <c r="D256" s="9">
        <v>4</v>
      </c>
      <c r="E256" s="9" t="str">
        <f t="shared" si="1245"/>
        <v>IMPDSUP42</v>
      </c>
      <c r="F256" s="9" t="str">
        <f>CONCATENATE("Imported ",VLOOKUP($A256,Types!$A$2:$C$13,3,FALSE),", PADD ",D256,", Step ",RIGHT(C256,1))</f>
        <v>Imported Distillate-Ultralow Sulfur Highway Diesel (15 ppm), PADD 4, Step 2</v>
      </c>
      <c r="G256" s="9" t="str">
        <f>CONCATENATE(VLOOKUP($A256,Types!$A$2:$C$13,2,FALSE),"P",D256)</f>
        <v>DSUP4</v>
      </c>
      <c r="H256" s="66">
        <f>H254*$C$6</f>
        <v>73.724420000000009</v>
      </c>
      <c r="I256" s="66">
        <f t="shared" ref="I256:K256" si="1312">I254*$C$6</f>
        <v>53.759859999999996</v>
      </c>
      <c r="J256" s="66">
        <f t="shared" si="1312"/>
        <v>42.620200000000004</v>
      </c>
      <c r="K256" s="66">
        <f t="shared" si="1312"/>
        <v>43.864799999999995</v>
      </c>
      <c r="L256" s="67">
        <f>H256*Conv!$J$20/10^6/VLOOKUP($B256,Types!$B$2:$D$13,3,FALSE)/Conv!$I$5</f>
        <v>18.407860739100908</v>
      </c>
      <c r="M256" s="67">
        <f>I256*Conv!$J$20/10^6/VLOOKUP($B256,Types!$B$2:$D$13,3,FALSE)/Conv!$I$5</f>
        <v>13.423015280873843</v>
      </c>
      <c r="N256" s="67" t="e">
        <f>M256*#REF!</f>
        <v>#REF!</v>
      </c>
      <c r="O256" s="67" t="e">
        <f>N256*#REF!</f>
        <v>#REF!</v>
      </c>
      <c r="P256" s="67" t="e">
        <f>O256*#REF!</f>
        <v>#REF!</v>
      </c>
      <c r="Q256" s="67" t="e">
        <f>P256*#REF!</f>
        <v>#REF!</v>
      </c>
      <c r="R256" s="67" t="e">
        <f>Q256*#REF!</f>
        <v>#REF!</v>
      </c>
      <c r="S256" s="67" t="e">
        <f>R256*#REF!</f>
        <v>#REF!</v>
      </c>
      <c r="T256" s="67" t="e">
        <f>S256*#REF!</f>
        <v>#REF!</v>
      </c>
      <c r="U256" s="67" t="e">
        <f>T256*#REF!</f>
        <v>#REF!</v>
      </c>
      <c r="V256" s="67" t="e">
        <f>U256*#REF!</f>
        <v>#REF!</v>
      </c>
      <c r="W256" s="42"/>
      <c r="X256" s="9">
        <f>X254*$E$6</f>
        <v>0</v>
      </c>
      <c r="Y256" s="9">
        <f t="shared" ref="Y256:AA256" si="1313">Y254*$E$6</f>
        <v>0</v>
      </c>
      <c r="Z256" s="9">
        <f t="shared" si="1313"/>
        <v>0</v>
      </c>
      <c r="AA256" s="9">
        <f t="shared" si="1313"/>
        <v>0</v>
      </c>
      <c r="AB256" s="42">
        <f>X256*VLOOKUP($B256,Types!$B$2:$D$13,3,FALSE)*Conv!$I$5*1000*365</f>
        <v>0</v>
      </c>
      <c r="AC256" s="42">
        <f>Y256*VLOOKUP($B256,Types!$B$2:$D$13,3,FALSE)*Conv!$I$5*1000*365</f>
        <v>0</v>
      </c>
      <c r="AD256" s="42">
        <f>Z256*VLOOKUP($B256,Types!$B$2:$D$13,3,FALSE)*Conv!$I$5*1000*365</f>
        <v>0</v>
      </c>
      <c r="AE256" s="42">
        <f>AA256*VLOOKUP($B256,Types!$B$2:$D$13,3,FALSE)*Conv!$I$5*1000*365</f>
        <v>0</v>
      </c>
      <c r="AF256" s="42">
        <f>AB256-AF255</f>
        <v>0</v>
      </c>
      <c r="AG256" s="42">
        <f t="shared" ref="AG256" si="1314">AC256-AG255</f>
        <v>0</v>
      </c>
      <c r="AH256" s="42">
        <f t="shared" ref="AH256" si="1315">AD256-AH255</f>
        <v>0</v>
      </c>
      <c r="AI256" s="42">
        <f t="shared" ref="AI256" si="1316">AE256-AI255</f>
        <v>0</v>
      </c>
      <c r="AJ256" s="42"/>
      <c r="AK256" s="42"/>
      <c r="AL256" s="42"/>
    </row>
    <row r="257" spans="1:38">
      <c r="A257" s="9" t="str">
        <f t="shared" si="1311"/>
        <v>ULS Diesel (15 ppm)</v>
      </c>
      <c r="B257" s="9" t="str">
        <f>VLOOKUP($A257,Types!$A$2:$C$13,2,FALSE)</f>
        <v>DSU</v>
      </c>
      <c r="C257" s="9">
        <v>4</v>
      </c>
      <c r="D257" s="9">
        <v>4</v>
      </c>
      <c r="E257" s="9" t="str">
        <f t="shared" si="1245"/>
        <v>IMPDSUP44</v>
      </c>
      <c r="F257" s="9" t="str">
        <f>CONCATENATE("Imported ",VLOOKUP($A257,Types!$A$2:$C$13,3,FALSE),", PADD ",D257,", Step ",RIGHT(C257,1))</f>
        <v>Imported Distillate-Ultralow Sulfur Highway Diesel (15 ppm), PADD 4, Step 4</v>
      </c>
      <c r="G257" s="9" t="str">
        <f>CONCATENATE(VLOOKUP($A257,Types!$A$2:$C$13,2,FALSE),"P",D257)</f>
        <v>DSUP4</v>
      </c>
      <c r="H257" s="66">
        <f>H254*$C$8</f>
        <v>81.999610000000018</v>
      </c>
      <c r="I257" s="66">
        <f t="shared" ref="I257:K257" si="1317">I254*$C$8</f>
        <v>59.794130000000003</v>
      </c>
      <c r="J257" s="66">
        <f t="shared" si="1317"/>
        <v>47.404100000000007</v>
      </c>
      <c r="K257" s="66">
        <f t="shared" si="1317"/>
        <v>48.788400000000003</v>
      </c>
      <c r="L257" s="67">
        <f>H257*Conv!$J$20/10^6/VLOOKUP($B257,Types!$B$2:$D$13,3,FALSE)/Conv!$I$5</f>
        <v>20.474049189408159</v>
      </c>
      <c r="M257" s="67">
        <f>I257*Conv!$J$20/10^6/VLOOKUP($B257,Types!$B$2:$D$13,3,FALSE)/Conv!$I$5</f>
        <v>14.929680261380094</v>
      </c>
      <c r="N257" s="67" t="e">
        <f>M257*#REF!</f>
        <v>#REF!</v>
      </c>
      <c r="O257" s="67" t="e">
        <f>N257*#REF!</f>
        <v>#REF!</v>
      </c>
      <c r="P257" s="67" t="e">
        <f>O257*#REF!</f>
        <v>#REF!</v>
      </c>
      <c r="Q257" s="67" t="e">
        <f>P257*#REF!</f>
        <v>#REF!</v>
      </c>
      <c r="R257" s="67" t="e">
        <f>Q257*#REF!</f>
        <v>#REF!</v>
      </c>
      <c r="S257" s="67" t="e">
        <f>R257*#REF!</f>
        <v>#REF!</v>
      </c>
      <c r="T257" s="67" t="e">
        <f>S257*#REF!</f>
        <v>#REF!</v>
      </c>
      <c r="U257" s="67" t="e">
        <f>T257*#REF!</f>
        <v>#REF!</v>
      </c>
      <c r="V257" s="67" t="e">
        <f>U257*#REF!</f>
        <v>#REF!</v>
      </c>
      <c r="W257" s="42"/>
      <c r="X257" s="9">
        <f>X254*$E$8</f>
        <v>0</v>
      </c>
      <c r="Y257" s="9">
        <f t="shared" ref="Y257:AA257" si="1318">Y254*$E$8</f>
        <v>0</v>
      </c>
      <c r="Z257" s="9">
        <f t="shared" si="1318"/>
        <v>0</v>
      </c>
      <c r="AA257" s="9">
        <f t="shared" si="1318"/>
        <v>0</v>
      </c>
      <c r="AB257" s="42">
        <f>X257*VLOOKUP($B257,Types!$B$2:$D$13,3,FALSE)*Conv!$I$5*1000*365</f>
        <v>0</v>
      </c>
      <c r="AC257" s="42">
        <f>Y257*VLOOKUP($B257,Types!$B$2:$D$13,3,FALSE)*Conv!$I$5*1000*365</f>
        <v>0</v>
      </c>
      <c r="AD257" s="42">
        <f>Z257*VLOOKUP($B257,Types!$B$2:$D$13,3,FALSE)*Conv!$I$5*1000*365</f>
        <v>0</v>
      </c>
      <c r="AE257" s="42">
        <f>AA257*VLOOKUP($B257,Types!$B$2:$D$13,3,FALSE)*Conv!$I$5*1000*365</f>
        <v>0</v>
      </c>
      <c r="AF257" s="42">
        <f>AB257-AB254</f>
        <v>0</v>
      </c>
      <c r="AG257" s="42">
        <f t="shared" ref="AG257" si="1319">AC257-AC254</f>
        <v>0</v>
      </c>
      <c r="AH257" s="42">
        <f t="shared" ref="AH257" si="1320">AD257-AD254</f>
        <v>0</v>
      </c>
      <c r="AI257" s="42">
        <f t="shared" ref="AI257" si="1321">AE257-AE254</f>
        <v>0</v>
      </c>
      <c r="AJ257" s="42"/>
      <c r="AK257" s="42"/>
      <c r="AL257" s="42"/>
    </row>
    <row r="258" spans="1:38">
      <c r="A258" s="9" t="str">
        <f t="shared" si="1311"/>
        <v>ULS Diesel (15 ppm)</v>
      </c>
      <c r="B258" s="9" t="str">
        <f>VLOOKUP($A258,Types!$A$2:$C$13,2,FALSE)</f>
        <v>DSU</v>
      </c>
      <c r="C258" s="9">
        <v>5</v>
      </c>
      <c r="D258" s="9">
        <v>4</v>
      </c>
      <c r="E258" s="9" t="str">
        <f t="shared" si="1245"/>
        <v>IMPDSUP45</v>
      </c>
      <c r="F258" s="9" t="str">
        <f>CONCATENATE("Imported ",VLOOKUP($A258,Types!$A$2:$C$13,3,FALSE),", PADD ",D258,", Step ",RIGHT(C258,1))</f>
        <v>Imported Distillate-Ultralow Sulfur Highway Diesel (15 ppm), PADD 4, Step 5</v>
      </c>
      <c r="G258" s="9" t="str">
        <f>CONCATENATE(VLOOKUP($A258,Types!$A$2:$C$13,2,FALSE),"P",D258)</f>
        <v>DSUP4</v>
      </c>
      <c r="H258" s="66">
        <f>H254*$C$9</f>
        <v>97.79770000000002</v>
      </c>
      <c r="I258" s="66">
        <f t="shared" ref="I258:K258" si="1322">I254*$C$9</f>
        <v>71.314099999999996</v>
      </c>
      <c r="J258" s="66">
        <f t="shared" si="1322"/>
        <v>56.537000000000006</v>
      </c>
      <c r="K258" s="66">
        <f t="shared" si="1322"/>
        <v>58.188000000000002</v>
      </c>
      <c r="L258" s="67">
        <f>H258*Conv!$J$20/10^6/VLOOKUP($B258,Types!$B$2:$D$13,3,FALSE)/Conv!$I$5</f>
        <v>24.418590776358354</v>
      </c>
      <c r="M258" s="67">
        <f>I258*Conv!$J$20/10^6/VLOOKUP($B258,Types!$B$2:$D$13,3,FALSE)/Conv!$I$5</f>
        <v>17.806040678710204</v>
      </c>
      <c r="N258" s="67" t="e">
        <f>M258*#REF!</f>
        <v>#REF!</v>
      </c>
      <c r="O258" s="67" t="e">
        <f>N258*#REF!</f>
        <v>#REF!</v>
      </c>
      <c r="P258" s="67" t="e">
        <f>O258*#REF!</f>
        <v>#REF!</v>
      </c>
      <c r="Q258" s="67" t="e">
        <f>P258*#REF!</f>
        <v>#REF!</v>
      </c>
      <c r="R258" s="67" t="e">
        <f>Q258*#REF!</f>
        <v>#REF!</v>
      </c>
      <c r="S258" s="67" t="e">
        <f>R258*#REF!</f>
        <v>#REF!</v>
      </c>
      <c r="T258" s="67" t="e">
        <f>S258*#REF!</f>
        <v>#REF!</v>
      </c>
      <c r="U258" s="67" t="e">
        <f>T258*#REF!</f>
        <v>#REF!</v>
      </c>
      <c r="V258" s="67" t="e">
        <f>U258*#REF!</f>
        <v>#REF!</v>
      </c>
      <c r="W258" s="42"/>
      <c r="X258" s="9">
        <f>X254*$E$9</f>
        <v>0</v>
      </c>
      <c r="Y258" s="9">
        <f t="shared" ref="Y258:AA258" si="1323">Y254*$E$9</f>
        <v>0</v>
      </c>
      <c r="Z258" s="9">
        <f t="shared" si="1323"/>
        <v>0</v>
      </c>
      <c r="AA258" s="9">
        <f t="shared" si="1323"/>
        <v>0</v>
      </c>
      <c r="AB258" s="42">
        <f>X258*VLOOKUP($B258,Types!$B$2:$D$13,3,FALSE)*Conv!$I$5*1000*365</f>
        <v>0</v>
      </c>
      <c r="AC258" s="42">
        <f>Y258*VLOOKUP($B258,Types!$B$2:$D$13,3,FALSE)*Conv!$I$5*1000*365</f>
        <v>0</v>
      </c>
      <c r="AD258" s="42">
        <f>Z258*VLOOKUP($B258,Types!$B$2:$D$13,3,FALSE)*Conv!$I$5*1000*365</f>
        <v>0</v>
      </c>
      <c r="AE258" s="42">
        <f>AA258*VLOOKUP($B258,Types!$B$2:$D$13,3,FALSE)*Conv!$I$5*1000*365</f>
        <v>0</v>
      </c>
      <c r="AF258" s="42">
        <f>AB258-AB257</f>
        <v>0</v>
      </c>
      <c r="AG258" s="42">
        <f t="shared" ref="AG258" si="1324">AC258-AC257</f>
        <v>0</v>
      </c>
      <c r="AH258" s="42">
        <f t="shared" ref="AH258" si="1325">AD258-AD257</f>
        <v>0</v>
      </c>
      <c r="AI258" s="42">
        <f t="shared" ref="AI258" si="1326">AE258-AE257</f>
        <v>0</v>
      </c>
      <c r="AJ258" s="42"/>
      <c r="AK258" s="42"/>
      <c r="AL258" s="42"/>
    </row>
    <row r="259" spans="1:38">
      <c r="A259" s="9" t="s">
        <v>398</v>
      </c>
      <c r="H259" s="66"/>
      <c r="I259" s="66"/>
      <c r="J259" s="66"/>
      <c r="K259" s="66"/>
      <c r="L259" s="67"/>
      <c r="M259" s="67"/>
      <c r="N259" s="67"/>
      <c r="O259" s="67"/>
      <c r="P259" s="67"/>
      <c r="Q259" s="67"/>
      <c r="R259" s="67"/>
      <c r="S259" s="67"/>
      <c r="T259" s="67"/>
      <c r="U259" s="67"/>
      <c r="V259" s="67"/>
      <c r="W259" s="42"/>
      <c r="AB259" s="42"/>
      <c r="AC259" s="42"/>
      <c r="AD259" s="42"/>
      <c r="AE259" s="42"/>
      <c r="AF259" s="42"/>
      <c r="AG259" s="42"/>
      <c r="AH259" s="42"/>
      <c r="AI259" s="42"/>
      <c r="AJ259" s="42"/>
      <c r="AK259" s="42"/>
      <c r="AL259" s="42"/>
    </row>
    <row r="260" spans="1:38" s="10" customFormat="1">
      <c r="A260" s="10" t="s">
        <v>530</v>
      </c>
      <c r="H260" s="63"/>
      <c r="I260" s="63"/>
      <c r="J260" s="63"/>
      <c r="K260" s="63"/>
      <c r="L260" s="64"/>
      <c r="M260" s="64"/>
      <c r="N260" s="64"/>
      <c r="O260" s="64"/>
      <c r="P260" s="64"/>
      <c r="Q260" s="64"/>
      <c r="R260" s="64"/>
      <c r="S260" s="64"/>
      <c r="T260" s="64"/>
      <c r="U260" s="64"/>
      <c r="V260" s="64"/>
    </row>
    <row r="261" spans="1:38">
      <c r="A261" s="9" t="str">
        <f>'Agg prdcrv'!$A$6</f>
        <v>Reformulated Mogas</v>
      </c>
      <c r="B261" s="9" t="str">
        <f>VLOOKUP($A261,Types!$A$2:$C$13,2,FALSE)</f>
        <v>GSR</v>
      </c>
      <c r="C261" s="9">
        <v>3</v>
      </c>
      <c r="D261" s="9">
        <v>5</v>
      </c>
      <c r="E261" s="9" t="str">
        <f t="shared" ref="E261:E304" si="1327">CONCATENATE("IMP",G261,RIGHT(C261,1))</f>
        <v>IMPGSRP53</v>
      </c>
      <c r="F261" s="9" t="str">
        <f>CONCATENATE("Imported ",VLOOKUP($A261,Types!$A$2:$C$13,3,FALSE),", PADD ",D261,", Step ",RIGHT(C261,1))</f>
        <v>Imported Reformulated Gasoline, PADD 5, Step 3</v>
      </c>
      <c r="G261" s="9" t="str">
        <f>CONCATENATE(VLOOKUP($A261,Types!$A$2:$C$13,2,FALSE),"P",D261)</f>
        <v>GSRP5</v>
      </c>
      <c r="H261" s="66">
        <f>SUMIFS('Agg prdcrv'!$P$6:$P$100,'Agg prdcrv'!$A$6:$A$100,'Imp Refined'!$A261,'Agg prdcrv'!$B$6:$B$100,H$11)*K4</f>
        <v>39.479000000000006</v>
      </c>
      <c r="I261" s="66">
        <f>SUMIFS('Agg prdcrv'!$P$6:$P$100,'Agg prdcrv'!$A$6:$A$100,'Imp Refined'!$A261,'Agg prdcrv'!$B$6:$B$100,I$11)*K4</f>
        <v>124.85000000000001</v>
      </c>
      <c r="J261" s="66">
        <f t="array" ref="J261">SUMIFS('Agg prdcrv'!$P$6:$P$100,'Agg prdcrv'!$A$6:$A$100,'Imp Refined'!$A261,'Agg prdcrv'!$B$6:$B$100,J$11)</f>
        <v>113.5</v>
      </c>
      <c r="K261" s="66">
        <f t="array" ref="K261">SUMIFS('Agg prdcrv'!$P$6:$P$100,'Agg prdcrv'!$A$6:$A$100,'Imp Refined'!$A261,'Agg prdcrv'!$B$6:$B$100,K$11)</f>
        <v>113.5</v>
      </c>
      <c r="L261" s="67">
        <f>H261*Conv!$J$20/10^6/VLOOKUP($B261,Types!$B$2:$D$13,3,FALSE)/Conv!$I$5</f>
        <v>11.149279417780168</v>
      </c>
      <c r="M261" s="67">
        <f>I261*Conv!$J$20/10^6/VLOOKUP($B261,Types!$B$2:$D$13,3,FALSE)/Conv!$I$5</f>
        <v>35.258936024465008</v>
      </c>
      <c r="N261" s="67" t="e">
        <f>M261*#REF!</f>
        <v>#REF!</v>
      </c>
      <c r="O261" s="67" t="e">
        <f>N261*#REF!</f>
        <v>#REF!</v>
      </c>
      <c r="P261" s="67" t="e">
        <f>O261*#REF!</f>
        <v>#REF!</v>
      </c>
      <c r="Q261" s="67" t="e">
        <f>P261*#REF!</f>
        <v>#REF!</v>
      </c>
      <c r="R261" s="67" t="e">
        <f>Q261*#REF!</f>
        <v>#REF!</v>
      </c>
      <c r="S261" s="67" t="e">
        <f>R261*#REF!</f>
        <v>#REF!</v>
      </c>
      <c r="T261" s="67" t="e">
        <f>S261*#REF!</f>
        <v>#REF!</v>
      </c>
      <c r="U261" s="67" t="e">
        <f>T261*#REF!</f>
        <v>#REF!</v>
      </c>
      <c r="V261" s="67" t="e">
        <f>U261*#REF!</f>
        <v>#REF!</v>
      </c>
      <c r="W261" s="42"/>
      <c r="X261" s="9">
        <f t="array" ref="X261">SUMIFS('Agg prdcrv'!$H$6:$H$100,'Agg prdcrv'!$A$6:$A$100,'Imp Refined'!$A261,'Agg prdcrv'!$B$6:$B$100,X$11)</f>
        <v>6.45</v>
      </c>
      <c r="Y261" s="9">
        <f t="array" ref="Y261">SUMIFS('Agg prdcrv'!$H$6:$H$100,'Agg prdcrv'!$A$6:$A$100,'Imp Refined'!$A261,'Agg prdcrv'!$B$6:$B$100,Y$11)</f>
        <v>0</v>
      </c>
      <c r="Z261" s="9">
        <f t="array" ref="Z261">SUMIFS('Agg prdcrv'!$H$6:$H$100,'Agg prdcrv'!$A$6:$A$100,'Imp Refined'!$A261,'Agg prdcrv'!$B$6:$B$100,Z$11)</f>
        <v>0</v>
      </c>
      <c r="AA261" s="9">
        <f t="array" ref="AA261">SUMIFS('Agg prdcrv'!$H$6:$H$100,'Agg prdcrv'!$A$6:$A$100,'Imp Refined'!$A261,'Agg prdcrv'!$B$6:$B$100,AA$11)</f>
        <v>0</v>
      </c>
      <c r="AB261" s="42">
        <f>X261*VLOOKUP($B261,Types!$B$2:$D$13,3,FALSE)*Conv!$I$5*1000*365</f>
        <v>12.791907778199999</v>
      </c>
      <c r="AC261" s="42">
        <f>Y261*VLOOKUP($B261,Types!$B$2:$D$13,3,FALSE)*Conv!$I$5*1000*365</f>
        <v>0</v>
      </c>
      <c r="AD261" s="42">
        <f>Z261*VLOOKUP($B261,Types!$B$2:$D$13,3,FALSE)*Conv!$I$5*1000*365</f>
        <v>0</v>
      </c>
      <c r="AE261" s="42">
        <f>AA261*VLOOKUP($B261,Types!$B$2:$D$13,3,FALSE)*Conv!$I$5*1000*365</f>
        <v>0</v>
      </c>
      <c r="AF261" s="42">
        <f>AB261-AB263</f>
        <v>1.2791907778199967</v>
      </c>
      <c r="AG261" s="42">
        <f t="shared" ref="AG261" si="1328">AC261-AC263</f>
        <v>0</v>
      </c>
      <c r="AH261" s="42">
        <f t="shared" ref="AH261" si="1329">AD261-AD263</f>
        <v>0</v>
      </c>
      <c r="AI261" s="42">
        <f t="shared" ref="AI261" si="1330">AE261-AE263</f>
        <v>0</v>
      </c>
      <c r="AJ261" s="42"/>
      <c r="AK261" s="42"/>
      <c r="AL261" s="42"/>
    </row>
    <row r="262" spans="1:38">
      <c r="A262" s="9" t="str">
        <f>A261</f>
        <v>Reformulated Mogas</v>
      </c>
      <c r="B262" s="9" t="str">
        <f>VLOOKUP($A262,Types!$A$2:$C$13,2,FALSE)</f>
        <v>GSR</v>
      </c>
      <c r="C262" s="9">
        <v>1</v>
      </c>
      <c r="D262" s="9">
        <v>5</v>
      </c>
      <c r="E262" s="9" t="str">
        <f t="shared" si="1327"/>
        <v>IMPGSRP51</v>
      </c>
      <c r="F262" s="9" t="str">
        <f>CONCATENATE("Imported ",VLOOKUP($A262,Types!$A$2:$C$13,3,FALSE),", PADD ",D262,", Step ",RIGHT(C262,1))</f>
        <v>Imported Reformulated Gasoline, PADD 5, Step 1</v>
      </c>
      <c r="G262" s="9" t="str">
        <f>CONCATENATE(VLOOKUP($A262,Types!$A$2:$C$13,2,FALSE),"P",D262)</f>
        <v>GSRP5</v>
      </c>
      <c r="H262" s="66">
        <f>H261*$C$5</f>
        <v>37.505050000000004</v>
      </c>
      <c r="I262" s="66">
        <f t="shared" ref="I262" si="1331">I261*$C$5</f>
        <v>118.6075</v>
      </c>
      <c r="J262" s="66">
        <f t="shared" ref="J262" si="1332">J261*$C$5</f>
        <v>107.82499999999999</v>
      </c>
      <c r="K262" s="66">
        <f t="shared" ref="K262" si="1333">K261*$C$5</f>
        <v>107.82499999999999</v>
      </c>
      <c r="L262" s="67">
        <f>H262*Conv!$J$20/10^6/VLOOKUP($B262,Types!$B$2:$D$13,3,FALSE)/Conv!$I$5</f>
        <v>10.591815446891161</v>
      </c>
      <c r="M262" s="67">
        <f>I262*Conv!$J$20/10^6/VLOOKUP($B262,Types!$B$2:$D$13,3,FALSE)/Conv!$I$5</f>
        <v>33.495989223241757</v>
      </c>
      <c r="N262" s="67" t="e">
        <f>M262*#REF!</f>
        <v>#REF!</v>
      </c>
      <c r="O262" s="67" t="e">
        <f>N262*#REF!</f>
        <v>#REF!</v>
      </c>
      <c r="P262" s="67" t="e">
        <f>O262*#REF!</f>
        <v>#REF!</v>
      </c>
      <c r="Q262" s="67" t="e">
        <f>P262*#REF!</f>
        <v>#REF!</v>
      </c>
      <c r="R262" s="67" t="e">
        <f>Q262*#REF!</f>
        <v>#REF!</v>
      </c>
      <c r="S262" s="67" t="e">
        <f>R262*#REF!</f>
        <v>#REF!</v>
      </c>
      <c r="T262" s="67" t="e">
        <f>S262*#REF!</f>
        <v>#REF!</v>
      </c>
      <c r="U262" s="67" t="e">
        <f>T262*#REF!</f>
        <v>#REF!</v>
      </c>
      <c r="V262" s="67" t="e">
        <f>U262*#REF!</f>
        <v>#REF!</v>
      </c>
      <c r="W262" s="42"/>
      <c r="X262" s="9">
        <f>X261*$E$5</f>
        <v>5.16</v>
      </c>
      <c r="Y262" s="9">
        <f t="shared" ref="Y262" si="1334">Y261*$E$5</f>
        <v>0</v>
      </c>
      <c r="Z262" s="9">
        <f t="shared" ref="Z262" si="1335">Z261*$E$5</f>
        <v>0</v>
      </c>
      <c r="AA262" s="9">
        <f t="shared" ref="AA262" si="1336">AA261*$E$5</f>
        <v>0</v>
      </c>
      <c r="AB262" s="42">
        <f>X262*VLOOKUP($B262,Types!$B$2:$D$13,3,FALSE)*Conv!$I$5*1000*365</f>
        <v>10.23352622256</v>
      </c>
      <c r="AC262" s="42">
        <f>Y262*VLOOKUP($B262,Types!$B$2:$D$13,3,FALSE)*Conv!$I$5*1000*365</f>
        <v>0</v>
      </c>
      <c r="AD262" s="42">
        <f>Z262*VLOOKUP($B262,Types!$B$2:$D$13,3,FALSE)*Conv!$I$5*1000*365</f>
        <v>0</v>
      </c>
      <c r="AE262" s="42">
        <f>AA262*VLOOKUP($B262,Types!$B$2:$D$13,3,FALSE)*Conv!$I$5*1000*365</f>
        <v>0</v>
      </c>
      <c r="AF262" s="42">
        <f>AB262</f>
        <v>10.23352622256</v>
      </c>
      <c r="AG262" s="42">
        <f t="shared" ref="AG262" si="1337">AC262</f>
        <v>0</v>
      </c>
      <c r="AH262" s="42">
        <f t="shared" ref="AH262" si="1338">AD262</f>
        <v>0</v>
      </c>
      <c r="AI262" s="42">
        <f t="shared" ref="AI262" si="1339">AE262</f>
        <v>0</v>
      </c>
      <c r="AJ262" s="42"/>
      <c r="AK262" s="42"/>
      <c r="AL262" s="42"/>
    </row>
    <row r="263" spans="1:38">
      <c r="A263" s="9" t="str">
        <f t="shared" ref="A263:A265" si="1340">A262</f>
        <v>Reformulated Mogas</v>
      </c>
      <c r="B263" s="9" t="str">
        <f>VLOOKUP($A263,Types!$A$2:$C$13,2,FALSE)</f>
        <v>GSR</v>
      </c>
      <c r="C263" s="9">
        <v>2</v>
      </c>
      <c r="D263" s="9">
        <v>5</v>
      </c>
      <c r="E263" s="9" t="str">
        <f t="shared" si="1327"/>
        <v>IMPGSRP52</v>
      </c>
      <c r="F263" s="9" t="str">
        <f>CONCATENATE("Imported ",VLOOKUP($A263,Types!$A$2:$C$13,3,FALSE),", PADD ",D263,", Step ",RIGHT(C263,1))</f>
        <v>Imported Reformulated Gasoline, PADD 5, Step 2</v>
      </c>
      <c r="G263" s="9" t="str">
        <f>CONCATENATE(VLOOKUP($A263,Types!$A$2:$C$13,2,FALSE),"P",D263)</f>
        <v>GSRP5</v>
      </c>
      <c r="H263" s="66">
        <f>H261*$C$6</f>
        <v>38.689420000000005</v>
      </c>
      <c r="I263" s="66">
        <f t="shared" ref="I263:K263" si="1341">I261*$C$6</f>
        <v>122.35300000000001</v>
      </c>
      <c r="J263" s="66">
        <f t="shared" si="1341"/>
        <v>111.23</v>
      </c>
      <c r="K263" s="66">
        <f t="shared" si="1341"/>
        <v>111.23</v>
      </c>
      <c r="L263" s="67">
        <f>H263*Conv!$J$20/10^6/VLOOKUP($B263,Types!$B$2:$D$13,3,FALSE)/Conv!$I$5</f>
        <v>10.926293829424566</v>
      </c>
      <c r="M263" s="67">
        <f>I263*Conv!$J$20/10^6/VLOOKUP($B263,Types!$B$2:$D$13,3,FALSE)/Conv!$I$5</f>
        <v>34.553757303975701</v>
      </c>
      <c r="N263" s="67" t="e">
        <f>M263*#REF!</f>
        <v>#REF!</v>
      </c>
      <c r="O263" s="67" t="e">
        <f>N263*#REF!</f>
        <v>#REF!</v>
      </c>
      <c r="P263" s="67" t="e">
        <f>O263*#REF!</f>
        <v>#REF!</v>
      </c>
      <c r="Q263" s="67" t="e">
        <f>P263*#REF!</f>
        <v>#REF!</v>
      </c>
      <c r="R263" s="67" t="e">
        <f>Q263*#REF!</f>
        <v>#REF!</v>
      </c>
      <c r="S263" s="67" t="e">
        <f>R263*#REF!</f>
        <v>#REF!</v>
      </c>
      <c r="T263" s="67" t="e">
        <f>S263*#REF!</f>
        <v>#REF!</v>
      </c>
      <c r="U263" s="67" t="e">
        <f>T263*#REF!</f>
        <v>#REF!</v>
      </c>
      <c r="V263" s="67" t="e">
        <f>U263*#REF!</f>
        <v>#REF!</v>
      </c>
      <c r="W263" s="42"/>
      <c r="X263" s="9">
        <f>X261*$E$6</f>
        <v>5.8050000000000006</v>
      </c>
      <c r="Y263" s="9">
        <f t="shared" ref="Y263:AA263" si="1342">Y261*$E$6</f>
        <v>0</v>
      </c>
      <c r="Z263" s="9">
        <f t="shared" si="1342"/>
        <v>0</v>
      </c>
      <c r="AA263" s="9">
        <f t="shared" si="1342"/>
        <v>0</v>
      </c>
      <c r="AB263" s="42">
        <f>X263*VLOOKUP($B263,Types!$B$2:$D$13,3,FALSE)*Conv!$I$5*1000*365</f>
        <v>11.512717000380002</v>
      </c>
      <c r="AC263" s="42">
        <f>Y263*VLOOKUP($B263,Types!$B$2:$D$13,3,FALSE)*Conv!$I$5*1000*365</f>
        <v>0</v>
      </c>
      <c r="AD263" s="42">
        <f>Z263*VLOOKUP($B263,Types!$B$2:$D$13,3,FALSE)*Conv!$I$5*1000*365</f>
        <v>0</v>
      </c>
      <c r="AE263" s="42">
        <f>AA263*VLOOKUP($B263,Types!$B$2:$D$13,3,FALSE)*Conv!$I$5*1000*365</f>
        <v>0</v>
      </c>
      <c r="AF263" s="42">
        <f>AB263-AF262</f>
        <v>1.279190777820002</v>
      </c>
      <c r="AG263" s="42">
        <f t="shared" ref="AG263" si="1343">AC263-AG262</f>
        <v>0</v>
      </c>
      <c r="AH263" s="42">
        <f t="shared" ref="AH263" si="1344">AD263-AH262</f>
        <v>0</v>
      </c>
      <c r="AI263" s="42">
        <f t="shared" ref="AI263" si="1345">AE263-AI262</f>
        <v>0</v>
      </c>
      <c r="AJ263" s="42"/>
      <c r="AK263" s="42"/>
      <c r="AL263" s="42"/>
    </row>
    <row r="264" spans="1:38">
      <c r="A264" s="9" t="str">
        <f t="shared" si="1340"/>
        <v>Reformulated Mogas</v>
      </c>
      <c r="B264" s="9" t="str">
        <f>VLOOKUP($A264,Types!$A$2:$C$13,2,FALSE)</f>
        <v>GSR</v>
      </c>
      <c r="C264" s="9">
        <v>4</v>
      </c>
      <c r="D264" s="9">
        <v>5</v>
      </c>
      <c r="E264" s="9" t="str">
        <f t="shared" si="1327"/>
        <v>IMPGSRP54</v>
      </c>
      <c r="F264" s="9" t="str">
        <f>CONCATENATE("Imported ",VLOOKUP($A264,Types!$A$2:$C$13,3,FALSE),", PADD ",D264,", Step ",RIGHT(C264,1))</f>
        <v>Imported Reformulated Gasoline, PADD 5, Step 4</v>
      </c>
      <c r="G264" s="9" t="str">
        <f>CONCATENATE(VLOOKUP($A264,Types!$A$2:$C$13,2,FALSE),"P",D264)</f>
        <v>GSRP5</v>
      </c>
      <c r="H264" s="66">
        <f>H261*$C$8</f>
        <v>43.03211000000001</v>
      </c>
      <c r="I264" s="66">
        <f t="shared" ref="I264:K264" si="1346">I261*$C$8</f>
        <v>136.08650000000003</v>
      </c>
      <c r="J264" s="66">
        <f t="shared" si="1346"/>
        <v>123.715</v>
      </c>
      <c r="K264" s="66">
        <f t="shared" si="1346"/>
        <v>123.715</v>
      </c>
      <c r="L264" s="67">
        <f>H264*Conv!$J$20/10^6/VLOOKUP($B264,Types!$B$2:$D$13,3,FALSE)/Conv!$I$5</f>
        <v>12.152714565380384</v>
      </c>
      <c r="M264" s="67">
        <f>I264*Conv!$J$20/10^6/VLOOKUP($B264,Types!$B$2:$D$13,3,FALSE)/Conv!$I$5</f>
        <v>38.432240266666867</v>
      </c>
      <c r="N264" s="67" t="e">
        <f>M264*#REF!</f>
        <v>#REF!</v>
      </c>
      <c r="O264" s="67" t="e">
        <f>N264*#REF!</f>
        <v>#REF!</v>
      </c>
      <c r="P264" s="67" t="e">
        <f>O264*#REF!</f>
        <v>#REF!</v>
      </c>
      <c r="Q264" s="67" t="e">
        <f>P264*#REF!</f>
        <v>#REF!</v>
      </c>
      <c r="R264" s="67" t="e">
        <f>Q264*#REF!</f>
        <v>#REF!</v>
      </c>
      <c r="S264" s="67" t="e">
        <f>R264*#REF!</f>
        <v>#REF!</v>
      </c>
      <c r="T264" s="67" t="e">
        <f>S264*#REF!</f>
        <v>#REF!</v>
      </c>
      <c r="U264" s="67" t="e">
        <f>T264*#REF!</f>
        <v>#REF!</v>
      </c>
      <c r="V264" s="67" t="e">
        <f>U264*#REF!</f>
        <v>#REF!</v>
      </c>
      <c r="W264" s="42"/>
      <c r="X264" s="9">
        <f>X261*$E$8</f>
        <v>7.74</v>
      </c>
      <c r="Y264" s="9">
        <f t="shared" ref="Y264:AA264" si="1347">Y261*$E$8</f>
        <v>0</v>
      </c>
      <c r="Z264" s="9">
        <f t="shared" si="1347"/>
        <v>0</v>
      </c>
      <c r="AA264" s="9">
        <f t="shared" si="1347"/>
        <v>0</v>
      </c>
      <c r="AB264" s="42">
        <f>X264*VLOOKUP($B264,Types!$B$2:$D$13,3,FALSE)*Conv!$I$5*1000*365</f>
        <v>15.350289333840001</v>
      </c>
      <c r="AC264" s="42">
        <f>Y264*VLOOKUP($B264,Types!$B$2:$D$13,3,FALSE)*Conv!$I$5*1000*365</f>
        <v>0</v>
      </c>
      <c r="AD264" s="42">
        <f>Z264*VLOOKUP($B264,Types!$B$2:$D$13,3,FALSE)*Conv!$I$5*1000*365</f>
        <v>0</v>
      </c>
      <c r="AE264" s="42">
        <f>AA264*VLOOKUP($B264,Types!$B$2:$D$13,3,FALSE)*Conv!$I$5*1000*365</f>
        <v>0</v>
      </c>
      <c r="AF264" s="42">
        <f>AB264-AB261</f>
        <v>2.5583815556400022</v>
      </c>
      <c r="AG264" s="42">
        <f t="shared" ref="AG264" si="1348">AC264-AC261</f>
        <v>0</v>
      </c>
      <c r="AH264" s="42">
        <f t="shared" ref="AH264" si="1349">AD264-AD261</f>
        <v>0</v>
      </c>
      <c r="AI264" s="42">
        <f t="shared" ref="AI264" si="1350">AE264-AE261</f>
        <v>0</v>
      </c>
      <c r="AJ264" s="42"/>
      <c r="AK264" s="42"/>
      <c r="AL264" s="42"/>
    </row>
    <row r="265" spans="1:38">
      <c r="A265" s="9" t="str">
        <f t="shared" si="1340"/>
        <v>Reformulated Mogas</v>
      </c>
      <c r="B265" s="9" t="str">
        <f>VLOOKUP($A265,Types!$A$2:$C$13,2,FALSE)</f>
        <v>GSR</v>
      </c>
      <c r="C265" s="9">
        <v>5</v>
      </c>
      <c r="D265" s="9">
        <v>5</v>
      </c>
      <c r="E265" s="9" t="str">
        <f t="shared" si="1327"/>
        <v>IMPGSRP55</v>
      </c>
      <c r="F265" s="9" t="str">
        <f>CONCATENATE("Imported ",VLOOKUP($A265,Types!$A$2:$C$13,3,FALSE),", PADD ",D265,", Step ",RIGHT(C265,1))</f>
        <v>Imported Reformulated Gasoline, PADD 5, Step 5</v>
      </c>
      <c r="G265" s="9" t="str">
        <f>CONCATENATE(VLOOKUP($A265,Types!$A$2:$C$13,2,FALSE),"P",D265)</f>
        <v>GSRP5</v>
      </c>
      <c r="H265" s="66">
        <f>H261*$C$9</f>
        <v>51.322700000000012</v>
      </c>
      <c r="I265" s="66">
        <f t="shared" ref="I265:K265" si="1351">I261*$C$9</f>
        <v>162.30500000000001</v>
      </c>
      <c r="J265" s="66">
        <f t="shared" si="1351"/>
        <v>147.55000000000001</v>
      </c>
      <c r="K265" s="66">
        <f t="shared" si="1351"/>
        <v>147.55000000000001</v>
      </c>
      <c r="L265" s="67">
        <f>H265*Conv!$J$20/10^6/VLOOKUP($B265,Types!$B$2:$D$13,3,FALSE)/Conv!$I$5</f>
        <v>14.494063243114219</v>
      </c>
      <c r="M265" s="67">
        <f>I265*Conv!$J$20/10^6/VLOOKUP($B265,Types!$B$2:$D$13,3,FALSE)/Conv!$I$5</f>
        <v>45.836616831804506</v>
      </c>
      <c r="N265" s="67" t="e">
        <f>M265*#REF!</f>
        <v>#REF!</v>
      </c>
      <c r="O265" s="67" t="e">
        <f>N265*#REF!</f>
        <v>#REF!</v>
      </c>
      <c r="P265" s="67" t="e">
        <f>O265*#REF!</f>
        <v>#REF!</v>
      </c>
      <c r="Q265" s="67" t="e">
        <f>P265*#REF!</f>
        <v>#REF!</v>
      </c>
      <c r="R265" s="67" t="e">
        <f>Q265*#REF!</f>
        <v>#REF!</v>
      </c>
      <c r="S265" s="67" t="e">
        <f>R265*#REF!</f>
        <v>#REF!</v>
      </c>
      <c r="T265" s="67" t="e">
        <f>S265*#REF!</f>
        <v>#REF!</v>
      </c>
      <c r="U265" s="67" t="e">
        <f>T265*#REF!</f>
        <v>#REF!</v>
      </c>
      <c r="V265" s="67" t="e">
        <f>U265*#REF!</f>
        <v>#REF!</v>
      </c>
      <c r="W265" s="42"/>
      <c r="X265" s="9">
        <f>X261*$E$9</f>
        <v>12.9</v>
      </c>
      <c r="Y265" s="9">
        <f t="shared" ref="Y265:AA265" si="1352">Y261*$E$9</f>
        <v>0</v>
      </c>
      <c r="Z265" s="9">
        <f t="shared" si="1352"/>
        <v>0</v>
      </c>
      <c r="AA265" s="9">
        <f t="shared" si="1352"/>
        <v>0</v>
      </c>
      <c r="AB265" s="42">
        <f>X265*VLOOKUP($B265,Types!$B$2:$D$13,3,FALSE)*Conv!$I$5*1000*365</f>
        <v>25.583815556399998</v>
      </c>
      <c r="AC265" s="42">
        <f>Y265*VLOOKUP($B265,Types!$B$2:$D$13,3,FALSE)*Conv!$I$5*1000*365</f>
        <v>0</v>
      </c>
      <c r="AD265" s="42">
        <f>Z265*VLOOKUP($B265,Types!$B$2:$D$13,3,FALSE)*Conv!$I$5*1000*365</f>
        <v>0</v>
      </c>
      <c r="AE265" s="42">
        <f>AA265*VLOOKUP($B265,Types!$B$2:$D$13,3,FALSE)*Conv!$I$5*1000*365</f>
        <v>0</v>
      </c>
      <c r="AF265" s="42">
        <f>AB265-AB264</f>
        <v>10.233526222559997</v>
      </c>
      <c r="AG265" s="42">
        <f t="shared" ref="AG265" si="1353">AC265-AC264</f>
        <v>0</v>
      </c>
      <c r="AH265" s="42">
        <f t="shared" ref="AH265" si="1354">AD265-AD264</f>
        <v>0</v>
      </c>
      <c r="AI265" s="42">
        <f t="shared" ref="AI265" si="1355">AE265-AE264</f>
        <v>0</v>
      </c>
      <c r="AJ265" s="42"/>
      <c r="AK265" s="42"/>
      <c r="AL265" s="42"/>
    </row>
    <row r="266" spans="1:38">
      <c r="A266" s="9" t="str">
        <f>'Agg prdcrv'!$A$7</f>
        <v>Conventional Mogas</v>
      </c>
      <c r="B266" s="9" t="str">
        <f>VLOOKUP($A266,Types!$A$2:$C$13,2,FALSE)</f>
        <v>GSC</v>
      </c>
      <c r="C266" s="9">
        <v>3</v>
      </c>
      <c r="D266" s="9">
        <v>5</v>
      </c>
      <c r="E266" s="9" t="str">
        <f t="shared" si="1327"/>
        <v>IMPGSCP53</v>
      </c>
      <c r="F266" s="9" t="str">
        <f>CONCATENATE("Imported ",VLOOKUP($A266,Types!$A$2:$C$13,3,FALSE),", PADD ",D266,", Step ",RIGHT(C266,1))</f>
        <v>Imported Conventional Gasoline, PADD 5, Step 3</v>
      </c>
      <c r="G266" s="9" t="str">
        <f>CONCATENATE(VLOOKUP($A266,Types!$A$2:$C$13,2,FALSE),"P",D266)</f>
        <v>GSCP5</v>
      </c>
      <c r="H266" s="66">
        <f>SUMIFS('Agg prdcrv'!$P$6:$P$100,'Agg prdcrv'!$A$6:$A$100,'Imp Refined'!$A266,'Agg prdcrv'!$B$6:$B$100,H$11)*K4</f>
        <v>37.323</v>
      </c>
      <c r="I266" s="66">
        <f>SUMIFS('Agg prdcrv'!$P$6:$P$100,'Agg prdcrv'!$A$6:$A$100,'Imp Refined'!$A266,'Agg prdcrv'!$B$6:$B$100,I$11)*K4</f>
        <v>38.28</v>
      </c>
      <c r="J266" s="66">
        <f t="array" ref="J266">SUMIFS('Agg prdcrv'!$P$6:$P$100,'Agg prdcrv'!$A$6:$A$100,'Imp Refined'!$A266,'Agg prdcrv'!$B$6:$B$100,J$11)</f>
        <v>30.68</v>
      </c>
      <c r="K266" s="66">
        <f t="array" ref="K266">SUMIFS('Agg prdcrv'!$P$6:$P$100,'Agg prdcrv'!$A$6:$A$100,'Imp Refined'!$A266,'Agg prdcrv'!$B$6:$B$100,K$11)</f>
        <v>30.65</v>
      </c>
      <c r="L266" s="67">
        <f>H266*Conv!$J$20/10^6/VLOOKUP($B266,Types!$B$2:$D$13,3,FALSE)/Conv!$I$5</f>
        <v>10.333728075581737</v>
      </c>
      <c r="M266" s="67">
        <f>I266*Conv!$J$20/10^6/VLOOKUP($B266,Types!$B$2:$D$13,3,FALSE)/Conv!$I$5</f>
        <v>10.598695462135115</v>
      </c>
      <c r="N266" s="67" t="e">
        <f>M266*#REF!</f>
        <v>#REF!</v>
      </c>
      <c r="O266" s="67" t="e">
        <f>N266*#REF!</f>
        <v>#REF!</v>
      </c>
      <c r="P266" s="67" t="e">
        <f>O266*#REF!</f>
        <v>#REF!</v>
      </c>
      <c r="Q266" s="67" t="e">
        <f>P266*#REF!</f>
        <v>#REF!</v>
      </c>
      <c r="R266" s="67" t="e">
        <f>Q266*#REF!</f>
        <v>#REF!</v>
      </c>
      <c r="S266" s="67" t="e">
        <f>R266*#REF!</f>
        <v>#REF!</v>
      </c>
      <c r="T266" s="67" t="e">
        <f>S266*#REF!</f>
        <v>#REF!</v>
      </c>
      <c r="U266" s="67" t="e">
        <f>T266*#REF!</f>
        <v>#REF!</v>
      </c>
      <c r="V266" s="67" t="e">
        <f>U266*#REF!</f>
        <v>#REF!</v>
      </c>
      <c r="W266" s="42"/>
      <c r="X266" s="9">
        <f t="array" ref="X266">SUMIFS('Agg prdcrv'!$H$6:$H$100,'Agg prdcrv'!$A$6:$A$100,'Imp Refined'!$A266,'Agg prdcrv'!$B$6:$B$100,X$11)</f>
        <v>23.07</v>
      </c>
      <c r="Y266" s="9">
        <f t="array" ref="Y266">SUMIFS('Agg prdcrv'!$H$6:$H$100,'Agg prdcrv'!$A$6:$A$100,'Imp Refined'!$A266,'Agg prdcrv'!$B$6:$B$100,Y$11)</f>
        <v>19.77</v>
      </c>
      <c r="Z266" s="9">
        <f t="array" ref="Z266">SUMIFS('Agg prdcrv'!$H$6:$H$100,'Agg prdcrv'!$A$6:$A$100,'Imp Refined'!$A266,'Agg prdcrv'!$B$6:$B$100,Z$11)</f>
        <v>21.3</v>
      </c>
      <c r="AA266" s="9">
        <f t="array" ref="AA266">SUMIFS('Agg prdcrv'!$H$6:$H$100,'Agg prdcrv'!$A$6:$A$100,'Imp Refined'!$A266,'Agg prdcrv'!$B$6:$B$100,AA$11)</f>
        <v>22.94</v>
      </c>
      <c r="AB266" s="42">
        <f>X266*VLOOKUP($B266,Types!$B$2:$D$13,3,FALSE)*Conv!$I$5*1000*365</f>
        <v>46.668449409602403</v>
      </c>
      <c r="AC266" s="42">
        <f>Y266*VLOOKUP($B266,Types!$B$2:$D$13,3,FALSE)*Conv!$I$5*1000*365</f>
        <v>39.992858466746398</v>
      </c>
      <c r="AD266" s="42">
        <f>Z266*VLOOKUP($B266,Types!$B$2:$D$13,3,FALSE)*Conv!$I$5*1000*365</f>
        <v>43.087905176615998</v>
      </c>
      <c r="AE266" s="42">
        <f>AA266*VLOOKUP($B266,Types!$B$2:$D$13,3,FALSE)*Conv!$I$5*1000*365</f>
        <v>46.405471584580795</v>
      </c>
      <c r="AF266" s="42">
        <f>AB266-AB268</f>
        <v>4.6668449409602459</v>
      </c>
      <c r="AG266" s="42">
        <f t="shared" ref="AG266" si="1356">AC266-AC268</f>
        <v>3.9992858466746455</v>
      </c>
      <c r="AH266" s="42">
        <f t="shared" ref="AH266" si="1357">AD266-AD268</f>
        <v>4.308790517661599</v>
      </c>
      <c r="AI266" s="42">
        <f t="shared" ref="AI266" si="1358">AE266-AE268</f>
        <v>4.6405471584580766</v>
      </c>
      <c r="AJ266" s="42"/>
      <c r="AK266" s="42"/>
      <c r="AL266" s="42"/>
    </row>
    <row r="267" spans="1:38">
      <c r="A267" s="9" t="str">
        <f>A266</f>
        <v>Conventional Mogas</v>
      </c>
      <c r="B267" s="9" t="str">
        <f>VLOOKUP($A267,Types!$A$2:$C$13,2,FALSE)</f>
        <v>GSC</v>
      </c>
      <c r="C267" s="9">
        <v>1</v>
      </c>
      <c r="D267" s="9">
        <v>5</v>
      </c>
      <c r="E267" s="9" t="str">
        <f t="shared" si="1327"/>
        <v>IMPGSCP51</v>
      </c>
      <c r="F267" s="9" t="str">
        <f>CONCATENATE("Imported ",VLOOKUP($A267,Types!$A$2:$C$13,3,FALSE),", PADD ",D267,", Step ",RIGHT(C267,1))</f>
        <v>Imported Conventional Gasoline, PADD 5, Step 1</v>
      </c>
      <c r="G267" s="9" t="str">
        <f>CONCATENATE(VLOOKUP($A267,Types!$A$2:$C$13,2,FALSE),"P",D267)</f>
        <v>GSCP5</v>
      </c>
      <c r="H267" s="66">
        <f>H266*$C$5</f>
        <v>35.456849999999996</v>
      </c>
      <c r="I267" s="66">
        <f t="shared" ref="I267" si="1359">I266*$C$5</f>
        <v>36.366</v>
      </c>
      <c r="J267" s="66">
        <f t="shared" ref="J267" si="1360">J266*$C$5</f>
        <v>29.145999999999997</v>
      </c>
      <c r="K267" s="66">
        <f t="shared" ref="K267" si="1361">K266*$C$5</f>
        <v>29.117499999999996</v>
      </c>
      <c r="L267" s="67">
        <f>H267*Conv!$J$20/10^6/VLOOKUP($B267,Types!$B$2:$D$13,3,FALSE)/Conv!$I$5</f>
        <v>9.8170416718026488</v>
      </c>
      <c r="M267" s="67">
        <f>I267*Conv!$J$20/10^6/VLOOKUP($B267,Types!$B$2:$D$13,3,FALSE)/Conv!$I$5</f>
        <v>10.068760689028357</v>
      </c>
      <c r="N267" s="67" t="e">
        <f>M267*#REF!</f>
        <v>#REF!</v>
      </c>
      <c r="O267" s="67" t="e">
        <f>N267*#REF!</f>
        <v>#REF!</v>
      </c>
      <c r="P267" s="67" t="e">
        <f>O267*#REF!</f>
        <v>#REF!</v>
      </c>
      <c r="Q267" s="67" t="e">
        <f>P267*#REF!</f>
        <v>#REF!</v>
      </c>
      <c r="R267" s="67" t="e">
        <f>Q267*#REF!</f>
        <v>#REF!</v>
      </c>
      <c r="S267" s="67" t="e">
        <f>R267*#REF!</f>
        <v>#REF!</v>
      </c>
      <c r="T267" s="67" t="e">
        <f>S267*#REF!</f>
        <v>#REF!</v>
      </c>
      <c r="U267" s="67" t="e">
        <f>T267*#REF!</f>
        <v>#REF!</v>
      </c>
      <c r="V267" s="67" t="e">
        <f>U267*#REF!</f>
        <v>#REF!</v>
      </c>
      <c r="W267" s="42"/>
      <c r="X267" s="9">
        <f>X266*$E$5</f>
        <v>18.456</v>
      </c>
      <c r="Y267" s="9">
        <f t="shared" ref="Y267" si="1362">Y266*$E$5</f>
        <v>15.816000000000001</v>
      </c>
      <c r="Z267" s="9">
        <f t="shared" ref="Z267" si="1363">Z266*$E$5</f>
        <v>17.040000000000003</v>
      </c>
      <c r="AA267" s="9">
        <f t="shared" ref="AA267" si="1364">AA266*$E$5</f>
        <v>18.352</v>
      </c>
      <c r="AB267" s="42">
        <f>X267*VLOOKUP($B267,Types!$B$2:$D$13,3,FALSE)*Conv!$I$5*1000*365</f>
        <v>37.334759527681911</v>
      </c>
      <c r="AC267" s="42">
        <f>Y267*VLOOKUP($B267,Types!$B$2:$D$13,3,FALSE)*Conv!$I$5*1000*365</f>
        <v>31.994286773397121</v>
      </c>
      <c r="AD267" s="42">
        <f>Z267*VLOOKUP($B267,Types!$B$2:$D$13,3,FALSE)*Conv!$I$5*1000*365</f>
        <v>34.470324141292807</v>
      </c>
      <c r="AE267" s="42">
        <f>AA267*VLOOKUP($B267,Types!$B$2:$D$13,3,FALSE)*Conv!$I$5*1000*365</f>
        <v>37.124377267664642</v>
      </c>
      <c r="AF267" s="42">
        <f>AB267</f>
        <v>37.334759527681911</v>
      </c>
      <c r="AG267" s="42">
        <f t="shared" ref="AG267" si="1365">AC267</f>
        <v>31.994286773397121</v>
      </c>
      <c r="AH267" s="42">
        <f t="shared" ref="AH267" si="1366">AD267</f>
        <v>34.470324141292807</v>
      </c>
      <c r="AI267" s="42">
        <f t="shared" ref="AI267" si="1367">AE267</f>
        <v>37.124377267664642</v>
      </c>
      <c r="AJ267" s="42"/>
      <c r="AK267" s="42"/>
      <c r="AL267" s="42"/>
    </row>
    <row r="268" spans="1:38">
      <c r="A268" s="9" t="str">
        <f t="shared" ref="A268:A270" si="1368">A267</f>
        <v>Conventional Mogas</v>
      </c>
      <c r="B268" s="9" t="str">
        <f>VLOOKUP($A268,Types!$A$2:$C$13,2,FALSE)</f>
        <v>GSC</v>
      </c>
      <c r="C268" s="9">
        <v>2</v>
      </c>
      <c r="D268" s="9">
        <v>5</v>
      </c>
      <c r="E268" s="9" t="str">
        <f t="shared" si="1327"/>
        <v>IMPGSCP52</v>
      </c>
      <c r="F268" s="9" t="str">
        <f>CONCATENATE("Imported ",VLOOKUP($A268,Types!$A$2:$C$13,3,FALSE),", PADD ",D268,", Step ",RIGHT(C268,1))</f>
        <v>Imported Conventional Gasoline, PADD 5, Step 2</v>
      </c>
      <c r="G268" s="9" t="str">
        <f>CONCATENATE(VLOOKUP($A268,Types!$A$2:$C$13,2,FALSE),"P",D268)</f>
        <v>GSCP5</v>
      </c>
      <c r="H268" s="66">
        <f>H266*$C$6</f>
        <v>36.576540000000001</v>
      </c>
      <c r="I268" s="66">
        <f t="shared" ref="I268:K268" si="1369">I266*$C$6</f>
        <v>37.514400000000002</v>
      </c>
      <c r="J268" s="66">
        <f t="shared" si="1369"/>
        <v>30.066399999999998</v>
      </c>
      <c r="K268" s="66">
        <f t="shared" si="1369"/>
        <v>30.036999999999999</v>
      </c>
      <c r="L268" s="67">
        <f>H268*Conv!$J$20/10^6/VLOOKUP($B268,Types!$B$2:$D$13,3,FALSE)/Conv!$I$5</f>
        <v>10.1270535140701</v>
      </c>
      <c r="M268" s="67">
        <f>I268*Conv!$J$20/10^6/VLOOKUP($B268,Types!$B$2:$D$13,3,FALSE)/Conv!$I$5</f>
        <v>10.386721552892412</v>
      </c>
      <c r="N268" s="67" t="e">
        <f>M268*#REF!</f>
        <v>#REF!</v>
      </c>
      <c r="O268" s="67" t="e">
        <f>N268*#REF!</f>
        <v>#REF!</v>
      </c>
      <c r="P268" s="67" t="e">
        <f>O268*#REF!</f>
        <v>#REF!</v>
      </c>
      <c r="Q268" s="67" t="e">
        <f>P268*#REF!</f>
        <v>#REF!</v>
      </c>
      <c r="R268" s="67" t="e">
        <f>Q268*#REF!</f>
        <v>#REF!</v>
      </c>
      <c r="S268" s="67" t="e">
        <f>R268*#REF!</f>
        <v>#REF!</v>
      </c>
      <c r="T268" s="67" t="e">
        <f>S268*#REF!</f>
        <v>#REF!</v>
      </c>
      <c r="U268" s="67" t="e">
        <f>T268*#REF!</f>
        <v>#REF!</v>
      </c>
      <c r="V268" s="67" t="e">
        <f>U268*#REF!</f>
        <v>#REF!</v>
      </c>
      <c r="W268" s="42"/>
      <c r="X268" s="9">
        <f>X266*$E$6</f>
        <v>20.763000000000002</v>
      </c>
      <c r="Y268" s="9">
        <f t="shared" ref="Y268:AA268" si="1370">Y266*$E$6</f>
        <v>17.792999999999999</v>
      </c>
      <c r="Z268" s="9">
        <f t="shared" si="1370"/>
        <v>19.170000000000002</v>
      </c>
      <c r="AA268" s="9">
        <f t="shared" si="1370"/>
        <v>20.646000000000001</v>
      </c>
      <c r="AB268" s="42">
        <f>X268*VLOOKUP($B268,Types!$B$2:$D$13,3,FALSE)*Conv!$I$5*1000*365</f>
        <v>42.001604468642157</v>
      </c>
      <c r="AC268" s="42">
        <f>Y268*VLOOKUP($B268,Types!$B$2:$D$13,3,FALSE)*Conv!$I$5*1000*365</f>
        <v>35.993572620071753</v>
      </c>
      <c r="AD268" s="42">
        <f>Z268*VLOOKUP($B268,Types!$B$2:$D$13,3,FALSE)*Conv!$I$5*1000*365</f>
        <v>38.779114658954398</v>
      </c>
      <c r="AE268" s="42">
        <f>AA268*VLOOKUP($B268,Types!$B$2:$D$13,3,FALSE)*Conv!$I$5*1000*365</f>
        <v>41.764924426122718</v>
      </c>
      <c r="AF268" s="42">
        <f>AB268-AF267</f>
        <v>4.6668449409602459</v>
      </c>
      <c r="AG268" s="42">
        <f t="shared" ref="AG268" si="1371">AC268-AG267</f>
        <v>3.9992858466746313</v>
      </c>
      <c r="AH268" s="42">
        <f t="shared" ref="AH268" si="1372">AD268-AH267</f>
        <v>4.3087905176615919</v>
      </c>
      <c r="AI268" s="42">
        <f t="shared" ref="AI268" si="1373">AE268-AI267</f>
        <v>4.6405471584580766</v>
      </c>
      <c r="AJ268" s="42"/>
      <c r="AK268" s="42"/>
      <c r="AL268" s="42"/>
    </row>
    <row r="269" spans="1:38">
      <c r="A269" s="9" t="str">
        <f t="shared" si="1368"/>
        <v>Conventional Mogas</v>
      </c>
      <c r="B269" s="9" t="str">
        <f>VLOOKUP($A269,Types!$A$2:$C$13,2,FALSE)</f>
        <v>GSC</v>
      </c>
      <c r="C269" s="9">
        <v>4</v>
      </c>
      <c r="D269" s="9">
        <v>5</v>
      </c>
      <c r="E269" s="9" t="str">
        <f t="shared" si="1327"/>
        <v>IMPGSCP54</v>
      </c>
      <c r="F269" s="9" t="str">
        <f>CONCATENATE("Imported ",VLOOKUP($A269,Types!$A$2:$C$13,3,FALSE),", PADD ",D269,", Step ",RIGHT(C269,1))</f>
        <v>Imported Conventional Gasoline, PADD 5, Step 4</v>
      </c>
      <c r="G269" s="9" t="str">
        <f>CONCATENATE(VLOOKUP($A269,Types!$A$2:$C$13,2,FALSE),"P",D269)</f>
        <v>GSCP5</v>
      </c>
      <c r="H269" s="66">
        <f>H266*$C$8</f>
        <v>40.682070000000003</v>
      </c>
      <c r="I269" s="66">
        <f t="shared" ref="I269:K269" si="1374">I266*$C$8</f>
        <v>41.725200000000001</v>
      </c>
      <c r="J269" s="66">
        <f t="shared" si="1374"/>
        <v>33.441200000000002</v>
      </c>
      <c r="K269" s="66">
        <f t="shared" si="1374"/>
        <v>33.408500000000004</v>
      </c>
      <c r="L269" s="67">
        <f>H269*Conv!$J$20/10^6/VLOOKUP($B269,Types!$B$2:$D$13,3,FALSE)/Conv!$I$5</f>
        <v>11.263763602384094</v>
      </c>
      <c r="M269" s="67">
        <f>I269*Conv!$J$20/10^6/VLOOKUP($B269,Types!$B$2:$D$13,3,FALSE)/Conv!$I$5</f>
        <v>11.552578053727274</v>
      </c>
      <c r="N269" s="67" t="e">
        <f>M269*#REF!</f>
        <v>#REF!</v>
      </c>
      <c r="O269" s="67" t="e">
        <f>N269*#REF!</f>
        <v>#REF!</v>
      </c>
      <c r="P269" s="67" t="e">
        <f>O269*#REF!</f>
        <v>#REF!</v>
      </c>
      <c r="Q269" s="67" t="e">
        <f>P269*#REF!</f>
        <v>#REF!</v>
      </c>
      <c r="R269" s="67" t="e">
        <f>Q269*#REF!</f>
        <v>#REF!</v>
      </c>
      <c r="S269" s="67" t="e">
        <f>R269*#REF!</f>
        <v>#REF!</v>
      </c>
      <c r="T269" s="67" t="e">
        <f>S269*#REF!</f>
        <v>#REF!</v>
      </c>
      <c r="U269" s="67" t="e">
        <f>T269*#REF!</f>
        <v>#REF!</v>
      </c>
      <c r="V269" s="67" t="e">
        <f>U269*#REF!</f>
        <v>#REF!</v>
      </c>
      <c r="W269" s="42"/>
      <c r="X269" s="9">
        <f>X266*$E$8</f>
        <v>27.684000000000001</v>
      </c>
      <c r="Y269" s="9">
        <f t="shared" ref="Y269:AA269" si="1375">Y266*$E$8</f>
        <v>23.724</v>
      </c>
      <c r="Z269" s="9">
        <f t="shared" si="1375"/>
        <v>25.56</v>
      </c>
      <c r="AA269" s="9">
        <f t="shared" si="1375"/>
        <v>27.528000000000002</v>
      </c>
      <c r="AB269" s="42">
        <f>X269*VLOOKUP($B269,Types!$B$2:$D$13,3,FALSE)*Conv!$I$5*1000*365</f>
        <v>56.00213929152288</v>
      </c>
      <c r="AC269" s="42">
        <f>Y269*VLOOKUP($B269,Types!$B$2:$D$13,3,FALSE)*Conv!$I$5*1000*365</f>
        <v>47.991430160095675</v>
      </c>
      <c r="AD269" s="42">
        <f>Z269*VLOOKUP($B269,Types!$B$2:$D$13,3,FALSE)*Conv!$I$5*1000*365</f>
        <v>51.705486211939196</v>
      </c>
      <c r="AE269" s="42">
        <f>AA269*VLOOKUP($B269,Types!$B$2:$D$13,3,FALSE)*Conv!$I$5*1000*365</f>
        <v>55.686565901496962</v>
      </c>
      <c r="AF269" s="42">
        <f>AB269-AB266</f>
        <v>9.3336898819204777</v>
      </c>
      <c r="AG269" s="42">
        <f t="shared" ref="AG269" si="1376">AC269-AC266</f>
        <v>7.9985716933492768</v>
      </c>
      <c r="AH269" s="42">
        <f t="shared" ref="AH269" si="1377">AD269-AD266</f>
        <v>8.6175810353231981</v>
      </c>
      <c r="AI269" s="42">
        <f t="shared" ref="AI269" si="1378">AE269-AE266</f>
        <v>9.2810943169161675</v>
      </c>
      <c r="AJ269" s="42"/>
      <c r="AK269" s="42"/>
      <c r="AL269" s="42"/>
    </row>
    <row r="270" spans="1:38">
      <c r="A270" s="9" t="str">
        <f t="shared" si="1368"/>
        <v>Conventional Mogas</v>
      </c>
      <c r="B270" s="9" t="str">
        <f>VLOOKUP($A270,Types!$A$2:$C$13,2,FALSE)</f>
        <v>GSC</v>
      </c>
      <c r="C270" s="9">
        <v>5</v>
      </c>
      <c r="D270" s="9">
        <v>5</v>
      </c>
      <c r="E270" s="9" t="str">
        <f t="shared" si="1327"/>
        <v>IMPGSCP55</v>
      </c>
      <c r="F270" s="9" t="str">
        <f>CONCATENATE("Imported ",VLOOKUP($A270,Types!$A$2:$C$13,3,FALSE),", PADD ",D270,", Step ",RIGHT(C270,1))</f>
        <v>Imported Conventional Gasoline, PADD 5, Step 5</v>
      </c>
      <c r="G270" s="9" t="str">
        <f>CONCATENATE(VLOOKUP($A270,Types!$A$2:$C$13,2,FALSE),"P",D270)</f>
        <v>GSCP5</v>
      </c>
      <c r="H270" s="66">
        <f>H266*$C$9</f>
        <v>48.5199</v>
      </c>
      <c r="I270" s="66">
        <f t="shared" ref="I270:K270" si="1379">I266*$C$9</f>
        <v>49.764000000000003</v>
      </c>
      <c r="J270" s="66">
        <f t="shared" si="1379"/>
        <v>39.884</v>
      </c>
      <c r="K270" s="66">
        <f t="shared" si="1379"/>
        <v>39.844999999999999</v>
      </c>
      <c r="L270" s="67">
        <f>H270*Conv!$J$20/10^6/VLOOKUP($B270,Types!$B$2:$D$13,3,FALSE)/Conv!$I$5</f>
        <v>13.433846498256257</v>
      </c>
      <c r="M270" s="67">
        <f>I270*Conv!$J$20/10^6/VLOOKUP($B270,Types!$B$2:$D$13,3,FALSE)/Conv!$I$5</f>
        <v>13.778304100775649</v>
      </c>
      <c r="N270" s="67" t="e">
        <f>M270*#REF!</f>
        <v>#REF!</v>
      </c>
      <c r="O270" s="67" t="e">
        <f>N270*#REF!</f>
        <v>#REF!</v>
      </c>
      <c r="P270" s="67" t="e">
        <f>O270*#REF!</f>
        <v>#REF!</v>
      </c>
      <c r="Q270" s="67" t="e">
        <f>P270*#REF!</f>
        <v>#REF!</v>
      </c>
      <c r="R270" s="67" t="e">
        <f>Q270*#REF!</f>
        <v>#REF!</v>
      </c>
      <c r="S270" s="67" t="e">
        <f>R270*#REF!</f>
        <v>#REF!</v>
      </c>
      <c r="T270" s="67" t="e">
        <f>S270*#REF!</f>
        <v>#REF!</v>
      </c>
      <c r="U270" s="67" t="e">
        <f>T270*#REF!</f>
        <v>#REF!</v>
      </c>
      <c r="V270" s="67" t="e">
        <f>U270*#REF!</f>
        <v>#REF!</v>
      </c>
      <c r="W270" s="42"/>
      <c r="X270" s="9">
        <f>X266*$E$9</f>
        <v>46.14</v>
      </c>
      <c r="Y270" s="9">
        <f t="shared" ref="Y270:AA270" si="1380">Y266*$E$9</f>
        <v>39.54</v>
      </c>
      <c r="Z270" s="9">
        <f t="shared" si="1380"/>
        <v>42.6</v>
      </c>
      <c r="AA270" s="9">
        <f t="shared" si="1380"/>
        <v>45.88</v>
      </c>
      <c r="AB270" s="42">
        <f>X270*VLOOKUP($B270,Types!$B$2:$D$13,3,FALSE)*Conv!$I$5*1000*365</f>
        <v>93.336898819204805</v>
      </c>
      <c r="AC270" s="42">
        <f>Y270*VLOOKUP($B270,Types!$B$2:$D$13,3,FALSE)*Conv!$I$5*1000*365</f>
        <v>79.985716933492796</v>
      </c>
      <c r="AD270" s="42">
        <f>Z270*VLOOKUP($B270,Types!$B$2:$D$13,3,FALSE)*Conv!$I$5*1000*365</f>
        <v>86.175810353231995</v>
      </c>
      <c r="AE270" s="42">
        <f>AA270*VLOOKUP($B270,Types!$B$2:$D$13,3,FALSE)*Conv!$I$5*1000*365</f>
        <v>92.81094316916159</v>
      </c>
      <c r="AF270" s="42">
        <f>AB270-AB269</f>
        <v>37.334759527681925</v>
      </c>
      <c r="AG270" s="42">
        <f t="shared" ref="AG270" si="1381">AC270-AC269</f>
        <v>31.994286773397121</v>
      </c>
      <c r="AH270" s="42">
        <f t="shared" ref="AH270" si="1382">AD270-AD269</f>
        <v>34.470324141292799</v>
      </c>
      <c r="AI270" s="42">
        <f t="shared" ref="AI270" si="1383">AE270-AE269</f>
        <v>37.124377267664627</v>
      </c>
      <c r="AJ270" s="42"/>
      <c r="AK270" s="42"/>
      <c r="AL270" s="42"/>
    </row>
    <row r="271" spans="1:38">
      <c r="A271" s="9" t="str">
        <f>'Agg prdcrv'!$A$8</f>
        <v>Heating No. 2</v>
      </c>
      <c r="B271" s="9" t="str">
        <f>VLOOKUP($A271,Types!$A$2:$C$13,2,FALSE)</f>
        <v>DSH</v>
      </c>
      <c r="C271" s="9">
        <v>3</v>
      </c>
      <c r="D271" s="9">
        <v>5</v>
      </c>
      <c r="E271" s="9" t="str">
        <f t="shared" si="1327"/>
        <v>IMPDSHP53</v>
      </c>
      <c r="F271" s="9" t="str">
        <f>CONCATENATE("Imported ",VLOOKUP($A271,Types!$A$2:$C$13,3,FALSE),", PADD ",D271,", Step ",RIGHT(C271,1))</f>
        <v>Imported Distillate-Heating Oil No. 2, PADD 5, Step 3</v>
      </c>
      <c r="G271" s="9" t="str">
        <f>CONCATENATE(VLOOKUP($A271,Types!$A$2:$C$13,2,FALSE),"P",D271)</f>
        <v>DSHP5</v>
      </c>
      <c r="H271" s="66">
        <f>SUMIFS('Agg prdcrv'!$P$6:$P$100,'Agg prdcrv'!$A$6:$A$100,'Imp Refined'!$A271,'Agg prdcrv'!$B$6:$B$100,H$11)*K4</f>
        <v>55.671000000000006</v>
      </c>
      <c r="I271" s="66">
        <f>SUMIFS('Agg prdcrv'!$P$6:$P$100,'Agg prdcrv'!$A$6:$A$100,'Imp Refined'!$A271,'Agg prdcrv'!$B$6:$B$100,I$11)*K4</f>
        <v>50.699000000000005</v>
      </c>
      <c r="J271" s="66">
        <f t="array" ref="J271">SUMIFS('Agg prdcrv'!$P$6:$P$100,'Agg prdcrv'!$A$6:$A$100,'Imp Refined'!$A271,'Agg prdcrv'!$B$6:$B$100,J$11)</f>
        <v>37.53</v>
      </c>
      <c r="K271" s="66">
        <f t="array" ref="K271">SUMIFS('Agg prdcrv'!$P$6:$P$100,'Agg prdcrv'!$A$6:$A$100,'Imp Refined'!$A271,'Agg prdcrv'!$B$6:$B$100,K$11)</f>
        <v>40.35</v>
      </c>
      <c r="L271" s="67">
        <f>H271*Conv!$J$20/10^6/VLOOKUP($B271,Types!$B$2:$D$13,3,FALSE)/Conv!$I$5</f>
        <v>13.900197725617737</v>
      </c>
      <c r="M271" s="67">
        <f>I271*Conv!$J$20/10^6/VLOOKUP($B271,Types!$B$2:$D$13,3,FALSE)/Conv!$I$5</f>
        <v>12.658765326491235</v>
      </c>
      <c r="N271" s="67" t="e">
        <f>M271*#REF!</f>
        <v>#REF!</v>
      </c>
      <c r="O271" s="67" t="e">
        <f>N271*#REF!</f>
        <v>#REF!</v>
      </c>
      <c r="P271" s="67" t="e">
        <f>O271*#REF!</f>
        <v>#REF!</v>
      </c>
      <c r="Q271" s="67" t="e">
        <f>P271*#REF!</f>
        <v>#REF!</v>
      </c>
      <c r="R271" s="67" t="e">
        <f>Q271*#REF!</f>
        <v>#REF!</v>
      </c>
      <c r="S271" s="67" t="e">
        <f>R271*#REF!</f>
        <v>#REF!</v>
      </c>
      <c r="T271" s="67" t="e">
        <f>S271*#REF!</f>
        <v>#REF!</v>
      </c>
      <c r="U271" s="67" t="e">
        <f>T271*#REF!</f>
        <v>#REF!</v>
      </c>
      <c r="V271" s="67" t="e">
        <f>U271*#REF!</f>
        <v>#REF!</v>
      </c>
      <c r="W271" s="42"/>
      <c r="X271" s="9">
        <f t="array" ref="X271">SUMIFS('Agg prdcrv'!$H$6:$H$100,'Agg prdcrv'!$A$6:$A$100,'Imp Refined'!$A271,'Agg prdcrv'!$B$6:$B$100,X$11)</f>
        <v>5.07</v>
      </c>
      <c r="Y271" s="9">
        <f t="array" ref="Y271">SUMIFS('Agg prdcrv'!$H$6:$H$100,'Agg prdcrv'!$A$6:$A$100,'Imp Refined'!$A271,'Agg prdcrv'!$B$6:$B$100,Y$11)</f>
        <v>4.91</v>
      </c>
      <c r="Z271" s="9">
        <f t="array" ref="Z271">SUMIFS('Agg prdcrv'!$H$6:$H$100,'Agg prdcrv'!$A$6:$A$100,'Imp Refined'!$A271,'Agg prdcrv'!$B$6:$B$100,Z$11)</f>
        <v>5.42</v>
      </c>
      <c r="AA271" s="9">
        <f t="array" ref="AA271">SUMIFS('Agg prdcrv'!$H$6:$H$100,'Agg prdcrv'!$A$6:$A$100,'Imp Refined'!$A271,'Agg prdcrv'!$B$6:$B$100,AA$11)</f>
        <v>5.98</v>
      </c>
      <c r="AB271" s="42">
        <f>X271*VLOOKUP($B271,Types!$B$2:$D$13,3,FALSE)*Conv!$I$5*1000*365</f>
        <v>11.372927355660002</v>
      </c>
      <c r="AC271" s="42">
        <f>Y271*VLOOKUP($B271,Types!$B$2:$D$13,3,FALSE)*Conv!$I$5*1000*365</f>
        <v>11.01401840558</v>
      </c>
      <c r="AD271" s="42">
        <f>Z271*VLOOKUP($B271,Types!$B$2:$D$13,3,FALSE)*Conv!$I$5*1000*365</f>
        <v>12.158040683959999</v>
      </c>
      <c r="AE271" s="42">
        <f>AA271*VLOOKUP($B271,Types!$B$2:$D$13,3,FALSE)*Conv!$I$5*1000*365</f>
        <v>13.41422200924</v>
      </c>
      <c r="AF271" s="42">
        <f>AB271-AB273</f>
        <v>1.1372927355659996</v>
      </c>
      <c r="AG271" s="42">
        <f t="shared" ref="AG271" si="1384">AC271-AC273</f>
        <v>1.1014018405579993</v>
      </c>
      <c r="AH271" s="42">
        <f t="shared" ref="AH271" si="1385">AD271-AD273</f>
        <v>1.2158040683960003</v>
      </c>
      <c r="AI271" s="42">
        <f t="shared" ref="AI271" si="1386">AE271-AE273</f>
        <v>1.3414222009239989</v>
      </c>
      <c r="AJ271" s="42"/>
      <c r="AK271" s="42"/>
      <c r="AL271" s="42"/>
    </row>
    <row r="272" spans="1:38">
      <c r="A272" s="9" t="str">
        <f>A271</f>
        <v>Heating No. 2</v>
      </c>
      <c r="B272" s="9" t="str">
        <f>VLOOKUP($A272,Types!$A$2:$C$13,2,FALSE)</f>
        <v>DSH</v>
      </c>
      <c r="C272" s="9">
        <v>1</v>
      </c>
      <c r="D272" s="9">
        <v>5</v>
      </c>
      <c r="E272" s="9" t="str">
        <f t="shared" si="1327"/>
        <v>IMPDSHP51</v>
      </c>
      <c r="F272" s="9" t="str">
        <f>CONCATENATE("Imported ",VLOOKUP($A272,Types!$A$2:$C$13,3,FALSE),", PADD ",D272,", Step ",RIGHT(C272,1))</f>
        <v>Imported Distillate-Heating Oil No. 2, PADD 5, Step 1</v>
      </c>
      <c r="G272" s="9" t="str">
        <f>CONCATENATE(VLOOKUP($A272,Types!$A$2:$C$13,2,FALSE),"P",D272)</f>
        <v>DSHP5</v>
      </c>
      <c r="H272" s="66">
        <f>H271*$C$5</f>
        <v>52.887450000000001</v>
      </c>
      <c r="I272" s="66">
        <f t="shared" ref="I272" si="1387">I271*$C$5</f>
        <v>48.164050000000003</v>
      </c>
      <c r="J272" s="66">
        <f t="shared" ref="J272" si="1388">J271*$C$5</f>
        <v>35.653500000000001</v>
      </c>
      <c r="K272" s="66">
        <f t="shared" ref="K272" si="1389">K271*$C$5</f>
        <v>38.332499999999996</v>
      </c>
      <c r="L272" s="67">
        <f>H272*Conv!$J$20/10^6/VLOOKUP($B272,Types!$B$2:$D$13,3,FALSE)/Conv!$I$5</f>
        <v>13.205187839336849</v>
      </c>
      <c r="M272" s="67">
        <f>I272*Conv!$J$20/10^6/VLOOKUP($B272,Types!$B$2:$D$13,3,FALSE)/Conv!$I$5</f>
        <v>12.025827060166675</v>
      </c>
      <c r="N272" s="67" t="e">
        <f>M272*#REF!</f>
        <v>#REF!</v>
      </c>
      <c r="O272" s="67" t="e">
        <f>N272*#REF!</f>
        <v>#REF!</v>
      </c>
      <c r="P272" s="67" t="e">
        <f>O272*#REF!</f>
        <v>#REF!</v>
      </c>
      <c r="Q272" s="67" t="e">
        <f>P272*#REF!</f>
        <v>#REF!</v>
      </c>
      <c r="R272" s="67" t="e">
        <f>Q272*#REF!</f>
        <v>#REF!</v>
      </c>
      <c r="S272" s="67" t="e">
        <f>R272*#REF!</f>
        <v>#REF!</v>
      </c>
      <c r="T272" s="67" t="e">
        <f>S272*#REF!</f>
        <v>#REF!</v>
      </c>
      <c r="U272" s="67" t="e">
        <f>T272*#REF!</f>
        <v>#REF!</v>
      </c>
      <c r="V272" s="67" t="e">
        <f>U272*#REF!</f>
        <v>#REF!</v>
      </c>
      <c r="W272" s="42"/>
      <c r="X272" s="9">
        <f>X271*$E$5</f>
        <v>4.056</v>
      </c>
      <c r="Y272" s="9">
        <f t="shared" ref="Y272" si="1390">Y271*$E$5</f>
        <v>3.9280000000000004</v>
      </c>
      <c r="Z272" s="9">
        <f t="shared" ref="Z272" si="1391">Z271*$E$5</f>
        <v>4.3360000000000003</v>
      </c>
      <c r="AA272" s="9">
        <f t="shared" ref="AA272" si="1392">AA271*$E$5</f>
        <v>4.7840000000000007</v>
      </c>
      <c r="AB272" s="42">
        <f>X272*VLOOKUP($B272,Types!$B$2:$D$13,3,FALSE)*Conv!$I$5*1000*365</f>
        <v>9.0983418845279989</v>
      </c>
      <c r="AC272" s="42">
        <f>Y272*VLOOKUP($B272,Types!$B$2:$D$13,3,FALSE)*Conv!$I$5*1000*365</f>
        <v>8.8112147244639996</v>
      </c>
      <c r="AD272" s="42">
        <f>Z272*VLOOKUP($B272,Types!$B$2:$D$13,3,FALSE)*Conv!$I$5*1000*365</f>
        <v>9.7264325471679989</v>
      </c>
      <c r="AE272" s="42">
        <f>AA272*VLOOKUP($B272,Types!$B$2:$D$13,3,FALSE)*Conv!$I$5*1000*365</f>
        <v>10.731377607392</v>
      </c>
      <c r="AF272" s="42">
        <f>AB272</f>
        <v>9.0983418845279989</v>
      </c>
      <c r="AG272" s="42">
        <f t="shared" ref="AG272" si="1393">AC272</f>
        <v>8.8112147244639996</v>
      </c>
      <c r="AH272" s="42">
        <f t="shared" ref="AH272" si="1394">AD272</f>
        <v>9.7264325471679989</v>
      </c>
      <c r="AI272" s="42">
        <f t="shared" ref="AI272" si="1395">AE272</f>
        <v>10.731377607392</v>
      </c>
      <c r="AJ272" s="42"/>
      <c r="AK272" s="42"/>
      <c r="AL272" s="42"/>
    </row>
    <row r="273" spans="1:38">
      <c r="A273" s="9" t="str">
        <f t="shared" ref="A273:A275" si="1396">A272</f>
        <v>Heating No. 2</v>
      </c>
      <c r="B273" s="9" t="str">
        <f>VLOOKUP($A273,Types!$A$2:$C$13,2,FALSE)</f>
        <v>DSH</v>
      </c>
      <c r="C273" s="9">
        <v>2</v>
      </c>
      <c r="D273" s="9">
        <v>5</v>
      </c>
      <c r="E273" s="9" t="str">
        <f t="shared" si="1327"/>
        <v>IMPDSHP52</v>
      </c>
      <c r="F273" s="9" t="str">
        <f>CONCATENATE("Imported ",VLOOKUP($A273,Types!$A$2:$C$13,3,FALSE),", PADD ",D273,", Step ",RIGHT(C273,1))</f>
        <v>Imported Distillate-Heating Oil No. 2, PADD 5, Step 2</v>
      </c>
      <c r="G273" s="9" t="str">
        <f>CONCATENATE(VLOOKUP($A273,Types!$A$2:$C$13,2,FALSE),"P",D273)</f>
        <v>DSHP5</v>
      </c>
      <c r="H273" s="66">
        <f>H271*$C$6</f>
        <v>54.557580000000009</v>
      </c>
      <c r="I273" s="66">
        <f t="shared" ref="I273:K273" si="1397">I271*$C$6</f>
        <v>49.685020000000002</v>
      </c>
      <c r="J273" s="66">
        <f t="shared" si="1397"/>
        <v>36.779400000000003</v>
      </c>
      <c r="K273" s="66">
        <f t="shared" si="1397"/>
        <v>39.542999999999999</v>
      </c>
      <c r="L273" s="67">
        <f>H273*Conv!$J$20/10^6/VLOOKUP($B273,Types!$B$2:$D$13,3,FALSE)/Conv!$I$5</f>
        <v>13.62219377110538</v>
      </c>
      <c r="M273" s="67">
        <f>I273*Conv!$J$20/10^6/VLOOKUP($B273,Types!$B$2:$D$13,3,FALSE)/Conv!$I$5</f>
        <v>12.40559001996141</v>
      </c>
      <c r="N273" s="67" t="e">
        <f>M273*#REF!</f>
        <v>#REF!</v>
      </c>
      <c r="O273" s="67" t="e">
        <f>N273*#REF!</f>
        <v>#REF!</v>
      </c>
      <c r="P273" s="67" t="e">
        <f>O273*#REF!</f>
        <v>#REF!</v>
      </c>
      <c r="Q273" s="67" t="e">
        <f>P273*#REF!</f>
        <v>#REF!</v>
      </c>
      <c r="R273" s="67" t="e">
        <f>Q273*#REF!</f>
        <v>#REF!</v>
      </c>
      <c r="S273" s="67" t="e">
        <f>R273*#REF!</f>
        <v>#REF!</v>
      </c>
      <c r="T273" s="67" t="e">
        <f>S273*#REF!</f>
        <v>#REF!</v>
      </c>
      <c r="U273" s="67" t="e">
        <f>T273*#REF!</f>
        <v>#REF!</v>
      </c>
      <c r="V273" s="67" t="e">
        <f>U273*#REF!</f>
        <v>#REF!</v>
      </c>
      <c r="W273" s="42"/>
      <c r="X273" s="9">
        <f>X271*$E$6</f>
        <v>4.5630000000000006</v>
      </c>
      <c r="Y273" s="9">
        <f t="shared" ref="Y273:AA273" si="1398">Y271*$E$6</f>
        <v>4.4190000000000005</v>
      </c>
      <c r="Z273" s="9">
        <f t="shared" si="1398"/>
        <v>4.8780000000000001</v>
      </c>
      <c r="AA273" s="9">
        <f t="shared" si="1398"/>
        <v>5.3820000000000006</v>
      </c>
      <c r="AB273" s="42">
        <f>X273*VLOOKUP($B273,Types!$B$2:$D$13,3,FALSE)*Conv!$I$5*1000*365</f>
        <v>10.235634620094002</v>
      </c>
      <c r="AC273" s="42">
        <f>Y273*VLOOKUP($B273,Types!$B$2:$D$13,3,FALSE)*Conv!$I$5*1000*365</f>
        <v>9.9126165650220006</v>
      </c>
      <c r="AD273" s="42">
        <f>Z273*VLOOKUP($B273,Types!$B$2:$D$13,3,FALSE)*Conv!$I$5*1000*365</f>
        <v>10.942236615563999</v>
      </c>
      <c r="AE273" s="42">
        <f>AA273*VLOOKUP($B273,Types!$B$2:$D$13,3,FALSE)*Conv!$I$5*1000*365</f>
        <v>12.072799808316001</v>
      </c>
      <c r="AF273" s="42">
        <f>AB273-AF272</f>
        <v>1.1372927355660032</v>
      </c>
      <c r="AG273" s="42">
        <f t="shared" ref="AG273" si="1399">AC273-AG272</f>
        <v>1.1014018405580011</v>
      </c>
      <c r="AH273" s="42">
        <f t="shared" ref="AH273" si="1400">AD273-AH272</f>
        <v>1.2158040683960003</v>
      </c>
      <c r="AI273" s="42">
        <f t="shared" ref="AI273" si="1401">AE273-AI272</f>
        <v>1.3414222009240007</v>
      </c>
      <c r="AJ273" s="42"/>
      <c r="AK273" s="42"/>
      <c r="AL273" s="42"/>
    </row>
    <row r="274" spans="1:38">
      <c r="A274" s="9" t="str">
        <f t="shared" si="1396"/>
        <v>Heating No. 2</v>
      </c>
      <c r="B274" s="9" t="str">
        <f>VLOOKUP($A274,Types!$A$2:$C$13,2,FALSE)</f>
        <v>DSH</v>
      </c>
      <c r="C274" s="9">
        <v>4</v>
      </c>
      <c r="D274" s="9">
        <v>5</v>
      </c>
      <c r="E274" s="9" t="str">
        <f t="shared" si="1327"/>
        <v>IMPDSHP54</v>
      </c>
      <c r="F274" s="9" t="str">
        <f>CONCATENATE("Imported ",VLOOKUP($A274,Types!$A$2:$C$13,3,FALSE),", PADD ",D274,", Step ",RIGHT(C274,1))</f>
        <v>Imported Distillate-Heating Oil No. 2, PADD 5, Step 4</v>
      </c>
      <c r="G274" s="9" t="str">
        <f>CONCATENATE(VLOOKUP($A274,Types!$A$2:$C$13,2,FALSE),"P",D274)</f>
        <v>DSHP5</v>
      </c>
      <c r="H274" s="66">
        <f>H271*$C$8</f>
        <v>60.681390000000015</v>
      </c>
      <c r="I274" s="66">
        <f t="shared" ref="I274:K274" si="1402">I271*$C$8</f>
        <v>55.261910000000007</v>
      </c>
      <c r="J274" s="66">
        <f t="shared" si="1402"/>
        <v>40.907700000000006</v>
      </c>
      <c r="K274" s="66">
        <f t="shared" si="1402"/>
        <v>43.981500000000004</v>
      </c>
      <c r="L274" s="67">
        <f>H274*Conv!$J$20/10^6/VLOOKUP($B274,Types!$B$2:$D$13,3,FALSE)/Conv!$I$5</f>
        <v>15.151215520923333</v>
      </c>
      <c r="M274" s="67">
        <f>I274*Conv!$J$20/10^6/VLOOKUP($B274,Types!$B$2:$D$13,3,FALSE)/Conv!$I$5</f>
        <v>13.798054205875449</v>
      </c>
      <c r="N274" s="67" t="e">
        <f>M274*#REF!</f>
        <v>#REF!</v>
      </c>
      <c r="O274" s="67" t="e">
        <f>N274*#REF!</f>
        <v>#REF!</v>
      </c>
      <c r="P274" s="67" t="e">
        <f>O274*#REF!</f>
        <v>#REF!</v>
      </c>
      <c r="Q274" s="67" t="e">
        <f>P274*#REF!</f>
        <v>#REF!</v>
      </c>
      <c r="R274" s="67" t="e">
        <f>Q274*#REF!</f>
        <v>#REF!</v>
      </c>
      <c r="S274" s="67" t="e">
        <f>R274*#REF!</f>
        <v>#REF!</v>
      </c>
      <c r="T274" s="67" t="e">
        <f>S274*#REF!</f>
        <v>#REF!</v>
      </c>
      <c r="U274" s="67" t="e">
        <f>T274*#REF!</f>
        <v>#REF!</v>
      </c>
      <c r="V274" s="67" t="e">
        <f>U274*#REF!</f>
        <v>#REF!</v>
      </c>
      <c r="W274" s="42"/>
      <c r="X274" s="9">
        <f>X271*$E$8</f>
        <v>6.0840000000000005</v>
      </c>
      <c r="Y274" s="9">
        <f t="shared" ref="Y274:AA274" si="1403">Y271*$E$8</f>
        <v>5.8920000000000003</v>
      </c>
      <c r="Z274" s="9">
        <f t="shared" si="1403"/>
        <v>6.5039999999999996</v>
      </c>
      <c r="AA274" s="9">
        <f t="shared" si="1403"/>
        <v>7.1760000000000002</v>
      </c>
      <c r="AB274" s="42">
        <f>X274*VLOOKUP($B274,Types!$B$2:$D$13,3,FALSE)*Conv!$I$5*1000*365</f>
        <v>13.647512826792001</v>
      </c>
      <c r="AC274" s="42">
        <f>Y274*VLOOKUP($B274,Types!$B$2:$D$13,3,FALSE)*Conv!$I$5*1000*365</f>
        <v>13.216822086695998</v>
      </c>
      <c r="AD274" s="42">
        <f>Z274*VLOOKUP($B274,Types!$B$2:$D$13,3,FALSE)*Conv!$I$5*1000*365</f>
        <v>14.589648820751998</v>
      </c>
      <c r="AE274" s="42">
        <f>AA274*VLOOKUP($B274,Types!$B$2:$D$13,3,FALSE)*Conv!$I$5*1000*365</f>
        <v>16.097066411088001</v>
      </c>
      <c r="AF274" s="42">
        <f>AB274-AB271</f>
        <v>2.2745854711319993</v>
      </c>
      <c r="AG274" s="42">
        <f t="shared" ref="AG274" si="1404">AC274-AC271</f>
        <v>2.2028036811159986</v>
      </c>
      <c r="AH274" s="42">
        <f t="shared" ref="AH274" si="1405">AD274-AD271</f>
        <v>2.4316081367919988</v>
      </c>
      <c r="AI274" s="42">
        <f t="shared" ref="AI274" si="1406">AE274-AE271</f>
        <v>2.6828444018480013</v>
      </c>
      <c r="AJ274" s="42"/>
      <c r="AK274" s="42"/>
      <c r="AL274" s="42"/>
    </row>
    <row r="275" spans="1:38">
      <c r="A275" s="9" t="str">
        <f t="shared" si="1396"/>
        <v>Heating No. 2</v>
      </c>
      <c r="B275" s="9" t="str">
        <f>VLOOKUP($A275,Types!$A$2:$C$13,2,FALSE)</f>
        <v>DSH</v>
      </c>
      <c r="C275" s="9">
        <v>5</v>
      </c>
      <c r="D275" s="9">
        <v>5</v>
      </c>
      <c r="E275" s="9" t="str">
        <f t="shared" si="1327"/>
        <v>IMPDSHP55</v>
      </c>
      <c r="F275" s="9" t="str">
        <f>CONCATENATE("Imported ",VLOOKUP($A275,Types!$A$2:$C$13,3,FALSE),", PADD ",D275,", Step ",RIGHT(C275,1))</f>
        <v>Imported Distillate-Heating Oil No. 2, PADD 5, Step 5</v>
      </c>
      <c r="G275" s="9" t="str">
        <f>CONCATENATE(VLOOKUP($A275,Types!$A$2:$C$13,2,FALSE),"P",D275)</f>
        <v>DSHP5</v>
      </c>
      <c r="H275" s="66">
        <f>H271*$C$9</f>
        <v>72.37230000000001</v>
      </c>
      <c r="I275" s="66">
        <f t="shared" ref="I275:K275" si="1407">I271*$C$9</f>
        <v>65.90870000000001</v>
      </c>
      <c r="J275" s="66">
        <f t="shared" si="1407"/>
        <v>48.789000000000001</v>
      </c>
      <c r="K275" s="66">
        <f t="shared" si="1407"/>
        <v>52.455000000000005</v>
      </c>
      <c r="L275" s="67">
        <f>H275*Conv!$J$20/10^6/VLOOKUP($B275,Types!$B$2:$D$13,3,FALSE)/Conv!$I$5</f>
        <v>18.070257043303059</v>
      </c>
      <c r="M275" s="67">
        <f>I275*Conv!$J$20/10^6/VLOOKUP($B275,Types!$B$2:$D$13,3,FALSE)/Conv!$I$5</f>
        <v>16.456394924438605</v>
      </c>
      <c r="N275" s="67" t="e">
        <f>M275*#REF!</f>
        <v>#REF!</v>
      </c>
      <c r="O275" s="67" t="e">
        <f>N275*#REF!</f>
        <v>#REF!</v>
      </c>
      <c r="P275" s="67" t="e">
        <f>O275*#REF!</f>
        <v>#REF!</v>
      </c>
      <c r="Q275" s="67" t="e">
        <f>P275*#REF!</f>
        <v>#REF!</v>
      </c>
      <c r="R275" s="67" t="e">
        <f>Q275*#REF!</f>
        <v>#REF!</v>
      </c>
      <c r="S275" s="67" t="e">
        <f>R275*#REF!</f>
        <v>#REF!</v>
      </c>
      <c r="T275" s="67" t="e">
        <f>S275*#REF!</f>
        <v>#REF!</v>
      </c>
      <c r="U275" s="67" t="e">
        <f>T275*#REF!</f>
        <v>#REF!</v>
      </c>
      <c r="V275" s="67" t="e">
        <f>U275*#REF!</f>
        <v>#REF!</v>
      </c>
      <c r="W275" s="42"/>
      <c r="X275" s="9">
        <f>X271*$E$9</f>
        <v>10.14</v>
      </c>
      <c r="Y275" s="9">
        <f t="shared" ref="Y275:AA275" si="1408">Y271*$E$9</f>
        <v>9.82</v>
      </c>
      <c r="Z275" s="9">
        <f t="shared" si="1408"/>
        <v>10.84</v>
      </c>
      <c r="AA275" s="9">
        <f t="shared" si="1408"/>
        <v>11.96</v>
      </c>
      <c r="AB275" s="42">
        <f>X275*VLOOKUP($B275,Types!$B$2:$D$13,3,FALSE)*Conv!$I$5*1000*365</f>
        <v>22.745854711320003</v>
      </c>
      <c r="AC275" s="42">
        <f>Y275*VLOOKUP($B275,Types!$B$2:$D$13,3,FALSE)*Conv!$I$5*1000*365</f>
        <v>22.02803681116</v>
      </c>
      <c r="AD275" s="42">
        <f>Z275*VLOOKUP($B275,Types!$B$2:$D$13,3,FALSE)*Conv!$I$5*1000*365</f>
        <v>24.316081367919999</v>
      </c>
      <c r="AE275" s="42">
        <f>AA275*VLOOKUP($B275,Types!$B$2:$D$13,3,FALSE)*Conv!$I$5*1000*365</f>
        <v>26.828444018479999</v>
      </c>
      <c r="AF275" s="42">
        <f>AB275-AB274</f>
        <v>9.0983418845280024</v>
      </c>
      <c r="AG275" s="42">
        <f t="shared" ref="AG275" si="1409">AC275-AC274</f>
        <v>8.8112147244640013</v>
      </c>
      <c r="AH275" s="42">
        <f t="shared" ref="AH275" si="1410">AD275-AD274</f>
        <v>9.7264325471680007</v>
      </c>
      <c r="AI275" s="42">
        <f t="shared" ref="AI275" si="1411">AE275-AE274</f>
        <v>10.731377607391998</v>
      </c>
      <c r="AJ275" s="42"/>
      <c r="AK275" s="42"/>
      <c r="AL275" s="42"/>
    </row>
    <row r="276" spans="1:38">
      <c r="A276" s="9" t="str">
        <f>'Agg prdcrv'!$A$9</f>
        <v>LS Diesel (500 ppm)</v>
      </c>
      <c r="B276" s="9" t="str">
        <f>VLOOKUP($A276,Types!$A$2:$C$13,2,FALSE)</f>
        <v>DSL</v>
      </c>
      <c r="C276" s="9">
        <v>3</v>
      </c>
      <c r="D276" s="9">
        <v>5</v>
      </c>
      <c r="E276" s="9" t="str">
        <f t="shared" si="1327"/>
        <v>IMPDSLP53</v>
      </c>
      <c r="F276" s="9" t="str">
        <f>CONCATENATE("Imported ",VLOOKUP($A276,Types!$A$2:$C$13,3,FALSE),", PADD ",D276,", Step ",RIGHT(C276,1))</f>
        <v>Imported Distillate-Low Sulfur Highway Diesel (500 ppm), PADD 5, Step 3</v>
      </c>
      <c r="G276" s="9" t="str">
        <f>CONCATENATE(VLOOKUP($A276,Types!$A$2:$C$13,2,FALSE),"P",D276)</f>
        <v>DSLP5</v>
      </c>
      <c r="H276" s="66">
        <f>SUMIFS('Agg prdcrv'!$P$6:$P$100,'Agg prdcrv'!$A$6:$A$100,'Imp Refined'!$A276,'Agg prdcrv'!$B$6:$B$100,H$11)*K4</f>
        <v>64.954999999999998</v>
      </c>
      <c r="I276" s="66">
        <f>SUMIFS('Agg prdcrv'!$P$6:$P$100,'Agg prdcrv'!$A$6:$A$100,'Imp Refined'!$A276,'Agg prdcrv'!$B$6:$B$100,I$11)*K4</f>
        <v>50.875000000000007</v>
      </c>
      <c r="J276" s="66">
        <f t="array" ref="J276">SUMIFS('Agg prdcrv'!$P$6:$P$100,'Agg prdcrv'!$A$6:$A$100,'Imp Refined'!$A276,'Agg prdcrv'!$B$6:$B$100,J$11)</f>
        <v>113.5</v>
      </c>
      <c r="K276" s="66">
        <f t="array" ref="K276">SUMIFS('Agg prdcrv'!$P$6:$P$100,'Agg prdcrv'!$A$6:$A$100,'Imp Refined'!$A276,'Agg prdcrv'!$B$6:$B$100,K$11)</f>
        <v>113.5</v>
      </c>
      <c r="L276" s="67">
        <f>H276*Conv!$J$20/10^6/VLOOKUP($B276,Types!$B$2:$D$13,3,FALSE)/Conv!$I$5</f>
        <v>16.218270612482261</v>
      </c>
      <c r="M276" s="67">
        <f>I276*Conv!$J$20/10^6/VLOOKUP($B276,Types!$B$2:$D$13,3,FALSE)/Conv!$I$5</f>
        <v>12.702709836194831</v>
      </c>
      <c r="N276" s="67" t="e">
        <f>M276*#REF!</f>
        <v>#REF!</v>
      </c>
      <c r="O276" s="67" t="e">
        <f>N276*#REF!</f>
        <v>#REF!</v>
      </c>
      <c r="P276" s="67" t="e">
        <f>O276*#REF!</f>
        <v>#REF!</v>
      </c>
      <c r="Q276" s="67" t="e">
        <f>P276*#REF!</f>
        <v>#REF!</v>
      </c>
      <c r="R276" s="67" t="e">
        <f>Q276*#REF!</f>
        <v>#REF!</v>
      </c>
      <c r="S276" s="67" t="e">
        <f>R276*#REF!</f>
        <v>#REF!</v>
      </c>
      <c r="T276" s="67" t="e">
        <f>S276*#REF!</f>
        <v>#REF!</v>
      </c>
      <c r="U276" s="67" t="e">
        <f>T276*#REF!</f>
        <v>#REF!</v>
      </c>
      <c r="V276" s="67" t="e">
        <f>U276*#REF!</f>
        <v>#REF!</v>
      </c>
      <c r="W276" s="42"/>
      <c r="X276" s="9">
        <f t="array" ref="X276">SUMIFS('Agg prdcrv'!$H$6:$H$100,'Agg prdcrv'!$A$6:$A$100,'Imp Refined'!$A276,'Agg prdcrv'!$B$6:$B$100,X$11)</f>
        <v>13.73</v>
      </c>
      <c r="Y276" s="9">
        <f t="array" ref="Y276">SUMIFS('Agg prdcrv'!$H$6:$H$100,'Agg prdcrv'!$A$6:$A$100,'Imp Refined'!$A276,'Agg prdcrv'!$B$6:$B$100,Y$11)</f>
        <v>4.3</v>
      </c>
      <c r="Z276" s="9">
        <f t="array" ref="Z276">SUMIFS('Agg prdcrv'!$H$6:$H$100,'Agg prdcrv'!$A$6:$A$100,'Imp Refined'!$A276,'Agg prdcrv'!$B$6:$B$100,Z$11)</f>
        <v>1.02</v>
      </c>
      <c r="AA276" s="9">
        <f t="array" ref="AA276">SUMIFS('Agg prdcrv'!$H$6:$H$100,'Agg prdcrv'!$A$6:$A$100,'Imp Refined'!$A276,'Agg prdcrv'!$B$6:$B$100,AA$11)</f>
        <v>0.24</v>
      </c>
      <c r="AB276" s="42">
        <f>X276*VLOOKUP($B276,Types!$B$2:$D$13,3,FALSE)*Conv!$I$5*1000*365</f>
        <v>30.798874278739998</v>
      </c>
      <c r="AC276" s="42">
        <f>Y276*VLOOKUP($B276,Types!$B$2:$D$13,3,FALSE)*Conv!$I$5*1000*365</f>
        <v>9.6456780333999994</v>
      </c>
      <c r="AD276" s="42">
        <f>Z276*VLOOKUP($B276,Types!$B$2:$D$13,3,FALSE)*Conv!$I$5*1000*365</f>
        <v>2.2880445567600001</v>
      </c>
      <c r="AE276" s="42">
        <f>AA276*VLOOKUP($B276,Types!$B$2:$D$13,3,FALSE)*Conv!$I$5*1000*365</f>
        <v>0.53836342511999991</v>
      </c>
      <c r="AF276" s="42">
        <f>AB276-AB278</f>
        <v>3.0798874278739987</v>
      </c>
      <c r="AG276" s="42">
        <f t="shared" ref="AG276" si="1412">AC276-AC278</f>
        <v>0.96456780333999959</v>
      </c>
      <c r="AH276" s="42">
        <f t="shared" ref="AH276" si="1413">AD276-AD278</f>
        <v>0.22880445567599983</v>
      </c>
      <c r="AI276" s="42">
        <f t="shared" ref="AI276" si="1414">AE276-AE278</f>
        <v>5.3836342511999979E-2</v>
      </c>
      <c r="AJ276" s="42"/>
      <c r="AK276" s="42"/>
      <c r="AL276" s="42"/>
    </row>
    <row r="277" spans="1:38">
      <c r="A277" s="9" t="str">
        <f>A276</f>
        <v>LS Diesel (500 ppm)</v>
      </c>
      <c r="B277" s="9" t="str">
        <f>VLOOKUP($A277,Types!$A$2:$C$13,2,FALSE)</f>
        <v>DSL</v>
      </c>
      <c r="C277" s="9">
        <v>1</v>
      </c>
      <c r="D277" s="9">
        <v>5</v>
      </c>
      <c r="E277" s="9" t="str">
        <f t="shared" si="1327"/>
        <v>IMPDSLP51</v>
      </c>
      <c r="F277" s="9" t="str">
        <f>CONCATENATE("Imported ",VLOOKUP($A277,Types!$A$2:$C$13,3,FALSE),", PADD ",D277,", Step ",RIGHT(C277,1))</f>
        <v>Imported Distillate-Low Sulfur Highway Diesel (500 ppm), PADD 5, Step 1</v>
      </c>
      <c r="G277" s="9" t="str">
        <f>CONCATENATE(VLOOKUP($A277,Types!$A$2:$C$13,2,FALSE),"P",D277)</f>
        <v>DSLP5</v>
      </c>
      <c r="H277" s="66">
        <f>H276*$C$5</f>
        <v>61.707249999999995</v>
      </c>
      <c r="I277" s="66">
        <f t="shared" ref="I277" si="1415">I276*$C$5</f>
        <v>48.331250000000004</v>
      </c>
      <c r="J277" s="66">
        <f t="shared" ref="J277" si="1416">J276*$C$5</f>
        <v>107.82499999999999</v>
      </c>
      <c r="K277" s="66">
        <f t="shared" ref="K277" si="1417">K276*$C$5</f>
        <v>107.82499999999999</v>
      </c>
      <c r="L277" s="67">
        <f>H277*Conv!$J$20/10^6/VLOOKUP($B277,Types!$B$2:$D$13,3,FALSE)/Conv!$I$5</f>
        <v>15.407357081858146</v>
      </c>
      <c r="M277" s="67">
        <f>I277*Conv!$J$20/10^6/VLOOKUP($B277,Types!$B$2:$D$13,3,FALSE)/Conv!$I$5</f>
        <v>12.067574344385086</v>
      </c>
      <c r="N277" s="67" t="e">
        <f>M277*#REF!</f>
        <v>#REF!</v>
      </c>
      <c r="O277" s="67" t="e">
        <f>N277*#REF!</f>
        <v>#REF!</v>
      </c>
      <c r="P277" s="67" t="e">
        <f>O277*#REF!</f>
        <v>#REF!</v>
      </c>
      <c r="Q277" s="67" t="e">
        <f>P277*#REF!</f>
        <v>#REF!</v>
      </c>
      <c r="R277" s="67" t="e">
        <f>Q277*#REF!</f>
        <v>#REF!</v>
      </c>
      <c r="S277" s="67" t="e">
        <f>R277*#REF!</f>
        <v>#REF!</v>
      </c>
      <c r="T277" s="67" t="e">
        <f>S277*#REF!</f>
        <v>#REF!</v>
      </c>
      <c r="U277" s="67" t="e">
        <f>T277*#REF!</f>
        <v>#REF!</v>
      </c>
      <c r="V277" s="67" t="e">
        <f>U277*#REF!</f>
        <v>#REF!</v>
      </c>
      <c r="W277" s="42"/>
      <c r="X277" s="9">
        <f>X276*$E$5</f>
        <v>10.984000000000002</v>
      </c>
      <c r="Y277" s="9">
        <f t="shared" ref="Y277" si="1418">Y276*$E$5</f>
        <v>3.44</v>
      </c>
      <c r="Z277" s="9">
        <f t="shared" ref="Z277" si="1419">Z276*$E$5</f>
        <v>0.81600000000000006</v>
      </c>
      <c r="AA277" s="9">
        <f t="shared" ref="AA277" si="1420">AA276*$E$5</f>
        <v>0.192</v>
      </c>
      <c r="AB277" s="42">
        <f>X277*VLOOKUP($B277,Types!$B$2:$D$13,3,FALSE)*Conv!$I$5*1000*365</f>
        <v>24.639099422992004</v>
      </c>
      <c r="AC277" s="42">
        <f>Y277*VLOOKUP($B277,Types!$B$2:$D$13,3,FALSE)*Conv!$I$5*1000*365</f>
        <v>7.7165424267199993</v>
      </c>
      <c r="AD277" s="42">
        <f>Z277*VLOOKUP($B277,Types!$B$2:$D$13,3,FALSE)*Conv!$I$5*1000*365</f>
        <v>1.8304356454080002</v>
      </c>
      <c r="AE277" s="42">
        <f>AA277*VLOOKUP($B277,Types!$B$2:$D$13,3,FALSE)*Conv!$I$5*1000*365</f>
        <v>0.43069074009599995</v>
      </c>
      <c r="AF277" s="42">
        <f>AB277</f>
        <v>24.639099422992004</v>
      </c>
      <c r="AG277" s="42">
        <f t="shared" ref="AG277" si="1421">AC277</f>
        <v>7.7165424267199993</v>
      </c>
      <c r="AH277" s="42">
        <f t="shared" ref="AH277" si="1422">AD277</f>
        <v>1.8304356454080002</v>
      </c>
      <c r="AI277" s="42">
        <f t="shared" ref="AI277" si="1423">AE277</f>
        <v>0.43069074009599995</v>
      </c>
      <c r="AJ277" s="42"/>
      <c r="AK277" s="42"/>
      <c r="AL277" s="42"/>
    </row>
    <row r="278" spans="1:38">
      <c r="A278" s="9" t="str">
        <f t="shared" ref="A278:A280" si="1424">A277</f>
        <v>LS Diesel (500 ppm)</v>
      </c>
      <c r="B278" s="9" t="str">
        <f>VLOOKUP($A278,Types!$A$2:$C$13,2,FALSE)</f>
        <v>DSL</v>
      </c>
      <c r="C278" s="9">
        <v>2</v>
      </c>
      <c r="D278" s="9">
        <v>5</v>
      </c>
      <c r="E278" s="9" t="str">
        <f t="shared" si="1327"/>
        <v>IMPDSLP52</v>
      </c>
      <c r="F278" s="9" t="str">
        <f>CONCATENATE("Imported ",VLOOKUP($A278,Types!$A$2:$C$13,3,FALSE),", PADD ",D278,", Step ",RIGHT(C278,1))</f>
        <v>Imported Distillate-Low Sulfur Highway Diesel (500 ppm), PADD 5, Step 2</v>
      </c>
      <c r="G278" s="9" t="str">
        <f>CONCATENATE(VLOOKUP($A278,Types!$A$2:$C$13,2,FALSE),"P",D278)</f>
        <v>DSLP5</v>
      </c>
      <c r="H278" s="66">
        <f>H276*$C$6</f>
        <v>63.655899999999995</v>
      </c>
      <c r="I278" s="66">
        <f t="shared" ref="I278:K278" si="1425">I276*$C$6</f>
        <v>49.857500000000009</v>
      </c>
      <c r="J278" s="66">
        <f t="shared" si="1425"/>
        <v>111.23</v>
      </c>
      <c r="K278" s="66">
        <f t="shared" si="1425"/>
        <v>111.23</v>
      </c>
      <c r="L278" s="67">
        <f>H278*Conv!$J$20/10^6/VLOOKUP($B278,Types!$B$2:$D$13,3,FALSE)/Conv!$I$5</f>
        <v>15.893905200232616</v>
      </c>
      <c r="M278" s="67">
        <f>I278*Conv!$J$20/10^6/VLOOKUP($B278,Types!$B$2:$D$13,3,FALSE)/Conv!$I$5</f>
        <v>12.448655639470932</v>
      </c>
      <c r="N278" s="67" t="e">
        <f>M278*#REF!</f>
        <v>#REF!</v>
      </c>
      <c r="O278" s="67" t="e">
        <f>N278*#REF!</f>
        <v>#REF!</v>
      </c>
      <c r="P278" s="67" t="e">
        <f>O278*#REF!</f>
        <v>#REF!</v>
      </c>
      <c r="Q278" s="67" t="e">
        <f>P278*#REF!</f>
        <v>#REF!</v>
      </c>
      <c r="R278" s="67" t="e">
        <f>Q278*#REF!</f>
        <v>#REF!</v>
      </c>
      <c r="S278" s="67" t="e">
        <f>R278*#REF!</f>
        <v>#REF!</v>
      </c>
      <c r="T278" s="67" t="e">
        <f>S278*#REF!</f>
        <v>#REF!</v>
      </c>
      <c r="U278" s="67" t="e">
        <f>T278*#REF!</f>
        <v>#REF!</v>
      </c>
      <c r="V278" s="67" t="e">
        <f>U278*#REF!</f>
        <v>#REF!</v>
      </c>
      <c r="W278" s="42"/>
      <c r="X278" s="9">
        <f>X276*$E$6</f>
        <v>12.357000000000001</v>
      </c>
      <c r="Y278" s="9">
        <f t="shared" ref="Y278:AA278" si="1426">Y276*$E$6</f>
        <v>3.87</v>
      </c>
      <c r="Z278" s="9">
        <f t="shared" si="1426"/>
        <v>0.91800000000000004</v>
      </c>
      <c r="AA278" s="9">
        <f t="shared" si="1426"/>
        <v>0.216</v>
      </c>
      <c r="AB278" s="42">
        <f>X278*VLOOKUP($B278,Types!$B$2:$D$13,3,FALSE)*Conv!$I$5*1000*365</f>
        <v>27.718986850865999</v>
      </c>
      <c r="AC278" s="42">
        <f>Y278*VLOOKUP($B278,Types!$B$2:$D$13,3,FALSE)*Conv!$I$5*1000*365</f>
        <v>8.6811102300599998</v>
      </c>
      <c r="AD278" s="42">
        <f>Z278*VLOOKUP($B278,Types!$B$2:$D$13,3,FALSE)*Conv!$I$5*1000*365</f>
        <v>2.0592401010840002</v>
      </c>
      <c r="AE278" s="42">
        <f>AA278*VLOOKUP($B278,Types!$B$2:$D$13,3,FALSE)*Conv!$I$5*1000*365</f>
        <v>0.48452708260799993</v>
      </c>
      <c r="AF278" s="42">
        <f>AB278-AF277</f>
        <v>3.0798874278739952</v>
      </c>
      <c r="AG278" s="42">
        <f t="shared" ref="AG278" si="1427">AC278-AG277</f>
        <v>0.96456780334000047</v>
      </c>
      <c r="AH278" s="42">
        <f t="shared" ref="AH278" si="1428">AD278-AH277</f>
        <v>0.22880445567600005</v>
      </c>
      <c r="AI278" s="42">
        <f t="shared" ref="AI278" si="1429">AE278-AI277</f>
        <v>5.3836342511999979E-2</v>
      </c>
      <c r="AJ278" s="42"/>
      <c r="AK278" s="42"/>
      <c r="AL278" s="42"/>
    </row>
    <row r="279" spans="1:38">
      <c r="A279" s="9" t="str">
        <f t="shared" si="1424"/>
        <v>LS Diesel (500 ppm)</v>
      </c>
      <c r="B279" s="9" t="str">
        <f>VLOOKUP($A279,Types!$A$2:$C$13,2,FALSE)</f>
        <v>DSL</v>
      </c>
      <c r="C279" s="9">
        <v>4</v>
      </c>
      <c r="D279" s="9">
        <v>5</v>
      </c>
      <c r="E279" s="9" t="str">
        <f t="shared" si="1327"/>
        <v>IMPDSLP54</v>
      </c>
      <c r="F279" s="9" t="str">
        <f>CONCATENATE("Imported ",VLOOKUP($A279,Types!$A$2:$C$13,3,FALSE),", PADD ",D279,", Step ",RIGHT(C279,1))</f>
        <v>Imported Distillate-Low Sulfur Highway Diesel (500 ppm), PADD 5, Step 4</v>
      </c>
      <c r="G279" s="9" t="str">
        <f>CONCATENATE(VLOOKUP($A279,Types!$A$2:$C$13,2,FALSE),"P",D279)</f>
        <v>DSLP5</v>
      </c>
      <c r="H279" s="66">
        <f>H276*$C$8</f>
        <v>70.80095</v>
      </c>
      <c r="I279" s="66">
        <f t="shared" ref="I279:K279" si="1430">I276*$C$8</f>
        <v>55.453750000000014</v>
      </c>
      <c r="J279" s="66">
        <f t="shared" si="1430"/>
        <v>123.715</v>
      </c>
      <c r="K279" s="66">
        <f t="shared" si="1430"/>
        <v>123.715</v>
      </c>
      <c r="L279" s="67">
        <f>H279*Conv!$J$20/10^6/VLOOKUP($B279,Types!$B$2:$D$13,3,FALSE)/Conv!$I$5</f>
        <v>17.677914967605663</v>
      </c>
      <c r="M279" s="67">
        <f>I279*Conv!$J$20/10^6/VLOOKUP($B279,Types!$B$2:$D$13,3,FALSE)/Conv!$I$5</f>
        <v>13.845953721452368</v>
      </c>
      <c r="N279" s="67" t="e">
        <f>M279*#REF!</f>
        <v>#REF!</v>
      </c>
      <c r="O279" s="67" t="e">
        <f>N279*#REF!</f>
        <v>#REF!</v>
      </c>
      <c r="P279" s="67" t="e">
        <f>O279*#REF!</f>
        <v>#REF!</v>
      </c>
      <c r="Q279" s="67" t="e">
        <f>P279*#REF!</f>
        <v>#REF!</v>
      </c>
      <c r="R279" s="67" t="e">
        <f>Q279*#REF!</f>
        <v>#REF!</v>
      </c>
      <c r="S279" s="67" t="e">
        <f>R279*#REF!</f>
        <v>#REF!</v>
      </c>
      <c r="T279" s="67" t="e">
        <f>S279*#REF!</f>
        <v>#REF!</v>
      </c>
      <c r="U279" s="67" t="e">
        <f>T279*#REF!</f>
        <v>#REF!</v>
      </c>
      <c r="V279" s="67" t="e">
        <f>U279*#REF!</f>
        <v>#REF!</v>
      </c>
      <c r="W279" s="42"/>
      <c r="X279" s="9">
        <f>X276*$E$8</f>
        <v>16.475999999999999</v>
      </c>
      <c r="Y279" s="9">
        <f t="shared" ref="Y279:AA279" si="1431">Y276*$E$8</f>
        <v>5.1599999999999993</v>
      </c>
      <c r="Z279" s="9">
        <f t="shared" si="1431"/>
        <v>1.224</v>
      </c>
      <c r="AA279" s="9">
        <f t="shared" si="1431"/>
        <v>0.28799999999999998</v>
      </c>
      <c r="AB279" s="42">
        <f>X279*VLOOKUP($B279,Types!$B$2:$D$13,3,FALSE)*Conv!$I$5*1000*365</f>
        <v>36.958649134487999</v>
      </c>
      <c r="AC279" s="42">
        <f>Y279*VLOOKUP($B279,Types!$B$2:$D$13,3,FALSE)*Conv!$I$5*1000*365</f>
        <v>11.574813640079999</v>
      </c>
      <c r="AD279" s="42">
        <f>Z279*VLOOKUP($B279,Types!$B$2:$D$13,3,FALSE)*Conv!$I$5*1000*365</f>
        <v>2.7456534681120002</v>
      </c>
      <c r="AE279" s="42">
        <f>AA279*VLOOKUP($B279,Types!$B$2:$D$13,3,FALSE)*Conv!$I$5*1000*365</f>
        <v>0.64603611014399998</v>
      </c>
      <c r="AF279" s="42">
        <f>AB279-AB276</f>
        <v>6.159774855748001</v>
      </c>
      <c r="AG279" s="42">
        <f t="shared" ref="AG279" si="1432">AC279-AC276</f>
        <v>1.9291356066799992</v>
      </c>
      <c r="AH279" s="42">
        <f t="shared" ref="AH279" si="1433">AD279-AD276</f>
        <v>0.4576089113520001</v>
      </c>
      <c r="AI279" s="42">
        <f t="shared" ref="AI279" si="1434">AE279-AE276</f>
        <v>0.10767268502400007</v>
      </c>
      <c r="AJ279" s="42"/>
      <c r="AK279" s="42"/>
      <c r="AL279" s="42"/>
    </row>
    <row r="280" spans="1:38">
      <c r="A280" s="9" t="str">
        <f t="shared" si="1424"/>
        <v>LS Diesel (500 ppm)</v>
      </c>
      <c r="B280" s="9" t="str">
        <f>VLOOKUP($A280,Types!$A$2:$C$13,2,FALSE)</f>
        <v>DSL</v>
      </c>
      <c r="C280" s="9">
        <v>5</v>
      </c>
      <c r="D280" s="9">
        <v>5</v>
      </c>
      <c r="E280" s="9" t="str">
        <f t="shared" si="1327"/>
        <v>IMPDSLP55</v>
      </c>
      <c r="F280" s="9" t="str">
        <f>CONCATENATE("Imported ",VLOOKUP($A280,Types!$A$2:$C$13,3,FALSE),", PADD ",D280,", Step ",RIGHT(C280,1))</f>
        <v>Imported Distillate-Low Sulfur Highway Diesel (500 ppm), PADD 5, Step 5</v>
      </c>
      <c r="G280" s="9" t="str">
        <f>CONCATENATE(VLOOKUP($A280,Types!$A$2:$C$13,2,FALSE),"P",D280)</f>
        <v>DSLP5</v>
      </c>
      <c r="H280" s="66">
        <f>H276*$C$9</f>
        <v>84.441500000000005</v>
      </c>
      <c r="I280" s="66">
        <f t="shared" ref="I280:K280" si="1435">I276*$C$9</f>
        <v>66.137500000000017</v>
      </c>
      <c r="J280" s="66">
        <f t="shared" si="1435"/>
        <v>147.55000000000001</v>
      </c>
      <c r="K280" s="66">
        <f t="shared" si="1435"/>
        <v>147.55000000000001</v>
      </c>
      <c r="L280" s="67">
        <f>H280*Conv!$J$20/10^6/VLOOKUP($B280,Types!$B$2:$D$13,3,FALSE)/Conv!$I$5</f>
        <v>21.083751796226942</v>
      </c>
      <c r="M280" s="67">
        <f>I280*Conv!$J$20/10^6/VLOOKUP($B280,Types!$B$2:$D$13,3,FALSE)/Conv!$I$5</f>
        <v>16.513522787053279</v>
      </c>
      <c r="N280" s="67" t="e">
        <f>M280*#REF!</f>
        <v>#REF!</v>
      </c>
      <c r="O280" s="67" t="e">
        <f>N280*#REF!</f>
        <v>#REF!</v>
      </c>
      <c r="P280" s="67" t="e">
        <f>O280*#REF!</f>
        <v>#REF!</v>
      </c>
      <c r="Q280" s="67" t="e">
        <f>P280*#REF!</f>
        <v>#REF!</v>
      </c>
      <c r="R280" s="67" t="e">
        <f>Q280*#REF!</f>
        <v>#REF!</v>
      </c>
      <c r="S280" s="67" t="e">
        <f>R280*#REF!</f>
        <v>#REF!</v>
      </c>
      <c r="T280" s="67" t="e">
        <f>S280*#REF!</f>
        <v>#REF!</v>
      </c>
      <c r="U280" s="67" t="e">
        <f>T280*#REF!</f>
        <v>#REF!</v>
      </c>
      <c r="V280" s="67" t="e">
        <f>U280*#REF!</f>
        <v>#REF!</v>
      </c>
      <c r="W280" s="42"/>
      <c r="X280" s="9">
        <f>X276*$E$9</f>
        <v>27.46</v>
      </c>
      <c r="Y280" s="9">
        <f t="shared" ref="Y280:AA280" si="1436">Y276*$E$9</f>
        <v>8.6</v>
      </c>
      <c r="Z280" s="9">
        <f t="shared" si="1436"/>
        <v>2.04</v>
      </c>
      <c r="AA280" s="9">
        <f t="shared" si="1436"/>
        <v>0.48</v>
      </c>
      <c r="AB280" s="42">
        <f>X280*VLOOKUP($B280,Types!$B$2:$D$13,3,FALSE)*Conv!$I$5*1000*365</f>
        <v>61.597748557479996</v>
      </c>
      <c r="AC280" s="42">
        <f>Y280*VLOOKUP($B280,Types!$B$2:$D$13,3,FALSE)*Conv!$I$5*1000*365</f>
        <v>19.291356066799999</v>
      </c>
      <c r="AD280" s="42">
        <f>Z280*VLOOKUP($B280,Types!$B$2:$D$13,3,FALSE)*Conv!$I$5*1000*365</f>
        <v>4.5760891135200001</v>
      </c>
      <c r="AE280" s="42">
        <f>AA280*VLOOKUP($B280,Types!$B$2:$D$13,3,FALSE)*Conv!$I$5*1000*365</f>
        <v>1.0767268502399998</v>
      </c>
      <c r="AF280" s="42">
        <f>AB280-AB279</f>
        <v>24.639099422991997</v>
      </c>
      <c r="AG280" s="42">
        <f t="shared" ref="AG280" si="1437">AC280-AC279</f>
        <v>7.7165424267200002</v>
      </c>
      <c r="AH280" s="42">
        <f t="shared" ref="AH280" si="1438">AD280-AD279</f>
        <v>1.830435645408</v>
      </c>
      <c r="AI280" s="42">
        <f t="shared" ref="AI280" si="1439">AE280-AE279</f>
        <v>0.43069074009599984</v>
      </c>
      <c r="AJ280" s="42"/>
      <c r="AK280" s="42"/>
      <c r="AL280" s="42"/>
    </row>
    <row r="281" spans="1:38">
      <c r="A281" s="9" t="str">
        <f>'Agg prdcrv'!$A$10</f>
        <v>Low Sulfur Fuel Oil</v>
      </c>
      <c r="B281" s="9" t="str">
        <f>VLOOKUP($A281,Types!$A$2:$C$13,2,FALSE)</f>
        <v>RFL</v>
      </c>
      <c r="C281" s="9">
        <v>3</v>
      </c>
      <c r="D281" s="9">
        <v>5</v>
      </c>
      <c r="E281" s="9" t="str">
        <f t="shared" si="1327"/>
        <v>IMPRFLP53</v>
      </c>
      <c r="F281" s="9" t="str">
        <f>CONCATENATE("Imported ",VLOOKUP($A281,Types!$A$2:$C$13,3,FALSE),", PADD ",D281,", Step ",RIGHT(C281,1))</f>
        <v>Imported Low Sulfur Residual Fuel Oil, PADD 5, Step 3</v>
      </c>
      <c r="G281" s="9" t="str">
        <f>CONCATENATE(VLOOKUP($A281,Types!$A$2:$C$13,2,FALSE),"P",D281)</f>
        <v>RFLP5</v>
      </c>
      <c r="H281" s="66">
        <f>SUMIFS('Agg prdcrv'!$P$6:$P$100,'Agg prdcrv'!$A$6:$A$100,'Imp Refined'!$A281,'Agg prdcrv'!$B$6:$B$100,H$11)*K4</f>
        <v>35.816000000000003</v>
      </c>
      <c r="I281" s="66">
        <f>SUMIFS('Agg prdcrv'!$P$6:$P$100,'Agg prdcrv'!$A$6:$A$100,'Imp Refined'!$A281,'Agg prdcrv'!$B$6:$B$100,I$11)*K4</f>
        <v>36.113</v>
      </c>
      <c r="J281" s="66">
        <f t="array" ref="J281">SUMIFS('Agg prdcrv'!$P$6:$P$100,'Agg prdcrv'!$A$6:$A$100,'Imp Refined'!$A281,'Agg prdcrv'!$B$6:$B$100,J$11)</f>
        <v>29.74</v>
      </c>
      <c r="K281" s="66">
        <f t="array" ref="K281">SUMIFS('Agg prdcrv'!$P$6:$P$100,'Agg prdcrv'!$A$6:$A$100,'Imp Refined'!$A281,'Agg prdcrv'!$B$6:$B$100,K$11)</f>
        <v>30.83</v>
      </c>
      <c r="L281" s="67">
        <f>H281*Conv!$J$20/10^6/VLOOKUP($B281,Types!$B$2:$D$13,3,FALSE)/Conv!$I$5</f>
        <v>8.285553124903414</v>
      </c>
      <c r="M281" s="67">
        <f>I281*Conv!$J$20/10^6/VLOOKUP($B281,Types!$B$2:$D$13,3,FALSE)/Conv!$I$5</f>
        <v>8.3542601072045137</v>
      </c>
      <c r="N281" s="67" t="e">
        <f>M281*#REF!</f>
        <v>#REF!</v>
      </c>
      <c r="O281" s="67" t="e">
        <f>N281*#REF!</f>
        <v>#REF!</v>
      </c>
      <c r="P281" s="67" t="e">
        <f>O281*#REF!</f>
        <v>#REF!</v>
      </c>
      <c r="Q281" s="67" t="e">
        <f>P281*#REF!</f>
        <v>#REF!</v>
      </c>
      <c r="R281" s="67" t="e">
        <f>Q281*#REF!</f>
        <v>#REF!</v>
      </c>
      <c r="S281" s="67" t="e">
        <f>R281*#REF!</f>
        <v>#REF!</v>
      </c>
      <c r="T281" s="67" t="e">
        <f>S281*#REF!</f>
        <v>#REF!</v>
      </c>
      <c r="U281" s="67" t="e">
        <f>T281*#REF!</f>
        <v>#REF!</v>
      </c>
      <c r="V281" s="67" t="e">
        <f>U281*#REF!</f>
        <v>#REF!</v>
      </c>
      <c r="W281" s="42"/>
      <c r="X281" s="9">
        <f t="array" ref="X281">SUMIFS('Agg prdcrv'!$H$6:$H$100,'Agg prdcrv'!$A$6:$A$100,'Imp Refined'!$A281,'Agg prdcrv'!$B$6:$B$100,X$11)</f>
        <v>10.5</v>
      </c>
      <c r="Y281" s="9">
        <f t="array" ref="Y281">SUMIFS('Agg prdcrv'!$H$6:$H$100,'Agg prdcrv'!$A$6:$A$100,'Imp Refined'!$A281,'Agg prdcrv'!$B$6:$B$100,Y$11)</f>
        <v>8.66</v>
      </c>
      <c r="Z281" s="9">
        <f t="array" ref="Z281">SUMIFS('Agg prdcrv'!$H$6:$H$100,'Agg prdcrv'!$A$6:$A$100,'Imp Refined'!$A281,'Agg prdcrv'!$B$6:$B$100,Z$11)</f>
        <v>9.56</v>
      </c>
      <c r="AA281" s="9">
        <f t="array" ref="AA281">SUMIFS('Agg prdcrv'!$H$6:$H$100,'Agg prdcrv'!$A$6:$A$100,'Imp Refined'!$A281,'Agg prdcrv'!$B$6:$B$100,AA$11)</f>
        <v>10.56</v>
      </c>
      <c r="AB281" s="42">
        <f>X281*VLOOKUP($B281,Types!$B$2:$D$13,3,FALSE)*Conv!$I$5*1000*365</f>
        <v>25.421497828439993</v>
      </c>
      <c r="AC281" s="42">
        <f>Y281*VLOOKUP($B281,Types!$B$2:$D$13,3,FALSE)*Conv!$I$5*1000*365</f>
        <v>20.966682970884797</v>
      </c>
      <c r="AD281" s="42">
        <f>Z281*VLOOKUP($B281,Types!$B$2:$D$13,3,FALSE)*Conv!$I$5*1000*365</f>
        <v>23.145668499036798</v>
      </c>
      <c r="AE281" s="42">
        <f>AA281*VLOOKUP($B281,Types!$B$2:$D$13,3,FALSE)*Conv!$I$5*1000*365</f>
        <v>25.566763530316798</v>
      </c>
      <c r="AF281" s="42">
        <f>AB281-AB283</f>
        <v>2.5421497828439961</v>
      </c>
      <c r="AG281" s="42">
        <f t="shared" ref="AG281" si="1440">AC281-AC283</f>
        <v>2.0966682970884776</v>
      </c>
      <c r="AH281" s="42">
        <f t="shared" ref="AH281" si="1441">AD281-AD283</f>
        <v>2.3145668499036773</v>
      </c>
      <c r="AI281" s="42">
        <f t="shared" ref="AI281" si="1442">AE281-AE283</f>
        <v>2.5566763530316727</v>
      </c>
      <c r="AJ281" s="42"/>
      <c r="AK281" s="42"/>
      <c r="AL281" s="42"/>
    </row>
    <row r="282" spans="1:38">
      <c r="A282" s="9" t="str">
        <f>A281</f>
        <v>Low Sulfur Fuel Oil</v>
      </c>
      <c r="B282" s="9" t="str">
        <f>VLOOKUP($A282,Types!$A$2:$C$13,2,FALSE)</f>
        <v>RFL</v>
      </c>
      <c r="C282" s="9">
        <v>1</v>
      </c>
      <c r="D282" s="9">
        <v>5</v>
      </c>
      <c r="E282" s="9" t="str">
        <f t="shared" si="1327"/>
        <v>IMPRFLP51</v>
      </c>
      <c r="F282" s="9" t="str">
        <f>CONCATENATE("Imported ",VLOOKUP($A282,Types!$A$2:$C$13,3,FALSE),", PADD ",D282,", Step ",RIGHT(C282,1))</f>
        <v>Imported Low Sulfur Residual Fuel Oil, PADD 5, Step 1</v>
      </c>
      <c r="G282" s="9" t="str">
        <f>CONCATENATE(VLOOKUP($A282,Types!$A$2:$C$13,2,FALSE),"P",D282)</f>
        <v>RFLP5</v>
      </c>
      <c r="H282" s="66">
        <f>H281*$C$5</f>
        <v>34.025199999999998</v>
      </c>
      <c r="I282" s="66">
        <f t="shared" ref="I282" si="1443">I281*$C$5</f>
        <v>34.30735</v>
      </c>
      <c r="J282" s="66">
        <f t="shared" ref="J282" si="1444">J281*$C$5</f>
        <v>28.252999999999997</v>
      </c>
      <c r="K282" s="66">
        <f t="shared" ref="K282" si="1445">K281*$C$5</f>
        <v>29.288499999999996</v>
      </c>
      <c r="L282" s="67">
        <f>H282*Conv!$J$20/10^6/VLOOKUP($B282,Types!$B$2:$D$13,3,FALSE)/Conv!$I$5</f>
        <v>7.8712754686582391</v>
      </c>
      <c r="M282" s="67">
        <f>I282*Conv!$J$20/10^6/VLOOKUP($B282,Types!$B$2:$D$13,3,FALSE)/Conv!$I$5</f>
        <v>7.9365471018442895</v>
      </c>
      <c r="N282" s="67" t="e">
        <f>M282*#REF!</f>
        <v>#REF!</v>
      </c>
      <c r="O282" s="67" t="e">
        <f>N282*#REF!</f>
        <v>#REF!</v>
      </c>
      <c r="P282" s="67" t="e">
        <f>O282*#REF!</f>
        <v>#REF!</v>
      </c>
      <c r="Q282" s="67" t="e">
        <f>P282*#REF!</f>
        <v>#REF!</v>
      </c>
      <c r="R282" s="67" t="e">
        <f>Q282*#REF!</f>
        <v>#REF!</v>
      </c>
      <c r="S282" s="67" t="e">
        <f>R282*#REF!</f>
        <v>#REF!</v>
      </c>
      <c r="T282" s="67" t="e">
        <f>S282*#REF!</f>
        <v>#REF!</v>
      </c>
      <c r="U282" s="67" t="e">
        <f>T282*#REF!</f>
        <v>#REF!</v>
      </c>
      <c r="V282" s="67" t="e">
        <f>U282*#REF!</f>
        <v>#REF!</v>
      </c>
      <c r="W282" s="42"/>
      <c r="X282" s="9">
        <f>X281*$E$5</f>
        <v>8.4</v>
      </c>
      <c r="Y282" s="9">
        <f t="shared" ref="Y282" si="1446">Y281*$E$5</f>
        <v>6.9280000000000008</v>
      </c>
      <c r="Z282" s="9">
        <f t="shared" ref="Z282" si="1447">Z281*$E$5</f>
        <v>7.6480000000000006</v>
      </c>
      <c r="AA282" s="9">
        <f t="shared" ref="AA282" si="1448">AA281*$E$5</f>
        <v>8.4480000000000004</v>
      </c>
      <c r="AB282" s="42">
        <f>X282*VLOOKUP($B282,Types!$B$2:$D$13,3,FALSE)*Conv!$I$5*1000*365</f>
        <v>20.337198262752</v>
      </c>
      <c r="AC282" s="42">
        <f>Y282*VLOOKUP($B282,Types!$B$2:$D$13,3,FALSE)*Conv!$I$5*1000*365</f>
        <v>16.773346376707838</v>
      </c>
      <c r="AD282" s="42">
        <f>Z282*VLOOKUP($B282,Types!$B$2:$D$13,3,FALSE)*Conv!$I$5*1000*365</f>
        <v>18.51653479922944</v>
      </c>
      <c r="AE282" s="42">
        <f>AA282*VLOOKUP($B282,Types!$B$2:$D$13,3,FALSE)*Conv!$I$5*1000*365</f>
        <v>20.453410824253442</v>
      </c>
      <c r="AF282" s="42">
        <f>AB282</f>
        <v>20.337198262752</v>
      </c>
      <c r="AG282" s="42">
        <f t="shared" ref="AG282" si="1449">AC282</f>
        <v>16.773346376707838</v>
      </c>
      <c r="AH282" s="42">
        <f t="shared" ref="AH282" si="1450">AD282</f>
        <v>18.51653479922944</v>
      </c>
      <c r="AI282" s="42">
        <f t="shared" ref="AI282" si="1451">AE282</f>
        <v>20.453410824253442</v>
      </c>
      <c r="AJ282" s="42"/>
      <c r="AK282" s="42"/>
      <c r="AL282" s="42"/>
    </row>
    <row r="283" spans="1:38">
      <c r="A283" s="9" t="str">
        <f t="shared" ref="A283:A285" si="1452">A282</f>
        <v>Low Sulfur Fuel Oil</v>
      </c>
      <c r="B283" s="9" t="str">
        <f>VLOOKUP($A283,Types!$A$2:$C$13,2,FALSE)</f>
        <v>RFL</v>
      </c>
      <c r="C283" s="9">
        <v>2</v>
      </c>
      <c r="D283" s="9">
        <v>5</v>
      </c>
      <c r="E283" s="9" t="str">
        <f t="shared" si="1327"/>
        <v>IMPRFLP52</v>
      </c>
      <c r="F283" s="9" t="str">
        <f>CONCATENATE("Imported ",VLOOKUP($A283,Types!$A$2:$C$13,3,FALSE),", PADD ",D283,", Step ",RIGHT(C283,1))</f>
        <v>Imported Low Sulfur Residual Fuel Oil, PADD 5, Step 2</v>
      </c>
      <c r="G283" s="9" t="str">
        <f>CONCATENATE(VLOOKUP($A283,Types!$A$2:$C$13,2,FALSE),"P",D283)</f>
        <v>RFLP5</v>
      </c>
      <c r="H283" s="66">
        <f>H281*$C$6</f>
        <v>35.099679999999999</v>
      </c>
      <c r="I283" s="66">
        <f t="shared" ref="I283:K283" si="1453">I281*$C$6</f>
        <v>35.390740000000001</v>
      </c>
      <c r="J283" s="66">
        <f t="shared" si="1453"/>
        <v>29.145199999999999</v>
      </c>
      <c r="K283" s="66">
        <f t="shared" si="1453"/>
        <v>30.213399999999996</v>
      </c>
      <c r="L283" s="67">
        <f>H283*Conv!$J$20/10^6/VLOOKUP($B283,Types!$B$2:$D$13,3,FALSE)/Conv!$I$5</f>
        <v>8.1198420624053433</v>
      </c>
      <c r="M283" s="67">
        <f>I283*Conv!$J$20/10^6/VLOOKUP($B283,Types!$B$2:$D$13,3,FALSE)/Conv!$I$5</f>
        <v>8.1871749050604254</v>
      </c>
      <c r="N283" s="67" t="e">
        <f>M283*#REF!</f>
        <v>#REF!</v>
      </c>
      <c r="O283" s="67" t="e">
        <f>N283*#REF!</f>
        <v>#REF!</v>
      </c>
      <c r="P283" s="67" t="e">
        <f>O283*#REF!</f>
        <v>#REF!</v>
      </c>
      <c r="Q283" s="67" t="e">
        <f>P283*#REF!</f>
        <v>#REF!</v>
      </c>
      <c r="R283" s="67" t="e">
        <f>Q283*#REF!</f>
        <v>#REF!</v>
      </c>
      <c r="S283" s="67" t="e">
        <f>R283*#REF!</f>
        <v>#REF!</v>
      </c>
      <c r="T283" s="67" t="e">
        <f>S283*#REF!</f>
        <v>#REF!</v>
      </c>
      <c r="U283" s="67" t="e">
        <f>T283*#REF!</f>
        <v>#REF!</v>
      </c>
      <c r="V283" s="67" t="e">
        <f>U283*#REF!</f>
        <v>#REF!</v>
      </c>
      <c r="W283" s="42"/>
      <c r="X283" s="9">
        <f>X281*$E$6</f>
        <v>9.4500000000000011</v>
      </c>
      <c r="Y283" s="9">
        <f t="shared" ref="Y283:AA283" si="1454">Y281*$E$6</f>
        <v>7.7940000000000005</v>
      </c>
      <c r="Z283" s="9">
        <f t="shared" si="1454"/>
        <v>8.604000000000001</v>
      </c>
      <c r="AA283" s="9">
        <f t="shared" si="1454"/>
        <v>9.5040000000000013</v>
      </c>
      <c r="AB283" s="42">
        <f>X283*VLOOKUP($B283,Types!$B$2:$D$13,3,FALSE)*Conv!$I$5*1000*365</f>
        <v>22.879348045595997</v>
      </c>
      <c r="AC283" s="42">
        <f>Y283*VLOOKUP($B283,Types!$B$2:$D$13,3,FALSE)*Conv!$I$5*1000*365</f>
        <v>18.870014673796319</v>
      </c>
      <c r="AD283" s="42">
        <f>Z283*VLOOKUP($B283,Types!$B$2:$D$13,3,FALSE)*Conv!$I$5*1000*365</f>
        <v>20.831101649133121</v>
      </c>
      <c r="AE283" s="42">
        <f>AA283*VLOOKUP($B283,Types!$B$2:$D$13,3,FALSE)*Conv!$I$5*1000*365</f>
        <v>23.010087177285126</v>
      </c>
      <c r="AF283" s="42">
        <f>AB283-AF282</f>
        <v>2.5421497828439961</v>
      </c>
      <c r="AG283" s="42">
        <f t="shared" ref="AG283" si="1455">AC283-AG282</f>
        <v>2.0966682970884811</v>
      </c>
      <c r="AH283" s="42">
        <f t="shared" ref="AH283" si="1456">AD283-AH282</f>
        <v>2.3145668499036809</v>
      </c>
      <c r="AI283" s="42">
        <f t="shared" ref="AI283" si="1457">AE283-AI282</f>
        <v>2.5566763530316834</v>
      </c>
      <c r="AJ283" s="42"/>
      <c r="AK283" s="42"/>
      <c r="AL283" s="42"/>
    </row>
    <row r="284" spans="1:38">
      <c r="A284" s="9" t="str">
        <f t="shared" si="1452"/>
        <v>Low Sulfur Fuel Oil</v>
      </c>
      <c r="B284" s="9" t="str">
        <f>VLOOKUP($A284,Types!$A$2:$C$13,2,FALSE)</f>
        <v>RFL</v>
      </c>
      <c r="C284" s="9">
        <v>4</v>
      </c>
      <c r="D284" s="9">
        <v>5</v>
      </c>
      <c r="E284" s="9" t="str">
        <f t="shared" si="1327"/>
        <v>IMPRFLP54</v>
      </c>
      <c r="F284" s="9" t="str">
        <f>CONCATENATE("Imported ",VLOOKUP($A284,Types!$A$2:$C$13,3,FALSE),", PADD ",D284,", Step ",RIGHT(C284,1))</f>
        <v>Imported Low Sulfur Residual Fuel Oil, PADD 5, Step 4</v>
      </c>
      <c r="G284" s="9" t="str">
        <f>CONCATENATE(VLOOKUP($A284,Types!$A$2:$C$13,2,FALSE),"P",D284)</f>
        <v>RFLP5</v>
      </c>
      <c r="H284" s="66">
        <f>H281*$C$8</f>
        <v>39.039440000000006</v>
      </c>
      <c r="I284" s="66">
        <f t="shared" ref="I284:K284" si="1458">I281*$C$8</f>
        <v>39.363170000000004</v>
      </c>
      <c r="J284" s="66">
        <f t="shared" si="1458"/>
        <v>32.416600000000003</v>
      </c>
      <c r="K284" s="66">
        <f t="shared" si="1458"/>
        <v>33.604700000000001</v>
      </c>
      <c r="L284" s="67">
        <f>H284*Conv!$J$20/10^6/VLOOKUP($B284,Types!$B$2:$D$13,3,FALSE)/Conv!$I$5</f>
        <v>9.0312529061447204</v>
      </c>
      <c r="M284" s="67">
        <f>I284*Conv!$J$20/10^6/VLOOKUP($B284,Types!$B$2:$D$13,3,FALSE)/Conv!$I$5</f>
        <v>9.1061435168529226</v>
      </c>
      <c r="N284" s="67" t="e">
        <f>M284*#REF!</f>
        <v>#REF!</v>
      </c>
      <c r="O284" s="67" t="e">
        <f>N284*#REF!</f>
        <v>#REF!</v>
      </c>
      <c r="P284" s="67" t="e">
        <f>O284*#REF!</f>
        <v>#REF!</v>
      </c>
      <c r="Q284" s="67" t="e">
        <f>P284*#REF!</f>
        <v>#REF!</v>
      </c>
      <c r="R284" s="67" t="e">
        <f>Q284*#REF!</f>
        <v>#REF!</v>
      </c>
      <c r="S284" s="67" t="e">
        <f>R284*#REF!</f>
        <v>#REF!</v>
      </c>
      <c r="T284" s="67" t="e">
        <f>S284*#REF!</f>
        <v>#REF!</v>
      </c>
      <c r="U284" s="67" t="e">
        <f>T284*#REF!</f>
        <v>#REF!</v>
      </c>
      <c r="V284" s="67" t="e">
        <f>U284*#REF!</f>
        <v>#REF!</v>
      </c>
      <c r="W284" s="42"/>
      <c r="X284" s="9">
        <f>X281*$E$8</f>
        <v>12.6</v>
      </c>
      <c r="Y284" s="9">
        <f t="shared" ref="Y284:AA284" si="1459">Y281*$E$8</f>
        <v>10.391999999999999</v>
      </c>
      <c r="Z284" s="9">
        <f t="shared" si="1459"/>
        <v>11.472</v>
      </c>
      <c r="AA284" s="9">
        <f t="shared" si="1459"/>
        <v>12.672000000000001</v>
      </c>
      <c r="AB284" s="42">
        <f>X284*VLOOKUP($B284,Types!$B$2:$D$13,3,FALSE)*Conv!$I$5*1000*365</f>
        <v>30.505797394127999</v>
      </c>
      <c r="AC284" s="42">
        <f>Y284*VLOOKUP($B284,Types!$B$2:$D$13,3,FALSE)*Conv!$I$5*1000*365</f>
        <v>25.160019565061752</v>
      </c>
      <c r="AD284" s="42">
        <f>Z284*VLOOKUP($B284,Types!$B$2:$D$13,3,FALSE)*Conv!$I$5*1000*365</f>
        <v>27.774802198844164</v>
      </c>
      <c r="AE284" s="42">
        <f>AA284*VLOOKUP($B284,Types!$B$2:$D$13,3,FALSE)*Conv!$I$5*1000*365</f>
        <v>30.680116236380155</v>
      </c>
      <c r="AF284" s="42">
        <f>AB284-AB281</f>
        <v>5.0842995656880063</v>
      </c>
      <c r="AG284" s="42">
        <f t="shared" ref="AG284" si="1460">AC284-AC281</f>
        <v>4.1933365941769551</v>
      </c>
      <c r="AH284" s="42">
        <f t="shared" ref="AH284" si="1461">AD284-AD281</f>
        <v>4.6291336998073653</v>
      </c>
      <c r="AI284" s="42">
        <f t="shared" ref="AI284" si="1462">AE284-AE281</f>
        <v>5.1133527060633561</v>
      </c>
      <c r="AJ284" s="42"/>
      <c r="AK284" s="42"/>
      <c r="AL284" s="42"/>
    </row>
    <row r="285" spans="1:38">
      <c r="A285" s="9" t="str">
        <f t="shared" si="1452"/>
        <v>Low Sulfur Fuel Oil</v>
      </c>
      <c r="B285" s="9" t="str">
        <f>VLOOKUP($A285,Types!$A$2:$C$13,2,FALSE)</f>
        <v>RFL</v>
      </c>
      <c r="C285" s="9">
        <v>5</v>
      </c>
      <c r="D285" s="9">
        <v>5</v>
      </c>
      <c r="E285" s="9" t="str">
        <f t="shared" si="1327"/>
        <v>IMPRFLP55</v>
      </c>
      <c r="F285" s="9" t="str">
        <f>CONCATENATE("Imported ",VLOOKUP($A285,Types!$A$2:$C$13,3,FALSE),", PADD ",D285,", Step ",RIGHT(C285,1))</f>
        <v>Imported Low Sulfur Residual Fuel Oil, PADD 5, Step 5</v>
      </c>
      <c r="G285" s="9" t="str">
        <f>CONCATENATE(VLOOKUP($A285,Types!$A$2:$C$13,2,FALSE),"P",D285)</f>
        <v>RFLP5</v>
      </c>
      <c r="H285" s="66">
        <f>H281*$C$9</f>
        <v>46.560800000000008</v>
      </c>
      <c r="I285" s="66">
        <f t="shared" ref="I285:K285" si="1463">I281*$C$9</f>
        <v>46.946899999999999</v>
      </c>
      <c r="J285" s="66">
        <f t="shared" si="1463"/>
        <v>38.661999999999999</v>
      </c>
      <c r="K285" s="66">
        <f t="shared" si="1463"/>
        <v>40.079000000000001</v>
      </c>
      <c r="L285" s="67">
        <f>H285*Conv!$J$20/10^6/VLOOKUP($B285,Types!$B$2:$D$13,3,FALSE)/Conv!$I$5</f>
        <v>10.771219062374437</v>
      </c>
      <c r="M285" s="67">
        <f>I285*Conv!$J$20/10^6/VLOOKUP($B285,Types!$B$2:$D$13,3,FALSE)/Conv!$I$5</f>
        <v>10.860538139365872</v>
      </c>
      <c r="N285" s="67" t="e">
        <f>M285*#REF!</f>
        <v>#REF!</v>
      </c>
      <c r="O285" s="67" t="e">
        <f>N285*#REF!</f>
        <v>#REF!</v>
      </c>
      <c r="P285" s="67" t="e">
        <f>O285*#REF!</f>
        <v>#REF!</v>
      </c>
      <c r="Q285" s="67" t="e">
        <f>P285*#REF!</f>
        <v>#REF!</v>
      </c>
      <c r="R285" s="67" t="e">
        <f>Q285*#REF!</f>
        <v>#REF!</v>
      </c>
      <c r="S285" s="67" t="e">
        <f>R285*#REF!</f>
        <v>#REF!</v>
      </c>
      <c r="T285" s="67" t="e">
        <f>S285*#REF!</f>
        <v>#REF!</v>
      </c>
      <c r="U285" s="67" t="e">
        <f>T285*#REF!</f>
        <v>#REF!</v>
      </c>
      <c r="V285" s="67" t="e">
        <f>U285*#REF!</f>
        <v>#REF!</v>
      </c>
      <c r="W285" s="42"/>
      <c r="X285" s="9">
        <f>X281*$E$9</f>
        <v>21</v>
      </c>
      <c r="Y285" s="9">
        <f t="shared" ref="Y285:AA285" si="1464">Y281*$E$9</f>
        <v>17.32</v>
      </c>
      <c r="Z285" s="9">
        <f t="shared" si="1464"/>
        <v>19.12</v>
      </c>
      <c r="AA285" s="9">
        <f t="shared" si="1464"/>
        <v>21.12</v>
      </c>
      <c r="AB285" s="42">
        <f>X285*VLOOKUP($B285,Types!$B$2:$D$13,3,FALSE)*Conv!$I$5*1000*365</f>
        <v>50.842995656879985</v>
      </c>
      <c r="AC285" s="42">
        <f>Y285*VLOOKUP($B285,Types!$B$2:$D$13,3,FALSE)*Conv!$I$5*1000*365</f>
        <v>41.933365941769594</v>
      </c>
      <c r="AD285" s="42">
        <f>Z285*VLOOKUP($B285,Types!$B$2:$D$13,3,FALSE)*Conv!$I$5*1000*365</f>
        <v>46.291336998073596</v>
      </c>
      <c r="AE285" s="42">
        <f>AA285*VLOOKUP($B285,Types!$B$2:$D$13,3,FALSE)*Conv!$I$5*1000*365</f>
        <v>51.133527060633597</v>
      </c>
      <c r="AF285" s="42">
        <f>AB285-AB284</f>
        <v>20.337198262751986</v>
      </c>
      <c r="AG285" s="42">
        <f t="shared" ref="AG285" si="1465">AC285-AC284</f>
        <v>16.773346376707842</v>
      </c>
      <c r="AH285" s="42">
        <f t="shared" ref="AH285" si="1466">AD285-AD284</f>
        <v>18.516534799229433</v>
      </c>
      <c r="AI285" s="42">
        <f t="shared" ref="AI285" si="1467">AE285-AE284</f>
        <v>20.453410824253442</v>
      </c>
      <c r="AJ285" s="42"/>
      <c r="AK285" s="42"/>
      <c r="AL285" s="42"/>
    </row>
    <row r="286" spans="1:38">
      <c r="A286" s="9" t="str">
        <f>'Agg prdcrv'!$A$11</f>
        <v>High Sulfur Fuel Oil</v>
      </c>
      <c r="B286" s="9" t="str">
        <f>VLOOKUP($A286,Types!$A$2:$C$13,2,FALSE)</f>
        <v>RFH</v>
      </c>
      <c r="C286" s="9">
        <v>3</v>
      </c>
      <c r="D286" s="9">
        <v>5</v>
      </c>
      <c r="E286" s="9" t="str">
        <f t="shared" si="1327"/>
        <v>IMPRFHP53</v>
      </c>
      <c r="F286" s="9" t="str">
        <f>CONCATENATE("Imported ",VLOOKUP($A286,Types!$A$2:$C$13,3,FALSE),", PADD ",D286,", Step ",RIGHT(C286,1))</f>
        <v>Imported High Sulfur Residual Fuel Oil, PADD 5, Step 3</v>
      </c>
      <c r="G286" s="9" t="str">
        <f>CONCATENATE(VLOOKUP($A286,Types!$A$2:$C$13,2,FALSE),"P",D286)</f>
        <v>RFHP5</v>
      </c>
      <c r="H286" s="66">
        <f>SUMIFS('Agg prdcrv'!$P$6:$P$100,'Agg prdcrv'!$A$6:$A$100,'Imp Refined'!$A286,'Agg prdcrv'!$B$6:$B$100,H$11)*K4</f>
        <v>36.08</v>
      </c>
      <c r="I286" s="66">
        <f>SUMIFS('Agg prdcrv'!$P$6:$P$100,'Agg prdcrv'!$A$6:$A$100,'Imp Refined'!$A286,'Agg prdcrv'!$B$6:$B$100,I$11)*K4</f>
        <v>36.630000000000003</v>
      </c>
      <c r="J286" s="66">
        <f t="array" ref="J286">SUMIFS('Agg prdcrv'!$P$6:$P$100,'Agg prdcrv'!$A$6:$A$100,'Imp Refined'!$A286,'Agg prdcrv'!$B$6:$B$100,J$11)</f>
        <v>29.74</v>
      </c>
      <c r="K286" s="66">
        <f t="array" ref="K286">SUMIFS('Agg prdcrv'!$P$6:$P$100,'Agg prdcrv'!$A$6:$A$100,'Imp Refined'!$A286,'Agg prdcrv'!$B$6:$B$100,K$11)</f>
        <v>30.96</v>
      </c>
      <c r="L286" s="67">
        <f>H286*Conv!$J$20/10^6/VLOOKUP($B286,Types!$B$2:$D$13,3,FALSE)/Conv!$I$5</f>
        <v>8.3466259980599489</v>
      </c>
      <c r="M286" s="67">
        <f>I286*Conv!$J$20/10^6/VLOOKUP($B286,Types!$B$2:$D$13,3,FALSE)/Conv!$I$5</f>
        <v>8.4738611504693981</v>
      </c>
      <c r="N286" s="67" t="e">
        <f>M286*#REF!</f>
        <v>#REF!</v>
      </c>
      <c r="O286" s="67" t="e">
        <f>N286*#REF!</f>
        <v>#REF!</v>
      </c>
      <c r="P286" s="67" t="e">
        <f>O286*#REF!</f>
        <v>#REF!</v>
      </c>
      <c r="Q286" s="67" t="e">
        <f>P286*#REF!</f>
        <v>#REF!</v>
      </c>
      <c r="R286" s="67" t="e">
        <f>Q286*#REF!</f>
        <v>#REF!</v>
      </c>
      <c r="S286" s="67" t="e">
        <f>R286*#REF!</f>
        <v>#REF!</v>
      </c>
      <c r="T286" s="67" t="e">
        <f>S286*#REF!</f>
        <v>#REF!</v>
      </c>
      <c r="U286" s="67" t="e">
        <f>T286*#REF!</f>
        <v>#REF!</v>
      </c>
      <c r="V286" s="67" t="e">
        <f>U286*#REF!</f>
        <v>#REF!</v>
      </c>
      <c r="W286" s="42"/>
      <c r="X286" s="9">
        <f t="array" ref="X286">SUMIFS('Agg prdcrv'!$H$6:$H$100,'Agg prdcrv'!$A$6:$A$100,'Imp Refined'!$A286,'Agg prdcrv'!$B$6:$B$100,X$11)</f>
        <v>31.98</v>
      </c>
      <c r="Y286" s="9">
        <f t="array" ref="Y286">SUMIFS('Agg prdcrv'!$H$6:$H$100,'Agg prdcrv'!$A$6:$A$100,'Imp Refined'!$A286,'Agg prdcrv'!$B$6:$B$100,Y$11)</f>
        <v>28.14</v>
      </c>
      <c r="Z286" s="9">
        <f t="array" ref="Z286">SUMIFS('Agg prdcrv'!$H$6:$H$100,'Agg prdcrv'!$A$6:$A$100,'Imp Refined'!$A286,'Agg prdcrv'!$B$6:$B$100,Z$11)</f>
        <v>26.76</v>
      </c>
      <c r="AA286" s="9">
        <f t="array" ref="AA286">SUMIFS('Agg prdcrv'!$H$6:$H$100,'Agg prdcrv'!$A$6:$A$100,'Imp Refined'!$A286,'Agg prdcrv'!$B$6:$B$100,AA$11)</f>
        <v>25.45</v>
      </c>
      <c r="AB286" s="42">
        <f>X286*VLOOKUP($B286,Types!$B$2:$D$13,3,FALSE)*Conv!$I$5*1000*365</f>
        <v>77.426619100334392</v>
      </c>
      <c r="AC286" s="42">
        <f>Y286*VLOOKUP($B286,Types!$B$2:$D$13,3,FALSE)*Conv!$I$5*1000*365</f>
        <v>68.129614180219193</v>
      </c>
      <c r="AD286" s="42">
        <f>Z286*VLOOKUP($B286,Types!$B$2:$D$13,3,FALSE)*Conv!$I$5*1000*365</f>
        <v>64.788503037052806</v>
      </c>
      <c r="AE286" s="42">
        <f>AA286*VLOOKUP($B286,Types!$B$2:$D$13,3,FALSE)*Conv!$I$5*1000*365</f>
        <v>61.616868546075985</v>
      </c>
      <c r="AF286" s="42">
        <f>AB286-AB288</f>
        <v>7.7426619100334335</v>
      </c>
      <c r="AG286" s="42">
        <f t="shared" ref="AG286" si="1468">AC286-AC288</f>
        <v>6.8129614180219207</v>
      </c>
      <c r="AH286" s="42">
        <f t="shared" ref="AH286" si="1469">AD286-AD288</f>
        <v>6.4788503037052863</v>
      </c>
      <c r="AI286" s="42">
        <f t="shared" ref="AI286" si="1470">AE286-AE288</f>
        <v>6.1616868546075878</v>
      </c>
      <c r="AJ286" s="42"/>
      <c r="AK286" s="42"/>
      <c r="AL286" s="42"/>
    </row>
    <row r="287" spans="1:38">
      <c r="A287" s="9" t="str">
        <f>A286</f>
        <v>High Sulfur Fuel Oil</v>
      </c>
      <c r="B287" s="9" t="str">
        <f>VLOOKUP($A287,Types!$A$2:$C$13,2,FALSE)</f>
        <v>RFH</v>
      </c>
      <c r="C287" s="9">
        <v>1</v>
      </c>
      <c r="D287" s="9">
        <v>5</v>
      </c>
      <c r="E287" s="9" t="str">
        <f t="shared" si="1327"/>
        <v>IMPRFHP51</v>
      </c>
      <c r="F287" s="9" t="str">
        <f>CONCATENATE("Imported ",VLOOKUP($A287,Types!$A$2:$C$13,3,FALSE),", PADD ",D287,", Step ",RIGHT(C287,1))</f>
        <v>Imported High Sulfur Residual Fuel Oil, PADD 5, Step 1</v>
      </c>
      <c r="G287" s="9" t="str">
        <f>CONCATENATE(VLOOKUP($A287,Types!$A$2:$C$13,2,FALSE),"P",D287)</f>
        <v>RFHP5</v>
      </c>
      <c r="H287" s="66">
        <f>H286*$C$5</f>
        <v>34.275999999999996</v>
      </c>
      <c r="I287" s="66">
        <f t="shared" ref="I287" si="1471">I286*$C$5</f>
        <v>34.798500000000004</v>
      </c>
      <c r="J287" s="66">
        <f t="shared" ref="J287" si="1472">J286*$C$5</f>
        <v>28.252999999999997</v>
      </c>
      <c r="K287" s="66">
        <f t="shared" ref="K287" si="1473">K286*$C$5</f>
        <v>29.411999999999999</v>
      </c>
      <c r="L287" s="67">
        <f>H287*Conv!$J$20/10^6/VLOOKUP($B287,Types!$B$2:$D$13,3,FALSE)/Conv!$I$5</f>
        <v>7.9292946981569497</v>
      </c>
      <c r="M287" s="67">
        <f>I287*Conv!$J$20/10^6/VLOOKUP($B287,Types!$B$2:$D$13,3,FALSE)/Conv!$I$5</f>
        <v>8.0501680929459294</v>
      </c>
      <c r="N287" s="67" t="e">
        <f>M287*#REF!</f>
        <v>#REF!</v>
      </c>
      <c r="O287" s="67" t="e">
        <f>N287*#REF!</f>
        <v>#REF!</v>
      </c>
      <c r="P287" s="67" t="e">
        <f>O287*#REF!</f>
        <v>#REF!</v>
      </c>
      <c r="Q287" s="67" t="e">
        <f>P287*#REF!</f>
        <v>#REF!</v>
      </c>
      <c r="R287" s="67" t="e">
        <f>Q287*#REF!</f>
        <v>#REF!</v>
      </c>
      <c r="S287" s="67" t="e">
        <f>R287*#REF!</f>
        <v>#REF!</v>
      </c>
      <c r="T287" s="67" t="e">
        <f>S287*#REF!</f>
        <v>#REF!</v>
      </c>
      <c r="U287" s="67" t="e">
        <f>T287*#REF!</f>
        <v>#REF!</v>
      </c>
      <c r="V287" s="67" t="e">
        <f>U287*#REF!</f>
        <v>#REF!</v>
      </c>
      <c r="W287" s="42"/>
      <c r="X287" s="9">
        <f>X286*$E$5</f>
        <v>25.584000000000003</v>
      </c>
      <c r="Y287" s="9">
        <f t="shared" ref="Y287" si="1474">Y286*$E$5</f>
        <v>22.512</v>
      </c>
      <c r="Z287" s="9">
        <f t="shared" ref="Z287" si="1475">Z286*$E$5</f>
        <v>21.408000000000001</v>
      </c>
      <c r="AA287" s="9">
        <f t="shared" ref="AA287" si="1476">AA286*$E$5</f>
        <v>20.36</v>
      </c>
      <c r="AB287" s="42">
        <f>X287*VLOOKUP($B287,Types!$B$2:$D$13,3,FALSE)*Conv!$I$5*1000*365</f>
        <v>61.941295280267525</v>
      </c>
      <c r="AC287" s="42">
        <f>Y287*VLOOKUP($B287,Types!$B$2:$D$13,3,FALSE)*Conv!$I$5*1000*365</f>
        <v>54.503691344175365</v>
      </c>
      <c r="AD287" s="42">
        <f>Z287*VLOOKUP($B287,Types!$B$2:$D$13,3,FALSE)*Conv!$I$5*1000*365</f>
        <v>51.830802429642226</v>
      </c>
      <c r="AE287" s="42">
        <f>AA287*VLOOKUP($B287,Types!$B$2:$D$13,3,FALSE)*Conv!$I$5*1000*365</f>
        <v>49.293494836860802</v>
      </c>
      <c r="AF287" s="42">
        <f>AB287</f>
        <v>61.941295280267525</v>
      </c>
      <c r="AG287" s="42">
        <f t="shared" ref="AG287" si="1477">AC287</f>
        <v>54.503691344175365</v>
      </c>
      <c r="AH287" s="42">
        <f t="shared" ref="AH287" si="1478">AD287</f>
        <v>51.830802429642226</v>
      </c>
      <c r="AI287" s="42">
        <f t="shared" ref="AI287" si="1479">AE287</f>
        <v>49.293494836860802</v>
      </c>
      <c r="AJ287" s="42"/>
      <c r="AK287" s="42"/>
      <c r="AL287" s="42"/>
    </row>
    <row r="288" spans="1:38">
      <c r="A288" s="9" t="str">
        <f t="shared" ref="A288:A290" si="1480">A287</f>
        <v>High Sulfur Fuel Oil</v>
      </c>
      <c r="B288" s="9" t="str">
        <f>VLOOKUP($A288,Types!$A$2:$C$13,2,FALSE)</f>
        <v>RFH</v>
      </c>
      <c r="C288" s="9">
        <v>2</v>
      </c>
      <c r="D288" s="9">
        <v>5</v>
      </c>
      <c r="E288" s="9" t="str">
        <f t="shared" si="1327"/>
        <v>IMPRFHP52</v>
      </c>
      <c r="F288" s="9" t="str">
        <f>CONCATENATE("Imported ",VLOOKUP($A288,Types!$A$2:$C$13,3,FALSE),", PADD ",D288,", Step ",RIGHT(C288,1))</f>
        <v>Imported High Sulfur Residual Fuel Oil, PADD 5, Step 2</v>
      </c>
      <c r="G288" s="9" t="str">
        <f>CONCATENATE(VLOOKUP($A288,Types!$A$2:$C$13,2,FALSE),"P",D288)</f>
        <v>RFHP5</v>
      </c>
      <c r="H288" s="66">
        <f>H286*$C$6</f>
        <v>35.358399999999996</v>
      </c>
      <c r="I288" s="66">
        <f t="shared" ref="I288:K288" si="1481">I286*$C$6</f>
        <v>35.897400000000005</v>
      </c>
      <c r="J288" s="66">
        <f t="shared" si="1481"/>
        <v>29.145199999999999</v>
      </c>
      <c r="K288" s="66">
        <f t="shared" si="1481"/>
        <v>30.340800000000002</v>
      </c>
      <c r="L288" s="67">
        <f>H288*Conv!$J$20/10^6/VLOOKUP($B288,Types!$B$2:$D$13,3,FALSE)/Conv!$I$5</f>
        <v>8.1796934780987485</v>
      </c>
      <c r="M288" s="67">
        <f>I288*Conv!$J$20/10^6/VLOOKUP($B288,Types!$B$2:$D$13,3,FALSE)/Conv!$I$5</f>
        <v>8.3043839274600106</v>
      </c>
      <c r="N288" s="67" t="e">
        <f>M288*#REF!</f>
        <v>#REF!</v>
      </c>
      <c r="O288" s="67" t="e">
        <f>N288*#REF!</f>
        <v>#REF!</v>
      </c>
      <c r="P288" s="67" t="e">
        <f>O288*#REF!</f>
        <v>#REF!</v>
      </c>
      <c r="Q288" s="67" t="e">
        <f>P288*#REF!</f>
        <v>#REF!</v>
      </c>
      <c r="R288" s="67" t="e">
        <f>Q288*#REF!</f>
        <v>#REF!</v>
      </c>
      <c r="S288" s="67" t="e">
        <f>R288*#REF!</f>
        <v>#REF!</v>
      </c>
      <c r="T288" s="67" t="e">
        <f>S288*#REF!</f>
        <v>#REF!</v>
      </c>
      <c r="U288" s="67" t="e">
        <f>T288*#REF!</f>
        <v>#REF!</v>
      </c>
      <c r="V288" s="67" t="e">
        <f>U288*#REF!</f>
        <v>#REF!</v>
      </c>
      <c r="W288" s="42"/>
      <c r="X288" s="9">
        <f>X286*$E$6</f>
        <v>28.782</v>
      </c>
      <c r="Y288" s="9">
        <f t="shared" ref="Y288:AA288" si="1482">Y286*$E$6</f>
        <v>25.326000000000001</v>
      </c>
      <c r="Z288" s="9">
        <f t="shared" si="1482"/>
        <v>24.084000000000003</v>
      </c>
      <c r="AA288" s="9">
        <f t="shared" si="1482"/>
        <v>22.905000000000001</v>
      </c>
      <c r="AB288" s="42">
        <f>X288*VLOOKUP($B288,Types!$B$2:$D$13,3,FALSE)*Conv!$I$5*1000*365</f>
        <v>69.683957190300958</v>
      </c>
      <c r="AC288" s="42">
        <f>Y288*VLOOKUP($B288,Types!$B$2:$D$13,3,FALSE)*Conv!$I$5*1000*365</f>
        <v>61.316652762197272</v>
      </c>
      <c r="AD288" s="42">
        <f>Z288*VLOOKUP($B288,Types!$B$2:$D$13,3,FALSE)*Conv!$I$5*1000*365</f>
        <v>58.309652733347519</v>
      </c>
      <c r="AE288" s="42">
        <f>AA288*VLOOKUP($B288,Types!$B$2:$D$13,3,FALSE)*Conv!$I$5*1000*365</f>
        <v>55.455181691468397</v>
      </c>
      <c r="AF288" s="42">
        <f>AB288-AF287</f>
        <v>7.7426619100334335</v>
      </c>
      <c r="AG288" s="42">
        <f t="shared" ref="AG288" si="1483">AC288-AG287</f>
        <v>6.8129614180219065</v>
      </c>
      <c r="AH288" s="42">
        <f t="shared" ref="AH288" si="1484">AD288-AH287</f>
        <v>6.4788503037052934</v>
      </c>
      <c r="AI288" s="42">
        <f t="shared" ref="AI288" si="1485">AE288-AI287</f>
        <v>6.1616868546075949</v>
      </c>
      <c r="AJ288" s="42"/>
      <c r="AK288" s="42"/>
      <c r="AL288" s="42"/>
    </row>
    <row r="289" spans="1:38">
      <c r="A289" s="9" t="str">
        <f t="shared" si="1480"/>
        <v>High Sulfur Fuel Oil</v>
      </c>
      <c r="B289" s="9" t="str">
        <f>VLOOKUP($A289,Types!$A$2:$C$13,2,FALSE)</f>
        <v>RFH</v>
      </c>
      <c r="C289" s="9">
        <v>4</v>
      </c>
      <c r="D289" s="9">
        <v>5</v>
      </c>
      <c r="E289" s="9" t="str">
        <f t="shared" si="1327"/>
        <v>IMPRFHP54</v>
      </c>
      <c r="F289" s="9" t="str">
        <f>CONCATENATE("Imported ",VLOOKUP($A289,Types!$A$2:$C$13,3,FALSE),", PADD ",D289,", Step ",RIGHT(C289,1))</f>
        <v>Imported High Sulfur Residual Fuel Oil, PADD 5, Step 4</v>
      </c>
      <c r="G289" s="9" t="str">
        <f>CONCATENATE(VLOOKUP($A289,Types!$A$2:$C$13,2,FALSE),"P",D289)</f>
        <v>RFHP5</v>
      </c>
      <c r="H289" s="66">
        <f>H286*$C$8</f>
        <v>39.327199999999998</v>
      </c>
      <c r="I289" s="66">
        <f t="shared" ref="I289:K289" si="1486">I286*$C$8</f>
        <v>39.926700000000004</v>
      </c>
      <c r="J289" s="66">
        <f t="shared" si="1486"/>
        <v>32.416600000000003</v>
      </c>
      <c r="K289" s="66">
        <f t="shared" si="1486"/>
        <v>33.746400000000001</v>
      </c>
      <c r="L289" s="67">
        <f>H289*Conv!$J$20/10^6/VLOOKUP($B289,Types!$B$2:$D$13,3,FALSE)/Conv!$I$5</f>
        <v>9.0978223378853436</v>
      </c>
      <c r="M289" s="67">
        <f>I289*Conv!$J$20/10^6/VLOOKUP($B289,Types!$B$2:$D$13,3,FALSE)/Conv!$I$5</f>
        <v>9.2365086540116454</v>
      </c>
      <c r="N289" s="67" t="e">
        <f>M289*#REF!</f>
        <v>#REF!</v>
      </c>
      <c r="O289" s="67" t="e">
        <f>N289*#REF!</f>
        <v>#REF!</v>
      </c>
      <c r="P289" s="67" t="e">
        <f>O289*#REF!</f>
        <v>#REF!</v>
      </c>
      <c r="Q289" s="67" t="e">
        <f>P289*#REF!</f>
        <v>#REF!</v>
      </c>
      <c r="R289" s="67" t="e">
        <f>Q289*#REF!</f>
        <v>#REF!</v>
      </c>
      <c r="S289" s="67" t="e">
        <f>R289*#REF!</f>
        <v>#REF!</v>
      </c>
      <c r="T289" s="67" t="e">
        <f>S289*#REF!</f>
        <v>#REF!</v>
      </c>
      <c r="U289" s="67" t="e">
        <f>T289*#REF!</f>
        <v>#REF!</v>
      </c>
      <c r="V289" s="67" t="e">
        <f>U289*#REF!</f>
        <v>#REF!</v>
      </c>
      <c r="W289" s="42"/>
      <c r="X289" s="9">
        <f>X286*$E$8</f>
        <v>38.375999999999998</v>
      </c>
      <c r="Y289" s="9">
        <f t="shared" ref="Y289:AA289" si="1487">Y286*$E$8</f>
        <v>33.768000000000001</v>
      </c>
      <c r="Z289" s="9">
        <f t="shared" si="1487"/>
        <v>32.112000000000002</v>
      </c>
      <c r="AA289" s="9">
        <f t="shared" si="1487"/>
        <v>30.54</v>
      </c>
      <c r="AB289" s="42">
        <f>X289*VLOOKUP($B289,Types!$B$2:$D$13,3,FALSE)*Conv!$I$5*1000*365</f>
        <v>92.911942920401273</v>
      </c>
      <c r="AC289" s="42">
        <f>Y289*VLOOKUP($B289,Types!$B$2:$D$13,3,FALSE)*Conv!$I$5*1000*365</f>
        <v>81.755537016263034</v>
      </c>
      <c r="AD289" s="42">
        <f>Z289*VLOOKUP($B289,Types!$B$2:$D$13,3,FALSE)*Conv!$I$5*1000*365</f>
        <v>77.74620364446335</v>
      </c>
      <c r="AE289" s="42">
        <f>AA289*VLOOKUP($B289,Types!$B$2:$D$13,3,FALSE)*Conv!$I$5*1000*365</f>
        <v>73.940242255291196</v>
      </c>
      <c r="AF289" s="42">
        <f>AB289-AB286</f>
        <v>15.485323820066881</v>
      </c>
      <c r="AG289" s="42">
        <f t="shared" ref="AG289" si="1488">AC289-AC286</f>
        <v>13.625922836043841</v>
      </c>
      <c r="AH289" s="42">
        <f t="shared" ref="AH289" si="1489">AD289-AD286</f>
        <v>12.957700607410544</v>
      </c>
      <c r="AI289" s="42">
        <f t="shared" ref="AI289" si="1490">AE289-AE286</f>
        <v>12.323373709215211</v>
      </c>
      <c r="AJ289" s="42"/>
      <c r="AK289" s="42"/>
      <c r="AL289" s="42"/>
    </row>
    <row r="290" spans="1:38">
      <c r="A290" s="9" t="str">
        <f t="shared" si="1480"/>
        <v>High Sulfur Fuel Oil</v>
      </c>
      <c r="B290" s="9" t="str">
        <f>VLOOKUP($A290,Types!$A$2:$C$13,2,FALSE)</f>
        <v>RFH</v>
      </c>
      <c r="C290" s="9">
        <v>5</v>
      </c>
      <c r="D290" s="9">
        <v>5</v>
      </c>
      <c r="E290" s="9" t="str">
        <f t="shared" si="1327"/>
        <v>IMPRFHP55</v>
      </c>
      <c r="F290" s="9" t="str">
        <f>CONCATENATE("Imported ",VLOOKUP($A290,Types!$A$2:$C$13,3,FALSE),", PADD ",D290,", Step ",RIGHT(C290,1))</f>
        <v>Imported High Sulfur Residual Fuel Oil, PADD 5, Step 5</v>
      </c>
      <c r="G290" s="9" t="str">
        <f>CONCATENATE(VLOOKUP($A290,Types!$A$2:$C$13,2,FALSE),"P",D290)</f>
        <v>RFHP5</v>
      </c>
      <c r="H290" s="66">
        <f>H286*$C$9</f>
        <v>46.903999999999996</v>
      </c>
      <c r="I290" s="66">
        <f t="shared" ref="I290:K290" si="1491">I286*$C$9</f>
        <v>47.619000000000007</v>
      </c>
      <c r="J290" s="66">
        <f t="shared" si="1491"/>
        <v>38.661999999999999</v>
      </c>
      <c r="K290" s="66">
        <f t="shared" si="1491"/>
        <v>40.248000000000005</v>
      </c>
      <c r="L290" s="67">
        <f>H290*Conv!$J$20/10^6/VLOOKUP($B290,Types!$B$2:$D$13,3,FALSE)/Conv!$I$5</f>
        <v>10.850613797477934</v>
      </c>
      <c r="M290" s="67">
        <f>I290*Conv!$J$20/10^6/VLOOKUP($B290,Types!$B$2:$D$13,3,FALSE)/Conv!$I$5</f>
        <v>11.01601949561022</v>
      </c>
      <c r="N290" s="67" t="e">
        <f>M290*#REF!</f>
        <v>#REF!</v>
      </c>
      <c r="O290" s="67" t="e">
        <f>N290*#REF!</f>
        <v>#REF!</v>
      </c>
      <c r="P290" s="67" t="e">
        <f>O290*#REF!</f>
        <v>#REF!</v>
      </c>
      <c r="Q290" s="67" t="e">
        <f>P290*#REF!</f>
        <v>#REF!</v>
      </c>
      <c r="R290" s="67" t="e">
        <f>Q290*#REF!</f>
        <v>#REF!</v>
      </c>
      <c r="S290" s="67" t="e">
        <f>R290*#REF!</f>
        <v>#REF!</v>
      </c>
      <c r="T290" s="67" t="e">
        <f>S290*#REF!</f>
        <v>#REF!</v>
      </c>
      <c r="U290" s="67" t="e">
        <f>T290*#REF!</f>
        <v>#REF!</v>
      </c>
      <c r="V290" s="67" t="e">
        <f>U290*#REF!</f>
        <v>#REF!</v>
      </c>
      <c r="W290" s="42"/>
      <c r="X290" s="9">
        <f>X286*$E$9</f>
        <v>63.96</v>
      </c>
      <c r="Y290" s="9">
        <f t="shared" ref="Y290:AA290" si="1492">Y286*$E$9</f>
        <v>56.28</v>
      </c>
      <c r="Z290" s="9">
        <f t="shared" si="1492"/>
        <v>53.52</v>
      </c>
      <c r="AA290" s="9">
        <f t="shared" si="1492"/>
        <v>50.9</v>
      </c>
      <c r="AB290" s="42">
        <f>X290*VLOOKUP($B290,Types!$B$2:$D$13,3,FALSE)*Conv!$I$5*1000*365</f>
        <v>154.85323820066878</v>
      </c>
      <c r="AC290" s="42">
        <f>Y290*VLOOKUP($B290,Types!$B$2:$D$13,3,FALSE)*Conv!$I$5*1000*365</f>
        <v>136.25922836043839</v>
      </c>
      <c r="AD290" s="42">
        <f>Z290*VLOOKUP($B290,Types!$B$2:$D$13,3,FALSE)*Conv!$I$5*1000*365</f>
        <v>129.57700607410561</v>
      </c>
      <c r="AE290" s="42">
        <f>AA290*VLOOKUP($B290,Types!$B$2:$D$13,3,FALSE)*Conv!$I$5*1000*365</f>
        <v>123.23373709215197</v>
      </c>
      <c r="AF290" s="42">
        <f>AB290-AB289</f>
        <v>61.941295280267511</v>
      </c>
      <c r="AG290" s="42">
        <f t="shared" ref="AG290" si="1493">AC290-AC289</f>
        <v>54.503691344175351</v>
      </c>
      <c r="AH290" s="42">
        <f t="shared" ref="AH290" si="1494">AD290-AD289</f>
        <v>51.830802429642262</v>
      </c>
      <c r="AI290" s="42">
        <f t="shared" ref="AI290" si="1495">AE290-AE289</f>
        <v>49.293494836860773</v>
      </c>
      <c r="AJ290" s="42"/>
      <c r="AK290" s="42"/>
      <c r="AL290" s="42"/>
    </row>
    <row r="291" spans="1:38">
      <c r="A291" s="9" t="str">
        <f>'Agg prdcrv'!$A$12</f>
        <v>Jet Fuel</v>
      </c>
      <c r="B291" s="9" t="str">
        <f>VLOOKUP($A291,Types!$A$2:$C$13,2,FALSE)</f>
        <v>JTF</v>
      </c>
      <c r="C291" s="9">
        <v>3</v>
      </c>
      <c r="D291" s="9">
        <v>5</v>
      </c>
      <c r="E291" s="9" t="str">
        <f t="shared" si="1327"/>
        <v>IMPJTFP53</v>
      </c>
      <c r="F291" s="9" t="str">
        <f>CONCATENATE("Imported ",VLOOKUP($A291,Types!$A$2:$C$13,3,FALSE),", PADD ",D291,", Step ",RIGHT(C291,1))</f>
        <v>Imported Jet Fuel, PADD 5, Step 3</v>
      </c>
      <c r="G291" s="9" t="str">
        <f>CONCATENATE(VLOOKUP($A291,Types!$A$2:$C$13,2,FALSE),"P",D291)</f>
        <v>JTFP5</v>
      </c>
      <c r="H291" s="66">
        <f>SUMIFS('Agg prdcrv'!$P$6:$P$100,'Agg prdcrv'!$A$6:$A$100,'Imp Refined'!$A291,'Agg prdcrv'!$B$6:$B$100,H$11)*K4</f>
        <v>56.573000000000008</v>
      </c>
      <c r="I291" s="66">
        <f>SUMIFS('Agg prdcrv'!$P$6:$P$100,'Agg prdcrv'!$A$6:$A$100,'Imp Refined'!$A291,'Agg prdcrv'!$B$6:$B$100,I$11)*K4</f>
        <v>45.914000000000009</v>
      </c>
      <c r="J291" s="66">
        <f t="array" ref="J291">SUMIFS('Agg prdcrv'!$P$6:$P$100,'Agg prdcrv'!$A$6:$A$100,'Imp Refined'!$A291,'Agg prdcrv'!$B$6:$B$100,J$11)</f>
        <v>36.26</v>
      </c>
      <c r="K291" s="66">
        <f t="array" ref="K291">SUMIFS('Agg prdcrv'!$P$6:$P$100,'Agg prdcrv'!$A$6:$A$100,'Imp Refined'!$A291,'Agg prdcrv'!$B$6:$B$100,K$11)</f>
        <v>38.729999999999997</v>
      </c>
      <c r="L291" s="67">
        <f>H291*Conv!$J$20/10^6/VLOOKUP($B291,Types!$B$2:$D$13,3,FALSE)/Conv!$I$5</f>
        <v>14.511557794174321</v>
      </c>
      <c r="M291" s="67">
        <f>I291*Conv!$J$20/10^6/VLOOKUP($B291,Types!$B$2:$D$13,3,FALSE)/Conv!$I$5</f>
        <v>11.777414394883067</v>
      </c>
      <c r="N291" s="67" t="e">
        <f>M291*#REF!</f>
        <v>#REF!</v>
      </c>
      <c r="O291" s="67" t="e">
        <f>N291*#REF!</f>
        <v>#REF!</v>
      </c>
      <c r="P291" s="67" t="e">
        <f>O291*#REF!</f>
        <v>#REF!</v>
      </c>
      <c r="Q291" s="67" t="e">
        <f>P291*#REF!</f>
        <v>#REF!</v>
      </c>
      <c r="R291" s="67" t="e">
        <f>Q291*#REF!</f>
        <v>#REF!</v>
      </c>
      <c r="S291" s="67" t="e">
        <f>R291*#REF!</f>
        <v>#REF!</v>
      </c>
      <c r="T291" s="67" t="e">
        <f>S291*#REF!</f>
        <v>#REF!</v>
      </c>
      <c r="U291" s="67" t="e">
        <f>T291*#REF!</f>
        <v>#REF!</v>
      </c>
      <c r="V291" s="67" t="e">
        <f>U291*#REF!</f>
        <v>#REF!</v>
      </c>
      <c r="W291" s="42"/>
      <c r="X291" s="9">
        <f t="array" ref="X291">SUMIFS('Agg prdcrv'!$H$6:$H$100,'Agg prdcrv'!$A$6:$A$100,'Imp Refined'!$A291,'Agg prdcrv'!$B$6:$B$100,X$11)</f>
        <v>100.3</v>
      </c>
      <c r="Y291" s="9">
        <f t="array" ref="Y291">SUMIFS('Agg prdcrv'!$H$6:$H$100,'Agg prdcrv'!$A$6:$A$100,'Imp Refined'!$A291,'Agg prdcrv'!$B$6:$B$100,Y$11)</f>
        <v>55.38</v>
      </c>
      <c r="Z291" s="9">
        <f t="array" ref="Z291">SUMIFS('Agg prdcrv'!$H$6:$H$100,'Agg prdcrv'!$A$6:$A$100,'Imp Refined'!$A291,'Agg prdcrv'!$B$6:$B$100,Z$11)</f>
        <v>50.1</v>
      </c>
      <c r="AA291" s="9">
        <f t="array" ref="AA291">SUMIFS('Agg prdcrv'!$H$6:$H$100,'Agg prdcrv'!$A$6:$A$100,'Imp Refined'!$A291,'Agg prdcrv'!$B$6:$B$100,AA$11)</f>
        <v>55.32</v>
      </c>
      <c r="AB291" s="42">
        <f>X291*VLOOKUP($B291,Types!$B$2:$D$13,3,FALSE)*Conv!$I$5*1000*365</f>
        <v>219.00416182344</v>
      </c>
      <c r="AC291" s="42">
        <f>Y291*VLOOKUP($B291,Types!$B$2:$D$13,3,FALSE)*Conv!$I$5*1000*365</f>
        <v>120.92173959902398</v>
      </c>
      <c r="AD291" s="42">
        <f>Z291*VLOOKUP($B291,Types!$B$2:$D$13,3,FALSE)*Conv!$I$5*1000*365</f>
        <v>109.39290635448</v>
      </c>
      <c r="AE291" s="42">
        <f>AA291*VLOOKUP($B291,Types!$B$2:$D$13,3,FALSE)*Conv!$I$5*1000*365</f>
        <v>120.79073013033599</v>
      </c>
      <c r="AF291" s="42">
        <f>AB291-AB293</f>
        <v>21.900416182344031</v>
      </c>
      <c r="AG291" s="42">
        <f t="shared" ref="AG291" si="1496">AC291-AC293</f>
        <v>12.092173959902382</v>
      </c>
      <c r="AH291" s="42">
        <f t="shared" ref="AH291" si="1497">AD291-AD293</f>
        <v>10.939290635448017</v>
      </c>
      <c r="AI291" s="42">
        <f t="shared" ref="AI291" si="1498">AE291-AE293</f>
        <v>12.079073013033579</v>
      </c>
      <c r="AJ291" s="42"/>
      <c r="AK291" s="42"/>
      <c r="AL291" s="42"/>
    </row>
    <row r="292" spans="1:38">
      <c r="A292" s="9" t="str">
        <f>A291</f>
        <v>Jet Fuel</v>
      </c>
      <c r="B292" s="9" t="str">
        <f>VLOOKUP($A292,Types!$A$2:$C$13,2,FALSE)</f>
        <v>JTF</v>
      </c>
      <c r="C292" s="9">
        <v>1</v>
      </c>
      <c r="D292" s="9">
        <v>5</v>
      </c>
      <c r="E292" s="9" t="str">
        <f t="shared" si="1327"/>
        <v>IMPJTFP51</v>
      </c>
      <c r="F292" s="9" t="str">
        <f>CONCATENATE("Imported ",VLOOKUP($A292,Types!$A$2:$C$13,3,FALSE),", PADD ",D292,", Step ",RIGHT(C292,1))</f>
        <v>Imported Jet Fuel, PADD 5, Step 1</v>
      </c>
      <c r="G292" s="9" t="str">
        <f>CONCATENATE(VLOOKUP($A292,Types!$A$2:$C$13,2,FALSE),"P",D292)</f>
        <v>JTFP5</v>
      </c>
      <c r="H292" s="66">
        <f>H291*$C$5</f>
        <v>53.744350000000004</v>
      </c>
      <c r="I292" s="66">
        <f t="shared" ref="I292" si="1499">I291*$C$5</f>
        <v>43.618300000000005</v>
      </c>
      <c r="J292" s="66">
        <f t="shared" ref="J292" si="1500">J291*$C$5</f>
        <v>34.446999999999996</v>
      </c>
      <c r="K292" s="66">
        <f t="shared" ref="K292" si="1501">K291*$C$5</f>
        <v>36.793499999999995</v>
      </c>
      <c r="L292" s="67">
        <f>H292*Conv!$J$20/10^6/VLOOKUP($B292,Types!$B$2:$D$13,3,FALSE)/Conv!$I$5</f>
        <v>13.785979904465604</v>
      </c>
      <c r="M292" s="67">
        <f>I292*Conv!$J$20/10^6/VLOOKUP($B292,Types!$B$2:$D$13,3,FALSE)/Conv!$I$5</f>
        <v>11.188543675138913</v>
      </c>
      <c r="N292" s="67" t="e">
        <f>M292*#REF!</f>
        <v>#REF!</v>
      </c>
      <c r="O292" s="67" t="e">
        <f>N292*#REF!</f>
        <v>#REF!</v>
      </c>
      <c r="P292" s="67" t="e">
        <f>O292*#REF!</f>
        <v>#REF!</v>
      </c>
      <c r="Q292" s="67" t="e">
        <f>P292*#REF!</f>
        <v>#REF!</v>
      </c>
      <c r="R292" s="67" t="e">
        <f>Q292*#REF!</f>
        <v>#REF!</v>
      </c>
      <c r="S292" s="67" t="e">
        <f>R292*#REF!</f>
        <v>#REF!</v>
      </c>
      <c r="T292" s="67" t="e">
        <f>S292*#REF!</f>
        <v>#REF!</v>
      </c>
      <c r="U292" s="67" t="e">
        <f>T292*#REF!</f>
        <v>#REF!</v>
      </c>
      <c r="V292" s="67" t="e">
        <f>U292*#REF!</f>
        <v>#REF!</v>
      </c>
      <c r="W292" s="42"/>
      <c r="X292" s="9">
        <f>X291*$E$5</f>
        <v>80.240000000000009</v>
      </c>
      <c r="Y292" s="9">
        <f t="shared" ref="Y292" si="1502">Y291*$E$5</f>
        <v>44.304000000000002</v>
      </c>
      <c r="Z292" s="9">
        <f t="shared" ref="Z292" si="1503">Z291*$E$5</f>
        <v>40.080000000000005</v>
      </c>
      <c r="AA292" s="9">
        <f t="shared" ref="AA292" si="1504">AA291*$E$5</f>
        <v>44.256</v>
      </c>
      <c r="AB292" s="42">
        <f>X292*VLOOKUP($B292,Types!$B$2:$D$13,3,FALSE)*Conv!$I$5*1000*365</f>
        <v>175.20332945875202</v>
      </c>
      <c r="AC292" s="42">
        <f>Y292*VLOOKUP($B292,Types!$B$2:$D$13,3,FALSE)*Conv!$I$5*1000*365</f>
        <v>96.737391679219215</v>
      </c>
      <c r="AD292" s="42">
        <f>Z292*VLOOKUP($B292,Types!$B$2:$D$13,3,FALSE)*Conv!$I$5*1000*365</f>
        <v>87.514325083584012</v>
      </c>
      <c r="AE292" s="42">
        <f>AA292*VLOOKUP($B292,Types!$B$2:$D$13,3,FALSE)*Conv!$I$5*1000*365</f>
        <v>96.632584104268801</v>
      </c>
      <c r="AF292" s="42">
        <f>AB292</f>
        <v>175.20332945875202</v>
      </c>
      <c r="AG292" s="42">
        <f t="shared" ref="AG292" si="1505">AC292</f>
        <v>96.737391679219215</v>
      </c>
      <c r="AH292" s="42">
        <f t="shared" ref="AH292" si="1506">AD292</f>
        <v>87.514325083584012</v>
      </c>
      <c r="AI292" s="42">
        <f t="shared" ref="AI292" si="1507">AE292</f>
        <v>96.632584104268801</v>
      </c>
      <c r="AJ292" s="42"/>
      <c r="AK292" s="42"/>
      <c r="AL292" s="42"/>
    </row>
    <row r="293" spans="1:38">
      <c r="A293" s="9" t="str">
        <f t="shared" ref="A293:A295" si="1508">A292</f>
        <v>Jet Fuel</v>
      </c>
      <c r="B293" s="9" t="str">
        <f>VLOOKUP($A293,Types!$A$2:$C$13,2,FALSE)</f>
        <v>JTF</v>
      </c>
      <c r="C293" s="9">
        <v>2</v>
      </c>
      <c r="D293" s="9">
        <v>5</v>
      </c>
      <c r="E293" s="9" t="str">
        <f t="shared" si="1327"/>
        <v>IMPJTFP52</v>
      </c>
      <c r="F293" s="9" t="str">
        <f>CONCATENATE("Imported ",VLOOKUP($A293,Types!$A$2:$C$13,3,FALSE),", PADD ",D293,", Step ",RIGHT(C293,1))</f>
        <v>Imported Jet Fuel, PADD 5, Step 2</v>
      </c>
      <c r="G293" s="9" t="str">
        <f>CONCATENATE(VLOOKUP($A293,Types!$A$2:$C$13,2,FALSE),"P",D293)</f>
        <v>JTFP5</v>
      </c>
      <c r="H293" s="66">
        <f>H291*$C$6</f>
        <v>55.441540000000003</v>
      </c>
      <c r="I293" s="66">
        <f t="shared" ref="I293:K293" si="1509">I291*$C$6</f>
        <v>44.995720000000006</v>
      </c>
      <c r="J293" s="66">
        <f t="shared" si="1509"/>
        <v>35.534799999999997</v>
      </c>
      <c r="K293" s="66">
        <f t="shared" si="1509"/>
        <v>37.955399999999997</v>
      </c>
      <c r="L293" s="67">
        <f>H293*Conv!$J$20/10^6/VLOOKUP($B293,Types!$B$2:$D$13,3,FALSE)/Conv!$I$5</f>
        <v>14.221326638290833</v>
      </c>
      <c r="M293" s="67">
        <f>I293*Conv!$J$20/10^6/VLOOKUP($B293,Types!$B$2:$D$13,3,FALSE)/Conv!$I$5</f>
        <v>11.541866106985402</v>
      </c>
      <c r="N293" s="67" t="e">
        <f>M293*#REF!</f>
        <v>#REF!</v>
      </c>
      <c r="O293" s="67" t="e">
        <f>N293*#REF!</f>
        <v>#REF!</v>
      </c>
      <c r="P293" s="67" t="e">
        <f>O293*#REF!</f>
        <v>#REF!</v>
      </c>
      <c r="Q293" s="67" t="e">
        <f>P293*#REF!</f>
        <v>#REF!</v>
      </c>
      <c r="R293" s="67" t="e">
        <f>Q293*#REF!</f>
        <v>#REF!</v>
      </c>
      <c r="S293" s="67" t="e">
        <f>R293*#REF!</f>
        <v>#REF!</v>
      </c>
      <c r="T293" s="67" t="e">
        <f>S293*#REF!</f>
        <v>#REF!</v>
      </c>
      <c r="U293" s="67" t="e">
        <f>T293*#REF!</f>
        <v>#REF!</v>
      </c>
      <c r="V293" s="67" t="e">
        <f>U293*#REF!</f>
        <v>#REF!</v>
      </c>
      <c r="W293" s="42"/>
      <c r="X293" s="9">
        <f>X291*$E$6</f>
        <v>90.27</v>
      </c>
      <c r="Y293" s="9">
        <f t="shared" ref="Y293:AA293" si="1510">Y291*$E$6</f>
        <v>49.842000000000006</v>
      </c>
      <c r="Z293" s="9">
        <f t="shared" si="1510"/>
        <v>45.09</v>
      </c>
      <c r="AA293" s="9">
        <f t="shared" si="1510"/>
        <v>49.788000000000004</v>
      </c>
      <c r="AB293" s="42">
        <f>X293*VLOOKUP($B293,Types!$B$2:$D$13,3,FALSE)*Conv!$I$5*1000*365</f>
        <v>197.10374564109597</v>
      </c>
      <c r="AC293" s="42">
        <f>Y293*VLOOKUP($B293,Types!$B$2:$D$13,3,FALSE)*Conv!$I$5*1000*365</f>
        <v>108.8295656391216</v>
      </c>
      <c r="AD293" s="42">
        <f>Z293*VLOOKUP($B293,Types!$B$2:$D$13,3,FALSE)*Conv!$I$5*1000*365</f>
        <v>98.453615719031987</v>
      </c>
      <c r="AE293" s="42">
        <f>AA293*VLOOKUP($B293,Types!$B$2:$D$13,3,FALSE)*Conv!$I$5*1000*365</f>
        <v>108.71165711730241</v>
      </c>
      <c r="AF293" s="42">
        <f>AB293-AF292</f>
        <v>21.900416182343946</v>
      </c>
      <c r="AG293" s="42">
        <f t="shared" ref="AG293" si="1511">AC293-AG292</f>
        <v>12.092173959902382</v>
      </c>
      <c r="AH293" s="42">
        <f t="shared" ref="AH293" si="1512">AD293-AH292</f>
        <v>10.939290635447975</v>
      </c>
      <c r="AI293" s="42">
        <f t="shared" ref="AI293" si="1513">AE293-AI292</f>
        <v>12.079073013033607</v>
      </c>
      <c r="AJ293" s="42"/>
      <c r="AK293" s="42"/>
      <c r="AL293" s="42"/>
    </row>
    <row r="294" spans="1:38">
      <c r="A294" s="9" t="str">
        <f t="shared" si="1508"/>
        <v>Jet Fuel</v>
      </c>
      <c r="B294" s="9" t="str">
        <f>VLOOKUP($A294,Types!$A$2:$C$13,2,FALSE)</f>
        <v>JTF</v>
      </c>
      <c r="C294" s="9">
        <v>4</v>
      </c>
      <c r="D294" s="9">
        <v>5</v>
      </c>
      <c r="E294" s="9" t="str">
        <f t="shared" si="1327"/>
        <v>IMPJTFP54</v>
      </c>
      <c r="F294" s="9" t="str">
        <f>CONCATENATE("Imported ",VLOOKUP($A294,Types!$A$2:$C$13,3,FALSE),", PADD ",D294,", Step ",RIGHT(C294,1))</f>
        <v>Imported Jet Fuel, PADD 5, Step 4</v>
      </c>
      <c r="G294" s="9" t="str">
        <f>CONCATENATE(VLOOKUP($A294,Types!$A$2:$C$13,2,FALSE),"P",D294)</f>
        <v>JTFP5</v>
      </c>
      <c r="H294" s="66">
        <f>H291*$C$8</f>
        <v>61.664570000000012</v>
      </c>
      <c r="I294" s="66">
        <f t="shared" ref="I294:K294" si="1514">I291*$C$8</f>
        <v>50.046260000000011</v>
      </c>
      <c r="J294" s="66">
        <f t="shared" si="1514"/>
        <v>39.523400000000002</v>
      </c>
      <c r="K294" s="66">
        <f t="shared" si="1514"/>
        <v>42.215699999999998</v>
      </c>
      <c r="L294" s="67">
        <f>H294*Conv!$J$20/10^6/VLOOKUP($B294,Types!$B$2:$D$13,3,FALSE)/Conv!$I$5</f>
        <v>15.81759799565001</v>
      </c>
      <c r="M294" s="67">
        <f>I294*Conv!$J$20/10^6/VLOOKUP($B294,Types!$B$2:$D$13,3,FALSE)/Conv!$I$5</f>
        <v>12.837381690422541</v>
      </c>
      <c r="N294" s="67" t="e">
        <f>M294*#REF!</f>
        <v>#REF!</v>
      </c>
      <c r="O294" s="67" t="e">
        <f>N294*#REF!</f>
        <v>#REF!</v>
      </c>
      <c r="P294" s="67" t="e">
        <f>O294*#REF!</f>
        <v>#REF!</v>
      </c>
      <c r="Q294" s="67" t="e">
        <f>P294*#REF!</f>
        <v>#REF!</v>
      </c>
      <c r="R294" s="67" t="e">
        <f>Q294*#REF!</f>
        <v>#REF!</v>
      </c>
      <c r="S294" s="67" t="e">
        <f>R294*#REF!</f>
        <v>#REF!</v>
      </c>
      <c r="T294" s="67" t="e">
        <f>S294*#REF!</f>
        <v>#REF!</v>
      </c>
      <c r="U294" s="67" t="e">
        <f>T294*#REF!</f>
        <v>#REF!</v>
      </c>
      <c r="V294" s="67" t="e">
        <f>U294*#REF!</f>
        <v>#REF!</v>
      </c>
      <c r="W294" s="42"/>
      <c r="X294" s="9">
        <f>X291*$E$8</f>
        <v>120.35999999999999</v>
      </c>
      <c r="Y294" s="9">
        <f t="shared" ref="Y294:AA294" si="1515">Y291*$E$8</f>
        <v>66.456000000000003</v>
      </c>
      <c r="Z294" s="9">
        <f t="shared" si="1515"/>
        <v>60.12</v>
      </c>
      <c r="AA294" s="9">
        <f t="shared" si="1515"/>
        <v>66.384</v>
      </c>
      <c r="AB294" s="42">
        <f>X294*VLOOKUP($B294,Types!$B$2:$D$13,3,FALSE)*Conv!$I$5*1000*365</f>
        <v>262.80499418812792</v>
      </c>
      <c r="AC294" s="42">
        <f>Y294*VLOOKUP($B294,Types!$B$2:$D$13,3,FALSE)*Conv!$I$5*1000*365</f>
        <v>145.10608751882879</v>
      </c>
      <c r="AD294" s="42">
        <f>Z294*VLOOKUP($B294,Types!$B$2:$D$13,3,FALSE)*Conv!$I$5*1000*365</f>
        <v>131.27148762537598</v>
      </c>
      <c r="AE294" s="42">
        <f>AA294*VLOOKUP($B294,Types!$B$2:$D$13,3,FALSE)*Conv!$I$5*1000*365</f>
        <v>144.9488761564032</v>
      </c>
      <c r="AF294" s="42">
        <f>AB294-AB291</f>
        <v>43.800832364687921</v>
      </c>
      <c r="AG294" s="42">
        <f t="shared" ref="AG294" si="1516">AC294-AC291</f>
        <v>24.184347919804807</v>
      </c>
      <c r="AH294" s="42">
        <f t="shared" ref="AH294" si="1517">AD294-AD291</f>
        <v>21.878581270895978</v>
      </c>
      <c r="AI294" s="42">
        <f t="shared" ref="AI294" si="1518">AE294-AE291</f>
        <v>24.158146026067215</v>
      </c>
      <c r="AJ294" s="42"/>
      <c r="AK294" s="42"/>
      <c r="AL294" s="42"/>
    </row>
    <row r="295" spans="1:38">
      <c r="A295" s="9" t="str">
        <f t="shared" si="1508"/>
        <v>Jet Fuel</v>
      </c>
      <c r="B295" s="9" t="str">
        <f>VLOOKUP($A295,Types!$A$2:$C$13,2,FALSE)</f>
        <v>JTF</v>
      </c>
      <c r="C295" s="9">
        <v>5</v>
      </c>
      <c r="D295" s="9">
        <v>5</v>
      </c>
      <c r="E295" s="9" t="str">
        <f t="shared" si="1327"/>
        <v>IMPJTFP55</v>
      </c>
      <c r="F295" s="9" t="str">
        <f>CONCATENATE("Imported ",VLOOKUP($A295,Types!$A$2:$C$13,3,FALSE),", PADD ",D295,", Step ",RIGHT(C295,1))</f>
        <v>Imported Jet Fuel, PADD 5, Step 5</v>
      </c>
      <c r="G295" s="9" t="str">
        <f>CONCATENATE(VLOOKUP($A295,Types!$A$2:$C$13,2,FALSE),"P",D295)</f>
        <v>JTFP5</v>
      </c>
      <c r="H295" s="66">
        <f>H291*$C$9</f>
        <v>73.544900000000013</v>
      </c>
      <c r="I295" s="66">
        <f t="shared" ref="I295:K295" si="1519">I291*$C$9</f>
        <v>59.688200000000016</v>
      </c>
      <c r="J295" s="66">
        <f t="shared" si="1519"/>
        <v>47.137999999999998</v>
      </c>
      <c r="K295" s="66">
        <f t="shared" si="1519"/>
        <v>50.348999999999997</v>
      </c>
      <c r="L295" s="67">
        <f>H295*Conv!$J$20/10^6/VLOOKUP($B295,Types!$B$2:$D$13,3,FALSE)/Conv!$I$5</f>
        <v>18.865025132426613</v>
      </c>
      <c r="M295" s="67">
        <f>I295*Conv!$J$20/10^6/VLOOKUP($B295,Types!$B$2:$D$13,3,FALSE)/Conv!$I$5</f>
        <v>15.310638713347988</v>
      </c>
      <c r="N295" s="67" t="e">
        <f>M295*#REF!</f>
        <v>#REF!</v>
      </c>
      <c r="O295" s="67" t="e">
        <f>N295*#REF!</f>
        <v>#REF!</v>
      </c>
      <c r="P295" s="67" t="e">
        <f>O295*#REF!</f>
        <v>#REF!</v>
      </c>
      <c r="Q295" s="67" t="e">
        <f>P295*#REF!</f>
        <v>#REF!</v>
      </c>
      <c r="R295" s="67" t="e">
        <f>Q295*#REF!</f>
        <v>#REF!</v>
      </c>
      <c r="S295" s="67" t="e">
        <f>R295*#REF!</f>
        <v>#REF!</v>
      </c>
      <c r="T295" s="67" t="e">
        <f>S295*#REF!</f>
        <v>#REF!</v>
      </c>
      <c r="U295" s="67" t="e">
        <f>T295*#REF!</f>
        <v>#REF!</v>
      </c>
      <c r="V295" s="67" t="e">
        <f>U295*#REF!</f>
        <v>#REF!</v>
      </c>
      <c r="W295" s="42"/>
      <c r="X295" s="9">
        <f>X291*$E$9</f>
        <v>200.6</v>
      </c>
      <c r="Y295" s="9">
        <f t="shared" ref="Y295:AA295" si="1520">Y291*$E$9</f>
        <v>110.76</v>
      </c>
      <c r="Z295" s="9">
        <f t="shared" si="1520"/>
        <v>100.2</v>
      </c>
      <c r="AA295" s="9">
        <f t="shared" si="1520"/>
        <v>110.64</v>
      </c>
      <c r="AB295" s="42">
        <f>X295*VLOOKUP($B295,Types!$B$2:$D$13,3,FALSE)*Conv!$I$5*1000*365</f>
        <v>438.00832364688</v>
      </c>
      <c r="AC295" s="42">
        <f>Y295*VLOOKUP($B295,Types!$B$2:$D$13,3,FALSE)*Conv!$I$5*1000*365</f>
        <v>241.84347919804796</v>
      </c>
      <c r="AD295" s="42">
        <f>Z295*VLOOKUP($B295,Types!$B$2:$D$13,3,FALSE)*Conv!$I$5*1000*365</f>
        <v>218.78581270896001</v>
      </c>
      <c r="AE295" s="42">
        <f>AA295*VLOOKUP($B295,Types!$B$2:$D$13,3,FALSE)*Conv!$I$5*1000*365</f>
        <v>241.58146026067197</v>
      </c>
      <c r="AF295" s="42">
        <f>AB295-AB294</f>
        <v>175.20332945875208</v>
      </c>
      <c r="AG295" s="42">
        <f t="shared" ref="AG295" si="1521">AC295-AC294</f>
        <v>96.737391679219172</v>
      </c>
      <c r="AH295" s="42">
        <f t="shared" ref="AH295" si="1522">AD295-AD294</f>
        <v>87.514325083584026</v>
      </c>
      <c r="AI295" s="42">
        <f t="shared" ref="AI295" si="1523">AE295-AE294</f>
        <v>96.632584104268773</v>
      </c>
      <c r="AJ295" s="42"/>
      <c r="AK295" s="42"/>
      <c r="AL295" s="42"/>
    </row>
    <row r="296" spans="1:38">
      <c r="A296" s="9" t="str">
        <f>'Agg prdcrv'!$A$13</f>
        <v>LPG</v>
      </c>
      <c r="B296" s="9" t="str">
        <f>VLOOKUP($A296,Types!$A$2:$C$13,2,FALSE)</f>
        <v>LPG</v>
      </c>
      <c r="C296" s="9">
        <v>3</v>
      </c>
      <c r="D296" s="9">
        <v>5</v>
      </c>
      <c r="E296" s="9" t="str">
        <f t="shared" si="1327"/>
        <v>IMPLPGP53</v>
      </c>
      <c r="F296" s="9" t="str">
        <f>CONCATENATE("Imported ",VLOOKUP($A296,Types!$A$2:$C$13,3,FALSE),", PADD ",D296,", Step ",RIGHT(C296,1))</f>
        <v>Imported LPG, PADD 5, Step 3</v>
      </c>
      <c r="G296" s="9" t="str">
        <f>CONCATENATE(VLOOKUP($A296,Types!$A$2:$C$13,2,FALSE),"P",D296)</f>
        <v>LPGP5</v>
      </c>
      <c r="H296" s="66">
        <f>SUMIFS('Agg prdcrv'!$P$6:$P$100,'Agg prdcrv'!$A$6:$A$100,'Imp Refined'!$A296,'Agg prdcrv'!$B$6:$B$100,H$11)*K4</f>
        <v>31.691000000000003</v>
      </c>
      <c r="I296" s="66">
        <f>SUMIFS('Agg prdcrv'!$P$6:$P$100,'Agg prdcrv'!$A$6:$A$100,'Imp Refined'!$A296,'Agg prdcrv'!$B$6:$B$100,I$11)*K4</f>
        <v>31.35</v>
      </c>
      <c r="J296" s="66">
        <f t="array" ref="J296">SUMIFS('Agg prdcrv'!$P$6:$P$100,'Agg prdcrv'!$A$6:$A$100,'Imp Refined'!$A296,'Agg prdcrv'!$B$6:$B$100,J$11)</f>
        <v>28.5</v>
      </c>
      <c r="K296" s="66">
        <f t="array" ref="K296">SUMIFS('Agg prdcrv'!$P$6:$P$100,'Agg prdcrv'!$A$6:$A$100,'Imp Refined'!$A296,'Agg prdcrv'!$B$6:$B$100,K$11)</f>
        <v>28.5</v>
      </c>
      <c r="L296" s="67">
        <f>H296*Conv!$J$20/10^6/VLOOKUP($B296,Types!$B$2:$D$13,3,FALSE)/Conv!$I$5</f>
        <v>12.958059311858628</v>
      </c>
      <c r="M296" s="67">
        <f>I296*Conv!$J$20/10^6/VLOOKUP($B296,Types!$B$2:$D$13,3,FALSE)/Conv!$I$5</f>
        <v>12.818628614646682</v>
      </c>
      <c r="N296" s="67" t="e">
        <f>M296*#REF!</f>
        <v>#REF!</v>
      </c>
      <c r="O296" s="67" t="e">
        <f>N296*#REF!</f>
        <v>#REF!</v>
      </c>
      <c r="P296" s="67" t="e">
        <f>O296*#REF!</f>
        <v>#REF!</v>
      </c>
      <c r="Q296" s="67" t="e">
        <f>P296*#REF!</f>
        <v>#REF!</v>
      </c>
      <c r="R296" s="67" t="e">
        <f>Q296*#REF!</f>
        <v>#REF!</v>
      </c>
      <c r="S296" s="67" t="e">
        <f>R296*#REF!</f>
        <v>#REF!</v>
      </c>
      <c r="T296" s="67" t="e">
        <f>S296*#REF!</f>
        <v>#REF!</v>
      </c>
      <c r="U296" s="67" t="e">
        <f>T296*#REF!</f>
        <v>#REF!</v>
      </c>
      <c r="V296" s="67" t="e">
        <f>U296*#REF!</f>
        <v>#REF!</v>
      </c>
      <c r="W296" s="42"/>
      <c r="X296" s="9">
        <f t="array" ref="X296">SUMIFS('Agg prdcrv'!$H$6:$H$100,'Agg prdcrv'!$A$6:$A$100,'Imp Refined'!$A296,'Agg prdcrv'!$B$6:$B$100,X$11)</f>
        <v>7.33</v>
      </c>
      <c r="Y296" s="9">
        <f t="array" ref="Y296">SUMIFS('Agg prdcrv'!$H$6:$H$100,'Agg prdcrv'!$A$6:$A$100,'Imp Refined'!$A296,'Agg prdcrv'!$B$6:$B$100,Y$11)</f>
        <v>1.73</v>
      </c>
      <c r="Z296" s="9">
        <f t="array" ref="Z296">SUMIFS('Agg prdcrv'!$H$6:$H$100,'Agg prdcrv'!$A$6:$A$100,'Imp Refined'!$A296,'Agg prdcrv'!$B$6:$B$100,Z$11)</f>
        <v>1.91</v>
      </c>
      <c r="AA296" s="9">
        <f t="array" ref="AA296">SUMIFS('Agg prdcrv'!$H$6:$H$100,'Agg prdcrv'!$A$6:$A$100,'Imp Refined'!$A296,'Agg prdcrv'!$B$6:$B$100,AA$11)</f>
        <v>2.11</v>
      </c>
      <c r="AB296" s="42">
        <f>X296*VLOOKUP($B296,Types!$B$2:$D$13,3,FALSE)*Conv!$I$5*1000*365</f>
        <v>10.040520238986399</v>
      </c>
      <c r="AC296" s="42">
        <f>Y296*VLOOKUP($B296,Types!$B$2:$D$13,3,FALSE)*Conv!$I$5*1000*365</f>
        <v>2.3697271505383997</v>
      </c>
      <c r="AD296" s="42">
        <f>Z296*VLOOKUP($B296,Types!$B$2:$D$13,3,FALSE)*Conv!$I$5*1000*365</f>
        <v>2.6162883569527997</v>
      </c>
      <c r="AE296" s="42">
        <f>AA296*VLOOKUP($B296,Types!$B$2:$D$13,3,FALSE)*Conv!$I$5*1000*365</f>
        <v>2.8902452529687999</v>
      </c>
      <c r="AF296" s="42">
        <f>AB296-AB298</f>
        <v>1.004052023898641</v>
      </c>
      <c r="AG296" s="42">
        <f t="shared" ref="AG296" si="1524">AC296-AC298</f>
        <v>0.23697271505383988</v>
      </c>
      <c r="AH296" s="42">
        <f t="shared" ref="AH296" si="1525">AD296-AD298</f>
        <v>0.2616288356952805</v>
      </c>
      <c r="AI296" s="42">
        <f t="shared" ref="AI296" si="1526">AE296-AE298</f>
        <v>0.28902452529687972</v>
      </c>
      <c r="AJ296" s="42"/>
      <c r="AK296" s="42"/>
      <c r="AL296" s="42"/>
    </row>
    <row r="297" spans="1:38">
      <c r="A297" s="9" t="str">
        <f>A296</f>
        <v>LPG</v>
      </c>
      <c r="B297" s="9" t="str">
        <f>VLOOKUP($A297,Types!$A$2:$C$13,2,FALSE)</f>
        <v>LPG</v>
      </c>
      <c r="C297" s="9">
        <v>1</v>
      </c>
      <c r="D297" s="9">
        <v>5</v>
      </c>
      <c r="E297" s="9" t="str">
        <f t="shared" si="1327"/>
        <v>IMPLPGP51</v>
      </c>
      <c r="F297" s="9" t="str">
        <f>CONCATENATE("Imported ",VLOOKUP($A297,Types!$A$2:$C$13,3,FALSE),", PADD ",D297,", Step ",RIGHT(C297,1))</f>
        <v>Imported LPG, PADD 5, Step 1</v>
      </c>
      <c r="G297" s="9" t="str">
        <f>CONCATENATE(VLOOKUP($A297,Types!$A$2:$C$13,2,FALSE),"P",D297)</f>
        <v>LPGP5</v>
      </c>
      <c r="H297" s="66">
        <f>H296*$C$5</f>
        <v>30.106450000000002</v>
      </c>
      <c r="I297" s="66">
        <f t="shared" ref="I297" si="1527">I296*$C$5</f>
        <v>29.782499999999999</v>
      </c>
      <c r="J297" s="66">
        <f t="shared" ref="J297" si="1528">J296*$C$5</f>
        <v>27.074999999999999</v>
      </c>
      <c r="K297" s="66">
        <f t="shared" ref="K297" si="1529">K296*$C$5</f>
        <v>27.074999999999999</v>
      </c>
      <c r="L297" s="67">
        <f>H297*Conv!$J$20/10^6/VLOOKUP($B297,Types!$B$2:$D$13,3,FALSE)/Conv!$I$5</f>
        <v>12.310156346265698</v>
      </c>
      <c r="M297" s="67">
        <f>I297*Conv!$J$20/10^6/VLOOKUP($B297,Types!$B$2:$D$13,3,FALSE)/Conv!$I$5</f>
        <v>12.177697183914349</v>
      </c>
      <c r="N297" s="67" t="e">
        <f>M297*#REF!</f>
        <v>#REF!</v>
      </c>
      <c r="O297" s="67" t="e">
        <f>N297*#REF!</f>
        <v>#REF!</v>
      </c>
      <c r="P297" s="67" t="e">
        <f>O297*#REF!</f>
        <v>#REF!</v>
      </c>
      <c r="Q297" s="67" t="e">
        <f>P297*#REF!</f>
        <v>#REF!</v>
      </c>
      <c r="R297" s="67" t="e">
        <f>Q297*#REF!</f>
        <v>#REF!</v>
      </c>
      <c r="S297" s="67" t="e">
        <f>R297*#REF!</f>
        <v>#REF!</v>
      </c>
      <c r="T297" s="67" t="e">
        <f>S297*#REF!</f>
        <v>#REF!</v>
      </c>
      <c r="U297" s="67" t="e">
        <f>T297*#REF!</f>
        <v>#REF!</v>
      </c>
      <c r="V297" s="67" t="e">
        <f>U297*#REF!</f>
        <v>#REF!</v>
      </c>
      <c r="W297" s="42"/>
      <c r="X297" s="9">
        <f>X296*$E$5</f>
        <v>5.8640000000000008</v>
      </c>
      <c r="Y297" s="9">
        <f t="shared" ref="Y297" si="1530">Y296*$E$5</f>
        <v>1.3840000000000001</v>
      </c>
      <c r="Z297" s="9">
        <f t="shared" ref="Z297" si="1531">Z296*$E$5</f>
        <v>1.528</v>
      </c>
      <c r="AA297" s="9">
        <f t="shared" ref="AA297" si="1532">AA296*$E$5</f>
        <v>1.6879999999999999</v>
      </c>
      <c r="AB297" s="42">
        <f>X297*VLOOKUP($B297,Types!$B$2:$D$13,3,FALSE)*Conv!$I$5*1000*365</f>
        <v>8.032416191189121</v>
      </c>
      <c r="AC297" s="42">
        <f>Y297*VLOOKUP($B297,Types!$B$2:$D$13,3,FALSE)*Conv!$I$5*1000*365</f>
        <v>1.8957817204307199</v>
      </c>
      <c r="AD297" s="42">
        <f>Z297*VLOOKUP($B297,Types!$B$2:$D$13,3,FALSE)*Conv!$I$5*1000*365</f>
        <v>2.0930306855622396</v>
      </c>
      <c r="AE297" s="42">
        <f>AA297*VLOOKUP($B297,Types!$B$2:$D$13,3,FALSE)*Conv!$I$5*1000*365</f>
        <v>2.3121962023750395</v>
      </c>
      <c r="AF297" s="42">
        <f>AB297</f>
        <v>8.032416191189121</v>
      </c>
      <c r="AG297" s="42">
        <f t="shared" ref="AG297" si="1533">AC297</f>
        <v>1.8957817204307199</v>
      </c>
      <c r="AH297" s="42">
        <f t="shared" ref="AH297" si="1534">AD297</f>
        <v>2.0930306855622396</v>
      </c>
      <c r="AI297" s="42">
        <f t="shared" ref="AI297" si="1535">AE297</f>
        <v>2.3121962023750395</v>
      </c>
      <c r="AJ297" s="42"/>
      <c r="AK297" s="42"/>
      <c r="AL297" s="42"/>
    </row>
    <row r="298" spans="1:38">
      <c r="A298" s="9" t="str">
        <f t="shared" ref="A298:A300" si="1536">A297</f>
        <v>LPG</v>
      </c>
      <c r="B298" s="9" t="str">
        <f>VLOOKUP($A298,Types!$A$2:$C$13,2,FALSE)</f>
        <v>LPG</v>
      </c>
      <c r="C298" s="9">
        <v>2</v>
      </c>
      <c r="D298" s="9">
        <v>5</v>
      </c>
      <c r="E298" s="9" t="str">
        <f t="shared" si="1327"/>
        <v>IMPLPGP52</v>
      </c>
      <c r="F298" s="9" t="str">
        <f>CONCATENATE("Imported ",VLOOKUP($A298,Types!$A$2:$C$13,3,FALSE),", PADD ",D298,", Step ",RIGHT(C298,1))</f>
        <v>Imported LPG, PADD 5, Step 2</v>
      </c>
      <c r="G298" s="9" t="str">
        <f>CONCATENATE(VLOOKUP($A298,Types!$A$2:$C$13,2,FALSE),"P",D298)</f>
        <v>LPGP5</v>
      </c>
      <c r="H298" s="66">
        <f>H296*$C$6</f>
        <v>31.057180000000002</v>
      </c>
      <c r="I298" s="66">
        <f t="shared" ref="I298:K298" si="1537">I296*$C$6</f>
        <v>30.723000000000003</v>
      </c>
      <c r="J298" s="66">
        <f t="shared" si="1537"/>
        <v>27.93</v>
      </c>
      <c r="K298" s="66">
        <f t="shared" si="1537"/>
        <v>27.93</v>
      </c>
      <c r="L298" s="67">
        <f>H298*Conv!$J$20/10^6/VLOOKUP($B298,Types!$B$2:$D$13,3,FALSE)/Conv!$I$5</f>
        <v>12.698898125621454</v>
      </c>
      <c r="M298" s="67">
        <f>I298*Conv!$J$20/10^6/VLOOKUP($B298,Types!$B$2:$D$13,3,FALSE)/Conv!$I$5</f>
        <v>12.56225604235375</v>
      </c>
      <c r="N298" s="67" t="e">
        <f>M298*#REF!</f>
        <v>#REF!</v>
      </c>
      <c r="O298" s="67" t="e">
        <f>N298*#REF!</f>
        <v>#REF!</v>
      </c>
      <c r="P298" s="67" t="e">
        <f>O298*#REF!</f>
        <v>#REF!</v>
      </c>
      <c r="Q298" s="67" t="e">
        <f>P298*#REF!</f>
        <v>#REF!</v>
      </c>
      <c r="R298" s="67" t="e">
        <f>Q298*#REF!</f>
        <v>#REF!</v>
      </c>
      <c r="S298" s="67" t="e">
        <f>R298*#REF!</f>
        <v>#REF!</v>
      </c>
      <c r="T298" s="67" t="e">
        <f>S298*#REF!</f>
        <v>#REF!</v>
      </c>
      <c r="U298" s="67" t="e">
        <f>T298*#REF!</f>
        <v>#REF!</v>
      </c>
      <c r="V298" s="67" t="e">
        <f>U298*#REF!</f>
        <v>#REF!</v>
      </c>
      <c r="W298" s="42"/>
      <c r="X298" s="9">
        <f>X296*$E$6</f>
        <v>6.5970000000000004</v>
      </c>
      <c r="Y298" s="9">
        <f t="shared" ref="Y298:AA298" si="1538">Y296*$E$6</f>
        <v>1.5569999999999999</v>
      </c>
      <c r="Z298" s="9">
        <f t="shared" si="1538"/>
        <v>1.7189999999999999</v>
      </c>
      <c r="AA298" s="9">
        <f t="shared" si="1538"/>
        <v>1.899</v>
      </c>
      <c r="AB298" s="42">
        <f>X298*VLOOKUP($B298,Types!$B$2:$D$13,3,FALSE)*Conv!$I$5*1000*365</f>
        <v>9.0364682150877584</v>
      </c>
      <c r="AC298" s="42">
        <f>Y298*VLOOKUP($B298,Types!$B$2:$D$13,3,FALSE)*Conv!$I$5*1000*365</f>
        <v>2.1327544354845598</v>
      </c>
      <c r="AD298" s="42">
        <f>Z298*VLOOKUP($B298,Types!$B$2:$D$13,3,FALSE)*Conv!$I$5*1000*365</f>
        <v>2.3546595212575192</v>
      </c>
      <c r="AE298" s="42">
        <f>AA298*VLOOKUP($B298,Types!$B$2:$D$13,3,FALSE)*Conv!$I$5*1000*365</f>
        <v>2.6012207276719201</v>
      </c>
      <c r="AF298" s="42">
        <f>AB298-AF297</f>
        <v>1.0040520238986375</v>
      </c>
      <c r="AG298" s="42">
        <f t="shared" ref="AG298" si="1539">AC298-AG297</f>
        <v>0.23697271505383988</v>
      </c>
      <c r="AH298" s="42">
        <f t="shared" ref="AH298" si="1540">AD298-AH297</f>
        <v>0.26162883569527962</v>
      </c>
      <c r="AI298" s="42">
        <f t="shared" ref="AI298" si="1541">AE298-AI297</f>
        <v>0.28902452529688061</v>
      </c>
      <c r="AJ298" s="42"/>
      <c r="AK298" s="42"/>
      <c r="AL298" s="42"/>
    </row>
    <row r="299" spans="1:38">
      <c r="A299" s="9" t="str">
        <f t="shared" si="1536"/>
        <v>LPG</v>
      </c>
      <c r="B299" s="9" t="str">
        <f>VLOOKUP($A299,Types!$A$2:$C$13,2,FALSE)</f>
        <v>LPG</v>
      </c>
      <c r="C299" s="9">
        <v>4</v>
      </c>
      <c r="D299" s="9">
        <v>5</v>
      </c>
      <c r="E299" s="9" t="str">
        <f t="shared" si="1327"/>
        <v>IMPLPGP54</v>
      </c>
      <c r="F299" s="9" t="str">
        <f>CONCATENATE("Imported ",VLOOKUP($A299,Types!$A$2:$C$13,3,FALSE),", PADD ",D299,", Step ",RIGHT(C299,1))</f>
        <v>Imported LPG, PADD 5, Step 4</v>
      </c>
      <c r="G299" s="9" t="str">
        <f>CONCATENATE(VLOOKUP($A299,Types!$A$2:$C$13,2,FALSE),"P",D299)</f>
        <v>LPGP5</v>
      </c>
      <c r="H299" s="66">
        <f>H296*$C$8</f>
        <v>34.543190000000003</v>
      </c>
      <c r="I299" s="66">
        <f t="shared" ref="I299:K299" si="1542">I296*$C$8</f>
        <v>34.171500000000002</v>
      </c>
      <c r="J299" s="66">
        <f t="shared" si="1542"/>
        <v>31.065000000000001</v>
      </c>
      <c r="K299" s="66">
        <f t="shared" si="1542"/>
        <v>31.065000000000001</v>
      </c>
      <c r="L299" s="67">
        <f>H299*Conv!$J$20/10^6/VLOOKUP($B299,Types!$B$2:$D$13,3,FALSE)/Conv!$I$5</f>
        <v>14.124284649925904</v>
      </c>
      <c r="M299" s="67">
        <f>I299*Conv!$J$20/10^6/VLOOKUP($B299,Types!$B$2:$D$13,3,FALSE)/Conv!$I$5</f>
        <v>13.972305189964885</v>
      </c>
      <c r="N299" s="67" t="e">
        <f>M299*#REF!</f>
        <v>#REF!</v>
      </c>
      <c r="O299" s="67" t="e">
        <f>N299*#REF!</f>
        <v>#REF!</v>
      </c>
      <c r="P299" s="67" t="e">
        <f>O299*#REF!</f>
        <v>#REF!</v>
      </c>
      <c r="Q299" s="67" t="e">
        <f>P299*#REF!</f>
        <v>#REF!</v>
      </c>
      <c r="R299" s="67" t="e">
        <f>Q299*#REF!</f>
        <v>#REF!</v>
      </c>
      <c r="S299" s="67" t="e">
        <f>R299*#REF!</f>
        <v>#REF!</v>
      </c>
      <c r="T299" s="67" t="e">
        <f>S299*#REF!</f>
        <v>#REF!</v>
      </c>
      <c r="U299" s="67" t="e">
        <f>T299*#REF!</f>
        <v>#REF!</v>
      </c>
      <c r="V299" s="67" t="e">
        <f>U299*#REF!</f>
        <v>#REF!</v>
      </c>
      <c r="W299" s="42"/>
      <c r="X299" s="9">
        <f>X296*$E$8</f>
        <v>8.7959999999999994</v>
      </c>
      <c r="Y299" s="9">
        <f t="shared" ref="Y299:AA299" si="1543">Y296*$E$8</f>
        <v>2.0760000000000001</v>
      </c>
      <c r="Z299" s="9">
        <f t="shared" si="1543"/>
        <v>2.2919999999999998</v>
      </c>
      <c r="AA299" s="9">
        <f t="shared" si="1543"/>
        <v>2.5319999999999996</v>
      </c>
      <c r="AB299" s="42">
        <f>X299*VLOOKUP($B299,Types!$B$2:$D$13,3,FALSE)*Conv!$I$5*1000*365</f>
        <v>12.048624286783678</v>
      </c>
      <c r="AC299" s="42">
        <f>Y299*VLOOKUP($B299,Types!$B$2:$D$13,3,FALSE)*Conv!$I$5*1000*365</f>
        <v>2.8436725806460799</v>
      </c>
      <c r="AD299" s="42">
        <f>Z299*VLOOKUP($B299,Types!$B$2:$D$13,3,FALSE)*Conv!$I$5*1000*365</f>
        <v>3.1395460283433589</v>
      </c>
      <c r="AE299" s="42">
        <f>AA299*VLOOKUP($B299,Types!$B$2:$D$13,3,FALSE)*Conv!$I$5*1000*365</f>
        <v>3.4682943035625589</v>
      </c>
      <c r="AF299" s="42">
        <f>AB299-AB296</f>
        <v>2.0081040477972785</v>
      </c>
      <c r="AG299" s="42">
        <f t="shared" ref="AG299" si="1544">AC299-AC296</f>
        <v>0.4739454301076802</v>
      </c>
      <c r="AH299" s="42">
        <f t="shared" ref="AH299" si="1545">AD299-AD296</f>
        <v>0.52325767139055923</v>
      </c>
      <c r="AI299" s="42">
        <f t="shared" ref="AI299" si="1546">AE299-AE296</f>
        <v>0.578049050593759</v>
      </c>
      <c r="AJ299" s="42"/>
      <c r="AK299" s="42"/>
      <c r="AL299" s="42"/>
    </row>
    <row r="300" spans="1:38">
      <c r="A300" s="9" t="str">
        <f t="shared" si="1536"/>
        <v>LPG</v>
      </c>
      <c r="B300" s="9" t="str">
        <f>VLOOKUP($A300,Types!$A$2:$C$13,2,FALSE)</f>
        <v>LPG</v>
      </c>
      <c r="C300" s="9">
        <v>5</v>
      </c>
      <c r="D300" s="9">
        <v>5</v>
      </c>
      <c r="E300" s="9" t="str">
        <f t="shared" si="1327"/>
        <v>IMPLPGP55</v>
      </c>
      <c r="F300" s="9" t="str">
        <f>CONCATENATE("Imported ",VLOOKUP($A300,Types!$A$2:$C$13,3,FALSE),", PADD ",D300,", Step ",RIGHT(C300,1))</f>
        <v>Imported LPG, PADD 5, Step 5</v>
      </c>
      <c r="G300" s="9" t="str">
        <f>CONCATENATE(VLOOKUP($A300,Types!$A$2:$C$13,2,FALSE),"P",D300)</f>
        <v>LPGP5</v>
      </c>
      <c r="H300" s="66">
        <f>H296*$C$9</f>
        <v>41.198300000000003</v>
      </c>
      <c r="I300" s="66">
        <f t="shared" ref="I300:K300" si="1547">I296*$C$9</f>
        <v>40.755000000000003</v>
      </c>
      <c r="J300" s="66">
        <f t="shared" si="1547"/>
        <v>37.050000000000004</v>
      </c>
      <c r="K300" s="66">
        <f t="shared" si="1547"/>
        <v>37.050000000000004</v>
      </c>
      <c r="L300" s="67">
        <f>H300*Conv!$J$20/10^6/VLOOKUP($B300,Types!$B$2:$D$13,3,FALSE)/Conv!$I$5</f>
        <v>16.845477105416219</v>
      </c>
      <c r="M300" s="67">
        <f>I300*Conv!$J$20/10^6/VLOOKUP($B300,Types!$B$2:$D$13,3,FALSE)/Conv!$I$5</f>
        <v>16.664217199040689</v>
      </c>
      <c r="N300" s="67" t="e">
        <f>M300*#REF!</f>
        <v>#REF!</v>
      </c>
      <c r="O300" s="67" t="e">
        <f>N300*#REF!</f>
        <v>#REF!</v>
      </c>
      <c r="P300" s="67" t="e">
        <f>O300*#REF!</f>
        <v>#REF!</v>
      </c>
      <c r="Q300" s="67" t="e">
        <f>P300*#REF!</f>
        <v>#REF!</v>
      </c>
      <c r="R300" s="67" t="e">
        <f>Q300*#REF!</f>
        <v>#REF!</v>
      </c>
      <c r="S300" s="67" t="e">
        <f>R300*#REF!</f>
        <v>#REF!</v>
      </c>
      <c r="T300" s="67" t="e">
        <f>S300*#REF!</f>
        <v>#REF!</v>
      </c>
      <c r="U300" s="67" t="e">
        <f>T300*#REF!</f>
        <v>#REF!</v>
      </c>
      <c r="V300" s="67" t="e">
        <f>U300*#REF!</f>
        <v>#REF!</v>
      </c>
      <c r="W300" s="42"/>
      <c r="X300" s="9">
        <f>X296*$E$9</f>
        <v>14.66</v>
      </c>
      <c r="Y300" s="9">
        <f t="shared" ref="Y300:AA300" si="1548">Y296*$E$9</f>
        <v>3.46</v>
      </c>
      <c r="Z300" s="9">
        <f t="shared" si="1548"/>
        <v>3.82</v>
      </c>
      <c r="AA300" s="9">
        <f t="shared" si="1548"/>
        <v>4.22</v>
      </c>
      <c r="AB300" s="42">
        <f>X300*VLOOKUP($B300,Types!$B$2:$D$13,3,FALSE)*Conv!$I$5*1000*365</f>
        <v>20.081040477972799</v>
      </c>
      <c r="AC300" s="42">
        <f>Y300*VLOOKUP($B300,Types!$B$2:$D$13,3,FALSE)*Conv!$I$5*1000*365</f>
        <v>4.7394543010767993</v>
      </c>
      <c r="AD300" s="42">
        <f>Z300*VLOOKUP($B300,Types!$B$2:$D$13,3,FALSE)*Conv!$I$5*1000*365</f>
        <v>5.2325767139055994</v>
      </c>
      <c r="AE300" s="42">
        <f>AA300*VLOOKUP($B300,Types!$B$2:$D$13,3,FALSE)*Conv!$I$5*1000*365</f>
        <v>5.7804905059375997</v>
      </c>
      <c r="AF300" s="42">
        <f>AB300-AB299</f>
        <v>8.032416191189121</v>
      </c>
      <c r="AG300" s="42">
        <f t="shared" ref="AG300" si="1549">AC300-AC299</f>
        <v>1.8957817204307195</v>
      </c>
      <c r="AH300" s="42">
        <f t="shared" ref="AH300" si="1550">AD300-AD299</f>
        <v>2.0930306855622405</v>
      </c>
      <c r="AI300" s="42">
        <f t="shared" ref="AI300" si="1551">AE300-AE299</f>
        <v>2.3121962023750409</v>
      </c>
      <c r="AJ300" s="42"/>
      <c r="AK300" s="42"/>
      <c r="AL300" s="42"/>
    </row>
    <row r="301" spans="1:38">
      <c r="A301" s="9" t="str">
        <f>'Agg prdcrv'!$A$14</f>
        <v>Petchem. Feedstocks</v>
      </c>
      <c r="B301" s="9" t="str">
        <f>VLOOKUP($A301,Types!$A$2:$C$13,2,FALSE)</f>
        <v>PFS</v>
      </c>
      <c r="C301" s="9">
        <v>3</v>
      </c>
      <c r="D301" s="9">
        <v>5</v>
      </c>
      <c r="E301" s="9" t="str">
        <f t="shared" si="1327"/>
        <v>IMPPFSP53</v>
      </c>
      <c r="F301" s="9" t="str">
        <f>CONCATENATE("Imported ",VLOOKUP($A301,Types!$A$2:$C$13,3,FALSE),", PADD ",D301,", Step ",RIGHT(C301,1))</f>
        <v>Imported Petrochemical Feedstocks, PADD 5, Step 3</v>
      </c>
      <c r="G301" s="9" t="str">
        <f>CONCATENATE(VLOOKUP($A301,Types!$A$2:$C$13,2,FALSE),"P",D301)</f>
        <v>PFSP5</v>
      </c>
      <c r="H301" s="66">
        <f>SUMIFS('Agg prdcrv'!$P$6:$P$100,'Agg prdcrv'!$A$6:$A$100,'Imp Refined'!$A301,'Agg prdcrv'!$B$6:$B$100,H$11)*K4</f>
        <v>31.691000000000003</v>
      </c>
      <c r="I301" s="66">
        <f>SUMIFS('Agg prdcrv'!$P$6:$P$100,'Agg prdcrv'!$A$6:$A$100,'Imp Refined'!$A301,'Agg prdcrv'!$B$6:$B$100,I$11)*K4</f>
        <v>31.35</v>
      </c>
      <c r="J301" s="66">
        <f t="array" ref="J301">SUMIFS('Agg prdcrv'!$P$6:$P$100,'Agg prdcrv'!$A$6:$A$100,'Imp Refined'!$A301,'Agg prdcrv'!$B$6:$B$100,J$11)</f>
        <v>21.68</v>
      </c>
      <c r="K301" s="66">
        <f t="array" ref="K301">SUMIFS('Agg prdcrv'!$P$6:$P$100,'Agg prdcrv'!$A$6:$A$100,'Imp Refined'!$A301,'Agg prdcrv'!$B$6:$B$100,K$11)</f>
        <v>11.24</v>
      </c>
      <c r="L301" s="67">
        <f>H301*Conv!$J$20/10^6/VLOOKUP($B301,Types!$B$2:$D$13,3,FALSE)/Conv!$I$5</f>
        <v>8.0990716872748436</v>
      </c>
      <c r="M301" s="67">
        <f>I301*Conv!$J$20/10^6/VLOOKUP($B301,Types!$B$2:$D$13,3,FALSE)/Conv!$I$5</f>
        <v>8.0119244389910822</v>
      </c>
      <c r="N301" s="67" t="e">
        <f>M301*#REF!</f>
        <v>#REF!</v>
      </c>
      <c r="O301" s="67" t="e">
        <f>N301*#REF!</f>
        <v>#REF!</v>
      </c>
      <c r="P301" s="67" t="e">
        <f>O301*#REF!</f>
        <v>#REF!</v>
      </c>
      <c r="Q301" s="67" t="e">
        <f>P301*#REF!</f>
        <v>#REF!</v>
      </c>
      <c r="R301" s="67" t="e">
        <f>Q301*#REF!</f>
        <v>#REF!</v>
      </c>
      <c r="S301" s="67" t="e">
        <f>R301*#REF!</f>
        <v>#REF!</v>
      </c>
      <c r="T301" s="67" t="e">
        <f>S301*#REF!</f>
        <v>#REF!</v>
      </c>
      <c r="U301" s="67" t="e">
        <f>T301*#REF!</f>
        <v>#REF!</v>
      </c>
      <c r="V301" s="67" t="e">
        <f>U301*#REF!</f>
        <v>#REF!</v>
      </c>
      <c r="W301" s="42"/>
      <c r="X301" s="9">
        <f t="array" ref="X301">SUMIFS('Agg prdcrv'!$H$6:$H$100,'Agg prdcrv'!$A$6:$A$100,'Imp Refined'!$A301,'Agg prdcrv'!$B$6:$B$100,X$11)</f>
        <v>0</v>
      </c>
      <c r="Y301" s="9">
        <f t="array" ref="Y301">SUMIFS('Agg prdcrv'!$H$6:$H$100,'Agg prdcrv'!$A$6:$A$100,'Imp Refined'!$A301,'Agg prdcrv'!$B$6:$B$100,Y$11)</f>
        <v>2.89</v>
      </c>
      <c r="Z301" s="9">
        <f t="array" ref="Z301">SUMIFS('Agg prdcrv'!$H$6:$H$100,'Agg prdcrv'!$A$6:$A$100,'Imp Refined'!$A301,'Agg prdcrv'!$B$6:$B$100,Z$11)</f>
        <v>3.19</v>
      </c>
      <c r="AA301" s="9">
        <f t="array" ref="AA301">SUMIFS('Agg prdcrv'!$H$6:$H$100,'Agg prdcrv'!$A$6:$A$100,'Imp Refined'!$A301,'Agg prdcrv'!$B$6:$B$100,AA$11)</f>
        <v>3.52</v>
      </c>
      <c r="AB301" s="42">
        <f>X301*VLOOKUP($B301,Types!$B$2:$D$13,3,FALSE)*Conv!$I$5*1000*365</f>
        <v>0</v>
      </c>
      <c r="AC301" s="42">
        <f>Y301*VLOOKUP($B301,Types!$B$2:$D$13,3,FALSE)*Conv!$I$5*1000*365</f>
        <v>6.3336608507255994</v>
      </c>
      <c r="AD301" s="42">
        <f>Z301*VLOOKUP($B301,Types!$B$2:$D$13,3,FALSE)*Conv!$I$5*1000*365</f>
        <v>6.9911342954375995</v>
      </c>
      <c r="AE301" s="42">
        <f>AA301*VLOOKUP($B301,Types!$B$2:$D$13,3,FALSE)*Conv!$I$5*1000*365</f>
        <v>7.7143550846207987</v>
      </c>
      <c r="AF301" s="42">
        <f>AB301-AB303</f>
        <v>0</v>
      </c>
      <c r="AG301" s="42">
        <f t="shared" ref="AG301" si="1552">AC301-AC303</f>
        <v>0.63336608507255931</v>
      </c>
      <c r="AH301" s="42">
        <f t="shared" ref="AH301" si="1553">AD301-AD303</f>
        <v>0.6991134295437611</v>
      </c>
      <c r="AI301" s="42">
        <f t="shared" ref="AI301" si="1554">AE301-AE303</f>
        <v>0.77143550846207809</v>
      </c>
      <c r="AJ301" s="42"/>
      <c r="AK301" s="42"/>
      <c r="AL301" s="42"/>
    </row>
    <row r="302" spans="1:38">
      <c r="A302" s="9" t="str">
        <f>A301</f>
        <v>Petchem. Feedstocks</v>
      </c>
      <c r="B302" s="9" t="str">
        <f>VLOOKUP($A302,Types!$A$2:$C$13,2,FALSE)</f>
        <v>PFS</v>
      </c>
      <c r="C302" s="9">
        <v>1</v>
      </c>
      <c r="D302" s="9">
        <v>5</v>
      </c>
      <c r="E302" s="9" t="str">
        <f t="shared" si="1327"/>
        <v>IMPPFSP51</v>
      </c>
      <c r="F302" s="9" t="str">
        <f>CONCATENATE("Imported ",VLOOKUP($A302,Types!$A$2:$C$13,3,FALSE),", PADD ",D302,", Step ",RIGHT(C302,1))</f>
        <v>Imported Petrochemical Feedstocks, PADD 5, Step 1</v>
      </c>
      <c r="G302" s="9" t="str">
        <f>CONCATENATE(VLOOKUP($A302,Types!$A$2:$C$13,2,FALSE),"P",D302)</f>
        <v>PFSP5</v>
      </c>
      <c r="H302" s="66">
        <f>H301*$C$5</f>
        <v>30.106450000000002</v>
      </c>
      <c r="I302" s="66">
        <f t="shared" ref="I302" si="1555">I301*$C$5</f>
        <v>29.782499999999999</v>
      </c>
      <c r="J302" s="66">
        <f t="shared" ref="J302" si="1556">J301*$C$5</f>
        <v>20.596</v>
      </c>
      <c r="K302" s="66">
        <f t="shared" ref="K302" si="1557">K301*$C$5</f>
        <v>10.677999999999999</v>
      </c>
      <c r="L302" s="67">
        <f>H302*Conv!$J$20/10^6/VLOOKUP($B302,Types!$B$2:$D$13,3,FALSE)/Conv!$I$5</f>
        <v>7.6941181029111041</v>
      </c>
      <c r="M302" s="67">
        <f>I302*Conv!$J$20/10^6/VLOOKUP($B302,Types!$B$2:$D$13,3,FALSE)/Conv!$I$5</f>
        <v>7.6113282170415273</v>
      </c>
      <c r="N302" s="67" t="e">
        <f>M302*#REF!</f>
        <v>#REF!</v>
      </c>
      <c r="O302" s="67" t="e">
        <f>N302*#REF!</f>
        <v>#REF!</v>
      </c>
      <c r="P302" s="67" t="e">
        <f>O302*#REF!</f>
        <v>#REF!</v>
      </c>
      <c r="Q302" s="67" t="e">
        <f>P302*#REF!</f>
        <v>#REF!</v>
      </c>
      <c r="R302" s="67" t="e">
        <f>Q302*#REF!</f>
        <v>#REF!</v>
      </c>
      <c r="S302" s="67" t="e">
        <f>R302*#REF!</f>
        <v>#REF!</v>
      </c>
      <c r="T302" s="67" t="e">
        <f>S302*#REF!</f>
        <v>#REF!</v>
      </c>
      <c r="U302" s="67" t="e">
        <f>T302*#REF!</f>
        <v>#REF!</v>
      </c>
      <c r="V302" s="67" t="e">
        <f>U302*#REF!</f>
        <v>#REF!</v>
      </c>
      <c r="W302" s="42"/>
      <c r="X302" s="9">
        <f>X301*$E$5</f>
        <v>0</v>
      </c>
      <c r="Y302" s="9">
        <f t="shared" ref="Y302" si="1558">Y301*$E$5</f>
        <v>2.3120000000000003</v>
      </c>
      <c r="Z302" s="9">
        <f t="shared" ref="Z302" si="1559">Z301*$E$5</f>
        <v>2.552</v>
      </c>
      <c r="AA302" s="9">
        <f t="shared" ref="AA302" si="1560">AA301*$E$5</f>
        <v>2.8160000000000003</v>
      </c>
      <c r="AB302" s="42">
        <f>X302*VLOOKUP($B302,Types!$B$2:$D$13,3,FALSE)*Conv!$I$5*1000*365</f>
        <v>0</v>
      </c>
      <c r="AC302" s="42">
        <f>Y302*VLOOKUP($B302,Types!$B$2:$D$13,3,FALSE)*Conv!$I$5*1000*365</f>
        <v>5.0669286805804798</v>
      </c>
      <c r="AD302" s="42">
        <f>Z302*VLOOKUP($B302,Types!$B$2:$D$13,3,FALSE)*Conv!$I$5*1000*365</f>
        <v>5.5929074363500799</v>
      </c>
      <c r="AE302" s="42">
        <f>AA302*VLOOKUP($B302,Types!$B$2:$D$13,3,FALSE)*Conv!$I$5*1000*365</f>
        <v>6.1714840676966389</v>
      </c>
      <c r="AF302" s="42">
        <f>AB302</f>
        <v>0</v>
      </c>
      <c r="AG302" s="42">
        <f t="shared" ref="AG302" si="1561">AC302</f>
        <v>5.0669286805804798</v>
      </c>
      <c r="AH302" s="42">
        <f t="shared" ref="AH302" si="1562">AD302</f>
        <v>5.5929074363500799</v>
      </c>
      <c r="AI302" s="42">
        <f t="shared" ref="AI302" si="1563">AE302</f>
        <v>6.1714840676966389</v>
      </c>
      <c r="AJ302" s="42"/>
      <c r="AK302" s="42"/>
      <c r="AL302" s="42"/>
    </row>
    <row r="303" spans="1:38">
      <c r="A303" s="9" t="str">
        <f t="shared" ref="A303:A304" si="1564">A302</f>
        <v>Petchem. Feedstocks</v>
      </c>
      <c r="B303" s="9" t="str">
        <f>VLOOKUP($A303,Types!$A$2:$C$13,2,FALSE)</f>
        <v>PFS</v>
      </c>
      <c r="C303" s="9">
        <v>2</v>
      </c>
      <c r="D303" s="9">
        <v>5</v>
      </c>
      <c r="E303" s="9" t="str">
        <f t="shared" si="1327"/>
        <v>IMPPFSP52</v>
      </c>
      <c r="F303" s="9" t="str">
        <f>CONCATENATE("Imported ",VLOOKUP($A303,Types!$A$2:$C$13,3,FALSE),", PADD ",D303,", Step ",RIGHT(C303,1))</f>
        <v>Imported Petrochemical Feedstocks, PADD 5, Step 2</v>
      </c>
      <c r="G303" s="9" t="str">
        <f>CONCATENATE(VLOOKUP($A303,Types!$A$2:$C$13,2,FALSE),"P",D303)</f>
        <v>PFSP5</v>
      </c>
      <c r="H303" s="66">
        <f>H301*$C$6</f>
        <v>31.057180000000002</v>
      </c>
      <c r="I303" s="66">
        <f t="shared" ref="I303:K303" si="1565">I301*$C$6</f>
        <v>30.723000000000003</v>
      </c>
      <c r="J303" s="66">
        <f t="shared" si="1565"/>
        <v>21.246399999999998</v>
      </c>
      <c r="K303" s="66">
        <f t="shared" si="1565"/>
        <v>11.0152</v>
      </c>
      <c r="L303" s="67">
        <f>H303*Conv!$J$20/10^6/VLOOKUP($B303,Types!$B$2:$D$13,3,FALSE)/Conv!$I$5</f>
        <v>7.9370902535293482</v>
      </c>
      <c r="M303" s="67">
        <f>I303*Conv!$J$20/10^6/VLOOKUP($B303,Types!$B$2:$D$13,3,FALSE)/Conv!$I$5</f>
        <v>7.8516859502112615</v>
      </c>
      <c r="N303" s="67" t="e">
        <f>M303*#REF!</f>
        <v>#REF!</v>
      </c>
      <c r="O303" s="67" t="e">
        <f>N303*#REF!</f>
        <v>#REF!</v>
      </c>
      <c r="P303" s="67" t="e">
        <f>O303*#REF!</f>
        <v>#REF!</v>
      </c>
      <c r="Q303" s="67" t="e">
        <f>P303*#REF!</f>
        <v>#REF!</v>
      </c>
      <c r="R303" s="67" t="e">
        <f>Q303*#REF!</f>
        <v>#REF!</v>
      </c>
      <c r="S303" s="67" t="e">
        <f>R303*#REF!</f>
        <v>#REF!</v>
      </c>
      <c r="T303" s="67" t="e">
        <f>S303*#REF!</f>
        <v>#REF!</v>
      </c>
      <c r="U303" s="67" t="e">
        <f>T303*#REF!</f>
        <v>#REF!</v>
      </c>
      <c r="V303" s="67" t="e">
        <f>U303*#REF!</f>
        <v>#REF!</v>
      </c>
      <c r="W303" s="42"/>
      <c r="X303" s="9">
        <f>X301*$E$6</f>
        <v>0</v>
      </c>
      <c r="Y303" s="9">
        <f t="shared" ref="Y303:AA303" si="1566">Y301*$E$6</f>
        <v>2.601</v>
      </c>
      <c r="Z303" s="9">
        <f t="shared" si="1566"/>
        <v>2.871</v>
      </c>
      <c r="AA303" s="9">
        <f t="shared" si="1566"/>
        <v>3.1680000000000001</v>
      </c>
      <c r="AB303" s="42">
        <f>X303*VLOOKUP($B303,Types!$B$2:$D$13,3,FALSE)*Conv!$I$5*1000*365</f>
        <v>0</v>
      </c>
      <c r="AC303" s="42">
        <f>Y303*VLOOKUP($B303,Types!$B$2:$D$13,3,FALSE)*Conv!$I$5*1000*365</f>
        <v>5.7002947656530401</v>
      </c>
      <c r="AD303" s="42">
        <f>Z303*VLOOKUP($B303,Types!$B$2:$D$13,3,FALSE)*Conv!$I$5*1000*365</f>
        <v>6.2920208658938384</v>
      </c>
      <c r="AE303" s="42">
        <f>AA303*VLOOKUP($B303,Types!$B$2:$D$13,3,FALSE)*Conv!$I$5*1000*365</f>
        <v>6.9429195761587206</v>
      </c>
      <c r="AF303" s="42">
        <f>AB303-AF302</f>
        <v>0</v>
      </c>
      <c r="AG303" s="42">
        <f t="shared" ref="AG303" si="1567">AC303-AG302</f>
        <v>0.6333660850725602</v>
      </c>
      <c r="AH303" s="42">
        <f t="shared" ref="AH303" si="1568">AD303-AH302</f>
        <v>0.69911342954375844</v>
      </c>
      <c r="AI303" s="42">
        <f t="shared" ref="AI303" si="1569">AE303-AI302</f>
        <v>0.77143550846208164</v>
      </c>
      <c r="AJ303" s="42"/>
      <c r="AK303" s="42"/>
      <c r="AL303" s="42"/>
    </row>
    <row r="304" spans="1:38">
      <c r="A304" s="9" t="str">
        <f t="shared" si="1564"/>
        <v>Petchem. Feedstocks</v>
      </c>
      <c r="B304" s="9" t="str">
        <f>VLOOKUP($A304,Types!$A$2:$C$13,2,FALSE)</f>
        <v>PFS</v>
      </c>
      <c r="C304" s="9">
        <v>4</v>
      </c>
      <c r="D304" s="9">
        <v>5</v>
      </c>
      <c r="E304" s="9" t="str">
        <f t="shared" si="1327"/>
        <v>IMPPFSP54</v>
      </c>
      <c r="F304" s="9" t="str">
        <f>CONCATENATE("Imported ",VLOOKUP($A304,Types!$A$2:$C$13,3,FALSE),", PADD ",D304,", Step ",RIGHT(C304,1))</f>
        <v>Imported Petrochemical Feedstocks, PADD 5, Step 4</v>
      </c>
      <c r="G304" s="9" t="str">
        <f>CONCATENATE(VLOOKUP($A304,Types!$A$2:$C$13,2,FALSE),"P",D304)</f>
        <v>PFSP5</v>
      </c>
      <c r="H304" s="66">
        <f>H301*$C$8</f>
        <v>34.543190000000003</v>
      </c>
      <c r="I304" s="66">
        <f t="shared" ref="I304:K304" si="1570">I301*$C$8</f>
        <v>34.171500000000002</v>
      </c>
      <c r="J304" s="66">
        <f t="shared" si="1570"/>
        <v>23.6312</v>
      </c>
      <c r="K304" s="66">
        <f t="shared" si="1570"/>
        <v>12.251600000000002</v>
      </c>
      <c r="L304" s="67">
        <f>H304*Conv!$J$20/10^6/VLOOKUP($B304,Types!$B$2:$D$13,3,FALSE)/Conv!$I$5</f>
        <v>8.827988139129582</v>
      </c>
      <c r="M304" s="67">
        <f>I304*Conv!$J$20/10^6/VLOOKUP($B304,Types!$B$2:$D$13,3,FALSE)/Conv!$I$5</f>
        <v>8.7329976385002794</v>
      </c>
      <c r="N304" s="67" t="e">
        <f>M304*#REF!</f>
        <v>#REF!</v>
      </c>
      <c r="O304" s="67" t="e">
        <f>N304*#REF!</f>
        <v>#REF!</v>
      </c>
      <c r="P304" s="67" t="e">
        <f>O304*#REF!</f>
        <v>#REF!</v>
      </c>
      <c r="Q304" s="67" t="e">
        <f>P304*#REF!</f>
        <v>#REF!</v>
      </c>
      <c r="R304" s="67" t="e">
        <f>Q304*#REF!</f>
        <v>#REF!</v>
      </c>
      <c r="S304" s="67" t="e">
        <f>R304*#REF!</f>
        <v>#REF!</v>
      </c>
      <c r="T304" s="67" t="e">
        <f>S304*#REF!</f>
        <v>#REF!</v>
      </c>
      <c r="U304" s="67" t="e">
        <f>T304*#REF!</f>
        <v>#REF!</v>
      </c>
      <c r="V304" s="67" t="e">
        <f>U304*#REF!</f>
        <v>#REF!</v>
      </c>
      <c r="W304" s="42"/>
      <c r="X304" s="9">
        <f>X301*$E$8</f>
        <v>0</v>
      </c>
      <c r="Y304" s="9">
        <f t="shared" ref="Y304:AA304" si="1571">Y301*$E$8</f>
        <v>3.468</v>
      </c>
      <c r="Z304" s="9">
        <f t="shared" si="1571"/>
        <v>3.8279999999999998</v>
      </c>
      <c r="AA304" s="9">
        <f t="shared" si="1571"/>
        <v>4.2240000000000002</v>
      </c>
      <c r="AB304" s="42">
        <f>X304*VLOOKUP($B304,Types!$B$2:$D$13,3,FALSE)*Conv!$I$5*1000*365</f>
        <v>0</v>
      </c>
      <c r="AC304" s="42">
        <f>Y304*VLOOKUP($B304,Types!$B$2:$D$13,3,FALSE)*Conv!$I$5*1000*365</f>
        <v>7.6003930208707198</v>
      </c>
      <c r="AD304" s="42">
        <f>Z304*VLOOKUP($B304,Types!$B$2:$D$13,3,FALSE)*Conv!$I$5*1000*365</f>
        <v>8.389361154525119</v>
      </c>
      <c r="AE304" s="42">
        <f>AA304*VLOOKUP($B304,Types!$B$2:$D$13,3,FALSE)*Conv!$I$5*1000*365</f>
        <v>9.2572261015449584</v>
      </c>
      <c r="AF304" s="42">
        <f>AB304-AB301</f>
        <v>0</v>
      </c>
      <c r="AG304" s="42">
        <f t="shared" ref="AG304" si="1572">AC304-AC301</f>
        <v>1.2667321701451204</v>
      </c>
      <c r="AH304" s="42">
        <f t="shared" ref="AH304" si="1573">AD304-AD301</f>
        <v>1.3982268590875195</v>
      </c>
      <c r="AI304" s="42">
        <f t="shared" ref="AI304" si="1574">AE304-AE301</f>
        <v>1.5428710169241597</v>
      </c>
      <c r="AJ304" s="42"/>
      <c r="AK304" s="42"/>
      <c r="AL304" s="42"/>
    </row>
    <row r="305" spans="1:38">
      <c r="A305" s="9" t="str">
        <f>A304</f>
        <v>Petchem. Feedstocks</v>
      </c>
      <c r="B305" s="9" t="str">
        <f>VLOOKUP($A305,Types!$A$2:$C$13,2,FALSE)</f>
        <v>PFS</v>
      </c>
      <c r="C305" s="9">
        <v>5</v>
      </c>
      <c r="D305" s="9">
        <v>5</v>
      </c>
      <c r="E305" s="9" t="str">
        <f>CONCATENATE("IMP",G305,RIGHT(C305,1))</f>
        <v>IMPPFSP55</v>
      </c>
      <c r="F305" s="9" t="str">
        <f>CONCATENATE("Imported ",VLOOKUP($A305,Types!$A$2:$C$13,3,FALSE),", PADD ",D305,", Step ",RIGHT(C305,1))</f>
        <v>Imported Petrochemical Feedstocks, PADD 5, Step 5</v>
      </c>
      <c r="G305" s="9" t="str">
        <f>CONCATENATE(VLOOKUP($A305,Types!$A$2:$C$13,2,FALSE),"P",D305)</f>
        <v>PFSP5</v>
      </c>
      <c r="H305" s="66">
        <f>H301*$C$9</f>
        <v>41.198300000000003</v>
      </c>
      <c r="I305" s="66">
        <f t="shared" ref="I305:K305" si="1575">I301*$C$9</f>
        <v>40.755000000000003</v>
      </c>
      <c r="J305" s="66">
        <f t="shared" si="1575"/>
        <v>28.184000000000001</v>
      </c>
      <c r="K305" s="66">
        <f t="shared" si="1575"/>
        <v>14.612</v>
      </c>
      <c r="L305" s="67">
        <f>H305*Conv!$J$20/10^6/VLOOKUP($B305,Types!$B$2:$D$13,3,FALSE)/Conv!$I$5</f>
        <v>10.5287931934573</v>
      </c>
      <c r="M305" s="67">
        <f>I305*Conv!$J$20/10^6/VLOOKUP($B305,Types!$B$2:$D$13,3,FALSE)/Conv!$I$5</f>
        <v>10.415501770688406</v>
      </c>
      <c r="N305" s="67" t="e">
        <f>M305*#REF!</f>
        <v>#REF!</v>
      </c>
      <c r="O305" s="67" t="e">
        <f>N305*#REF!</f>
        <v>#REF!</v>
      </c>
      <c r="P305" s="67" t="e">
        <f>O305*#REF!</f>
        <v>#REF!</v>
      </c>
      <c r="Q305" s="67" t="e">
        <f>P305*#REF!</f>
        <v>#REF!</v>
      </c>
      <c r="R305" s="67" t="e">
        <f>Q305*#REF!</f>
        <v>#REF!</v>
      </c>
      <c r="S305" s="67" t="e">
        <f>R305*#REF!</f>
        <v>#REF!</v>
      </c>
      <c r="T305" s="67" t="e">
        <f>S305*#REF!</f>
        <v>#REF!</v>
      </c>
      <c r="U305" s="67" t="e">
        <f>T305*#REF!</f>
        <v>#REF!</v>
      </c>
      <c r="V305" s="67" t="e">
        <f>U305*#REF!</f>
        <v>#REF!</v>
      </c>
      <c r="W305" s="42"/>
      <c r="X305" s="9">
        <f>X301*$E$9</f>
        <v>0</v>
      </c>
      <c r="Y305" s="9">
        <f t="shared" ref="Y305:AA305" si="1576">Y301*$E$9</f>
        <v>5.78</v>
      </c>
      <c r="Z305" s="9">
        <f t="shared" si="1576"/>
        <v>6.38</v>
      </c>
      <c r="AA305" s="9">
        <f t="shared" si="1576"/>
        <v>7.04</v>
      </c>
      <c r="AB305" s="42">
        <f>X305*VLOOKUP($B305,Types!$B$2:$D$13,3,FALSE)*Conv!$I$5*1000*365</f>
        <v>0</v>
      </c>
      <c r="AC305" s="42">
        <f>Y305*VLOOKUP($B305,Types!$B$2:$D$13,3,FALSE)*Conv!$I$5*1000*365</f>
        <v>12.667321701451199</v>
      </c>
      <c r="AD305" s="42">
        <f>Z305*VLOOKUP($B305,Types!$B$2:$D$13,3,FALSE)*Conv!$I$5*1000*365</f>
        <v>13.982268590875199</v>
      </c>
      <c r="AE305" s="42">
        <f>AA305*VLOOKUP($B305,Types!$B$2:$D$13,3,FALSE)*Conv!$I$5*1000*365</f>
        <v>15.428710169241597</v>
      </c>
      <c r="AF305" s="42">
        <f>AB305-AB304</f>
        <v>0</v>
      </c>
      <c r="AG305" s="42">
        <f t="shared" ref="AG305" si="1577">AC305-AC304</f>
        <v>5.066928680580479</v>
      </c>
      <c r="AH305" s="42">
        <f t="shared" ref="AH305" si="1578">AD305-AD304</f>
        <v>5.5929074363500799</v>
      </c>
      <c r="AI305" s="42">
        <f t="shared" ref="AI305" si="1579">AE305-AE304</f>
        <v>6.1714840676966389</v>
      </c>
      <c r="AJ305" s="42"/>
      <c r="AK305" s="42"/>
      <c r="AL305" s="42"/>
    </row>
    <row r="306" spans="1:38">
      <c r="A306" s="9" t="str">
        <f>'Agg prdcrv'!$A$15</f>
        <v>Other Refined Prod.</v>
      </c>
      <c r="B306" s="9" t="str">
        <f>VLOOKUP($A306,Types!$A$2:$C$13,2,FALSE)</f>
        <v>KER</v>
      </c>
      <c r="C306" s="9">
        <v>3</v>
      </c>
      <c r="D306" s="9">
        <v>5</v>
      </c>
      <c r="E306" s="9" t="str">
        <f>CONCATENATE("IMP",G306,RIGHT(C306,1))</f>
        <v>IMPKERP53</v>
      </c>
      <c r="F306" s="9" t="str">
        <f>CONCATENATE("Imported ",VLOOKUP($A306,Types!$A$2:$C$13,3,FALSE),", PADD ",D306,", Step ",RIGHT(C306,1))</f>
        <v>Imported Kerosene and Other Refined Products, PADD 5, Step 3</v>
      </c>
      <c r="G306" s="9" t="str">
        <f>CONCATENATE(VLOOKUP($A306,Types!$A$2:$C$13,2,FALSE),"P",D306)</f>
        <v>KERP5</v>
      </c>
      <c r="H306" s="66">
        <f>SUMIFS('Agg prdcrv'!$P$6:$P$100,'Agg prdcrv'!$A$6:$A$100,'Imp Refined'!$A306,'Agg prdcrv'!$B$6:$B$100,H$11)*K4</f>
        <v>66.099000000000004</v>
      </c>
      <c r="I306" s="66">
        <f>SUMIFS('Agg prdcrv'!$P$6:$P$100,'Agg prdcrv'!$A$6:$A$100,'Imp Refined'!$A306,'Agg prdcrv'!$B$6:$B$100,I$11)*K4</f>
        <v>40.204999999999998</v>
      </c>
      <c r="J306" s="66">
        <f t="array" ref="J306">SUMIFS('Agg prdcrv'!$P$6:$P$100,'Agg prdcrv'!$A$6:$A$100,'Imp Refined'!$A306,'Agg prdcrv'!$B$6:$B$100,J$11)</f>
        <v>32.549999999999997</v>
      </c>
      <c r="K306" s="66">
        <f t="array" ref="K306">SUMIFS('Agg prdcrv'!$P$6:$P$100,'Agg prdcrv'!$A$6:$A$100,'Imp Refined'!$A306,'Agg prdcrv'!$B$6:$B$100,K$11)</f>
        <v>41.27</v>
      </c>
      <c r="L306" s="67">
        <f>H306*Conv!$J$20/10^6/VLOOKUP($B306,Types!$B$2:$D$13,3,FALSE)/Conv!$I$5</f>
        <v>16.955075011703961</v>
      </c>
      <c r="M306" s="67">
        <f>I306*Conv!$J$20/10^6/VLOOKUP($B306,Types!$B$2:$D$13,3,FALSE)/Conv!$I$5</f>
        <v>10.312997032414376</v>
      </c>
      <c r="N306" s="67" t="e">
        <f>M306*#REF!</f>
        <v>#REF!</v>
      </c>
      <c r="O306" s="67" t="e">
        <f>N306*#REF!</f>
        <v>#REF!</v>
      </c>
      <c r="P306" s="67" t="e">
        <f>O306*#REF!</f>
        <v>#REF!</v>
      </c>
      <c r="Q306" s="67" t="e">
        <f>P306*#REF!</f>
        <v>#REF!</v>
      </c>
      <c r="R306" s="67" t="e">
        <f>Q306*#REF!</f>
        <v>#REF!</v>
      </c>
      <c r="S306" s="67" t="e">
        <f>R306*#REF!</f>
        <v>#REF!</v>
      </c>
      <c r="T306" s="67" t="e">
        <f>S306*#REF!</f>
        <v>#REF!</v>
      </c>
      <c r="U306" s="67" t="e">
        <f>T306*#REF!</f>
        <v>#REF!</v>
      </c>
      <c r="V306" s="67" t="e">
        <f>U306*#REF!</f>
        <v>#REF!</v>
      </c>
      <c r="W306" s="42"/>
      <c r="X306" s="9">
        <f t="array" ref="X306">SUMIFS('Agg prdcrv'!$H$6:$H$100,'Agg prdcrv'!$A$6:$A$100,'Imp Refined'!$A306,'Agg prdcrv'!$B$6:$B$100,X$11)</f>
        <v>42</v>
      </c>
      <c r="Y306" s="9">
        <f t="array" ref="Y306">SUMIFS('Agg prdcrv'!$H$6:$H$100,'Agg prdcrv'!$A$6:$A$100,'Imp Refined'!$A306,'Agg prdcrv'!$B$6:$B$100,Y$11)</f>
        <v>27.25</v>
      </c>
      <c r="Z306" s="9">
        <f t="array" ref="Z306">SUMIFS('Agg prdcrv'!$H$6:$H$100,'Agg prdcrv'!$A$6:$A$100,'Imp Refined'!$A306,'Agg prdcrv'!$B$6:$B$100,Z$11)</f>
        <v>29.5</v>
      </c>
      <c r="AA306" s="9">
        <f t="array" ref="AA306">SUMIFS('Agg prdcrv'!$H$6:$H$100,'Agg prdcrv'!$A$6:$A$100,'Imp Refined'!$A306,'Agg prdcrv'!$B$6:$B$100,AA$11)</f>
        <v>31.94</v>
      </c>
      <c r="AB306" s="42">
        <f>X306*VLOOKUP($B306,Types!$B$2:$D$13,3,FALSE)*Conv!$I$5*1000*365</f>
        <v>91.706628081599987</v>
      </c>
      <c r="AC306" s="42">
        <f>Y306*VLOOKUP($B306,Types!$B$2:$D$13,3,FALSE)*Conv!$I$5*1000*365</f>
        <v>59.500133695799995</v>
      </c>
      <c r="AD306" s="42">
        <f>Z306*VLOOKUP($B306,Types!$B$2:$D$13,3,FALSE)*Conv!$I$5*1000*365</f>
        <v>64.412988771599998</v>
      </c>
      <c r="AE306" s="42">
        <f>AA306*VLOOKUP($B306,Types!$B$2:$D$13,3,FALSE)*Conv!$I$5*1000*365</f>
        <v>69.740707164911996</v>
      </c>
      <c r="AF306" s="42">
        <f>AB306-AB308</f>
        <v>9.1706628081599888</v>
      </c>
      <c r="AG306" s="42">
        <f t="shared" ref="AG306" si="1580">AC306-AC308</f>
        <v>5.9500133695799846</v>
      </c>
      <c r="AH306" s="42">
        <f t="shared" ref="AH306" si="1581">AD306-AD308</f>
        <v>6.4412988771600013</v>
      </c>
      <c r="AI306" s="42">
        <f t="shared" ref="AI306" si="1582">AE306-AE308</f>
        <v>6.9740707164911981</v>
      </c>
      <c r="AJ306" s="42"/>
      <c r="AK306" s="42"/>
      <c r="AL306" s="42"/>
    </row>
    <row r="307" spans="1:38">
      <c r="A307" s="9" t="str">
        <f>A306</f>
        <v>Other Refined Prod.</v>
      </c>
      <c r="B307" s="9" t="str">
        <f>VLOOKUP($A307,Types!$A$2:$C$13,2,FALSE)</f>
        <v>KER</v>
      </c>
      <c r="C307" s="9">
        <v>1</v>
      </c>
      <c r="D307" s="9">
        <v>5</v>
      </c>
      <c r="E307" s="9" t="str">
        <f t="shared" ref="E307:E320" si="1583">CONCATENATE("IMP",G307,RIGHT(C307,1))</f>
        <v>IMPKERP51</v>
      </c>
      <c r="F307" s="9" t="str">
        <f>CONCATENATE("Imported ",VLOOKUP($A307,Types!$A$2:$C$13,3,FALSE),", PADD ",D307,", Step ",RIGHT(C307,1))</f>
        <v>Imported Kerosene and Other Refined Products, PADD 5, Step 1</v>
      </c>
      <c r="G307" s="9" t="str">
        <f>CONCATENATE(VLOOKUP($A307,Types!$A$2:$C$13,2,FALSE),"P",D307)</f>
        <v>KERP5</v>
      </c>
      <c r="H307" s="66">
        <f>H306*$C$5</f>
        <v>62.794049999999999</v>
      </c>
      <c r="I307" s="66">
        <f t="shared" ref="I307" si="1584">I306*$C$5</f>
        <v>38.194749999999999</v>
      </c>
      <c r="J307" s="66">
        <f t="shared" ref="J307" si="1585">J306*$C$5</f>
        <v>30.922499999999996</v>
      </c>
      <c r="K307" s="66">
        <f t="shared" ref="K307" si="1586">K306*$C$5</f>
        <v>39.206499999999998</v>
      </c>
      <c r="L307" s="67">
        <f>H307*Conv!$J$20/10^6/VLOOKUP($B307,Types!$B$2:$D$13,3,FALSE)/Conv!$I$5</f>
        <v>16.107321261118763</v>
      </c>
      <c r="M307" s="67">
        <f>I307*Conv!$J$20/10^6/VLOOKUP($B307,Types!$B$2:$D$13,3,FALSE)/Conv!$I$5</f>
        <v>9.7973471807936559</v>
      </c>
      <c r="N307" s="67" t="e">
        <f>M307*#REF!</f>
        <v>#REF!</v>
      </c>
      <c r="O307" s="67" t="e">
        <f>N307*#REF!</f>
        <v>#REF!</v>
      </c>
      <c r="P307" s="67" t="e">
        <f>O307*#REF!</f>
        <v>#REF!</v>
      </c>
      <c r="Q307" s="67" t="e">
        <f>P307*#REF!</f>
        <v>#REF!</v>
      </c>
      <c r="R307" s="67" t="e">
        <f>Q307*#REF!</f>
        <v>#REF!</v>
      </c>
      <c r="S307" s="67" t="e">
        <f>R307*#REF!</f>
        <v>#REF!</v>
      </c>
      <c r="T307" s="67" t="e">
        <f>S307*#REF!</f>
        <v>#REF!</v>
      </c>
      <c r="U307" s="67" t="e">
        <f>T307*#REF!</f>
        <v>#REF!</v>
      </c>
      <c r="V307" s="67" t="e">
        <f>U307*#REF!</f>
        <v>#REF!</v>
      </c>
      <c r="W307" s="42"/>
      <c r="X307" s="9">
        <f>X306*$E$5</f>
        <v>33.6</v>
      </c>
      <c r="Y307" s="9">
        <f t="shared" ref="Y307" si="1587">Y306*$E$5</f>
        <v>21.8</v>
      </c>
      <c r="Z307" s="9">
        <f t="shared" ref="Z307" si="1588">Z306*$E$5</f>
        <v>23.6</v>
      </c>
      <c r="AA307" s="9">
        <f t="shared" ref="AA307" si="1589">AA306*$E$5</f>
        <v>25.552000000000003</v>
      </c>
      <c r="AB307" s="42">
        <f>X307*VLOOKUP($B307,Types!$B$2:$D$13,3,FALSE)*Conv!$I$5*1000*365</f>
        <v>73.365302465279996</v>
      </c>
      <c r="AC307" s="42">
        <f>Y307*VLOOKUP($B307,Types!$B$2:$D$13,3,FALSE)*Conv!$I$5*1000*365</f>
        <v>47.600106956640005</v>
      </c>
      <c r="AD307" s="42">
        <f>Z307*VLOOKUP($B307,Types!$B$2:$D$13,3,FALSE)*Conv!$I$5*1000*365</f>
        <v>51.53039101728001</v>
      </c>
      <c r="AE307" s="42">
        <f>AA307*VLOOKUP($B307,Types!$B$2:$D$13,3,FALSE)*Conv!$I$5*1000*365</f>
        <v>55.792565731929614</v>
      </c>
      <c r="AF307" s="42">
        <f>AB307</f>
        <v>73.365302465279996</v>
      </c>
      <c r="AG307" s="42">
        <f t="shared" ref="AG307" si="1590">AC307</f>
        <v>47.600106956640005</v>
      </c>
      <c r="AH307" s="42">
        <f t="shared" ref="AH307" si="1591">AD307</f>
        <v>51.53039101728001</v>
      </c>
      <c r="AI307" s="42">
        <f t="shared" ref="AI307" si="1592">AE307</f>
        <v>55.792565731929614</v>
      </c>
      <c r="AJ307" s="42"/>
      <c r="AK307" s="42"/>
      <c r="AL307" s="42"/>
    </row>
    <row r="308" spans="1:38">
      <c r="A308" s="9" t="str">
        <f t="shared" ref="A308:A310" si="1593">A307</f>
        <v>Other Refined Prod.</v>
      </c>
      <c r="B308" s="9" t="str">
        <f>VLOOKUP($A308,Types!$A$2:$C$13,2,FALSE)</f>
        <v>KER</v>
      </c>
      <c r="C308" s="9">
        <v>2</v>
      </c>
      <c r="D308" s="9">
        <v>5</v>
      </c>
      <c r="E308" s="9" t="str">
        <f t="shared" si="1583"/>
        <v>IMPKERP52</v>
      </c>
      <c r="F308" s="9" t="str">
        <f>CONCATENATE("Imported ",VLOOKUP($A308,Types!$A$2:$C$13,3,FALSE),", PADD ",D308,", Step ",RIGHT(C308,1))</f>
        <v>Imported Kerosene and Other Refined Products, PADD 5, Step 2</v>
      </c>
      <c r="G308" s="9" t="str">
        <f>CONCATENATE(VLOOKUP($A308,Types!$A$2:$C$13,2,FALSE),"P",D308)</f>
        <v>KERP5</v>
      </c>
      <c r="H308" s="66">
        <f>H306*$C$6</f>
        <v>64.777020000000007</v>
      </c>
      <c r="I308" s="66">
        <f t="shared" ref="I308:K308" si="1594">I306*$C$6</f>
        <v>39.4009</v>
      </c>
      <c r="J308" s="66">
        <f t="shared" si="1594"/>
        <v>31.898999999999997</v>
      </c>
      <c r="K308" s="66">
        <f t="shared" si="1594"/>
        <v>40.444600000000001</v>
      </c>
      <c r="L308" s="67">
        <f>H308*Conv!$J$20/10^6/VLOOKUP($B308,Types!$B$2:$D$13,3,FALSE)/Conv!$I$5</f>
        <v>16.615973511469882</v>
      </c>
      <c r="M308" s="67">
        <f>I308*Conv!$J$20/10^6/VLOOKUP($B308,Types!$B$2:$D$13,3,FALSE)/Conv!$I$5</f>
        <v>10.106737091766087</v>
      </c>
      <c r="N308" s="67" t="e">
        <f>M308*#REF!</f>
        <v>#REF!</v>
      </c>
      <c r="O308" s="67" t="e">
        <f>N308*#REF!</f>
        <v>#REF!</v>
      </c>
      <c r="P308" s="67" t="e">
        <f>O308*#REF!</f>
        <v>#REF!</v>
      </c>
      <c r="Q308" s="67" t="e">
        <f>P308*#REF!</f>
        <v>#REF!</v>
      </c>
      <c r="R308" s="67" t="e">
        <f>Q308*#REF!</f>
        <v>#REF!</v>
      </c>
      <c r="S308" s="67" t="e">
        <f>R308*#REF!</f>
        <v>#REF!</v>
      </c>
      <c r="T308" s="67" t="e">
        <f>S308*#REF!</f>
        <v>#REF!</v>
      </c>
      <c r="U308" s="67" t="e">
        <f>T308*#REF!</f>
        <v>#REF!</v>
      </c>
      <c r="V308" s="67" t="e">
        <f>U308*#REF!</f>
        <v>#REF!</v>
      </c>
      <c r="W308" s="42"/>
      <c r="X308" s="9">
        <f>X306*$E$6</f>
        <v>37.800000000000004</v>
      </c>
      <c r="Y308" s="9">
        <f t="shared" ref="Y308:AA308" si="1595">Y306*$E$6</f>
        <v>24.525000000000002</v>
      </c>
      <c r="Z308" s="9">
        <f t="shared" si="1595"/>
        <v>26.55</v>
      </c>
      <c r="AA308" s="9">
        <f t="shared" si="1595"/>
        <v>28.746000000000002</v>
      </c>
      <c r="AB308" s="42">
        <f>X308*VLOOKUP($B308,Types!$B$2:$D$13,3,FALSE)*Conv!$I$5*1000*365</f>
        <v>82.535965273439999</v>
      </c>
      <c r="AC308" s="42">
        <f>Y308*VLOOKUP($B308,Types!$B$2:$D$13,3,FALSE)*Conv!$I$5*1000*365</f>
        <v>53.550120326220011</v>
      </c>
      <c r="AD308" s="42">
        <f>Z308*VLOOKUP($B308,Types!$B$2:$D$13,3,FALSE)*Conv!$I$5*1000*365</f>
        <v>57.971689894439997</v>
      </c>
      <c r="AE308" s="42">
        <f>AA308*VLOOKUP($B308,Types!$B$2:$D$13,3,FALSE)*Conv!$I$5*1000*365</f>
        <v>62.766636448420797</v>
      </c>
      <c r="AF308" s="42">
        <f>AB308-AF307</f>
        <v>9.170662808160003</v>
      </c>
      <c r="AG308" s="42">
        <f t="shared" ref="AG308" si="1596">AC308-AG307</f>
        <v>5.9500133695800059</v>
      </c>
      <c r="AH308" s="42">
        <f t="shared" ref="AH308" si="1597">AD308-AH307</f>
        <v>6.4412988771599871</v>
      </c>
      <c r="AI308" s="42">
        <f t="shared" ref="AI308" si="1598">AE308-AI307</f>
        <v>6.9740707164911839</v>
      </c>
      <c r="AJ308" s="42"/>
      <c r="AK308" s="42"/>
      <c r="AL308" s="42"/>
    </row>
    <row r="309" spans="1:38">
      <c r="A309" s="9" t="str">
        <f t="shared" si="1593"/>
        <v>Other Refined Prod.</v>
      </c>
      <c r="B309" s="9" t="str">
        <f>VLOOKUP($A309,Types!$A$2:$C$13,2,FALSE)</f>
        <v>KER</v>
      </c>
      <c r="C309" s="9">
        <v>4</v>
      </c>
      <c r="D309" s="9">
        <v>5</v>
      </c>
      <c r="E309" s="9" t="str">
        <f t="shared" si="1583"/>
        <v>IMPKERP54</v>
      </c>
      <c r="F309" s="9" t="str">
        <f>CONCATENATE("Imported ",VLOOKUP($A309,Types!$A$2:$C$13,3,FALSE),", PADD ",D309,", Step ",RIGHT(C309,1))</f>
        <v>Imported Kerosene and Other Refined Products, PADD 5, Step 4</v>
      </c>
      <c r="G309" s="9" t="str">
        <f>CONCATENATE(VLOOKUP($A309,Types!$A$2:$C$13,2,FALSE),"P",D309)</f>
        <v>KERP5</v>
      </c>
      <c r="H309" s="66">
        <f>H306*$C$8</f>
        <v>72.047910000000016</v>
      </c>
      <c r="I309" s="66">
        <f t="shared" ref="I309:K309" si="1599">I306*$C$8</f>
        <v>43.823450000000001</v>
      </c>
      <c r="J309" s="66">
        <f t="shared" si="1599"/>
        <v>35.479500000000002</v>
      </c>
      <c r="K309" s="66">
        <f t="shared" si="1599"/>
        <v>44.984300000000005</v>
      </c>
      <c r="L309" s="67">
        <f>H309*Conv!$J$20/10^6/VLOOKUP($B309,Types!$B$2:$D$13,3,FALSE)/Conv!$I$5</f>
        <v>18.481031762757318</v>
      </c>
      <c r="M309" s="67">
        <f>I309*Conv!$J$20/10^6/VLOOKUP($B309,Types!$B$2:$D$13,3,FALSE)/Conv!$I$5</f>
        <v>11.241166765331668</v>
      </c>
      <c r="N309" s="67" t="e">
        <f>M309*#REF!</f>
        <v>#REF!</v>
      </c>
      <c r="O309" s="67" t="e">
        <f>N309*#REF!</f>
        <v>#REF!</v>
      </c>
      <c r="P309" s="67" t="e">
        <f>O309*#REF!</f>
        <v>#REF!</v>
      </c>
      <c r="Q309" s="67" t="e">
        <f>P309*#REF!</f>
        <v>#REF!</v>
      </c>
      <c r="R309" s="67" t="e">
        <f>Q309*#REF!</f>
        <v>#REF!</v>
      </c>
      <c r="S309" s="67" t="e">
        <f>R309*#REF!</f>
        <v>#REF!</v>
      </c>
      <c r="T309" s="67" t="e">
        <f>S309*#REF!</f>
        <v>#REF!</v>
      </c>
      <c r="U309" s="67" t="e">
        <f>T309*#REF!</f>
        <v>#REF!</v>
      </c>
      <c r="V309" s="67" t="e">
        <f>U309*#REF!</f>
        <v>#REF!</v>
      </c>
      <c r="W309" s="42"/>
      <c r="X309" s="9">
        <f>X306*$E$8</f>
        <v>50.4</v>
      </c>
      <c r="Y309" s="9">
        <f t="shared" ref="Y309:AA309" si="1600">Y306*$E$8</f>
        <v>32.699999999999996</v>
      </c>
      <c r="Z309" s="9">
        <f t="shared" si="1600"/>
        <v>35.4</v>
      </c>
      <c r="AA309" s="9">
        <f t="shared" si="1600"/>
        <v>38.328000000000003</v>
      </c>
      <c r="AB309" s="42">
        <f>X309*VLOOKUP($B309,Types!$B$2:$D$13,3,FALSE)*Conv!$I$5*1000*365</f>
        <v>110.04795369791997</v>
      </c>
      <c r="AC309" s="42">
        <f>Y309*VLOOKUP($B309,Types!$B$2:$D$13,3,FALSE)*Conv!$I$5*1000*365</f>
        <v>71.400160434959986</v>
      </c>
      <c r="AD309" s="42">
        <f>Z309*VLOOKUP($B309,Types!$B$2:$D$13,3,FALSE)*Conv!$I$5*1000*365</f>
        <v>77.295586525919987</v>
      </c>
      <c r="AE309" s="42">
        <f>AA309*VLOOKUP($B309,Types!$B$2:$D$13,3,FALSE)*Conv!$I$5*1000*365</f>
        <v>83.688848597894392</v>
      </c>
      <c r="AF309" s="42">
        <f>AB309-AB306</f>
        <v>18.341325616319978</v>
      </c>
      <c r="AG309" s="42">
        <f t="shared" ref="AG309" si="1601">AC309-AC306</f>
        <v>11.900026739159991</v>
      </c>
      <c r="AH309" s="42">
        <f t="shared" ref="AH309" si="1602">AD309-AD306</f>
        <v>12.882597754319988</v>
      </c>
      <c r="AI309" s="42">
        <f t="shared" ref="AI309" si="1603">AE309-AE306</f>
        <v>13.948141432982396</v>
      </c>
      <c r="AJ309" s="42"/>
      <c r="AK309" s="42"/>
      <c r="AL309" s="42"/>
    </row>
    <row r="310" spans="1:38">
      <c r="A310" s="9" t="str">
        <f t="shared" si="1593"/>
        <v>Other Refined Prod.</v>
      </c>
      <c r="B310" s="9" t="str">
        <f>VLOOKUP($A310,Types!$A$2:$C$13,2,FALSE)</f>
        <v>KER</v>
      </c>
      <c r="C310" s="9">
        <v>5</v>
      </c>
      <c r="D310" s="9">
        <v>5</v>
      </c>
      <c r="E310" s="9" t="str">
        <f t="shared" si="1583"/>
        <v>IMPKERP55</v>
      </c>
      <c r="F310" s="9" t="str">
        <f>CONCATENATE("Imported ",VLOOKUP($A310,Types!$A$2:$C$13,3,FALSE),", PADD ",D310,", Step ",RIGHT(C310,1))</f>
        <v>Imported Kerosene and Other Refined Products, PADD 5, Step 5</v>
      </c>
      <c r="G310" s="9" t="str">
        <f>CONCATENATE(VLOOKUP($A310,Types!$A$2:$C$13,2,FALSE),"P",D310)</f>
        <v>KERP5</v>
      </c>
      <c r="H310" s="66">
        <f>H306*$C$9</f>
        <v>85.928700000000006</v>
      </c>
      <c r="I310" s="66">
        <f t="shared" ref="I310:K310" si="1604">I306*$C$9</f>
        <v>52.266500000000001</v>
      </c>
      <c r="J310" s="66">
        <f t="shared" si="1604"/>
        <v>42.314999999999998</v>
      </c>
      <c r="K310" s="66">
        <f t="shared" si="1604"/>
        <v>53.651000000000003</v>
      </c>
      <c r="L310" s="67">
        <f>H310*Conv!$J$20/10^6/VLOOKUP($B310,Types!$B$2:$D$13,3,FALSE)/Conv!$I$5</f>
        <v>22.041597515215152</v>
      </c>
      <c r="M310" s="67">
        <f>I310*Conv!$J$20/10^6/VLOOKUP($B310,Types!$B$2:$D$13,3,FALSE)/Conv!$I$5</f>
        <v>13.406896142138688</v>
      </c>
      <c r="N310" s="67" t="e">
        <f>M310*#REF!</f>
        <v>#REF!</v>
      </c>
      <c r="O310" s="67" t="e">
        <f>N310*#REF!</f>
        <v>#REF!</v>
      </c>
      <c r="P310" s="67" t="e">
        <f>O310*#REF!</f>
        <v>#REF!</v>
      </c>
      <c r="Q310" s="67" t="e">
        <f>P310*#REF!</f>
        <v>#REF!</v>
      </c>
      <c r="R310" s="67" t="e">
        <f>Q310*#REF!</f>
        <v>#REF!</v>
      </c>
      <c r="S310" s="67" t="e">
        <f>R310*#REF!</f>
        <v>#REF!</v>
      </c>
      <c r="T310" s="67" t="e">
        <f>S310*#REF!</f>
        <v>#REF!</v>
      </c>
      <c r="U310" s="67" t="e">
        <f>T310*#REF!</f>
        <v>#REF!</v>
      </c>
      <c r="V310" s="67" t="e">
        <f>U310*#REF!</f>
        <v>#REF!</v>
      </c>
      <c r="W310" s="42"/>
      <c r="X310" s="9">
        <f>X306*$E$9</f>
        <v>84</v>
      </c>
      <c r="Y310" s="9">
        <f t="shared" ref="Y310:AA310" si="1605">Y306*$E$9</f>
        <v>54.5</v>
      </c>
      <c r="Z310" s="9">
        <f t="shared" si="1605"/>
        <v>59</v>
      </c>
      <c r="AA310" s="9">
        <f t="shared" si="1605"/>
        <v>63.88</v>
      </c>
      <c r="AB310" s="42">
        <f>X310*VLOOKUP($B310,Types!$B$2:$D$13,3,FALSE)*Conv!$I$5*1000*365</f>
        <v>183.41325616319997</v>
      </c>
      <c r="AC310" s="42">
        <f>Y310*VLOOKUP($B310,Types!$B$2:$D$13,3,FALSE)*Conv!$I$5*1000*365</f>
        <v>119.00026739159999</v>
      </c>
      <c r="AD310" s="42">
        <f>Z310*VLOOKUP($B310,Types!$B$2:$D$13,3,FALSE)*Conv!$I$5*1000*365</f>
        <v>128.8259775432</v>
      </c>
      <c r="AE310" s="42">
        <f>AA310*VLOOKUP($B310,Types!$B$2:$D$13,3,FALSE)*Conv!$I$5*1000*365</f>
        <v>139.48141432982399</v>
      </c>
      <c r="AF310" s="42">
        <f>AB310-AB309</f>
        <v>73.36530246528001</v>
      </c>
      <c r="AG310" s="42">
        <f t="shared" ref="AG310" si="1606">AC310-AC309</f>
        <v>47.600106956640005</v>
      </c>
      <c r="AH310" s="42">
        <f t="shared" ref="AH310" si="1607">AD310-AD309</f>
        <v>51.53039101728001</v>
      </c>
      <c r="AI310" s="42">
        <f t="shared" ref="AI310" si="1608">AE310-AE309</f>
        <v>55.792565731929599</v>
      </c>
      <c r="AJ310" s="42"/>
      <c r="AK310" s="42"/>
      <c r="AL310" s="42"/>
    </row>
    <row r="311" spans="1:38">
      <c r="A311" s="9" t="str">
        <f>'Agg prdcrv'!$A$16</f>
        <v>Methanol</v>
      </c>
      <c r="B311" s="9" t="str">
        <f>VLOOKUP($A311,Types!$A$2:$C$13,2,FALSE)</f>
        <v>MTH</v>
      </c>
      <c r="C311" s="9">
        <v>3</v>
      </c>
      <c r="D311" s="9">
        <v>5</v>
      </c>
      <c r="E311" s="9" t="str">
        <f t="shared" si="1583"/>
        <v>IMPMTHP53</v>
      </c>
      <c r="F311" s="9" t="str">
        <f>CONCATENATE("Imported ",VLOOKUP($A311,Types!$A$2:$C$13,3,FALSE),", PADD ",D311,", Step ",RIGHT(C311,1))</f>
        <v>Imported Methanol, PADD 5, Step 3</v>
      </c>
      <c r="G311" s="9" t="str">
        <f>CONCATENATE(VLOOKUP($A311,Types!$A$2:$C$13,2,FALSE),"P",D311)</f>
        <v>MTHP5</v>
      </c>
      <c r="H311" s="66">
        <f>SUMIFS('Agg prdcrv'!$P$6:$P$100,'Agg prdcrv'!$A$6:$A$100,'Imp Refined'!$A311,'Agg prdcrv'!$B$6:$B$100,H$11)*K4</f>
        <v>51.216000000000008</v>
      </c>
      <c r="I311" s="66">
        <f>SUMIFS('Agg prdcrv'!$P$6:$P$100,'Agg prdcrv'!$A$6:$A$100,'Imp Refined'!$A311,'Agg prdcrv'!$B$6:$B$100,I$11)*K4</f>
        <v>50.666000000000004</v>
      </c>
      <c r="J311" s="66">
        <f t="array" ref="J311">SUMIFS('Agg prdcrv'!$P$6:$P$100,'Agg prdcrv'!$A$6:$A$100,'Imp Refined'!$A311,'Agg prdcrv'!$B$6:$B$100,J$11)</f>
        <v>46.06</v>
      </c>
      <c r="K311" s="66">
        <f t="array" ref="K311">SUMIFS('Agg prdcrv'!$P$6:$P$100,'Agg prdcrv'!$A$6:$A$100,'Imp Refined'!$A311,'Agg prdcrv'!$B$6:$B$100,K$11)</f>
        <v>46.06</v>
      </c>
      <c r="L311" s="67">
        <f>H311*Conv!$J$20/10^6/VLOOKUP($B311,Types!$B$2:$D$13,3,FALSE)/Conv!$I$5</f>
        <v>27.118552419476401</v>
      </c>
      <c r="M311" s="67">
        <f>I311*Conv!$J$20/10^6/VLOOKUP($B311,Types!$B$2:$D$13,3,FALSE)/Conv!$I$5</f>
        <v>26.827330851397829</v>
      </c>
      <c r="N311" s="67" t="e">
        <f>M311*#REF!</f>
        <v>#REF!</v>
      </c>
      <c r="O311" s="67" t="e">
        <f>N311*#REF!</f>
        <v>#REF!</v>
      </c>
      <c r="P311" s="67" t="e">
        <f>O311*#REF!</f>
        <v>#REF!</v>
      </c>
      <c r="Q311" s="67" t="e">
        <f>P311*#REF!</f>
        <v>#REF!</v>
      </c>
      <c r="R311" s="67" t="e">
        <f>Q311*#REF!</f>
        <v>#REF!</v>
      </c>
      <c r="S311" s="67" t="e">
        <f>R311*#REF!</f>
        <v>#REF!</v>
      </c>
      <c r="T311" s="67" t="e">
        <f>S311*#REF!</f>
        <v>#REF!</v>
      </c>
      <c r="U311" s="67" t="e">
        <f>T311*#REF!</f>
        <v>#REF!</v>
      </c>
      <c r="V311" s="67" t="e">
        <f>U311*#REF!</f>
        <v>#REF!</v>
      </c>
      <c r="W311" s="42"/>
      <c r="X311" s="9">
        <f t="array" ref="X311">SUMIFS('Agg prdcrv'!$H$6:$H$100,'Agg prdcrv'!$A$6:$A$100,'Imp Refined'!$A311,'Agg prdcrv'!$B$6:$B$100,X$11)</f>
        <v>0.86</v>
      </c>
      <c r="Y311" s="9">
        <f t="array" ref="Y311">SUMIFS('Agg prdcrv'!$H$6:$H$100,'Agg prdcrv'!$A$6:$A$100,'Imp Refined'!$A311,'Agg prdcrv'!$B$6:$B$100,Y$11)</f>
        <v>0.77</v>
      </c>
      <c r="Z311" s="9">
        <f t="array" ref="Z311">SUMIFS('Agg prdcrv'!$H$6:$H$100,'Agg prdcrv'!$A$6:$A$100,'Imp Refined'!$A311,'Agg prdcrv'!$B$6:$B$100,Z$11)</f>
        <v>0.9</v>
      </c>
      <c r="AA311" s="9">
        <f t="array" ref="AA311">SUMIFS('Agg prdcrv'!$H$6:$H$100,'Agg prdcrv'!$A$6:$A$100,'Imp Refined'!$A311,'Agg prdcrv'!$B$6:$B$100,AA$11)</f>
        <v>1.04</v>
      </c>
      <c r="AB311" s="42">
        <f>X311*VLOOKUP($B311,Types!$B$2:$D$13,3,FALSE)*Conv!$I$5*1000*365</f>
        <v>0.90969093294911985</v>
      </c>
      <c r="AC311" s="42">
        <f>Y311*VLOOKUP($B311,Types!$B$2:$D$13,3,FALSE)*Conv!$I$5*1000*365</f>
        <v>0.81449071903583992</v>
      </c>
      <c r="AD311" s="42">
        <f>Z311*VLOOKUP($B311,Types!$B$2:$D$13,3,FALSE)*Conv!$I$5*1000*365</f>
        <v>0.95200213913279985</v>
      </c>
      <c r="AE311" s="42">
        <f>AA311*VLOOKUP($B311,Types!$B$2:$D$13,3,FALSE)*Conv!$I$5*1000*365</f>
        <v>1.1000913607756799</v>
      </c>
      <c r="AF311" s="42">
        <f>AB311-AB313</f>
        <v>9.0969093294911874E-2</v>
      </c>
      <c r="AG311" s="42">
        <f t="shared" ref="AG311" si="1609">AC311-AC313</f>
        <v>8.144907190358408E-2</v>
      </c>
      <c r="AH311" s="42">
        <f t="shared" ref="AH311" si="1610">AD311-AD313</f>
        <v>9.5200213913279708E-2</v>
      </c>
      <c r="AI311" s="42">
        <f t="shared" ref="AI311" si="1611">AE311-AE313</f>
        <v>0.11000913607756801</v>
      </c>
      <c r="AJ311" s="42"/>
      <c r="AK311" s="42"/>
      <c r="AL311" s="42"/>
    </row>
    <row r="312" spans="1:38">
      <c r="A312" s="9" t="str">
        <f>A311</f>
        <v>Methanol</v>
      </c>
      <c r="B312" s="9" t="str">
        <f>VLOOKUP($A312,Types!$A$2:$C$13,2,FALSE)</f>
        <v>MTH</v>
      </c>
      <c r="C312" s="9">
        <v>1</v>
      </c>
      <c r="D312" s="9">
        <v>5</v>
      </c>
      <c r="E312" s="9" t="str">
        <f t="shared" si="1583"/>
        <v>IMPMTHP51</v>
      </c>
      <c r="F312" s="9" t="str">
        <f>CONCATENATE("Imported ",VLOOKUP($A312,Types!$A$2:$C$13,3,FALSE),", PADD ",D312,", Step ",RIGHT(C312,1))</f>
        <v>Imported Methanol, PADD 5, Step 1</v>
      </c>
      <c r="G312" s="9" t="str">
        <f>CONCATENATE(VLOOKUP($A312,Types!$A$2:$C$13,2,FALSE),"P",D312)</f>
        <v>MTHP5</v>
      </c>
      <c r="H312" s="66">
        <f>H311*$C$5</f>
        <v>48.655200000000008</v>
      </c>
      <c r="I312" s="66">
        <f t="shared" ref="I312" si="1612">I311*$C$5</f>
        <v>48.1327</v>
      </c>
      <c r="J312" s="66">
        <f t="shared" ref="J312" si="1613">J311*$C$5</f>
        <v>43.756999999999998</v>
      </c>
      <c r="K312" s="66">
        <f t="shared" ref="K312" si="1614">K311*$C$5</f>
        <v>43.756999999999998</v>
      </c>
      <c r="L312" s="67">
        <f>H312*Conv!$J$20/10^6/VLOOKUP($B312,Types!$B$2:$D$13,3,FALSE)/Conv!$I$5</f>
        <v>25.762624798502582</v>
      </c>
      <c r="M312" s="67">
        <f>I312*Conv!$J$20/10^6/VLOOKUP($B312,Types!$B$2:$D$13,3,FALSE)/Conv!$I$5</f>
        <v>25.485964308827935</v>
      </c>
      <c r="N312" s="67" t="e">
        <f>M312*#REF!</f>
        <v>#REF!</v>
      </c>
      <c r="O312" s="67" t="e">
        <f>N312*#REF!</f>
        <v>#REF!</v>
      </c>
      <c r="P312" s="67" t="e">
        <f>O312*#REF!</f>
        <v>#REF!</v>
      </c>
      <c r="Q312" s="67" t="e">
        <f>P312*#REF!</f>
        <v>#REF!</v>
      </c>
      <c r="R312" s="67" t="e">
        <f>Q312*#REF!</f>
        <v>#REF!</v>
      </c>
      <c r="S312" s="67" t="e">
        <f>R312*#REF!</f>
        <v>#REF!</v>
      </c>
      <c r="T312" s="67" t="e">
        <f>S312*#REF!</f>
        <v>#REF!</v>
      </c>
      <c r="U312" s="67" t="e">
        <f>T312*#REF!</f>
        <v>#REF!</v>
      </c>
      <c r="V312" s="67" t="e">
        <f>U312*#REF!</f>
        <v>#REF!</v>
      </c>
      <c r="W312" s="42"/>
      <c r="X312" s="9">
        <f>X311*$E$5</f>
        <v>0.68800000000000006</v>
      </c>
      <c r="Y312" s="9">
        <f t="shared" ref="Y312" si="1615">Y311*$E$5</f>
        <v>0.6160000000000001</v>
      </c>
      <c r="Z312" s="9">
        <f t="shared" ref="Z312" si="1616">Z311*$E$5</f>
        <v>0.72000000000000008</v>
      </c>
      <c r="AA312" s="9">
        <f t="shared" ref="AA312" si="1617">AA311*$E$5</f>
        <v>0.83200000000000007</v>
      </c>
      <c r="AB312" s="42">
        <f>X312*VLOOKUP($B312,Types!$B$2:$D$13,3,FALSE)*Conv!$I$5*1000*365</f>
        <v>0.72775274635929599</v>
      </c>
      <c r="AC312" s="42">
        <f>Y312*VLOOKUP($B312,Types!$B$2:$D$13,3,FALSE)*Conv!$I$5*1000*365</f>
        <v>0.65159257522867209</v>
      </c>
      <c r="AD312" s="42">
        <f>Z312*VLOOKUP($B312,Types!$B$2:$D$13,3,FALSE)*Conv!$I$5*1000*365</f>
        <v>0.76160171130623988</v>
      </c>
      <c r="AE312" s="42">
        <f>AA312*VLOOKUP($B312,Types!$B$2:$D$13,3,FALSE)*Conv!$I$5*1000*365</f>
        <v>0.88007308862054401</v>
      </c>
      <c r="AF312" s="42">
        <f>AB312</f>
        <v>0.72775274635929599</v>
      </c>
      <c r="AG312" s="42">
        <f t="shared" ref="AG312" si="1618">AC312</f>
        <v>0.65159257522867209</v>
      </c>
      <c r="AH312" s="42">
        <f t="shared" ref="AH312" si="1619">AD312</f>
        <v>0.76160171130623988</v>
      </c>
      <c r="AI312" s="42">
        <f t="shared" ref="AI312" si="1620">AE312</f>
        <v>0.88007308862054401</v>
      </c>
      <c r="AJ312" s="42"/>
      <c r="AK312" s="42"/>
      <c r="AL312" s="42"/>
    </row>
    <row r="313" spans="1:38">
      <c r="A313" s="9" t="str">
        <f t="shared" ref="A313:A315" si="1621">A312</f>
        <v>Methanol</v>
      </c>
      <c r="B313" s="9" t="str">
        <f>VLOOKUP($A313,Types!$A$2:$C$13,2,FALSE)</f>
        <v>MTH</v>
      </c>
      <c r="C313" s="9">
        <v>2</v>
      </c>
      <c r="D313" s="9">
        <v>5</v>
      </c>
      <c r="E313" s="9" t="str">
        <f t="shared" si="1583"/>
        <v>IMPMTHP52</v>
      </c>
      <c r="F313" s="9" t="str">
        <f>CONCATENATE("Imported ",VLOOKUP($A313,Types!$A$2:$C$13,3,FALSE),", PADD ",D313,", Step ",RIGHT(C313,1))</f>
        <v>Imported Methanol, PADD 5, Step 2</v>
      </c>
      <c r="G313" s="9" t="str">
        <f>CONCATENATE(VLOOKUP($A313,Types!$A$2:$C$13,2,FALSE),"P",D313)</f>
        <v>MTHP5</v>
      </c>
      <c r="H313" s="66">
        <f>H311*$C$6</f>
        <v>50.191680000000005</v>
      </c>
      <c r="I313" s="66">
        <f t="shared" ref="I313:K313" si="1622">I311*$C$6</f>
        <v>49.652680000000004</v>
      </c>
      <c r="J313" s="66">
        <f t="shared" si="1622"/>
        <v>45.138800000000003</v>
      </c>
      <c r="K313" s="66">
        <f t="shared" si="1622"/>
        <v>45.138800000000003</v>
      </c>
      <c r="L313" s="67">
        <f>H313*Conv!$J$20/10^6/VLOOKUP($B313,Types!$B$2:$D$13,3,FALSE)/Conv!$I$5</f>
        <v>26.576181371086872</v>
      </c>
      <c r="M313" s="67">
        <f>I313*Conv!$J$20/10^6/VLOOKUP($B313,Types!$B$2:$D$13,3,FALSE)/Conv!$I$5</f>
        <v>26.290784234369873</v>
      </c>
      <c r="N313" s="67" t="e">
        <f>M313*#REF!</f>
        <v>#REF!</v>
      </c>
      <c r="O313" s="67" t="e">
        <f>N313*#REF!</f>
        <v>#REF!</v>
      </c>
      <c r="P313" s="67" t="e">
        <f>O313*#REF!</f>
        <v>#REF!</v>
      </c>
      <c r="Q313" s="67" t="e">
        <f>P313*#REF!</f>
        <v>#REF!</v>
      </c>
      <c r="R313" s="67" t="e">
        <f>Q313*#REF!</f>
        <v>#REF!</v>
      </c>
      <c r="S313" s="67" t="e">
        <f>R313*#REF!</f>
        <v>#REF!</v>
      </c>
      <c r="T313" s="67" t="e">
        <f>S313*#REF!</f>
        <v>#REF!</v>
      </c>
      <c r="U313" s="67" t="e">
        <f>T313*#REF!</f>
        <v>#REF!</v>
      </c>
      <c r="V313" s="67" t="e">
        <f>U313*#REF!</f>
        <v>#REF!</v>
      </c>
      <c r="W313" s="42"/>
      <c r="X313" s="9">
        <f>X311*$E$6</f>
        <v>0.77400000000000002</v>
      </c>
      <c r="Y313" s="9">
        <f t="shared" ref="Y313:AA313" si="1623">Y311*$E$6</f>
        <v>0.69300000000000006</v>
      </c>
      <c r="Z313" s="9">
        <f t="shared" si="1623"/>
        <v>0.81</v>
      </c>
      <c r="AA313" s="9">
        <f t="shared" si="1623"/>
        <v>0.93600000000000005</v>
      </c>
      <c r="AB313" s="42">
        <f>X313*VLOOKUP($B313,Types!$B$2:$D$13,3,FALSE)*Conv!$I$5*1000*365</f>
        <v>0.81872183965420797</v>
      </c>
      <c r="AC313" s="42">
        <f>Y313*VLOOKUP($B313,Types!$B$2:$D$13,3,FALSE)*Conv!$I$5*1000*365</f>
        <v>0.73304164713225584</v>
      </c>
      <c r="AD313" s="42">
        <f>Z313*VLOOKUP($B313,Types!$B$2:$D$13,3,FALSE)*Conv!$I$5*1000*365</f>
        <v>0.85680192521952014</v>
      </c>
      <c r="AE313" s="42">
        <f>AA313*VLOOKUP($B313,Types!$B$2:$D$13,3,FALSE)*Conv!$I$5*1000*365</f>
        <v>0.99008222469811191</v>
      </c>
      <c r="AF313" s="42">
        <f>AB313-AF312</f>
        <v>9.0969093294911985E-2</v>
      </c>
      <c r="AG313" s="42">
        <f t="shared" ref="AG313" si="1624">AC313-AG312</f>
        <v>8.1449071903583747E-2</v>
      </c>
      <c r="AH313" s="42">
        <f t="shared" ref="AH313" si="1625">AD313-AH312</f>
        <v>9.5200213913280263E-2</v>
      </c>
      <c r="AI313" s="42">
        <f t="shared" ref="AI313" si="1626">AE313-AI312</f>
        <v>0.1100091360775679</v>
      </c>
      <c r="AJ313" s="42"/>
      <c r="AK313" s="42"/>
      <c r="AL313" s="42"/>
    </row>
    <row r="314" spans="1:38">
      <c r="A314" s="9" t="str">
        <f t="shared" si="1621"/>
        <v>Methanol</v>
      </c>
      <c r="B314" s="9" t="str">
        <f>VLOOKUP($A314,Types!$A$2:$C$13,2,FALSE)</f>
        <v>MTH</v>
      </c>
      <c r="C314" s="9">
        <v>4</v>
      </c>
      <c r="D314" s="9">
        <v>5</v>
      </c>
      <c r="E314" s="9" t="str">
        <f t="shared" si="1583"/>
        <v>IMPMTHP54</v>
      </c>
      <c r="F314" s="9" t="str">
        <f>CONCATENATE("Imported ",VLOOKUP($A314,Types!$A$2:$C$13,3,FALSE),", PADD ",D314,", Step ",RIGHT(C314,1))</f>
        <v>Imported Methanol, PADD 5, Step 4</v>
      </c>
      <c r="G314" s="9" t="str">
        <f>CONCATENATE(VLOOKUP($A314,Types!$A$2:$C$13,2,FALSE),"P",D314)</f>
        <v>MTHP5</v>
      </c>
      <c r="H314" s="66">
        <f>H311*$C$8</f>
        <v>55.825440000000015</v>
      </c>
      <c r="I314" s="66">
        <f t="shared" ref="I314:K314" si="1627">I311*$C$8</f>
        <v>55.225940000000008</v>
      </c>
      <c r="J314" s="66">
        <f t="shared" si="1627"/>
        <v>50.205400000000004</v>
      </c>
      <c r="K314" s="66">
        <f t="shared" si="1627"/>
        <v>50.205400000000004</v>
      </c>
      <c r="L314" s="67">
        <f>H314*Conv!$J$20/10^6/VLOOKUP($B314,Types!$B$2:$D$13,3,FALSE)/Conv!$I$5</f>
        <v>29.55922213722928</v>
      </c>
      <c r="M314" s="67">
        <f>I314*Conv!$J$20/10^6/VLOOKUP($B314,Types!$B$2:$D$13,3,FALSE)/Conv!$I$5</f>
        <v>29.24179062802364</v>
      </c>
      <c r="N314" s="67" t="e">
        <f>M314*#REF!</f>
        <v>#REF!</v>
      </c>
      <c r="O314" s="67" t="e">
        <f>N314*#REF!</f>
        <v>#REF!</v>
      </c>
      <c r="P314" s="67" t="e">
        <f>O314*#REF!</f>
        <v>#REF!</v>
      </c>
      <c r="Q314" s="67" t="e">
        <f>P314*#REF!</f>
        <v>#REF!</v>
      </c>
      <c r="R314" s="67" t="e">
        <f>Q314*#REF!</f>
        <v>#REF!</v>
      </c>
      <c r="S314" s="67" t="e">
        <f>R314*#REF!</f>
        <v>#REF!</v>
      </c>
      <c r="T314" s="67" t="e">
        <f>S314*#REF!</f>
        <v>#REF!</v>
      </c>
      <c r="U314" s="67" t="e">
        <f>T314*#REF!</f>
        <v>#REF!</v>
      </c>
      <c r="V314" s="67" t="e">
        <f>U314*#REF!</f>
        <v>#REF!</v>
      </c>
      <c r="W314" s="42"/>
      <c r="X314" s="9">
        <f>X311*$E$8</f>
        <v>1.032</v>
      </c>
      <c r="Y314" s="9">
        <f t="shared" ref="Y314:AA314" si="1628">Y311*$E$8</f>
        <v>0.92399999999999993</v>
      </c>
      <c r="Z314" s="9">
        <f t="shared" si="1628"/>
        <v>1.08</v>
      </c>
      <c r="AA314" s="9">
        <f t="shared" si="1628"/>
        <v>1.248</v>
      </c>
      <c r="AB314" s="42">
        <f>X314*VLOOKUP($B314,Types!$B$2:$D$13,3,FALSE)*Conv!$I$5*1000*365</f>
        <v>1.091629119538944</v>
      </c>
      <c r="AC314" s="42">
        <f>Y314*VLOOKUP($B314,Types!$B$2:$D$13,3,FALSE)*Conv!$I$5*1000*365</f>
        <v>0.97738886284300774</v>
      </c>
      <c r="AD314" s="42">
        <f>Z314*VLOOKUP($B314,Types!$B$2:$D$13,3,FALSE)*Conv!$I$5*1000*365</f>
        <v>1.14240256695936</v>
      </c>
      <c r="AE314" s="42">
        <f>AA314*VLOOKUP($B314,Types!$B$2:$D$13,3,FALSE)*Conv!$I$5*1000*365</f>
        <v>1.3201096329308157</v>
      </c>
      <c r="AF314" s="42">
        <f>AB314-AB311</f>
        <v>0.18193818658982419</v>
      </c>
      <c r="AG314" s="42">
        <f t="shared" ref="AG314" si="1629">AC314-AC311</f>
        <v>0.16289814380716783</v>
      </c>
      <c r="AH314" s="42">
        <f t="shared" ref="AH314" si="1630">AD314-AD311</f>
        <v>0.19040042782656019</v>
      </c>
      <c r="AI314" s="42">
        <f t="shared" ref="AI314" si="1631">AE314-AE311</f>
        <v>0.22001827215513581</v>
      </c>
      <c r="AJ314" s="42"/>
      <c r="AK314" s="42"/>
      <c r="AL314" s="42"/>
    </row>
    <row r="315" spans="1:38">
      <c r="A315" s="9" t="str">
        <f t="shared" si="1621"/>
        <v>Methanol</v>
      </c>
      <c r="B315" s="9" t="str">
        <f>VLOOKUP($A315,Types!$A$2:$C$13,2,FALSE)</f>
        <v>MTH</v>
      </c>
      <c r="C315" s="9">
        <v>5</v>
      </c>
      <c r="D315" s="9">
        <v>5</v>
      </c>
      <c r="E315" s="9" t="str">
        <f t="shared" si="1583"/>
        <v>IMPMTHP55</v>
      </c>
      <c r="F315" s="9" t="str">
        <f>CONCATENATE("Imported ",VLOOKUP($A315,Types!$A$2:$C$13,3,FALSE),", PADD ",D315,", Step ",RIGHT(C315,1))</f>
        <v>Imported Methanol, PADD 5, Step 5</v>
      </c>
      <c r="G315" s="9" t="str">
        <f>CONCATENATE(VLOOKUP($A315,Types!$A$2:$C$13,2,FALSE),"P",D315)</f>
        <v>MTHP5</v>
      </c>
      <c r="H315" s="66">
        <f>H311*$C$9</f>
        <v>66.580800000000011</v>
      </c>
      <c r="I315" s="66">
        <f t="shared" ref="I315:K315" si="1632">I311*$C$9</f>
        <v>65.865800000000007</v>
      </c>
      <c r="J315" s="66">
        <f t="shared" si="1632"/>
        <v>59.878000000000007</v>
      </c>
      <c r="K315" s="66">
        <f t="shared" si="1632"/>
        <v>59.878000000000007</v>
      </c>
      <c r="L315" s="67">
        <f>H315*Conv!$J$20/10^6/VLOOKUP($B315,Types!$B$2:$D$13,3,FALSE)/Conv!$I$5</f>
        <v>35.254118145319325</v>
      </c>
      <c r="M315" s="67">
        <f>I315*Conv!$J$20/10^6/VLOOKUP($B315,Types!$B$2:$D$13,3,FALSE)/Conv!$I$5</f>
        <v>34.875530106817173</v>
      </c>
      <c r="N315" s="67" t="e">
        <f>M315*#REF!</f>
        <v>#REF!</v>
      </c>
      <c r="O315" s="67" t="e">
        <f>N315*#REF!</f>
        <v>#REF!</v>
      </c>
      <c r="P315" s="67" t="e">
        <f>O315*#REF!</f>
        <v>#REF!</v>
      </c>
      <c r="Q315" s="67" t="e">
        <f>P315*#REF!</f>
        <v>#REF!</v>
      </c>
      <c r="R315" s="67" t="e">
        <f>Q315*#REF!</f>
        <v>#REF!</v>
      </c>
      <c r="S315" s="67" t="e">
        <f>R315*#REF!</f>
        <v>#REF!</v>
      </c>
      <c r="T315" s="67" t="e">
        <f>S315*#REF!</f>
        <v>#REF!</v>
      </c>
      <c r="U315" s="67" t="e">
        <f>T315*#REF!</f>
        <v>#REF!</v>
      </c>
      <c r="V315" s="67" t="e">
        <f>U315*#REF!</f>
        <v>#REF!</v>
      </c>
      <c r="W315" s="42"/>
      <c r="X315" s="9">
        <f>X311*$E$9</f>
        <v>1.72</v>
      </c>
      <c r="Y315" s="9">
        <f t="shared" ref="Y315:AA315" si="1633">Y311*$E$9</f>
        <v>1.54</v>
      </c>
      <c r="Z315" s="9">
        <f t="shared" si="1633"/>
        <v>1.8</v>
      </c>
      <c r="AA315" s="9">
        <f t="shared" si="1633"/>
        <v>2.08</v>
      </c>
      <c r="AB315" s="42">
        <f>X315*VLOOKUP($B315,Types!$B$2:$D$13,3,FALSE)*Conv!$I$5*1000*365</f>
        <v>1.8193818658982397</v>
      </c>
      <c r="AC315" s="42">
        <f>Y315*VLOOKUP($B315,Types!$B$2:$D$13,3,FALSE)*Conv!$I$5*1000*365</f>
        <v>1.6289814380716798</v>
      </c>
      <c r="AD315" s="42">
        <f>Z315*VLOOKUP($B315,Types!$B$2:$D$13,3,FALSE)*Conv!$I$5*1000*365</f>
        <v>1.9040042782655997</v>
      </c>
      <c r="AE315" s="42">
        <f>AA315*VLOOKUP($B315,Types!$B$2:$D$13,3,FALSE)*Conv!$I$5*1000*365</f>
        <v>2.2001827215513599</v>
      </c>
      <c r="AF315" s="42">
        <f>AB315-AB314</f>
        <v>0.72775274635929565</v>
      </c>
      <c r="AG315" s="42">
        <f t="shared" ref="AG315" si="1634">AC315-AC314</f>
        <v>0.65159257522867209</v>
      </c>
      <c r="AH315" s="42">
        <f t="shared" ref="AH315" si="1635">AD315-AD314</f>
        <v>0.76160171130623966</v>
      </c>
      <c r="AI315" s="42">
        <f t="shared" ref="AI315" si="1636">AE315-AE314</f>
        <v>0.88007308862054412</v>
      </c>
      <c r="AJ315" s="42"/>
      <c r="AK315" s="42"/>
      <c r="AL315" s="42"/>
    </row>
    <row r="316" spans="1:38">
      <c r="A316" s="9" t="str">
        <f>'Agg prdcrv'!$A$19</f>
        <v>ULS Diesel (15 ppm)</v>
      </c>
      <c r="B316" s="9" t="str">
        <f>VLOOKUP($A316,Types!$A$2:$C$13,2,FALSE)</f>
        <v>DSU</v>
      </c>
      <c r="C316" s="9">
        <v>3</v>
      </c>
      <c r="D316" s="9">
        <v>5</v>
      </c>
      <c r="E316" s="9" t="str">
        <f t="shared" si="1583"/>
        <v>IMPDSUP53</v>
      </c>
      <c r="F316" s="9" t="str">
        <f>CONCATENATE("Imported ",VLOOKUP($A316,Types!$A$2:$C$13,3,FALSE),", PADD ",D316,", Step ",RIGHT(C316,1))</f>
        <v>Imported Distillate-Ultralow Sulfur Highway Diesel (15 ppm), PADD 5, Step 3</v>
      </c>
      <c r="G316" s="9" t="str">
        <f>CONCATENATE(VLOOKUP($A316,Types!$A$2:$C$13,2,FALSE),"P",D316)</f>
        <v>DSUP5</v>
      </c>
      <c r="H316" s="66">
        <f>SUMIFS('Agg prdcrv'!$P$6:$P$100,'Agg prdcrv'!$A$6:$A$100,'Imp Refined'!$A316,'Agg prdcrv'!$B$6:$B$100,H$11)*K4</f>
        <v>70.444000000000017</v>
      </c>
      <c r="I316" s="66">
        <f>SUMIFS('Agg prdcrv'!$P$6:$P$100,'Agg prdcrv'!$A$6:$A$100,'Imp Refined'!$A316,'Agg prdcrv'!$B$6:$B$100,I$11)*K4</f>
        <v>54.560000000000009</v>
      </c>
      <c r="J316" s="66">
        <f t="array" ref="J316">SUMIFS('Agg prdcrv'!$P$6:$P$100,'Agg prdcrv'!$A$6:$A$100,'Imp Refined'!$A316,'Agg prdcrv'!$B$6:$B$100,J$11)</f>
        <v>42.21</v>
      </c>
      <c r="K316" s="66">
        <f t="array" ref="K316">SUMIFS('Agg prdcrv'!$P$6:$P$100,'Agg prdcrv'!$A$6:$A$100,'Imp Refined'!$A316,'Agg prdcrv'!$B$6:$B$100,K$11)</f>
        <v>44.43</v>
      </c>
      <c r="L316" s="67">
        <f>H316*Conv!$J$20/10^6/VLOOKUP($B316,Types!$B$2:$D$13,3,FALSE)/Conv!$I$5</f>
        <v>17.588790008863068</v>
      </c>
      <c r="M316" s="67">
        <f>I316*Conv!$J$20/10^6/VLOOKUP($B316,Types!$B$2:$D$13,3,FALSE)/Conv!$I$5</f>
        <v>13.622798008113806</v>
      </c>
      <c r="N316" s="67" t="e">
        <f>M316*#REF!</f>
        <v>#REF!</v>
      </c>
      <c r="O316" s="67" t="e">
        <f>N316*#REF!</f>
        <v>#REF!</v>
      </c>
      <c r="P316" s="67" t="e">
        <f>O316*#REF!</f>
        <v>#REF!</v>
      </c>
      <c r="Q316" s="67" t="e">
        <f>P316*#REF!</f>
        <v>#REF!</v>
      </c>
      <c r="R316" s="67" t="e">
        <f>Q316*#REF!</f>
        <v>#REF!</v>
      </c>
      <c r="S316" s="67" t="e">
        <f>R316*#REF!</f>
        <v>#REF!</v>
      </c>
      <c r="T316" s="67" t="e">
        <f>S316*#REF!</f>
        <v>#REF!</v>
      </c>
      <c r="U316" s="67" t="e">
        <f>T316*#REF!</f>
        <v>#REF!</v>
      </c>
      <c r="V316" s="67" t="e">
        <f>U316*#REF!</f>
        <v>#REF!</v>
      </c>
      <c r="W316" s="42"/>
      <c r="X316" s="9">
        <f t="array" ref="X316">SUMIFS('Agg prdcrv'!$H$6:$H$100,'Agg prdcrv'!$A$6:$A$100,'Imp Refined'!$A316,'Agg prdcrv'!$B$6:$B$100,X$11)</f>
        <v>4.3499999999999996</v>
      </c>
      <c r="Y316" s="9">
        <f t="array" ref="Y316">SUMIFS('Agg prdcrv'!$H$6:$H$100,'Agg prdcrv'!$A$6:$A$100,'Imp Refined'!$A316,'Agg prdcrv'!$B$6:$B$100,Y$11)</f>
        <v>14.48</v>
      </c>
      <c r="Z316" s="9">
        <f t="array" ref="Z316">SUMIFS('Agg prdcrv'!$H$6:$H$100,'Agg prdcrv'!$A$6:$A$100,'Imp Refined'!$A316,'Agg prdcrv'!$B$6:$B$100,Z$11)</f>
        <v>17.190000000000001</v>
      </c>
      <c r="AA316" s="9">
        <f t="array" ref="AA316">SUMIFS('Agg prdcrv'!$H$6:$H$100,'Agg prdcrv'!$A$6:$A$100,'Imp Refined'!$A316,'Agg prdcrv'!$B$6:$B$100,AA$11)</f>
        <v>20.420000000000002</v>
      </c>
      <c r="AB316" s="42">
        <f>X316*VLOOKUP($B316,Types!$B$2:$D$13,3,FALSE)*Conv!$I$5*1000*365</f>
        <v>9.7578370802999981</v>
      </c>
      <c r="AC316" s="42">
        <f>Y316*VLOOKUP($B316,Types!$B$2:$D$13,3,FALSE)*Conv!$I$5*1000*365</f>
        <v>32.481259982239997</v>
      </c>
      <c r="AD316" s="42">
        <f>Z316*VLOOKUP($B316,Types!$B$2:$D$13,3,FALSE)*Conv!$I$5*1000*365</f>
        <v>38.560280324220003</v>
      </c>
      <c r="AE316" s="42">
        <f>AA316*VLOOKUP($B316,Types!$B$2:$D$13,3,FALSE)*Conv!$I$5*1000*365</f>
        <v>45.805754753960002</v>
      </c>
      <c r="AF316" s="42">
        <f>AB316-AB318</f>
        <v>0.97578370802999892</v>
      </c>
      <c r="AG316" s="42">
        <f t="shared" ref="AG316" si="1637">AC316-AC318</f>
        <v>3.2481259982240012</v>
      </c>
      <c r="AH316" s="42">
        <f t="shared" ref="AH316" si="1638">AD316-AD318</f>
        <v>3.8560280324220031</v>
      </c>
      <c r="AI316" s="42">
        <f t="shared" ref="AI316" si="1639">AE316-AE318</f>
        <v>4.580575475395996</v>
      </c>
      <c r="AJ316" s="42"/>
      <c r="AK316" s="42"/>
      <c r="AL316" s="42"/>
    </row>
    <row r="317" spans="1:38">
      <c r="A317" s="9" t="str">
        <f>A316</f>
        <v>ULS Diesel (15 ppm)</v>
      </c>
      <c r="B317" s="9" t="str">
        <f>VLOOKUP($A317,Types!$A$2:$C$13,2,FALSE)</f>
        <v>DSU</v>
      </c>
      <c r="C317" s="9">
        <v>1</v>
      </c>
      <c r="D317" s="9">
        <v>5</v>
      </c>
      <c r="E317" s="9" t="str">
        <f t="shared" si="1583"/>
        <v>IMPDSUP51</v>
      </c>
      <c r="F317" s="9" t="str">
        <f>CONCATENATE("Imported ",VLOOKUP($A317,Types!$A$2:$C$13,3,FALSE),", PADD ",D317,", Step ",RIGHT(C317,1))</f>
        <v>Imported Distillate-Ultralow Sulfur Highway Diesel (15 ppm), PADD 5, Step 1</v>
      </c>
      <c r="G317" s="9" t="str">
        <f>CONCATENATE(VLOOKUP($A317,Types!$A$2:$C$13,2,FALSE),"P",D317)</f>
        <v>DSUP5</v>
      </c>
      <c r="H317" s="66">
        <f>H316*$C$5</f>
        <v>66.921800000000019</v>
      </c>
      <c r="I317" s="66">
        <f t="shared" ref="I317" si="1640">I316*$C$5</f>
        <v>51.832000000000008</v>
      </c>
      <c r="J317" s="66">
        <f t="shared" ref="J317" si="1641">J316*$C$5</f>
        <v>40.099499999999999</v>
      </c>
      <c r="K317" s="66">
        <f t="shared" ref="K317" si="1642">K316*$C$5</f>
        <v>42.208500000000001</v>
      </c>
      <c r="L317" s="67">
        <f>H317*Conv!$J$20/10^6/VLOOKUP($B317,Types!$B$2:$D$13,3,FALSE)/Conv!$I$5</f>
        <v>16.709350508419917</v>
      </c>
      <c r="M317" s="67">
        <f>I317*Conv!$J$20/10^6/VLOOKUP($B317,Types!$B$2:$D$13,3,FALSE)/Conv!$I$5</f>
        <v>12.941658107708117</v>
      </c>
      <c r="N317" s="67" t="e">
        <f>M317*#REF!</f>
        <v>#REF!</v>
      </c>
      <c r="O317" s="67" t="e">
        <f>N317*#REF!</f>
        <v>#REF!</v>
      </c>
      <c r="P317" s="67" t="e">
        <f>O317*#REF!</f>
        <v>#REF!</v>
      </c>
      <c r="Q317" s="67" t="e">
        <f>P317*#REF!</f>
        <v>#REF!</v>
      </c>
      <c r="R317" s="67" t="e">
        <f>Q317*#REF!</f>
        <v>#REF!</v>
      </c>
      <c r="S317" s="67" t="e">
        <f>R317*#REF!</f>
        <v>#REF!</v>
      </c>
      <c r="T317" s="67" t="e">
        <f>S317*#REF!</f>
        <v>#REF!</v>
      </c>
      <c r="U317" s="67" t="e">
        <f>T317*#REF!</f>
        <v>#REF!</v>
      </c>
      <c r="V317" s="67" t="e">
        <f>U317*#REF!</f>
        <v>#REF!</v>
      </c>
      <c r="W317" s="42"/>
      <c r="X317" s="9">
        <f>X316*$E$5</f>
        <v>3.48</v>
      </c>
      <c r="Y317" s="9">
        <f t="shared" ref="Y317" si="1643">Y316*$E$5</f>
        <v>11.584000000000001</v>
      </c>
      <c r="Z317" s="9">
        <f t="shared" ref="Z317" si="1644">Z316*$E$5</f>
        <v>13.752000000000002</v>
      </c>
      <c r="AA317" s="9">
        <f t="shared" ref="AA317" si="1645">AA316*$E$5</f>
        <v>16.336000000000002</v>
      </c>
      <c r="AB317" s="42">
        <f>X317*VLOOKUP($B317,Types!$B$2:$D$13,3,FALSE)*Conv!$I$5*1000*365</f>
        <v>7.8062696642399994</v>
      </c>
      <c r="AC317" s="42">
        <f>Y317*VLOOKUP($B317,Types!$B$2:$D$13,3,FALSE)*Conv!$I$5*1000*365</f>
        <v>25.985007985792006</v>
      </c>
      <c r="AD317" s="42">
        <f>Z317*VLOOKUP($B317,Types!$B$2:$D$13,3,FALSE)*Conv!$I$5*1000*365</f>
        <v>30.848224259376003</v>
      </c>
      <c r="AE317" s="42">
        <f>AA317*VLOOKUP($B317,Types!$B$2:$D$13,3,FALSE)*Conv!$I$5*1000*365</f>
        <v>36.644603803168003</v>
      </c>
      <c r="AF317" s="42">
        <f>AB317</f>
        <v>7.8062696642399994</v>
      </c>
      <c r="AG317" s="42">
        <f t="shared" ref="AG317" si="1646">AC317</f>
        <v>25.985007985792006</v>
      </c>
      <c r="AH317" s="42">
        <f t="shared" ref="AH317" si="1647">AD317</f>
        <v>30.848224259376003</v>
      </c>
      <c r="AI317" s="42">
        <f t="shared" ref="AI317" si="1648">AE317</f>
        <v>36.644603803168003</v>
      </c>
      <c r="AJ317" s="42"/>
      <c r="AK317" s="42"/>
      <c r="AL317" s="42"/>
    </row>
    <row r="318" spans="1:38">
      <c r="A318" s="9" t="str">
        <f t="shared" ref="A318:A320" si="1649">A317</f>
        <v>ULS Diesel (15 ppm)</v>
      </c>
      <c r="B318" s="9" t="str">
        <f>VLOOKUP($A318,Types!$A$2:$C$13,2,FALSE)</f>
        <v>DSU</v>
      </c>
      <c r="C318" s="9">
        <v>2</v>
      </c>
      <c r="D318" s="9">
        <v>5</v>
      </c>
      <c r="E318" s="9" t="str">
        <f t="shared" si="1583"/>
        <v>IMPDSUP52</v>
      </c>
      <c r="F318" s="9" t="str">
        <f>CONCATENATE("Imported ",VLOOKUP($A318,Types!$A$2:$C$13,3,FALSE),", PADD ",D318,", Step ",RIGHT(C318,1))</f>
        <v>Imported Distillate-Ultralow Sulfur Highway Diesel (15 ppm), PADD 5, Step 2</v>
      </c>
      <c r="G318" s="9" t="str">
        <f>CONCATENATE(VLOOKUP($A318,Types!$A$2:$C$13,2,FALSE),"P",D318)</f>
        <v>DSUP5</v>
      </c>
      <c r="H318" s="66">
        <f>H316*$C$6</f>
        <v>69.03512000000002</v>
      </c>
      <c r="I318" s="66">
        <f t="shared" ref="I318:K318" si="1650">I316*$C$6</f>
        <v>53.468800000000009</v>
      </c>
      <c r="J318" s="66">
        <f t="shared" si="1650"/>
        <v>41.3658</v>
      </c>
      <c r="K318" s="66">
        <f t="shared" si="1650"/>
        <v>43.541399999999996</v>
      </c>
      <c r="L318" s="67">
        <f>H318*Conv!$J$20/10^6/VLOOKUP($B318,Types!$B$2:$D$13,3,FALSE)/Conv!$I$5</f>
        <v>17.237014208685807</v>
      </c>
      <c r="M318" s="67">
        <f>I318*Conv!$J$20/10^6/VLOOKUP($B318,Types!$B$2:$D$13,3,FALSE)/Conv!$I$5</f>
        <v>13.350342047951532</v>
      </c>
      <c r="N318" s="67" t="e">
        <f>M318*#REF!</f>
        <v>#REF!</v>
      </c>
      <c r="O318" s="67" t="e">
        <f>N318*#REF!</f>
        <v>#REF!</v>
      </c>
      <c r="P318" s="67" t="e">
        <f>O318*#REF!</f>
        <v>#REF!</v>
      </c>
      <c r="Q318" s="67" t="e">
        <f>P318*#REF!</f>
        <v>#REF!</v>
      </c>
      <c r="R318" s="67" t="e">
        <f>Q318*#REF!</f>
        <v>#REF!</v>
      </c>
      <c r="S318" s="67" t="e">
        <f>R318*#REF!</f>
        <v>#REF!</v>
      </c>
      <c r="T318" s="67" t="e">
        <f>S318*#REF!</f>
        <v>#REF!</v>
      </c>
      <c r="U318" s="67" t="e">
        <f>T318*#REF!</f>
        <v>#REF!</v>
      </c>
      <c r="V318" s="67" t="e">
        <f>U318*#REF!</f>
        <v>#REF!</v>
      </c>
      <c r="W318" s="42"/>
      <c r="X318" s="9">
        <f>X316*$E$6</f>
        <v>3.9149999999999996</v>
      </c>
      <c r="Y318" s="9">
        <f t="shared" ref="Y318:AA318" si="1651">Y316*$E$6</f>
        <v>13.032</v>
      </c>
      <c r="Z318" s="9">
        <f t="shared" si="1651"/>
        <v>15.471000000000002</v>
      </c>
      <c r="AA318" s="9">
        <f t="shared" si="1651"/>
        <v>18.378000000000004</v>
      </c>
      <c r="AB318" s="42">
        <f>X318*VLOOKUP($B318,Types!$B$2:$D$13,3,FALSE)*Conv!$I$5*1000*365</f>
        <v>8.7820533722699992</v>
      </c>
      <c r="AC318" s="42">
        <f>Y318*VLOOKUP($B318,Types!$B$2:$D$13,3,FALSE)*Conv!$I$5*1000*365</f>
        <v>29.233133984015996</v>
      </c>
      <c r="AD318" s="42">
        <f>Z318*VLOOKUP($B318,Types!$B$2:$D$13,3,FALSE)*Conv!$I$5*1000*365</f>
        <v>34.704252291797999</v>
      </c>
      <c r="AE318" s="42">
        <f>AA318*VLOOKUP($B318,Types!$B$2:$D$13,3,FALSE)*Conv!$I$5*1000*365</f>
        <v>41.225179278564006</v>
      </c>
      <c r="AF318" s="42">
        <f>AB318-AF317</f>
        <v>0.97578370802999981</v>
      </c>
      <c r="AG318" s="42">
        <f t="shared" ref="AG318" si="1652">AC318-AG317</f>
        <v>3.2481259982239905</v>
      </c>
      <c r="AH318" s="42">
        <f t="shared" ref="AH318" si="1653">AD318-AH317</f>
        <v>3.856028032421996</v>
      </c>
      <c r="AI318" s="42">
        <f t="shared" ref="AI318" si="1654">AE318-AI317</f>
        <v>4.5805754753960031</v>
      </c>
      <c r="AJ318" s="42"/>
      <c r="AK318" s="42"/>
      <c r="AL318" s="42"/>
    </row>
    <row r="319" spans="1:38">
      <c r="A319" s="9" t="str">
        <f t="shared" si="1649"/>
        <v>ULS Diesel (15 ppm)</v>
      </c>
      <c r="B319" s="9" t="str">
        <f>VLOOKUP($A319,Types!$A$2:$C$13,2,FALSE)</f>
        <v>DSU</v>
      </c>
      <c r="C319" s="9">
        <v>4</v>
      </c>
      <c r="D319" s="9">
        <v>5</v>
      </c>
      <c r="E319" s="9" t="str">
        <f t="shared" si="1583"/>
        <v>IMPDSUP54</v>
      </c>
      <c r="F319" s="9" t="str">
        <f>CONCATENATE("Imported ",VLOOKUP($A319,Types!$A$2:$C$13,3,FALSE),", PADD ",D319,", Step ",RIGHT(C319,1))</f>
        <v>Imported Distillate-Ultralow Sulfur Highway Diesel (15 ppm), PADD 5, Step 4</v>
      </c>
      <c r="G319" s="9" t="str">
        <f>CONCATENATE(VLOOKUP($A319,Types!$A$2:$C$13,2,FALSE),"P",D319)</f>
        <v>DSUP5</v>
      </c>
      <c r="H319" s="66">
        <f>H316*$C$8</f>
        <v>76.783960000000022</v>
      </c>
      <c r="I319" s="66">
        <f t="shared" ref="I319:K319" si="1655">I316*$C$8</f>
        <v>59.470400000000012</v>
      </c>
      <c r="J319" s="66">
        <f t="shared" si="1655"/>
        <v>46.008900000000004</v>
      </c>
      <c r="K319" s="66">
        <f t="shared" si="1655"/>
        <v>48.428700000000006</v>
      </c>
      <c r="L319" s="67">
        <f>H319*Conv!$J$20/10^6/VLOOKUP($B319,Types!$B$2:$D$13,3,FALSE)/Conv!$I$5</f>
        <v>19.171781109660749</v>
      </c>
      <c r="M319" s="67">
        <f>I319*Conv!$J$20/10^6/VLOOKUP($B319,Types!$B$2:$D$13,3,FALSE)/Conv!$I$5</f>
        <v>14.848849828844047</v>
      </c>
      <c r="N319" s="67" t="e">
        <f>M319*#REF!</f>
        <v>#REF!</v>
      </c>
      <c r="O319" s="67" t="e">
        <f>N319*#REF!</f>
        <v>#REF!</v>
      </c>
      <c r="P319" s="67" t="e">
        <f>O319*#REF!</f>
        <v>#REF!</v>
      </c>
      <c r="Q319" s="67" t="e">
        <f>P319*#REF!</f>
        <v>#REF!</v>
      </c>
      <c r="R319" s="67" t="e">
        <f>Q319*#REF!</f>
        <v>#REF!</v>
      </c>
      <c r="S319" s="67" t="e">
        <f>R319*#REF!</f>
        <v>#REF!</v>
      </c>
      <c r="T319" s="67" t="e">
        <f>S319*#REF!</f>
        <v>#REF!</v>
      </c>
      <c r="U319" s="67" t="e">
        <f>T319*#REF!</f>
        <v>#REF!</v>
      </c>
      <c r="V319" s="67" t="e">
        <f>U319*#REF!</f>
        <v>#REF!</v>
      </c>
      <c r="W319" s="42"/>
      <c r="X319" s="9">
        <f>X316*$E$8</f>
        <v>5.22</v>
      </c>
      <c r="Y319" s="9">
        <f t="shared" ref="Y319:AA319" si="1656">Y316*$E$8</f>
        <v>17.376000000000001</v>
      </c>
      <c r="Z319" s="9">
        <f t="shared" si="1656"/>
        <v>20.628</v>
      </c>
      <c r="AA319" s="9">
        <f t="shared" si="1656"/>
        <v>24.504000000000001</v>
      </c>
      <c r="AB319" s="42">
        <f>X319*VLOOKUP($B319,Types!$B$2:$D$13,3,FALSE)*Conv!$I$5*1000*365</f>
        <v>11.709404496359999</v>
      </c>
      <c r="AC319" s="42">
        <f>Y319*VLOOKUP($B319,Types!$B$2:$D$13,3,FALSE)*Conv!$I$5*1000*365</f>
        <v>38.977511978688</v>
      </c>
      <c r="AD319" s="42">
        <f>Z319*VLOOKUP($B319,Types!$B$2:$D$13,3,FALSE)*Conv!$I$5*1000*365</f>
        <v>46.272336389063994</v>
      </c>
      <c r="AE319" s="42">
        <f>AA319*VLOOKUP($B319,Types!$B$2:$D$13,3,FALSE)*Conv!$I$5*1000*365</f>
        <v>54.966905704751994</v>
      </c>
      <c r="AF319" s="42">
        <f>AB319-AB316</f>
        <v>1.9515674160600014</v>
      </c>
      <c r="AG319" s="42">
        <f t="shared" ref="AG319" si="1657">AC319-AC316</f>
        <v>6.4962519964480023</v>
      </c>
      <c r="AH319" s="42">
        <f t="shared" ref="AH319" si="1658">AD319-AD316</f>
        <v>7.712056064843992</v>
      </c>
      <c r="AI319" s="42">
        <f t="shared" ref="AI319" si="1659">AE319-AE316</f>
        <v>9.1611509507919919</v>
      </c>
      <c r="AJ319" s="42"/>
      <c r="AK319" s="42"/>
      <c r="AL319" s="42"/>
    </row>
    <row r="320" spans="1:38">
      <c r="A320" s="9" t="str">
        <f t="shared" si="1649"/>
        <v>ULS Diesel (15 ppm)</v>
      </c>
      <c r="B320" s="9" t="str">
        <f>VLOOKUP($A320,Types!$A$2:$C$13,2,FALSE)</f>
        <v>DSU</v>
      </c>
      <c r="C320" s="9">
        <v>5</v>
      </c>
      <c r="D320" s="9">
        <v>5</v>
      </c>
      <c r="E320" s="9" t="str">
        <f t="shared" si="1583"/>
        <v>IMPDSUP55</v>
      </c>
      <c r="F320" s="9" t="str">
        <f>CONCATENATE("Imported ",VLOOKUP($A320,Types!$A$2:$C$13,3,FALSE),", PADD ",D320,", Step ",RIGHT(C320,1))</f>
        <v>Imported Distillate-Ultralow Sulfur Highway Diesel (15 ppm), PADD 5, Step 5</v>
      </c>
      <c r="G320" s="9" t="str">
        <f>CONCATENATE(VLOOKUP($A320,Types!$A$2:$C$13,2,FALSE),"P",D320)</f>
        <v>DSUP5</v>
      </c>
      <c r="H320" s="66">
        <f>H316*$C$9</f>
        <v>91.577200000000019</v>
      </c>
      <c r="I320" s="66">
        <f t="shared" ref="I320:K320" si="1660">I316*$C$9</f>
        <v>70.928000000000011</v>
      </c>
      <c r="J320" s="66">
        <f t="shared" si="1660"/>
        <v>54.873000000000005</v>
      </c>
      <c r="K320" s="66">
        <f t="shared" si="1660"/>
        <v>57.759</v>
      </c>
      <c r="L320" s="67">
        <f>H320*Conv!$J$20/10^6/VLOOKUP($B320,Types!$B$2:$D$13,3,FALSE)/Conv!$I$5</f>
        <v>22.865427011521987</v>
      </c>
      <c r="M320" s="67">
        <f>I320*Conv!$J$20/10^6/VLOOKUP($B320,Types!$B$2:$D$13,3,FALSE)/Conv!$I$5</f>
        <v>17.709637410547948</v>
      </c>
      <c r="N320" s="67" t="e">
        <f>M320*#REF!</f>
        <v>#REF!</v>
      </c>
      <c r="O320" s="67" t="e">
        <f>N320*#REF!</f>
        <v>#REF!</v>
      </c>
      <c r="P320" s="67" t="e">
        <f>O320*#REF!</f>
        <v>#REF!</v>
      </c>
      <c r="Q320" s="67" t="e">
        <f>P320*#REF!</f>
        <v>#REF!</v>
      </c>
      <c r="R320" s="67" t="e">
        <f>Q320*#REF!</f>
        <v>#REF!</v>
      </c>
      <c r="S320" s="67" t="e">
        <f>R320*#REF!</f>
        <v>#REF!</v>
      </c>
      <c r="T320" s="67" t="e">
        <f>S320*#REF!</f>
        <v>#REF!</v>
      </c>
      <c r="U320" s="67" t="e">
        <f>T320*#REF!</f>
        <v>#REF!</v>
      </c>
      <c r="V320" s="67" t="e">
        <f>U320*#REF!</f>
        <v>#REF!</v>
      </c>
      <c r="W320" s="42"/>
      <c r="X320" s="9">
        <f>X316*$E$9</f>
        <v>8.6999999999999993</v>
      </c>
      <c r="Y320" s="9">
        <f t="shared" ref="Y320:AA320" si="1661">Y316*$E$9</f>
        <v>28.96</v>
      </c>
      <c r="Z320" s="9">
        <f t="shared" si="1661"/>
        <v>34.380000000000003</v>
      </c>
      <c r="AA320" s="9">
        <f t="shared" si="1661"/>
        <v>40.840000000000003</v>
      </c>
      <c r="AB320" s="42">
        <f>X320*VLOOKUP($B320,Types!$B$2:$D$13,3,FALSE)*Conv!$I$5*1000*365</f>
        <v>19.515674160599996</v>
      </c>
      <c r="AC320" s="42">
        <f>Y320*VLOOKUP($B320,Types!$B$2:$D$13,3,FALSE)*Conv!$I$5*1000*365</f>
        <v>64.962519964479995</v>
      </c>
      <c r="AD320" s="42">
        <f>Z320*VLOOKUP($B320,Types!$B$2:$D$13,3,FALSE)*Conv!$I$5*1000*365</f>
        <v>77.120560648440005</v>
      </c>
      <c r="AE320" s="42">
        <f>AA320*VLOOKUP($B320,Types!$B$2:$D$13,3,FALSE)*Conv!$I$5*1000*365</f>
        <v>91.611509507920005</v>
      </c>
      <c r="AF320" s="42">
        <f>AB320-AB319</f>
        <v>7.8062696642399967</v>
      </c>
      <c r="AG320" s="42">
        <f t="shared" ref="AG320" si="1662">AC320-AC319</f>
        <v>25.985007985791995</v>
      </c>
      <c r="AH320" s="42">
        <f t="shared" ref="AH320" si="1663">AD320-AD319</f>
        <v>30.848224259376011</v>
      </c>
      <c r="AI320" s="42">
        <f t="shared" ref="AI320" si="1664">AE320-AE319</f>
        <v>36.64460380316801</v>
      </c>
      <c r="AJ320" s="42"/>
      <c r="AK320" s="42"/>
      <c r="AL320" s="42"/>
    </row>
    <row r="321" spans="1:38">
      <c r="A321" s="9" t="s">
        <v>398</v>
      </c>
      <c r="L321" s="42"/>
      <c r="M321" s="42"/>
      <c r="N321" s="42"/>
      <c r="O321" s="42"/>
      <c r="P321" s="42"/>
      <c r="Q321" s="42"/>
      <c r="R321" s="42"/>
      <c r="S321" s="42"/>
      <c r="T321" s="42"/>
      <c r="U321" s="42"/>
      <c r="V321" s="42"/>
      <c r="W321" s="42"/>
      <c r="AB321" s="42"/>
      <c r="AC321" s="42"/>
      <c r="AD321" s="42"/>
      <c r="AE321" s="42"/>
      <c r="AF321" s="42"/>
      <c r="AG321" s="42"/>
      <c r="AH321" s="42"/>
      <c r="AI321" s="42"/>
      <c r="AJ321" s="42"/>
      <c r="AK321" s="42"/>
      <c r="AL321" s="42"/>
    </row>
    <row r="322" spans="1:38">
      <c r="L322" s="42"/>
      <c r="M322" s="42"/>
      <c r="N322" s="42"/>
      <c r="O322" s="42"/>
      <c r="P322" s="42"/>
      <c r="Q322" s="42"/>
      <c r="R322" s="42"/>
      <c r="S322" s="42"/>
      <c r="T322" s="42"/>
      <c r="U322" s="42"/>
      <c r="V322" s="42"/>
      <c r="W322" s="42"/>
      <c r="AB322" s="42"/>
      <c r="AC322" s="42"/>
      <c r="AD322" s="42"/>
      <c r="AE322" s="42"/>
      <c r="AF322" s="42"/>
      <c r="AG322" s="42"/>
      <c r="AH322" s="42"/>
      <c r="AI322" s="42"/>
      <c r="AJ322" s="42"/>
      <c r="AK322" s="42"/>
      <c r="AL322" s="42"/>
    </row>
    <row r="323" spans="1:38">
      <c r="L323" s="42"/>
      <c r="M323" s="42"/>
      <c r="N323" s="42"/>
      <c r="O323" s="42"/>
      <c r="P323" s="42"/>
      <c r="Q323" s="42"/>
      <c r="R323" s="42"/>
      <c r="S323" s="42"/>
      <c r="T323" s="42"/>
      <c r="U323" s="42"/>
      <c r="V323" s="42"/>
      <c r="W323" s="42"/>
      <c r="AB323" s="42"/>
      <c r="AC323" s="42"/>
      <c r="AD323" s="42"/>
      <c r="AE323" s="42"/>
      <c r="AF323" s="42"/>
      <c r="AG323" s="42"/>
      <c r="AH323" s="42"/>
      <c r="AI323" s="42"/>
      <c r="AJ323" s="42"/>
      <c r="AK323" s="42"/>
      <c r="AL323" s="42"/>
    </row>
    <row r="324" spans="1:38">
      <c r="L324" s="42"/>
      <c r="M324" s="42"/>
      <c r="N324" s="42"/>
      <c r="O324" s="42"/>
      <c r="P324" s="42"/>
      <c r="Q324" s="42"/>
      <c r="R324" s="42"/>
      <c r="S324" s="42"/>
      <c r="T324" s="42"/>
      <c r="U324" s="42"/>
      <c r="V324" s="42"/>
      <c r="W324" s="42"/>
      <c r="AB324" s="42"/>
      <c r="AC324" s="42"/>
      <c r="AD324" s="42"/>
      <c r="AE324" s="42"/>
      <c r="AF324" s="42"/>
      <c r="AG324" s="42"/>
      <c r="AH324" s="42"/>
      <c r="AI324" s="42"/>
      <c r="AJ324" s="42"/>
      <c r="AK324" s="42"/>
      <c r="AL324" s="42"/>
    </row>
    <row r="325" spans="1:38">
      <c r="L325" s="42"/>
      <c r="M325" s="42"/>
      <c r="N325" s="42"/>
      <c r="O325" s="42"/>
      <c r="P325" s="42"/>
      <c r="Q325" s="42"/>
      <c r="R325" s="42"/>
      <c r="S325" s="42"/>
      <c r="T325" s="42"/>
      <c r="U325" s="42"/>
      <c r="V325" s="42"/>
      <c r="W325" s="42"/>
      <c r="AB325" s="42"/>
      <c r="AC325" s="42"/>
      <c r="AD325" s="42"/>
      <c r="AE325" s="42"/>
      <c r="AF325" s="42"/>
      <c r="AG325" s="42"/>
      <c r="AH325" s="42"/>
      <c r="AI325" s="42"/>
      <c r="AJ325" s="42"/>
      <c r="AK325" s="42"/>
      <c r="AL325" s="42"/>
    </row>
    <row r="326" spans="1:38">
      <c r="L326" s="42"/>
      <c r="M326" s="42"/>
      <c r="N326" s="42"/>
      <c r="O326" s="42"/>
      <c r="P326" s="42"/>
      <c r="Q326" s="42"/>
      <c r="R326" s="42"/>
      <c r="S326" s="42"/>
      <c r="T326" s="42"/>
      <c r="U326" s="42"/>
      <c r="V326" s="42"/>
      <c r="W326" s="42"/>
      <c r="AB326" s="42"/>
      <c r="AC326" s="42"/>
      <c r="AD326" s="42"/>
      <c r="AE326" s="42"/>
      <c r="AF326" s="42"/>
      <c r="AG326" s="42"/>
      <c r="AH326" s="42"/>
      <c r="AI326" s="42"/>
      <c r="AJ326" s="42"/>
      <c r="AK326" s="42"/>
      <c r="AL326" s="42"/>
    </row>
    <row r="327" spans="1:38">
      <c r="L327" s="42"/>
      <c r="M327" s="42"/>
      <c r="N327" s="42"/>
      <c r="O327" s="42"/>
      <c r="P327" s="42"/>
      <c r="Q327" s="42"/>
      <c r="R327" s="42"/>
      <c r="S327" s="42"/>
      <c r="T327" s="42"/>
      <c r="U327" s="42"/>
      <c r="V327" s="42"/>
      <c r="W327" s="42"/>
      <c r="AB327" s="42"/>
      <c r="AC327" s="42"/>
      <c r="AD327" s="42"/>
      <c r="AE327" s="42"/>
      <c r="AF327" s="42"/>
      <c r="AG327" s="42"/>
      <c r="AH327" s="42"/>
      <c r="AI327" s="42"/>
      <c r="AJ327" s="42"/>
      <c r="AK327" s="42"/>
      <c r="AL327" s="42"/>
    </row>
    <row r="328" spans="1:38">
      <c r="L328" s="42"/>
      <c r="M328" s="42"/>
      <c r="N328" s="42"/>
      <c r="O328" s="42"/>
      <c r="P328" s="42"/>
      <c r="Q328" s="42"/>
      <c r="R328" s="42"/>
      <c r="S328" s="42"/>
      <c r="T328" s="42"/>
      <c r="U328" s="42"/>
      <c r="V328" s="42"/>
      <c r="W328" s="42"/>
      <c r="AB328" s="42"/>
      <c r="AC328" s="42"/>
      <c r="AD328" s="42"/>
      <c r="AE328" s="42"/>
      <c r="AF328" s="42"/>
      <c r="AG328" s="42"/>
      <c r="AH328" s="42"/>
      <c r="AI328" s="42"/>
      <c r="AJ328" s="42"/>
      <c r="AK328" s="42"/>
      <c r="AL328" s="42"/>
    </row>
    <row r="329" spans="1:38">
      <c r="L329" s="42"/>
      <c r="M329" s="42"/>
      <c r="N329" s="42"/>
      <c r="O329" s="42"/>
      <c r="P329" s="42"/>
      <c r="Q329" s="42"/>
      <c r="R329" s="42"/>
      <c r="S329" s="42"/>
      <c r="T329" s="42"/>
      <c r="U329" s="42"/>
      <c r="V329" s="42"/>
      <c r="W329" s="42"/>
      <c r="AB329" s="42"/>
      <c r="AC329" s="42"/>
      <c r="AD329" s="42"/>
      <c r="AE329" s="42"/>
      <c r="AF329" s="42"/>
      <c r="AG329" s="42"/>
      <c r="AH329" s="42"/>
      <c r="AI329" s="42"/>
      <c r="AJ329" s="42"/>
      <c r="AK329" s="42"/>
      <c r="AL329" s="42"/>
    </row>
    <row r="330" spans="1:38">
      <c r="L330" s="42"/>
      <c r="M330" s="42"/>
      <c r="N330" s="42"/>
      <c r="O330" s="42"/>
      <c r="P330" s="42"/>
      <c r="Q330" s="42"/>
      <c r="R330" s="42"/>
      <c r="S330" s="42"/>
      <c r="T330" s="42"/>
      <c r="U330" s="42"/>
      <c r="V330" s="42"/>
      <c r="W330" s="42"/>
      <c r="AB330" s="42"/>
      <c r="AC330" s="42"/>
      <c r="AD330" s="42"/>
      <c r="AE330" s="42"/>
      <c r="AF330" s="42"/>
      <c r="AG330" s="42"/>
      <c r="AH330" s="42"/>
      <c r="AI330" s="42"/>
      <c r="AJ330" s="42"/>
      <c r="AK330" s="42"/>
      <c r="AL330" s="42"/>
    </row>
    <row r="331" spans="1:38">
      <c r="L331" s="42"/>
      <c r="M331" s="42"/>
      <c r="N331" s="42"/>
      <c r="O331" s="42"/>
      <c r="P331" s="42"/>
      <c r="Q331" s="42"/>
      <c r="R331" s="42"/>
      <c r="S331" s="42"/>
      <c r="T331" s="42"/>
      <c r="U331" s="42"/>
      <c r="V331" s="42"/>
      <c r="W331" s="42"/>
      <c r="AB331" s="42"/>
      <c r="AC331" s="42"/>
      <c r="AD331" s="42"/>
      <c r="AE331" s="42"/>
      <c r="AF331" s="42"/>
      <c r="AG331" s="42"/>
      <c r="AH331" s="42"/>
      <c r="AI331" s="42"/>
      <c r="AJ331" s="42"/>
      <c r="AK331" s="42"/>
      <c r="AL331" s="42"/>
    </row>
    <row r="332" spans="1:38">
      <c r="L332" s="42"/>
      <c r="M332" s="42"/>
      <c r="N332" s="42"/>
      <c r="O332" s="42"/>
      <c r="P332" s="42"/>
      <c r="Q332" s="42"/>
      <c r="R332" s="42"/>
      <c r="S332" s="42"/>
      <c r="T332" s="42"/>
      <c r="U332" s="42"/>
      <c r="V332" s="42"/>
      <c r="W332" s="42"/>
      <c r="AB332" s="42"/>
      <c r="AC332" s="42"/>
      <c r="AD332" s="42"/>
      <c r="AE332" s="42"/>
      <c r="AF332" s="42"/>
      <c r="AG332" s="42"/>
      <c r="AH332" s="42"/>
      <c r="AI332" s="42"/>
      <c r="AJ332" s="42"/>
      <c r="AK332" s="42"/>
      <c r="AL332" s="42"/>
    </row>
    <row r="333" spans="1:38">
      <c r="L333" s="42"/>
      <c r="M333" s="42"/>
      <c r="N333" s="42"/>
      <c r="O333" s="42"/>
      <c r="P333" s="42"/>
      <c r="Q333" s="42"/>
      <c r="R333" s="42"/>
      <c r="S333" s="42"/>
      <c r="T333" s="42"/>
      <c r="U333" s="42"/>
      <c r="V333" s="42"/>
      <c r="W333" s="42"/>
      <c r="AB333" s="42"/>
      <c r="AC333" s="42"/>
      <c r="AD333" s="42"/>
      <c r="AE333" s="42"/>
      <c r="AF333" s="42"/>
      <c r="AG333" s="42"/>
      <c r="AH333" s="42"/>
      <c r="AI333" s="42"/>
      <c r="AJ333" s="42"/>
      <c r="AK333" s="42"/>
      <c r="AL333" s="42"/>
    </row>
    <row r="334" spans="1:38">
      <c r="L334" s="42"/>
      <c r="M334" s="42"/>
      <c r="N334" s="42"/>
      <c r="O334" s="42"/>
      <c r="P334" s="42"/>
      <c r="Q334" s="42"/>
      <c r="R334" s="42"/>
      <c r="S334" s="42"/>
      <c r="T334" s="42"/>
      <c r="U334" s="42"/>
      <c r="V334" s="42"/>
      <c r="W334" s="42"/>
      <c r="AB334" s="42"/>
      <c r="AC334" s="42"/>
      <c r="AD334" s="42"/>
      <c r="AE334" s="42"/>
      <c r="AF334" s="42"/>
      <c r="AG334" s="42"/>
      <c r="AH334" s="42"/>
      <c r="AI334" s="42"/>
      <c r="AJ334" s="42"/>
      <c r="AK334" s="42"/>
      <c r="AL334" s="42"/>
    </row>
    <row r="335" spans="1:38">
      <c r="L335" s="42"/>
      <c r="M335" s="42"/>
      <c r="N335" s="42"/>
      <c r="O335" s="42"/>
      <c r="P335" s="42"/>
      <c r="Q335" s="42"/>
      <c r="R335" s="42"/>
      <c r="S335" s="42"/>
      <c r="T335" s="42"/>
      <c r="U335" s="42"/>
      <c r="V335" s="42"/>
      <c r="W335" s="42"/>
      <c r="AB335" s="42"/>
      <c r="AC335" s="42"/>
      <c r="AD335" s="42"/>
      <c r="AE335" s="42"/>
      <c r="AF335" s="42"/>
      <c r="AG335" s="42"/>
      <c r="AH335" s="42"/>
      <c r="AI335" s="42"/>
      <c r="AJ335" s="42"/>
      <c r="AK335" s="42"/>
      <c r="AL335" s="42"/>
    </row>
    <row r="336" spans="1:38">
      <c r="L336" s="42"/>
      <c r="M336" s="42"/>
      <c r="N336" s="42"/>
      <c r="O336" s="42"/>
      <c r="P336" s="42"/>
      <c r="Q336" s="42"/>
      <c r="R336" s="42"/>
      <c r="S336" s="42"/>
      <c r="T336" s="42"/>
      <c r="U336" s="42"/>
      <c r="V336" s="42"/>
      <c r="W336" s="42"/>
      <c r="AB336" s="42"/>
      <c r="AC336" s="42"/>
      <c r="AD336" s="42"/>
      <c r="AE336" s="42"/>
      <c r="AF336" s="42"/>
      <c r="AG336" s="42"/>
      <c r="AH336" s="42"/>
      <c r="AI336" s="42"/>
      <c r="AJ336" s="42"/>
      <c r="AK336" s="42"/>
      <c r="AL336" s="42"/>
    </row>
    <row r="337" spans="12:38">
      <c r="L337" s="42"/>
      <c r="M337" s="42"/>
      <c r="N337" s="42"/>
      <c r="O337" s="42"/>
      <c r="P337" s="42"/>
      <c r="Q337" s="42"/>
      <c r="R337" s="42"/>
      <c r="S337" s="42"/>
      <c r="T337" s="42"/>
      <c r="U337" s="42"/>
      <c r="V337" s="42"/>
      <c r="W337" s="42"/>
      <c r="AB337" s="42"/>
      <c r="AC337" s="42"/>
      <c r="AD337" s="42"/>
      <c r="AE337" s="42"/>
      <c r="AF337" s="42"/>
      <c r="AG337" s="42"/>
      <c r="AH337" s="42"/>
      <c r="AI337" s="42"/>
      <c r="AJ337" s="42"/>
      <c r="AK337" s="42"/>
      <c r="AL337" s="42"/>
    </row>
    <row r="338" spans="12:38">
      <c r="L338" s="42"/>
      <c r="M338" s="42"/>
      <c r="N338" s="42"/>
      <c r="O338" s="42"/>
      <c r="P338" s="42"/>
      <c r="Q338" s="42"/>
      <c r="R338" s="42"/>
      <c r="S338" s="42"/>
      <c r="T338" s="42"/>
      <c r="U338" s="42"/>
      <c r="V338" s="42"/>
      <c r="W338" s="42"/>
      <c r="AB338" s="42"/>
      <c r="AC338" s="42"/>
      <c r="AD338" s="42"/>
      <c r="AE338" s="42"/>
      <c r="AF338" s="42"/>
      <c r="AG338" s="42"/>
      <c r="AH338" s="42"/>
      <c r="AI338" s="42"/>
      <c r="AJ338" s="42"/>
      <c r="AK338" s="42"/>
      <c r="AL338" s="42"/>
    </row>
    <row r="339" spans="12:38">
      <c r="L339" s="42"/>
      <c r="M339" s="42"/>
      <c r="N339" s="42"/>
      <c r="O339" s="42"/>
      <c r="P339" s="42"/>
      <c r="Q339" s="42"/>
      <c r="R339" s="42"/>
      <c r="S339" s="42"/>
      <c r="T339" s="42"/>
      <c r="U339" s="42"/>
      <c r="V339" s="42"/>
      <c r="W339" s="42"/>
      <c r="AB339" s="42"/>
      <c r="AC339" s="42"/>
      <c r="AD339" s="42"/>
      <c r="AE339" s="42"/>
      <c r="AF339" s="42"/>
      <c r="AG339" s="42"/>
      <c r="AH339" s="42"/>
      <c r="AI339" s="42"/>
      <c r="AJ339" s="42"/>
      <c r="AK339" s="42"/>
      <c r="AL339" s="42"/>
    </row>
    <row r="340" spans="12:38">
      <c r="L340" s="42"/>
      <c r="M340" s="42"/>
      <c r="N340" s="42"/>
      <c r="O340" s="42"/>
      <c r="P340" s="42"/>
      <c r="Q340" s="42"/>
      <c r="R340" s="42"/>
      <c r="S340" s="42"/>
      <c r="T340" s="42"/>
      <c r="U340" s="42"/>
      <c r="V340" s="42"/>
      <c r="W340" s="42"/>
      <c r="AB340" s="42"/>
      <c r="AC340" s="42"/>
      <c r="AD340" s="42"/>
      <c r="AE340" s="42"/>
      <c r="AF340" s="42"/>
      <c r="AG340" s="42"/>
      <c r="AH340" s="42"/>
      <c r="AI340" s="42"/>
      <c r="AJ340" s="42"/>
      <c r="AK340" s="42"/>
      <c r="AL340" s="42"/>
    </row>
    <row r="341" spans="12:38">
      <c r="L341" s="42"/>
      <c r="M341" s="42"/>
      <c r="N341" s="42"/>
      <c r="O341" s="42"/>
      <c r="P341" s="42"/>
      <c r="Q341" s="42"/>
      <c r="R341" s="42"/>
      <c r="S341" s="42"/>
      <c r="T341" s="42"/>
      <c r="U341" s="42"/>
      <c r="V341" s="42"/>
      <c r="W341" s="42"/>
      <c r="AB341" s="42"/>
      <c r="AC341" s="42"/>
      <c r="AD341" s="42"/>
      <c r="AE341" s="42"/>
      <c r="AF341" s="42"/>
      <c r="AG341" s="42"/>
      <c r="AH341" s="42"/>
      <c r="AI341" s="42"/>
      <c r="AJ341" s="42"/>
      <c r="AK341" s="42"/>
      <c r="AL341" s="42"/>
    </row>
    <row r="342" spans="12:38">
      <c r="L342" s="42"/>
      <c r="M342" s="42"/>
      <c r="N342" s="42"/>
      <c r="O342" s="42"/>
      <c r="P342" s="42"/>
      <c r="Q342" s="42"/>
      <c r="R342" s="42"/>
      <c r="S342" s="42"/>
      <c r="T342" s="42"/>
      <c r="U342" s="42"/>
      <c r="V342" s="42"/>
      <c r="W342" s="42"/>
      <c r="AB342" s="42"/>
      <c r="AC342" s="42"/>
      <c r="AD342" s="42"/>
      <c r="AE342" s="42"/>
      <c r="AF342" s="42"/>
      <c r="AG342" s="42"/>
      <c r="AH342" s="42"/>
      <c r="AI342" s="42"/>
      <c r="AJ342" s="42"/>
      <c r="AK342" s="42"/>
      <c r="AL342" s="42"/>
    </row>
    <row r="343" spans="12:38">
      <c r="L343" s="42"/>
      <c r="M343" s="42"/>
      <c r="N343" s="42"/>
      <c r="O343" s="42"/>
      <c r="P343" s="42"/>
      <c r="Q343" s="42"/>
      <c r="R343" s="42"/>
      <c r="S343" s="42"/>
      <c r="T343" s="42"/>
      <c r="U343" s="42"/>
      <c r="V343" s="42"/>
      <c r="W343" s="42"/>
      <c r="AB343" s="42"/>
      <c r="AC343" s="42"/>
      <c r="AD343" s="42"/>
      <c r="AE343" s="42"/>
      <c r="AF343" s="42"/>
      <c r="AG343" s="42"/>
      <c r="AH343" s="42"/>
      <c r="AI343" s="42"/>
      <c r="AJ343" s="42"/>
      <c r="AK343" s="42"/>
      <c r="AL343" s="42"/>
    </row>
    <row r="344" spans="12:38">
      <c r="L344" s="42"/>
      <c r="M344" s="42"/>
      <c r="N344" s="42"/>
      <c r="O344" s="42"/>
      <c r="P344" s="42"/>
      <c r="Q344" s="42"/>
      <c r="R344" s="42"/>
      <c r="S344" s="42"/>
      <c r="T344" s="42"/>
      <c r="U344" s="42"/>
      <c r="V344" s="42"/>
      <c r="W344" s="42"/>
      <c r="AB344" s="42"/>
      <c r="AC344" s="42"/>
      <c r="AD344" s="42"/>
      <c r="AE344" s="42"/>
      <c r="AF344" s="42"/>
      <c r="AG344" s="42"/>
      <c r="AH344" s="42"/>
      <c r="AI344" s="42"/>
      <c r="AJ344" s="42"/>
      <c r="AK344" s="42"/>
      <c r="AL344" s="42"/>
    </row>
    <row r="345" spans="12:38">
      <c r="L345" s="42"/>
      <c r="M345" s="42"/>
      <c r="N345" s="42"/>
      <c r="O345" s="42"/>
      <c r="P345" s="42"/>
      <c r="Q345" s="42"/>
      <c r="R345" s="42"/>
      <c r="S345" s="42"/>
      <c r="T345" s="42"/>
      <c r="U345" s="42"/>
      <c r="V345" s="42"/>
      <c r="W345" s="42"/>
      <c r="AB345" s="42"/>
      <c r="AC345" s="42"/>
      <c r="AD345" s="42"/>
      <c r="AE345" s="42"/>
      <c r="AF345" s="42"/>
      <c r="AG345" s="42"/>
      <c r="AH345" s="42"/>
      <c r="AI345" s="42"/>
      <c r="AJ345" s="42"/>
      <c r="AK345" s="42"/>
      <c r="AL345" s="42"/>
    </row>
    <row r="346" spans="12:38">
      <c r="L346" s="42"/>
      <c r="M346" s="42"/>
      <c r="N346" s="42"/>
      <c r="O346" s="42"/>
      <c r="P346" s="42"/>
      <c r="Q346" s="42"/>
      <c r="R346" s="42"/>
      <c r="S346" s="42"/>
      <c r="T346" s="42"/>
      <c r="U346" s="42"/>
      <c r="V346" s="42"/>
      <c r="W346" s="42"/>
      <c r="AB346" s="42"/>
      <c r="AC346" s="42"/>
      <c r="AD346" s="42"/>
      <c r="AE346" s="42"/>
      <c r="AF346" s="42"/>
      <c r="AG346" s="42"/>
      <c r="AH346" s="42"/>
      <c r="AI346" s="42"/>
      <c r="AJ346" s="42"/>
      <c r="AK346" s="42"/>
      <c r="AL346" s="42"/>
    </row>
    <row r="347" spans="12:38">
      <c r="L347" s="42"/>
      <c r="M347" s="42"/>
      <c r="N347" s="42"/>
      <c r="O347" s="42"/>
      <c r="P347" s="42"/>
      <c r="Q347" s="42"/>
      <c r="R347" s="42"/>
      <c r="S347" s="42"/>
      <c r="T347" s="42"/>
      <c r="U347" s="42"/>
      <c r="V347" s="42"/>
      <c r="W347" s="42"/>
      <c r="AB347" s="42"/>
      <c r="AC347" s="42"/>
      <c r="AD347" s="42"/>
      <c r="AE347" s="42"/>
      <c r="AF347" s="42"/>
      <c r="AG347" s="42"/>
      <c r="AH347" s="42"/>
      <c r="AI347" s="42"/>
      <c r="AJ347" s="42"/>
      <c r="AK347" s="42"/>
      <c r="AL347" s="42"/>
    </row>
    <row r="348" spans="12:38">
      <c r="L348" s="42"/>
      <c r="M348" s="42"/>
      <c r="N348" s="42"/>
      <c r="O348" s="42"/>
      <c r="P348" s="42"/>
      <c r="Q348" s="42"/>
      <c r="R348" s="42"/>
      <c r="S348" s="42"/>
      <c r="T348" s="42"/>
      <c r="U348" s="42"/>
      <c r="V348" s="42"/>
      <c r="W348" s="42"/>
      <c r="AB348" s="42"/>
      <c r="AC348" s="42"/>
      <c r="AD348" s="42"/>
      <c r="AE348" s="42"/>
      <c r="AF348" s="42"/>
      <c r="AG348" s="42"/>
      <c r="AH348" s="42"/>
      <c r="AI348" s="42"/>
      <c r="AJ348" s="42"/>
      <c r="AK348" s="42"/>
      <c r="AL348" s="42"/>
    </row>
    <row r="349" spans="12:38">
      <c r="L349" s="42"/>
      <c r="M349" s="42"/>
      <c r="N349" s="42"/>
      <c r="O349" s="42"/>
      <c r="P349" s="42"/>
      <c r="Q349" s="42"/>
      <c r="R349" s="42"/>
      <c r="S349" s="42"/>
      <c r="T349" s="42"/>
      <c r="U349" s="42"/>
      <c r="V349" s="42"/>
      <c r="W349" s="42"/>
      <c r="AB349" s="42"/>
      <c r="AC349" s="42"/>
      <c r="AD349" s="42"/>
      <c r="AE349" s="42"/>
      <c r="AF349" s="42"/>
      <c r="AG349" s="42"/>
      <c r="AH349" s="42"/>
      <c r="AI349" s="42"/>
      <c r="AJ349" s="42"/>
      <c r="AK349" s="42"/>
      <c r="AL349" s="42"/>
    </row>
    <row r="350" spans="12:38">
      <c r="L350" s="42"/>
      <c r="M350" s="42"/>
      <c r="N350" s="42"/>
      <c r="O350" s="42"/>
      <c r="P350" s="42"/>
      <c r="Q350" s="42"/>
      <c r="R350" s="42"/>
      <c r="S350" s="42"/>
      <c r="T350" s="42"/>
      <c r="U350" s="42"/>
      <c r="V350" s="42"/>
      <c r="W350" s="42"/>
      <c r="AB350" s="42"/>
      <c r="AC350" s="42"/>
      <c r="AD350" s="42"/>
      <c r="AE350" s="42"/>
      <c r="AF350" s="42"/>
      <c r="AG350" s="42"/>
      <c r="AH350" s="42"/>
      <c r="AI350" s="42"/>
      <c r="AJ350" s="42"/>
      <c r="AK350" s="42"/>
      <c r="AL350" s="42"/>
    </row>
    <row r="351" spans="12:38">
      <c r="L351" s="42"/>
      <c r="M351" s="42"/>
      <c r="N351" s="42"/>
      <c r="O351" s="42"/>
      <c r="P351" s="42"/>
      <c r="Q351" s="42"/>
      <c r="R351" s="42"/>
      <c r="S351" s="42"/>
      <c r="T351" s="42"/>
      <c r="U351" s="42"/>
      <c r="V351" s="42"/>
      <c r="W351" s="42"/>
      <c r="AB351" s="42"/>
      <c r="AC351" s="42"/>
      <c r="AD351" s="42"/>
      <c r="AE351" s="42"/>
      <c r="AF351" s="42"/>
      <c r="AG351" s="42"/>
      <c r="AH351" s="42"/>
      <c r="AI351" s="42"/>
      <c r="AJ351" s="42"/>
      <c r="AK351" s="42"/>
      <c r="AL351" s="42"/>
    </row>
    <row r="352" spans="12:38">
      <c r="L352" s="42"/>
      <c r="M352" s="42"/>
      <c r="N352" s="42"/>
      <c r="O352" s="42"/>
      <c r="P352" s="42"/>
      <c r="Q352" s="42"/>
      <c r="R352" s="42"/>
      <c r="S352" s="42"/>
      <c r="T352" s="42"/>
      <c r="U352" s="42"/>
      <c r="V352" s="42"/>
      <c r="W352" s="42"/>
      <c r="AB352" s="42"/>
      <c r="AC352" s="42"/>
      <c r="AD352" s="42"/>
      <c r="AE352" s="42"/>
      <c r="AF352" s="42"/>
      <c r="AG352" s="42"/>
      <c r="AH352" s="42"/>
      <c r="AI352" s="42"/>
      <c r="AJ352" s="42"/>
      <c r="AK352" s="42"/>
      <c r="AL352" s="42"/>
    </row>
    <row r="353" spans="12:38">
      <c r="L353" s="42"/>
      <c r="M353" s="42"/>
      <c r="N353" s="42"/>
      <c r="O353" s="42"/>
      <c r="P353" s="42"/>
      <c r="Q353" s="42"/>
      <c r="R353" s="42"/>
      <c r="S353" s="42"/>
      <c r="T353" s="42"/>
      <c r="U353" s="42"/>
      <c r="V353" s="42"/>
      <c r="W353" s="42"/>
      <c r="AB353" s="42"/>
      <c r="AC353" s="42"/>
      <c r="AD353" s="42"/>
      <c r="AE353" s="42"/>
      <c r="AF353" s="42"/>
      <c r="AG353" s="42"/>
      <c r="AH353" s="42"/>
      <c r="AI353" s="42"/>
      <c r="AJ353" s="42"/>
      <c r="AK353" s="42"/>
      <c r="AL353" s="42"/>
    </row>
    <row r="354" spans="12:38">
      <c r="L354" s="42"/>
      <c r="M354" s="42"/>
      <c r="N354" s="42"/>
      <c r="O354" s="42"/>
      <c r="P354" s="42"/>
      <c r="Q354" s="42"/>
      <c r="R354" s="42"/>
      <c r="S354" s="42"/>
      <c r="T354" s="42"/>
      <c r="U354" s="42"/>
      <c r="V354" s="42"/>
      <c r="W354" s="42"/>
      <c r="AB354" s="42"/>
      <c r="AC354" s="42"/>
      <c r="AD354" s="42"/>
      <c r="AE354" s="42"/>
      <c r="AF354" s="42"/>
      <c r="AG354" s="42"/>
      <c r="AH354" s="42"/>
      <c r="AI354" s="42"/>
      <c r="AJ354" s="42"/>
      <c r="AK354" s="42"/>
      <c r="AL354" s="42"/>
    </row>
    <row r="355" spans="12:38">
      <c r="L355" s="42"/>
      <c r="M355" s="42"/>
      <c r="N355" s="42"/>
      <c r="O355" s="42"/>
      <c r="P355" s="42"/>
      <c r="Q355" s="42"/>
      <c r="R355" s="42"/>
      <c r="S355" s="42"/>
      <c r="T355" s="42"/>
      <c r="U355" s="42"/>
      <c r="V355" s="42"/>
      <c r="W355" s="42"/>
      <c r="AB355" s="42"/>
      <c r="AC355" s="42"/>
      <c r="AD355" s="42"/>
      <c r="AE355" s="42"/>
      <c r="AF355" s="42"/>
      <c r="AG355" s="42"/>
      <c r="AH355" s="42"/>
      <c r="AI355" s="42"/>
      <c r="AJ355" s="42"/>
      <c r="AK355" s="42"/>
      <c r="AL355" s="42"/>
    </row>
    <row r="356" spans="12:38">
      <c r="L356" s="42"/>
      <c r="M356" s="42"/>
      <c r="N356" s="42"/>
      <c r="O356" s="42"/>
      <c r="P356" s="42"/>
      <c r="Q356" s="42"/>
      <c r="R356" s="42"/>
      <c r="S356" s="42"/>
      <c r="T356" s="42"/>
      <c r="U356" s="42"/>
      <c r="V356" s="42"/>
      <c r="W356" s="42"/>
      <c r="AB356" s="42"/>
      <c r="AC356" s="42"/>
      <c r="AD356" s="42"/>
      <c r="AE356" s="42"/>
      <c r="AF356" s="42"/>
      <c r="AG356" s="42"/>
      <c r="AH356" s="42"/>
      <c r="AI356" s="42"/>
      <c r="AJ356" s="42"/>
      <c r="AK356" s="42"/>
      <c r="AL356" s="42"/>
    </row>
    <row r="357" spans="12:38">
      <c r="L357" s="42"/>
      <c r="M357" s="42"/>
      <c r="N357" s="42"/>
      <c r="O357" s="42"/>
      <c r="P357" s="42"/>
      <c r="Q357" s="42"/>
      <c r="R357" s="42"/>
      <c r="S357" s="42"/>
      <c r="T357" s="42"/>
      <c r="U357" s="42"/>
      <c r="V357" s="42"/>
      <c r="W357" s="42"/>
      <c r="AB357" s="42"/>
      <c r="AC357" s="42"/>
      <c r="AD357" s="42"/>
      <c r="AE357" s="42"/>
      <c r="AF357" s="42"/>
      <c r="AG357" s="42"/>
      <c r="AH357" s="42"/>
      <c r="AI357" s="42"/>
      <c r="AJ357" s="42"/>
      <c r="AK357" s="42"/>
      <c r="AL357" s="42"/>
    </row>
    <row r="358" spans="12:38">
      <c r="L358" s="42"/>
      <c r="M358" s="42"/>
      <c r="N358" s="42"/>
      <c r="O358" s="42"/>
      <c r="P358" s="42"/>
      <c r="Q358" s="42"/>
      <c r="R358" s="42"/>
      <c r="S358" s="42"/>
      <c r="T358" s="42"/>
      <c r="U358" s="42"/>
      <c r="V358" s="42"/>
      <c r="W358" s="42"/>
      <c r="AB358" s="42"/>
      <c r="AC358" s="42"/>
      <c r="AD358" s="42"/>
      <c r="AE358" s="42"/>
      <c r="AF358" s="42"/>
      <c r="AG358" s="42"/>
      <c r="AH358" s="42"/>
      <c r="AI358" s="42"/>
      <c r="AJ358" s="42"/>
      <c r="AK358" s="42"/>
      <c r="AL358" s="42"/>
    </row>
    <row r="359" spans="12:38">
      <c r="L359" s="42"/>
      <c r="M359" s="42"/>
      <c r="N359" s="42"/>
      <c r="O359" s="42"/>
      <c r="P359" s="42"/>
      <c r="Q359" s="42"/>
      <c r="R359" s="42"/>
      <c r="S359" s="42"/>
      <c r="T359" s="42"/>
      <c r="U359" s="42"/>
      <c r="V359" s="42"/>
      <c r="W359" s="42"/>
      <c r="AB359" s="42"/>
      <c r="AC359" s="42"/>
      <c r="AD359" s="42"/>
      <c r="AE359" s="42"/>
      <c r="AF359" s="42"/>
      <c r="AG359" s="42"/>
      <c r="AH359" s="42"/>
      <c r="AI359" s="42"/>
      <c r="AJ359" s="42"/>
      <c r="AK359" s="42"/>
      <c r="AL359" s="42"/>
    </row>
    <row r="360" spans="12:38">
      <c r="L360" s="42"/>
      <c r="M360" s="42"/>
      <c r="N360" s="42"/>
      <c r="O360" s="42"/>
      <c r="P360" s="42"/>
      <c r="Q360" s="42"/>
      <c r="R360" s="42"/>
      <c r="S360" s="42"/>
      <c r="T360" s="42"/>
      <c r="U360" s="42"/>
      <c r="V360" s="42"/>
      <c r="W360" s="42"/>
      <c r="AB360" s="42"/>
      <c r="AC360" s="42"/>
      <c r="AD360" s="42"/>
      <c r="AE360" s="42"/>
      <c r="AF360" s="42"/>
      <c r="AG360" s="42"/>
      <c r="AH360" s="42"/>
      <c r="AI360" s="42"/>
      <c r="AJ360" s="42"/>
      <c r="AK360" s="42"/>
      <c r="AL360" s="42"/>
    </row>
    <row r="361" spans="12:38">
      <c r="L361" s="42"/>
      <c r="M361" s="42"/>
      <c r="N361" s="42"/>
      <c r="O361" s="42"/>
      <c r="P361" s="42"/>
      <c r="Q361" s="42"/>
      <c r="R361" s="42"/>
      <c r="S361" s="42"/>
      <c r="T361" s="42"/>
      <c r="U361" s="42"/>
      <c r="V361" s="42"/>
      <c r="W361" s="42"/>
      <c r="AB361" s="42"/>
      <c r="AC361" s="42"/>
      <c r="AD361" s="42"/>
      <c r="AE361" s="42"/>
      <c r="AF361" s="42"/>
      <c r="AG361" s="42"/>
      <c r="AH361" s="42"/>
      <c r="AI361" s="42"/>
      <c r="AJ361" s="42"/>
      <c r="AK361" s="42"/>
      <c r="AL361" s="42"/>
    </row>
    <row r="362" spans="12:38">
      <c r="L362" s="42"/>
      <c r="M362" s="42"/>
      <c r="N362" s="42"/>
      <c r="O362" s="42"/>
      <c r="P362" s="42"/>
      <c r="Q362" s="42"/>
      <c r="R362" s="42"/>
      <c r="S362" s="42"/>
      <c r="T362" s="42"/>
      <c r="U362" s="42"/>
      <c r="V362" s="42"/>
      <c r="W362" s="42"/>
      <c r="AB362" s="42"/>
      <c r="AC362" s="42"/>
      <c r="AD362" s="42"/>
      <c r="AE362" s="42"/>
      <c r="AF362" s="42"/>
      <c r="AG362" s="42"/>
      <c r="AH362" s="42"/>
      <c r="AI362" s="42"/>
      <c r="AJ362" s="42"/>
      <c r="AK362" s="42"/>
      <c r="AL362" s="42"/>
    </row>
    <row r="363" spans="12:38">
      <c r="L363" s="42"/>
      <c r="M363" s="42"/>
      <c r="N363" s="42"/>
      <c r="O363" s="42"/>
      <c r="P363" s="42"/>
      <c r="Q363" s="42"/>
      <c r="R363" s="42"/>
      <c r="S363" s="42"/>
      <c r="T363" s="42"/>
      <c r="U363" s="42"/>
      <c r="V363" s="42"/>
      <c r="W363" s="42"/>
      <c r="AB363" s="42"/>
      <c r="AC363" s="42"/>
      <c r="AD363" s="42"/>
      <c r="AE363" s="42"/>
      <c r="AF363" s="42"/>
      <c r="AG363" s="42"/>
      <c r="AH363" s="42"/>
      <c r="AI363" s="42"/>
      <c r="AJ363" s="42"/>
      <c r="AK363" s="42"/>
      <c r="AL363" s="42"/>
    </row>
    <row r="364" spans="12:38">
      <c r="L364" s="42"/>
      <c r="M364" s="42"/>
      <c r="N364" s="42"/>
      <c r="O364" s="42"/>
      <c r="P364" s="42"/>
      <c r="Q364" s="42"/>
      <c r="R364" s="42"/>
      <c r="S364" s="42"/>
      <c r="T364" s="42"/>
      <c r="U364" s="42"/>
      <c r="V364" s="42"/>
      <c r="W364" s="42"/>
      <c r="AB364" s="42"/>
      <c r="AC364" s="42"/>
      <c r="AD364" s="42"/>
      <c r="AE364" s="42"/>
      <c r="AF364" s="42"/>
      <c r="AG364" s="42"/>
      <c r="AH364" s="42"/>
      <c r="AI364" s="42"/>
      <c r="AJ364" s="42"/>
      <c r="AK364" s="42"/>
      <c r="AL364" s="42"/>
    </row>
    <row r="365" spans="12:38">
      <c r="L365" s="42"/>
      <c r="M365" s="42"/>
      <c r="N365" s="42"/>
      <c r="O365" s="42"/>
      <c r="P365" s="42"/>
      <c r="Q365" s="42"/>
      <c r="R365" s="42"/>
      <c r="S365" s="42"/>
      <c r="T365" s="42"/>
      <c r="U365" s="42"/>
      <c r="V365" s="42"/>
      <c r="W365" s="42"/>
      <c r="AB365" s="42"/>
      <c r="AC365" s="42"/>
      <c r="AD365" s="42"/>
      <c r="AE365" s="42"/>
      <c r="AF365" s="42"/>
      <c r="AG365" s="42"/>
      <c r="AH365" s="42"/>
      <c r="AI365" s="42"/>
      <c r="AJ365" s="42"/>
      <c r="AK365" s="42"/>
      <c r="AL365" s="42"/>
    </row>
    <row r="366" spans="12:38">
      <c r="L366" s="42"/>
      <c r="M366" s="42"/>
      <c r="N366" s="42"/>
      <c r="O366" s="42"/>
      <c r="P366" s="42"/>
      <c r="Q366" s="42"/>
      <c r="R366" s="42"/>
      <c r="S366" s="42"/>
      <c r="T366" s="42"/>
      <c r="U366" s="42"/>
      <c r="V366" s="42"/>
      <c r="W366" s="42"/>
      <c r="AB366" s="42"/>
      <c r="AC366" s="42"/>
      <c r="AD366" s="42"/>
      <c r="AE366" s="42"/>
      <c r="AF366" s="42"/>
      <c r="AG366" s="42"/>
      <c r="AH366" s="42"/>
      <c r="AI366" s="42"/>
      <c r="AJ366" s="42"/>
      <c r="AK366" s="42"/>
      <c r="AL366" s="42"/>
    </row>
    <row r="367" spans="12:38">
      <c r="L367" s="42"/>
      <c r="M367" s="42"/>
      <c r="N367" s="42"/>
      <c r="O367" s="42"/>
      <c r="P367" s="42"/>
      <c r="Q367" s="42"/>
      <c r="R367" s="42"/>
      <c r="S367" s="42"/>
      <c r="T367" s="42"/>
      <c r="U367" s="42"/>
      <c r="V367" s="42"/>
      <c r="W367" s="42"/>
      <c r="AB367" s="42"/>
      <c r="AC367" s="42"/>
      <c r="AD367" s="42"/>
      <c r="AE367" s="42"/>
      <c r="AF367" s="42"/>
      <c r="AG367" s="42"/>
      <c r="AH367" s="42"/>
      <c r="AI367" s="42"/>
      <c r="AJ367" s="42"/>
      <c r="AK367" s="42"/>
      <c r="AL367" s="42"/>
    </row>
    <row r="368" spans="12:38">
      <c r="L368" s="42"/>
      <c r="M368" s="42"/>
      <c r="N368" s="42"/>
      <c r="O368" s="42"/>
      <c r="P368" s="42"/>
      <c r="Q368" s="42"/>
      <c r="R368" s="42"/>
      <c r="S368" s="42"/>
      <c r="T368" s="42"/>
      <c r="U368" s="42"/>
      <c r="V368" s="42"/>
      <c r="W368" s="42"/>
      <c r="AB368" s="42"/>
      <c r="AC368" s="42"/>
      <c r="AD368" s="42"/>
      <c r="AE368" s="42"/>
      <c r="AF368" s="42"/>
      <c r="AG368" s="42"/>
      <c r="AH368" s="42"/>
      <c r="AI368" s="42"/>
      <c r="AJ368" s="42"/>
      <c r="AK368" s="42"/>
      <c r="AL368" s="42"/>
    </row>
    <row r="369" spans="12:38">
      <c r="L369" s="42"/>
      <c r="M369" s="42"/>
      <c r="N369" s="42"/>
      <c r="O369" s="42"/>
      <c r="P369" s="42"/>
      <c r="Q369" s="42"/>
      <c r="R369" s="42"/>
      <c r="S369" s="42"/>
      <c r="T369" s="42"/>
      <c r="U369" s="42"/>
      <c r="V369" s="42"/>
      <c r="W369" s="42"/>
      <c r="AB369" s="42"/>
      <c r="AC369" s="42"/>
      <c r="AD369" s="42"/>
      <c r="AE369" s="42"/>
      <c r="AF369" s="42"/>
      <c r="AG369" s="42"/>
      <c r="AH369" s="42"/>
      <c r="AI369" s="42"/>
      <c r="AJ369" s="42"/>
      <c r="AK369" s="42"/>
      <c r="AL369" s="42"/>
    </row>
    <row r="370" spans="12:38">
      <c r="L370" s="42"/>
      <c r="M370" s="42"/>
      <c r="N370" s="42"/>
      <c r="O370" s="42"/>
      <c r="P370" s="42"/>
      <c r="Q370" s="42"/>
      <c r="R370" s="42"/>
      <c r="S370" s="42"/>
      <c r="T370" s="42"/>
      <c r="U370" s="42"/>
      <c r="V370" s="42"/>
      <c r="W370" s="42"/>
      <c r="AB370" s="42"/>
      <c r="AC370" s="42"/>
      <c r="AD370" s="42"/>
      <c r="AE370" s="42"/>
      <c r="AF370" s="42"/>
      <c r="AG370" s="42"/>
      <c r="AH370" s="42"/>
      <c r="AI370" s="42"/>
      <c r="AJ370" s="42"/>
      <c r="AK370" s="42"/>
      <c r="AL370" s="42"/>
    </row>
    <row r="371" spans="12:38">
      <c r="L371" s="42"/>
      <c r="M371" s="42"/>
      <c r="N371" s="42"/>
      <c r="O371" s="42"/>
      <c r="P371" s="42"/>
      <c r="Q371" s="42"/>
      <c r="R371" s="42"/>
      <c r="S371" s="42"/>
      <c r="T371" s="42"/>
      <c r="U371" s="42"/>
      <c r="V371" s="42"/>
      <c r="W371" s="42"/>
      <c r="AB371" s="42"/>
      <c r="AC371" s="42"/>
      <c r="AD371" s="42"/>
      <c r="AE371" s="42"/>
      <c r="AF371" s="42"/>
      <c r="AG371" s="42"/>
      <c r="AH371" s="42"/>
      <c r="AI371" s="42"/>
      <c r="AJ371" s="42"/>
      <c r="AK371" s="42"/>
      <c r="AL371" s="42"/>
    </row>
    <row r="372" spans="12:38">
      <c r="L372" s="42"/>
      <c r="M372" s="42"/>
      <c r="N372" s="42"/>
      <c r="O372" s="42"/>
      <c r="P372" s="42"/>
      <c r="Q372" s="42"/>
      <c r="R372" s="42"/>
      <c r="S372" s="42"/>
      <c r="T372" s="42"/>
      <c r="U372" s="42"/>
      <c r="V372" s="42"/>
      <c r="W372" s="42"/>
      <c r="AB372" s="42"/>
      <c r="AC372" s="42"/>
      <c r="AD372" s="42"/>
      <c r="AE372" s="42"/>
      <c r="AF372" s="42"/>
      <c r="AG372" s="42"/>
      <c r="AH372" s="42"/>
      <c r="AI372" s="42"/>
      <c r="AJ372" s="42"/>
      <c r="AK372" s="42"/>
      <c r="AL372" s="42"/>
    </row>
    <row r="373" spans="12:38">
      <c r="L373" s="42"/>
      <c r="M373" s="42"/>
      <c r="N373" s="42"/>
      <c r="O373" s="42"/>
      <c r="P373" s="42"/>
      <c r="Q373" s="42"/>
      <c r="R373" s="42"/>
      <c r="S373" s="42"/>
      <c r="T373" s="42"/>
      <c r="U373" s="42"/>
      <c r="V373" s="42"/>
      <c r="W373" s="42"/>
      <c r="AB373" s="42"/>
      <c r="AC373" s="42"/>
      <c r="AD373" s="42"/>
      <c r="AE373" s="42"/>
      <c r="AF373" s="42"/>
      <c r="AG373" s="42"/>
      <c r="AH373" s="42"/>
      <c r="AI373" s="42"/>
      <c r="AJ373" s="42"/>
      <c r="AK373" s="42"/>
      <c r="AL373" s="42"/>
    </row>
    <row r="374" spans="12:38">
      <c r="L374" s="42"/>
      <c r="M374" s="42"/>
      <c r="N374" s="42"/>
      <c r="O374" s="42"/>
      <c r="P374" s="42"/>
      <c r="Q374" s="42"/>
      <c r="R374" s="42"/>
      <c r="S374" s="42"/>
      <c r="T374" s="42"/>
      <c r="U374" s="42"/>
      <c r="V374" s="42"/>
      <c r="W374" s="42"/>
      <c r="AB374" s="42"/>
      <c r="AC374" s="42"/>
      <c r="AD374" s="42"/>
      <c r="AE374" s="42"/>
      <c r="AF374" s="42"/>
      <c r="AG374" s="42"/>
      <c r="AH374" s="42"/>
      <c r="AI374" s="42"/>
      <c r="AJ374" s="42"/>
      <c r="AK374" s="42"/>
      <c r="AL374" s="42"/>
    </row>
    <row r="375" spans="12:38">
      <c r="L375" s="42"/>
      <c r="M375" s="42"/>
      <c r="N375" s="42"/>
      <c r="O375" s="42"/>
      <c r="P375" s="42"/>
      <c r="Q375" s="42"/>
      <c r="R375" s="42"/>
      <c r="S375" s="42"/>
      <c r="T375" s="42"/>
      <c r="U375" s="42"/>
      <c r="V375" s="42"/>
      <c r="W375" s="42"/>
      <c r="AB375" s="42"/>
      <c r="AC375" s="42"/>
      <c r="AD375" s="42"/>
      <c r="AE375" s="42"/>
      <c r="AF375" s="42"/>
      <c r="AG375" s="42"/>
      <c r="AH375" s="42"/>
      <c r="AI375" s="42"/>
      <c r="AJ375" s="42"/>
      <c r="AK375" s="42"/>
      <c r="AL375" s="42"/>
    </row>
    <row r="376" spans="12:38">
      <c r="L376" s="42"/>
      <c r="M376" s="42"/>
      <c r="N376" s="42"/>
      <c r="O376" s="42"/>
      <c r="P376" s="42"/>
      <c r="Q376" s="42"/>
      <c r="R376" s="42"/>
      <c r="S376" s="42"/>
      <c r="T376" s="42"/>
      <c r="U376" s="42"/>
      <c r="V376" s="42"/>
      <c r="W376" s="42"/>
      <c r="AB376" s="42"/>
      <c r="AC376" s="42"/>
      <c r="AD376" s="42"/>
      <c r="AE376" s="42"/>
      <c r="AF376" s="42"/>
      <c r="AG376" s="42"/>
      <c r="AH376" s="42"/>
      <c r="AI376" s="42"/>
      <c r="AJ376" s="42"/>
      <c r="AK376" s="42"/>
      <c r="AL376" s="42"/>
    </row>
    <row r="377" spans="12:38">
      <c r="L377" s="42"/>
      <c r="M377" s="42"/>
      <c r="N377" s="42"/>
      <c r="O377" s="42"/>
      <c r="P377" s="42"/>
      <c r="Q377" s="42"/>
      <c r="R377" s="42"/>
      <c r="S377" s="42"/>
      <c r="T377" s="42"/>
      <c r="U377" s="42"/>
      <c r="V377" s="42"/>
      <c r="W377" s="42"/>
      <c r="AB377" s="42"/>
      <c r="AC377" s="42"/>
      <c r="AD377" s="42"/>
      <c r="AE377" s="42"/>
      <c r="AF377" s="42"/>
      <c r="AG377" s="42"/>
      <c r="AH377" s="42"/>
      <c r="AI377" s="42"/>
      <c r="AJ377" s="42"/>
      <c r="AK377" s="42"/>
      <c r="AL377" s="42"/>
    </row>
    <row r="378" spans="12:38">
      <c r="L378" s="42"/>
      <c r="M378" s="42"/>
      <c r="N378" s="42"/>
      <c r="O378" s="42"/>
      <c r="P378" s="42"/>
      <c r="Q378" s="42"/>
      <c r="R378" s="42"/>
      <c r="S378" s="42"/>
      <c r="T378" s="42"/>
      <c r="U378" s="42"/>
      <c r="V378" s="42"/>
      <c r="W378" s="42"/>
      <c r="AB378" s="42"/>
      <c r="AC378" s="42"/>
      <c r="AD378" s="42"/>
      <c r="AE378" s="42"/>
      <c r="AF378" s="42"/>
      <c r="AG378" s="42"/>
      <c r="AH378" s="42"/>
      <c r="AI378" s="42"/>
      <c r="AJ378" s="42"/>
      <c r="AK378" s="42"/>
      <c r="AL378" s="42"/>
    </row>
    <row r="379" spans="12:38">
      <c r="L379" s="42"/>
      <c r="M379" s="42"/>
      <c r="N379" s="42"/>
      <c r="O379" s="42"/>
      <c r="P379" s="42"/>
      <c r="Q379" s="42"/>
      <c r="R379" s="42"/>
      <c r="S379" s="42"/>
      <c r="T379" s="42"/>
      <c r="U379" s="42"/>
      <c r="V379" s="42"/>
      <c r="W379" s="42"/>
      <c r="AB379" s="42"/>
      <c r="AC379" s="42"/>
      <c r="AD379" s="42"/>
      <c r="AE379" s="42"/>
      <c r="AF379" s="42"/>
      <c r="AG379" s="42"/>
      <c r="AH379" s="42"/>
      <c r="AI379" s="42"/>
      <c r="AJ379" s="42"/>
      <c r="AK379" s="42"/>
      <c r="AL379" s="42"/>
    </row>
    <row r="380" spans="12:38">
      <c r="L380" s="42"/>
      <c r="M380" s="42"/>
      <c r="N380" s="42"/>
      <c r="O380" s="42"/>
      <c r="P380" s="42"/>
      <c r="Q380" s="42"/>
      <c r="R380" s="42"/>
      <c r="S380" s="42"/>
      <c r="T380" s="42"/>
      <c r="U380" s="42"/>
      <c r="V380" s="42"/>
      <c r="W380" s="42"/>
      <c r="AB380" s="42"/>
      <c r="AC380" s="42"/>
      <c r="AD380" s="42"/>
      <c r="AE380" s="42"/>
      <c r="AF380" s="42"/>
      <c r="AG380" s="42"/>
      <c r="AH380" s="42"/>
      <c r="AI380" s="42"/>
      <c r="AJ380" s="42"/>
      <c r="AK380" s="42"/>
      <c r="AL380" s="42"/>
    </row>
    <row r="381" spans="12:38">
      <c r="L381" s="42"/>
      <c r="M381" s="42"/>
      <c r="N381" s="42"/>
      <c r="O381" s="42"/>
      <c r="P381" s="42"/>
      <c r="Q381" s="42"/>
      <c r="R381" s="42"/>
      <c r="S381" s="42"/>
      <c r="T381" s="42"/>
      <c r="U381" s="42"/>
      <c r="V381" s="42"/>
      <c r="W381" s="42"/>
      <c r="AB381" s="42"/>
      <c r="AC381" s="42"/>
      <c r="AD381" s="42"/>
      <c r="AE381" s="42"/>
      <c r="AF381" s="42"/>
      <c r="AG381" s="42"/>
      <c r="AH381" s="42"/>
      <c r="AI381" s="42"/>
      <c r="AJ381" s="42"/>
      <c r="AK381" s="42"/>
      <c r="AL381" s="42"/>
    </row>
    <row r="382" spans="12:38">
      <c r="L382" s="42"/>
      <c r="M382" s="42"/>
      <c r="N382" s="42"/>
      <c r="O382" s="42"/>
      <c r="P382" s="42"/>
      <c r="Q382" s="42"/>
      <c r="R382" s="42"/>
      <c r="S382" s="42"/>
      <c r="T382" s="42"/>
      <c r="U382" s="42"/>
      <c r="V382" s="42"/>
      <c r="W382" s="42"/>
      <c r="AB382" s="42"/>
      <c r="AC382" s="42"/>
      <c r="AD382" s="42"/>
      <c r="AE382" s="42"/>
      <c r="AF382" s="42"/>
      <c r="AG382" s="42"/>
      <c r="AH382" s="42"/>
      <c r="AI382" s="42"/>
      <c r="AJ382" s="42"/>
      <c r="AK382" s="42"/>
      <c r="AL382" s="42"/>
    </row>
    <row r="383" spans="12:38">
      <c r="L383" s="42"/>
      <c r="M383" s="42"/>
      <c r="N383" s="42"/>
      <c r="O383" s="42"/>
      <c r="P383" s="42"/>
      <c r="Q383" s="42"/>
      <c r="R383" s="42"/>
      <c r="S383" s="42"/>
      <c r="T383" s="42"/>
      <c r="U383" s="42"/>
      <c r="V383" s="42"/>
      <c r="W383" s="42"/>
      <c r="AB383" s="42"/>
      <c r="AC383" s="42"/>
      <c r="AD383" s="42"/>
      <c r="AE383" s="42"/>
      <c r="AF383" s="42"/>
      <c r="AG383" s="42"/>
      <c r="AH383" s="42"/>
      <c r="AI383" s="42"/>
      <c r="AJ383" s="42"/>
      <c r="AK383" s="42"/>
      <c r="AL383" s="42"/>
    </row>
    <row r="384" spans="12:38">
      <c r="L384" s="42"/>
      <c r="M384" s="42"/>
      <c r="N384" s="42"/>
      <c r="O384" s="42"/>
      <c r="P384" s="42"/>
      <c r="Q384" s="42"/>
      <c r="R384" s="42"/>
      <c r="S384" s="42"/>
      <c r="T384" s="42"/>
      <c r="U384" s="42"/>
      <c r="V384" s="42"/>
      <c r="W384" s="42"/>
      <c r="AB384" s="42"/>
      <c r="AC384" s="42"/>
      <c r="AD384" s="42"/>
      <c r="AE384" s="42"/>
      <c r="AF384" s="42"/>
      <c r="AG384" s="42"/>
      <c r="AH384" s="42"/>
      <c r="AI384" s="42"/>
      <c r="AJ384" s="42"/>
      <c r="AK384" s="42"/>
      <c r="AL384" s="42"/>
    </row>
    <row r="385" spans="12:38">
      <c r="L385" s="42"/>
      <c r="M385" s="42"/>
      <c r="N385" s="42"/>
      <c r="O385" s="42"/>
      <c r="P385" s="42"/>
      <c r="Q385" s="42"/>
      <c r="R385" s="42"/>
      <c r="S385" s="42"/>
      <c r="T385" s="42"/>
      <c r="U385" s="42"/>
      <c r="V385" s="42"/>
      <c r="W385" s="42"/>
      <c r="AB385" s="42"/>
      <c r="AC385" s="42"/>
      <c r="AD385" s="42"/>
      <c r="AE385" s="42"/>
      <c r="AF385" s="42"/>
      <c r="AG385" s="42"/>
      <c r="AH385" s="42"/>
      <c r="AI385" s="42"/>
      <c r="AJ385" s="42"/>
      <c r="AK385" s="42"/>
      <c r="AL385" s="42"/>
    </row>
    <row r="386" spans="12:38">
      <c r="L386" s="42"/>
      <c r="M386" s="42"/>
      <c r="N386" s="42"/>
      <c r="O386" s="42"/>
      <c r="P386" s="42"/>
      <c r="Q386" s="42"/>
      <c r="R386" s="42"/>
      <c r="S386" s="42"/>
      <c r="T386" s="42"/>
      <c r="U386" s="42"/>
      <c r="V386" s="42"/>
      <c r="W386" s="42"/>
      <c r="AB386" s="42"/>
      <c r="AC386" s="42"/>
      <c r="AD386" s="42"/>
      <c r="AE386" s="42"/>
      <c r="AF386" s="42"/>
      <c r="AG386" s="42"/>
      <c r="AH386" s="42"/>
      <c r="AI386" s="42"/>
      <c r="AJ386" s="42"/>
      <c r="AK386" s="42"/>
      <c r="AL386" s="42"/>
    </row>
    <row r="387" spans="12:38">
      <c r="L387" s="42"/>
      <c r="M387" s="42"/>
      <c r="N387" s="42"/>
      <c r="O387" s="42"/>
      <c r="P387" s="42"/>
      <c r="Q387" s="42"/>
      <c r="R387" s="42"/>
      <c r="S387" s="42"/>
      <c r="T387" s="42"/>
      <c r="U387" s="42"/>
      <c r="V387" s="42"/>
      <c r="W387" s="42"/>
      <c r="AB387" s="42"/>
      <c r="AC387" s="42"/>
      <c r="AD387" s="42"/>
      <c r="AE387" s="42"/>
      <c r="AF387" s="42"/>
      <c r="AG387" s="42"/>
      <c r="AH387" s="42"/>
      <c r="AI387" s="42"/>
      <c r="AJ387" s="42"/>
      <c r="AK387" s="42"/>
      <c r="AL387" s="42"/>
    </row>
    <row r="388" spans="12:38">
      <c r="L388" s="42"/>
      <c r="M388" s="42"/>
      <c r="N388" s="42"/>
      <c r="O388" s="42"/>
      <c r="P388" s="42"/>
      <c r="Q388" s="42"/>
      <c r="R388" s="42"/>
      <c r="S388" s="42"/>
      <c r="T388" s="42"/>
      <c r="U388" s="42"/>
      <c r="V388" s="42"/>
      <c r="W388" s="42"/>
      <c r="AB388" s="42"/>
      <c r="AC388" s="42"/>
      <c r="AD388" s="42"/>
      <c r="AE388" s="42"/>
      <c r="AF388" s="42"/>
      <c r="AG388" s="42"/>
      <c r="AH388" s="42"/>
      <c r="AI388" s="42"/>
      <c r="AJ388" s="42"/>
      <c r="AK388" s="42"/>
      <c r="AL388" s="42"/>
    </row>
    <row r="389" spans="12:38">
      <c r="L389" s="42"/>
      <c r="M389" s="42"/>
      <c r="N389" s="42"/>
      <c r="O389" s="42"/>
      <c r="P389" s="42"/>
      <c r="Q389" s="42"/>
      <c r="R389" s="42"/>
      <c r="S389" s="42"/>
      <c r="T389" s="42"/>
      <c r="U389" s="42"/>
      <c r="V389" s="42"/>
      <c r="W389" s="42"/>
      <c r="AB389" s="42"/>
      <c r="AC389" s="42"/>
      <c r="AD389" s="42"/>
      <c r="AE389" s="42"/>
      <c r="AF389" s="42"/>
      <c r="AG389" s="42"/>
      <c r="AH389" s="42"/>
      <c r="AI389" s="42"/>
      <c r="AJ389" s="42"/>
      <c r="AK389" s="42"/>
      <c r="AL389" s="42"/>
    </row>
    <row r="390" spans="12:38">
      <c r="L390" s="42"/>
      <c r="M390" s="42"/>
      <c r="N390" s="42"/>
      <c r="O390" s="42"/>
      <c r="P390" s="42"/>
      <c r="Q390" s="42"/>
      <c r="R390" s="42"/>
      <c r="S390" s="42"/>
      <c r="T390" s="42"/>
      <c r="U390" s="42"/>
      <c r="V390" s="42"/>
      <c r="W390" s="42"/>
      <c r="AB390" s="42"/>
      <c r="AC390" s="42"/>
      <c r="AD390" s="42"/>
      <c r="AE390" s="42"/>
      <c r="AF390" s="42"/>
      <c r="AG390" s="42"/>
      <c r="AH390" s="42"/>
      <c r="AI390" s="42"/>
      <c r="AJ390" s="42"/>
      <c r="AK390" s="42"/>
      <c r="AL390" s="42"/>
    </row>
    <row r="391" spans="12:38">
      <c r="L391" s="42"/>
      <c r="M391" s="42"/>
      <c r="N391" s="42"/>
      <c r="O391" s="42"/>
      <c r="P391" s="42"/>
      <c r="Q391" s="42"/>
      <c r="R391" s="42"/>
      <c r="S391" s="42"/>
      <c r="T391" s="42"/>
      <c r="U391" s="42"/>
      <c r="V391" s="42"/>
      <c r="W391" s="42"/>
      <c r="AB391" s="42"/>
      <c r="AC391" s="42"/>
      <c r="AD391" s="42"/>
      <c r="AE391" s="42"/>
      <c r="AF391" s="42"/>
      <c r="AG391" s="42"/>
      <c r="AH391" s="42"/>
      <c r="AI391" s="42"/>
      <c r="AJ391" s="42"/>
      <c r="AK391" s="42"/>
      <c r="AL391" s="42"/>
    </row>
    <row r="392" spans="12:38">
      <c r="L392" s="42"/>
      <c r="M392" s="42"/>
      <c r="N392" s="42"/>
      <c r="O392" s="42"/>
      <c r="P392" s="42"/>
      <c r="Q392" s="42"/>
      <c r="R392" s="42"/>
      <c r="S392" s="42"/>
      <c r="T392" s="42"/>
      <c r="U392" s="42"/>
      <c r="V392" s="42"/>
      <c r="W392" s="42"/>
      <c r="AB392" s="42"/>
      <c r="AC392" s="42"/>
      <c r="AD392" s="42"/>
      <c r="AE392" s="42"/>
      <c r="AF392" s="42"/>
      <c r="AG392" s="42"/>
      <c r="AH392" s="42"/>
      <c r="AI392" s="42"/>
      <c r="AJ392" s="42"/>
      <c r="AK392" s="42"/>
      <c r="AL392" s="42"/>
    </row>
    <row r="393" spans="12:38">
      <c r="L393" s="42"/>
      <c r="M393" s="42"/>
      <c r="N393" s="42"/>
      <c r="O393" s="42"/>
      <c r="P393" s="42"/>
      <c r="Q393" s="42"/>
      <c r="R393" s="42"/>
      <c r="S393" s="42"/>
      <c r="T393" s="42"/>
      <c r="U393" s="42"/>
      <c r="V393" s="42"/>
      <c r="W393" s="42"/>
      <c r="AB393" s="42"/>
      <c r="AC393" s="42"/>
      <c r="AD393" s="42"/>
      <c r="AE393" s="42"/>
      <c r="AF393" s="42"/>
      <c r="AG393" s="42"/>
      <c r="AH393" s="42"/>
      <c r="AI393" s="42"/>
      <c r="AJ393" s="42"/>
      <c r="AK393" s="42"/>
      <c r="AL393" s="42"/>
    </row>
    <row r="394" spans="12:38">
      <c r="L394" s="42"/>
      <c r="M394" s="42"/>
      <c r="N394" s="42"/>
      <c r="O394" s="42"/>
      <c r="P394" s="42"/>
      <c r="Q394" s="42"/>
      <c r="R394" s="42"/>
      <c r="S394" s="42"/>
      <c r="T394" s="42"/>
      <c r="U394" s="42"/>
      <c r="V394" s="42"/>
      <c r="W394" s="42"/>
      <c r="AB394" s="42"/>
      <c r="AC394" s="42"/>
      <c r="AD394" s="42"/>
      <c r="AE394" s="42"/>
      <c r="AF394" s="42"/>
      <c r="AG394" s="42"/>
      <c r="AH394" s="42"/>
      <c r="AI394" s="42"/>
      <c r="AJ394" s="42"/>
      <c r="AK394" s="42"/>
      <c r="AL394" s="42"/>
    </row>
    <row r="395" spans="12:38">
      <c r="L395" s="42"/>
      <c r="M395" s="42"/>
      <c r="N395" s="42"/>
      <c r="O395" s="42"/>
      <c r="P395" s="42"/>
      <c r="Q395" s="42"/>
      <c r="R395" s="42"/>
      <c r="S395" s="42"/>
      <c r="T395" s="42"/>
      <c r="U395" s="42"/>
      <c r="V395" s="42"/>
      <c r="W395" s="42"/>
      <c r="AB395" s="42"/>
      <c r="AC395" s="42"/>
      <c r="AD395" s="42"/>
      <c r="AE395" s="42"/>
      <c r="AF395" s="42"/>
      <c r="AG395" s="42"/>
      <c r="AH395" s="42"/>
      <c r="AI395" s="42"/>
      <c r="AJ395" s="42"/>
      <c r="AK395" s="42"/>
      <c r="AL395" s="42"/>
    </row>
    <row r="396" spans="12:38">
      <c r="L396" s="42"/>
      <c r="M396" s="42"/>
      <c r="N396" s="42"/>
      <c r="O396" s="42"/>
      <c r="P396" s="42"/>
      <c r="Q396" s="42"/>
      <c r="R396" s="42"/>
      <c r="S396" s="42"/>
      <c r="T396" s="42"/>
      <c r="U396" s="42"/>
      <c r="V396" s="42"/>
      <c r="W396" s="42"/>
      <c r="AB396" s="42"/>
      <c r="AC396" s="42"/>
      <c r="AD396" s="42"/>
      <c r="AE396" s="42"/>
      <c r="AF396" s="42"/>
      <c r="AG396" s="42"/>
      <c r="AH396" s="42"/>
      <c r="AI396" s="42"/>
      <c r="AJ396" s="42"/>
      <c r="AK396" s="42"/>
      <c r="AL396" s="42"/>
    </row>
    <row r="397" spans="12:38">
      <c r="L397" s="42"/>
      <c r="M397" s="42"/>
      <c r="N397" s="42"/>
      <c r="O397" s="42"/>
      <c r="P397" s="42"/>
      <c r="Q397" s="42"/>
      <c r="R397" s="42"/>
      <c r="S397" s="42"/>
      <c r="T397" s="42"/>
      <c r="U397" s="42"/>
      <c r="V397" s="42"/>
      <c r="W397" s="42"/>
      <c r="AB397" s="42"/>
      <c r="AC397" s="42"/>
      <c r="AD397" s="42"/>
      <c r="AE397" s="42"/>
      <c r="AF397" s="42"/>
      <c r="AG397" s="42"/>
      <c r="AH397" s="42"/>
      <c r="AI397" s="42"/>
      <c r="AJ397" s="42"/>
      <c r="AK397" s="42"/>
      <c r="AL397" s="42"/>
    </row>
    <row r="398" spans="12:38">
      <c r="L398" s="42"/>
      <c r="M398" s="42"/>
      <c r="N398" s="42"/>
      <c r="O398" s="42"/>
      <c r="P398" s="42"/>
      <c r="Q398" s="42"/>
      <c r="R398" s="42"/>
      <c r="S398" s="42"/>
      <c r="T398" s="42"/>
      <c r="U398" s="42"/>
      <c r="V398" s="42"/>
      <c r="W398" s="42"/>
      <c r="AB398" s="42"/>
      <c r="AC398" s="42"/>
      <c r="AD398" s="42"/>
      <c r="AE398" s="42"/>
      <c r="AF398" s="42"/>
      <c r="AG398" s="42"/>
      <c r="AH398" s="42"/>
      <c r="AI398" s="42"/>
      <c r="AJ398" s="42"/>
      <c r="AK398" s="42"/>
      <c r="AL398" s="42"/>
    </row>
    <row r="399" spans="12:38">
      <c r="L399" s="42"/>
      <c r="M399" s="42"/>
      <c r="N399" s="42"/>
      <c r="O399" s="42"/>
      <c r="P399" s="42"/>
      <c r="Q399" s="42"/>
      <c r="R399" s="42"/>
      <c r="S399" s="42"/>
      <c r="T399" s="42"/>
      <c r="U399" s="42"/>
      <c r="V399" s="42"/>
      <c r="W399" s="42"/>
      <c r="AB399" s="42"/>
      <c r="AC399" s="42"/>
      <c r="AD399" s="42"/>
      <c r="AE399" s="42"/>
      <c r="AF399" s="42"/>
      <c r="AG399" s="42"/>
      <c r="AH399" s="42"/>
      <c r="AI399" s="42"/>
      <c r="AJ399" s="42"/>
      <c r="AK399" s="42"/>
      <c r="AL399" s="42"/>
    </row>
    <row r="400" spans="12:38">
      <c r="L400" s="42"/>
      <c r="M400" s="42"/>
      <c r="N400" s="42"/>
      <c r="O400" s="42"/>
      <c r="P400" s="42"/>
      <c r="Q400" s="42"/>
      <c r="R400" s="42"/>
      <c r="S400" s="42"/>
      <c r="T400" s="42"/>
      <c r="U400" s="42"/>
      <c r="V400" s="42"/>
      <c r="W400" s="42"/>
      <c r="AB400" s="42"/>
      <c r="AC400" s="42"/>
      <c r="AD400" s="42"/>
      <c r="AE400" s="42"/>
      <c r="AF400" s="42"/>
      <c r="AG400" s="42"/>
      <c r="AH400" s="42"/>
      <c r="AI400" s="42"/>
      <c r="AJ400" s="42"/>
      <c r="AK400" s="42"/>
      <c r="AL400" s="42"/>
    </row>
    <row r="401" spans="12:38">
      <c r="L401" s="42"/>
      <c r="M401" s="42"/>
      <c r="N401" s="42"/>
      <c r="O401" s="42"/>
      <c r="P401" s="42"/>
      <c r="Q401" s="42"/>
      <c r="R401" s="42"/>
      <c r="S401" s="42"/>
      <c r="T401" s="42"/>
      <c r="U401" s="42"/>
      <c r="V401" s="42"/>
      <c r="W401" s="42"/>
      <c r="AB401" s="42"/>
      <c r="AC401" s="42"/>
      <c r="AD401" s="42"/>
      <c r="AE401" s="42"/>
      <c r="AF401" s="42"/>
      <c r="AG401" s="42"/>
      <c r="AH401" s="42"/>
      <c r="AI401" s="42"/>
      <c r="AJ401" s="42"/>
      <c r="AK401" s="42"/>
      <c r="AL401" s="42"/>
    </row>
    <row r="402" spans="12:38">
      <c r="L402" s="42"/>
      <c r="M402" s="42"/>
      <c r="N402" s="42"/>
      <c r="O402" s="42"/>
      <c r="P402" s="42"/>
      <c r="Q402" s="42"/>
      <c r="R402" s="42"/>
      <c r="S402" s="42"/>
      <c r="T402" s="42"/>
      <c r="U402" s="42"/>
      <c r="V402" s="42"/>
      <c r="W402" s="42"/>
      <c r="AB402" s="42"/>
      <c r="AC402" s="42"/>
      <c r="AD402" s="42"/>
      <c r="AE402" s="42"/>
      <c r="AF402" s="42"/>
      <c r="AG402" s="42"/>
      <c r="AH402" s="42"/>
      <c r="AI402" s="42"/>
      <c r="AJ402" s="42"/>
      <c r="AK402" s="42"/>
      <c r="AL402" s="42"/>
    </row>
    <row r="403" spans="12:38">
      <c r="L403" s="42"/>
      <c r="M403" s="42"/>
      <c r="N403" s="42"/>
      <c r="O403" s="42"/>
      <c r="P403" s="42"/>
      <c r="Q403" s="42"/>
      <c r="R403" s="42"/>
      <c r="S403" s="42"/>
      <c r="T403" s="42"/>
      <c r="U403" s="42"/>
      <c r="V403" s="42"/>
      <c r="W403" s="42"/>
      <c r="AB403" s="42"/>
      <c r="AC403" s="42"/>
      <c r="AD403" s="42"/>
      <c r="AE403" s="42"/>
      <c r="AF403" s="42"/>
      <c r="AG403" s="42"/>
      <c r="AH403" s="42"/>
      <c r="AI403" s="42"/>
      <c r="AJ403" s="42"/>
      <c r="AK403" s="42"/>
      <c r="AL403" s="42"/>
    </row>
    <row r="404" spans="12:38">
      <c r="L404" s="42"/>
      <c r="M404" s="42"/>
      <c r="N404" s="42"/>
      <c r="O404" s="42"/>
      <c r="P404" s="42"/>
      <c r="Q404" s="42"/>
      <c r="R404" s="42"/>
      <c r="S404" s="42"/>
      <c r="T404" s="42"/>
      <c r="U404" s="42"/>
      <c r="V404" s="42"/>
      <c r="W404" s="42"/>
      <c r="AB404" s="42"/>
      <c r="AC404" s="42"/>
      <c r="AD404" s="42"/>
      <c r="AE404" s="42"/>
      <c r="AF404" s="42"/>
      <c r="AG404" s="42"/>
      <c r="AH404" s="42"/>
      <c r="AI404" s="42"/>
      <c r="AJ404" s="42"/>
      <c r="AK404" s="42"/>
      <c r="AL404" s="42"/>
    </row>
    <row r="405" spans="12:38">
      <c r="L405" s="42"/>
      <c r="M405" s="42"/>
      <c r="N405" s="42"/>
      <c r="O405" s="42"/>
      <c r="P405" s="42"/>
      <c r="Q405" s="42"/>
      <c r="R405" s="42"/>
      <c r="S405" s="42"/>
      <c r="T405" s="42"/>
      <c r="U405" s="42"/>
      <c r="V405" s="42"/>
      <c r="W405" s="42"/>
      <c r="AB405" s="42"/>
      <c r="AC405" s="42"/>
      <c r="AD405" s="42"/>
      <c r="AE405" s="42"/>
      <c r="AF405" s="42"/>
      <c r="AG405" s="42"/>
      <c r="AH405" s="42"/>
      <c r="AI405" s="42"/>
      <c r="AJ405" s="42"/>
      <c r="AK405" s="42"/>
      <c r="AL405" s="42"/>
    </row>
    <row r="406" spans="12:38">
      <c r="L406" s="42"/>
      <c r="M406" s="42"/>
      <c r="N406" s="42"/>
      <c r="O406" s="42"/>
      <c r="P406" s="42"/>
      <c r="Q406" s="42"/>
      <c r="R406" s="42"/>
      <c r="S406" s="42"/>
      <c r="T406" s="42"/>
      <c r="U406" s="42"/>
      <c r="V406" s="42"/>
      <c r="W406" s="42"/>
      <c r="AB406" s="42"/>
      <c r="AC406" s="42"/>
      <c r="AD406" s="42"/>
      <c r="AE406" s="42"/>
      <c r="AF406" s="42"/>
      <c r="AG406" s="42"/>
      <c r="AH406" s="42"/>
      <c r="AI406" s="42"/>
      <c r="AJ406" s="42"/>
      <c r="AK406" s="42"/>
      <c r="AL406" s="42"/>
    </row>
    <row r="407" spans="12:38">
      <c r="L407" s="42"/>
      <c r="M407" s="42"/>
      <c r="N407" s="42"/>
      <c r="O407" s="42"/>
      <c r="P407" s="42"/>
      <c r="Q407" s="42"/>
      <c r="R407" s="42"/>
      <c r="S407" s="42"/>
      <c r="T407" s="42"/>
      <c r="U407" s="42"/>
      <c r="V407" s="42"/>
      <c r="W407" s="42"/>
      <c r="AB407" s="42"/>
      <c r="AC407" s="42"/>
      <c r="AD407" s="42"/>
      <c r="AE407" s="42"/>
      <c r="AF407" s="42"/>
      <c r="AG407" s="42"/>
      <c r="AH407" s="42"/>
      <c r="AI407" s="42"/>
      <c r="AJ407" s="42"/>
      <c r="AK407" s="42"/>
      <c r="AL407" s="42"/>
    </row>
    <row r="408" spans="12:38">
      <c r="L408" s="42"/>
      <c r="M408" s="42"/>
      <c r="N408" s="42"/>
      <c r="O408" s="42"/>
      <c r="P408" s="42"/>
      <c r="Q408" s="42"/>
      <c r="R408" s="42"/>
      <c r="S408" s="42"/>
      <c r="T408" s="42"/>
      <c r="U408" s="42"/>
      <c r="V408" s="42"/>
      <c r="W408" s="42"/>
      <c r="AB408" s="42"/>
      <c r="AC408" s="42"/>
      <c r="AD408" s="42"/>
      <c r="AE408" s="42"/>
      <c r="AF408" s="42"/>
      <c r="AG408" s="42"/>
      <c r="AH408" s="42"/>
      <c r="AI408" s="42"/>
      <c r="AJ408" s="42"/>
      <c r="AK408" s="42"/>
      <c r="AL408" s="42"/>
    </row>
    <row r="409" spans="12:38">
      <c r="L409" s="42"/>
      <c r="M409" s="42"/>
      <c r="N409" s="42"/>
      <c r="O409" s="42"/>
      <c r="P409" s="42"/>
      <c r="Q409" s="42"/>
      <c r="R409" s="42"/>
      <c r="S409" s="42"/>
      <c r="T409" s="42"/>
      <c r="U409" s="42"/>
      <c r="V409" s="42"/>
      <c r="W409" s="42"/>
      <c r="AB409" s="42"/>
      <c r="AC409" s="42"/>
      <c r="AD409" s="42"/>
      <c r="AE409" s="42"/>
      <c r="AF409" s="42"/>
      <c r="AG409" s="42"/>
      <c r="AH409" s="42"/>
      <c r="AI409" s="42"/>
      <c r="AJ409" s="42"/>
      <c r="AK409" s="42"/>
      <c r="AL409" s="42"/>
    </row>
    <row r="410" spans="12:38">
      <c r="L410" s="42"/>
      <c r="M410" s="42"/>
      <c r="N410" s="42"/>
      <c r="O410" s="42"/>
      <c r="P410" s="42"/>
      <c r="Q410" s="42"/>
      <c r="R410" s="42"/>
      <c r="S410" s="42"/>
      <c r="T410" s="42"/>
      <c r="U410" s="42"/>
      <c r="V410" s="42"/>
      <c r="W410" s="42"/>
      <c r="AB410" s="42"/>
      <c r="AC410" s="42"/>
      <c r="AD410" s="42"/>
      <c r="AE410" s="42"/>
      <c r="AF410" s="42"/>
      <c r="AG410" s="42"/>
      <c r="AH410" s="42"/>
      <c r="AI410" s="42"/>
      <c r="AJ410" s="42"/>
      <c r="AK410" s="42"/>
      <c r="AL410" s="42"/>
    </row>
    <row r="411" spans="12:38">
      <c r="L411" s="42"/>
      <c r="M411" s="42"/>
      <c r="N411" s="42"/>
      <c r="O411" s="42"/>
      <c r="P411" s="42"/>
      <c r="Q411" s="42"/>
      <c r="R411" s="42"/>
      <c r="S411" s="42"/>
      <c r="T411" s="42"/>
      <c r="U411" s="42"/>
      <c r="V411" s="42"/>
      <c r="W411" s="42"/>
      <c r="AB411" s="42"/>
      <c r="AC411" s="42"/>
      <c r="AD411" s="42"/>
      <c r="AE411" s="42"/>
      <c r="AF411" s="42"/>
      <c r="AG411" s="42"/>
      <c r="AH411" s="42"/>
      <c r="AI411" s="42"/>
      <c r="AJ411" s="42"/>
      <c r="AK411" s="42"/>
      <c r="AL411" s="42"/>
    </row>
    <row r="412" spans="12:38">
      <c r="L412" s="42"/>
      <c r="M412" s="42"/>
      <c r="N412" s="42"/>
      <c r="O412" s="42"/>
      <c r="P412" s="42"/>
      <c r="Q412" s="42"/>
      <c r="R412" s="42"/>
      <c r="S412" s="42"/>
      <c r="T412" s="42"/>
      <c r="U412" s="42"/>
      <c r="V412" s="42"/>
      <c r="W412" s="42"/>
      <c r="AB412" s="42"/>
      <c r="AC412" s="42"/>
      <c r="AD412" s="42"/>
      <c r="AE412" s="42"/>
      <c r="AF412" s="42"/>
      <c r="AG412" s="42"/>
      <c r="AH412" s="42"/>
      <c r="AI412" s="42"/>
      <c r="AJ412" s="42"/>
      <c r="AK412" s="42"/>
      <c r="AL412" s="42"/>
    </row>
    <row r="413" spans="12:38">
      <c r="L413" s="42"/>
      <c r="M413" s="42"/>
      <c r="N413" s="42"/>
      <c r="O413" s="42"/>
      <c r="P413" s="42"/>
      <c r="Q413" s="42"/>
      <c r="R413" s="42"/>
      <c r="S413" s="42"/>
      <c r="T413" s="42"/>
      <c r="U413" s="42"/>
      <c r="V413" s="42"/>
      <c r="W413" s="42"/>
      <c r="AB413" s="42"/>
      <c r="AC413" s="42"/>
      <c r="AD413" s="42"/>
      <c r="AE413" s="42"/>
      <c r="AF413" s="42"/>
      <c r="AG413" s="42"/>
      <c r="AH413" s="42"/>
      <c r="AI413" s="42"/>
      <c r="AJ413" s="42"/>
      <c r="AK413" s="42"/>
      <c r="AL413" s="42"/>
    </row>
    <row r="414" spans="12:38">
      <c r="L414" s="42"/>
      <c r="M414" s="42"/>
      <c r="N414" s="42"/>
      <c r="O414" s="42"/>
      <c r="P414" s="42"/>
      <c r="Q414" s="42"/>
      <c r="R414" s="42"/>
      <c r="S414" s="42"/>
      <c r="T414" s="42"/>
      <c r="U414" s="42"/>
      <c r="V414" s="42"/>
      <c r="W414" s="42"/>
      <c r="AB414" s="42"/>
      <c r="AC414" s="42"/>
      <c r="AD414" s="42"/>
      <c r="AE414" s="42"/>
      <c r="AF414" s="42"/>
      <c r="AG414" s="42"/>
      <c r="AH414" s="42"/>
      <c r="AI414" s="42"/>
      <c r="AJ414" s="42"/>
      <c r="AK414" s="42"/>
      <c r="AL414" s="42"/>
    </row>
    <row r="415" spans="12:38">
      <c r="L415" s="42"/>
      <c r="M415" s="42"/>
      <c r="N415" s="42"/>
      <c r="O415" s="42"/>
      <c r="P415" s="42"/>
      <c r="Q415" s="42"/>
      <c r="R415" s="42"/>
      <c r="S415" s="42"/>
      <c r="T415" s="42"/>
      <c r="U415" s="42"/>
      <c r="V415" s="42"/>
      <c r="W415" s="42"/>
      <c r="AB415" s="42"/>
      <c r="AC415" s="42"/>
      <c r="AD415" s="42"/>
      <c r="AE415" s="42"/>
      <c r="AF415" s="42"/>
      <c r="AG415" s="42"/>
      <c r="AH415" s="42"/>
      <c r="AI415" s="42"/>
      <c r="AJ415" s="42"/>
      <c r="AK415" s="42"/>
      <c r="AL415" s="42"/>
    </row>
    <row r="416" spans="12:38">
      <c r="L416" s="42"/>
      <c r="M416" s="42"/>
      <c r="N416" s="42"/>
      <c r="O416" s="42"/>
      <c r="P416" s="42"/>
      <c r="Q416" s="42"/>
      <c r="R416" s="42"/>
      <c r="S416" s="42"/>
      <c r="T416" s="42"/>
      <c r="U416" s="42"/>
      <c r="V416" s="42"/>
      <c r="W416" s="42"/>
      <c r="AB416" s="42"/>
      <c r="AC416" s="42"/>
      <c r="AD416" s="42"/>
      <c r="AE416" s="42"/>
      <c r="AF416" s="42"/>
      <c r="AG416" s="42"/>
      <c r="AH416" s="42"/>
      <c r="AI416" s="42"/>
      <c r="AJ416" s="42"/>
      <c r="AK416" s="42"/>
      <c r="AL416" s="42"/>
    </row>
    <row r="417" spans="12:38">
      <c r="L417" s="42"/>
      <c r="M417" s="42"/>
      <c r="N417" s="42"/>
      <c r="O417" s="42"/>
      <c r="P417" s="42"/>
      <c r="Q417" s="42"/>
      <c r="R417" s="42"/>
      <c r="S417" s="42"/>
      <c r="T417" s="42"/>
      <c r="U417" s="42"/>
      <c r="V417" s="42"/>
      <c r="W417" s="42"/>
      <c r="AB417" s="42"/>
      <c r="AC417" s="42"/>
      <c r="AD417" s="42"/>
      <c r="AE417" s="42"/>
      <c r="AF417" s="42"/>
      <c r="AG417" s="42"/>
      <c r="AH417" s="42"/>
      <c r="AI417" s="42"/>
      <c r="AJ417" s="42"/>
      <c r="AK417" s="42"/>
      <c r="AL417" s="42"/>
    </row>
    <row r="418" spans="12:38">
      <c r="L418" s="42"/>
      <c r="M418" s="42"/>
      <c r="N418" s="42"/>
      <c r="O418" s="42"/>
      <c r="P418" s="42"/>
      <c r="Q418" s="42"/>
      <c r="R418" s="42"/>
      <c r="S418" s="42"/>
      <c r="T418" s="42"/>
      <c r="U418" s="42"/>
      <c r="V418" s="42"/>
      <c r="W418" s="42"/>
      <c r="AB418" s="42"/>
      <c r="AC418" s="42"/>
      <c r="AD418" s="42"/>
      <c r="AE418" s="42"/>
      <c r="AF418" s="42"/>
      <c r="AG418" s="42"/>
      <c r="AH418" s="42"/>
      <c r="AI418" s="42"/>
      <c r="AJ418" s="42"/>
      <c r="AK418" s="42"/>
      <c r="AL418" s="42"/>
    </row>
    <row r="419" spans="12:38">
      <c r="L419" s="42"/>
      <c r="M419" s="42"/>
      <c r="N419" s="42"/>
      <c r="O419" s="42"/>
      <c r="P419" s="42"/>
      <c r="Q419" s="42"/>
      <c r="R419" s="42"/>
      <c r="S419" s="42"/>
      <c r="T419" s="42"/>
      <c r="U419" s="42"/>
      <c r="V419" s="42"/>
      <c r="W419" s="42"/>
      <c r="AB419" s="42"/>
      <c r="AC419" s="42"/>
      <c r="AD419" s="42"/>
      <c r="AE419" s="42"/>
      <c r="AF419" s="42"/>
      <c r="AG419" s="42"/>
      <c r="AH419" s="42"/>
      <c r="AI419" s="42"/>
      <c r="AJ419" s="42"/>
      <c r="AK419" s="42"/>
      <c r="AL419" s="42"/>
    </row>
    <row r="420" spans="12:38">
      <c r="L420" s="42"/>
      <c r="M420" s="42"/>
      <c r="N420" s="42"/>
      <c r="O420" s="42"/>
      <c r="P420" s="42"/>
      <c r="Q420" s="42"/>
      <c r="R420" s="42"/>
      <c r="S420" s="42"/>
      <c r="T420" s="42"/>
      <c r="U420" s="42"/>
      <c r="V420" s="42"/>
      <c r="W420" s="42"/>
      <c r="AB420" s="42"/>
      <c r="AC420" s="42"/>
      <c r="AD420" s="42"/>
      <c r="AE420" s="42"/>
      <c r="AF420" s="42"/>
      <c r="AG420" s="42"/>
      <c r="AH420" s="42"/>
      <c r="AI420" s="42"/>
      <c r="AJ420" s="42"/>
      <c r="AK420" s="42"/>
      <c r="AL420" s="42"/>
    </row>
    <row r="421" spans="12:38">
      <c r="L421" s="42"/>
      <c r="M421" s="42"/>
      <c r="N421" s="42"/>
      <c r="O421" s="42"/>
      <c r="P421" s="42"/>
      <c r="Q421" s="42"/>
      <c r="R421" s="42"/>
      <c r="S421" s="42"/>
      <c r="T421" s="42"/>
      <c r="U421" s="42"/>
      <c r="V421" s="42"/>
      <c r="W421" s="42"/>
      <c r="AB421" s="42"/>
      <c r="AC421" s="42"/>
      <c r="AD421" s="42"/>
      <c r="AE421" s="42"/>
      <c r="AF421" s="42"/>
      <c r="AG421" s="42"/>
      <c r="AH421" s="42"/>
      <c r="AI421" s="42"/>
      <c r="AJ421" s="42"/>
      <c r="AK421" s="42"/>
      <c r="AL421" s="42"/>
    </row>
    <row r="422" spans="12:38">
      <c r="L422" s="42"/>
      <c r="M422" s="42"/>
      <c r="N422" s="42"/>
      <c r="O422" s="42"/>
      <c r="P422" s="42"/>
      <c r="Q422" s="42"/>
      <c r="R422" s="42"/>
      <c r="S422" s="42"/>
      <c r="T422" s="42"/>
      <c r="U422" s="42"/>
      <c r="V422" s="42"/>
      <c r="W422" s="42"/>
      <c r="AB422" s="42"/>
      <c r="AC422" s="42"/>
      <c r="AD422" s="42"/>
      <c r="AE422" s="42"/>
      <c r="AF422" s="42"/>
      <c r="AG422" s="42"/>
      <c r="AH422" s="42"/>
      <c r="AI422" s="42"/>
      <c r="AJ422" s="42"/>
      <c r="AK422" s="42"/>
      <c r="AL422" s="42"/>
    </row>
    <row r="423" spans="12:38">
      <c r="L423" s="42"/>
      <c r="M423" s="42"/>
      <c r="N423" s="42"/>
      <c r="O423" s="42"/>
      <c r="P423" s="42"/>
      <c r="Q423" s="42"/>
      <c r="R423" s="42"/>
      <c r="S423" s="42"/>
      <c r="T423" s="42"/>
      <c r="U423" s="42"/>
      <c r="V423" s="42"/>
      <c r="W423" s="42"/>
      <c r="AB423" s="42"/>
      <c r="AC423" s="42"/>
      <c r="AD423" s="42"/>
      <c r="AE423" s="42"/>
      <c r="AF423" s="42"/>
      <c r="AG423" s="42"/>
      <c r="AH423" s="42"/>
      <c r="AI423" s="42"/>
      <c r="AJ423" s="42"/>
      <c r="AK423" s="42"/>
      <c r="AL423" s="42"/>
    </row>
    <row r="424" spans="12:38">
      <c r="L424" s="42"/>
      <c r="M424" s="42"/>
      <c r="N424" s="42"/>
      <c r="O424" s="42"/>
      <c r="P424" s="42"/>
      <c r="Q424" s="42"/>
      <c r="R424" s="42"/>
      <c r="S424" s="42"/>
      <c r="T424" s="42"/>
      <c r="U424" s="42"/>
      <c r="V424" s="42"/>
      <c r="W424" s="42"/>
      <c r="AB424" s="42"/>
      <c r="AC424" s="42"/>
      <c r="AD424" s="42"/>
      <c r="AE424" s="42"/>
      <c r="AF424" s="42"/>
      <c r="AG424" s="42"/>
      <c r="AH424" s="42"/>
      <c r="AI424" s="42"/>
      <c r="AJ424" s="42"/>
      <c r="AK424" s="42"/>
      <c r="AL424" s="42"/>
    </row>
    <row r="425" spans="12:38">
      <c r="L425" s="42"/>
      <c r="M425" s="42"/>
      <c r="N425" s="42"/>
      <c r="O425" s="42"/>
      <c r="P425" s="42"/>
      <c r="Q425" s="42"/>
      <c r="R425" s="42"/>
      <c r="S425" s="42"/>
      <c r="T425" s="42"/>
      <c r="U425" s="42"/>
      <c r="V425" s="42"/>
      <c r="W425" s="42"/>
      <c r="AB425" s="42"/>
      <c r="AC425" s="42"/>
      <c r="AD425" s="42"/>
      <c r="AE425" s="42"/>
      <c r="AF425" s="42"/>
      <c r="AG425" s="42"/>
      <c r="AH425" s="42"/>
      <c r="AI425" s="42"/>
      <c r="AJ425" s="42"/>
      <c r="AK425" s="42"/>
      <c r="AL425" s="42"/>
    </row>
    <row r="426" spans="12:38">
      <c r="L426" s="42"/>
      <c r="M426" s="42"/>
      <c r="N426" s="42"/>
      <c r="O426" s="42"/>
      <c r="P426" s="42"/>
      <c r="Q426" s="42"/>
      <c r="R426" s="42"/>
      <c r="S426" s="42"/>
      <c r="T426" s="42"/>
      <c r="U426" s="42"/>
      <c r="V426" s="42"/>
      <c r="W426" s="42"/>
      <c r="AB426" s="42"/>
      <c r="AC426" s="42"/>
      <c r="AD426" s="42"/>
      <c r="AE426" s="42"/>
      <c r="AF426" s="42"/>
      <c r="AG426" s="42"/>
      <c r="AH426" s="42"/>
      <c r="AI426" s="42"/>
      <c r="AJ426" s="42"/>
      <c r="AK426" s="42"/>
      <c r="AL426" s="42"/>
    </row>
    <row r="427" spans="12:38">
      <c r="L427" s="42"/>
      <c r="M427" s="42"/>
      <c r="N427" s="42"/>
      <c r="O427" s="42"/>
      <c r="P427" s="42"/>
      <c r="Q427" s="42"/>
      <c r="R427" s="42"/>
      <c r="S427" s="42"/>
      <c r="T427" s="42"/>
      <c r="U427" s="42"/>
      <c r="V427" s="42"/>
      <c r="W427" s="42"/>
      <c r="AB427" s="42"/>
      <c r="AC427" s="42"/>
      <c r="AD427" s="42"/>
      <c r="AE427" s="42"/>
      <c r="AF427" s="42"/>
      <c r="AG427" s="42"/>
      <c r="AH427" s="42"/>
      <c r="AI427" s="42"/>
      <c r="AJ427" s="42"/>
      <c r="AK427" s="42"/>
      <c r="AL427" s="42"/>
    </row>
    <row r="428" spans="12:38">
      <c r="L428" s="42"/>
      <c r="M428" s="42"/>
      <c r="N428" s="42"/>
      <c r="O428" s="42"/>
      <c r="P428" s="42"/>
      <c r="Q428" s="42"/>
      <c r="R428" s="42"/>
      <c r="S428" s="42"/>
      <c r="T428" s="42"/>
      <c r="U428" s="42"/>
      <c r="V428" s="42"/>
      <c r="W428" s="42"/>
      <c r="AB428" s="42"/>
      <c r="AC428" s="42"/>
      <c r="AD428" s="42"/>
      <c r="AE428" s="42"/>
      <c r="AF428" s="42"/>
      <c r="AG428" s="42"/>
      <c r="AH428" s="42"/>
      <c r="AI428" s="42"/>
      <c r="AJ428" s="42"/>
      <c r="AK428" s="42"/>
      <c r="AL428" s="42"/>
    </row>
    <row r="429" spans="12:38">
      <c r="L429" s="42"/>
      <c r="M429" s="42"/>
      <c r="N429" s="42"/>
      <c r="O429" s="42"/>
      <c r="P429" s="42"/>
      <c r="Q429" s="42"/>
      <c r="R429" s="42"/>
      <c r="S429" s="42"/>
      <c r="T429" s="42"/>
      <c r="U429" s="42"/>
      <c r="V429" s="42"/>
      <c r="W429" s="42"/>
      <c r="AB429" s="42"/>
      <c r="AC429" s="42"/>
      <c r="AD429" s="42"/>
      <c r="AE429" s="42"/>
      <c r="AF429" s="42"/>
      <c r="AG429" s="42"/>
      <c r="AH429" s="42"/>
      <c r="AI429" s="42"/>
      <c r="AJ429" s="42"/>
      <c r="AK429" s="42"/>
      <c r="AL429" s="42"/>
    </row>
    <row r="430" spans="12:38">
      <c r="L430" s="42"/>
      <c r="M430" s="42"/>
      <c r="N430" s="42"/>
      <c r="O430" s="42"/>
      <c r="P430" s="42"/>
      <c r="Q430" s="42"/>
      <c r="R430" s="42"/>
      <c r="S430" s="42"/>
      <c r="T430" s="42"/>
      <c r="U430" s="42"/>
      <c r="V430" s="42"/>
      <c r="W430" s="42"/>
      <c r="AB430" s="42"/>
      <c r="AC430" s="42"/>
      <c r="AD430" s="42"/>
      <c r="AE430" s="42"/>
      <c r="AF430" s="42"/>
      <c r="AG430" s="42"/>
      <c r="AH430" s="42"/>
      <c r="AI430" s="42"/>
      <c r="AJ430" s="42"/>
      <c r="AK430" s="42"/>
      <c r="AL430" s="42"/>
    </row>
    <row r="431" spans="12:38">
      <c r="L431" s="42"/>
      <c r="M431" s="42"/>
      <c r="N431" s="42"/>
      <c r="O431" s="42"/>
      <c r="P431" s="42"/>
      <c r="Q431" s="42"/>
      <c r="R431" s="42"/>
      <c r="S431" s="42"/>
      <c r="T431" s="42"/>
      <c r="U431" s="42"/>
      <c r="V431" s="42"/>
      <c r="W431" s="42"/>
      <c r="AB431" s="42"/>
      <c r="AC431" s="42"/>
      <c r="AD431" s="42"/>
      <c r="AE431" s="42"/>
      <c r="AF431" s="42"/>
      <c r="AG431" s="42"/>
      <c r="AH431" s="42"/>
      <c r="AI431" s="42"/>
      <c r="AJ431" s="42"/>
      <c r="AK431" s="42"/>
      <c r="AL431" s="42"/>
    </row>
    <row r="432" spans="12:38">
      <c r="L432" s="42"/>
      <c r="M432" s="42"/>
      <c r="N432" s="42"/>
      <c r="O432" s="42"/>
      <c r="P432" s="42"/>
      <c r="Q432" s="42"/>
      <c r="R432" s="42"/>
      <c r="S432" s="42"/>
      <c r="T432" s="42"/>
      <c r="U432" s="42"/>
      <c r="V432" s="42"/>
      <c r="W432" s="42"/>
      <c r="AB432" s="42"/>
      <c r="AC432" s="42"/>
      <c r="AD432" s="42"/>
      <c r="AE432" s="42"/>
      <c r="AF432" s="42"/>
      <c r="AG432" s="42"/>
      <c r="AH432" s="42"/>
      <c r="AI432" s="42"/>
      <c r="AJ432" s="42"/>
      <c r="AK432" s="42"/>
      <c r="AL432" s="42"/>
    </row>
    <row r="433" spans="12:38">
      <c r="L433" s="42"/>
      <c r="M433" s="42"/>
      <c r="N433" s="42"/>
      <c r="O433" s="42"/>
      <c r="P433" s="42"/>
      <c r="Q433" s="42"/>
      <c r="R433" s="42"/>
      <c r="S433" s="42"/>
      <c r="T433" s="42"/>
      <c r="U433" s="42"/>
      <c r="V433" s="42"/>
      <c r="W433" s="42"/>
      <c r="AB433" s="42"/>
      <c r="AC433" s="42"/>
      <c r="AD433" s="42"/>
      <c r="AE433" s="42"/>
      <c r="AF433" s="42"/>
      <c r="AG433" s="42"/>
      <c r="AH433" s="42"/>
      <c r="AI433" s="42"/>
      <c r="AJ433" s="42"/>
      <c r="AK433" s="42"/>
      <c r="AL433" s="42"/>
    </row>
    <row r="434" spans="12:38">
      <c r="L434" s="42"/>
      <c r="M434" s="42"/>
      <c r="N434" s="42"/>
      <c r="O434" s="42"/>
      <c r="P434" s="42"/>
      <c r="Q434" s="42"/>
      <c r="R434" s="42"/>
      <c r="S434" s="42"/>
      <c r="T434" s="42"/>
      <c r="U434" s="42"/>
      <c r="V434" s="42"/>
      <c r="W434" s="42"/>
      <c r="AB434" s="42"/>
      <c r="AC434" s="42"/>
      <c r="AD434" s="42"/>
      <c r="AE434" s="42"/>
      <c r="AF434" s="42"/>
      <c r="AG434" s="42"/>
      <c r="AH434" s="42"/>
      <c r="AI434" s="42"/>
      <c r="AJ434" s="42"/>
      <c r="AK434" s="42"/>
      <c r="AL434" s="42"/>
    </row>
    <row r="435" spans="12:38">
      <c r="L435" s="42"/>
      <c r="M435" s="42"/>
      <c r="N435" s="42"/>
      <c r="O435" s="42"/>
      <c r="P435" s="42"/>
      <c r="Q435" s="42"/>
      <c r="R435" s="42"/>
      <c r="S435" s="42"/>
      <c r="T435" s="42"/>
      <c r="U435" s="42"/>
      <c r="V435" s="42"/>
      <c r="W435" s="42"/>
      <c r="AB435" s="42"/>
      <c r="AC435" s="42"/>
      <c r="AD435" s="42"/>
      <c r="AE435" s="42"/>
      <c r="AF435" s="42"/>
      <c r="AG435" s="42"/>
      <c r="AH435" s="42"/>
      <c r="AI435" s="42"/>
      <c r="AJ435" s="42"/>
      <c r="AK435" s="42"/>
      <c r="AL435" s="42"/>
    </row>
    <row r="436" spans="12:38">
      <c r="L436" s="42"/>
      <c r="M436" s="42"/>
      <c r="N436" s="42"/>
      <c r="O436" s="42"/>
      <c r="P436" s="42"/>
      <c r="Q436" s="42"/>
      <c r="R436" s="42"/>
      <c r="S436" s="42"/>
      <c r="T436" s="42"/>
      <c r="U436" s="42"/>
      <c r="V436" s="42"/>
      <c r="W436" s="42"/>
      <c r="AB436" s="42"/>
      <c r="AC436" s="42"/>
      <c r="AD436" s="42"/>
      <c r="AE436" s="42"/>
      <c r="AF436" s="42"/>
      <c r="AG436" s="42"/>
      <c r="AH436" s="42"/>
      <c r="AI436" s="42"/>
      <c r="AJ436" s="42"/>
      <c r="AK436" s="42"/>
      <c r="AL436" s="42"/>
    </row>
    <row r="437" spans="12:38">
      <c r="L437" s="42"/>
      <c r="M437" s="42"/>
      <c r="N437" s="42"/>
      <c r="O437" s="42"/>
      <c r="P437" s="42"/>
      <c r="Q437" s="42"/>
      <c r="R437" s="42"/>
      <c r="S437" s="42"/>
      <c r="T437" s="42"/>
      <c r="U437" s="42"/>
      <c r="V437" s="42"/>
      <c r="W437" s="42"/>
      <c r="AB437" s="42"/>
      <c r="AC437" s="42"/>
      <c r="AD437" s="42"/>
      <c r="AE437" s="42"/>
      <c r="AF437" s="42"/>
      <c r="AG437" s="42"/>
      <c r="AH437" s="42"/>
      <c r="AI437" s="42"/>
      <c r="AJ437" s="42"/>
      <c r="AK437" s="42"/>
      <c r="AL437" s="42"/>
    </row>
    <row r="438" spans="12:38">
      <c r="L438" s="42"/>
      <c r="M438" s="42"/>
      <c r="N438" s="42"/>
      <c r="O438" s="42"/>
      <c r="P438" s="42"/>
      <c r="Q438" s="42"/>
      <c r="R438" s="42"/>
      <c r="S438" s="42"/>
      <c r="T438" s="42"/>
      <c r="U438" s="42"/>
      <c r="V438" s="42"/>
      <c r="W438" s="42"/>
      <c r="AB438" s="42"/>
      <c r="AC438" s="42"/>
      <c r="AD438" s="42"/>
      <c r="AE438" s="42"/>
      <c r="AF438" s="42"/>
      <c r="AG438" s="42"/>
      <c r="AH438" s="42"/>
      <c r="AI438" s="42"/>
      <c r="AJ438" s="42"/>
      <c r="AK438" s="42"/>
      <c r="AL438" s="42"/>
    </row>
    <row r="439" spans="12:38">
      <c r="L439" s="42"/>
      <c r="M439" s="42"/>
      <c r="N439" s="42"/>
      <c r="O439" s="42"/>
      <c r="P439" s="42"/>
      <c r="Q439" s="42"/>
      <c r="R439" s="42"/>
      <c r="S439" s="42"/>
      <c r="T439" s="42"/>
      <c r="U439" s="42"/>
      <c r="V439" s="42"/>
      <c r="W439" s="42"/>
      <c r="AB439" s="42"/>
      <c r="AC439" s="42"/>
      <c r="AD439" s="42"/>
      <c r="AE439" s="42"/>
      <c r="AF439" s="42"/>
      <c r="AG439" s="42"/>
      <c r="AH439" s="42"/>
      <c r="AI439" s="42"/>
      <c r="AJ439" s="42"/>
      <c r="AK439" s="42"/>
      <c r="AL439" s="42"/>
    </row>
    <row r="440" spans="12:38">
      <c r="L440" s="42"/>
      <c r="M440" s="42"/>
      <c r="N440" s="42"/>
      <c r="O440" s="42"/>
      <c r="P440" s="42"/>
      <c r="Q440" s="42"/>
      <c r="R440" s="42"/>
      <c r="S440" s="42"/>
      <c r="T440" s="42"/>
      <c r="U440" s="42"/>
      <c r="V440" s="42"/>
      <c r="W440" s="42"/>
      <c r="AB440" s="42"/>
      <c r="AC440" s="42"/>
      <c r="AD440" s="42"/>
      <c r="AE440" s="42"/>
      <c r="AF440" s="42"/>
      <c r="AG440" s="42"/>
      <c r="AH440" s="42"/>
      <c r="AI440" s="42"/>
      <c r="AJ440" s="42"/>
      <c r="AK440" s="42"/>
      <c r="AL440" s="42"/>
    </row>
    <row r="441" spans="12:38">
      <c r="L441" s="42"/>
      <c r="M441" s="42"/>
      <c r="N441" s="42"/>
      <c r="O441" s="42"/>
      <c r="P441" s="42"/>
      <c r="Q441" s="42"/>
      <c r="R441" s="42"/>
      <c r="S441" s="42"/>
      <c r="T441" s="42"/>
      <c r="U441" s="42"/>
      <c r="V441" s="42"/>
      <c r="W441" s="42"/>
      <c r="AB441" s="42"/>
      <c r="AC441" s="42"/>
      <c r="AD441" s="42"/>
      <c r="AE441" s="42"/>
      <c r="AF441" s="42"/>
      <c r="AG441" s="42"/>
      <c r="AH441" s="42"/>
      <c r="AI441" s="42"/>
      <c r="AJ441" s="42"/>
      <c r="AK441" s="42"/>
      <c r="AL441" s="42"/>
    </row>
    <row r="442" spans="12:38">
      <c r="L442" s="42"/>
      <c r="M442" s="42"/>
      <c r="N442" s="42"/>
      <c r="O442" s="42"/>
      <c r="P442" s="42"/>
      <c r="Q442" s="42"/>
      <c r="R442" s="42"/>
      <c r="S442" s="42"/>
      <c r="T442" s="42"/>
      <c r="U442" s="42"/>
      <c r="V442" s="42"/>
      <c r="W442" s="42"/>
      <c r="AB442" s="42"/>
      <c r="AC442" s="42"/>
      <c r="AD442" s="42"/>
      <c r="AE442" s="42"/>
      <c r="AF442" s="42"/>
      <c r="AG442" s="42"/>
      <c r="AH442" s="42"/>
      <c r="AI442" s="42"/>
      <c r="AJ442" s="42"/>
      <c r="AK442" s="42"/>
      <c r="AL442" s="42"/>
    </row>
    <row r="443" spans="12:38">
      <c r="L443" s="42"/>
      <c r="M443" s="42"/>
      <c r="N443" s="42"/>
      <c r="O443" s="42"/>
      <c r="P443" s="42"/>
      <c r="Q443" s="42"/>
      <c r="R443" s="42"/>
      <c r="S443" s="42"/>
      <c r="T443" s="42"/>
      <c r="U443" s="42"/>
      <c r="V443" s="42"/>
      <c r="W443" s="42"/>
      <c r="AB443" s="42"/>
      <c r="AC443" s="42"/>
      <c r="AD443" s="42"/>
      <c r="AE443" s="42"/>
      <c r="AF443" s="42"/>
      <c r="AG443" s="42"/>
      <c r="AH443" s="42"/>
      <c r="AI443" s="42"/>
      <c r="AJ443" s="42"/>
      <c r="AK443" s="42"/>
      <c r="AL443" s="42"/>
    </row>
    <row r="444" spans="12:38">
      <c r="L444" s="42"/>
      <c r="M444" s="42"/>
      <c r="N444" s="42"/>
      <c r="O444" s="42"/>
      <c r="P444" s="42"/>
      <c r="Q444" s="42"/>
      <c r="R444" s="42"/>
      <c r="S444" s="42"/>
      <c r="T444" s="42"/>
      <c r="U444" s="42"/>
      <c r="V444" s="42"/>
      <c r="W444" s="42"/>
      <c r="AB444" s="42"/>
      <c r="AC444" s="42"/>
      <c r="AD444" s="42"/>
      <c r="AE444" s="42"/>
      <c r="AF444" s="42"/>
      <c r="AG444" s="42"/>
      <c r="AH444" s="42"/>
      <c r="AI444" s="42"/>
      <c r="AJ444" s="42"/>
      <c r="AK444" s="42"/>
      <c r="AL444" s="42"/>
    </row>
    <row r="445" spans="12:38">
      <c r="L445" s="42"/>
      <c r="M445" s="42"/>
      <c r="N445" s="42"/>
      <c r="O445" s="42"/>
      <c r="P445" s="42"/>
      <c r="Q445" s="42"/>
      <c r="R445" s="42"/>
      <c r="S445" s="42"/>
      <c r="T445" s="42"/>
      <c r="U445" s="42"/>
      <c r="V445" s="42"/>
      <c r="W445" s="42"/>
      <c r="AB445" s="42"/>
      <c r="AC445" s="42"/>
      <c r="AD445" s="42"/>
      <c r="AE445" s="42"/>
      <c r="AF445" s="42"/>
      <c r="AG445" s="42"/>
      <c r="AH445" s="42"/>
      <c r="AI445" s="42"/>
      <c r="AJ445" s="42"/>
      <c r="AK445" s="42"/>
      <c r="AL445" s="42"/>
    </row>
    <row r="446" spans="12:38">
      <c r="L446" s="42"/>
      <c r="M446" s="42"/>
      <c r="N446" s="42"/>
      <c r="O446" s="42"/>
      <c r="P446" s="42"/>
      <c r="Q446" s="42"/>
      <c r="R446" s="42"/>
      <c r="S446" s="42"/>
      <c r="T446" s="42"/>
      <c r="U446" s="42"/>
      <c r="V446" s="42"/>
      <c r="W446" s="42"/>
      <c r="AB446" s="42"/>
      <c r="AC446" s="42"/>
      <c r="AD446" s="42"/>
      <c r="AE446" s="42"/>
      <c r="AF446" s="42"/>
      <c r="AG446" s="42"/>
      <c r="AH446" s="42"/>
      <c r="AI446" s="42"/>
      <c r="AJ446" s="42"/>
      <c r="AK446" s="42"/>
      <c r="AL446" s="42"/>
    </row>
    <row r="447" spans="12:38">
      <c r="L447" s="42"/>
      <c r="M447" s="42"/>
      <c r="N447" s="42"/>
      <c r="O447" s="42"/>
      <c r="P447" s="42"/>
      <c r="Q447" s="42"/>
      <c r="R447" s="42"/>
      <c r="S447" s="42"/>
      <c r="T447" s="42"/>
      <c r="U447" s="42"/>
      <c r="V447" s="42"/>
      <c r="W447" s="42"/>
      <c r="AB447" s="42"/>
      <c r="AC447" s="42"/>
      <c r="AD447" s="42"/>
      <c r="AE447" s="42"/>
      <c r="AF447" s="42"/>
      <c r="AG447" s="42"/>
      <c r="AH447" s="42"/>
      <c r="AI447" s="42"/>
      <c r="AJ447" s="42"/>
      <c r="AK447" s="42"/>
      <c r="AL447" s="42"/>
    </row>
    <row r="448" spans="12:38">
      <c r="L448" s="42"/>
      <c r="M448" s="42"/>
      <c r="N448" s="42"/>
      <c r="O448" s="42"/>
      <c r="P448" s="42"/>
      <c r="Q448" s="42"/>
      <c r="R448" s="42"/>
      <c r="S448" s="42"/>
      <c r="T448" s="42"/>
      <c r="U448" s="42"/>
      <c r="V448" s="42"/>
      <c r="W448" s="42"/>
      <c r="AB448" s="42"/>
      <c r="AC448" s="42"/>
      <c r="AD448" s="42"/>
      <c r="AE448" s="42"/>
      <c r="AF448" s="42"/>
      <c r="AG448" s="42"/>
      <c r="AH448" s="42"/>
      <c r="AI448" s="42"/>
      <c r="AJ448" s="42"/>
      <c r="AK448" s="42"/>
      <c r="AL448" s="42"/>
    </row>
    <row r="449" spans="12:38">
      <c r="L449" s="42"/>
      <c r="M449" s="42"/>
      <c r="N449" s="42"/>
      <c r="O449" s="42"/>
      <c r="P449" s="42"/>
      <c r="Q449" s="42"/>
      <c r="R449" s="42"/>
      <c r="S449" s="42"/>
      <c r="T449" s="42"/>
      <c r="U449" s="42"/>
      <c r="V449" s="42"/>
      <c r="W449" s="42"/>
      <c r="AB449" s="42"/>
      <c r="AC449" s="42"/>
      <c r="AD449" s="42"/>
      <c r="AE449" s="42"/>
      <c r="AF449" s="42"/>
      <c r="AG449" s="42"/>
      <c r="AH449" s="42"/>
      <c r="AI449" s="42"/>
      <c r="AJ449" s="42"/>
      <c r="AK449" s="42"/>
      <c r="AL449" s="42"/>
    </row>
    <row r="450" spans="12:38">
      <c r="L450" s="42"/>
      <c r="M450" s="42"/>
      <c r="N450" s="42"/>
      <c r="O450" s="42"/>
      <c r="P450" s="42"/>
      <c r="Q450" s="42"/>
      <c r="R450" s="42"/>
      <c r="S450" s="42"/>
      <c r="T450" s="42"/>
      <c r="U450" s="42"/>
      <c r="V450" s="42"/>
      <c r="W450" s="42"/>
      <c r="AB450" s="42"/>
      <c r="AC450" s="42"/>
      <c r="AD450" s="42"/>
      <c r="AE450" s="42"/>
      <c r="AF450" s="42"/>
      <c r="AG450" s="42"/>
      <c r="AH450" s="42"/>
      <c r="AI450" s="42"/>
      <c r="AJ450" s="42"/>
      <c r="AK450" s="42"/>
      <c r="AL450" s="42"/>
    </row>
    <row r="451" spans="12:38">
      <c r="L451" s="42"/>
      <c r="M451" s="42"/>
      <c r="N451" s="42"/>
      <c r="O451" s="42"/>
      <c r="P451" s="42"/>
      <c r="Q451" s="42"/>
      <c r="R451" s="42"/>
      <c r="S451" s="42"/>
      <c r="T451" s="42"/>
      <c r="U451" s="42"/>
      <c r="V451" s="42"/>
      <c r="W451" s="42"/>
      <c r="AB451" s="42"/>
      <c r="AC451" s="42"/>
      <c r="AD451" s="42"/>
      <c r="AE451" s="42"/>
      <c r="AF451" s="42"/>
      <c r="AG451" s="42"/>
      <c r="AH451" s="42"/>
      <c r="AI451" s="42"/>
      <c r="AJ451" s="42"/>
      <c r="AK451" s="42"/>
      <c r="AL451" s="42"/>
    </row>
    <row r="452" spans="12:38">
      <c r="L452" s="42"/>
      <c r="M452" s="42"/>
      <c r="N452" s="42"/>
      <c r="O452" s="42"/>
      <c r="P452" s="42"/>
      <c r="Q452" s="42"/>
      <c r="R452" s="42"/>
      <c r="S452" s="42"/>
      <c r="T452" s="42"/>
      <c r="U452" s="42"/>
      <c r="V452" s="42"/>
      <c r="W452" s="42"/>
      <c r="AB452" s="42"/>
      <c r="AC452" s="42"/>
      <c r="AD452" s="42"/>
      <c r="AE452" s="42"/>
      <c r="AF452" s="42"/>
      <c r="AG452" s="42"/>
      <c r="AH452" s="42"/>
      <c r="AI452" s="42"/>
      <c r="AJ452" s="42"/>
      <c r="AK452" s="42"/>
      <c r="AL452" s="42"/>
    </row>
    <row r="453" spans="12:38">
      <c r="L453" s="42"/>
      <c r="M453" s="42"/>
      <c r="N453" s="42"/>
      <c r="O453" s="42"/>
      <c r="P453" s="42"/>
      <c r="Q453" s="42"/>
      <c r="R453" s="42"/>
      <c r="S453" s="42"/>
      <c r="T453" s="42"/>
      <c r="U453" s="42"/>
      <c r="V453" s="42"/>
      <c r="W453" s="42"/>
      <c r="AB453" s="42"/>
      <c r="AC453" s="42"/>
      <c r="AD453" s="42"/>
      <c r="AE453" s="42"/>
      <c r="AF453" s="42"/>
      <c r="AG453" s="42"/>
      <c r="AH453" s="42"/>
      <c r="AI453" s="42"/>
      <c r="AJ453" s="42"/>
      <c r="AK453" s="42"/>
      <c r="AL453" s="42"/>
    </row>
    <row r="454" spans="12:38">
      <c r="L454" s="42"/>
      <c r="M454" s="42"/>
      <c r="N454" s="42"/>
      <c r="O454" s="42"/>
      <c r="P454" s="42"/>
      <c r="Q454" s="42"/>
      <c r="R454" s="42"/>
      <c r="S454" s="42"/>
      <c r="T454" s="42"/>
      <c r="U454" s="42"/>
      <c r="V454" s="42"/>
      <c r="W454" s="42"/>
      <c r="AB454" s="42"/>
      <c r="AC454" s="42"/>
      <c r="AD454" s="42"/>
      <c r="AE454" s="42"/>
      <c r="AF454" s="42"/>
      <c r="AG454" s="42"/>
      <c r="AH454" s="42"/>
      <c r="AI454" s="42"/>
      <c r="AJ454" s="42"/>
      <c r="AK454" s="42"/>
      <c r="AL454" s="42"/>
    </row>
    <row r="455" spans="12:38">
      <c r="L455" s="42"/>
      <c r="M455" s="42"/>
      <c r="N455" s="42"/>
      <c r="O455" s="42"/>
      <c r="P455" s="42"/>
      <c r="Q455" s="42"/>
      <c r="R455" s="42"/>
      <c r="S455" s="42"/>
      <c r="T455" s="42"/>
      <c r="U455" s="42"/>
      <c r="V455" s="42"/>
      <c r="W455" s="42"/>
      <c r="AB455" s="42"/>
      <c r="AC455" s="42"/>
      <c r="AD455" s="42"/>
      <c r="AE455" s="42"/>
      <c r="AF455" s="42"/>
      <c r="AG455" s="42"/>
      <c r="AH455" s="42"/>
      <c r="AI455" s="42"/>
      <c r="AJ455" s="42"/>
      <c r="AK455" s="42"/>
      <c r="AL455" s="42"/>
    </row>
    <row r="456" spans="12:38">
      <c r="L456" s="42"/>
      <c r="M456" s="42"/>
      <c r="N456" s="42"/>
      <c r="O456" s="42"/>
      <c r="P456" s="42"/>
      <c r="Q456" s="42"/>
      <c r="R456" s="42"/>
      <c r="S456" s="42"/>
      <c r="T456" s="42"/>
      <c r="U456" s="42"/>
      <c r="V456" s="42"/>
      <c r="W456" s="42"/>
      <c r="AB456" s="42"/>
      <c r="AC456" s="42"/>
      <c r="AD456" s="42"/>
      <c r="AE456" s="42"/>
      <c r="AF456" s="42"/>
      <c r="AG456" s="42"/>
      <c r="AH456" s="42"/>
      <c r="AI456" s="42"/>
      <c r="AJ456" s="42"/>
      <c r="AK456" s="42"/>
      <c r="AL456" s="42"/>
    </row>
    <row r="457" spans="12:38">
      <c r="L457" s="42"/>
      <c r="M457" s="42"/>
      <c r="N457" s="42"/>
      <c r="O457" s="42"/>
      <c r="P457" s="42"/>
      <c r="Q457" s="42"/>
      <c r="R457" s="42"/>
      <c r="S457" s="42"/>
      <c r="T457" s="42"/>
      <c r="U457" s="42"/>
      <c r="V457" s="42"/>
      <c r="W457" s="42"/>
      <c r="AB457" s="42"/>
      <c r="AC457" s="42"/>
      <c r="AD457" s="42"/>
      <c r="AE457" s="42"/>
      <c r="AF457" s="42"/>
      <c r="AG457" s="42"/>
      <c r="AH457" s="42"/>
      <c r="AI457" s="42"/>
      <c r="AJ457" s="42"/>
      <c r="AK457" s="42"/>
      <c r="AL457" s="42"/>
    </row>
    <row r="458" spans="12:38">
      <c r="L458" s="42"/>
      <c r="M458" s="42"/>
      <c r="N458" s="42"/>
      <c r="O458" s="42"/>
      <c r="P458" s="42"/>
      <c r="Q458" s="42"/>
      <c r="R458" s="42"/>
      <c r="S458" s="42"/>
      <c r="T458" s="42"/>
      <c r="U458" s="42"/>
      <c r="V458" s="42"/>
      <c r="W458" s="42"/>
      <c r="AB458" s="42"/>
      <c r="AC458" s="42"/>
      <c r="AD458" s="42"/>
      <c r="AE458" s="42"/>
      <c r="AF458" s="42"/>
      <c r="AG458" s="42"/>
      <c r="AH458" s="42"/>
      <c r="AI458" s="42"/>
      <c r="AJ458" s="42"/>
      <c r="AK458" s="42"/>
      <c r="AL458" s="42"/>
    </row>
    <row r="459" spans="12:38">
      <c r="L459" s="42"/>
      <c r="M459" s="42"/>
      <c r="N459" s="42"/>
      <c r="O459" s="42"/>
      <c r="P459" s="42"/>
      <c r="Q459" s="42"/>
      <c r="R459" s="42"/>
      <c r="S459" s="42"/>
      <c r="T459" s="42"/>
      <c r="U459" s="42"/>
      <c r="V459" s="42"/>
      <c r="W459" s="42"/>
      <c r="AB459" s="42"/>
      <c r="AC459" s="42"/>
      <c r="AD459" s="42"/>
      <c r="AE459" s="42"/>
      <c r="AF459" s="42"/>
      <c r="AG459" s="42"/>
      <c r="AH459" s="42"/>
      <c r="AI459" s="42"/>
      <c r="AJ459" s="42"/>
      <c r="AK459" s="42"/>
      <c r="AL459" s="42"/>
    </row>
    <row r="460" spans="12:38">
      <c r="L460" s="42"/>
      <c r="M460" s="42"/>
      <c r="N460" s="42"/>
      <c r="O460" s="42"/>
      <c r="P460" s="42"/>
      <c r="Q460" s="42"/>
      <c r="R460" s="42"/>
      <c r="S460" s="42"/>
      <c r="T460" s="42"/>
      <c r="U460" s="42"/>
      <c r="V460" s="42"/>
      <c r="W460" s="42"/>
      <c r="AB460" s="42"/>
      <c r="AC460" s="42"/>
      <c r="AD460" s="42"/>
      <c r="AE460" s="42"/>
      <c r="AF460" s="42"/>
      <c r="AG460" s="42"/>
      <c r="AH460" s="42"/>
      <c r="AI460" s="42"/>
      <c r="AJ460" s="42"/>
      <c r="AK460" s="42"/>
      <c r="AL460" s="42"/>
    </row>
    <row r="461" spans="12:38">
      <c r="L461" s="42"/>
      <c r="M461" s="42"/>
      <c r="N461" s="42"/>
      <c r="O461" s="42"/>
      <c r="P461" s="42"/>
      <c r="Q461" s="42"/>
      <c r="R461" s="42"/>
      <c r="S461" s="42"/>
      <c r="T461" s="42"/>
      <c r="U461" s="42"/>
      <c r="V461" s="42"/>
      <c r="W461" s="42"/>
      <c r="AB461" s="42"/>
      <c r="AC461" s="42"/>
      <c r="AD461" s="42"/>
      <c r="AE461" s="42"/>
      <c r="AF461" s="42"/>
      <c r="AG461" s="42"/>
      <c r="AH461" s="42"/>
      <c r="AI461" s="42"/>
      <c r="AJ461" s="42"/>
      <c r="AK461" s="42"/>
      <c r="AL461" s="42"/>
    </row>
    <row r="462" spans="12:38">
      <c r="L462" s="42"/>
      <c r="M462" s="42"/>
      <c r="N462" s="42"/>
      <c r="O462" s="42"/>
      <c r="P462" s="42"/>
      <c r="Q462" s="42"/>
      <c r="R462" s="42"/>
      <c r="S462" s="42"/>
      <c r="T462" s="42"/>
      <c r="U462" s="42"/>
      <c r="V462" s="42"/>
      <c r="W462" s="42"/>
      <c r="AB462" s="42"/>
      <c r="AC462" s="42"/>
      <c r="AD462" s="42"/>
      <c r="AE462" s="42"/>
      <c r="AF462" s="42"/>
      <c r="AG462" s="42"/>
      <c r="AH462" s="42"/>
      <c r="AI462" s="42"/>
      <c r="AJ462" s="42"/>
      <c r="AK462" s="42"/>
      <c r="AL462" s="42"/>
    </row>
    <row r="463" spans="12:38">
      <c r="L463" s="42"/>
      <c r="M463" s="42"/>
      <c r="N463" s="42"/>
      <c r="O463" s="42"/>
      <c r="P463" s="42"/>
      <c r="Q463" s="42"/>
      <c r="R463" s="42"/>
      <c r="S463" s="42"/>
      <c r="T463" s="42"/>
      <c r="U463" s="42"/>
      <c r="V463" s="42"/>
      <c r="W463" s="42"/>
      <c r="AB463" s="42"/>
      <c r="AC463" s="42"/>
      <c r="AD463" s="42"/>
      <c r="AE463" s="42"/>
      <c r="AF463" s="42"/>
      <c r="AG463" s="42"/>
      <c r="AH463" s="42"/>
      <c r="AI463" s="42"/>
      <c r="AJ463" s="42"/>
      <c r="AK463" s="42"/>
      <c r="AL463" s="42"/>
    </row>
    <row r="464" spans="12:38">
      <c r="L464" s="42"/>
      <c r="M464" s="42"/>
      <c r="N464" s="42"/>
      <c r="O464" s="42"/>
      <c r="P464" s="42"/>
      <c r="Q464" s="42"/>
      <c r="R464" s="42"/>
      <c r="S464" s="42"/>
      <c r="T464" s="42"/>
      <c r="U464" s="42"/>
      <c r="V464" s="42"/>
      <c r="W464" s="42"/>
      <c r="AB464" s="42"/>
      <c r="AC464" s="42"/>
      <c r="AD464" s="42"/>
      <c r="AE464" s="42"/>
      <c r="AF464" s="42"/>
      <c r="AG464" s="42"/>
      <c r="AH464" s="42"/>
      <c r="AI464" s="42"/>
      <c r="AJ464" s="42"/>
      <c r="AK464" s="42"/>
      <c r="AL464" s="42"/>
    </row>
    <row r="465" spans="12:38">
      <c r="L465" s="42"/>
      <c r="M465" s="42"/>
      <c r="N465" s="42"/>
      <c r="O465" s="42"/>
      <c r="P465" s="42"/>
      <c r="Q465" s="42"/>
      <c r="R465" s="42"/>
      <c r="S465" s="42"/>
      <c r="T465" s="42"/>
      <c r="U465" s="42"/>
      <c r="V465" s="42"/>
      <c r="W465" s="42"/>
      <c r="AB465" s="42"/>
      <c r="AC465" s="42"/>
      <c r="AD465" s="42"/>
      <c r="AE465" s="42"/>
      <c r="AF465" s="42"/>
      <c r="AG465" s="42"/>
      <c r="AH465" s="42"/>
      <c r="AI465" s="42"/>
      <c r="AJ465" s="42"/>
      <c r="AK465" s="42"/>
      <c r="AL465" s="42"/>
    </row>
    <row r="466" spans="12:38">
      <c r="L466" s="42"/>
      <c r="M466" s="42"/>
      <c r="N466" s="42"/>
      <c r="O466" s="42"/>
      <c r="P466" s="42"/>
      <c r="Q466" s="42"/>
      <c r="R466" s="42"/>
      <c r="S466" s="42"/>
      <c r="T466" s="42"/>
      <c r="U466" s="42"/>
      <c r="V466" s="42"/>
      <c r="W466" s="42"/>
      <c r="AB466" s="42"/>
      <c r="AC466" s="42"/>
      <c r="AD466" s="42"/>
      <c r="AE466" s="42"/>
      <c r="AF466" s="42"/>
      <c r="AG466" s="42"/>
      <c r="AH466" s="42"/>
      <c r="AI466" s="42"/>
      <c r="AJ466" s="42"/>
      <c r="AK466" s="42"/>
      <c r="AL466" s="42"/>
    </row>
    <row r="467" spans="12:38">
      <c r="L467" s="42"/>
      <c r="M467" s="42"/>
      <c r="N467" s="42"/>
      <c r="O467" s="42"/>
      <c r="P467" s="42"/>
      <c r="Q467" s="42"/>
      <c r="R467" s="42"/>
      <c r="S467" s="42"/>
      <c r="T467" s="42"/>
      <c r="U467" s="42"/>
      <c r="V467" s="42"/>
      <c r="W467" s="42"/>
      <c r="AB467" s="42"/>
      <c r="AC467" s="42"/>
      <c r="AD467" s="42"/>
      <c r="AE467" s="42"/>
      <c r="AF467" s="42"/>
      <c r="AG467" s="42"/>
      <c r="AH467" s="42"/>
      <c r="AI467" s="42"/>
      <c r="AJ467" s="42"/>
      <c r="AK467" s="42"/>
      <c r="AL467" s="42"/>
    </row>
    <row r="468" spans="12:38">
      <c r="L468" s="42"/>
      <c r="M468" s="42"/>
      <c r="N468" s="42"/>
      <c r="O468" s="42"/>
      <c r="P468" s="42"/>
      <c r="Q468" s="42"/>
      <c r="R468" s="42"/>
      <c r="S468" s="42"/>
      <c r="T468" s="42"/>
      <c r="U468" s="42"/>
      <c r="V468" s="42"/>
      <c r="W468" s="42"/>
      <c r="AB468" s="42"/>
      <c r="AC468" s="42"/>
      <c r="AD468" s="42"/>
      <c r="AE468" s="42"/>
      <c r="AF468" s="42"/>
      <c r="AG468" s="42"/>
      <c r="AH468" s="42"/>
      <c r="AI468" s="42"/>
      <c r="AJ468" s="42"/>
      <c r="AK468" s="42"/>
      <c r="AL468" s="42"/>
    </row>
    <row r="469" spans="12:38">
      <c r="L469" s="42"/>
      <c r="M469" s="42"/>
      <c r="N469" s="42"/>
      <c r="O469" s="42"/>
      <c r="P469" s="42"/>
      <c r="Q469" s="42"/>
      <c r="R469" s="42"/>
      <c r="S469" s="42"/>
      <c r="T469" s="42"/>
      <c r="U469" s="42"/>
      <c r="V469" s="42"/>
      <c r="W469" s="42"/>
      <c r="AB469" s="42"/>
      <c r="AC469" s="42"/>
      <c r="AD469" s="42"/>
      <c r="AE469" s="42"/>
      <c r="AF469" s="42"/>
      <c r="AG469" s="42"/>
      <c r="AH469" s="42"/>
      <c r="AI469" s="42"/>
      <c r="AJ469" s="42"/>
      <c r="AK469" s="42"/>
      <c r="AL469" s="42"/>
    </row>
    <row r="470" spans="12:38">
      <c r="L470" s="42"/>
      <c r="M470" s="42"/>
      <c r="N470" s="42"/>
      <c r="O470" s="42"/>
      <c r="P470" s="42"/>
      <c r="Q470" s="42"/>
      <c r="R470" s="42"/>
      <c r="S470" s="42"/>
      <c r="T470" s="42"/>
      <c r="U470" s="42"/>
      <c r="V470" s="42"/>
      <c r="W470" s="42"/>
      <c r="AB470" s="42"/>
      <c r="AC470" s="42"/>
      <c r="AD470" s="42"/>
      <c r="AE470" s="42"/>
      <c r="AF470" s="42"/>
      <c r="AG470" s="42"/>
      <c r="AH470" s="42"/>
      <c r="AI470" s="42"/>
      <c r="AJ470" s="42"/>
      <c r="AK470" s="42"/>
      <c r="AL470" s="42"/>
    </row>
    <row r="471" spans="12:38">
      <c r="L471" s="42"/>
      <c r="M471" s="42"/>
      <c r="N471" s="42"/>
      <c r="O471" s="42"/>
      <c r="P471" s="42"/>
      <c r="Q471" s="42"/>
      <c r="R471" s="42"/>
      <c r="S471" s="42"/>
      <c r="T471" s="42"/>
      <c r="U471" s="42"/>
      <c r="V471" s="42"/>
      <c r="W471" s="42"/>
      <c r="AB471" s="42"/>
      <c r="AC471" s="42"/>
      <c r="AD471" s="42"/>
      <c r="AE471" s="42"/>
      <c r="AF471" s="42"/>
      <c r="AG471" s="42"/>
      <c r="AH471" s="42"/>
      <c r="AI471" s="42"/>
      <c r="AJ471" s="42"/>
      <c r="AK471" s="42"/>
      <c r="AL471" s="42"/>
    </row>
    <row r="472" spans="12:38">
      <c r="L472" s="42"/>
      <c r="M472" s="42"/>
      <c r="N472" s="42"/>
      <c r="O472" s="42"/>
      <c r="P472" s="42"/>
      <c r="Q472" s="42"/>
      <c r="R472" s="42"/>
      <c r="S472" s="42"/>
      <c r="T472" s="42"/>
      <c r="U472" s="42"/>
      <c r="V472" s="42"/>
      <c r="W472" s="42"/>
      <c r="AB472" s="42"/>
      <c r="AC472" s="42"/>
      <c r="AD472" s="42"/>
      <c r="AE472" s="42"/>
      <c r="AF472" s="42"/>
      <c r="AG472" s="42"/>
      <c r="AH472" s="42"/>
      <c r="AI472" s="42"/>
      <c r="AJ472" s="42"/>
      <c r="AK472" s="42"/>
      <c r="AL472" s="42"/>
    </row>
    <row r="473" spans="12:38">
      <c r="L473" s="42"/>
      <c r="M473" s="42"/>
      <c r="N473" s="42"/>
      <c r="O473" s="42"/>
      <c r="P473" s="42"/>
      <c r="Q473" s="42"/>
      <c r="R473" s="42"/>
      <c r="S473" s="42"/>
      <c r="T473" s="42"/>
      <c r="U473" s="42"/>
      <c r="V473" s="42"/>
      <c r="W473" s="42"/>
      <c r="AB473" s="42"/>
      <c r="AC473" s="42"/>
      <c r="AD473" s="42"/>
      <c r="AE473" s="42"/>
      <c r="AF473" s="42"/>
      <c r="AG473" s="42"/>
      <c r="AH473" s="42"/>
      <c r="AI473" s="42"/>
      <c r="AJ473" s="42"/>
      <c r="AK473" s="42"/>
      <c r="AL473" s="42"/>
    </row>
    <row r="474" spans="12:38">
      <c r="L474" s="42"/>
      <c r="M474" s="42"/>
      <c r="N474" s="42"/>
      <c r="O474" s="42"/>
      <c r="P474" s="42"/>
      <c r="Q474" s="42"/>
      <c r="R474" s="42"/>
      <c r="S474" s="42"/>
      <c r="T474" s="42"/>
      <c r="U474" s="42"/>
      <c r="V474" s="42"/>
      <c r="W474" s="42"/>
      <c r="AB474" s="42"/>
      <c r="AC474" s="42"/>
      <c r="AD474" s="42"/>
      <c r="AE474" s="42"/>
      <c r="AF474" s="42"/>
      <c r="AG474" s="42"/>
      <c r="AH474" s="42"/>
      <c r="AI474" s="42"/>
      <c r="AJ474" s="42"/>
      <c r="AK474" s="42"/>
      <c r="AL474" s="42"/>
    </row>
    <row r="475" spans="12:38">
      <c r="L475" s="42"/>
      <c r="M475" s="42"/>
      <c r="N475" s="42"/>
      <c r="O475" s="42"/>
      <c r="P475" s="42"/>
      <c r="Q475" s="42"/>
      <c r="R475" s="42"/>
      <c r="S475" s="42"/>
      <c r="T475" s="42"/>
      <c r="U475" s="42"/>
      <c r="V475" s="42"/>
      <c r="W475" s="42"/>
      <c r="AB475" s="42"/>
      <c r="AC475" s="42"/>
      <c r="AD475" s="42"/>
      <c r="AE475" s="42"/>
      <c r="AF475" s="42"/>
      <c r="AG475" s="42"/>
      <c r="AH475" s="42"/>
      <c r="AI475" s="42"/>
      <c r="AJ475" s="42"/>
      <c r="AK475" s="42"/>
      <c r="AL475" s="42"/>
    </row>
    <row r="476" spans="12:38">
      <c r="L476" s="42"/>
      <c r="M476" s="42"/>
      <c r="N476" s="42"/>
      <c r="O476" s="42"/>
      <c r="P476" s="42"/>
      <c r="Q476" s="42"/>
      <c r="R476" s="42"/>
      <c r="S476" s="42"/>
      <c r="T476" s="42"/>
      <c r="U476" s="42"/>
      <c r="V476" s="42"/>
      <c r="W476" s="42"/>
      <c r="AB476" s="42"/>
      <c r="AC476" s="42"/>
      <c r="AD476" s="42"/>
      <c r="AE476" s="42"/>
      <c r="AF476" s="42"/>
      <c r="AG476" s="42"/>
      <c r="AH476" s="42"/>
      <c r="AI476" s="42"/>
      <c r="AJ476" s="42"/>
      <c r="AK476" s="42"/>
      <c r="AL476" s="42"/>
    </row>
    <row r="477" spans="12:38">
      <c r="L477" s="42"/>
      <c r="M477" s="42"/>
      <c r="N477" s="42"/>
      <c r="O477" s="42"/>
      <c r="P477" s="42"/>
      <c r="Q477" s="42"/>
      <c r="R477" s="42"/>
      <c r="S477" s="42"/>
      <c r="T477" s="42"/>
      <c r="U477" s="42"/>
      <c r="V477" s="42"/>
      <c r="W477" s="42"/>
      <c r="AB477" s="42"/>
      <c r="AC477" s="42"/>
      <c r="AD477" s="42"/>
      <c r="AE477" s="42"/>
      <c r="AF477" s="42"/>
      <c r="AG477" s="42"/>
      <c r="AH477" s="42"/>
      <c r="AI477" s="42"/>
      <c r="AJ477" s="42"/>
      <c r="AK477" s="42"/>
      <c r="AL477" s="42"/>
    </row>
    <row r="478" spans="12:38">
      <c r="L478" s="42"/>
      <c r="M478" s="42"/>
      <c r="N478" s="42"/>
      <c r="O478" s="42"/>
      <c r="P478" s="42"/>
      <c r="Q478" s="42"/>
      <c r="R478" s="42"/>
      <c r="S478" s="42"/>
      <c r="T478" s="42"/>
      <c r="U478" s="42"/>
      <c r="V478" s="42"/>
      <c r="W478" s="42"/>
      <c r="AB478" s="42"/>
      <c r="AC478" s="42"/>
      <c r="AD478" s="42"/>
      <c r="AE478" s="42"/>
      <c r="AF478" s="42"/>
      <c r="AG478" s="42"/>
      <c r="AH478" s="42"/>
      <c r="AI478" s="42"/>
      <c r="AJ478" s="42"/>
      <c r="AK478" s="42"/>
      <c r="AL478" s="42"/>
    </row>
    <row r="479" spans="12:38">
      <c r="L479" s="42"/>
      <c r="M479" s="42"/>
      <c r="N479" s="42"/>
      <c r="O479" s="42"/>
      <c r="P479" s="42"/>
      <c r="Q479" s="42"/>
      <c r="R479" s="42"/>
      <c r="S479" s="42"/>
      <c r="T479" s="42"/>
      <c r="U479" s="42"/>
      <c r="V479" s="42"/>
      <c r="W479" s="42"/>
      <c r="AB479" s="42"/>
      <c r="AC479" s="42"/>
      <c r="AD479" s="42"/>
      <c r="AE479" s="42"/>
      <c r="AF479" s="42"/>
      <c r="AG479" s="42"/>
      <c r="AH479" s="42"/>
      <c r="AI479" s="42"/>
      <c r="AJ479" s="42"/>
      <c r="AK479" s="42"/>
      <c r="AL479" s="42"/>
    </row>
    <row r="480" spans="12:38">
      <c r="L480" s="42"/>
      <c r="M480" s="42"/>
      <c r="N480" s="42"/>
      <c r="O480" s="42"/>
      <c r="P480" s="42"/>
      <c r="Q480" s="42"/>
      <c r="R480" s="42"/>
      <c r="S480" s="42"/>
      <c r="T480" s="42"/>
      <c r="U480" s="42"/>
      <c r="V480" s="42"/>
      <c r="W480" s="42"/>
      <c r="AB480" s="42"/>
      <c r="AC480" s="42"/>
      <c r="AD480" s="42"/>
      <c r="AE480" s="42"/>
      <c r="AF480" s="42"/>
      <c r="AG480" s="42"/>
      <c r="AH480" s="42"/>
      <c r="AI480" s="42"/>
      <c r="AJ480" s="42"/>
      <c r="AK480" s="42"/>
      <c r="AL480" s="42"/>
    </row>
    <row r="481" spans="12:38">
      <c r="L481" s="42"/>
      <c r="M481" s="42"/>
      <c r="N481" s="42"/>
      <c r="O481" s="42"/>
      <c r="P481" s="42"/>
      <c r="Q481" s="42"/>
      <c r="R481" s="42"/>
      <c r="S481" s="42"/>
      <c r="T481" s="42"/>
      <c r="U481" s="42"/>
      <c r="V481" s="42"/>
      <c r="W481" s="42"/>
      <c r="AB481" s="42"/>
      <c r="AC481" s="42"/>
      <c r="AD481" s="42"/>
      <c r="AE481" s="42"/>
      <c r="AF481" s="42"/>
      <c r="AG481" s="42"/>
      <c r="AH481" s="42"/>
      <c r="AI481" s="42"/>
      <c r="AJ481" s="42"/>
      <c r="AK481" s="42"/>
      <c r="AL481" s="42"/>
    </row>
    <row r="482" spans="12:38">
      <c r="L482" s="42"/>
      <c r="M482" s="42"/>
      <c r="N482" s="42"/>
      <c r="O482" s="42"/>
      <c r="P482" s="42"/>
      <c r="Q482" s="42"/>
      <c r="R482" s="42"/>
      <c r="S482" s="42"/>
      <c r="T482" s="42"/>
      <c r="U482" s="42"/>
      <c r="V482" s="42"/>
      <c r="W482" s="42"/>
      <c r="AB482" s="42"/>
      <c r="AC482" s="42"/>
      <c r="AD482" s="42"/>
      <c r="AE482" s="42"/>
      <c r="AF482" s="42"/>
      <c r="AG482" s="42"/>
      <c r="AH482" s="42"/>
      <c r="AI482" s="42"/>
      <c r="AJ482" s="42"/>
      <c r="AK482" s="42"/>
      <c r="AL482" s="42"/>
    </row>
    <row r="483" spans="12:38">
      <c r="L483" s="42"/>
      <c r="M483" s="42"/>
      <c r="N483" s="42"/>
      <c r="O483" s="42"/>
      <c r="P483" s="42"/>
      <c r="Q483" s="42"/>
      <c r="R483" s="42"/>
      <c r="S483" s="42"/>
      <c r="T483" s="42"/>
      <c r="U483" s="42"/>
      <c r="V483" s="42"/>
      <c r="W483" s="42"/>
      <c r="AB483" s="42"/>
      <c r="AC483" s="42"/>
      <c r="AD483" s="42"/>
      <c r="AE483" s="42"/>
      <c r="AF483" s="42"/>
      <c r="AG483" s="42"/>
      <c r="AH483" s="42"/>
      <c r="AI483" s="42"/>
      <c r="AJ483" s="42"/>
      <c r="AK483" s="42"/>
      <c r="AL483" s="42"/>
    </row>
    <row r="484" spans="12:38">
      <c r="L484" s="42"/>
      <c r="M484" s="42"/>
      <c r="N484" s="42"/>
      <c r="O484" s="42"/>
      <c r="P484" s="42"/>
      <c r="Q484" s="42"/>
      <c r="R484" s="42"/>
      <c r="S484" s="42"/>
      <c r="T484" s="42"/>
      <c r="U484" s="42"/>
      <c r="V484" s="42"/>
      <c r="W484" s="42"/>
      <c r="AB484" s="42"/>
      <c r="AC484" s="42"/>
      <c r="AD484" s="42"/>
      <c r="AE484" s="42"/>
      <c r="AF484" s="42"/>
      <c r="AG484" s="42"/>
      <c r="AH484" s="42"/>
      <c r="AI484" s="42"/>
      <c r="AJ484" s="42"/>
      <c r="AK484" s="42"/>
      <c r="AL484" s="42"/>
    </row>
    <row r="485" spans="12:38">
      <c r="L485" s="42"/>
      <c r="M485" s="42"/>
      <c r="N485" s="42"/>
      <c r="O485" s="42"/>
      <c r="P485" s="42"/>
      <c r="Q485" s="42"/>
      <c r="R485" s="42"/>
      <c r="S485" s="42"/>
      <c r="T485" s="42"/>
      <c r="U485" s="42"/>
      <c r="V485" s="42"/>
      <c r="W485" s="42"/>
      <c r="AB485" s="42"/>
      <c r="AC485" s="42"/>
      <c r="AD485" s="42"/>
      <c r="AE485" s="42"/>
      <c r="AF485" s="42"/>
      <c r="AG485" s="42"/>
      <c r="AH485" s="42"/>
      <c r="AI485" s="42"/>
      <c r="AJ485" s="42"/>
      <c r="AK485" s="42"/>
      <c r="AL485" s="42"/>
    </row>
    <row r="486" spans="12:38">
      <c r="L486" s="42"/>
      <c r="M486" s="42"/>
      <c r="N486" s="42"/>
      <c r="O486" s="42"/>
      <c r="P486" s="42"/>
      <c r="Q486" s="42"/>
      <c r="R486" s="42"/>
      <c r="S486" s="42"/>
      <c r="T486" s="42"/>
      <c r="U486" s="42"/>
      <c r="V486" s="42"/>
      <c r="W486" s="42"/>
      <c r="AB486" s="42"/>
      <c r="AC486" s="42"/>
      <c r="AD486" s="42"/>
      <c r="AE486" s="42"/>
      <c r="AF486" s="42"/>
      <c r="AG486" s="42"/>
      <c r="AH486" s="42"/>
      <c r="AI486" s="42"/>
      <c r="AJ486" s="42"/>
      <c r="AK486" s="42"/>
      <c r="AL486" s="42"/>
    </row>
    <row r="487" spans="12:38">
      <c r="L487" s="42"/>
      <c r="M487" s="42"/>
      <c r="N487" s="42"/>
      <c r="O487" s="42"/>
      <c r="P487" s="42"/>
      <c r="Q487" s="42"/>
      <c r="R487" s="42"/>
      <c r="S487" s="42"/>
      <c r="T487" s="42"/>
      <c r="U487" s="42"/>
      <c r="V487" s="42"/>
      <c r="W487" s="42"/>
      <c r="AB487" s="42"/>
      <c r="AC487" s="42"/>
      <c r="AD487" s="42"/>
      <c r="AE487" s="42"/>
      <c r="AF487" s="42"/>
      <c r="AG487" s="42"/>
      <c r="AH487" s="42"/>
      <c r="AI487" s="42"/>
      <c r="AJ487" s="42"/>
      <c r="AK487" s="42"/>
      <c r="AL487" s="42"/>
    </row>
    <row r="488" spans="12:38">
      <c r="L488" s="42"/>
      <c r="M488" s="42"/>
      <c r="N488" s="42"/>
      <c r="O488" s="42"/>
      <c r="P488" s="42"/>
      <c r="Q488" s="42"/>
      <c r="R488" s="42"/>
      <c r="S488" s="42"/>
      <c r="T488" s="42"/>
      <c r="U488" s="42"/>
      <c r="V488" s="42"/>
      <c r="W488" s="42"/>
      <c r="AB488" s="42"/>
      <c r="AC488" s="42"/>
      <c r="AD488" s="42"/>
      <c r="AE488" s="42"/>
      <c r="AF488" s="42"/>
      <c r="AG488" s="42"/>
      <c r="AH488" s="42"/>
      <c r="AI488" s="42"/>
      <c r="AJ488" s="42"/>
      <c r="AK488" s="42"/>
      <c r="AL488" s="42"/>
    </row>
    <row r="489" spans="12:38">
      <c r="L489" s="42"/>
      <c r="M489" s="42"/>
      <c r="N489" s="42"/>
      <c r="O489" s="42"/>
      <c r="P489" s="42"/>
      <c r="Q489" s="42"/>
      <c r="R489" s="42"/>
      <c r="S489" s="42"/>
      <c r="T489" s="42"/>
      <c r="U489" s="42"/>
      <c r="V489" s="42"/>
      <c r="W489" s="42"/>
      <c r="AB489" s="42"/>
      <c r="AC489" s="42"/>
      <c r="AD489" s="42"/>
      <c r="AE489" s="42"/>
      <c r="AF489" s="42"/>
      <c r="AG489" s="42"/>
      <c r="AH489" s="42"/>
      <c r="AI489" s="42"/>
      <c r="AJ489" s="42"/>
      <c r="AK489" s="42"/>
      <c r="AL489" s="42"/>
    </row>
    <row r="490" spans="12:38">
      <c r="L490" s="42"/>
      <c r="M490" s="42"/>
      <c r="N490" s="42"/>
      <c r="O490" s="42"/>
      <c r="P490" s="42"/>
      <c r="Q490" s="42"/>
      <c r="R490" s="42"/>
      <c r="S490" s="42"/>
      <c r="T490" s="42"/>
      <c r="U490" s="42"/>
      <c r="V490" s="42"/>
      <c r="W490" s="42"/>
      <c r="AB490" s="42"/>
      <c r="AC490" s="42"/>
      <c r="AD490" s="42"/>
      <c r="AE490" s="42"/>
      <c r="AF490" s="42"/>
      <c r="AG490" s="42"/>
      <c r="AH490" s="42"/>
      <c r="AI490" s="42"/>
      <c r="AJ490" s="42"/>
      <c r="AK490" s="42"/>
      <c r="AL490" s="42"/>
    </row>
    <row r="491" spans="12:38">
      <c r="L491" s="42"/>
      <c r="M491" s="42"/>
      <c r="N491" s="42"/>
      <c r="O491" s="42"/>
      <c r="P491" s="42"/>
      <c r="Q491" s="42"/>
      <c r="R491" s="42"/>
      <c r="S491" s="42"/>
      <c r="T491" s="42"/>
      <c r="U491" s="42"/>
      <c r="V491" s="42"/>
      <c r="W491" s="42"/>
      <c r="AB491" s="42"/>
      <c r="AC491" s="42"/>
      <c r="AD491" s="42"/>
      <c r="AE491" s="42"/>
      <c r="AF491" s="42"/>
      <c r="AG491" s="42"/>
      <c r="AH491" s="42"/>
      <c r="AI491" s="42"/>
      <c r="AJ491" s="42"/>
      <c r="AK491" s="42"/>
      <c r="AL491" s="42"/>
    </row>
    <row r="492" spans="12:38">
      <c r="L492" s="42"/>
      <c r="M492" s="42"/>
      <c r="N492" s="42"/>
      <c r="O492" s="42"/>
      <c r="P492" s="42"/>
      <c r="Q492" s="42"/>
      <c r="R492" s="42"/>
      <c r="S492" s="42"/>
      <c r="T492" s="42"/>
      <c r="U492" s="42"/>
      <c r="V492" s="42"/>
      <c r="W492" s="42"/>
      <c r="AB492" s="42"/>
      <c r="AC492" s="42"/>
      <c r="AD492" s="42"/>
      <c r="AE492" s="42"/>
      <c r="AF492" s="42"/>
      <c r="AG492" s="42"/>
      <c r="AH492" s="42"/>
      <c r="AI492" s="42"/>
      <c r="AJ492" s="42"/>
      <c r="AK492" s="42"/>
      <c r="AL492" s="42"/>
    </row>
    <row r="493" spans="12:38">
      <c r="L493" s="42"/>
      <c r="M493" s="42"/>
      <c r="N493" s="42"/>
      <c r="O493" s="42"/>
      <c r="P493" s="42"/>
      <c r="Q493" s="42"/>
      <c r="R493" s="42"/>
      <c r="S493" s="42"/>
      <c r="T493" s="42"/>
      <c r="U493" s="42"/>
      <c r="V493" s="42"/>
      <c r="W493" s="42"/>
      <c r="AB493" s="42"/>
      <c r="AC493" s="42"/>
      <c r="AD493" s="42"/>
      <c r="AE493" s="42"/>
      <c r="AF493" s="42"/>
      <c r="AG493" s="42"/>
      <c r="AH493" s="42"/>
      <c r="AI493" s="42"/>
      <c r="AJ493" s="42"/>
      <c r="AK493" s="42"/>
      <c r="AL493" s="42"/>
    </row>
    <row r="494" spans="12:38">
      <c r="L494" s="42"/>
      <c r="M494" s="42"/>
      <c r="N494" s="42"/>
      <c r="O494" s="42"/>
      <c r="P494" s="42"/>
      <c r="Q494" s="42"/>
      <c r="R494" s="42"/>
      <c r="S494" s="42"/>
      <c r="T494" s="42"/>
      <c r="U494" s="42"/>
      <c r="V494" s="42"/>
      <c r="W494" s="42"/>
      <c r="AB494" s="42"/>
      <c r="AC494" s="42"/>
      <c r="AD494" s="42"/>
      <c r="AE494" s="42"/>
      <c r="AF494" s="42"/>
      <c r="AG494" s="42"/>
      <c r="AH494" s="42"/>
      <c r="AI494" s="42"/>
      <c r="AJ494" s="42"/>
      <c r="AK494" s="42"/>
      <c r="AL494" s="42"/>
    </row>
    <row r="495" spans="12:38">
      <c r="L495" s="42"/>
      <c r="M495" s="42"/>
      <c r="N495" s="42"/>
      <c r="O495" s="42"/>
      <c r="P495" s="42"/>
      <c r="Q495" s="42"/>
      <c r="R495" s="42"/>
      <c r="S495" s="42"/>
      <c r="T495" s="42"/>
      <c r="U495" s="42"/>
      <c r="V495" s="42"/>
      <c r="W495" s="42"/>
      <c r="AB495" s="42"/>
      <c r="AC495" s="42"/>
      <c r="AD495" s="42"/>
      <c r="AE495" s="42"/>
      <c r="AF495" s="42"/>
      <c r="AG495" s="42"/>
      <c r="AH495" s="42"/>
      <c r="AI495" s="42"/>
      <c r="AJ495" s="42"/>
      <c r="AK495" s="42"/>
      <c r="AL495" s="42"/>
    </row>
    <row r="496" spans="12:38">
      <c r="L496" s="42"/>
      <c r="M496" s="42"/>
      <c r="N496" s="42"/>
      <c r="O496" s="42"/>
      <c r="P496" s="42"/>
      <c r="Q496" s="42"/>
      <c r="R496" s="42"/>
      <c r="S496" s="42"/>
      <c r="T496" s="42"/>
      <c r="U496" s="42"/>
      <c r="V496" s="42"/>
      <c r="W496" s="42"/>
      <c r="AB496" s="42"/>
      <c r="AC496" s="42"/>
      <c r="AD496" s="42"/>
      <c r="AE496" s="42"/>
      <c r="AF496" s="42"/>
      <c r="AG496" s="42"/>
      <c r="AH496" s="42"/>
      <c r="AI496" s="42"/>
      <c r="AJ496" s="42"/>
      <c r="AK496" s="42"/>
      <c r="AL496" s="42"/>
    </row>
    <row r="497" spans="12:38">
      <c r="L497" s="42"/>
      <c r="M497" s="42"/>
      <c r="N497" s="42"/>
      <c r="O497" s="42"/>
      <c r="P497" s="42"/>
      <c r="Q497" s="42"/>
      <c r="R497" s="42"/>
      <c r="S497" s="42"/>
      <c r="T497" s="42"/>
      <c r="U497" s="42"/>
      <c r="V497" s="42"/>
      <c r="W497" s="42"/>
      <c r="AB497" s="42"/>
      <c r="AC497" s="42"/>
      <c r="AD497" s="42"/>
      <c r="AE497" s="42"/>
      <c r="AF497" s="42"/>
      <c r="AG497" s="42"/>
      <c r="AH497" s="42"/>
      <c r="AI497" s="42"/>
      <c r="AJ497" s="42"/>
      <c r="AK497" s="42"/>
      <c r="AL497" s="42"/>
    </row>
    <row r="498" spans="12:38">
      <c r="L498" s="42"/>
      <c r="M498" s="42"/>
      <c r="N498" s="42"/>
      <c r="O498" s="42"/>
      <c r="P498" s="42"/>
      <c r="Q498" s="42"/>
      <c r="R498" s="42"/>
      <c r="S498" s="42"/>
      <c r="T498" s="42"/>
      <c r="U498" s="42"/>
      <c r="V498" s="42"/>
      <c r="W498" s="42"/>
      <c r="AB498" s="42"/>
      <c r="AC498" s="42"/>
      <c r="AD498" s="42"/>
      <c r="AE498" s="42"/>
      <c r="AF498" s="42"/>
      <c r="AG498" s="42"/>
      <c r="AH498" s="42"/>
      <c r="AI498" s="42"/>
      <c r="AJ498" s="42"/>
      <c r="AK498" s="42"/>
      <c r="AL498" s="42"/>
    </row>
    <row r="499" spans="12:38">
      <c r="L499" s="42"/>
      <c r="M499" s="42"/>
      <c r="N499" s="42"/>
      <c r="O499" s="42"/>
      <c r="P499" s="42"/>
      <c r="Q499" s="42"/>
      <c r="R499" s="42"/>
      <c r="S499" s="42"/>
      <c r="T499" s="42"/>
      <c r="U499" s="42"/>
      <c r="V499" s="42"/>
      <c r="W499" s="42"/>
      <c r="AB499" s="42"/>
      <c r="AC499" s="42"/>
      <c r="AD499" s="42"/>
      <c r="AE499" s="42"/>
      <c r="AF499" s="42"/>
      <c r="AG499" s="42"/>
      <c r="AH499" s="42"/>
      <c r="AI499" s="42"/>
      <c r="AJ499" s="42"/>
      <c r="AK499" s="42"/>
      <c r="AL499" s="42"/>
    </row>
    <row r="500" spans="12:38">
      <c r="L500" s="42"/>
      <c r="M500" s="42"/>
      <c r="N500" s="42"/>
      <c r="O500" s="42"/>
      <c r="P500" s="42"/>
      <c r="Q500" s="42"/>
      <c r="R500" s="42"/>
      <c r="S500" s="42"/>
      <c r="T500" s="42"/>
      <c r="U500" s="42"/>
      <c r="V500" s="42"/>
      <c r="W500" s="42"/>
      <c r="AB500" s="42"/>
      <c r="AC500" s="42"/>
      <c r="AD500" s="42"/>
      <c r="AE500" s="42"/>
      <c r="AF500" s="42"/>
      <c r="AG500" s="42"/>
      <c r="AH500" s="42"/>
      <c r="AI500" s="42"/>
      <c r="AJ500" s="42"/>
      <c r="AK500" s="42"/>
      <c r="AL500" s="42"/>
    </row>
    <row r="501" spans="12:38">
      <c r="L501" s="42"/>
      <c r="M501" s="42"/>
      <c r="N501" s="42"/>
      <c r="O501" s="42"/>
      <c r="P501" s="42"/>
      <c r="Q501" s="42"/>
      <c r="R501" s="42"/>
      <c r="S501" s="42"/>
      <c r="T501" s="42"/>
      <c r="U501" s="42"/>
      <c r="V501" s="42"/>
      <c r="W501" s="42"/>
      <c r="AB501" s="42"/>
      <c r="AC501" s="42"/>
      <c r="AD501" s="42"/>
      <c r="AE501" s="42"/>
      <c r="AF501" s="42"/>
      <c r="AG501" s="42"/>
      <c r="AH501" s="42"/>
      <c r="AI501" s="42"/>
      <c r="AJ501" s="42"/>
      <c r="AK501" s="42"/>
      <c r="AL501" s="42"/>
    </row>
    <row r="502" spans="12:38">
      <c r="L502" s="42"/>
      <c r="M502" s="42"/>
      <c r="N502" s="42"/>
      <c r="O502" s="42"/>
      <c r="P502" s="42"/>
      <c r="Q502" s="42"/>
      <c r="R502" s="42"/>
      <c r="S502" s="42"/>
      <c r="T502" s="42"/>
      <c r="U502" s="42"/>
      <c r="V502" s="42"/>
      <c r="W502" s="42"/>
      <c r="AB502" s="42"/>
      <c r="AC502" s="42"/>
      <c r="AD502" s="42"/>
      <c r="AE502" s="42"/>
      <c r="AF502" s="42"/>
      <c r="AG502" s="42"/>
      <c r="AH502" s="42"/>
      <c r="AI502" s="42"/>
      <c r="AJ502" s="42"/>
      <c r="AK502" s="42"/>
      <c r="AL502" s="42"/>
    </row>
    <row r="503" spans="12:38">
      <c r="L503" s="42"/>
      <c r="M503" s="42"/>
      <c r="N503" s="42"/>
      <c r="O503" s="42"/>
      <c r="P503" s="42"/>
      <c r="Q503" s="42"/>
      <c r="R503" s="42"/>
      <c r="S503" s="42"/>
      <c r="T503" s="42"/>
      <c r="U503" s="42"/>
      <c r="V503" s="42"/>
      <c r="W503" s="42"/>
      <c r="AB503" s="42"/>
      <c r="AC503" s="42"/>
      <c r="AD503" s="42"/>
      <c r="AE503" s="42"/>
      <c r="AF503" s="42"/>
      <c r="AG503" s="42"/>
      <c r="AH503" s="42"/>
      <c r="AI503" s="42"/>
      <c r="AJ503" s="42"/>
      <c r="AK503" s="42"/>
      <c r="AL503" s="42"/>
    </row>
    <row r="504" spans="12:38">
      <c r="L504" s="42"/>
      <c r="M504" s="42"/>
      <c r="N504" s="42"/>
      <c r="O504" s="42"/>
      <c r="P504" s="42"/>
      <c r="Q504" s="42"/>
      <c r="R504" s="42"/>
      <c r="S504" s="42"/>
      <c r="T504" s="42"/>
      <c r="U504" s="42"/>
      <c r="V504" s="42"/>
      <c r="W504" s="42"/>
      <c r="AB504" s="42"/>
      <c r="AC504" s="42"/>
      <c r="AD504" s="42"/>
      <c r="AE504" s="42"/>
      <c r="AF504" s="42"/>
      <c r="AG504" s="42"/>
      <c r="AH504" s="42"/>
      <c r="AI504" s="42"/>
      <c r="AJ504" s="42"/>
      <c r="AK504" s="42"/>
      <c r="AL504" s="42"/>
    </row>
    <row r="505" spans="12:38">
      <c r="L505" s="42"/>
      <c r="M505" s="42"/>
      <c r="N505" s="42"/>
      <c r="O505" s="42"/>
      <c r="P505" s="42"/>
      <c r="Q505" s="42"/>
      <c r="R505" s="42"/>
      <c r="S505" s="42"/>
      <c r="T505" s="42"/>
      <c r="U505" s="42"/>
      <c r="V505" s="42"/>
      <c r="W505" s="42"/>
      <c r="AB505" s="42"/>
      <c r="AC505" s="42"/>
      <c r="AD505" s="42"/>
      <c r="AE505" s="42"/>
      <c r="AF505" s="42"/>
      <c r="AG505" s="42"/>
      <c r="AH505" s="42"/>
      <c r="AI505" s="42"/>
      <c r="AJ505" s="42"/>
      <c r="AK505" s="42"/>
      <c r="AL505" s="42"/>
    </row>
    <row r="506" spans="12:38">
      <c r="L506" s="42"/>
      <c r="M506" s="42"/>
      <c r="N506" s="42"/>
      <c r="O506" s="42"/>
      <c r="P506" s="42"/>
      <c r="Q506" s="42"/>
      <c r="R506" s="42"/>
      <c r="S506" s="42"/>
      <c r="T506" s="42"/>
      <c r="U506" s="42"/>
      <c r="V506" s="42"/>
      <c r="W506" s="42"/>
      <c r="AB506" s="42"/>
      <c r="AC506" s="42"/>
      <c r="AD506" s="42"/>
      <c r="AE506" s="42"/>
      <c r="AF506" s="42"/>
      <c r="AG506" s="42"/>
      <c r="AH506" s="42"/>
      <c r="AI506" s="42"/>
      <c r="AJ506" s="42"/>
      <c r="AK506" s="42"/>
      <c r="AL506" s="42"/>
    </row>
    <row r="507" spans="12:38">
      <c r="L507" s="42"/>
      <c r="M507" s="42"/>
      <c r="N507" s="42"/>
      <c r="O507" s="42"/>
      <c r="P507" s="42"/>
      <c r="Q507" s="42"/>
      <c r="R507" s="42"/>
      <c r="S507" s="42"/>
      <c r="T507" s="42"/>
      <c r="U507" s="42"/>
      <c r="V507" s="42"/>
      <c r="W507" s="42"/>
      <c r="AB507" s="42"/>
      <c r="AC507" s="42"/>
      <c r="AD507" s="42"/>
      <c r="AE507" s="42"/>
      <c r="AF507" s="42"/>
      <c r="AG507" s="42"/>
      <c r="AH507" s="42"/>
      <c r="AI507" s="42"/>
      <c r="AJ507" s="42"/>
      <c r="AK507" s="42"/>
      <c r="AL507" s="42"/>
    </row>
    <row r="508" spans="12:38">
      <c r="L508" s="42"/>
      <c r="M508" s="42"/>
      <c r="N508" s="42"/>
      <c r="O508" s="42"/>
      <c r="P508" s="42"/>
      <c r="Q508" s="42"/>
      <c r="R508" s="42"/>
      <c r="S508" s="42"/>
      <c r="T508" s="42"/>
      <c r="U508" s="42"/>
      <c r="V508" s="42"/>
      <c r="W508" s="42"/>
      <c r="AB508" s="42"/>
      <c r="AC508" s="42"/>
      <c r="AD508" s="42"/>
      <c r="AE508" s="42"/>
      <c r="AF508" s="42"/>
      <c r="AG508" s="42"/>
      <c r="AH508" s="42"/>
      <c r="AI508" s="42"/>
      <c r="AJ508" s="42"/>
      <c r="AK508" s="42"/>
      <c r="AL508" s="42"/>
    </row>
    <row r="509" spans="12:38">
      <c r="L509" s="42"/>
      <c r="M509" s="42"/>
      <c r="N509" s="42"/>
      <c r="O509" s="42"/>
      <c r="P509" s="42"/>
      <c r="Q509" s="42"/>
      <c r="R509" s="42"/>
      <c r="S509" s="42"/>
      <c r="T509" s="42"/>
      <c r="U509" s="42"/>
      <c r="V509" s="42"/>
      <c r="W509" s="42"/>
      <c r="AB509" s="42"/>
      <c r="AC509" s="42"/>
      <c r="AD509" s="42"/>
      <c r="AE509" s="42"/>
      <c r="AF509" s="42"/>
      <c r="AG509" s="42"/>
      <c r="AH509" s="42"/>
      <c r="AI509" s="42"/>
      <c r="AJ509" s="42"/>
      <c r="AK509" s="42"/>
      <c r="AL509" s="42"/>
    </row>
    <row r="510" spans="12:38">
      <c r="L510" s="42"/>
      <c r="M510" s="42"/>
      <c r="N510" s="42"/>
      <c r="O510" s="42"/>
      <c r="P510" s="42"/>
      <c r="Q510" s="42"/>
      <c r="R510" s="42"/>
      <c r="S510" s="42"/>
      <c r="T510" s="42"/>
      <c r="U510" s="42"/>
      <c r="V510" s="42"/>
      <c r="W510" s="42"/>
      <c r="AB510" s="42"/>
      <c r="AC510" s="42"/>
      <c r="AD510" s="42"/>
      <c r="AE510" s="42"/>
      <c r="AF510" s="42"/>
      <c r="AG510" s="42"/>
      <c r="AH510" s="42"/>
      <c r="AI510" s="42"/>
      <c r="AJ510" s="42"/>
      <c r="AK510" s="42"/>
      <c r="AL510" s="42"/>
    </row>
    <row r="511" spans="12:38">
      <c r="L511" s="42"/>
      <c r="M511" s="42"/>
      <c r="N511" s="42"/>
      <c r="O511" s="42"/>
      <c r="P511" s="42"/>
      <c r="Q511" s="42"/>
      <c r="R511" s="42"/>
      <c r="S511" s="42"/>
      <c r="T511" s="42"/>
      <c r="U511" s="42"/>
      <c r="V511" s="42"/>
      <c r="W511" s="42"/>
      <c r="AB511" s="42"/>
      <c r="AC511" s="42"/>
      <c r="AD511" s="42"/>
      <c r="AE511" s="42"/>
      <c r="AF511" s="42"/>
      <c r="AG511" s="42"/>
      <c r="AH511" s="42"/>
      <c r="AI511" s="42"/>
      <c r="AJ511" s="42"/>
      <c r="AK511" s="42"/>
      <c r="AL511" s="42"/>
    </row>
    <row r="512" spans="12:38">
      <c r="L512" s="42"/>
      <c r="M512" s="42"/>
      <c r="N512" s="42"/>
      <c r="O512" s="42"/>
      <c r="P512" s="42"/>
      <c r="Q512" s="42"/>
      <c r="R512" s="42"/>
      <c r="S512" s="42"/>
      <c r="T512" s="42"/>
      <c r="U512" s="42"/>
      <c r="V512" s="42"/>
      <c r="W512" s="42"/>
      <c r="AB512" s="42"/>
      <c r="AC512" s="42"/>
      <c r="AD512" s="42"/>
      <c r="AE512" s="42"/>
      <c r="AF512" s="42"/>
      <c r="AG512" s="42"/>
      <c r="AH512" s="42"/>
      <c r="AI512" s="42"/>
      <c r="AJ512" s="42"/>
      <c r="AK512" s="42"/>
      <c r="AL512" s="42"/>
    </row>
    <row r="513" spans="12:38">
      <c r="L513" s="42"/>
      <c r="M513" s="42"/>
      <c r="N513" s="42"/>
      <c r="O513" s="42"/>
      <c r="P513" s="42"/>
      <c r="Q513" s="42"/>
      <c r="R513" s="42"/>
      <c r="S513" s="42"/>
      <c r="T513" s="42"/>
      <c r="U513" s="42"/>
      <c r="V513" s="42"/>
      <c r="W513" s="42"/>
      <c r="AB513" s="42"/>
      <c r="AC513" s="42"/>
      <c r="AD513" s="42"/>
      <c r="AE513" s="42"/>
      <c r="AF513" s="42"/>
      <c r="AG513" s="42"/>
      <c r="AH513" s="42"/>
      <c r="AI513" s="42"/>
      <c r="AJ513" s="42"/>
      <c r="AK513" s="42"/>
      <c r="AL513" s="42"/>
    </row>
    <row r="514" spans="12:38">
      <c r="L514" s="42"/>
      <c r="M514" s="42"/>
      <c r="N514" s="42"/>
      <c r="O514" s="42"/>
      <c r="P514" s="42"/>
      <c r="Q514" s="42"/>
      <c r="R514" s="42"/>
      <c r="S514" s="42"/>
      <c r="T514" s="42"/>
      <c r="U514" s="42"/>
      <c r="V514" s="42"/>
      <c r="W514" s="42"/>
      <c r="AB514" s="42"/>
      <c r="AC514" s="42"/>
      <c r="AD514" s="42"/>
      <c r="AE514" s="42"/>
      <c r="AF514" s="42"/>
      <c r="AG514" s="42"/>
      <c r="AH514" s="42"/>
      <c r="AI514" s="42"/>
      <c r="AJ514" s="42"/>
      <c r="AK514" s="42"/>
      <c r="AL514" s="42"/>
    </row>
    <row r="515" spans="12:38">
      <c r="L515" s="42"/>
      <c r="M515" s="42"/>
      <c r="N515" s="42"/>
      <c r="O515" s="42"/>
      <c r="P515" s="42"/>
      <c r="Q515" s="42"/>
      <c r="R515" s="42"/>
      <c r="S515" s="42"/>
      <c r="T515" s="42"/>
      <c r="U515" s="42"/>
      <c r="V515" s="42"/>
      <c r="W515" s="42"/>
      <c r="AB515" s="42"/>
      <c r="AC515" s="42"/>
      <c r="AD515" s="42"/>
      <c r="AE515" s="42"/>
      <c r="AF515" s="42"/>
      <c r="AG515" s="42"/>
      <c r="AH515" s="42"/>
      <c r="AI515" s="42"/>
      <c r="AJ515" s="42"/>
      <c r="AK515" s="42"/>
      <c r="AL515" s="42"/>
    </row>
    <row r="516" spans="12:38">
      <c r="L516" s="42"/>
      <c r="M516" s="42"/>
      <c r="N516" s="42"/>
      <c r="O516" s="42"/>
      <c r="P516" s="42"/>
      <c r="Q516" s="42"/>
      <c r="R516" s="42"/>
      <c r="S516" s="42"/>
      <c r="T516" s="42"/>
      <c r="U516" s="42"/>
      <c r="V516" s="42"/>
      <c r="W516" s="42"/>
      <c r="AB516" s="42"/>
      <c r="AC516" s="42"/>
      <c r="AD516" s="42"/>
      <c r="AE516" s="42"/>
      <c r="AF516" s="42"/>
      <c r="AG516" s="42"/>
      <c r="AH516" s="42"/>
      <c r="AI516" s="42"/>
      <c r="AJ516" s="42"/>
      <c r="AK516" s="42"/>
      <c r="AL516" s="42"/>
    </row>
    <row r="517" spans="12:38">
      <c r="L517" s="42"/>
      <c r="M517" s="42"/>
      <c r="N517" s="42"/>
      <c r="O517" s="42"/>
      <c r="P517" s="42"/>
      <c r="Q517" s="42"/>
      <c r="R517" s="42"/>
      <c r="S517" s="42"/>
      <c r="T517" s="42"/>
      <c r="U517" s="42"/>
      <c r="V517" s="42"/>
      <c r="W517" s="42"/>
      <c r="AB517" s="42"/>
      <c r="AC517" s="42"/>
      <c r="AD517" s="42"/>
      <c r="AE517" s="42"/>
      <c r="AF517" s="42"/>
      <c r="AG517" s="42"/>
      <c r="AH517" s="42"/>
      <c r="AI517" s="42"/>
      <c r="AJ517" s="42"/>
      <c r="AK517" s="42"/>
      <c r="AL517" s="42"/>
    </row>
    <row r="518" spans="12:38">
      <c r="L518" s="42"/>
      <c r="M518" s="42"/>
      <c r="N518" s="42"/>
      <c r="O518" s="42"/>
      <c r="P518" s="42"/>
      <c r="Q518" s="42"/>
      <c r="R518" s="42"/>
      <c r="S518" s="42"/>
      <c r="T518" s="42"/>
      <c r="U518" s="42"/>
      <c r="V518" s="42"/>
      <c r="W518" s="42"/>
      <c r="AB518" s="42"/>
      <c r="AC518" s="42"/>
      <c r="AD518" s="42"/>
      <c r="AE518" s="42"/>
      <c r="AF518" s="42"/>
      <c r="AG518" s="42"/>
      <c r="AH518" s="42"/>
      <c r="AI518" s="42"/>
      <c r="AJ518" s="42"/>
      <c r="AK518" s="42"/>
      <c r="AL518" s="42"/>
    </row>
    <row r="519" spans="12:38">
      <c r="L519" s="42"/>
      <c r="M519" s="42"/>
      <c r="N519" s="42"/>
      <c r="O519" s="42"/>
      <c r="P519" s="42"/>
      <c r="Q519" s="42"/>
      <c r="R519" s="42"/>
      <c r="S519" s="42"/>
      <c r="T519" s="42"/>
      <c r="U519" s="42"/>
      <c r="V519" s="42"/>
      <c r="W519" s="42"/>
      <c r="AB519" s="42"/>
      <c r="AC519" s="42"/>
      <c r="AD519" s="42"/>
      <c r="AE519" s="42"/>
      <c r="AF519" s="42"/>
      <c r="AG519" s="42"/>
      <c r="AH519" s="42"/>
      <c r="AI519" s="42"/>
      <c r="AJ519" s="42"/>
      <c r="AK519" s="42"/>
      <c r="AL519" s="42"/>
    </row>
    <row r="520" spans="12:38">
      <c r="L520" s="42"/>
      <c r="M520" s="42"/>
      <c r="N520" s="42"/>
      <c r="O520" s="42"/>
      <c r="P520" s="42"/>
      <c r="Q520" s="42"/>
      <c r="R520" s="42"/>
      <c r="S520" s="42"/>
      <c r="T520" s="42"/>
      <c r="U520" s="42"/>
      <c r="V520" s="42"/>
      <c r="W520" s="42"/>
      <c r="AB520" s="42"/>
      <c r="AC520" s="42"/>
      <c r="AD520" s="42"/>
      <c r="AE520" s="42"/>
      <c r="AF520" s="42"/>
      <c r="AG520" s="42"/>
      <c r="AH520" s="42"/>
      <c r="AI520" s="42"/>
      <c r="AJ520" s="42"/>
      <c r="AK520" s="42"/>
      <c r="AL520" s="42"/>
    </row>
    <row r="521" spans="12:38">
      <c r="L521" s="42"/>
      <c r="M521" s="42"/>
      <c r="N521" s="42"/>
      <c r="O521" s="42"/>
      <c r="P521" s="42"/>
      <c r="Q521" s="42"/>
      <c r="R521" s="42"/>
      <c r="S521" s="42"/>
      <c r="T521" s="42"/>
      <c r="U521" s="42"/>
      <c r="V521" s="42"/>
      <c r="W521" s="42"/>
      <c r="AB521" s="42"/>
      <c r="AC521" s="42"/>
      <c r="AD521" s="42"/>
      <c r="AE521" s="42"/>
      <c r="AF521" s="42"/>
      <c r="AG521" s="42"/>
      <c r="AH521" s="42"/>
      <c r="AI521" s="42"/>
      <c r="AJ521" s="42"/>
      <c r="AK521" s="42"/>
      <c r="AL521" s="42"/>
    </row>
    <row r="522" spans="12:38">
      <c r="L522" s="42"/>
      <c r="M522" s="42"/>
      <c r="N522" s="42"/>
      <c r="O522" s="42"/>
      <c r="P522" s="42"/>
      <c r="Q522" s="42"/>
      <c r="R522" s="42"/>
      <c r="S522" s="42"/>
      <c r="T522" s="42"/>
      <c r="U522" s="42"/>
      <c r="V522" s="42"/>
      <c r="W522" s="42"/>
      <c r="AB522" s="42"/>
      <c r="AC522" s="42"/>
      <c r="AD522" s="42"/>
      <c r="AE522" s="42"/>
      <c r="AF522" s="42"/>
      <c r="AG522" s="42"/>
      <c r="AH522" s="42"/>
      <c r="AI522" s="42"/>
      <c r="AJ522" s="42"/>
      <c r="AK522" s="42"/>
      <c r="AL522" s="42"/>
    </row>
    <row r="523" spans="12:38">
      <c r="L523" s="42"/>
      <c r="M523" s="42"/>
      <c r="N523" s="42"/>
      <c r="O523" s="42"/>
      <c r="P523" s="42"/>
      <c r="Q523" s="42"/>
      <c r="R523" s="42"/>
      <c r="S523" s="42"/>
      <c r="T523" s="42"/>
      <c r="U523" s="42"/>
      <c r="V523" s="42"/>
      <c r="W523" s="42"/>
      <c r="AB523" s="42"/>
      <c r="AC523" s="42"/>
      <c r="AD523" s="42"/>
      <c r="AE523" s="42"/>
      <c r="AF523" s="42"/>
      <c r="AG523" s="42"/>
      <c r="AH523" s="42"/>
      <c r="AI523" s="42"/>
      <c r="AJ523" s="42"/>
      <c r="AK523" s="42"/>
      <c r="AL523" s="42"/>
    </row>
    <row r="524" spans="12:38">
      <c r="L524" s="42"/>
      <c r="M524" s="42"/>
      <c r="N524" s="42"/>
      <c r="O524" s="42"/>
      <c r="P524" s="42"/>
      <c r="Q524" s="42"/>
      <c r="R524" s="42"/>
      <c r="S524" s="42"/>
      <c r="T524" s="42"/>
      <c r="U524" s="42"/>
      <c r="V524" s="42"/>
      <c r="W524" s="42"/>
      <c r="AB524" s="42"/>
      <c r="AC524" s="42"/>
      <c r="AD524" s="42"/>
      <c r="AE524" s="42"/>
      <c r="AF524" s="42"/>
      <c r="AG524" s="42"/>
      <c r="AH524" s="42"/>
      <c r="AI524" s="42"/>
      <c r="AJ524" s="42"/>
      <c r="AK524" s="42"/>
      <c r="AL524" s="42"/>
    </row>
    <row r="525" spans="12:38">
      <c r="L525" s="42"/>
      <c r="M525" s="42"/>
      <c r="N525" s="42"/>
      <c r="O525" s="42"/>
      <c r="P525" s="42"/>
      <c r="Q525" s="42"/>
      <c r="R525" s="42"/>
      <c r="S525" s="42"/>
      <c r="T525" s="42"/>
      <c r="U525" s="42"/>
      <c r="V525" s="42"/>
      <c r="W525" s="42"/>
      <c r="AB525" s="42"/>
      <c r="AC525" s="42"/>
      <c r="AD525" s="42"/>
      <c r="AE525" s="42"/>
      <c r="AF525" s="42"/>
      <c r="AG525" s="42"/>
      <c r="AH525" s="42"/>
      <c r="AI525" s="42"/>
      <c r="AJ525" s="42"/>
      <c r="AK525" s="42"/>
      <c r="AL525" s="42"/>
    </row>
    <row r="526" spans="12:38">
      <c r="L526" s="42"/>
      <c r="M526" s="42"/>
      <c r="N526" s="42"/>
      <c r="O526" s="42"/>
      <c r="P526" s="42"/>
      <c r="Q526" s="42"/>
      <c r="R526" s="42"/>
      <c r="S526" s="42"/>
      <c r="T526" s="42"/>
      <c r="U526" s="42"/>
      <c r="V526" s="42"/>
      <c r="W526" s="42"/>
      <c r="AB526" s="42"/>
      <c r="AC526" s="42"/>
      <c r="AD526" s="42"/>
      <c r="AE526" s="42"/>
      <c r="AF526" s="42"/>
      <c r="AG526" s="42"/>
      <c r="AH526" s="42"/>
      <c r="AI526" s="42"/>
      <c r="AJ526" s="42"/>
      <c r="AK526" s="42"/>
      <c r="AL526" s="42"/>
    </row>
    <row r="527" spans="12:38">
      <c r="L527" s="42"/>
      <c r="M527" s="42"/>
      <c r="N527" s="42"/>
      <c r="O527" s="42"/>
      <c r="P527" s="42"/>
      <c r="Q527" s="42"/>
      <c r="R527" s="42"/>
      <c r="S527" s="42"/>
      <c r="T527" s="42"/>
      <c r="U527" s="42"/>
      <c r="V527" s="42"/>
      <c r="W527" s="42"/>
      <c r="AB527" s="42"/>
      <c r="AC527" s="42"/>
      <c r="AD527" s="42"/>
      <c r="AE527" s="42"/>
      <c r="AF527" s="42"/>
      <c r="AG527" s="42"/>
      <c r="AH527" s="42"/>
      <c r="AI527" s="42"/>
      <c r="AJ527" s="42"/>
      <c r="AK527" s="42"/>
      <c r="AL527" s="42"/>
    </row>
    <row r="528" spans="12:38">
      <c r="L528" s="42"/>
      <c r="M528" s="42"/>
      <c r="N528" s="42"/>
      <c r="O528" s="42"/>
      <c r="P528" s="42"/>
      <c r="Q528" s="42"/>
      <c r="R528" s="42"/>
      <c r="S528" s="42"/>
      <c r="T528" s="42"/>
      <c r="U528" s="42"/>
      <c r="V528" s="42"/>
      <c r="W528" s="42"/>
      <c r="AB528" s="42"/>
      <c r="AC528" s="42"/>
      <c r="AD528" s="42"/>
      <c r="AE528" s="42"/>
      <c r="AF528" s="42"/>
      <c r="AG528" s="42"/>
      <c r="AH528" s="42"/>
      <c r="AI528" s="42"/>
      <c r="AJ528" s="42"/>
      <c r="AK528" s="42"/>
      <c r="AL528" s="42"/>
    </row>
    <row r="529" spans="12:38">
      <c r="L529" s="42"/>
      <c r="M529" s="42"/>
      <c r="N529" s="42"/>
      <c r="O529" s="42"/>
      <c r="P529" s="42"/>
      <c r="Q529" s="42"/>
      <c r="R529" s="42"/>
      <c r="S529" s="42"/>
      <c r="T529" s="42"/>
      <c r="U529" s="42"/>
      <c r="V529" s="42"/>
      <c r="W529" s="42"/>
      <c r="AB529" s="42"/>
      <c r="AC529" s="42"/>
      <c r="AD529" s="42"/>
      <c r="AE529" s="42"/>
      <c r="AF529" s="42"/>
      <c r="AG529" s="42"/>
      <c r="AH529" s="42"/>
      <c r="AI529" s="42"/>
      <c r="AJ529" s="42"/>
      <c r="AK529" s="42"/>
      <c r="AL529" s="42"/>
    </row>
    <row r="530" spans="12:38">
      <c r="L530" s="42"/>
      <c r="M530" s="42"/>
      <c r="N530" s="42"/>
      <c r="O530" s="42"/>
      <c r="P530" s="42"/>
      <c r="Q530" s="42"/>
      <c r="R530" s="42"/>
      <c r="S530" s="42"/>
      <c r="T530" s="42"/>
      <c r="U530" s="42"/>
      <c r="V530" s="42"/>
      <c r="W530" s="42"/>
      <c r="AB530" s="42"/>
      <c r="AC530" s="42"/>
      <c r="AD530" s="42"/>
      <c r="AE530" s="42"/>
      <c r="AF530" s="42"/>
      <c r="AG530" s="42"/>
      <c r="AH530" s="42"/>
      <c r="AI530" s="42"/>
      <c r="AJ530" s="42"/>
      <c r="AK530" s="42"/>
      <c r="AL530" s="42"/>
    </row>
    <row r="531" spans="12:38">
      <c r="L531" s="42"/>
      <c r="M531" s="42"/>
      <c r="N531" s="42"/>
      <c r="O531" s="42"/>
      <c r="P531" s="42"/>
      <c r="Q531" s="42"/>
      <c r="R531" s="42"/>
      <c r="S531" s="42"/>
      <c r="T531" s="42"/>
      <c r="U531" s="42"/>
      <c r="V531" s="42"/>
      <c r="W531" s="42"/>
      <c r="AB531" s="42"/>
      <c r="AC531" s="42"/>
      <c r="AD531" s="42"/>
      <c r="AE531" s="42"/>
      <c r="AF531" s="42"/>
      <c r="AG531" s="42"/>
      <c r="AH531" s="42"/>
      <c r="AI531" s="42"/>
      <c r="AJ531" s="42"/>
      <c r="AK531" s="42"/>
      <c r="AL531" s="42"/>
    </row>
    <row r="532" spans="12:38">
      <c r="L532" s="42"/>
      <c r="M532" s="42"/>
      <c r="N532" s="42"/>
      <c r="O532" s="42"/>
      <c r="P532" s="42"/>
      <c r="Q532" s="42"/>
      <c r="R532" s="42"/>
      <c r="S532" s="42"/>
      <c r="T532" s="42"/>
      <c r="U532" s="42"/>
      <c r="V532" s="42"/>
      <c r="W532" s="42"/>
      <c r="AB532" s="42"/>
      <c r="AC532" s="42"/>
      <c r="AD532" s="42"/>
      <c r="AE532" s="42"/>
      <c r="AF532" s="42"/>
      <c r="AG532" s="42"/>
      <c r="AH532" s="42"/>
      <c r="AI532" s="42"/>
      <c r="AJ532" s="42"/>
      <c r="AK532" s="42"/>
      <c r="AL532" s="42"/>
    </row>
    <row r="533" spans="12:38">
      <c r="L533" s="42"/>
      <c r="M533" s="42"/>
      <c r="N533" s="42"/>
      <c r="O533" s="42"/>
      <c r="P533" s="42"/>
      <c r="Q533" s="42"/>
      <c r="R533" s="42"/>
      <c r="S533" s="42"/>
      <c r="T533" s="42"/>
      <c r="U533" s="42"/>
      <c r="V533" s="42"/>
      <c r="W533" s="42"/>
      <c r="AB533" s="42"/>
      <c r="AC533" s="42"/>
      <c r="AD533" s="42"/>
      <c r="AE533" s="42"/>
      <c r="AF533" s="42"/>
      <c r="AG533" s="42"/>
      <c r="AH533" s="42"/>
      <c r="AI533" s="42"/>
      <c r="AJ533" s="42"/>
      <c r="AK533" s="42"/>
      <c r="AL533" s="42"/>
    </row>
    <row r="534" spans="12:38">
      <c r="L534" s="42"/>
      <c r="M534" s="42"/>
      <c r="N534" s="42"/>
      <c r="O534" s="42"/>
      <c r="P534" s="42"/>
      <c r="Q534" s="42"/>
      <c r="R534" s="42"/>
      <c r="S534" s="42"/>
      <c r="T534" s="42"/>
      <c r="U534" s="42"/>
      <c r="V534" s="42"/>
      <c r="W534" s="42"/>
      <c r="AB534" s="42"/>
      <c r="AC534" s="42"/>
      <c r="AD534" s="42"/>
      <c r="AE534" s="42"/>
      <c r="AF534" s="42"/>
      <c r="AG534" s="42"/>
      <c r="AH534" s="42"/>
      <c r="AI534" s="42"/>
      <c r="AJ534" s="42"/>
      <c r="AK534" s="42"/>
      <c r="AL534" s="42"/>
    </row>
    <row r="535" spans="12:38">
      <c r="L535" s="42"/>
      <c r="M535" s="42"/>
      <c r="N535" s="42"/>
      <c r="O535" s="42"/>
      <c r="P535" s="42"/>
      <c r="Q535" s="42"/>
      <c r="R535" s="42"/>
      <c r="S535" s="42"/>
      <c r="T535" s="42"/>
      <c r="U535" s="42"/>
      <c r="V535" s="42"/>
      <c r="W535" s="42"/>
      <c r="AB535" s="42"/>
      <c r="AC535" s="42"/>
      <c r="AD535" s="42"/>
      <c r="AE535" s="42"/>
      <c r="AF535" s="42"/>
      <c r="AG535" s="42"/>
      <c r="AH535" s="42"/>
      <c r="AI535" s="42"/>
      <c r="AJ535" s="42"/>
      <c r="AK535" s="42"/>
      <c r="AL535" s="42"/>
    </row>
    <row r="536" spans="12:38">
      <c r="L536" s="42"/>
      <c r="M536" s="42"/>
      <c r="N536" s="42"/>
      <c r="O536" s="42"/>
      <c r="P536" s="42"/>
      <c r="Q536" s="42"/>
      <c r="R536" s="42"/>
      <c r="S536" s="42"/>
      <c r="T536" s="42"/>
      <c r="U536" s="42"/>
      <c r="V536" s="42"/>
      <c r="W536" s="42"/>
      <c r="AB536" s="42"/>
      <c r="AC536" s="42"/>
      <c r="AD536" s="42"/>
      <c r="AE536" s="42"/>
      <c r="AF536" s="42"/>
      <c r="AG536" s="42"/>
      <c r="AH536" s="42"/>
      <c r="AI536" s="42"/>
      <c r="AJ536" s="42"/>
      <c r="AK536" s="42"/>
      <c r="AL536" s="42"/>
    </row>
    <row r="537" spans="12:38">
      <c r="L537" s="42"/>
      <c r="M537" s="42"/>
      <c r="N537" s="42"/>
      <c r="O537" s="42"/>
      <c r="P537" s="42"/>
      <c r="Q537" s="42"/>
      <c r="R537" s="42"/>
      <c r="S537" s="42"/>
      <c r="T537" s="42"/>
      <c r="U537" s="42"/>
      <c r="V537" s="42"/>
      <c r="W537" s="42"/>
      <c r="AB537" s="42"/>
      <c r="AC537" s="42"/>
      <c r="AD537" s="42"/>
      <c r="AE537" s="42"/>
      <c r="AF537" s="42"/>
      <c r="AG537" s="42"/>
      <c r="AH537" s="42"/>
      <c r="AI537" s="42"/>
      <c r="AJ537" s="42"/>
      <c r="AK537" s="42"/>
      <c r="AL537" s="42"/>
    </row>
    <row r="538" spans="12:38">
      <c r="L538" s="42"/>
      <c r="M538" s="42"/>
      <c r="N538" s="42"/>
      <c r="O538" s="42"/>
      <c r="P538" s="42"/>
      <c r="Q538" s="42"/>
      <c r="R538" s="42"/>
      <c r="S538" s="42"/>
      <c r="T538" s="42"/>
      <c r="U538" s="42"/>
      <c r="V538" s="42"/>
      <c r="W538" s="42"/>
      <c r="AB538" s="42"/>
      <c r="AC538" s="42"/>
      <c r="AD538" s="42"/>
      <c r="AE538" s="42"/>
      <c r="AF538" s="42"/>
      <c r="AG538" s="42"/>
      <c r="AH538" s="42"/>
      <c r="AI538" s="42"/>
      <c r="AJ538" s="42"/>
      <c r="AK538" s="42"/>
      <c r="AL538" s="42"/>
    </row>
    <row r="539" spans="12:38">
      <c r="L539" s="42"/>
      <c r="M539" s="42"/>
      <c r="N539" s="42"/>
      <c r="O539" s="42"/>
      <c r="P539" s="42"/>
      <c r="Q539" s="42"/>
      <c r="R539" s="42"/>
      <c r="S539" s="42"/>
      <c r="T539" s="42"/>
      <c r="U539" s="42"/>
      <c r="V539" s="42"/>
      <c r="W539" s="42"/>
      <c r="AB539" s="42"/>
      <c r="AC539" s="42"/>
      <c r="AD539" s="42"/>
      <c r="AE539" s="42"/>
      <c r="AF539" s="42"/>
      <c r="AG539" s="42"/>
      <c r="AH539" s="42"/>
      <c r="AI539" s="42"/>
      <c r="AJ539" s="42"/>
      <c r="AK539" s="42"/>
      <c r="AL539" s="42"/>
    </row>
    <row r="540" spans="12:38">
      <c r="L540" s="42"/>
      <c r="M540" s="42"/>
      <c r="N540" s="42"/>
      <c r="O540" s="42"/>
      <c r="P540" s="42"/>
      <c r="Q540" s="42"/>
      <c r="R540" s="42"/>
      <c r="S540" s="42"/>
      <c r="T540" s="42"/>
      <c r="U540" s="42"/>
      <c r="V540" s="42"/>
      <c r="W540" s="42"/>
      <c r="AB540" s="42"/>
      <c r="AC540" s="42"/>
      <c r="AD540" s="42"/>
      <c r="AE540" s="42"/>
      <c r="AF540" s="42"/>
      <c r="AG540" s="42"/>
      <c r="AH540" s="42"/>
      <c r="AI540" s="42"/>
      <c r="AJ540" s="42"/>
      <c r="AK540" s="42"/>
      <c r="AL540" s="42"/>
    </row>
    <row r="541" spans="12:38">
      <c r="L541" s="42"/>
      <c r="M541" s="42"/>
      <c r="N541" s="42"/>
      <c r="O541" s="42"/>
      <c r="P541" s="42"/>
      <c r="Q541" s="42"/>
      <c r="R541" s="42"/>
      <c r="S541" s="42"/>
      <c r="T541" s="42"/>
      <c r="U541" s="42"/>
      <c r="V541" s="42"/>
      <c r="W541" s="42"/>
      <c r="AB541" s="42"/>
      <c r="AC541" s="42"/>
      <c r="AD541" s="42"/>
      <c r="AE541" s="42"/>
      <c r="AF541" s="42"/>
      <c r="AG541" s="42"/>
      <c r="AH541" s="42"/>
      <c r="AI541" s="42"/>
      <c r="AJ541" s="42"/>
      <c r="AK541" s="42"/>
      <c r="AL541" s="42"/>
    </row>
    <row r="542" spans="12:38">
      <c r="L542" s="42"/>
      <c r="M542" s="42"/>
      <c r="N542" s="42"/>
      <c r="O542" s="42"/>
      <c r="P542" s="42"/>
      <c r="Q542" s="42"/>
      <c r="R542" s="42"/>
      <c r="S542" s="42"/>
      <c r="T542" s="42"/>
      <c r="U542" s="42"/>
      <c r="V542" s="42"/>
      <c r="W542" s="42"/>
      <c r="AB542" s="42"/>
      <c r="AC542" s="42"/>
      <c r="AD542" s="42"/>
      <c r="AE542" s="42"/>
      <c r="AF542" s="42"/>
      <c r="AG542" s="42"/>
      <c r="AH542" s="42"/>
      <c r="AI542" s="42"/>
      <c r="AJ542" s="42"/>
      <c r="AK542" s="42"/>
      <c r="AL542" s="42"/>
    </row>
    <row r="543" spans="12:38">
      <c r="L543" s="42"/>
      <c r="M543" s="42"/>
      <c r="N543" s="42"/>
      <c r="O543" s="42"/>
      <c r="P543" s="42"/>
      <c r="Q543" s="42"/>
      <c r="R543" s="42"/>
      <c r="S543" s="42"/>
      <c r="T543" s="42"/>
      <c r="U543" s="42"/>
      <c r="V543" s="42"/>
      <c r="W543" s="42"/>
      <c r="AB543" s="42"/>
      <c r="AC543" s="42"/>
      <c r="AD543" s="42"/>
      <c r="AE543" s="42"/>
      <c r="AF543" s="42"/>
      <c r="AG543" s="42"/>
      <c r="AH543" s="42"/>
      <c r="AI543" s="42"/>
      <c r="AJ543" s="42"/>
      <c r="AK543" s="42"/>
      <c r="AL543" s="42"/>
    </row>
    <row r="544" spans="12:38">
      <c r="L544" s="42"/>
      <c r="M544" s="42"/>
      <c r="N544" s="42"/>
      <c r="O544" s="42"/>
      <c r="P544" s="42"/>
      <c r="Q544" s="42"/>
      <c r="R544" s="42"/>
      <c r="S544" s="42"/>
      <c r="T544" s="42"/>
      <c r="U544" s="42"/>
      <c r="V544" s="42"/>
      <c r="W544" s="42"/>
      <c r="AB544" s="42"/>
      <c r="AC544" s="42"/>
      <c r="AD544" s="42"/>
      <c r="AE544" s="42"/>
      <c r="AF544" s="42"/>
      <c r="AG544" s="42"/>
      <c r="AH544" s="42"/>
      <c r="AI544" s="42"/>
      <c r="AJ544" s="42"/>
      <c r="AK544" s="42"/>
      <c r="AL544" s="42"/>
    </row>
    <row r="545" spans="12:38">
      <c r="L545" s="42"/>
      <c r="M545" s="42"/>
      <c r="N545" s="42"/>
      <c r="O545" s="42"/>
      <c r="P545" s="42"/>
      <c r="Q545" s="42"/>
      <c r="R545" s="42"/>
      <c r="S545" s="42"/>
      <c r="T545" s="42"/>
      <c r="U545" s="42"/>
      <c r="V545" s="42"/>
      <c r="W545" s="42"/>
      <c r="AB545" s="42"/>
      <c r="AC545" s="42"/>
      <c r="AD545" s="42"/>
      <c r="AE545" s="42"/>
      <c r="AF545" s="42"/>
      <c r="AG545" s="42"/>
      <c r="AH545" s="42"/>
      <c r="AI545" s="42"/>
      <c r="AJ545" s="42"/>
      <c r="AK545" s="42"/>
      <c r="AL545" s="42"/>
    </row>
    <row r="546" spans="12:38">
      <c r="L546" s="42"/>
      <c r="M546" s="42"/>
      <c r="N546" s="42"/>
      <c r="O546" s="42"/>
      <c r="P546" s="42"/>
      <c r="Q546" s="42"/>
      <c r="R546" s="42"/>
      <c r="S546" s="42"/>
      <c r="T546" s="42"/>
      <c r="U546" s="42"/>
      <c r="V546" s="42"/>
      <c r="W546" s="42"/>
      <c r="AB546" s="42"/>
      <c r="AC546" s="42"/>
      <c r="AD546" s="42"/>
      <c r="AE546" s="42"/>
      <c r="AF546" s="42"/>
      <c r="AG546" s="42"/>
      <c r="AH546" s="42"/>
      <c r="AI546" s="42"/>
      <c r="AJ546" s="42"/>
      <c r="AK546" s="42"/>
      <c r="AL546" s="42"/>
    </row>
    <row r="547" spans="12:38">
      <c r="L547" s="42"/>
      <c r="M547" s="42"/>
      <c r="N547" s="42"/>
      <c r="O547" s="42"/>
      <c r="P547" s="42"/>
      <c r="Q547" s="42"/>
      <c r="R547" s="42"/>
      <c r="S547" s="42"/>
      <c r="T547" s="42"/>
      <c r="U547" s="42"/>
      <c r="V547" s="42"/>
      <c r="W547" s="42"/>
      <c r="AB547" s="42"/>
      <c r="AC547" s="42"/>
      <c r="AD547" s="42"/>
      <c r="AE547" s="42"/>
      <c r="AF547" s="42"/>
      <c r="AG547" s="42"/>
      <c r="AH547" s="42"/>
      <c r="AI547" s="42"/>
      <c r="AJ547" s="42"/>
      <c r="AK547" s="42"/>
      <c r="AL547" s="42"/>
    </row>
    <row r="548" spans="12:38">
      <c r="L548" s="42"/>
      <c r="M548" s="42"/>
      <c r="N548" s="42"/>
      <c r="O548" s="42"/>
      <c r="P548" s="42"/>
      <c r="Q548" s="42"/>
      <c r="R548" s="42"/>
      <c r="S548" s="42"/>
      <c r="T548" s="42"/>
      <c r="U548" s="42"/>
      <c r="V548" s="42"/>
      <c r="W548" s="42"/>
      <c r="AB548" s="42"/>
      <c r="AC548" s="42"/>
      <c r="AD548" s="42"/>
      <c r="AE548" s="42"/>
      <c r="AF548" s="42"/>
      <c r="AG548" s="42"/>
      <c r="AH548" s="42"/>
      <c r="AI548" s="42"/>
      <c r="AJ548" s="42"/>
      <c r="AK548" s="42"/>
      <c r="AL548" s="42"/>
    </row>
    <row r="549" spans="12:38">
      <c r="L549" s="42"/>
      <c r="M549" s="42"/>
      <c r="N549" s="42"/>
      <c r="O549" s="42"/>
      <c r="P549" s="42"/>
      <c r="Q549" s="42"/>
      <c r="R549" s="42"/>
      <c r="S549" s="42"/>
      <c r="T549" s="42"/>
      <c r="U549" s="42"/>
      <c r="V549" s="42"/>
      <c r="W549" s="42"/>
      <c r="AB549" s="42"/>
      <c r="AC549" s="42"/>
      <c r="AD549" s="42"/>
      <c r="AE549" s="42"/>
      <c r="AF549" s="42"/>
      <c r="AG549" s="42"/>
      <c r="AH549" s="42"/>
      <c r="AI549" s="42"/>
      <c r="AJ549" s="42"/>
      <c r="AK549" s="42"/>
      <c r="AL549" s="42"/>
    </row>
    <row r="550" spans="12:38">
      <c r="L550" s="42"/>
      <c r="M550" s="42"/>
      <c r="N550" s="42"/>
      <c r="O550" s="42"/>
      <c r="P550" s="42"/>
      <c r="Q550" s="42"/>
      <c r="R550" s="42"/>
      <c r="S550" s="42"/>
      <c r="T550" s="42"/>
      <c r="U550" s="42"/>
      <c r="V550" s="42"/>
      <c r="W550" s="42"/>
      <c r="AB550" s="42"/>
      <c r="AC550" s="42"/>
      <c r="AD550" s="42"/>
      <c r="AE550" s="42"/>
      <c r="AF550" s="42"/>
      <c r="AG550" s="42"/>
      <c r="AH550" s="42"/>
      <c r="AI550" s="42"/>
      <c r="AJ550" s="42"/>
      <c r="AK550" s="42"/>
      <c r="AL550" s="42"/>
    </row>
    <row r="551" spans="12:38">
      <c r="L551" s="42"/>
      <c r="M551" s="42"/>
      <c r="N551" s="42"/>
      <c r="O551" s="42"/>
      <c r="P551" s="42"/>
      <c r="Q551" s="42"/>
      <c r="R551" s="42"/>
      <c r="S551" s="42"/>
      <c r="T551" s="42"/>
      <c r="U551" s="42"/>
      <c r="V551" s="42"/>
      <c r="W551" s="42"/>
      <c r="AB551" s="42"/>
      <c r="AC551" s="42"/>
      <c r="AD551" s="42"/>
      <c r="AE551" s="42"/>
      <c r="AF551" s="42"/>
      <c r="AG551" s="42"/>
      <c r="AH551" s="42"/>
      <c r="AI551" s="42"/>
      <c r="AJ551" s="42"/>
      <c r="AK551" s="42"/>
      <c r="AL551" s="42"/>
    </row>
    <row r="552" spans="12:38">
      <c r="L552" s="42"/>
      <c r="M552" s="42"/>
      <c r="N552" s="42"/>
      <c r="O552" s="42"/>
      <c r="P552" s="42"/>
      <c r="Q552" s="42"/>
      <c r="R552" s="42"/>
      <c r="S552" s="42"/>
      <c r="T552" s="42"/>
      <c r="U552" s="42"/>
      <c r="V552" s="42"/>
      <c r="W552" s="42"/>
      <c r="AB552" s="42"/>
      <c r="AC552" s="42"/>
      <c r="AD552" s="42"/>
      <c r="AE552" s="42"/>
      <c r="AF552" s="42"/>
      <c r="AG552" s="42"/>
      <c r="AH552" s="42"/>
      <c r="AI552" s="42"/>
      <c r="AJ552" s="42"/>
      <c r="AK552" s="42"/>
      <c r="AL552" s="42"/>
    </row>
    <row r="553" spans="12:38">
      <c r="L553" s="42"/>
      <c r="M553" s="42"/>
      <c r="N553" s="42"/>
      <c r="O553" s="42"/>
      <c r="P553" s="42"/>
      <c r="Q553" s="42"/>
      <c r="R553" s="42"/>
      <c r="S553" s="42"/>
      <c r="T553" s="42"/>
      <c r="U553" s="42"/>
      <c r="V553" s="42"/>
      <c r="W553" s="42"/>
      <c r="AB553" s="42"/>
      <c r="AC553" s="42"/>
      <c r="AD553" s="42"/>
      <c r="AE553" s="42"/>
      <c r="AF553" s="42"/>
      <c r="AG553" s="42"/>
      <c r="AH553" s="42"/>
      <c r="AI553" s="42"/>
      <c r="AJ553" s="42"/>
      <c r="AK553" s="42"/>
      <c r="AL553" s="42"/>
    </row>
    <row r="554" spans="12:38">
      <c r="L554" s="42"/>
      <c r="M554" s="42"/>
      <c r="N554" s="42"/>
      <c r="O554" s="42"/>
      <c r="P554" s="42"/>
      <c r="Q554" s="42"/>
      <c r="R554" s="42"/>
      <c r="S554" s="42"/>
      <c r="T554" s="42"/>
      <c r="U554" s="42"/>
      <c r="V554" s="42"/>
      <c r="W554" s="42"/>
      <c r="AB554" s="42"/>
      <c r="AC554" s="42"/>
      <c r="AD554" s="42"/>
      <c r="AE554" s="42"/>
      <c r="AF554" s="42"/>
      <c r="AG554" s="42"/>
      <c r="AH554" s="42"/>
      <c r="AI554" s="42"/>
      <c r="AJ554" s="42"/>
      <c r="AK554" s="42"/>
      <c r="AL554" s="42"/>
    </row>
    <row r="555" spans="12:38">
      <c r="L555" s="42"/>
      <c r="M555" s="42"/>
      <c r="N555" s="42"/>
      <c r="O555" s="42"/>
      <c r="P555" s="42"/>
      <c r="Q555" s="42"/>
      <c r="R555" s="42"/>
      <c r="S555" s="42"/>
      <c r="T555" s="42"/>
      <c r="U555" s="42"/>
      <c r="V555" s="42"/>
      <c r="W555" s="42"/>
      <c r="AB555" s="42"/>
      <c r="AC555" s="42"/>
      <c r="AD555" s="42"/>
      <c r="AE555" s="42"/>
      <c r="AF555" s="42"/>
      <c r="AG555" s="42"/>
      <c r="AH555" s="42"/>
      <c r="AI555" s="42"/>
      <c r="AJ555" s="42"/>
      <c r="AK555" s="42"/>
      <c r="AL555" s="42"/>
    </row>
    <row r="556" spans="12:38">
      <c r="L556" s="42"/>
      <c r="M556" s="42"/>
      <c r="N556" s="42"/>
      <c r="O556" s="42"/>
      <c r="P556" s="42"/>
      <c r="Q556" s="42"/>
      <c r="R556" s="42"/>
      <c r="S556" s="42"/>
      <c r="T556" s="42"/>
      <c r="U556" s="42"/>
      <c r="V556" s="42"/>
      <c r="W556" s="42"/>
      <c r="AB556" s="42"/>
      <c r="AC556" s="42"/>
      <c r="AD556" s="42"/>
      <c r="AE556" s="42"/>
      <c r="AF556" s="42"/>
      <c r="AG556" s="42"/>
      <c r="AH556" s="42"/>
      <c r="AI556" s="42"/>
      <c r="AJ556" s="42"/>
      <c r="AK556" s="42"/>
      <c r="AL556" s="42"/>
    </row>
    <row r="557" spans="12:38">
      <c r="L557" s="42"/>
      <c r="M557" s="42"/>
      <c r="N557" s="42"/>
      <c r="O557" s="42"/>
      <c r="P557" s="42"/>
      <c r="Q557" s="42"/>
      <c r="R557" s="42"/>
      <c r="S557" s="42"/>
      <c r="T557" s="42"/>
      <c r="U557" s="42"/>
      <c r="V557" s="42"/>
      <c r="W557" s="42"/>
      <c r="AB557" s="42"/>
      <c r="AC557" s="42"/>
      <c r="AD557" s="42"/>
      <c r="AE557" s="42"/>
      <c r="AF557" s="42"/>
      <c r="AG557" s="42"/>
      <c r="AH557" s="42"/>
      <c r="AI557" s="42"/>
      <c r="AJ557" s="42"/>
      <c r="AK557" s="42"/>
      <c r="AL557" s="42"/>
    </row>
    <row r="558" spans="12:38">
      <c r="L558" s="42"/>
      <c r="M558" s="42"/>
      <c r="N558" s="42"/>
      <c r="O558" s="42"/>
      <c r="P558" s="42"/>
      <c r="Q558" s="42"/>
      <c r="R558" s="42"/>
      <c r="S558" s="42"/>
      <c r="T558" s="42"/>
      <c r="U558" s="42"/>
      <c r="V558" s="42"/>
      <c r="W558" s="42"/>
      <c r="AB558" s="42"/>
      <c r="AC558" s="42"/>
      <c r="AD558" s="42"/>
      <c r="AE558" s="42"/>
      <c r="AF558" s="42"/>
      <c r="AG558" s="42"/>
      <c r="AH558" s="42"/>
      <c r="AI558" s="42"/>
      <c r="AJ558" s="42"/>
      <c r="AK558" s="42"/>
      <c r="AL558" s="42"/>
    </row>
    <row r="559" spans="12:38">
      <c r="L559" s="42"/>
      <c r="M559" s="42"/>
      <c r="N559" s="42"/>
      <c r="O559" s="42"/>
      <c r="P559" s="42"/>
      <c r="Q559" s="42"/>
      <c r="R559" s="42"/>
      <c r="S559" s="42"/>
      <c r="T559" s="42"/>
      <c r="U559" s="42"/>
      <c r="V559" s="42"/>
      <c r="W559" s="42"/>
      <c r="AB559" s="42"/>
      <c r="AC559" s="42"/>
      <c r="AD559" s="42"/>
      <c r="AE559" s="42"/>
      <c r="AF559" s="42"/>
      <c r="AG559" s="42"/>
      <c r="AH559" s="42"/>
      <c r="AI559" s="42"/>
      <c r="AJ559" s="42"/>
      <c r="AK559" s="42"/>
      <c r="AL559" s="42"/>
    </row>
    <row r="560" spans="12:38">
      <c r="L560" s="42"/>
      <c r="M560" s="42"/>
      <c r="N560" s="42"/>
      <c r="O560" s="42"/>
      <c r="P560" s="42"/>
      <c r="Q560" s="42"/>
      <c r="R560" s="42"/>
      <c r="S560" s="42"/>
      <c r="T560" s="42"/>
      <c r="U560" s="42"/>
      <c r="V560" s="42"/>
      <c r="W560" s="42"/>
      <c r="AB560" s="42"/>
      <c r="AC560" s="42"/>
      <c r="AD560" s="42"/>
      <c r="AE560" s="42"/>
      <c r="AF560" s="42"/>
      <c r="AG560" s="42"/>
      <c r="AH560" s="42"/>
      <c r="AI560" s="42"/>
      <c r="AJ560" s="42"/>
      <c r="AK560" s="42"/>
      <c r="AL560" s="42"/>
    </row>
    <row r="561" spans="12:38">
      <c r="L561" s="42"/>
      <c r="M561" s="42"/>
      <c r="N561" s="42"/>
      <c r="O561" s="42"/>
      <c r="P561" s="42"/>
      <c r="Q561" s="42"/>
      <c r="R561" s="42"/>
      <c r="S561" s="42"/>
      <c r="T561" s="42"/>
      <c r="U561" s="42"/>
      <c r="V561" s="42"/>
      <c r="W561" s="42"/>
      <c r="AB561" s="42"/>
      <c r="AC561" s="42"/>
      <c r="AD561" s="42"/>
      <c r="AE561" s="42"/>
      <c r="AF561" s="42"/>
      <c r="AG561" s="42"/>
      <c r="AH561" s="42"/>
      <c r="AI561" s="42"/>
      <c r="AJ561" s="42"/>
      <c r="AK561" s="42"/>
      <c r="AL561" s="42"/>
    </row>
    <row r="562" spans="12:38">
      <c r="L562" s="42"/>
      <c r="M562" s="42"/>
      <c r="N562" s="42"/>
      <c r="O562" s="42"/>
      <c r="P562" s="42"/>
      <c r="Q562" s="42"/>
      <c r="R562" s="42"/>
      <c r="S562" s="42"/>
      <c r="T562" s="42"/>
      <c r="U562" s="42"/>
      <c r="V562" s="42"/>
      <c r="W562" s="42"/>
      <c r="AB562" s="42"/>
      <c r="AC562" s="42"/>
      <c r="AD562" s="42"/>
      <c r="AE562" s="42"/>
      <c r="AF562" s="42"/>
      <c r="AG562" s="42"/>
      <c r="AH562" s="42"/>
      <c r="AI562" s="42"/>
      <c r="AJ562" s="42"/>
      <c r="AK562" s="42"/>
      <c r="AL562" s="42"/>
    </row>
    <row r="563" spans="12:38">
      <c r="L563" s="42"/>
      <c r="M563" s="42"/>
      <c r="N563" s="42"/>
      <c r="O563" s="42"/>
      <c r="P563" s="42"/>
      <c r="Q563" s="42"/>
      <c r="R563" s="42"/>
      <c r="S563" s="42"/>
      <c r="T563" s="42"/>
      <c r="U563" s="42"/>
      <c r="V563" s="42"/>
      <c r="W563" s="42"/>
      <c r="AB563" s="42"/>
      <c r="AC563" s="42"/>
      <c r="AD563" s="42"/>
      <c r="AE563" s="42"/>
      <c r="AF563" s="42"/>
      <c r="AG563" s="42"/>
      <c r="AH563" s="42"/>
      <c r="AI563" s="42"/>
      <c r="AJ563" s="42"/>
      <c r="AK563" s="42"/>
      <c r="AL563" s="42"/>
    </row>
    <row r="564" spans="12:38">
      <c r="L564" s="42"/>
      <c r="M564" s="42"/>
      <c r="N564" s="42"/>
      <c r="O564" s="42"/>
      <c r="P564" s="42"/>
      <c r="Q564" s="42"/>
      <c r="R564" s="42"/>
      <c r="S564" s="42"/>
      <c r="T564" s="42"/>
      <c r="U564" s="42"/>
      <c r="V564" s="42"/>
      <c r="W564" s="42"/>
      <c r="AB564" s="42"/>
      <c r="AC564" s="42"/>
      <c r="AD564" s="42"/>
      <c r="AE564" s="42"/>
      <c r="AF564" s="42"/>
      <c r="AG564" s="42"/>
      <c r="AH564" s="42"/>
      <c r="AI564" s="42"/>
      <c r="AJ564" s="42"/>
      <c r="AK564" s="42"/>
      <c r="AL564" s="42"/>
    </row>
    <row r="565" spans="12:38">
      <c r="L565" s="42"/>
      <c r="M565" s="42"/>
      <c r="N565" s="42"/>
      <c r="O565" s="42"/>
      <c r="P565" s="42"/>
      <c r="Q565" s="42"/>
      <c r="R565" s="42"/>
      <c r="S565" s="42"/>
      <c r="T565" s="42"/>
      <c r="U565" s="42"/>
      <c r="V565" s="42"/>
      <c r="W565" s="42"/>
      <c r="AB565" s="42"/>
      <c r="AC565" s="42"/>
      <c r="AD565" s="42"/>
      <c r="AE565" s="42"/>
      <c r="AF565" s="42"/>
      <c r="AG565" s="42"/>
      <c r="AH565" s="42"/>
      <c r="AI565" s="42"/>
      <c r="AJ565" s="42"/>
      <c r="AK565" s="42"/>
      <c r="AL565" s="42"/>
    </row>
    <row r="566" spans="12:38">
      <c r="L566" s="42"/>
      <c r="M566" s="42"/>
      <c r="N566" s="42"/>
      <c r="O566" s="42"/>
      <c r="P566" s="42"/>
      <c r="Q566" s="42"/>
      <c r="R566" s="42"/>
      <c r="S566" s="42"/>
      <c r="T566" s="42"/>
      <c r="U566" s="42"/>
      <c r="V566" s="42"/>
      <c r="W566" s="42"/>
      <c r="AB566" s="42"/>
      <c r="AC566" s="42"/>
      <c r="AD566" s="42"/>
      <c r="AE566" s="42"/>
      <c r="AF566" s="42"/>
      <c r="AG566" s="42"/>
      <c r="AH566" s="42"/>
      <c r="AI566" s="42"/>
      <c r="AJ566" s="42"/>
      <c r="AK566" s="42"/>
      <c r="AL566" s="42"/>
    </row>
    <row r="567" spans="12:38">
      <c r="L567" s="42"/>
      <c r="M567" s="42"/>
      <c r="N567" s="42"/>
      <c r="O567" s="42"/>
      <c r="P567" s="42"/>
      <c r="Q567" s="42"/>
      <c r="R567" s="42"/>
      <c r="S567" s="42"/>
      <c r="T567" s="42"/>
      <c r="U567" s="42"/>
      <c r="V567" s="42"/>
      <c r="W567" s="42"/>
      <c r="AB567" s="42"/>
      <c r="AC567" s="42"/>
      <c r="AD567" s="42"/>
      <c r="AE567" s="42"/>
      <c r="AF567" s="42"/>
      <c r="AG567" s="42"/>
      <c r="AH567" s="42"/>
      <c r="AI567" s="42"/>
      <c r="AJ567" s="42"/>
      <c r="AK567" s="42"/>
      <c r="AL567" s="42"/>
    </row>
    <row r="568" spans="12:38">
      <c r="L568" s="42"/>
      <c r="M568" s="42"/>
      <c r="N568" s="42"/>
      <c r="O568" s="42"/>
      <c r="P568" s="42"/>
      <c r="Q568" s="42"/>
      <c r="R568" s="42"/>
      <c r="S568" s="42"/>
      <c r="T568" s="42"/>
      <c r="U568" s="42"/>
      <c r="V568" s="42"/>
      <c r="W568" s="42"/>
      <c r="AB568" s="42"/>
      <c r="AC568" s="42"/>
      <c r="AD568" s="42"/>
      <c r="AE568" s="42"/>
      <c r="AF568" s="42"/>
      <c r="AG568" s="42"/>
      <c r="AH568" s="42"/>
      <c r="AI568" s="42"/>
      <c r="AJ568" s="42"/>
      <c r="AK568" s="42"/>
      <c r="AL568" s="42"/>
    </row>
    <row r="569" spans="12:38">
      <c r="L569" s="42"/>
      <c r="M569" s="42"/>
      <c r="N569" s="42"/>
      <c r="O569" s="42"/>
      <c r="P569" s="42"/>
      <c r="Q569" s="42"/>
      <c r="R569" s="42"/>
      <c r="S569" s="42"/>
      <c r="T569" s="42"/>
      <c r="U569" s="42"/>
      <c r="V569" s="42"/>
      <c r="W569" s="42"/>
      <c r="AB569" s="42"/>
      <c r="AC569" s="42"/>
      <c r="AD569" s="42"/>
      <c r="AE569" s="42"/>
      <c r="AF569" s="42"/>
      <c r="AG569" s="42"/>
      <c r="AH569" s="42"/>
      <c r="AI569" s="42"/>
      <c r="AJ569" s="42"/>
      <c r="AK569" s="42"/>
      <c r="AL569" s="42"/>
    </row>
    <row r="570" spans="12:38">
      <c r="L570" s="42"/>
      <c r="M570" s="42"/>
      <c r="N570" s="42"/>
      <c r="O570" s="42"/>
      <c r="P570" s="42"/>
      <c r="Q570" s="42"/>
      <c r="R570" s="42"/>
      <c r="S570" s="42"/>
      <c r="T570" s="42"/>
      <c r="U570" s="42"/>
      <c r="V570" s="42"/>
      <c r="W570" s="42"/>
      <c r="AB570" s="42"/>
      <c r="AC570" s="42"/>
      <c r="AD570" s="42"/>
      <c r="AE570" s="42"/>
      <c r="AF570" s="42"/>
      <c r="AG570" s="42"/>
      <c r="AH570" s="42"/>
      <c r="AI570" s="42"/>
      <c r="AJ570" s="42"/>
      <c r="AK570" s="42"/>
      <c r="AL570" s="42"/>
    </row>
    <row r="571" spans="12:38">
      <c r="L571" s="42"/>
      <c r="M571" s="42"/>
      <c r="N571" s="42"/>
      <c r="O571" s="42"/>
      <c r="P571" s="42"/>
      <c r="Q571" s="42"/>
      <c r="R571" s="42"/>
      <c r="S571" s="42"/>
      <c r="T571" s="42"/>
      <c r="U571" s="42"/>
      <c r="V571" s="42"/>
      <c r="W571" s="42"/>
      <c r="AB571" s="42"/>
      <c r="AC571" s="42"/>
      <c r="AD571" s="42"/>
      <c r="AE571" s="42"/>
      <c r="AF571" s="42"/>
      <c r="AG571" s="42"/>
      <c r="AH571" s="42"/>
      <c r="AI571" s="42"/>
      <c r="AJ571" s="42"/>
      <c r="AK571" s="42"/>
      <c r="AL571" s="42"/>
    </row>
    <row r="572" spans="12:38">
      <c r="L572" s="42"/>
      <c r="M572" s="42"/>
      <c r="N572" s="42"/>
      <c r="O572" s="42"/>
      <c r="P572" s="42"/>
      <c r="Q572" s="42"/>
      <c r="R572" s="42"/>
      <c r="S572" s="42"/>
      <c r="T572" s="42"/>
      <c r="U572" s="42"/>
      <c r="V572" s="42"/>
      <c r="W572" s="42"/>
      <c r="AB572" s="42"/>
      <c r="AC572" s="42"/>
      <c r="AD572" s="42"/>
      <c r="AE572" s="42"/>
      <c r="AF572" s="42"/>
      <c r="AG572" s="42"/>
      <c r="AH572" s="42"/>
      <c r="AI572" s="42"/>
      <c r="AJ572" s="42"/>
      <c r="AK572" s="42"/>
      <c r="AL572" s="42"/>
    </row>
    <row r="573" spans="12:38">
      <c r="L573" s="42"/>
      <c r="M573" s="42"/>
      <c r="N573" s="42"/>
      <c r="O573" s="42"/>
      <c r="P573" s="42"/>
      <c r="Q573" s="42"/>
      <c r="R573" s="42"/>
      <c r="S573" s="42"/>
      <c r="T573" s="42"/>
      <c r="U573" s="42"/>
      <c r="V573" s="42"/>
      <c r="W573" s="42"/>
      <c r="AB573" s="42"/>
      <c r="AC573" s="42"/>
      <c r="AD573" s="42"/>
      <c r="AE573" s="42"/>
      <c r="AF573" s="42"/>
      <c r="AG573" s="42"/>
      <c r="AH573" s="42"/>
      <c r="AI573" s="42"/>
      <c r="AJ573" s="42"/>
      <c r="AK573" s="42"/>
      <c r="AL573" s="42"/>
    </row>
    <row r="574" spans="12:38">
      <c r="L574" s="42"/>
      <c r="M574" s="42"/>
      <c r="N574" s="42"/>
      <c r="O574" s="42"/>
      <c r="P574" s="42"/>
      <c r="Q574" s="42"/>
      <c r="R574" s="42"/>
      <c r="S574" s="42"/>
      <c r="T574" s="42"/>
      <c r="U574" s="42"/>
      <c r="V574" s="42"/>
      <c r="W574" s="42"/>
      <c r="AB574" s="42"/>
      <c r="AC574" s="42"/>
      <c r="AD574" s="42"/>
      <c r="AE574" s="42"/>
      <c r="AF574" s="42"/>
      <c r="AG574" s="42"/>
      <c r="AH574" s="42"/>
      <c r="AI574" s="42"/>
      <c r="AJ574" s="42"/>
      <c r="AK574" s="42"/>
      <c r="AL574" s="42"/>
    </row>
    <row r="575" spans="12:38">
      <c r="L575" s="42"/>
      <c r="M575" s="42"/>
      <c r="N575" s="42"/>
      <c r="O575" s="42"/>
      <c r="P575" s="42"/>
      <c r="Q575" s="42"/>
      <c r="R575" s="42"/>
      <c r="S575" s="42"/>
      <c r="T575" s="42"/>
      <c r="U575" s="42"/>
      <c r="V575" s="42"/>
      <c r="W575" s="42"/>
      <c r="AB575" s="42"/>
      <c r="AC575" s="42"/>
      <c r="AD575" s="42"/>
      <c r="AE575" s="42"/>
      <c r="AF575" s="42"/>
      <c r="AG575" s="42"/>
      <c r="AH575" s="42"/>
      <c r="AI575" s="42"/>
      <c r="AJ575" s="42"/>
      <c r="AK575" s="42"/>
      <c r="AL575" s="42"/>
    </row>
    <row r="576" spans="12:38">
      <c r="L576" s="42"/>
      <c r="M576" s="42"/>
      <c r="N576" s="42"/>
      <c r="O576" s="42"/>
      <c r="P576" s="42"/>
      <c r="Q576" s="42"/>
      <c r="R576" s="42"/>
      <c r="S576" s="42"/>
      <c r="T576" s="42"/>
      <c r="U576" s="42"/>
      <c r="V576" s="42"/>
      <c r="W576" s="42"/>
      <c r="AB576" s="42"/>
      <c r="AC576" s="42"/>
      <c r="AD576" s="42"/>
      <c r="AE576" s="42"/>
      <c r="AF576" s="42"/>
      <c r="AG576" s="42"/>
      <c r="AH576" s="42"/>
      <c r="AI576" s="42"/>
      <c r="AJ576" s="42"/>
      <c r="AK576" s="42"/>
      <c r="AL576" s="42"/>
    </row>
    <row r="577" spans="12:38">
      <c r="L577" s="42"/>
      <c r="M577" s="42"/>
      <c r="N577" s="42"/>
      <c r="O577" s="42"/>
      <c r="P577" s="42"/>
      <c r="Q577" s="42"/>
      <c r="R577" s="42"/>
      <c r="S577" s="42"/>
      <c r="T577" s="42"/>
      <c r="U577" s="42"/>
      <c r="V577" s="42"/>
      <c r="W577" s="42"/>
      <c r="AB577" s="42"/>
      <c r="AC577" s="42"/>
      <c r="AD577" s="42"/>
      <c r="AE577" s="42"/>
      <c r="AF577" s="42"/>
      <c r="AG577" s="42"/>
      <c r="AH577" s="42"/>
      <c r="AI577" s="42"/>
      <c r="AJ577" s="42"/>
      <c r="AK577" s="42"/>
      <c r="AL577" s="42"/>
    </row>
    <row r="578" spans="12:38">
      <c r="L578" s="42"/>
      <c r="M578" s="42"/>
      <c r="N578" s="42"/>
      <c r="O578" s="42"/>
      <c r="P578" s="42"/>
      <c r="Q578" s="42"/>
      <c r="R578" s="42"/>
      <c r="S578" s="42"/>
      <c r="T578" s="42"/>
      <c r="U578" s="42"/>
      <c r="V578" s="42"/>
      <c r="W578" s="42"/>
      <c r="AB578" s="42"/>
      <c r="AC578" s="42"/>
      <c r="AD578" s="42"/>
      <c r="AE578" s="42"/>
      <c r="AF578" s="42"/>
      <c r="AG578" s="42"/>
      <c r="AH578" s="42"/>
      <c r="AI578" s="42"/>
      <c r="AJ578" s="42"/>
      <c r="AK578" s="42"/>
      <c r="AL578" s="42"/>
    </row>
    <row r="579" spans="12:38">
      <c r="L579" s="42"/>
      <c r="M579" s="42"/>
      <c r="N579" s="42"/>
      <c r="O579" s="42"/>
      <c r="P579" s="42"/>
      <c r="Q579" s="42"/>
      <c r="R579" s="42"/>
      <c r="S579" s="42"/>
      <c r="T579" s="42"/>
      <c r="U579" s="42"/>
      <c r="V579" s="42"/>
      <c r="W579" s="42"/>
      <c r="AB579" s="42"/>
      <c r="AC579" s="42"/>
      <c r="AD579" s="42"/>
      <c r="AE579" s="42"/>
      <c r="AF579" s="42"/>
      <c r="AG579" s="42"/>
      <c r="AH579" s="42"/>
      <c r="AI579" s="42"/>
      <c r="AJ579" s="42"/>
      <c r="AK579" s="42"/>
      <c r="AL579" s="42"/>
    </row>
    <row r="580" spans="12:38">
      <c r="L580" s="42"/>
      <c r="M580" s="42"/>
      <c r="N580" s="42"/>
      <c r="O580" s="42"/>
      <c r="P580" s="42"/>
      <c r="Q580" s="42"/>
      <c r="R580" s="42"/>
      <c r="S580" s="42"/>
      <c r="T580" s="42"/>
      <c r="U580" s="42"/>
      <c r="V580" s="42"/>
      <c r="W580" s="42"/>
      <c r="AB580" s="42"/>
      <c r="AC580" s="42"/>
      <c r="AD580" s="42"/>
      <c r="AE580" s="42"/>
      <c r="AF580" s="42"/>
      <c r="AG580" s="42"/>
      <c r="AH580" s="42"/>
      <c r="AI580" s="42"/>
      <c r="AJ580" s="42"/>
      <c r="AK580" s="42"/>
      <c r="AL580" s="42"/>
    </row>
    <row r="581" spans="12:38">
      <c r="L581" s="42"/>
      <c r="M581" s="42"/>
      <c r="N581" s="42"/>
      <c r="O581" s="42"/>
      <c r="P581" s="42"/>
      <c r="Q581" s="42"/>
      <c r="R581" s="42"/>
      <c r="S581" s="42"/>
      <c r="T581" s="42"/>
      <c r="U581" s="42"/>
      <c r="V581" s="42"/>
      <c r="W581" s="42"/>
      <c r="AB581" s="42"/>
      <c r="AC581" s="42"/>
      <c r="AD581" s="42"/>
      <c r="AE581" s="42"/>
      <c r="AF581" s="42"/>
      <c r="AG581" s="42"/>
      <c r="AH581" s="42"/>
      <c r="AI581" s="42"/>
      <c r="AJ581" s="42"/>
      <c r="AK581" s="42"/>
      <c r="AL581" s="42"/>
    </row>
    <row r="582" spans="12:38">
      <c r="L582" s="42"/>
      <c r="M582" s="42"/>
      <c r="N582" s="42"/>
      <c r="O582" s="42"/>
      <c r="P582" s="42"/>
      <c r="Q582" s="42"/>
      <c r="R582" s="42"/>
      <c r="S582" s="42"/>
      <c r="T582" s="42"/>
      <c r="U582" s="42"/>
      <c r="V582" s="42"/>
      <c r="W582" s="42"/>
      <c r="AB582" s="42"/>
      <c r="AC582" s="42"/>
      <c r="AD582" s="42"/>
      <c r="AE582" s="42"/>
      <c r="AF582" s="42"/>
      <c r="AG582" s="42"/>
      <c r="AH582" s="42"/>
      <c r="AI582" s="42"/>
      <c r="AJ582" s="42"/>
      <c r="AK582" s="42"/>
      <c r="AL582" s="42"/>
    </row>
    <row r="583" spans="12:38">
      <c r="L583" s="42"/>
      <c r="M583" s="42"/>
      <c r="N583" s="42"/>
      <c r="O583" s="42"/>
      <c r="P583" s="42"/>
      <c r="Q583" s="42"/>
      <c r="R583" s="42"/>
      <c r="S583" s="42"/>
      <c r="T583" s="42"/>
      <c r="U583" s="42"/>
      <c r="V583" s="42"/>
      <c r="W583" s="42"/>
      <c r="AB583" s="42"/>
      <c r="AC583" s="42"/>
      <c r="AD583" s="42"/>
      <c r="AE583" s="42"/>
      <c r="AF583" s="42"/>
      <c r="AG583" s="42"/>
      <c r="AH583" s="42"/>
      <c r="AI583" s="42"/>
      <c r="AJ583" s="42"/>
      <c r="AK583" s="42"/>
      <c r="AL583" s="42"/>
    </row>
    <row r="584" spans="12:38">
      <c r="L584" s="42"/>
      <c r="M584" s="42"/>
      <c r="N584" s="42"/>
      <c r="O584" s="42"/>
      <c r="P584" s="42"/>
      <c r="Q584" s="42"/>
      <c r="R584" s="42"/>
      <c r="S584" s="42"/>
      <c r="T584" s="42"/>
      <c r="U584" s="42"/>
      <c r="V584" s="42"/>
      <c r="W584" s="42"/>
      <c r="AB584" s="42"/>
      <c r="AC584" s="42"/>
      <c r="AD584" s="42"/>
      <c r="AE584" s="42"/>
      <c r="AF584" s="42"/>
      <c r="AG584" s="42"/>
      <c r="AH584" s="42"/>
      <c r="AI584" s="42"/>
      <c r="AJ584" s="42"/>
      <c r="AK584" s="42"/>
      <c r="AL584" s="42"/>
    </row>
    <row r="585" spans="12:38">
      <c r="L585" s="42"/>
      <c r="M585" s="42"/>
      <c r="N585" s="42"/>
      <c r="O585" s="42"/>
      <c r="P585" s="42"/>
      <c r="Q585" s="42"/>
      <c r="R585" s="42"/>
      <c r="S585" s="42"/>
      <c r="T585" s="42"/>
      <c r="U585" s="42"/>
      <c r="V585" s="42"/>
      <c r="W585" s="42"/>
      <c r="AB585" s="42"/>
      <c r="AC585" s="42"/>
      <c r="AD585" s="42"/>
      <c r="AE585" s="42"/>
      <c r="AF585" s="42"/>
      <c r="AG585" s="42"/>
      <c r="AH585" s="42"/>
      <c r="AI585" s="42"/>
      <c r="AJ585" s="42"/>
      <c r="AK585" s="42"/>
      <c r="AL585" s="42"/>
    </row>
    <row r="586" spans="12:38">
      <c r="L586" s="42"/>
      <c r="M586" s="42"/>
      <c r="N586" s="42"/>
      <c r="O586" s="42"/>
      <c r="P586" s="42"/>
      <c r="Q586" s="42"/>
      <c r="R586" s="42"/>
      <c r="S586" s="42"/>
      <c r="T586" s="42"/>
      <c r="U586" s="42"/>
      <c r="V586" s="42"/>
      <c r="W586" s="42"/>
      <c r="AB586" s="42"/>
      <c r="AC586" s="42"/>
      <c r="AD586" s="42"/>
      <c r="AE586" s="42"/>
      <c r="AF586" s="42"/>
      <c r="AG586" s="42"/>
      <c r="AH586" s="42"/>
      <c r="AI586" s="42"/>
      <c r="AJ586" s="42"/>
      <c r="AK586" s="42"/>
      <c r="AL586" s="42"/>
    </row>
    <row r="587" spans="12:38">
      <c r="L587" s="42"/>
      <c r="M587" s="42"/>
      <c r="N587" s="42"/>
      <c r="O587" s="42"/>
      <c r="P587" s="42"/>
      <c r="Q587" s="42"/>
      <c r="R587" s="42"/>
      <c r="S587" s="42"/>
      <c r="T587" s="42"/>
      <c r="U587" s="42"/>
      <c r="V587" s="42"/>
      <c r="W587" s="42"/>
      <c r="AB587" s="42"/>
      <c r="AC587" s="42"/>
      <c r="AD587" s="42"/>
      <c r="AE587" s="42"/>
      <c r="AF587" s="42"/>
      <c r="AG587" s="42"/>
      <c r="AH587" s="42"/>
      <c r="AI587" s="42"/>
      <c r="AJ587" s="42"/>
      <c r="AK587" s="42"/>
      <c r="AL587" s="42"/>
    </row>
    <row r="588" spans="12:38">
      <c r="L588" s="42"/>
      <c r="M588" s="42"/>
      <c r="N588" s="42"/>
      <c r="O588" s="42"/>
      <c r="P588" s="42"/>
      <c r="Q588" s="42"/>
      <c r="R588" s="42"/>
      <c r="S588" s="42"/>
      <c r="T588" s="42"/>
      <c r="U588" s="42"/>
      <c r="V588" s="42"/>
      <c r="W588" s="42"/>
      <c r="AB588" s="42"/>
      <c r="AC588" s="42"/>
      <c r="AD588" s="42"/>
      <c r="AE588" s="42"/>
      <c r="AF588" s="42"/>
      <c r="AG588" s="42"/>
      <c r="AH588" s="42"/>
      <c r="AI588" s="42"/>
      <c r="AJ588" s="42"/>
      <c r="AK588" s="42"/>
      <c r="AL588" s="42"/>
    </row>
    <row r="589" spans="12:38">
      <c r="L589" s="42"/>
      <c r="M589" s="42"/>
      <c r="N589" s="42"/>
      <c r="O589" s="42"/>
      <c r="P589" s="42"/>
      <c r="Q589" s="42"/>
      <c r="R589" s="42"/>
      <c r="S589" s="42"/>
      <c r="T589" s="42"/>
      <c r="U589" s="42"/>
      <c r="V589" s="42"/>
      <c r="W589" s="42"/>
      <c r="AB589" s="42"/>
      <c r="AC589" s="42"/>
      <c r="AD589" s="42"/>
      <c r="AE589" s="42"/>
      <c r="AF589" s="42"/>
      <c r="AG589" s="42"/>
      <c r="AH589" s="42"/>
      <c r="AI589" s="42"/>
      <c r="AJ589" s="42"/>
      <c r="AK589" s="42"/>
      <c r="AL589" s="42"/>
    </row>
    <row r="590" spans="12:38">
      <c r="L590" s="42"/>
      <c r="M590" s="42"/>
      <c r="N590" s="42"/>
      <c r="O590" s="42"/>
      <c r="P590" s="42"/>
      <c r="Q590" s="42"/>
      <c r="R590" s="42"/>
      <c r="S590" s="42"/>
      <c r="T590" s="42"/>
      <c r="U590" s="42"/>
      <c r="V590" s="42"/>
      <c r="W590" s="42"/>
      <c r="AB590" s="42"/>
      <c r="AC590" s="42"/>
      <c r="AD590" s="42"/>
      <c r="AE590" s="42"/>
      <c r="AF590" s="42"/>
      <c r="AG590" s="42"/>
      <c r="AH590" s="42"/>
      <c r="AI590" s="42"/>
      <c r="AJ590" s="42"/>
      <c r="AK590" s="42"/>
      <c r="AL590" s="42"/>
    </row>
    <row r="591" spans="12:38">
      <c r="L591" s="42"/>
      <c r="M591" s="42"/>
      <c r="N591" s="42"/>
      <c r="O591" s="42"/>
      <c r="P591" s="42"/>
      <c r="Q591" s="42"/>
      <c r="R591" s="42"/>
      <c r="S591" s="42"/>
      <c r="T591" s="42"/>
      <c r="U591" s="42"/>
      <c r="V591" s="42"/>
      <c r="W591" s="42"/>
      <c r="AB591" s="42"/>
      <c r="AC591" s="42"/>
      <c r="AD591" s="42"/>
      <c r="AE591" s="42"/>
      <c r="AF591" s="42"/>
      <c r="AG591" s="42"/>
      <c r="AH591" s="42"/>
      <c r="AI591" s="42"/>
      <c r="AJ591" s="42"/>
      <c r="AK591" s="42"/>
      <c r="AL591" s="42"/>
    </row>
    <row r="592" spans="12:38">
      <c r="L592" s="42"/>
      <c r="M592" s="42"/>
      <c r="N592" s="42"/>
      <c r="O592" s="42"/>
      <c r="P592" s="42"/>
      <c r="Q592" s="42"/>
      <c r="R592" s="42"/>
      <c r="S592" s="42"/>
      <c r="T592" s="42"/>
      <c r="U592" s="42"/>
      <c r="V592" s="42"/>
      <c r="W592" s="42"/>
      <c r="AB592" s="42"/>
      <c r="AC592" s="42"/>
      <c r="AD592" s="42"/>
      <c r="AE592" s="42"/>
      <c r="AF592" s="42"/>
      <c r="AG592" s="42"/>
      <c r="AH592" s="42"/>
      <c r="AI592" s="42"/>
      <c r="AJ592" s="42"/>
      <c r="AK592" s="42"/>
      <c r="AL592" s="42"/>
    </row>
    <row r="593" spans="12:38">
      <c r="L593" s="42"/>
      <c r="M593" s="42"/>
      <c r="N593" s="42"/>
      <c r="O593" s="42"/>
      <c r="P593" s="42"/>
      <c r="Q593" s="42"/>
      <c r="R593" s="42"/>
      <c r="S593" s="42"/>
      <c r="T593" s="42"/>
      <c r="U593" s="42"/>
      <c r="V593" s="42"/>
      <c r="W593" s="42"/>
      <c r="AB593" s="42"/>
      <c r="AC593" s="42"/>
      <c r="AD593" s="42"/>
      <c r="AE593" s="42"/>
      <c r="AF593" s="42"/>
      <c r="AG593" s="42"/>
      <c r="AH593" s="42"/>
      <c r="AI593" s="42"/>
      <c r="AJ593" s="42"/>
      <c r="AK593" s="42"/>
      <c r="AL593" s="42"/>
    </row>
    <row r="594" spans="12:38">
      <c r="L594" s="42"/>
      <c r="M594" s="42"/>
      <c r="N594" s="42"/>
      <c r="O594" s="42"/>
      <c r="P594" s="42"/>
      <c r="Q594" s="42"/>
      <c r="R594" s="42"/>
      <c r="S594" s="42"/>
      <c r="T594" s="42"/>
      <c r="U594" s="42"/>
      <c r="V594" s="42"/>
      <c r="W594" s="42"/>
      <c r="AB594" s="42"/>
      <c r="AC594" s="42"/>
      <c r="AD594" s="42"/>
      <c r="AE594" s="42"/>
      <c r="AF594" s="42"/>
      <c r="AG594" s="42"/>
      <c r="AH594" s="42"/>
      <c r="AI594" s="42"/>
      <c r="AJ594" s="42"/>
      <c r="AK594" s="42"/>
      <c r="AL594" s="42"/>
    </row>
    <row r="595" spans="12:38">
      <c r="L595" s="42"/>
      <c r="M595" s="42"/>
      <c r="N595" s="42"/>
      <c r="O595" s="42"/>
      <c r="P595" s="42"/>
      <c r="Q595" s="42"/>
      <c r="R595" s="42"/>
      <c r="S595" s="42"/>
      <c r="T595" s="42"/>
      <c r="U595" s="42"/>
      <c r="V595" s="42"/>
      <c r="W595" s="42"/>
      <c r="AB595" s="42"/>
      <c r="AC595" s="42"/>
      <c r="AD595" s="42"/>
      <c r="AE595" s="42"/>
      <c r="AF595" s="42"/>
      <c r="AG595" s="42"/>
      <c r="AH595" s="42"/>
      <c r="AI595" s="42"/>
      <c r="AJ595" s="42"/>
      <c r="AK595" s="42"/>
      <c r="AL595" s="42"/>
    </row>
    <row r="596" spans="12:38">
      <c r="L596" s="42"/>
      <c r="M596" s="42"/>
      <c r="N596" s="42"/>
      <c r="O596" s="42"/>
      <c r="P596" s="42"/>
      <c r="Q596" s="42"/>
      <c r="R596" s="42"/>
      <c r="S596" s="42"/>
      <c r="T596" s="42"/>
      <c r="U596" s="42"/>
      <c r="V596" s="42"/>
      <c r="W596" s="42"/>
      <c r="AB596" s="42"/>
      <c r="AC596" s="42"/>
      <c r="AD596" s="42"/>
      <c r="AE596" s="42"/>
      <c r="AF596" s="42"/>
      <c r="AG596" s="42"/>
      <c r="AH596" s="42"/>
      <c r="AI596" s="42"/>
      <c r="AJ596" s="42"/>
      <c r="AK596" s="42"/>
      <c r="AL596" s="42"/>
    </row>
    <row r="597" spans="12:38">
      <c r="L597" s="42"/>
      <c r="M597" s="42"/>
      <c r="N597" s="42"/>
      <c r="O597" s="42"/>
      <c r="P597" s="42"/>
      <c r="Q597" s="42"/>
      <c r="R597" s="42"/>
      <c r="S597" s="42"/>
      <c r="T597" s="42"/>
      <c r="U597" s="42"/>
      <c r="V597" s="42"/>
      <c r="W597" s="42"/>
      <c r="AB597" s="42"/>
      <c r="AC597" s="42"/>
      <c r="AD597" s="42"/>
      <c r="AE597" s="42"/>
      <c r="AF597" s="42"/>
      <c r="AG597" s="42"/>
      <c r="AH597" s="42"/>
      <c r="AI597" s="42"/>
      <c r="AJ597" s="42"/>
      <c r="AK597" s="42"/>
      <c r="AL597" s="42"/>
    </row>
    <row r="598" spans="12:38">
      <c r="L598" s="42"/>
      <c r="M598" s="42"/>
      <c r="N598" s="42"/>
      <c r="O598" s="42"/>
      <c r="P598" s="42"/>
      <c r="Q598" s="42"/>
      <c r="R598" s="42"/>
      <c r="S598" s="42"/>
      <c r="T598" s="42"/>
      <c r="U598" s="42"/>
      <c r="V598" s="42"/>
      <c r="W598" s="42"/>
      <c r="AB598" s="42"/>
      <c r="AC598" s="42"/>
      <c r="AD598" s="42"/>
      <c r="AE598" s="42"/>
      <c r="AF598" s="42"/>
      <c r="AG598" s="42"/>
      <c r="AH598" s="42"/>
      <c r="AI598" s="42"/>
      <c r="AJ598" s="42"/>
      <c r="AK598" s="42"/>
      <c r="AL598" s="42"/>
    </row>
    <row r="599" spans="12:38">
      <c r="L599" s="42"/>
      <c r="M599" s="42"/>
      <c r="N599" s="42"/>
      <c r="O599" s="42"/>
      <c r="P599" s="42"/>
      <c r="Q599" s="42"/>
      <c r="R599" s="42"/>
      <c r="S599" s="42"/>
      <c r="T599" s="42"/>
      <c r="U599" s="42"/>
      <c r="V599" s="42"/>
      <c r="W599" s="42"/>
      <c r="AB599" s="42"/>
      <c r="AC599" s="42"/>
      <c r="AD599" s="42"/>
      <c r="AE599" s="42"/>
      <c r="AF599" s="42"/>
      <c r="AG599" s="42"/>
      <c r="AH599" s="42"/>
      <c r="AI599" s="42"/>
      <c r="AJ599" s="42"/>
      <c r="AK599" s="42"/>
      <c r="AL599" s="42"/>
    </row>
    <row r="600" spans="12:38">
      <c r="L600" s="42"/>
      <c r="M600" s="42"/>
      <c r="N600" s="42"/>
      <c r="O600" s="42"/>
      <c r="P600" s="42"/>
      <c r="Q600" s="42"/>
      <c r="R600" s="42"/>
      <c r="S600" s="42"/>
      <c r="T600" s="42"/>
      <c r="U600" s="42"/>
      <c r="V600" s="42"/>
      <c r="W600" s="42"/>
      <c r="AB600" s="42"/>
      <c r="AC600" s="42"/>
      <c r="AD600" s="42"/>
      <c r="AE600" s="42"/>
      <c r="AF600" s="42"/>
      <c r="AG600" s="42"/>
      <c r="AH600" s="42"/>
      <c r="AI600" s="42"/>
      <c r="AJ600" s="42"/>
      <c r="AK600" s="42"/>
      <c r="AL600" s="42"/>
    </row>
    <row r="601" spans="12:38">
      <c r="L601" s="42"/>
      <c r="M601" s="42"/>
      <c r="N601" s="42"/>
      <c r="O601" s="42"/>
      <c r="P601" s="42"/>
      <c r="Q601" s="42"/>
      <c r="R601" s="42"/>
      <c r="S601" s="42"/>
      <c r="T601" s="42"/>
      <c r="U601" s="42"/>
      <c r="V601" s="42"/>
      <c r="W601" s="42"/>
      <c r="AB601" s="42"/>
      <c r="AC601" s="42"/>
      <c r="AD601" s="42"/>
      <c r="AE601" s="42"/>
      <c r="AF601" s="42"/>
      <c r="AG601" s="42"/>
      <c r="AH601" s="42"/>
      <c r="AI601" s="42"/>
      <c r="AJ601" s="42"/>
      <c r="AK601" s="42"/>
      <c r="AL601" s="42"/>
    </row>
    <row r="602" spans="12:38">
      <c r="L602" s="42"/>
      <c r="M602" s="42"/>
      <c r="N602" s="42"/>
      <c r="O602" s="42"/>
      <c r="P602" s="42"/>
      <c r="Q602" s="42"/>
      <c r="R602" s="42"/>
      <c r="S602" s="42"/>
      <c r="T602" s="42"/>
      <c r="U602" s="42"/>
      <c r="V602" s="42"/>
      <c r="W602" s="42"/>
      <c r="AB602" s="42"/>
      <c r="AC602" s="42"/>
      <c r="AD602" s="42"/>
      <c r="AE602" s="42"/>
      <c r="AF602" s="42"/>
      <c r="AG602" s="42"/>
      <c r="AH602" s="42"/>
      <c r="AI602" s="42"/>
      <c r="AJ602" s="42"/>
      <c r="AK602" s="42"/>
      <c r="AL602" s="42"/>
    </row>
    <row r="603" spans="12:38">
      <c r="L603" s="42"/>
      <c r="M603" s="42"/>
      <c r="N603" s="42"/>
      <c r="O603" s="42"/>
      <c r="P603" s="42"/>
      <c r="Q603" s="42"/>
      <c r="R603" s="42"/>
      <c r="S603" s="42"/>
      <c r="T603" s="42"/>
      <c r="U603" s="42"/>
      <c r="V603" s="42"/>
      <c r="W603" s="42"/>
      <c r="AB603" s="42"/>
      <c r="AC603" s="42"/>
      <c r="AD603" s="42"/>
      <c r="AE603" s="42"/>
      <c r="AF603" s="42"/>
      <c r="AG603" s="42"/>
      <c r="AH603" s="42"/>
      <c r="AI603" s="42"/>
      <c r="AJ603" s="42"/>
      <c r="AK603" s="42"/>
      <c r="AL603" s="42"/>
    </row>
    <row r="604" spans="12:38">
      <c r="L604" s="42"/>
      <c r="M604" s="42"/>
      <c r="N604" s="42"/>
      <c r="O604" s="42"/>
      <c r="P604" s="42"/>
      <c r="Q604" s="42"/>
      <c r="R604" s="42"/>
      <c r="S604" s="42"/>
      <c r="T604" s="42"/>
      <c r="U604" s="42"/>
      <c r="V604" s="42"/>
      <c r="W604" s="42"/>
      <c r="AB604" s="42"/>
      <c r="AC604" s="42"/>
      <c r="AD604" s="42"/>
      <c r="AE604" s="42"/>
      <c r="AF604" s="42"/>
      <c r="AG604" s="42"/>
      <c r="AH604" s="42"/>
      <c r="AI604" s="42"/>
      <c r="AJ604" s="42"/>
      <c r="AK604" s="42"/>
      <c r="AL604" s="42"/>
    </row>
    <row r="605" spans="12:38">
      <c r="L605" s="42"/>
      <c r="M605" s="42"/>
      <c r="N605" s="42"/>
      <c r="O605" s="42"/>
      <c r="P605" s="42"/>
      <c r="Q605" s="42"/>
      <c r="R605" s="42"/>
      <c r="S605" s="42"/>
      <c r="T605" s="42"/>
      <c r="U605" s="42"/>
      <c r="V605" s="42"/>
      <c r="W605" s="42"/>
      <c r="AB605" s="42"/>
      <c r="AC605" s="42"/>
      <c r="AD605" s="42"/>
      <c r="AE605" s="42"/>
      <c r="AF605" s="42"/>
      <c r="AG605" s="42"/>
      <c r="AH605" s="42"/>
      <c r="AI605" s="42"/>
      <c r="AJ605" s="42"/>
      <c r="AK605" s="42"/>
      <c r="AL605" s="42"/>
    </row>
    <row r="606" spans="12:38">
      <c r="L606" s="42"/>
      <c r="M606" s="42"/>
      <c r="N606" s="42"/>
      <c r="O606" s="42"/>
      <c r="P606" s="42"/>
      <c r="Q606" s="42"/>
      <c r="R606" s="42"/>
      <c r="S606" s="42"/>
      <c r="T606" s="42"/>
      <c r="U606" s="42"/>
      <c r="V606" s="42"/>
      <c r="W606" s="42"/>
      <c r="AB606" s="42"/>
      <c r="AC606" s="42"/>
      <c r="AD606" s="42"/>
      <c r="AE606" s="42"/>
      <c r="AF606" s="42"/>
      <c r="AG606" s="42"/>
      <c r="AH606" s="42"/>
      <c r="AI606" s="42"/>
      <c r="AJ606" s="42"/>
      <c r="AK606" s="42"/>
      <c r="AL606" s="42"/>
    </row>
    <row r="607" spans="12:38">
      <c r="L607" s="42"/>
      <c r="M607" s="42"/>
      <c r="N607" s="42"/>
      <c r="O607" s="42"/>
      <c r="P607" s="42"/>
      <c r="Q607" s="42"/>
      <c r="R607" s="42"/>
      <c r="S607" s="42"/>
      <c r="T607" s="42"/>
      <c r="U607" s="42"/>
      <c r="V607" s="42"/>
      <c r="W607" s="42"/>
      <c r="AB607" s="42"/>
      <c r="AC607" s="42"/>
      <c r="AD607" s="42"/>
      <c r="AE607" s="42"/>
      <c r="AF607" s="42"/>
      <c r="AG607" s="42"/>
      <c r="AH607" s="42"/>
      <c r="AI607" s="42"/>
      <c r="AJ607" s="42"/>
      <c r="AK607" s="42"/>
      <c r="AL607" s="42"/>
    </row>
    <row r="608" spans="12:38">
      <c r="L608" s="42"/>
      <c r="M608" s="42"/>
      <c r="N608" s="42"/>
      <c r="O608" s="42"/>
      <c r="P608" s="42"/>
      <c r="Q608" s="42"/>
      <c r="R608" s="42"/>
      <c r="S608" s="42"/>
      <c r="T608" s="42"/>
      <c r="U608" s="42"/>
      <c r="V608" s="42"/>
      <c r="W608" s="42"/>
      <c r="AB608" s="42"/>
      <c r="AC608" s="42"/>
      <c r="AD608" s="42"/>
      <c r="AE608" s="42"/>
      <c r="AF608" s="42"/>
      <c r="AG608" s="42"/>
      <c r="AH608" s="42"/>
      <c r="AI608" s="42"/>
      <c r="AJ608" s="42"/>
      <c r="AK608" s="42"/>
      <c r="AL608" s="42"/>
    </row>
    <row r="609" spans="12:38">
      <c r="L609" s="42"/>
      <c r="M609" s="42"/>
      <c r="N609" s="42"/>
      <c r="O609" s="42"/>
      <c r="P609" s="42"/>
      <c r="Q609" s="42"/>
      <c r="R609" s="42"/>
      <c r="S609" s="42"/>
      <c r="T609" s="42"/>
      <c r="U609" s="42"/>
      <c r="V609" s="42"/>
      <c r="W609" s="42"/>
      <c r="AB609" s="42"/>
      <c r="AC609" s="42"/>
      <c r="AD609" s="42"/>
      <c r="AE609" s="42"/>
      <c r="AF609" s="42"/>
      <c r="AG609" s="42"/>
      <c r="AH609" s="42"/>
      <c r="AI609" s="42"/>
      <c r="AJ609" s="42"/>
      <c r="AK609" s="42"/>
      <c r="AL609" s="42"/>
    </row>
    <row r="610" spans="12:38">
      <c r="L610" s="42"/>
      <c r="M610" s="42"/>
      <c r="N610" s="42"/>
      <c r="O610" s="42"/>
      <c r="P610" s="42"/>
      <c r="Q610" s="42"/>
      <c r="R610" s="42"/>
      <c r="S610" s="42"/>
      <c r="T610" s="42"/>
      <c r="U610" s="42"/>
      <c r="V610" s="42"/>
      <c r="W610" s="42"/>
      <c r="AB610" s="42"/>
      <c r="AC610" s="42"/>
      <c r="AD610" s="42"/>
      <c r="AE610" s="42"/>
      <c r="AF610" s="42"/>
      <c r="AG610" s="42"/>
      <c r="AH610" s="42"/>
      <c r="AI610" s="42"/>
      <c r="AJ610" s="42"/>
      <c r="AK610" s="42"/>
      <c r="AL610" s="42"/>
    </row>
    <row r="611" spans="12:38">
      <c r="L611" s="42"/>
      <c r="M611" s="42"/>
      <c r="N611" s="42"/>
      <c r="O611" s="42"/>
      <c r="P611" s="42"/>
      <c r="Q611" s="42"/>
      <c r="R611" s="42"/>
      <c r="S611" s="42"/>
      <c r="T611" s="42"/>
      <c r="U611" s="42"/>
      <c r="V611" s="42"/>
      <c r="W611" s="42"/>
      <c r="AB611" s="42"/>
      <c r="AC611" s="42"/>
      <c r="AD611" s="42"/>
      <c r="AE611" s="42"/>
      <c r="AF611" s="42"/>
      <c r="AG611" s="42"/>
      <c r="AH611" s="42"/>
      <c r="AI611" s="42"/>
      <c r="AJ611" s="42"/>
      <c r="AK611" s="42"/>
      <c r="AL611" s="42"/>
    </row>
    <row r="612" spans="12:38">
      <c r="L612" s="42"/>
      <c r="M612" s="42"/>
      <c r="N612" s="42"/>
      <c r="O612" s="42"/>
      <c r="P612" s="42"/>
      <c r="Q612" s="42"/>
      <c r="R612" s="42"/>
      <c r="S612" s="42"/>
      <c r="T612" s="42"/>
      <c r="U612" s="42"/>
      <c r="V612" s="42"/>
      <c r="W612" s="42"/>
      <c r="AB612" s="42"/>
      <c r="AC612" s="42"/>
      <c r="AD612" s="42"/>
      <c r="AE612" s="42"/>
      <c r="AF612" s="42"/>
      <c r="AG612" s="42"/>
      <c r="AH612" s="42"/>
      <c r="AI612" s="42"/>
      <c r="AJ612" s="42"/>
      <c r="AK612" s="42"/>
      <c r="AL612" s="42"/>
    </row>
    <row r="613" spans="12:38">
      <c r="L613" s="42"/>
      <c r="M613" s="42"/>
      <c r="N613" s="42"/>
      <c r="O613" s="42"/>
      <c r="P613" s="42"/>
      <c r="Q613" s="42"/>
      <c r="R613" s="42"/>
      <c r="S613" s="42"/>
      <c r="T613" s="42"/>
      <c r="U613" s="42"/>
      <c r="V613" s="42"/>
      <c r="W613" s="42"/>
      <c r="AB613" s="42"/>
      <c r="AC613" s="42"/>
      <c r="AD613" s="42"/>
      <c r="AE613" s="42"/>
      <c r="AF613" s="42"/>
      <c r="AG613" s="42"/>
      <c r="AH613" s="42"/>
      <c r="AI613" s="42"/>
      <c r="AJ613" s="42"/>
      <c r="AK613" s="42"/>
      <c r="AL613" s="42"/>
    </row>
    <row r="614" spans="12:38">
      <c r="L614" s="42"/>
      <c r="M614" s="42"/>
      <c r="N614" s="42"/>
      <c r="O614" s="42"/>
      <c r="P614" s="42"/>
      <c r="Q614" s="42"/>
      <c r="R614" s="42"/>
      <c r="S614" s="42"/>
      <c r="T614" s="42"/>
      <c r="U614" s="42"/>
      <c r="V614" s="42"/>
      <c r="W614" s="42"/>
      <c r="AB614" s="42"/>
      <c r="AC614" s="42"/>
      <c r="AD614" s="42"/>
      <c r="AE614" s="42"/>
      <c r="AF614" s="42"/>
      <c r="AG614" s="42"/>
      <c r="AH614" s="42"/>
      <c r="AI614" s="42"/>
      <c r="AJ614" s="42"/>
      <c r="AK614" s="42"/>
      <c r="AL614" s="42"/>
    </row>
    <row r="615" spans="12:38">
      <c r="L615" s="42"/>
      <c r="M615" s="42"/>
      <c r="N615" s="42"/>
      <c r="O615" s="42"/>
      <c r="P615" s="42"/>
      <c r="Q615" s="42"/>
      <c r="R615" s="42"/>
      <c r="S615" s="42"/>
      <c r="T615" s="42"/>
      <c r="U615" s="42"/>
      <c r="V615" s="42"/>
      <c r="W615" s="42"/>
      <c r="AB615" s="42"/>
      <c r="AC615" s="42"/>
      <c r="AD615" s="42"/>
      <c r="AE615" s="42"/>
      <c r="AF615" s="42"/>
      <c r="AG615" s="42"/>
      <c r="AH615" s="42"/>
      <c r="AI615" s="42"/>
      <c r="AJ615" s="42"/>
      <c r="AK615" s="42"/>
      <c r="AL615" s="42"/>
    </row>
    <row r="616" spans="12:38">
      <c r="L616" s="42"/>
      <c r="M616" s="42"/>
      <c r="N616" s="42"/>
      <c r="O616" s="42"/>
      <c r="P616" s="42"/>
      <c r="Q616" s="42"/>
      <c r="R616" s="42"/>
      <c r="S616" s="42"/>
      <c r="T616" s="42"/>
      <c r="U616" s="42"/>
      <c r="V616" s="42"/>
      <c r="W616" s="42"/>
      <c r="AB616" s="42"/>
      <c r="AC616" s="42"/>
      <c r="AD616" s="42"/>
      <c r="AE616" s="42"/>
      <c r="AF616" s="42"/>
      <c r="AG616" s="42"/>
      <c r="AH616" s="42"/>
      <c r="AI616" s="42"/>
      <c r="AJ616" s="42"/>
      <c r="AK616" s="42"/>
      <c r="AL616" s="42"/>
    </row>
    <row r="617" spans="12:38">
      <c r="L617" s="42"/>
      <c r="M617" s="42"/>
      <c r="N617" s="42"/>
      <c r="O617" s="42"/>
      <c r="P617" s="42"/>
      <c r="Q617" s="42"/>
      <c r="R617" s="42"/>
      <c r="S617" s="42"/>
      <c r="T617" s="42"/>
      <c r="U617" s="42"/>
      <c r="V617" s="42"/>
      <c r="W617" s="42"/>
      <c r="AB617" s="42"/>
      <c r="AC617" s="42"/>
      <c r="AD617" s="42"/>
      <c r="AE617" s="42"/>
      <c r="AF617" s="42"/>
      <c r="AG617" s="42"/>
      <c r="AH617" s="42"/>
      <c r="AI617" s="42"/>
      <c r="AJ617" s="42"/>
      <c r="AK617" s="42"/>
      <c r="AL617" s="42"/>
    </row>
    <row r="618" spans="12:38">
      <c r="L618" s="42"/>
      <c r="M618" s="42"/>
      <c r="N618" s="42"/>
      <c r="O618" s="42"/>
      <c r="P618" s="42"/>
      <c r="Q618" s="42"/>
      <c r="R618" s="42"/>
      <c r="S618" s="42"/>
      <c r="T618" s="42"/>
      <c r="U618" s="42"/>
      <c r="V618" s="42"/>
      <c r="W618" s="42"/>
      <c r="AB618" s="42"/>
      <c r="AC618" s="42"/>
      <c r="AD618" s="42"/>
      <c r="AE618" s="42"/>
      <c r="AF618" s="42"/>
      <c r="AG618" s="42"/>
      <c r="AH618" s="42"/>
      <c r="AI618" s="42"/>
      <c r="AJ618" s="42"/>
      <c r="AK618" s="42"/>
      <c r="AL618" s="42"/>
    </row>
    <row r="619" spans="12:38">
      <c r="L619" s="42"/>
      <c r="M619" s="42"/>
      <c r="N619" s="42"/>
      <c r="O619" s="42"/>
      <c r="P619" s="42"/>
      <c r="Q619" s="42"/>
      <c r="R619" s="42"/>
      <c r="S619" s="42"/>
      <c r="T619" s="42"/>
      <c r="U619" s="42"/>
      <c r="V619" s="42"/>
      <c r="W619" s="42"/>
      <c r="AB619" s="42"/>
      <c r="AC619" s="42"/>
      <c r="AD619" s="42"/>
      <c r="AE619" s="42"/>
      <c r="AF619" s="42"/>
      <c r="AG619" s="42"/>
      <c r="AH619" s="42"/>
      <c r="AI619" s="42"/>
      <c r="AJ619" s="42"/>
      <c r="AK619" s="42"/>
      <c r="AL619" s="42"/>
    </row>
    <row r="620" spans="12:38">
      <c r="L620" s="42"/>
      <c r="M620" s="42"/>
      <c r="N620" s="42"/>
      <c r="O620" s="42"/>
      <c r="P620" s="42"/>
      <c r="Q620" s="42"/>
      <c r="R620" s="42"/>
      <c r="S620" s="42"/>
      <c r="T620" s="42"/>
      <c r="U620" s="42"/>
      <c r="V620" s="42"/>
      <c r="W620" s="42"/>
      <c r="AB620" s="42"/>
      <c r="AC620" s="42"/>
      <c r="AD620" s="42"/>
      <c r="AE620" s="42"/>
      <c r="AF620" s="42"/>
      <c r="AG620" s="42"/>
      <c r="AH620" s="42"/>
      <c r="AI620" s="42"/>
      <c r="AJ620" s="42"/>
      <c r="AK620" s="42"/>
      <c r="AL620" s="42"/>
    </row>
    <row r="621" spans="12:38">
      <c r="L621" s="42"/>
      <c r="M621" s="42"/>
      <c r="N621" s="42"/>
      <c r="O621" s="42"/>
      <c r="P621" s="42"/>
      <c r="Q621" s="42"/>
      <c r="R621" s="42"/>
      <c r="S621" s="42"/>
      <c r="T621" s="42"/>
      <c r="U621" s="42"/>
      <c r="V621" s="42"/>
      <c r="W621" s="42"/>
      <c r="AB621" s="42"/>
      <c r="AC621" s="42"/>
      <c r="AD621" s="42"/>
      <c r="AE621" s="42"/>
      <c r="AF621" s="42"/>
      <c r="AG621" s="42"/>
      <c r="AH621" s="42"/>
      <c r="AI621" s="42"/>
      <c r="AJ621" s="42"/>
      <c r="AK621" s="42"/>
      <c r="AL621" s="42"/>
    </row>
    <row r="622" spans="12:38">
      <c r="L622" s="42"/>
      <c r="M622" s="42"/>
      <c r="N622" s="42"/>
      <c r="O622" s="42"/>
      <c r="P622" s="42"/>
      <c r="Q622" s="42"/>
      <c r="R622" s="42"/>
      <c r="S622" s="42"/>
      <c r="T622" s="42"/>
      <c r="U622" s="42"/>
      <c r="V622" s="42"/>
      <c r="W622" s="42"/>
      <c r="AB622" s="42"/>
      <c r="AC622" s="42"/>
      <c r="AD622" s="42"/>
      <c r="AE622" s="42"/>
      <c r="AF622" s="42"/>
      <c r="AG622" s="42"/>
      <c r="AH622" s="42"/>
      <c r="AI622" s="42"/>
      <c r="AJ622" s="42"/>
      <c r="AK622" s="42"/>
      <c r="AL622" s="42"/>
    </row>
    <row r="623" spans="12:38">
      <c r="L623" s="42"/>
      <c r="M623" s="42"/>
      <c r="N623" s="42"/>
      <c r="O623" s="42"/>
      <c r="P623" s="42"/>
      <c r="Q623" s="42"/>
      <c r="R623" s="42"/>
      <c r="S623" s="42"/>
      <c r="T623" s="42"/>
      <c r="U623" s="42"/>
      <c r="V623" s="42"/>
      <c r="W623" s="42"/>
      <c r="AB623" s="42"/>
      <c r="AC623" s="42"/>
      <c r="AD623" s="42"/>
      <c r="AE623" s="42"/>
      <c r="AF623" s="42"/>
      <c r="AG623" s="42"/>
      <c r="AH623" s="42"/>
      <c r="AI623" s="42"/>
      <c r="AJ623" s="42"/>
      <c r="AK623" s="42"/>
      <c r="AL623" s="42"/>
    </row>
    <row r="624" spans="12:38">
      <c r="L624" s="42"/>
      <c r="M624" s="42"/>
      <c r="N624" s="42"/>
      <c r="O624" s="42"/>
      <c r="P624" s="42"/>
      <c r="Q624" s="42"/>
      <c r="R624" s="42"/>
      <c r="S624" s="42"/>
      <c r="T624" s="42"/>
      <c r="U624" s="42"/>
      <c r="V624" s="42"/>
      <c r="W624" s="42"/>
      <c r="AB624" s="42"/>
      <c r="AC624" s="42"/>
      <c r="AD624" s="42"/>
      <c r="AE624" s="42"/>
      <c r="AF624" s="42"/>
      <c r="AG624" s="42"/>
      <c r="AH624" s="42"/>
      <c r="AI624" s="42"/>
      <c r="AJ624" s="42"/>
      <c r="AK624" s="42"/>
      <c r="AL624" s="42"/>
    </row>
    <row r="625" spans="12:38">
      <c r="L625" s="42"/>
      <c r="M625" s="42"/>
      <c r="N625" s="42"/>
      <c r="O625" s="42"/>
      <c r="P625" s="42"/>
      <c r="Q625" s="42"/>
      <c r="R625" s="42"/>
      <c r="S625" s="42"/>
      <c r="T625" s="42"/>
      <c r="U625" s="42"/>
      <c r="V625" s="42"/>
      <c r="W625" s="42"/>
      <c r="AB625" s="42"/>
      <c r="AC625" s="42"/>
      <c r="AD625" s="42"/>
      <c r="AE625" s="42"/>
      <c r="AF625" s="42"/>
      <c r="AG625" s="42"/>
      <c r="AH625" s="42"/>
      <c r="AI625" s="42"/>
      <c r="AJ625" s="42"/>
      <c r="AK625" s="42"/>
      <c r="AL625" s="42"/>
    </row>
    <row r="626" spans="12:38">
      <c r="L626" s="42"/>
      <c r="M626" s="42"/>
      <c r="N626" s="42"/>
      <c r="O626" s="42"/>
      <c r="P626" s="42"/>
      <c r="Q626" s="42"/>
      <c r="R626" s="42"/>
      <c r="S626" s="42"/>
      <c r="T626" s="42"/>
      <c r="U626" s="42"/>
      <c r="V626" s="42"/>
      <c r="W626" s="42"/>
      <c r="AB626" s="42"/>
      <c r="AC626" s="42"/>
      <c r="AD626" s="42"/>
      <c r="AE626" s="42"/>
      <c r="AF626" s="42"/>
      <c r="AG626" s="42"/>
      <c r="AH626" s="42"/>
      <c r="AI626" s="42"/>
      <c r="AJ626" s="42"/>
      <c r="AK626" s="42"/>
      <c r="AL626" s="42"/>
    </row>
    <row r="627" spans="12:38">
      <c r="L627" s="42"/>
      <c r="M627" s="42"/>
      <c r="N627" s="42"/>
      <c r="O627" s="42"/>
      <c r="P627" s="42"/>
      <c r="Q627" s="42"/>
      <c r="R627" s="42"/>
      <c r="S627" s="42"/>
      <c r="T627" s="42"/>
      <c r="U627" s="42"/>
      <c r="V627" s="42"/>
      <c r="W627" s="42"/>
      <c r="AB627" s="42"/>
      <c r="AC627" s="42"/>
      <c r="AD627" s="42"/>
      <c r="AE627" s="42"/>
      <c r="AF627" s="42"/>
      <c r="AG627" s="42"/>
      <c r="AH627" s="42"/>
      <c r="AI627" s="42"/>
      <c r="AJ627" s="42"/>
      <c r="AK627" s="42"/>
      <c r="AL627" s="42"/>
    </row>
    <row r="628" spans="12:38">
      <c r="L628" s="42"/>
      <c r="M628" s="42"/>
      <c r="N628" s="42"/>
      <c r="O628" s="42"/>
      <c r="P628" s="42"/>
      <c r="Q628" s="42"/>
      <c r="R628" s="42"/>
      <c r="S628" s="42"/>
      <c r="T628" s="42"/>
      <c r="U628" s="42"/>
      <c r="V628" s="42"/>
      <c r="W628" s="42"/>
      <c r="AB628" s="42"/>
      <c r="AC628" s="42"/>
      <c r="AD628" s="42"/>
      <c r="AE628" s="42"/>
      <c r="AF628" s="42"/>
      <c r="AG628" s="42"/>
      <c r="AH628" s="42"/>
      <c r="AI628" s="42"/>
      <c r="AJ628" s="42"/>
      <c r="AK628" s="42"/>
      <c r="AL628" s="42"/>
    </row>
    <row r="629" spans="12:38">
      <c r="L629" s="42"/>
      <c r="M629" s="42"/>
      <c r="N629" s="42"/>
      <c r="O629" s="42"/>
      <c r="P629" s="42"/>
      <c r="Q629" s="42"/>
      <c r="R629" s="42"/>
      <c r="S629" s="42"/>
      <c r="T629" s="42"/>
      <c r="U629" s="42"/>
      <c r="V629" s="42"/>
      <c r="W629" s="42"/>
      <c r="AB629" s="42"/>
      <c r="AC629" s="42"/>
      <c r="AD629" s="42"/>
      <c r="AE629" s="42"/>
      <c r="AF629" s="42"/>
      <c r="AG629" s="42"/>
      <c r="AH629" s="42"/>
      <c r="AI629" s="42"/>
      <c r="AJ629" s="42"/>
      <c r="AK629" s="42"/>
      <c r="AL629" s="42"/>
    </row>
    <row r="630" spans="12:38">
      <c r="L630" s="42"/>
      <c r="M630" s="42"/>
      <c r="N630" s="42"/>
      <c r="O630" s="42"/>
      <c r="P630" s="42"/>
      <c r="Q630" s="42"/>
      <c r="R630" s="42"/>
      <c r="S630" s="42"/>
      <c r="T630" s="42"/>
      <c r="U630" s="42"/>
      <c r="V630" s="42"/>
      <c r="W630" s="42"/>
      <c r="AB630" s="42"/>
      <c r="AC630" s="42"/>
      <c r="AD630" s="42"/>
      <c r="AE630" s="42"/>
      <c r="AF630" s="42"/>
      <c r="AG630" s="42"/>
      <c r="AH630" s="42"/>
      <c r="AI630" s="42"/>
      <c r="AJ630" s="42"/>
      <c r="AK630" s="42"/>
      <c r="AL630" s="42"/>
    </row>
    <row r="631" spans="12:38">
      <c r="L631" s="42"/>
      <c r="M631" s="42"/>
      <c r="N631" s="42"/>
      <c r="O631" s="42"/>
      <c r="P631" s="42"/>
      <c r="Q631" s="42"/>
      <c r="R631" s="42"/>
      <c r="S631" s="42"/>
      <c r="T631" s="42"/>
      <c r="U631" s="42"/>
      <c r="V631" s="42"/>
      <c r="W631" s="42"/>
      <c r="AB631" s="42"/>
      <c r="AC631" s="42"/>
      <c r="AD631" s="42"/>
      <c r="AE631" s="42"/>
      <c r="AF631" s="42"/>
      <c r="AG631" s="42"/>
      <c r="AH631" s="42"/>
      <c r="AI631" s="42"/>
      <c r="AJ631" s="42"/>
      <c r="AK631" s="42"/>
      <c r="AL631" s="42"/>
    </row>
    <row r="632" spans="12:38">
      <c r="L632" s="42"/>
      <c r="M632" s="42"/>
      <c r="N632" s="42"/>
      <c r="O632" s="42"/>
      <c r="P632" s="42"/>
      <c r="Q632" s="42"/>
      <c r="R632" s="42"/>
      <c r="S632" s="42"/>
      <c r="T632" s="42"/>
      <c r="U632" s="42"/>
      <c r="V632" s="42"/>
      <c r="W632" s="42"/>
      <c r="AB632" s="42"/>
      <c r="AC632" s="42"/>
      <c r="AD632" s="42"/>
      <c r="AE632" s="42"/>
      <c r="AF632" s="42"/>
      <c r="AG632" s="42"/>
      <c r="AH632" s="42"/>
      <c r="AI632" s="42"/>
      <c r="AJ632" s="42"/>
      <c r="AK632" s="42"/>
      <c r="AL632" s="42"/>
    </row>
    <row r="633" spans="12:38">
      <c r="L633" s="42"/>
      <c r="M633" s="42"/>
      <c r="N633" s="42"/>
      <c r="O633" s="42"/>
      <c r="P633" s="42"/>
      <c r="Q633" s="42"/>
      <c r="R633" s="42"/>
      <c r="S633" s="42"/>
      <c r="T633" s="42"/>
      <c r="U633" s="42"/>
      <c r="V633" s="42"/>
      <c r="W633" s="42"/>
      <c r="AB633" s="42"/>
      <c r="AC633" s="42"/>
      <c r="AD633" s="42"/>
      <c r="AE633" s="42"/>
      <c r="AF633" s="42"/>
      <c r="AG633" s="42"/>
      <c r="AH633" s="42"/>
      <c r="AI633" s="42"/>
      <c r="AJ633" s="42"/>
      <c r="AK633" s="42"/>
      <c r="AL633" s="42"/>
    </row>
    <row r="634" spans="12:38">
      <c r="L634" s="42"/>
      <c r="M634" s="42"/>
      <c r="N634" s="42"/>
      <c r="O634" s="42"/>
      <c r="P634" s="42"/>
      <c r="Q634" s="42"/>
      <c r="R634" s="42"/>
      <c r="S634" s="42"/>
      <c r="T634" s="42"/>
      <c r="U634" s="42"/>
      <c r="V634" s="42"/>
      <c r="W634" s="42"/>
      <c r="AB634" s="42"/>
      <c r="AC634" s="42"/>
      <c r="AD634" s="42"/>
      <c r="AE634" s="42"/>
      <c r="AF634" s="42"/>
      <c r="AG634" s="42"/>
      <c r="AH634" s="42"/>
      <c r="AI634" s="42"/>
      <c r="AJ634" s="42"/>
      <c r="AK634" s="42"/>
      <c r="AL634" s="42"/>
    </row>
    <row r="635" spans="12:38">
      <c r="L635" s="42"/>
      <c r="M635" s="42"/>
      <c r="N635" s="42"/>
      <c r="O635" s="42"/>
      <c r="P635" s="42"/>
      <c r="Q635" s="42"/>
      <c r="R635" s="42"/>
      <c r="S635" s="42"/>
      <c r="T635" s="42"/>
      <c r="U635" s="42"/>
      <c r="V635" s="42"/>
      <c r="W635" s="42"/>
      <c r="AB635" s="42"/>
      <c r="AC635" s="42"/>
      <c r="AD635" s="42"/>
      <c r="AE635" s="42"/>
      <c r="AF635" s="42"/>
      <c r="AG635" s="42"/>
      <c r="AH635" s="42"/>
      <c r="AI635" s="42"/>
      <c r="AJ635" s="42"/>
      <c r="AK635" s="42"/>
      <c r="AL635" s="42"/>
    </row>
    <row r="636" spans="12:38">
      <c r="L636" s="42"/>
      <c r="M636" s="42"/>
      <c r="N636" s="42"/>
      <c r="O636" s="42"/>
      <c r="P636" s="42"/>
      <c r="Q636" s="42"/>
      <c r="R636" s="42"/>
      <c r="S636" s="42"/>
      <c r="T636" s="42"/>
      <c r="U636" s="42"/>
      <c r="V636" s="42"/>
      <c r="W636" s="42"/>
      <c r="AB636" s="42"/>
      <c r="AC636" s="42"/>
      <c r="AD636" s="42"/>
      <c r="AE636" s="42"/>
      <c r="AF636" s="42"/>
      <c r="AG636" s="42"/>
      <c r="AH636" s="42"/>
      <c r="AI636" s="42"/>
      <c r="AJ636" s="42"/>
      <c r="AK636" s="42"/>
      <c r="AL636" s="42"/>
    </row>
    <row r="637" spans="12:38">
      <c r="L637" s="42"/>
      <c r="M637" s="42"/>
      <c r="N637" s="42"/>
      <c r="O637" s="42"/>
      <c r="P637" s="42"/>
      <c r="Q637" s="42"/>
      <c r="R637" s="42"/>
      <c r="S637" s="42"/>
      <c r="T637" s="42"/>
      <c r="U637" s="42"/>
      <c r="V637" s="42"/>
      <c r="W637" s="42"/>
      <c r="AB637" s="42"/>
      <c r="AC637" s="42"/>
      <c r="AD637" s="42"/>
      <c r="AE637" s="42"/>
      <c r="AF637" s="42"/>
      <c r="AG637" s="42"/>
      <c r="AH637" s="42"/>
      <c r="AI637" s="42"/>
      <c r="AJ637" s="42"/>
      <c r="AK637" s="42"/>
      <c r="AL637" s="42"/>
    </row>
    <row r="638" spans="12:38">
      <c r="L638" s="42"/>
      <c r="M638" s="42"/>
      <c r="N638" s="42"/>
      <c r="O638" s="42"/>
      <c r="P638" s="42"/>
      <c r="Q638" s="42"/>
      <c r="R638" s="42"/>
      <c r="S638" s="42"/>
      <c r="T638" s="42"/>
      <c r="U638" s="42"/>
      <c r="V638" s="42"/>
      <c r="W638" s="42"/>
      <c r="AB638" s="42"/>
      <c r="AC638" s="42"/>
      <c r="AD638" s="42"/>
      <c r="AE638" s="42"/>
      <c r="AF638" s="42"/>
      <c r="AG638" s="42"/>
      <c r="AH638" s="42"/>
      <c r="AI638" s="42"/>
      <c r="AJ638" s="42"/>
      <c r="AK638" s="42"/>
      <c r="AL638" s="42"/>
    </row>
    <row r="639" spans="12:38">
      <c r="L639" s="42"/>
      <c r="M639" s="42"/>
      <c r="N639" s="42"/>
      <c r="O639" s="42"/>
      <c r="P639" s="42"/>
      <c r="Q639" s="42"/>
      <c r="R639" s="42"/>
      <c r="S639" s="42"/>
      <c r="T639" s="42"/>
      <c r="U639" s="42"/>
      <c r="V639" s="42"/>
      <c r="W639" s="42"/>
      <c r="AB639" s="42"/>
      <c r="AC639" s="42"/>
      <c r="AD639" s="42"/>
      <c r="AE639" s="42"/>
      <c r="AF639" s="42"/>
      <c r="AG639" s="42"/>
      <c r="AH639" s="42"/>
      <c r="AI639" s="42"/>
      <c r="AJ639" s="42"/>
      <c r="AK639" s="42"/>
      <c r="AL639" s="42"/>
    </row>
    <row r="640" spans="12:38">
      <c r="L640" s="42"/>
      <c r="M640" s="42"/>
      <c r="N640" s="42"/>
      <c r="O640" s="42"/>
      <c r="P640" s="42"/>
      <c r="Q640" s="42"/>
      <c r="R640" s="42"/>
      <c r="S640" s="42"/>
      <c r="T640" s="42"/>
      <c r="U640" s="42"/>
      <c r="V640" s="42"/>
      <c r="W640" s="42"/>
      <c r="AB640" s="42"/>
      <c r="AC640" s="42"/>
      <c r="AD640" s="42"/>
      <c r="AE640" s="42"/>
      <c r="AF640" s="42"/>
      <c r="AG640" s="42"/>
      <c r="AH640" s="42"/>
      <c r="AI640" s="42"/>
      <c r="AJ640" s="42"/>
      <c r="AK640" s="42"/>
      <c r="AL640" s="42"/>
    </row>
    <row r="641" spans="12:38">
      <c r="L641" s="42"/>
      <c r="M641" s="42"/>
      <c r="N641" s="42"/>
      <c r="O641" s="42"/>
      <c r="P641" s="42"/>
      <c r="Q641" s="42"/>
      <c r="R641" s="42"/>
      <c r="S641" s="42"/>
      <c r="T641" s="42"/>
      <c r="U641" s="42"/>
      <c r="V641" s="42"/>
      <c r="W641" s="42"/>
      <c r="AB641" s="42"/>
      <c r="AC641" s="42"/>
      <c r="AD641" s="42"/>
      <c r="AE641" s="42"/>
      <c r="AF641" s="42"/>
      <c r="AG641" s="42"/>
      <c r="AH641" s="42"/>
      <c r="AI641" s="42"/>
      <c r="AJ641" s="42"/>
      <c r="AK641" s="42"/>
      <c r="AL641" s="42"/>
    </row>
    <row r="642" spans="12:38">
      <c r="L642" s="42"/>
      <c r="M642" s="42"/>
      <c r="N642" s="42"/>
      <c r="O642" s="42"/>
      <c r="P642" s="42"/>
      <c r="Q642" s="42"/>
      <c r="R642" s="42"/>
      <c r="S642" s="42"/>
      <c r="T642" s="42"/>
      <c r="U642" s="42"/>
      <c r="V642" s="42"/>
      <c r="W642" s="42"/>
      <c r="AB642" s="42"/>
      <c r="AC642" s="42"/>
      <c r="AD642" s="42"/>
      <c r="AE642" s="42"/>
      <c r="AF642" s="42"/>
      <c r="AG642" s="42"/>
      <c r="AH642" s="42"/>
      <c r="AI642" s="42"/>
      <c r="AJ642" s="42"/>
      <c r="AK642" s="42"/>
      <c r="AL642" s="42"/>
    </row>
    <row r="643" spans="12:38">
      <c r="L643" s="42"/>
      <c r="M643" s="42"/>
      <c r="N643" s="42"/>
      <c r="O643" s="42"/>
      <c r="P643" s="42"/>
      <c r="Q643" s="42"/>
      <c r="R643" s="42"/>
      <c r="S643" s="42"/>
      <c r="T643" s="42"/>
      <c r="U643" s="42"/>
      <c r="V643" s="42"/>
      <c r="W643" s="42"/>
      <c r="AB643" s="42"/>
      <c r="AC643" s="42"/>
      <c r="AD643" s="42"/>
      <c r="AE643" s="42"/>
      <c r="AF643" s="42"/>
      <c r="AG643" s="42"/>
      <c r="AH643" s="42"/>
      <c r="AI643" s="42"/>
      <c r="AJ643" s="42"/>
      <c r="AK643" s="42"/>
      <c r="AL643" s="42"/>
    </row>
    <row r="644" spans="12:38">
      <c r="L644" s="42"/>
      <c r="M644" s="42"/>
      <c r="N644" s="42"/>
      <c r="O644" s="42"/>
      <c r="P644" s="42"/>
      <c r="Q644" s="42"/>
      <c r="R644" s="42"/>
      <c r="S644" s="42"/>
      <c r="T644" s="42"/>
      <c r="U644" s="42"/>
      <c r="V644" s="42"/>
      <c r="W644" s="42"/>
      <c r="AB644" s="42"/>
      <c r="AC644" s="42"/>
      <c r="AD644" s="42"/>
      <c r="AE644" s="42"/>
      <c r="AF644" s="42"/>
      <c r="AG644" s="42"/>
      <c r="AH644" s="42"/>
      <c r="AI644" s="42"/>
      <c r="AJ644" s="42"/>
      <c r="AK644" s="42"/>
      <c r="AL644" s="42"/>
    </row>
    <row r="645" spans="12:38">
      <c r="L645" s="42"/>
      <c r="M645" s="42"/>
      <c r="N645" s="42"/>
      <c r="O645" s="42"/>
      <c r="P645" s="42"/>
      <c r="Q645" s="42"/>
      <c r="R645" s="42"/>
      <c r="S645" s="42"/>
      <c r="T645" s="42"/>
      <c r="U645" s="42"/>
      <c r="V645" s="42"/>
      <c r="W645" s="42"/>
      <c r="AB645" s="42"/>
      <c r="AC645" s="42"/>
      <c r="AD645" s="42"/>
      <c r="AE645" s="42"/>
      <c r="AF645" s="42"/>
      <c r="AG645" s="42"/>
      <c r="AH645" s="42"/>
      <c r="AI645" s="42"/>
      <c r="AJ645" s="42"/>
      <c r="AK645" s="42"/>
      <c r="AL645" s="42"/>
    </row>
    <row r="646" spans="12:38">
      <c r="L646" s="42"/>
      <c r="M646" s="42"/>
      <c r="N646" s="42"/>
      <c r="O646" s="42"/>
      <c r="P646" s="42"/>
      <c r="Q646" s="42"/>
      <c r="R646" s="42"/>
      <c r="S646" s="42"/>
      <c r="T646" s="42"/>
      <c r="U646" s="42"/>
      <c r="V646" s="42"/>
      <c r="W646" s="42"/>
      <c r="AB646" s="42"/>
      <c r="AC646" s="42"/>
      <c r="AD646" s="42"/>
      <c r="AE646" s="42"/>
      <c r="AF646" s="42"/>
      <c r="AG646" s="42"/>
      <c r="AH646" s="42"/>
      <c r="AI646" s="42"/>
      <c r="AJ646" s="42"/>
      <c r="AK646" s="42"/>
      <c r="AL646" s="42"/>
    </row>
    <row r="647" spans="12:38">
      <c r="L647" s="42"/>
      <c r="M647" s="42"/>
      <c r="N647" s="42"/>
      <c r="O647" s="42"/>
      <c r="P647" s="42"/>
      <c r="Q647" s="42"/>
      <c r="R647" s="42"/>
      <c r="S647" s="42"/>
      <c r="T647" s="42"/>
      <c r="U647" s="42"/>
      <c r="V647" s="42"/>
      <c r="W647" s="42"/>
      <c r="AB647" s="42"/>
      <c r="AC647" s="42"/>
      <c r="AD647" s="42"/>
      <c r="AE647" s="42"/>
      <c r="AF647" s="42"/>
      <c r="AG647" s="42"/>
      <c r="AH647" s="42"/>
      <c r="AI647" s="42"/>
      <c r="AJ647" s="42"/>
      <c r="AK647" s="42"/>
      <c r="AL647" s="42"/>
    </row>
    <row r="648" spans="12:38">
      <c r="L648" s="42"/>
      <c r="M648" s="42"/>
      <c r="N648" s="42"/>
      <c r="O648" s="42"/>
      <c r="P648" s="42"/>
      <c r="Q648" s="42"/>
      <c r="R648" s="42"/>
      <c r="S648" s="42"/>
      <c r="T648" s="42"/>
      <c r="U648" s="42"/>
      <c r="V648" s="42"/>
      <c r="W648" s="42"/>
      <c r="AB648" s="42"/>
      <c r="AC648" s="42"/>
      <c r="AD648" s="42"/>
      <c r="AE648" s="42"/>
      <c r="AF648" s="42"/>
      <c r="AG648" s="42"/>
      <c r="AH648" s="42"/>
      <c r="AI648" s="42"/>
      <c r="AJ648" s="42"/>
      <c r="AK648" s="42"/>
      <c r="AL648" s="42"/>
    </row>
    <row r="649" spans="12:38">
      <c r="L649" s="42"/>
      <c r="M649" s="42"/>
      <c r="N649" s="42"/>
      <c r="O649" s="42"/>
      <c r="P649" s="42"/>
      <c r="Q649" s="42"/>
      <c r="R649" s="42"/>
      <c r="S649" s="42"/>
      <c r="T649" s="42"/>
      <c r="U649" s="42"/>
      <c r="V649" s="42"/>
      <c r="W649" s="42"/>
      <c r="AB649" s="42"/>
      <c r="AC649" s="42"/>
      <c r="AD649" s="42"/>
      <c r="AE649" s="42"/>
      <c r="AF649" s="42"/>
      <c r="AG649" s="42"/>
      <c r="AH649" s="42"/>
      <c r="AI649" s="42"/>
      <c r="AJ649" s="42"/>
      <c r="AK649" s="42"/>
      <c r="AL649" s="42"/>
    </row>
    <row r="650" spans="12:38">
      <c r="L650" s="42"/>
      <c r="M650" s="42"/>
      <c r="N650" s="42"/>
      <c r="O650" s="42"/>
      <c r="P650" s="42"/>
      <c r="Q650" s="42"/>
      <c r="R650" s="42"/>
      <c r="S650" s="42"/>
      <c r="T650" s="42"/>
      <c r="U650" s="42"/>
      <c r="V650" s="42"/>
      <c r="W650" s="42"/>
      <c r="AB650" s="42"/>
      <c r="AC650" s="42"/>
      <c r="AD650" s="42"/>
      <c r="AE650" s="42"/>
      <c r="AF650" s="42"/>
      <c r="AG650" s="42"/>
      <c r="AH650" s="42"/>
      <c r="AI650" s="42"/>
      <c r="AJ650" s="42"/>
      <c r="AK650" s="42"/>
      <c r="AL650" s="42"/>
    </row>
    <row r="651" spans="12:38">
      <c r="L651" s="42"/>
      <c r="M651" s="42"/>
      <c r="N651" s="42"/>
      <c r="O651" s="42"/>
      <c r="P651" s="42"/>
      <c r="Q651" s="42"/>
      <c r="R651" s="42"/>
      <c r="S651" s="42"/>
      <c r="T651" s="42"/>
      <c r="U651" s="42"/>
      <c r="V651" s="42"/>
      <c r="W651" s="42"/>
      <c r="AB651" s="42"/>
      <c r="AC651" s="42"/>
      <c r="AD651" s="42"/>
      <c r="AE651" s="42"/>
      <c r="AF651" s="42"/>
      <c r="AG651" s="42"/>
      <c r="AH651" s="42"/>
      <c r="AI651" s="42"/>
      <c r="AJ651" s="42"/>
      <c r="AK651" s="42"/>
      <c r="AL651" s="42"/>
    </row>
    <row r="652" spans="12:38">
      <c r="L652" s="42"/>
      <c r="M652" s="42"/>
      <c r="N652" s="42"/>
      <c r="O652" s="42"/>
      <c r="P652" s="42"/>
      <c r="Q652" s="42"/>
      <c r="R652" s="42"/>
      <c r="S652" s="42"/>
      <c r="T652" s="42"/>
      <c r="U652" s="42"/>
      <c r="V652" s="42"/>
      <c r="W652" s="42"/>
      <c r="AB652" s="42"/>
      <c r="AC652" s="42"/>
      <c r="AD652" s="42"/>
      <c r="AE652" s="42"/>
      <c r="AF652" s="42"/>
      <c r="AG652" s="42"/>
      <c r="AH652" s="42"/>
      <c r="AI652" s="42"/>
      <c r="AJ652" s="42"/>
      <c r="AK652" s="42"/>
      <c r="AL652" s="42"/>
    </row>
    <row r="653" spans="12:38">
      <c r="L653" s="42"/>
      <c r="M653" s="42"/>
      <c r="N653" s="42"/>
      <c r="O653" s="42"/>
      <c r="P653" s="42"/>
      <c r="Q653" s="42"/>
      <c r="R653" s="42"/>
      <c r="S653" s="42"/>
      <c r="T653" s="42"/>
      <c r="U653" s="42"/>
      <c r="V653" s="42"/>
      <c r="W653" s="42"/>
      <c r="AB653" s="42"/>
      <c r="AC653" s="42"/>
      <c r="AD653" s="42"/>
      <c r="AE653" s="42"/>
      <c r="AF653" s="42"/>
      <c r="AG653" s="42"/>
      <c r="AH653" s="42"/>
      <c r="AI653" s="42"/>
      <c r="AJ653" s="42"/>
      <c r="AK653" s="42"/>
      <c r="AL653" s="42"/>
    </row>
    <row r="654" spans="12:38">
      <c r="L654" s="42"/>
      <c r="M654" s="42"/>
      <c r="N654" s="42"/>
      <c r="O654" s="42"/>
      <c r="P654" s="42"/>
      <c r="Q654" s="42"/>
      <c r="R654" s="42"/>
      <c r="S654" s="42"/>
      <c r="T654" s="42"/>
      <c r="U654" s="42"/>
      <c r="V654" s="42"/>
      <c r="W654" s="42"/>
      <c r="AB654" s="42"/>
      <c r="AC654" s="42"/>
      <c r="AD654" s="42"/>
      <c r="AE654" s="42"/>
      <c r="AF654" s="42"/>
      <c r="AG654" s="42"/>
      <c r="AH654" s="42"/>
      <c r="AI654" s="42"/>
      <c r="AJ654" s="42"/>
      <c r="AK654" s="42"/>
      <c r="AL654" s="42"/>
    </row>
    <row r="655" spans="12:38">
      <c r="L655" s="42"/>
      <c r="M655" s="42"/>
      <c r="N655" s="42"/>
      <c r="O655" s="42"/>
      <c r="P655" s="42"/>
      <c r="Q655" s="42"/>
      <c r="R655" s="42"/>
      <c r="S655" s="42"/>
      <c r="T655" s="42"/>
      <c r="U655" s="42"/>
      <c r="V655" s="42"/>
      <c r="W655" s="42"/>
      <c r="AB655" s="42"/>
      <c r="AC655" s="42"/>
      <c r="AD655" s="42"/>
      <c r="AE655" s="42"/>
      <c r="AF655" s="42"/>
      <c r="AG655" s="42"/>
      <c r="AH655" s="42"/>
      <c r="AI655" s="42"/>
      <c r="AJ655" s="42"/>
      <c r="AK655" s="42"/>
      <c r="AL655" s="42"/>
    </row>
    <row r="656" spans="12:38">
      <c r="L656" s="42"/>
      <c r="M656" s="42"/>
      <c r="N656" s="42"/>
      <c r="O656" s="42"/>
      <c r="P656" s="42"/>
      <c r="Q656" s="42"/>
      <c r="R656" s="42"/>
      <c r="S656" s="42"/>
      <c r="T656" s="42"/>
      <c r="U656" s="42"/>
      <c r="V656" s="42"/>
      <c r="W656" s="42"/>
      <c r="AB656" s="42"/>
      <c r="AC656" s="42"/>
      <c r="AD656" s="42"/>
      <c r="AE656" s="42"/>
      <c r="AF656" s="42"/>
      <c r="AG656" s="42"/>
      <c r="AH656" s="42"/>
      <c r="AI656" s="42"/>
      <c r="AJ656" s="42"/>
      <c r="AK656" s="42"/>
      <c r="AL656" s="42"/>
    </row>
    <row r="657" spans="12:38" s="10" customFormat="1"/>
    <row r="658" spans="12:38">
      <c r="L658" s="42"/>
      <c r="M658" s="42"/>
      <c r="N658" s="42"/>
      <c r="O658" s="42"/>
      <c r="P658" s="42"/>
      <c r="Q658" s="42"/>
      <c r="R658" s="42"/>
      <c r="S658" s="42"/>
      <c r="T658" s="42"/>
      <c r="U658" s="42"/>
      <c r="V658" s="42"/>
      <c r="AB658" s="42"/>
      <c r="AC658" s="42"/>
      <c r="AD658" s="42"/>
      <c r="AE658" s="42"/>
      <c r="AF658" s="42"/>
      <c r="AG658" s="42"/>
      <c r="AH658" s="42"/>
      <c r="AI658" s="42"/>
      <c r="AJ658" s="42"/>
      <c r="AK658" s="42"/>
      <c r="AL658" s="42"/>
    </row>
    <row r="659" spans="12:38">
      <c r="L659" s="42"/>
      <c r="M659" s="42"/>
      <c r="N659" s="42"/>
      <c r="O659" s="42"/>
      <c r="P659" s="42"/>
      <c r="Q659" s="42"/>
      <c r="R659" s="42"/>
      <c r="S659" s="42"/>
      <c r="T659" s="42"/>
      <c r="U659" s="42"/>
      <c r="V659" s="42"/>
      <c r="AB659" s="42"/>
      <c r="AC659" s="42"/>
      <c r="AD659" s="42"/>
      <c r="AE659" s="42"/>
      <c r="AF659" s="42"/>
      <c r="AG659" s="42"/>
      <c r="AH659" s="42"/>
      <c r="AI659" s="42"/>
      <c r="AJ659" s="42"/>
      <c r="AK659" s="42"/>
      <c r="AL659" s="42"/>
    </row>
    <row r="660" spans="12:38">
      <c r="L660" s="42"/>
      <c r="M660" s="42"/>
      <c r="N660" s="42"/>
      <c r="O660" s="42"/>
      <c r="P660" s="42"/>
      <c r="Q660" s="42"/>
      <c r="R660" s="42"/>
      <c r="S660" s="42"/>
      <c r="T660" s="42"/>
      <c r="U660" s="42"/>
      <c r="V660" s="42"/>
      <c r="AB660" s="42"/>
      <c r="AC660" s="42"/>
      <c r="AD660" s="42"/>
      <c r="AE660" s="42"/>
      <c r="AF660" s="42"/>
      <c r="AG660" s="42"/>
      <c r="AH660" s="42"/>
      <c r="AI660" s="42"/>
      <c r="AJ660" s="42"/>
      <c r="AK660" s="42"/>
      <c r="AL660" s="42"/>
    </row>
    <row r="661" spans="12:38">
      <c r="L661" s="42"/>
      <c r="M661" s="42"/>
      <c r="N661" s="42"/>
      <c r="O661" s="42"/>
      <c r="P661" s="42"/>
      <c r="Q661" s="42"/>
      <c r="R661" s="42"/>
      <c r="S661" s="42"/>
      <c r="T661" s="42"/>
      <c r="U661" s="42"/>
      <c r="V661" s="42"/>
      <c r="AB661" s="42"/>
      <c r="AC661" s="42"/>
      <c r="AD661" s="42"/>
      <c r="AE661" s="42"/>
      <c r="AF661" s="42"/>
      <c r="AG661" s="42"/>
      <c r="AH661" s="42"/>
      <c r="AI661" s="42"/>
      <c r="AJ661" s="42"/>
      <c r="AK661" s="42"/>
      <c r="AL661" s="42"/>
    </row>
    <row r="662" spans="12:38">
      <c r="L662" s="42"/>
      <c r="M662" s="42"/>
      <c r="N662" s="42"/>
      <c r="O662" s="42"/>
      <c r="P662" s="42"/>
      <c r="Q662" s="42"/>
      <c r="R662" s="42"/>
      <c r="S662" s="42"/>
      <c r="T662" s="42"/>
      <c r="U662" s="42"/>
      <c r="V662" s="42"/>
      <c r="AB662" s="42"/>
      <c r="AC662" s="42"/>
      <c r="AD662" s="42"/>
      <c r="AE662" s="42"/>
      <c r="AF662" s="42"/>
      <c r="AG662" s="42"/>
      <c r="AH662" s="42"/>
      <c r="AI662" s="42"/>
      <c r="AJ662" s="42"/>
      <c r="AK662" s="42"/>
      <c r="AL662" s="42"/>
    </row>
    <row r="663" spans="12:38">
      <c r="L663" s="42"/>
      <c r="M663" s="42"/>
      <c r="N663" s="42"/>
      <c r="O663" s="42"/>
      <c r="P663" s="42"/>
      <c r="Q663" s="42"/>
      <c r="R663" s="42"/>
      <c r="S663" s="42"/>
      <c r="T663" s="42"/>
      <c r="U663" s="42"/>
      <c r="V663" s="42"/>
      <c r="AB663" s="42"/>
      <c r="AC663" s="42"/>
      <c r="AD663" s="42"/>
      <c r="AE663" s="42"/>
      <c r="AF663" s="42"/>
      <c r="AG663" s="42"/>
      <c r="AH663" s="42"/>
      <c r="AI663" s="42"/>
      <c r="AJ663" s="42"/>
      <c r="AK663" s="42"/>
      <c r="AL663" s="42"/>
    </row>
    <row r="664" spans="12:38">
      <c r="L664" s="42"/>
      <c r="M664" s="42"/>
      <c r="N664" s="42"/>
      <c r="O664" s="42"/>
      <c r="P664" s="42"/>
      <c r="Q664" s="42"/>
      <c r="R664" s="42"/>
      <c r="S664" s="42"/>
      <c r="T664" s="42"/>
      <c r="U664" s="42"/>
      <c r="V664" s="42"/>
      <c r="AB664" s="42"/>
      <c r="AC664" s="42"/>
      <c r="AD664" s="42"/>
      <c r="AE664" s="42"/>
      <c r="AF664" s="42"/>
      <c r="AG664" s="42"/>
      <c r="AH664" s="42"/>
      <c r="AI664" s="42"/>
      <c r="AJ664" s="42"/>
      <c r="AK664" s="42"/>
      <c r="AL664" s="42"/>
    </row>
    <row r="665" spans="12:38">
      <c r="L665" s="42"/>
      <c r="M665" s="42"/>
      <c r="N665" s="42"/>
      <c r="O665" s="42"/>
      <c r="P665" s="42"/>
      <c r="Q665" s="42"/>
      <c r="R665" s="42"/>
      <c r="S665" s="42"/>
      <c r="T665" s="42"/>
      <c r="U665" s="42"/>
      <c r="V665" s="42"/>
      <c r="AB665" s="42"/>
      <c r="AC665" s="42"/>
      <c r="AD665" s="42"/>
      <c r="AE665" s="42"/>
      <c r="AF665" s="42"/>
      <c r="AG665" s="42"/>
      <c r="AH665" s="42"/>
      <c r="AI665" s="42"/>
      <c r="AJ665" s="42"/>
      <c r="AK665" s="42"/>
      <c r="AL665" s="42"/>
    </row>
    <row r="666" spans="12:38">
      <c r="L666" s="42"/>
      <c r="M666" s="42"/>
      <c r="N666" s="42"/>
      <c r="O666" s="42"/>
      <c r="P666" s="42"/>
      <c r="Q666" s="42"/>
      <c r="R666" s="42"/>
      <c r="S666" s="42"/>
      <c r="T666" s="42"/>
      <c r="U666" s="42"/>
      <c r="V666" s="42"/>
      <c r="AB666" s="42"/>
      <c r="AC666" s="42"/>
      <c r="AD666" s="42"/>
      <c r="AE666" s="42"/>
      <c r="AF666" s="42"/>
      <c r="AG666" s="42"/>
      <c r="AH666" s="42"/>
      <c r="AI666" s="42"/>
      <c r="AJ666" s="42"/>
      <c r="AK666" s="42"/>
      <c r="AL666" s="42"/>
    </row>
    <row r="667" spans="12:38">
      <c r="L667" s="42"/>
      <c r="M667" s="42"/>
      <c r="N667" s="42"/>
      <c r="O667" s="42"/>
      <c r="P667" s="42"/>
      <c r="Q667" s="42"/>
      <c r="R667" s="42"/>
      <c r="S667" s="42"/>
      <c r="T667" s="42"/>
      <c r="U667" s="42"/>
      <c r="V667" s="42"/>
      <c r="AB667" s="42"/>
      <c r="AC667" s="42"/>
      <c r="AD667" s="42"/>
      <c r="AE667" s="42"/>
      <c r="AF667" s="42"/>
      <c r="AG667" s="42"/>
      <c r="AH667" s="42"/>
      <c r="AI667" s="42"/>
      <c r="AJ667" s="42"/>
      <c r="AK667" s="42"/>
      <c r="AL667" s="42"/>
    </row>
    <row r="668" spans="12:38">
      <c r="L668" s="42"/>
      <c r="M668" s="42"/>
      <c r="N668" s="42"/>
      <c r="O668" s="42"/>
      <c r="P668" s="42"/>
      <c r="Q668" s="42"/>
      <c r="R668" s="42"/>
      <c r="S668" s="42"/>
      <c r="T668" s="42"/>
      <c r="U668" s="42"/>
      <c r="V668" s="42"/>
      <c r="AB668" s="42"/>
      <c r="AC668" s="42"/>
      <c r="AD668" s="42"/>
      <c r="AE668" s="42"/>
      <c r="AF668" s="42"/>
      <c r="AG668" s="42"/>
      <c r="AH668" s="42"/>
      <c r="AI668" s="42"/>
      <c r="AJ668" s="42"/>
      <c r="AK668" s="42"/>
      <c r="AL668" s="42"/>
    </row>
    <row r="669" spans="12:38">
      <c r="L669" s="42"/>
      <c r="M669" s="42"/>
      <c r="N669" s="42"/>
      <c r="O669" s="42"/>
      <c r="P669" s="42"/>
      <c r="Q669" s="42"/>
      <c r="R669" s="42"/>
      <c r="S669" s="42"/>
      <c r="T669" s="42"/>
      <c r="U669" s="42"/>
      <c r="V669" s="42"/>
      <c r="AB669" s="42"/>
      <c r="AC669" s="42"/>
      <c r="AD669" s="42"/>
      <c r="AE669" s="42"/>
      <c r="AF669" s="42"/>
      <c r="AG669" s="42"/>
      <c r="AH669" s="42"/>
      <c r="AI669" s="42"/>
      <c r="AJ669" s="42"/>
      <c r="AK669" s="42"/>
      <c r="AL669" s="42"/>
    </row>
    <row r="670" spans="12:38">
      <c r="L670" s="42"/>
      <c r="M670" s="42"/>
      <c r="N670" s="42"/>
      <c r="O670" s="42"/>
      <c r="P670" s="42"/>
      <c r="Q670" s="42"/>
      <c r="R670" s="42"/>
      <c r="S670" s="42"/>
      <c r="T670" s="42"/>
      <c r="U670" s="42"/>
      <c r="V670" s="42"/>
      <c r="AB670" s="42"/>
      <c r="AC670" s="42"/>
      <c r="AD670" s="42"/>
      <c r="AE670" s="42"/>
      <c r="AF670" s="42"/>
      <c r="AG670" s="42"/>
      <c r="AH670" s="42"/>
      <c r="AI670" s="42"/>
      <c r="AJ670" s="42"/>
      <c r="AK670" s="42"/>
      <c r="AL670" s="42"/>
    </row>
    <row r="671" spans="12:38">
      <c r="L671" s="42"/>
      <c r="M671" s="42"/>
      <c r="N671" s="42"/>
      <c r="O671" s="42"/>
      <c r="P671" s="42"/>
      <c r="Q671" s="42"/>
      <c r="R671" s="42"/>
      <c r="S671" s="42"/>
      <c r="T671" s="42"/>
      <c r="U671" s="42"/>
      <c r="V671" s="42"/>
      <c r="AB671" s="42"/>
      <c r="AC671" s="42"/>
      <c r="AD671" s="42"/>
      <c r="AE671" s="42"/>
      <c r="AF671" s="42"/>
      <c r="AG671" s="42"/>
      <c r="AH671" s="42"/>
      <c r="AI671" s="42"/>
      <c r="AJ671" s="42"/>
      <c r="AK671" s="42"/>
      <c r="AL671" s="42"/>
    </row>
    <row r="672" spans="12:38">
      <c r="L672" s="42"/>
      <c r="M672" s="42"/>
      <c r="N672" s="42"/>
      <c r="O672" s="42"/>
      <c r="P672" s="42"/>
      <c r="Q672" s="42"/>
      <c r="R672" s="42"/>
      <c r="S672" s="42"/>
      <c r="T672" s="42"/>
      <c r="U672" s="42"/>
      <c r="V672" s="42"/>
      <c r="AB672" s="42"/>
      <c r="AC672" s="42"/>
      <c r="AD672" s="42"/>
      <c r="AE672" s="42"/>
      <c r="AF672" s="42"/>
      <c r="AG672" s="42"/>
      <c r="AH672" s="42"/>
      <c r="AI672" s="42"/>
      <c r="AJ672" s="42"/>
      <c r="AK672" s="42"/>
      <c r="AL672" s="42"/>
    </row>
    <row r="673" spans="12:38">
      <c r="L673" s="42"/>
      <c r="M673" s="42"/>
      <c r="N673" s="42"/>
      <c r="O673" s="42"/>
      <c r="P673" s="42"/>
      <c r="Q673" s="42"/>
      <c r="R673" s="42"/>
      <c r="S673" s="42"/>
      <c r="T673" s="42"/>
      <c r="U673" s="42"/>
      <c r="V673" s="42"/>
      <c r="AB673" s="42"/>
      <c r="AC673" s="42"/>
      <c r="AD673" s="42"/>
      <c r="AE673" s="42"/>
      <c r="AF673" s="42"/>
      <c r="AG673" s="42"/>
      <c r="AH673" s="42"/>
      <c r="AI673" s="42"/>
      <c r="AJ673" s="42"/>
      <c r="AK673" s="42"/>
      <c r="AL673" s="42"/>
    </row>
    <row r="674" spans="12:38">
      <c r="L674" s="42"/>
      <c r="M674" s="42"/>
      <c r="N674" s="42"/>
      <c r="O674" s="42"/>
      <c r="P674" s="42"/>
      <c r="Q674" s="42"/>
      <c r="R674" s="42"/>
      <c r="S674" s="42"/>
      <c r="T674" s="42"/>
      <c r="U674" s="42"/>
      <c r="V674" s="42"/>
      <c r="AB674" s="42"/>
      <c r="AC674" s="42"/>
      <c r="AD674" s="42"/>
      <c r="AE674" s="42"/>
      <c r="AF674" s="42"/>
      <c r="AG674" s="42"/>
      <c r="AH674" s="42"/>
      <c r="AI674" s="42"/>
      <c r="AJ674" s="42"/>
      <c r="AK674" s="42"/>
      <c r="AL674" s="42"/>
    </row>
    <row r="675" spans="12:38">
      <c r="L675" s="42"/>
      <c r="M675" s="42"/>
      <c r="N675" s="42"/>
      <c r="O675" s="42"/>
      <c r="P675" s="42"/>
      <c r="Q675" s="42"/>
      <c r="R675" s="42"/>
      <c r="S675" s="42"/>
      <c r="T675" s="42"/>
      <c r="U675" s="42"/>
      <c r="V675" s="42"/>
      <c r="AB675" s="42"/>
      <c r="AC675" s="42"/>
      <c r="AD675" s="42"/>
      <c r="AE675" s="42"/>
      <c r="AF675" s="42"/>
      <c r="AG675" s="42"/>
      <c r="AH675" s="42"/>
      <c r="AI675" s="42"/>
      <c r="AJ675" s="42"/>
      <c r="AK675" s="42"/>
      <c r="AL675" s="42"/>
    </row>
    <row r="676" spans="12:38">
      <c r="L676" s="42"/>
      <c r="M676" s="42"/>
      <c r="N676" s="42"/>
      <c r="O676" s="42"/>
      <c r="P676" s="42"/>
      <c r="Q676" s="42"/>
      <c r="R676" s="42"/>
      <c r="S676" s="42"/>
      <c r="T676" s="42"/>
      <c r="U676" s="42"/>
      <c r="V676" s="42"/>
      <c r="AB676" s="42"/>
      <c r="AC676" s="42"/>
      <c r="AD676" s="42"/>
      <c r="AE676" s="42"/>
      <c r="AF676" s="42"/>
      <c r="AG676" s="42"/>
      <c r="AH676" s="42"/>
      <c r="AI676" s="42"/>
      <c r="AJ676" s="42"/>
      <c r="AK676" s="42"/>
      <c r="AL676" s="42"/>
    </row>
    <row r="677" spans="12:38">
      <c r="L677" s="42"/>
      <c r="M677" s="42"/>
      <c r="N677" s="42"/>
      <c r="O677" s="42"/>
      <c r="P677" s="42"/>
      <c r="Q677" s="42"/>
      <c r="R677" s="42"/>
      <c r="S677" s="42"/>
      <c r="T677" s="42"/>
      <c r="U677" s="42"/>
      <c r="V677" s="42"/>
      <c r="AB677" s="42"/>
      <c r="AC677" s="42"/>
      <c r="AD677" s="42"/>
      <c r="AE677" s="42"/>
      <c r="AF677" s="42"/>
      <c r="AG677" s="42"/>
      <c r="AH677" s="42"/>
      <c r="AI677" s="42"/>
      <c r="AJ677" s="42"/>
      <c r="AK677" s="42"/>
      <c r="AL677" s="42"/>
    </row>
    <row r="678" spans="12:38">
      <c r="L678" s="42"/>
      <c r="M678" s="42"/>
      <c r="N678" s="42"/>
      <c r="O678" s="42"/>
      <c r="P678" s="42"/>
      <c r="Q678" s="42"/>
      <c r="R678" s="42"/>
      <c r="S678" s="42"/>
      <c r="T678" s="42"/>
      <c r="U678" s="42"/>
      <c r="V678" s="42"/>
      <c r="AB678" s="42"/>
      <c r="AC678" s="42"/>
      <c r="AD678" s="42"/>
      <c r="AE678" s="42"/>
      <c r="AF678" s="42"/>
      <c r="AG678" s="42"/>
      <c r="AH678" s="42"/>
      <c r="AI678" s="42"/>
      <c r="AJ678" s="42"/>
      <c r="AK678" s="42"/>
      <c r="AL678" s="42"/>
    </row>
    <row r="679" spans="12:38">
      <c r="L679" s="42"/>
      <c r="M679" s="42"/>
      <c r="N679" s="42"/>
      <c r="O679" s="42"/>
      <c r="P679" s="42"/>
      <c r="Q679" s="42"/>
      <c r="R679" s="42"/>
      <c r="S679" s="42"/>
      <c r="T679" s="42"/>
      <c r="U679" s="42"/>
      <c r="V679" s="42"/>
      <c r="AB679" s="42"/>
      <c r="AC679" s="42"/>
      <c r="AD679" s="42"/>
      <c r="AE679" s="42"/>
      <c r="AF679" s="42"/>
      <c r="AG679" s="42"/>
      <c r="AH679" s="42"/>
      <c r="AI679" s="42"/>
      <c r="AJ679" s="42"/>
      <c r="AK679" s="42"/>
      <c r="AL679" s="42"/>
    </row>
    <row r="680" spans="12:38">
      <c r="L680" s="42"/>
      <c r="M680" s="42"/>
      <c r="N680" s="42"/>
      <c r="O680" s="42"/>
      <c r="P680" s="42"/>
      <c r="Q680" s="42"/>
      <c r="R680" s="42"/>
      <c r="S680" s="42"/>
      <c r="T680" s="42"/>
      <c r="U680" s="42"/>
      <c r="V680" s="42"/>
      <c r="AB680" s="42"/>
      <c r="AC680" s="42"/>
      <c r="AD680" s="42"/>
      <c r="AE680" s="42"/>
      <c r="AF680" s="42"/>
      <c r="AG680" s="42"/>
      <c r="AH680" s="42"/>
      <c r="AI680" s="42"/>
      <c r="AJ680" s="42"/>
      <c r="AK680" s="42"/>
      <c r="AL680" s="42"/>
    </row>
    <row r="681" spans="12:38">
      <c r="L681" s="42"/>
      <c r="M681" s="42"/>
      <c r="N681" s="42"/>
      <c r="O681" s="42"/>
      <c r="P681" s="42"/>
      <c r="Q681" s="42"/>
      <c r="R681" s="42"/>
      <c r="S681" s="42"/>
      <c r="T681" s="42"/>
      <c r="U681" s="42"/>
      <c r="V681" s="42"/>
      <c r="AB681" s="42"/>
      <c r="AC681" s="42"/>
      <c r="AD681" s="42"/>
      <c r="AE681" s="42"/>
      <c r="AF681" s="42"/>
      <c r="AG681" s="42"/>
      <c r="AH681" s="42"/>
      <c r="AI681" s="42"/>
      <c r="AJ681" s="42"/>
      <c r="AK681" s="42"/>
      <c r="AL681" s="42"/>
    </row>
    <row r="682" spans="12:38">
      <c r="L682" s="42"/>
      <c r="M682" s="42"/>
      <c r="N682" s="42"/>
      <c r="O682" s="42"/>
      <c r="P682" s="42"/>
      <c r="Q682" s="42"/>
      <c r="R682" s="42"/>
      <c r="S682" s="42"/>
      <c r="T682" s="42"/>
      <c r="U682" s="42"/>
      <c r="V682" s="42"/>
      <c r="AB682" s="42"/>
      <c r="AC682" s="42"/>
      <c r="AD682" s="42"/>
      <c r="AE682" s="42"/>
      <c r="AF682" s="42"/>
      <c r="AG682" s="42"/>
      <c r="AH682" s="42"/>
      <c r="AI682" s="42"/>
      <c r="AJ682" s="42"/>
      <c r="AK682" s="42"/>
      <c r="AL682" s="42"/>
    </row>
    <row r="683" spans="12:38">
      <c r="L683" s="42"/>
      <c r="M683" s="42"/>
      <c r="N683" s="42"/>
      <c r="O683" s="42"/>
      <c r="P683" s="42"/>
      <c r="Q683" s="42"/>
      <c r="R683" s="42"/>
      <c r="S683" s="42"/>
      <c r="T683" s="42"/>
      <c r="U683" s="42"/>
      <c r="V683" s="42"/>
      <c r="AB683" s="42"/>
      <c r="AC683" s="42"/>
      <c r="AD683" s="42"/>
      <c r="AE683" s="42"/>
      <c r="AF683" s="42"/>
      <c r="AG683" s="42"/>
      <c r="AH683" s="42"/>
      <c r="AI683" s="42"/>
      <c r="AJ683" s="42"/>
      <c r="AK683" s="42"/>
      <c r="AL683" s="42"/>
    </row>
    <row r="684" spans="12:38">
      <c r="L684" s="42"/>
      <c r="M684" s="42"/>
      <c r="N684" s="42"/>
      <c r="O684" s="42"/>
      <c r="P684" s="42"/>
      <c r="Q684" s="42"/>
      <c r="R684" s="42"/>
      <c r="S684" s="42"/>
      <c r="T684" s="42"/>
      <c r="U684" s="42"/>
      <c r="V684" s="42"/>
      <c r="AB684" s="42"/>
      <c r="AC684" s="42"/>
      <c r="AD684" s="42"/>
      <c r="AE684" s="42"/>
      <c r="AF684" s="42"/>
      <c r="AG684" s="42"/>
      <c r="AH684" s="42"/>
      <c r="AI684" s="42"/>
      <c r="AJ684" s="42"/>
      <c r="AK684" s="42"/>
      <c r="AL684" s="42"/>
    </row>
    <row r="685" spans="12:38">
      <c r="L685" s="42"/>
      <c r="M685" s="42"/>
      <c r="N685" s="42"/>
      <c r="O685" s="42"/>
      <c r="P685" s="42"/>
      <c r="Q685" s="42"/>
      <c r="R685" s="42"/>
      <c r="S685" s="42"/>
      <c r="T685" s="42"/>
      <c r="U685" s="42"/>
      <c r="V685" s="42"/>
      <c r="AB685" s="42"/>
      <c r="AC685" s="42"/>
      <c r="AD685" s="42"/>
      <c r="AE685" s="42"/>
      <c r="AF685" s="42"/>
      <c r="AG685" s="42"/>
      <c r="AH685" s="42"/>
      <c r="AI685" s="42"/>
      <c r="AJ685" s="42"/>
      <c r="AK685" s="42"/>
      <c r="AL685" s="42"/>
    </row>
    <row r="686" spans="12:38">
      <c r="L686" s="42"/>
      <c r="M686" s="42"/>
      <c r="N686" s="42"/>
      <c r="O686" s="42"/>
      <c r="P686" s="42"/>
      <c r="Q686" s="42"/>
      <c r="R686" s="42"/>
      <c r="S686" s="42"/>
      <c r="T686" s="42"/>
      <c r="U686" s="42"/>
      <c r="V686" s="42"/>
      <c r="AB686" s="42"/>
      <c r="AC686" s="42"/>
      <c r="AD686" s="42"/>
      <c r="AE686" s="42"/>
      <c r="AF686" s="42"/>
      <c r="AG686" s="42"/>
      <c r="AH686" s="42"/>
      <c r="AI686" s="42"/>
      <c r="AJ686" s="42"/>
      <c r="AK686" s="42"/>
      <c r="AL686" s="42"/>
    </row>
    <row r="687" spans="12:38">
      <c r="L687" s="42"/>
      <c r="M687" s="42"/>
      <c r="N687" s="42"/>
      <c r="O687" s="42"/>
      <c r="P687" s="42"/>
      <c r="Q687" s="42"/>
      <c r="R687" s="42"/>
      <c r="S687" s="42"/>
      <c r="T687" s="42"/>
      <c r="U687" s="42"/>
      <c r="V687" s="42"/>
      <c r="AB687" s="42"/>
      <c r="AC687" s="42"/>
      <c r="AD687" s="42"/>
      <c r="AE687" s="42"/>
      <c r="AF687" s="42"/>
      <c r="AG687" s="42"/>
      <c r="AH687" s="42"/>
      <c r="AI687" s="42"/>
      <c r="AJ687" s="42"/>
      <c r="AK687" s="42"/>
      <c r="AL687" s="42"/>
    </row>
    <row r="688" spans="12:38">
      <c r="L688" s="42"/>
      <c r="M688" s="42"/>
      <c r="N688" s="42"/>
      <c r="O688" s="42"/>
      <c r="P688" s="42"/>
      <c r="Q688" s="42"/>
      <c r="R688" s="42"/>
      <c r="S688" s="42"/>
      <c r="T688" s="42"/>
      <c r="U688" s="42"/>
      <c r="V688" s="42"/>
      <c r="AB688" s="42"/>
      <c r="AC688" s="42"/>
      <c r="AD688" s="42"/>
      <c r="AE688" s="42"/>
      <c r="AF688" s="42"/>
      <c r="AG688" s="42"/>
      <c r="AH688" s="42"/>
      <c r="AI688" s="42"/>
      <c r="AJ688" s="42"/>
      <c r="AK688" s="42"/>
      <c r="AL688" s="42"/>
    </row>
    <row r="689" spans="12:38">
      <c r="L689" s="42"/>
      <c r="M689" s="42"/>
      <c r="N689" s="42"/>
      <c r="O689" s="42"/>
      <c r="P689" s="42"/>
      <c r="Q689" s="42"/>
      <c r="R689" s="42"/>
      <c r="S689" s="42"/>
      <c r="T689" s="42"/>
      <c r="U689" s="42"/>
      <c r="V689" s="42"/>
      <c r="AB689" s="42"/>
      <c r="AC689" s="42"/>
      <c r="AD689" s="42"/>
      <c r="AE689" s="42"/>
      <c r="AF689" s="42"/>
      <c r="AG689" s="42"/>
      <c r="AH689" s="42"/>
      <c r="AI689" s="42"/>
      <c r="AJ689" s="42"/>
      <c r="AK689" s="42"/>
      <c r="AL689" s="42"/>
    </row>
    <row r="690" spans="12:38">
      <c r="L690" s="42"/>
      <c r="M690" s="42"/>
      <c r="N690" s="42"/>
      <c r="O690" s="42"/>
      <c r="P690" s="42"/>
      <c r="Q690" s="42"/>
      <c r="R690" s="42"/>
      <c r="S690" s="42"/>
      <c r="T690" s="42"/>
      <c r="U690" s="42"/>
      <c r="V690" s="42"/>
      <c r="AB690" s="42"/>
      <c r="AC690" s="42"/>
      <c r="AD690" s="42"/>
      <c r="AE690" s="42"/>
      <c r="AF690" s="42"/>
      <c r="AG690" s="42"/>
      <c r="AH690" s="42"/>
      <c r="AI690" s="42"/>
      <c r="AJ690" s="42"/>
      <c r="AK690" s="42"/>
      <c r="AL690" s="42"/>
    </row>
    <row r="691" spans="12:38">
      <c r="L691" s="42"/>
      <c r="M691" s="42"/>
      <c r="N691" s="42"/>
      <c r="O691" s="42"/>
      <c r="P691" s="42"/>
      <c r="Q691" s="42"/>
      <c r="R691" s="42"/>
      <c r="S691" s="42"/>
      <c r="T691" s="42"/>
      <c r="U691" s="42"/>
      <c r="V691" s="42"/>
      <c r="AB691" s="42"/>
      <c r="AC691" s="42"/>
      <c r="AD691" s="42"/>
      <c r="AE691" s="42"/>
      <c r="AF691" s="42"/>
      <c r="AG691" s="42"/>
      <c r="AH691" s="42"/>
      <c r="AI691" s="42"/>
      <c r="AJ691" s="42"/>
      <c r="AK691" s="42"/>
      <c r="AL691" s="42"/>
    </row>
    <row r="692" spans="12:38">
      <c r="L692" s="42"/>
      <c r="M692" s="42"/>
      <c r="N692" s="42"/>
      <c r="O692" s="42"/>
      <c r="P692" s="42"/>
      <c r="Q692" s="42"/>
      <c r="R692" s="42"/>
      <c r="S692" s="42"/>
      <c r="T692" s="42"/>
      <c r="U692" s="42"/>
      <c r="V692" s="42"/>
      <c r="AB692" s="42"/>
      <c r="AC692" s="42"/>
      <c r="AD692" s="42"/>
      <c r="AE692" s="42"/>
      <c r="AF692" s="42"/>
      <c r="AG692" s="42"/>
      <c r="AH692" s="42"/>
      <c r="AI692" s="42"/>
      <c r="AJ692" s="42"/>
      <c r="AK692" s="42"/>
      <c r="AL692" s="42"/>
    </row>
    <row r="693" spans="12:38">
      <c r="L693" s="42"/>
      <c r="M693" s="42"/>
      <c r="N693" s="42"/>
      <c r="O693" s="42"/>
      <c r="P693" s="42"/>
      <c r="Q693" s="42"/>
      <c r="R693" s="42"/>
      <c r="S693" s="42"/>
      <c r="T693" s="42"/>
      <c r="U693" s="42"/>
      <c r="V693" s="42"/>
      <c r="AB693" s="42"/>
      <c r="AC693" s="42"/>
      <c r="AD693" s="42"/>
      <c r="AE693" s="42"/>
      <c r="AF693" s="42"/>
      <c r="AG693" s="42"/>
      <c r="AH693" s="42"/>
      <c r="AI693" s="42"/>
      <c r="AJ693" s="42"/>
      <c r="AK693" s="42"/>
      <c r="AL693" s="42"/>
    </row>
    <row r="694" spans="12:38">
      <c r="L694" s="42"/>
      <c r="M694" s="42"/>
      <c r="N694" s="42"/>
      <c r="O694" s="42"/>
      <c r="P694" s="42"/>
      <c r="Q694" s="42"/>
      <c r="R694" s="42"/>
      <c r="S694" s="42"/>
      <c r="T694" s="42"/>
      <c r="U694" s="42"/>
      <c r="V694" s="42"/>
      <c r="AB694" s="42"/>
      <c r="AC694" s="42"/>
      <c r="AD694" s="42"/>
      <c r="AE694" s="42"/>
      <c r="AF694" s="42"/>
      <c r="AG694" s="42"/>
      <c r="AH694" s="42"/>
      <c r="AI694" s="42"/>
      <c r="AJ694" s="42"/>
      <c r="AK694" s="42"/>
      <c r="AL694" s="42"/>
    </row>
    <row r="695" spans="12:38">
      <c r="L695" s="42"/>
      <c r="M695" s="42"/>
      <c r="N695" s="42"/>
      <c r="O695" s="42"/>
      <c r="P695" s="42"/>
      <c r="Q695" s="42"/>
      <c r="R695" s="42"/>
      <c r="S695" s="42"/>
      <c r="T695" s="42"/>
      <c r="U695" s="42"/>
      <c r="V695" s="42"/>
      <c r="AB695" s="42"/>
      <c r="AC695" s="42"/>
      <c r="AD695" s="42"/>
      <c r="AE695" s="42"/>
      <c r="AF695" s="42"/>
      <c r="AG695" s="42"/>
      <c r="AH695" s="42"/>
      <c r="AI695" s="42"/>
      <c r="AJ695" s="42"/>
      <c r="AK695" s="42"/>
      <c r="AL695" s="42"/>
    </row>
    <row r="696" spans="12:38">
      <c r="L696" s="42"/>
      <c r="M696" s="42"/>
      <c r="N696" s="42"/>
      <c r="O696" s="42"/>
      <c r="P696" s="42"/>
      <c r="Q696" s="42"/>
      <c r="R696" s="42"/>
      <c r="S696" s="42"/>
      <c r="T696" s="42"/>
      <c r="U696" s="42"/>
      <c r="V696" s="42"/>
      <c r="AB696" s="42"/>
      <c r="AC696" s="42"/>
      <c r="AD696" s="42"/>
      <c r="AE696" s="42"/>
      <c r="AF696" s="42"/>
      <c r="AG696" s="42"/>
      <c r="AH696" s="42"/>
      <c r="AI696" s="42"/>
      <c r="AJ696" s="42"/>
      <c r="AK696" s="42"/>
      <c r="AL696" s="42"/>
    </row>
    <row r="697" spans="12:38">
      <c r="L697" s="42"/>
      <c r="M697" s="42"/>
      <c r="N697" s="42"/>
      <c r="O697" s="42"/>
      <c r="P697" s="42"/>
      <c r="Q697" s="42"/>
      <c r="R697" s="42"/>
      <c r="S697" s="42"/>
      <c r="T697" s="42"/>
      <c r="U697" s="42"/>
      <c r="V697" s="42"/>
      <c r="AB697" s="42"/>
      <c r="AC697" s="42"/>
      <c r="AD697" s="42"/>
      <c r="AE697" s="42"/>
      <c r="AF697" s="42"/>
      <c r="AG697" s="42"/>
      <c r="AH697" s="42"/>
      <c r="AI697" s="42"/>
      <c r="AJ697" s="42"/>
      <c r="AK697" s="42"/>
      <c r="AL697" s="42"/>
    </row>
    <row r="698" spans="12:38">
      <c r="L698" s="42"/>
      <c r="M698" s="42"/>
      <c r="N698" s="42"/>
      <c r="O698" s="42"/>
      <c r="P698" s="42"/>
      <c r="Q698" s="42"/>
      <c r="R698" s="42"/>
      <c r="S698" s="42"/>
      <c r="T698" s="42"/>
      <c r="U698" s="42"/>
      <c r="V698" s="42"/>
      <c r="AB698" s="42"/>
      <c r="AC698" s="42"/>
      <c r="AD698" s="42"/>
      <c r="AE698" s="42"/>
      <c r="AF698" s="42"/>
      <c r="AG698" s="42"/>
      <c r="AH698" s="42"/>
      <c r="AI698" s="42"/>
      <c r="AJ698" s="42"/>
      <c r="AK698" s="42"/>
      <c r="AL698" s="42"/>
    </row>
    <row r="699" spans="12:38">
      <c r="L699" s="42"/>
      <c r="M699" s="42"/>
      <c r="N699" s="42"/>
      <c r="O699" s="42"/>
      <c r="P699" s="42"/>
      <c r="Q699" s="42"/>
      <c r="R699" s="42"/>
      <c r="S699" s="42"/>
      <c r="T699" s="42"/>
      <c r="U699" s="42"/>
      <c r="V699" s="42"/>
      <c r="AB699" s="42"/>
      <c r="AC699" s="42"/>
      <c r="AD699" s="42"/>
      <c r="AE699" s="42"/>
      <c r="AF699" s="42"/>
      <c r="AG699" s="42"/>
      <c r="AH699" s="42"/>
      <c r="AI699" s="42"/>
      <c r="AJ699" s="42"/>
      <c r="AK699" s="42"/>
      <c r="AL699" s="42"/>
    </row>
    <row r="700" spans="12:38">
      <c r="L700" s="42"/>
      <c r="M700" s="42"/>
      <c r="N700" s="42"/>
      <c r="O700" s="42"/>
      <c r="P700" s="42"/>
      <c r="Q700" s="42"/>
      <c r="R700" s="42"/>
      <c r="S700" s="42"/>
      <c r="T700" s="42"/>
      <c r="U700" s="42"/>
      <c r="V700" s="42"/>
      <c r="AB700" s="42"/>
      <c r="AC700" s="42"/>
      <c r="AD700" s="42"/>
      <c r="AE700" s="42"/>
      <c r="AF700" s="42"/>
      <c r="AG700" s="42"/>
      <c r="AH700" s="42"/>
      <c r="AI700" s="42"/>
      <c r="AJ700" s="42"/>
      <c r="AK700" s="42"/>
      <c r="AL700" s="42"/>
    </row>
    <row r="701" spans="12:38">
      <c r="L701" s="42"/>
      <c r="M701" s="42"/>
      <c r="N701" s="42"/>
      <c r="O701" s="42"/>
      <c r="P701" s="42"/>
      <c r="Q701" s="42"/>
      <c r="R701" s="42"/>
      <c r="S701" s="42"/>
      <c r="T701" s="42"/>
      <c r="U701" s="42"/>
      <c r="V701" s="42"/>
      <c r="AB701" s="42"/>
      <c r="AC701" s="42"/>
      <c r="AD701" s="42"/>
      <c r="AE701" s="42"/>
      <c r="AF701" s="42"/>
      <c r="AG701" s="42"/>
      <c r="AH701" s="42"/>
      <c r="AI701" s="42"/>
      <c r="AJ701" s="42"/>
      <c r="AK701" s="42"/>
      <c r="AL701" s="42"/>
    </row>
    <row r="702" spans="12:38">
      <c r="L702" s="42"/>
      <c r="M702" s="42"/>
      <c r="N702" s="42"/>
      <c r="O702" s="42"/>
      <c r="P702" s="42"/>
      <c r="Q702" s="42"/>
      <c r="R702" s="42"/>
      <c r="S702" s="42"/>
      <c r="T702" s="42"/>
      <c r="U702" s="42"/>
      <c r="V702" s="42"/>
      <c r="AB702" s="42"/>
      <c r="AC702" s="42"/>
      <c r="AD702" s="42"/>
      <c r="AE702" s="42"/>
      <c r="AF702" s="42"/>
      <c r="AG702" s="42"/>
      <c r="AH702" s="42"/>
      <c r="AI702" s="42"/>
      <c r="AJ702" s="42"/>
      <c r="AK702" s="42"/>
      <c r="AL702" s="42"/>
    </row>
    <row r="703" spans="12:38">
      <c r="L703" s="42"/>
      <c r="M703" s="42"/>
      <c r="N703" s="42"/>
      <c r="O703" s="42"/>
      <c r="P703" s="42"/>
      <c r="Q703" s="42"/>
      <c r="R703" s="42"/>
      <c r="S703" s="42"/>
      <c r="T703" s="42"/>
      <c r="U703" s="42"/>
      <c r="V703" s="42"/>
      <c r="AB703" s="42"/>
      <c r="AC703" s="42"/>
      <c r="AD703" s="42"/>
      <c r="AE703" s="42"/>
      <c r="AF703" s="42"/>
      <c r="AG703" s="42"/>
      <c r="AH703" s="42"/>
      <c r="AI703" s="42"/>
      <c r="AJ703" s="42"/>
      <c r="AK703" s="42"/>
      <c r="AL703" s="42"/>
    </row>
    <row r="704" spans="12:38">
      <c r="L704" s="42"/>
      <c r="M704" s="42"/>
      <c r="N704" s="42"/>
      <c r="O704" s="42"/>
      <c r="P704" s="42"/>
      <c r="Q704" s="42"/>
      <c r="R704" s="42"/>
      <c r="S704" s="42"/>
      <c r="T704" s="42"/>
      <c r="U704" s="42"/>
      <c r="V704" s="42"/>
      <c r="AB704" s="42"/>
      <c r="AC704" s="42"/>
      <c r="AD704" s="42"/>
      <c r="AE704" s="42"/>
      <c r="AF704" s="42"/>
      <c r="AG704" s="42"/>
      <c r="AH704" s="42"/>
      <c r="AI704" s="42"/>
      <c r="AJ704" s="42"/>
      <c r="AK704" s="42"/>
      <c r="AL704" s="42"/>
    </row>
    <row r="705" spans="12:38">
      <c r="L705" s="42"/>
      <c r="M705" s="42"/>
      <c r="N705" s="42"/>
      <c r="O705" s="42"/>
      <c r="P705" s="42"/>
      <c r="Q705" s="42"/>
      <c r="R705" s="42"/>
      <c r="S705" s="42"/>
      <c r="T705" s="42"/>
      <c r="U705" s="42"/>
      <c r="V705" s="42"/>
      <c r="AB705" s="42"/>
      <c r="AC705" s="42"/>
      <c r="AD705" s="42"/>
      <c r="AE705" s="42"/>
      <c r="AF705" s="42"/>
      <c r="AG705" s="42"/>
      <c r="AH705" s="42"/>
      <c r="AI705" s="42"/>
      <c r="AJ705" s="42"/>
      <c r="AK705" s="42"/>
      <c r="AL705" s="42"/>
    </row>
    <row r="706" spans="12:38">
      <c r="L706" s="42"/>
      <c r="M706" s="42"/>
      <c r="N706" s="42"/>
      <c r="O706" s="42"/>
      <c r="P706" s="42"/>
      <c r="Q706" s="42"/>
      <c r="R706" s="42"/>
      <c r="S706" s="42"/>
      <c r="T706" s="42"/>
      <c r="U706" s="42"/>
      <c r="V706" s="42"/>
      <c r="AB706" s="42"/>
      <c r="AC706" s="42"/>
      <c r="AD706" s="42"/>
      <c r="AE706" s="42"/>
      <c r="AF706" s="42"/>
      <c r="AG706" s="42"/>
      <c r="AH706" s="42"/>
      <c r="AI706" s="42"/>
      <c r="AJ706" s="42"/>
      <c r="AK706" s="42"/>
      <c r="AL706" s="42"/>
    </row>
    <row r="707" spans="12:38">
      <c r="L707" s="42"/>
      <c r="M707" s="42"/>
      <c r="N707" s="42"/>
      <c r="O707" s="42"/>
      <c r="P707" s="42"/>
      <c r="Q707" s="42"/>
      <c r="R707" s="42"/>
      <c r="S707" s="42"/>
      <c r="T707" s="42"/>
      <c r="U707" s="42"/>
      <c r="V707" s="42"/>
      <c r="AB707" s="42"/>
      <c r="AC707" s="42"/>
      <c r="AD707" s="42"/>
      <c r="AE707" s="42"/>
      <c r="AF707" s="42"/>
      <c r="AG707" s="42"/>
      <c r="AH707" s="42"/>
      <c r="AI707" s="42"/>
      <c r="AJ707" s="42"/>
      <c r="AK707" s="42"/>
      <c r="AL707" s="42"/>
    </row>
    <row r="708" spans="12:38">
      <c r="L708" s="42"/>
      <c r="M708" s="42"/>
      <c r="N708" s="42"/>
      <c r="O708" s="42"/>
      <c r="P708" s="42"/>
      <c r="Q708" s="42"/>
      <c r="R708" s="42"/>
      <c r="S708" s="42"/>
      <c r="T708" s="42"/>
      <c r="U708" s="42"/>
      <c r="V708" s="42"/>
      <c r="AB708" s="42"/>
      <c r="AC708" s="42"/>
      <c r="AD708" s="42"/>
      <c r="AE708" s="42"/>
      <c r="AF708" s="42"/>
      <c r="AG708" s="42"/>
      <c r="AH708" s="42"/>
      <c r="AI708" s="42"/>
      <c r="AJ708" s="42"/>
      <c r="AK708" s="42"/>
      <c r="AL708" s="42"/>
    </row>
    <row r="709" spans="12:38">
      <c r="L709" s="42"/>
      <c r="M709" s="42"/>
      <c r="N709" s="42"/>
      <c r="O709" s="42"/>
      <c r="P709" s="42"/>
      <c r="Q709" s="42"/>
      <c r="R709" s="42"/>
      <c r="S709" s="42"/>
      <c r="T709" s="42"/>
      <c r="U709" s="42"/>
      <c r="V709" s="42"/>
      <c r="AB709" s="42"/>
      <c r="AC709" s="42"/>
      <c r="AD709" s="42"/>
      <c r="AE709" s="42"/>
      <c r="AF709" s="42"/>
      <c r="AG709" s="42"/>
      <c r="AH709" s="42"/>
      <c r="AI709" s="42"/>
      <c r="AJ709" s="42"/>
      <c r="AK709" s="42"/>
      <c r="AL709" s="42"/>
    </row>
    <row r="710" spans="12:38">
      <c r="L710" s="42"/>
      <c r="M710" s="42"/>
      <c r="N710" s="42"/>
      <c r="O710" s="42"/>
      <c r="P710" s="42"/>
      <c r="Q710" s="42"/>
      <c r="R710" s="42"/>
      <c r="S710" s="42"/>
      <c r="T710" s="42"/>
      <c r="U710" s="42"/>
      <c r="V710" s="42"/>
      <c r="AB710" s="42"/>
      <c r="AC710" s="42"/>
      <c r="AD710" s="42"/>
      <c r="AE710" s="42"/>
      <c r="AF710" s="42"/>
      <c r="AG710" s="42"/>
      <c r="AH710" s="42"/>
      <c r="AI710" s="42"/>
      <c r="AJ710" s="42"/>
      <c r="AK710" s="42"/>
      <c r="AL710" s="42"/>
    </row>
    <row r="711" spans="12:38">
      <c r="L711" s="42"/>
      <c r="M711" s="42"/>
      <c r="N711" s="42"/>
      <c r="O711" s="42"/>
      <c r="P711" s="42"/>
      <c r="Q711" s="42"/>
      <c r="R711" s="42"/>
      <c r="S711" s="42"/>
      <c r="T711" s="42"/>
      <c r="U711" s="42"/>
      <c r="V711" s="42"/>
      <c r="AB711" s="42"/>
      <c r="AC711" s="42"/>
      <c r="AD711" s="42"/>
      <c r="AE711" s="42"/>
      <c r="AF711" s="42"/>
      <c r="AG711" s="42"/>
      <c r="AH711" s="42"/>
      <c r="AI711" s="42"/>
      <c r="AJ711" s="42"/>
      <c r="AK711" s="42"/>
      <c r="AL711" s="42"/>
    </row>
    <row r="712" spans="12:38">
      <c r="L712" s="42"/>
      <c r="M712" s="42"/>
      <c r="N712" s="42"/>
      <c r="O712" s="42"/>
      <c r="P712" s="42"/>
      <c r="Q712" s="42"/>
      <c r="R712" s="42"/>
      <c r="S712" s="42"/>
      <c r="T712" s="42"/>
      <c r="U712" s="42"/>
      <c r="V712" s="42"/>
      <c r="AB712" s="42"/>
      <c r="AC712" s="42"/>
      <c r="AD712" s="42"/>
      <c r="AE712" s="42"/>
      <c r="AF712" s="42"/>
      <c r="AG712" s="42"/>
      <c r="AH712" s="42"/>
      <c r="AI712" s="42"/>
      <c r="AJ712" s="42"/>
      <c r="AK712" s="42"/>
      <c r="AL712" s="42"/>
    </row>
    <row r="713" spans="12:38">
      <c r="L713" s="42"/>
      <c r="M713" s="42"/>
      <c r="N713" s="42"/>
      <c r="O713" s="42"/>
      <c r="P713" s="42"/>
      <c r="Q713" s="42"/>
      <c r="R713" s="42"/>
      <c r="S713" s="42"/>
      <c r="T713" s="42"/>
      <c r="U713" s="42"/>
      <c r="V713" s="42"/>
      <c r="AB713" s="42"/>
      <c r="AC713" s="42"/>
      <c r="AD713" s="42"/>
      <c r="AE713" s="42"/>
      <c r="AF713" s="42"/>
      <c r="AG713" s="42"/>
      <c r="AH713" s="42"/>
      <c r="AI713" s="42"/>
      <c r="AJ713" s="42"/>
      <c r="AK713" s="42"/>
      <c r="AL713" s="42"/>
    </row>
    <row r="714" spans="12:38">
      <c r="L714" s="42"/>
      <c r="M714" s="42"/>
      <c r="N714" s="42"/>
      <c r="O714" s="42"/>
      <c r="P714" s="42"/>
      <c r="Q714" s="42"/>
      <c r="R714" s="42"/>
      <c r="S714" s="42"/>
      <c r="T714" s="42"/>
      <c r="U714" s="42"/>
      <c r="V714" s="42"/>
      <c r="AB714" s="42"/>
      <c r="AC714" s="42"/>
      <c r="AD714" s="42"/>
      <c r="AE714" s="42"/>
      <c r="AF714" s="42"/>
      <c r="AG714" s="42"/>
      <c r="AH714" s="42"/>
      <c r="AI714" s="42"/>
      <c r="AJ714" s="42"/>
      <c r="AK714" s="42"/>
      <c r="AL714" s="42"/>
    </row>
    <row r="715" spans="12:38">
      <c r="L715" s="42"/>
      <c r="M715" s="42"/>
      <c r="N715" s="42"/>
      <c r="O715" s="42"/>
      <c r="P715" s="42"/>
      <c r="Q715" s="42"/>
      <c r="R715" s="42"/>
      <c r="S715" s="42"/>
      <c r="T715" s="42"/>
      <c r="U715" s="42"/>
      <c r="V715" s="42"/>
      <c r="AB715" s="42"/>
      <c r="AC715" s="42"/>
      <c r="AD715" s="42"/>
      <c r="AE715" s="42"/>
      <c r="AF715" s="42"/>
      <c r="AG715" s="42"/>
      <c r="AH715" s="42"/>
      <c r="AI715" s="42"/>
      <c r="AJ715" s="42"/>
      <c r="AK715" s="42"/>
      <c r="AL715" s="42"/>
    </row>
    <row r="716" spans="12:38">
      <c r="L716" s="42"/>
      <c r="M716" s="42"/>
      <c r="N716" s="42"/>
      <c r="O716" s="42"/>
      <c r="P716" s="42"/>
      <c r="Q716" s="42"/>
      <c r="R716" s="42"/>
      <c r="S716" s="42"/>
      <c r="T716" s="42"/>
      <c r="U716" s="42"/>
      <c r="V716" s="42"/>
      <c r="AB716" s="42"/>
      <c r="AC716" s="42"/>
      <c r="AD716" s="42"/>
      <c r="AE716" s="42"/>
      <c r="AF716" s="42"/>
      <c r="AG716" s="42"/>
      <c r="AH716" s="42"/>
      <c r="AI716" s="42"/>
      <c r="AJ716" s="42"/>
      <c r="AK716" s="42"/>
      <c r="AL716" s="42"/>
    </row>
    <row r="717" spans="12:38">
      <c r="L717" s="42"/>
      <c r="M717" s="42"/>
      <c r="N717" s="42"/>
      <c r="O717" s="42"/>
      <c r="P717" s="42"/>
      <c r="Q717" s="42"/>
      <c r="R717" s="42"/>
      <c r="S717" s="42"/>
      <c r="T717" s="42"/>
      <c r="U717" s="42"/>
      <c r="V717" s="42"/>
      <c r="AB717" s="42"/>
      <c r="AC717" s="42"/>
      <c r="AD717" s="42"/>
      <c r="AE717" s="42"/>
      <c r="AF717" s="42"/>
      <c r="AG717" s="42"/>
      <c r="AH717" s="42"/>
      <c r="AI717" s="42"/>
      <c r="AJ717" s="42"/>
      <c r="AK717" s="42"/>
      <c r="AL717" s="42"/>
    </row>
    <row r="718" spans="12:38">
      <c r="L718" s="42"/>
      <c r="M718" s="42"/>
      <c r="N718" s="42"/>
      <c r="O718" s="42"/>
      <c r="P718" s="42"/>
      <c r="Q718" s="42"/>
      <c r="R718" s="42"/>
      <c r="S718" s="42"/>
      <c r="T718" s="42"/>
      <c r="U718" s="42"/>
      <c r="V718" s="42"/>
      <c r="AB718" s="42"/>
      <c r="AC718" s="42"/>
      <c r="AD718" s="42"/>
      <c r="AE718" s="42"/>
      <c r="AF718" s="42"/>
      <c r="AG718" s="42"/>
      <c r="AH718" s="42"/>
      <c r="AI718" s="42"/>
      <c r="AJ718" s="42"/>
      <c r="AK718" s="42"/>
      <c r="AL718" s="42"/>
    </row>
    <row r="719" spans="12:38">
      <c r="L719" s="42"/>
      <c r="M719" s="42"/>
      <c r="N719" s="42"/>
      <c r="O719" s="42"/>
      <c r="P719" s="42"/>
      <c r="Q719" s="42"/>
      <c r="R719" s="42"/>
      <c r="S719" s="42"/>
      <c r="T719" s="42"/>
      <c r="U719" s="42"/>
      <c r="V719" s="42"/>
      <c r="AB719" s="42"/>
      <c r="AC719" s="42"/>
      <c r="AD719" s="42"/>
      <c r="AE719" s="42"/>
      <c r="AF719" s="42"/>
      <c r="AG719" s="42"/>
      <c r="AH719" s="42"/>
      <c r="AI719" s="42"/>
      <c r="AJ719" s="42"/>
      <c r="AK719" s="42"/>
      <c r="AL719" s="42"/>
    </row>
    <row r="720" spans="12:38">
      <c r="L720" s="42"/>
      <c r="M720" s="42"/>
      <c r="N720" s="42"/>
      <c r="O720" s="42"/>
      <c r="P720" s="42"/>
      <c r="Q720" s="42"/>
      <c r="R720" s="42"/>
      <c r="S720" s="42"/>
      <c r="T720" s="42"/>
      <c r="U720" s="42"/>
      <c r="V720" s="42"/>
      <c r="AB720" s="42"/>
      <c r="AC720" s="42"/>
      <c r="AD720" s="42"/>
      <c r="AE720" s="42"/>
      <c r="AF720" s="42"/>
      <c r="AG720" s="42"/>
      <c r="AH720" s="42"/>
      <c r="AI720" s="42"/>
      <c r="AJ720" s="42"/>
      <c r="AK720" s="42"/>
      <c r="AL720" s="42"/>
    </row>
    <row r="721" spans="12:38">
      <c r="L721" s="42"/>
      <c r="M721" s="42"/>
      <c r="N721" s="42"/>
      <c r="O721" s="42"/>
      <c r="P721" s="42"/>
      <c r="Q721" s="42"/>
      <c r="R721" s="42"/>
      <c r="S721" s="42"/>
      <c r="T721" s="42"/>
      <c r="U721" s="42"/>
      <c r="V721" s="42"/>
      <c r="AB721" s="42"/>
      <c r="AC721" s="42"/>
      <c r="AD721" s="42"/>
      <c r="AE721" s="42"/>
      <c r="AF721" s="42"/>
      <c r="AG721" s="42"/>
      <c r="AH721" s="42"/>
      <c r="AI721" s="42"/>
      <c r="AJ721" s="42"/>
      <c r="AK721" s="42"/>
      <c r="AL721" s="42"/>
    </row>
    <row r="722" spans="12:38">
      <c r="L722" s="42"/>
      <c r="M722" s="42"/>
      <c r="N722" s="42"/>
      <c r="O722" s="42"/>
      <c r="P722" s="42"/>
      <c r="Q722" s="42"/>
      <c r="R722" s="42"/>
      <c r="S722" s="42"/>
      <c r="T722" s="42"/>
      <c r="U722" s="42"/>
      <c r="V722" s="42"/>
      <c r="AB722" s="42"/>
      <c r="AC722" s="42"/>
      <c r="AD722" s="42"/>
      <c r="AE722" s="42"/>
      <c r="AF722" s="42"/>
      <c r="AG722" s="42"/>
      <c r="AH722" s="42"/>
      <c r="AI722" s="42"/>
      <c r="AJ722" s="42"/>
      <c r="AK722" s="42"/>
      <c r="AL722" s="42"/>
    </row>
    <row r="723" spans="12:38">
      <c r="L723" s="42"/>
      <c r="M723" s="42"/>
      <c r="N723" s="42"/>
      <c r="O723" s="42"/>
      <c r="P723" s="42"/>
      <c r="Q723" s="42"/>
      <c r="R723" s="42"/>
      <c r="S723" s="42"/>
      <c r="T723" s="42"/>
      <c r="U723" s="42"/>
      <c r="V723" s="42"/>
      <c r="AB723" s="42"/>
      <c r="AC723" s="42"/>
      <c r="AD723" s="42"/>
      <c r="AE723" s="42"/>
      <c r="AF723" s="42"/>
      <c r="AG723" s="42"/>
      <c r="AH723" s="42"/>
      <c r="AI723" s="42"/>
      <c r="AJ723" s="42"/>
      <c r="AK723" s="42"/>
      <c r="AL723" s="42"/>
    </row>
    <row r="724" spans="12:38">
      <c r="L724" s="42"/>
      <c r="M724" s="42"/>
      <c r="N724" s="42"/>
      <c r="O724" s="42"/>
      <c r="P724" s="42"/>
      <c r="Q724" s="42"/>
      <c r="R724" s="42"/>
      <c r="S724" s="42"/>
      <c r="T724" s="42"/>
      <c r="U724" s="42"/>
      <c r="V724" s="42"/>
      <c r="AB724" s="42"/>
      <c r="AC724" s="42"/>
      <c r="AD724" s="42"/>
      <c r="AE724" s="42"/>
      <c r="AF724" s="42"/>
      <c r="AG724" s="42"/>
      <c r="AH724" s="42"/>
      <c r="AI724" s="42"/>
      <c r="AJ724" s="42"/>
      <c r="AK724" s="42"/>
      <c r="AL724" s="42"/>
    </row>
    <row r="725" spans="12:38">
      <c r="L725" s="42"/>
      <c r="M725" s="42"/>
      <c r="N725" s="42"/>
      <c r="O725" s="42"/>
      <c r="P725" s="42"/>
      <c r="Q725" s="42"/>
      <c r="R725" s="42"/>
      <c r="S725" s="42"/>
      <c r="T725" s="42"/>
      <c r="U725" s="42"/>
      <c r="V725" s="42"/>
      <c r="AB725" s="42"/>
      <c r="AC725" s="42"/>
      <c r="AD725" s="42"/>
      <c r="AE725" s="42"/>
      <c r="AF725" s="42"/>
      <c r="AG725" s="42"/>
      <c r="AH725" s="42"/>
      <c r="AI725" s="42"/>
      <c r="AJ725" s="42"/>
      <c r="AK725" s="42"/>
      <c r="AL725" s="42"/>
    </row>
    <row r="726" spans="12:38">
      <c r="L726" s="42"/>
      <c r="M726" s="42"/>
      <c r="N726" s="42"/>
      <c r="O726" s="42"/>
      <c r="P726" s="42"/>
      <c r="Q726" s="42"/>
      <c r="R726" s="42"/>
      <c r="S726" s="42"/>
      <c r="T726" s="42"/>
      <c r="U726" s="42"/>
      <c r="V726" s="42"/>
      <c r="AB726" s="42"/>
      <c r="AC726" s="42"/>
      <c r="AD726" s="42"/>
      <c r="AE726" s="42"/>
      <c r="AF726" s="42"/>
      <c r="AG726" s="42"/>
      <c r="AH726" s="42"/>
      <c r="AI726" s="42"/>
      <c r="AJ726" s="42"/>
      <c r="AK726" s="42"/>
      <c r="AL726" s="42"/>
    </row>
    <row r="727" spans="12:38">
      <c r="L727" s="42"/>
      <c r="M727" s="42"/>
      <c r="N727" s="42"/>
      <c r="O727" s="42"/>
      <c r="P727" s="42"/>
      <c r="Q727" s="42"/>
      <c r="R727" s="42"/>
      <c r="S727" s="42"/>
      <c r="T727" s="42"/>
      <c r="U727" s="42"/>
      <c r="V727" s="42"/>
      <c r="AB727" s="42"/>
      <c r="AC727" s="42"/>
      <c r="AD727" s="42"/>
      <c r="AE727" s="42"/>
      <c r="AF727" s="42"/>
      <c r="AG727" s="42"/>
      <c r="AH727" s="42"/>
      <c r="AI727" s="42"/>
      <c r="AJ727" s="42"/>
      <c r="AK727" s="42"/>
      <c r="AL727" s="42"/>
    </row>
    <row r="728" spans="12:38">
      <c r="L728" s="42"/>
      <c r="M728" s="42"/>
      <c r="N728" s="42"/>
      <c r="O728" s="42"/>
      <c r="P728" s="42"/>
      <c r="Q728" s="42"/>
      <c r="R728" s="42"/>
      <c r="S728" s="42"/>
      <c r="T728" s="42"/>
      <c r="U728" s="42"/>
      <c r="V728" s="42"/>
      <c r="AB728" s="42"/>
      <c r="AC728" s="42"/>
      <c r="AD728" s="42"/>
      <c r="AE728" s="42"/>
      <c r="AF728" s="42"/>
      <c r="AG728" s="42"/>
      <c r="AH728" s="42"/>
      <c r="AI728" s="42"/>
      <c r="AJ728" s="42"/>
      <c r="AK728" s="42"/>
      <c r="AL728" s="42"/>
    </row>
    <row r="729" spans="12:38">
      <c r="L729" s="42"/>
      <c r="M729" s="42"/>
      <c r="N729" s="42"/>
      <c r="O729" s="42"/>
      <c r="P729" s="42"/>
      <c r="Q729" s="42"/>
      <c r="R729" s="42"/>
      <c r="S729" s="42"/>
      <c r="T729" s="42"/>
      <c r="U729" s="42"/>
      <c r="V729" s="42"/>
      <c r="AB729" s="42"/>
      <c r="AC729" s="42"/>
      <c r="AD729" s="42"/>
      <c r="AE729" s="42"/>
      <c r="AF729" s="42"/>
      <c r="AG729" s="42"/>
      <c r="AH729" s="42"/>
      <c r="AI729" s="42"/>
      <c r="AJ729" s="42"/>
      <c r="AK729" s="42"/>
      <c r="AL729" s="42"/>
    </row>
    <row r="730" spans="12:38">
      <c r="L730" s="42"/>
      <c r="M730" s="42"/>
      <c r="N730" s="42"/>
      <c r="O730" s="42"/>
      <c r="P730" s="42"/>
      <c r="Q730" s="42"/>
      <c r="R730" s="42"/>
      <c r="S730" s="42"/>
      <c r="T730" s="42"/>
      <c r="U730" s="42"/>
      <c r="V730" s="42"/>
      <c r="AB730" s="42"/>
      <c r="AC730" s="42"/>
      <c r="AD730" s="42"/>
      <c r="AE730" s="42"/>
      <c r="AF730" s="42"/>
      <c r="AG730" s="42"/>
      <c r="AH730" s="42"/>
      <c r="AI730" s="42"/>
      <c r="AJ730" s="42"/>
      <c r="AK730" s="42"/>
      <c r="AL730" s="42"/>
    </row>
    <row r="731" spans="12:38">
      <c r="L731" s="42"/>
      <c r="M731" s="42"/>
      <c r="N731" s="42"/>
      <c r="O731" s="42"/>
      <c r="P731" s="42"/>
      <c r="Q731" s="42"/>
      <c r="R731" s="42"/>
      <c r="S731" s="42"/>
      <c r="T731" s="42"/>
      <c r="U731" s="42"/>
      <c r="V731" s="42"/>
      <c r="AB731" s="42"/>
      <c r="AC731" s="42"/>
      <c r="AD731" s="42"/>
      <c r="AE731" s="42"/>
      <c r="AF731" s="42"/>
      <c r="AG731" s="42"/>
      <c r="AH731" s="42"/>
      <c r="AI731" s="42"/>
      <c r="AJ731" s="42"/>
      <c r="AK731" s="42"/>
      <c r="AL731" s="42"/>
    </row>
    <row r="732" spans="12:38">
      <c r="L732" s="42"/>
      <c r="M732" s="42"/>
      <c r="N732" s="42"/>
      <c r="O732" s="42"/>
      <c r="P732" s="42"/>
      <c r="Q732" s="42"/>
      <c r="R732" s="42"/>
      <c r="S732" s="42"/>
      <c r="T732" s="42"/>
      <c r="U732" s="42"/>
      <c r="V732" s="42"/>
      <c r="AB732" s="42"/>
      <c r="AC732" s="42"/>
      <c r="AD732" s="42"/>
      <c r="AE732" s="42"/>
      <c r="AF732" s="42"/>
      <c r="AG732" s="42"/>
      <c r="AH732" s="42"/>
      <c r="AI732" s="42"/>
      <c r="AJ732" s="42"/>
      <c r="AK732" s="42"/>
      <c r="AL732" s="42"/>
    </row>
    <row r="733" spans="12:38">
      <c r="L733" s="42"/>
      <c r="M733" s="42"/>
      <c r="N733" s="42"/>
      <c r="O733" s="42"/>
      <c r="P733" s="42"/>
      <c r="Q733" s="42"/>
      <c r="R733" s="42"/>
      <c r="S733" s="42"/>
      <c r="T733" s="42"/>
      <c r="U733" s="42"/>
      <c r="V733" s="42"/>
      <c r="AB733" s="42"/>
      <c r="AC733" s="42"/>
      <c r="AD733" s="42"/>
      <c r="AE733" s="42"/>
      <c r="AF733" s="42"/>
      <c r="AG733" s="42"/>
      <c r="AH733" s="42"/>
      <c r="AI733" s="42"/>
      <c r="AJ733" s="42"/>
      <c r="AK733" s="42"/>
      <c r="AL733" s="42"/>
    </row>
    <row r="734" spans="12:38">
      <c r="L734" s="42"/>
      <c r="M734" s="42"/>
      <c r="N734" s="42"/>
      <c r="O734" s="42"/>
      <c r="P734" s="42"/>
      <c r="Q734" s="42"/>
      <c r="R734" s="42"/>
      <c r="S734" s="42"/>
      <c r="T734" s="42"/>
      <c r="U734" s="42"/>
      <c r="V734" s="42"/>
      <c r="AB734" s="42"/>
      <c r="AC734" s="42"/>
      <c r="AD734" s="42"/>
      <c r="AE734" s="42"/>
      <c r="AF734" s="42"/>
      <c r="AG734" s="42"/>
      <c r="AH734" s="42"/>
      <c r="AI734" s="42"/>
      <c r="AJ734" s="42"/>
      <c r="AK734" s="42"/>
      <c r="AL734" s="42"/>
    </row>
    <row r="735" spans="12:38">
      <c r="L735" s="42"/>
      <c r="M735" s="42"/>
      <c r="N735" s="42"/>
      <c r="O735" s="42"/>
      <c r="P735" s="42"/>
      <c r="Q735" s="42"/>
      <c r="R735" s="42"/>
      <c r="S735" s="42"/>
      <c r="T735" s="42"/>
      <c r="U735" s="42"/>
      <c r="V735" s="42"/>
      <c r="AB735" s="42"/>
      <c r="AC735" s="42"/>
      <c r="AD735" s="42"/>
      <c r="AE735" s="42"/>
      <c r="AF735" s="42"/>
      <c r="AG735" s="42"/>
      <c r="AH735" s="42"/>
      <c r="AI735" s="42"/>
      <c r="AJ735" s="42"/>
      <c r="AK735" s="42"/>
      <c r="AL735" s="42"/>
    </row>
    <row r="736" spans="12:38">
      <c r="L736" s="42"/>
      <c r="M736" s="42"/>
      <c r="N736" s="42"/>
      <c r="O736" s="42"/>
      <c r="P736" s="42"/>
      <c r="Q736" s="42"/>
      <c r="R736" s="42"/>
      <c r="S736" s="42"/>
      <c r="T736" s="42"/>
      <c r="U736" s="42"/>
      <c r="V736" s="42"/>
      <c r="AB736" s="42"/>
      <c r="AC736" s="42"/>
      <c r="AD736" s="42"/>
      <c r="AE736" s="42"/>
      <c r="AF736" s="42"/>
      <c r="AG736" s="42"/>
      <c r="AH736" s="42"/>
      <c r="AI736" s="42"/>
      <c r="AJ736" s="42"/>
      <c r="AK736" s="42"/>
      <c r="AL736" s="42"/>
    </row>
    <row r="737" spans="12:38">
      <c r="L737" s="42"/>
      <c r="M737" s="42"/>
      <c r="N737" s="42"/>
      <c r="O737" s="42"/>
      <c r="P737" s="42"/>
      <c r="Q737" s="42"/>
      <c r="R737" s="42"/>
      <c r="S737" s="42"/>
      <c r="T737" s="42"/>
      <c r="U737" s="42"/>
      <c r="V737" s="42"/>
      <c r="AB737" s="42"/>
      <c r="AC737" s="42"/>
      <c r="AD737" s="42"/>
      <c r="AE737" s="42"/>
      <c r="AF737" s="42"/>
      <c r="AG737" s="42"/>
      <c r="AH737" s="42"/>
      <c r="AI737" s="42"/>
      <c r="AJ737" s="42"/>
      <c r="AK737" s="42"/>
      <c r="AL737" s="42"/>
    </row>
    <row r="738" spans="12:38">
      <c r="L738" s="42"/>
      <c r="M738" s="42"/>
      <c r="N738" s="42"/>
      <c r="O738" s="42"/>
      <c r="P738" s="42"/>
      <c r="Q738" s="42"/>
      <c r="R738" s="42"/>
      <c r="S738" s="42"/>
      <c r="T738" s="42"/>
      <c r="U738" s="42"/>
      <c r="V738" s="42"/>
      <c r="AB738" s="42"/>
      <c r="AC738" s="42"/>
      <c r="AD738" s="42"/>
      <c r="AE738" s="42"/>
      <c r="AF738" s="42"/>
      <c r="AG738" s="42"/>
      <c r="AH738" s="42"/>
      <c r="AI738" s="42"/>
      <c r="AJ738" s="42"/>
      <c r="AK738" s="42"/>
      <c r="AL738" s="42"/>
    </row>
    <row r="739" spans="12:38">
      <c r="L739" s="42"/>
      <c r="M739" s="42"/>
      <c r="N739" s="42"/>
      <c r="O739" s="42"/>
      <c r="P739" s="42"/>
      <c r="Q739" s="42"/>
      <c r="R739" s="42"/>
      <c r="S739" s="42"/>
      <c r="T739" s="42"/>
      <c r="U739" s="42"/>
      <c r="V739" s="42"/>
      <c r="AB739" s="42"/>
      <c r="AC739" s="42"/>
      <c r="AD739" s="42"/>
      <c r="AE739" s="42"/>
      <c r="AF739" s="42"/>
      <c r="AG739" s="42"/>
      <c r="AH739" s="42"/>
      <c r="AI739" s="42"/>
      <c r="AJ739" s="42"/>
      <c r="AK739" s="42"/>
      <c r="AL739" s="42"/>
    </row>
    <row r="740" spans="12:38">
      <c r="L740" s="42"/>
      <c r="M740" s="42"/>
      <c r="N740" s="42"/>
      <c r="O740" s="42"/>
      <c r="P740" s="42"/>
      <c r="Q740" s="42"/>
      <c r="R740" s="42"/>
      <c r="S740" s="42"/>
      <c r="T740" s="42"/>
      <c r="U740" s="42"/>
      <c r="V740" s="42"/>
      <c r="AB740" s="42"/>
      <c r="AC740" s="42"/>
      <c r="AD740" s="42"/>
      <c r="AE740" s="42"/>
      <c r="AF740" s="42"/>
      <c r="AG740" s="42"/>
      <c r="AH740" s="42"/>
      <c r="AI740" s="42"/>
      <c r="AJ740" s="42"/>
      <c r="AK740" s="42"/>
      <c r="AL740" s="42"/>
    </row>
    <row r="741" spans="12:38">
      <c r="L741" s="42"/>
      <c r="M741" s="42"/>
      <c r="N741" s="42"/>
      <c r="O741" s="42"/>
      <c r="P741" s="42"/>
      <c r="Q741" s="42"/>
      <c r="R741" s="42"/>
      <c r="S741" s="42"/>
      <c r="T741" s="42"/>
      <c r="U741" s="42"/>
      <c r="V741" s="42"/>
      <c r="AB741" s="42"/>
      <c r="AC741" s="42"/>
      <c r="AD741" s="42"/>
      <c r="AE741" s="42"/>
      <c r="AF741" s="42"/>
      <c r="AG741" s="42"/>
      <c r="AH741" s="42"/>
      <c r="AI741" s="42"/>
      <c r="AJ741" s="42"/>
      <c r="AK741" s="42"/>
      <c r="AL741" s="42"/>
    </row>
    <row r="742" spans="12:38">
      <c r="L742" s="42"/>
      <c r="M742" s="42"/>
      <c r="N742" s="42"/>
      <c r="O742" s="42"/>
      <c r="P742" s="42"/>
      <c r="Q742" s="42"/>
      <c r="R742" s="42"/>
      <c r="S742" s="42"/>
      <c r="T742" s="42"/>
      <c r="U742" s="42"/>
      <c r="V742" s="42"/>
      <c r="AB742" s="42"/>
      <c r="AC742" s="42"/>
      <c r="AD742" s="42"/>
      <c r="AE742" s="42"/>
      <c r="AF742" s="42"/>
      <c r="AG742" s="42"/>
      <c r="AH742" s="42"/>
      <c r="AI742" s="42"/>
      <c r="AJ742" s="42"/>
      <c r="AK742" s="42"/>
      <c r="AL742" s="42"/>
    </row>
    <row r="743" spans="12:38">
      <c r="L743" s="42"/>
      <c r="M743" s="42"/>
      <c r="N743" s="42"/>
      <c r="O743" s="42"/>
      <c r="P743" s="42"/>
      <c r="Q743" s="42"/>
      <c r="R743" s="42"/>
      <c r="S743" s="42"/>
      <c r="T743" s="42"/>
      <c r="U743" s="42"/>
      <c r="V743" s="42"/>
      <c r="AB743" s="42"/>
      <c r="AC743" s="42"/>
      <c r="AD743" s="42"/>
      <c r="AE743" s="42"/>
      <c r="AF743" s="42"/>
      <c r="AG743" s="42"/>
      <c r="AH743" s="42"/>
      <c r="AI743" s="42"/>
      <c r="AJ743" s="42"/>
      <c r="AK743" s="42"/>
      <c r="AL743" s="42"/>
    </row>
    <row r="744" spans="12:38">
      <c r="L744" s="42"/>
      <c r="M744" s="42"/>
      <c r="N744" s="42"/>
      <c r="O744" s="42"/>
      <c r="P744" s="42"/>
      <c r="Q744" s="42"/>
      <c r="R744" s="42"/>
      <c r="S744" s="42"/>
      <c r="T744" s="42"/>
      <c r="U744" s="42"/>
      <c r="V744" s="42"/>
      <c r="AB744" s="42"/>
      <c r="AC744" s="42"/>
      <c r="AD744" s="42"/>
      <c r="AE744" s="42"/>
      <c r="AF744" s="42"/>
      <c r="AG744" s="42"/>
      <c r="AH744" s="42"/>
      <c r="AI744" s="42"/>
      <c r="AJ744" s="42"/>
      <c r="AK744" s="42"/>
      <c r="AL744" s="42"/>
    </row>
    <row r="745" spans="12:38">
      <c r="L745" s="42"/>
      <c r="M745" s="42"/>
      <c r="N745" s="42"/>
      <c r="O745" s="42"/>
      <c r="P745" s="42"/>
      <c r="Q745" s="42"/>
      <c r="R745" s="42"/>
      <c r="S745" s="42"/>
      <c r="T745" s="42"/>
      <c r="U745" s="42"/>
      <c r="V745" s="42"/>
      <c r="AB745" s="42"/>
      <c r="AC745" s="42"/>
      <c r="AD745" s="42"/>
      <c r="AE745" s="42"/>
      <c r="AF745" s="42"/>
      <c r="AG745" s="42"/>
      <c r="AH745" s="42"/>
      <c r="AI745" s="42"/>
      <c r="AJ745" s="42"/>
      <c r="AK745" s="42"/>
      <c r="AL745" s="42"/>
    </row>
    <row r="746" spans="12:38">
      <c r="L746" s="42"/>
      <c r="M746" s="42"/>
      <c r="N746" s="42"/>
      <c r="O746" s="42"/>
      <c r="P746" s="42"/>
      <c r="Q746" s="42"/>
      <c r="R746" s="42"/>
      <c r="S746" s="42"/>
      <c r="T746" s="42"/>
      <c r="U746" s="42"/>
      <c r="V746" s="42"/>
      <c r="AB746" s="42"/>
      <c r="AC746" s="42"/>
      <c r="AD746" s="42"/>
      <c r="AE746" s="42"/>
      <c r="AF746" s="42"/>
      <c r="AG746" s="42"/>
      <c r="AH746" s="42"/>
      <c r="AI746" s="42"/>
      <c r="AJ746" s="42"/>
      <c r="AK746" s="42"/>
      <c r="AL746" s="42"/>
    </row>
    <row r="747" spans="12:38">
      <c r="L747" s="42"/>
      <c r="M747" s="42"/>
      <c r="N747" s="42"/>
      <c r="O747" s="42"/>
      <c r="P747" s="42"/>
      <c r="Q747" s="42"/>
      <c r="R747" s="42"/>
      <c r="S747" s="42"/>
      <c r="T747" s="42"/>
      <c r="U747" s="42"/>
      <c r="V747" s="42"/>
      <c r="AB747" s="42"/>
      <c r="AC747" s="42"/>
      <c r="AD747" s="42"/>
      <c r="AE747" s="42"/>
      <c r="AF747" s="42"/>
      <c r="AG747" s="42"/>
      <c r="AH747" s="42"/>
      <c r="AI747" s="42"/>
      <c r="AJ747" s="42"/>
      <c r="AK747" s="42"/>
      <c r="AL747" s="42"/>
    </row>
    <row r="748" spans="12:38">
      <c r="L748" s="42"/>
      <c r="M748" s="42"/>
      <c r="N748" s="42"/>
      <c r="O748" s="42"/>
      <c r="P748" s="42"/>
      <c r="Q748" s="42"/>
      <c r="R748" s="42"/>
      <c r="S748" s="42"/>
      <c r="T748" s="42"/>
      <c r="U748" s="42"/>
      <c r="V748" s="42"/>
      <c r="AB748" s="42"/>
      <c r="AC748" s="42"/>
      <c r="AD748" s="42"/>
      <c r="AE748" s="42"/>
      <c r="AF748" s="42"/>
      <c r="AG748" s="42"/>
      <c r="AH748" s="42"/>
      <c r="AI748" s="42"/>
      <c r="AJ748" s="42"/>
      <c r="AK748" s="42"/>
      <c r="AL748" s="42"/>
    </row>
    <row r="749" spans="12:38">
      <c r="L749" s="42"/>
      <c r="M749" s="42"/>
      <c r="N749" s="42"/>
      <c r="O749" s="42"/>
      <c r="P749" s="42"/>
      <c r="Q749" s="42"/>
      <c r="R749" s="42"/>
      <c r="S749" s="42"/>
      <c r="T749" s="42"/>
      <c r="U749" s="42"/>
      <c r="V749" s="42"/>
      <c r="AB749" s="42"/>
      <c r="AC749" s="42"/>
      <c r="AD749" s="42"/>
      <c r="AE749" s="42"/>
      <c r="AF749" s="42"/>
      <c r="AG749" s="42"/>
      <c r="AH749" s="42"/>
      <c r="AI749" s="42"/>
      <c r="AJ749" s="42"/>
      <c r="AK749" s="42"/>
      <c r="AL749" s="42"/>
    </row>
    <row r="750" spans="12:38">
      <c r="L750" s="42"/>
      <c r="M750" s="42"/>
      <c r="N750" s="42"/>
      <c r="O750" s="42"/>
      <c r="P750" s="42"/>
      <c r="Q750" s="42"/>
      <c r="R750" s="42"/>
      <c r="S750" s="42"/>
      <c r="T750" s="42"/>
      <c r="U750" s="42"/>
      <c r="V750" s="42"/>
      <c r="AB750" s="42"/>
      <c r="AC750" s="42"/>
      <c r="AD750" s="42"/>
      <c r="AE750" s="42"/>
      <c r="AF750" s="42"/>
      <c r="AG750" s="42"/>
      <c r="AH750" s="42"/>
      <c r="AI750" s="42"/>
      <c r="AJ750" s="42"/>
      <c r="AK750" s="42"/>
      <c r="AL750" s="42"/>
    </row>
    <row r="751" spans="12:38">
      <c r="L751" s="42"/>
      <c r="M751" s="42"/>
      <c r="N751" s="42"/>
      <c r="O751" s="42"/>
      <c r="P751" s="42"/>
      <c r="Q751" s="42"/>
      <c r="R751" s="42"/>
      <c r="S751" s="42"/>
      <c r="T751" s="42"/>
      <c r="U751" s="42"/>
      <c r="V751" s="42"/>
      <c r="AB751" s="42"/>
      <c r="AC751" s="42"/>
      <c r="AD751" s="42"/>
      <c r="AE751" s="42"/>
      <c r="AF751" s="42"/>
      <c r="AG751" s="42"/>
      <c r="AH751" s="42"/>
      <c r="AI751" s="42"/>
      <c r="AJ751" s="42"/>
      <c r="AK751" s="42"/>
      <c r="AL751" s="42"/>
    </row>
    <row r="752" spans="12:38">
      <c r="L752" s="42"/>
      <c r="M752" s="42"/>
      <c r="N752" s="42"/>
      <c r="O752" s="42"/>
      <c r="P752" s="42"/>
      <c r="Q752" s="42"/>
      <c r="R752" s="42"/>
      <c r="S752" s="42"/>
      <c r="T752" s="42"/>
      <c r="U752" s="42"/>
      <c r="V752" s="42"/>
      <c r="AB752" s="42"/>
      <c r="AC752" s="42"/>
      <c r="AD752" s="42"/>
      <c r="AE752" s="42"/>
      <c r="AF752" s="42"/>
      <c r="AG752" s="42"/>
      <c r="AH752" s="42"/>
      <c r="AI752" s="42"/>
      <c r="AJ752" s="42"/>
      <c r="AK752" s="42"/>
      <c r="AL752" s="42"/>
    </row>
    <row r="753" spans="12:38">
      <c r="L753" s="42"/>
      <c r="M753" s="42"/>
      <c r="N753" s="42"/>
      <c r="O753" s="42"/>
      <c r="P753" s="42"/>
      <c r="Q753" s="42"/>
      <c r="R753" s="42"/>
      <c r="S753" s="42"/>
      <c r="T753" s="42"/>
      <c r="U753" s="42"/>
      <c r="V753" s="42"/>
      <c r="AB753" s="42"/>
      <c r="AC753" s="42"/>
      <c r="AD753" s="42"/>
      <c r="AE753" s="42"/>
      <c r="AF753" s="42"/>
      <c r="AG753" s="42"/>
      <c r="AH753" s="42"/>
      <c r="AI753" s="42"/>
      <c r="AJ753" s="42"/>
      <c r="AK753" s="42"/>
      <c r="AL753" s="42"/>
    </row>
    <row r="754" spans="12:38">
      <c r="L754" s="42"/>
      <c r="M754" s="42"/>
      <c r="N754" s="42"/>
      <c r="O754" s="42"/>
      <c r="P754" s="42"/>
      <c r="Q754" s="42"/>
      <c r="R754" s="42"/>
      <c r="S754" s="42"/>
      <c r="T754" s="42"/>
      <c r="U754" s="42"/>
      <c r="V754" s="42"/>
      <c r="AB754" s="42"/>
      <c r="AC754" s="42"/>
      <c r="AD754" s="42"/>
      <c r="AE754" s="42"/>
      <c r="AF754" s="42"/>
      <c r="AG754" s="42"/>
      <c r="AH754" s="42"/>
      <c r="AI754" s="42"/>
      <c r="AJ754" s="42"/>
      <c r="AK754" s="42"/>
      <c r="AL754" s="42"/>
    </row>
    <row r="755" spans="12:38">
      <c r="L755" s="42"/>
      <c r="M755" s="42"/>
      <c r="N755" s="42"/>
      <c r="O755" s="42"/>
      <c r="P755" s="42"/>
      <c r="Q755" s="42"/>
      <c r="R755" s="42"/>
      <c r="S755" s="42"/>
      <c r="T755" s="42"/>
      <c r="U755" s="42"/>
      <c r="V755" s="42"/>
      <c r="AB755" s="42"/>
      <c r="AC755" s="42"/>
      <c r="AD755" s="42"/>
      <c r="AE755" s="42"/>
      <c r="AF755" s="42"/>
      <c r="AG755" s="42"/>
      <c r="AH755" s="42"/>
      <c r="AI755" s="42"/>
      <c r="AJ755" s="42"/>
      <c r="AK755" s="42"/>
      <c r="AL755" s="42"/>
    </row>
    <row r="756" spans="12:38">
      <c r="L756" s="42"/>
      <c r="M756" s="42"/>
      <c r="N756" s="42"/>
      <c r="O756" s="42"/>
      <c r="P756" s="42"/>
      <c r="Q756" s="42"/>
      <c r="R756" s="42"/>
      <c r="S756" s="42"/>
      <c r="T756" s="42"/>
      <c r="U756" s="42"/>
      <c r="V756" s="42"/>
      <c r="AB756" s="42"/>
      <c r="AC756" s="42"/>
      <c r="AD756" s="42"/>
      <c r="AE756" s="42"/>
      <c r="AF756" s="42"/>
      <c r="AG756" s="42"/>
      <c r="AH756" s="42"/>
      <c r="AI756" s="42"/>
      <c r="AJ756" s="42"/>
      <c r="AK756" s="42"/>
      <c r="AL756" s="42"/>
    </row>
    <row r="757" spans="12:38">
      <c r="L757" s="42"/>
      <c r="M757" s="42"/>
      <c r="N757" s="42"/>
      <c r="O757" s="42"/>
      <c r="P757" s="42"/>
      <c r="Q757" s="42"/>
      <c r="R757" s="42"/>
      <c r="S757" s="42"/>
      <c r="T757" s="42"/>
      <c r="U757" s="42"/>
      <c r="V757" s="42"/>
      <c r="AB757" s="42"/>
      <c r="AC757" s="42"/>
      <c r="AD757" s="42"/>
      <c r="AE757" s="42"/>
      <c r="AF757" s="42"/>
      <c r="AG757" s="42"/>
      <c r="AH757" s="42"/>
      <c r="AI757" s="42"/>
      <c r="AJ757" s="42"/>
      <c r="AK757" s="42"/>
      <c r="AL757" s="42"/>
    </row>
    <row r="758" spans="12:38">
      <c r="L758" s="42"/>
      <c r="M758" s="42"/>
      <c r="N758" s="42"/>
      <c r="O758" s="42"/>
      <c r="P758" s="42"/>
      <c r="Q758" s="42"/>
      <c r="R758" s="42"/>
      <c r="S758" s="42"/>
      <c r="T758" s="42"/>
      <c r="U758" s="42"/>
      <c r="V758" s="42"/>
      <c r="AB758" s="42"/>
      <c r="AC758" s="42"/>
      <c r="AD758" s="42"/>
      <c r="AE758" s="42"/>
      <c r="AF758" s="42"/>
      <c r="AG758" s="42"/>
      <c r="AH758" s="42"/>
      <c r="AI758" s="42"/>
      <c r="AJ758" s="42"/>
      <c r="AK758" s="42"/>
      <c r="AL758" s="42"/>
    </row>
    <row r="759" spans="12:38">
      <c r="L759" s="42"/>
      <c r="M759" s="42"/>
      <c r="N759" s="42"/>
      <c r="O759" s="42"/>
      <c r="P759" s="42"/>
      <c r="Q759" s="42"/>
      <c r="R759" s="42"/>
      <c r="S759" s="42"/>
      <c r="T759" s="42"/>
      <c r="U759" s="42"/>
      <c r="V759" s="42"/>
      <c r="AB759" s="42"/>
      <c r="AC759" s="42"/>
      <c r="AD759" s="42"/>
      <c r="AE759" s="42"/>
      <c r="AF759" s="42"/>
      <c r="AG759" s="42"/>
      <c r="AH759" s="42"/>
      <c r="AI759" s="42"/>
      <c r="AJ759" s="42"/>
      <c r="AK759" s="42"/>
      <c r="AL759" s="42"/>
    </row>
    <row r="760" spans="12:38">
      <c r="L760" s="42"/>
      <c r="M760" s="42"/>
      <c r="N760" s="42"/>
      <c r="O760" s="42"/>
      <c r="P760" s="42"/>
      <c r="Q760" s="42"/>
      <c r="R760" s="42"/>
      <c r="S760" s="42"/>
      <c r="T760" s="42"/>
      <c r="U760" s="42"/>
      <c r="V760" s="42"/>
      <c r="AB760" s="42"/>
      <c r="AC760" s="42"/>
      <c r="AD760" s="42"/>
      <c r="AE760" s="42"/>
      <c r="AF760" s="42"/>
      <c r="AG760" s="42"/>
      <c r="AH760" s="42"/>
      <c r="AI760" s="42"/>
      <c r="AJ760" s="42"/>
      <c r="AK760" s="42"/>
      <c r="AL760" s="42"/>
    </row>
    <row r="761" spans="12:38">
      <c r="L761" s="42"/>
      <c r="M761" s="42"/>
      <c r="N761" s="42"/>
      <c r="O761" s="42"/>
      <c r="P761" s="42"/>
      <c r="Q761" s="42"/>
      <c r="R761" s="42"/>
      <c r="S761" s="42"/>
      <c r="T761" s="42"/>
      <c r="U761" s="42"/>
      <c r="V761" s="42"/>
      <c r="AB761" s="42"/>
      <c r="AC761" s="42"/>
      <c r="AD761" s="42"/>
      <c r="AE761" s="42"/>
      <c r="AF761" s="42"/>
      <c r="AG761" s="42"/>
      <c r="AH761" s="42"/>
      <c r="AI761" s="42"/>
      <c r="AJ761" s="42"/>
      <c r="AK761" s="42"/>
      <c r="AL761" s="42"/>
    </row>
    <row r="762" spans="12:38">
      <c r="L762" s="42"/>
      <c r="M762" s="42"/>
      <c r="N762" s="42"/>
      <c r="O762" s="42"/>
      <c r="P762" s="42"/>
      <c r="Q762" s="42"/>
      <c r="R762" s="42"/>
      <c r="S762" s="42"/>
      <c r="T762" s="42"/>
      <c r="U762" s="42"/>
      <c r="V762" s="42"/>
      <c r="AB762" s="42"/>
      <c r="AC762" s="42"/>
      <c r="AD762" s="42"/>
      <c r="AE762" s="42"/>
      <c r="AF762" s="42"/>
      <c r="AG762" s="42"/>
      <c r="AH762" s="42"/>
      <c r="AI762" s="42"/>
      <c r="AJ762" s="42"/>
      <c r="AK762" s="42"/>
      <c r="AL762" s="42"/>
    </row>
    <row r="763" spans="12:38">
      <c r="L763" s="42"/>
      <c r="M763" s="42"/>
      <c r="N763" s="42"/>
      <c r="O763" s="42"/>
      <c r="P763" s="42"/>
      <c r="Q763" s="42"/>
      <c r="R763" s="42"/>
      <c r="S763" s="42"/>
      <c r="T763" s="42"/>
      <c r="U763" s="42"/>
      <c r="V763" s="42"/>
      <c r="AB763" s="42"/>
      <c r="AC763" s="42"/>
      <c r="AD763" s="42"/>
      <c r="AE763" s="42"/>
      <c r="AF763" s="42"/>
      <c r="AG763" s="42"/>
      <c r="AH763" s="42"/>
      <c r="AI763" s="42"/>
      <c r="AJ763" s="42"/>
      <c r="AK763" s="42"/>
      <c r="AL763" s="42"/>
    </row>
    <row r="764" spans="12:38">
      <c r="L764" s="42"/>
      <c r="M764" s="42"/>
      <c r="N764" s="42"/>
      <c r="O764" s="42"/>
      <c r="P764" s="42"/>
      <c r="Q764" s="42"/>
      <c r="R764" s="42"/>
      <c r="S764" s="42"/>
      <c r="T764" s="42"/>
      <c r="U764" s="42"/>
      <c r="V764" s="42"/>
      <c r="AB764" s="42"/>
      <c r="AC764" s="42"/>
      <c r="AD764" s="42"/>
      <c r="AE764" s="42"/>
      <c r="AF764" s="42"/>
      <c r="AG764" s="42"/>
      <c r="AH764" s="42"/>
      <c r="AI764" s="42"/>
      <c r="AJ764" s="42"/>
      <c r="AK764" s="42"/>
      <c r="AL764" s="42"/>
    </row>
    <row r="765" spans="12:38">
      <c r="L765" s="42"/>
      <c r="M765" s="42"/>
      <c r="N765" s="42"/>
      <c r="O765" s="42"/>
      <c r="P765" s="42"/>
      <c r="Q765" s="42"/>
      <c r="R765" s="42"/>
      <c r="S765" s="42"/>
      <c r="T765" s="42"/>
      <c r="U765" s="42"/>
      <c r="V765" s="42"/>
      <c r="AB765" s="42"/>
      <c r="AC765" s="42"/>
      <c r="AD765" s="42"/>
      <c r="AE765" s="42"/>
      <c r="AF765" s="42"/>
      <c r="AG765" s="42"/>
      <c r="AH765" s="42"/>
      <c r="AI765" s="42"/>
      <c r="AJ765" s="42"/>
      <c r="AK765" s="42"/>
      <c r="AL765" s="42"/>
    </row>
    <row r="766" spans="12:38">
      <c r="L766" s="42"/>
      <c r="M766" s="42"/>
      <c r="N766" s="42"/>
      <c r="O766" s="42"/>
      <c r="P766" s="42"/>
      <c r="Q766" s="42"/>
      <c r="R766" s="42"/>
      <c r="S766" s="42"/>
      <c r="T766" s="42"/>
      <c r="U766" s="42"/>
      <c r="V766" s="42"/>
      <c r="AB766" s="42"/>
      <c r="AC766" s="42"/>
      <c r="AD766" s="42"/>
      <c r="AE766" s="42"/>
      <c r="AF766" s="42"/>
      <c r="AG766" s="42"/>
      <c r="AH766" s="42"/>
      <c r="AI766" s="42"/>
      <c r="AJ766" s="42"/>
      <c r="AK766" s="42"/>
      <c r="AL766" s="42"/>
    </row>
    <row r="767" spans="12:38">
      <c r="L767" s="42"/>
      <c r="M767" s="42"/>
      <c r="N767" s="42"/>
      <c r="O767" s="42"/>
      <c r="P767" s="42"/>
      <c r="Q767" s="42"/>
      <c r="R767" s="42"/>
      <c r="S767" s="42"/>
      <c r="T767" s="42"/>
      <c r="U767" s="42"/>
      <c r="V767" s="42"/>
      <c r="AB767" s="42"/>
      <c r="AC767" s="42"/>
      <c r="AD767" s="42"/>
      <c r="AE767" s="42"/>
      <c r="AF767" s="42"/>
      <c r="AG767" s="42"/>
      <c r="AH767" s="42"/>
      <c r="AI767" s="42"/>
      <c r="AJ767" s="42"/>
      <c r="AK767" s="42"/>
      <c r="AL767" s="42"/>
    </row>
    <row r="768" spans="12:38">
      <c r="L768" s="42"/>
      <c r="M768" s="42"/>
      <c r="N768" s="42"/>
      <c r="O768" s="42"/>
      <c r="P768" s="42"/>
      <c r="Q768" s="42"/>
      <c r="R768" s="42"/>
      <c r="S768" s="42"/>
      <c r="T768" s="42"/>
      <c r="U768" s="42"/>
      <c r="V768" s="42"/>
      <c r="AB768" s="42"/>
      <c r="AC768" s="42"/>
      <c r="AD768" s="42"/>
      <c r="AE768" s="42"/>
      <c r="AF768" s="42"/>
      <c r="AG768" s="42"/>
      <c r="AH768" s="42"/>
      <c r="AI768" s="42"/>
      <c r="AJ768" s="42"/>
      <c r="AK768" s="42"/>
      <c r="AL768" s="42"/>
    </row>
    <row r="769" spans="12:38">
      <c r="L769" s="42"/>
      <c r="M769" s="42"/>
      <c r="N769" s="42"/>
      <c r="O769" s="42"/>
      <c r="P769" s="42"/>
      <c r="Q769" s="42"/>
      <c r="R769" s="42"/>
      <c r="S769" s="42"/>
      <c r="T769" s="42"/>
      <c r="U769" s="42"/>
      <c r="V769" s="42"/>
      <c r="AB769" s="42"/>
      <c r="AC769" s="42"/>
      <c r="AD769" s="42"/>
      <c r="AE769" s="42"/>
      <c r="AF769" s="42"/>
      <c r="AG769" s="42"/>
      <c r="AH769" s="42"/>
      <c r="AI769" s="42"/>
      <c r="AJ769" s="42"/>
      <c r="AK769" s="42"/>
      <c r="AL769" s="42"/>
    </row>
    <row r="770" spans="12:38">
      <c r="L770" s="42"/>
      <c r="M770" s="42"/>
      <c r="N770" s="42"/>
      <c r="O770" s="42"/>
      <c r="P770" s="42"/>
      <c r="Q770" s="42"/>
      <c r="R770" s="42"/>
      <c r="S770" s="42"/>
      <c r="T770" s="42"/>
      <c r="U770" s="42"/>
      <c r="V770" s="42"/>
      <c r="AB770" s="42"/>
      <c r="AC770" s="42"/>
      <c r="AD770" s="42"/>
      <c r="AE770" s="42"/>
      <c r="AF770" s="42"/>
      <c r="AG770" s="42"/>
      <c r="AH770" s="42"/>
      <c r="AI770" s="42"/>
      <c r="AJ770" s="42"/>
      <c r="AK770" s="42"/>
      <c r="AL770" s="42"/>
    </row>
    <row r="771" spans="12:38">
      <c r="L771" s="42"/>
      <c r="M771" s="42"/>
      <c r="N771" s="42"/>
      <c r="O771" s="42"/>
      <c r="P771" s="42"/>
      <c r="Q771" s="42"/>
      <c r="R771" s="42"/>
      <c r="S771" s="42"/>
      <c r="T771" s="42"/>
      <c r="U771" s="42"/>
      <c r="V771" s="42"/>
      <c r="AB771" s="42"/>
      <c r="AC771" s="42"/>
      <c r="AD771" s="42"/>
      <c r="AE771" s="42"/>
      <c r="AF771" s="42"/>
      <c r="AG771" s="42"/>
      <c r="AH771" s="42"/>
      <c r="AI771" s="42"/>
      <c r="AJ771" s="42"/>
      <c r="AK771" s="42"/>
      <c r="AL771" s="42"/>
    </row>
    <row r="772" spans="12:38">
      <c r="L772" s="42"/>
      <c r="M772" s="42"/>
      <c r="N772" s="42"/>
      <c r="O772" s="42"/>
      <c r="P772" s="42"/>
      <c r="Q772" s="42"/>
      <c r="R772" s="42"/>
      <c r="S772" s="42"/>
      <c r="T772" s="42"/>
      <c r="U772" s="42"/>
      <c r="V772" s="42"/>
      <c r="AB772" s="42"/>
      <c r="AC772" s="42"/>
      <c r="AD772" s="42"/>
      <c r="AE772" s="42"/>
      <c r="AF772" s="42"/>
      <c r="AG772" s="42"/>
      <c r="AH772" s="42"/>
      <c r="AI772" s="42"/>
      <c r="AJ772" s="42"/>
      <c r="AK772" s="42"/>
      <c r="AL772" s="42"/>
    </row>
    <row r="773" spans="12:38">
      <c r="L773" s="42"/>
      <c r="M773" s="42"/>
      <c r="N773" s="42"/>
      <c r="O773" s="42"/>
      <c r="P773" s="42"/>
      <c r="Q773" s="42"/>
      <c r="R773" s="42"/>
      <c r="S773" s="42"/>
      <c r="T773" s="42"/>
      <c r="U773" s="42"/>
      <c r="V773" s="42"/>
      <c r="AB773" s="42"/>
      <c r="AC773" s="42"/>
      <c r="AD773" s="42"/>
      <c r="AE773" s="42"/>
      <c r="AF773" s="42"/>
      <c r="AG773" s="42"/>
      <c r="AH773" s="42"/>
      <c r="AI773" s="42"/>
      <c r="AJ773" s="42"/>
      <c r="AK773" s="42"/>
      <c r="AL773" s="42"/>
    </row>
    <row r="774" spans="12:38">
      <c r="L774" s="42"/>
      <c r="M774" s="42"/>
      <c r="N774" s="42"/>
      <c r="O774" s="42"/>
      <c r="P774" s="42"/>
      <c r="Q774" s="42"/>
      <c r="R774" s="42"/>
      <c r="S774" s="42"/>
      <c r="T774" s="42"/>
      <c r="U774" s="42"/>
      <c r="V774" s="42"/>
      <c r="AB774" s="42"/>
      <c r="AC774" s="42"/>
      <c r="AD774" s="42"/>
      <c r="AE774" s="42"/>
      <c r="AF774" s="42"/>
      <c r="AG774" s="42"/>
      <c r="AH774" s="42"/>
      <c r="AI774" s="42"/>
      <c r="AJ774" s="42"/>
      <c r="AK774" s="42"/>
      <c r="AL774" s="42"/>
    </row>
    <row r="775" spans="12:38">
      <c r="L775" s="42"/>
      <c r="M775" s="42"/>
      <c r="N775" s="42"/>
      <c r="O775" s="42"/>
      <c r="P775" s="42"/>
      <c r="Q775" s="42"/>
      <c r="R775" s="42"/>
      <c r="S775" s="42"/>
      <c r="T775" s="42"/>
      <c r="U775" s="42"/>
      <c r="V775" s="42"/>
      <c r="AB775" s="42"/>
      <c r="AC775" s="42"/>
      <c r="AD775" s="42"/>
      <c r="AE775" s="42"/>
      <c r="AF775" s="42"/>
      <c r="AG775" s="42"/>
      <c r="AH775" s="42"/>
      <c r="AI775" s="42"/>
      <c r="AJ775" s="42"/>
      <c r="AK775" s="42"/>
      <c r="AL775" s="42"/>
    </row>
    <row r="776" spans="12:38">
      <c r="L776" s="42"/>
      <c r="M776" s="42"/>
      <c r="N776" s="42"/>
      <c r="O776" s="42"/>
      <c r="P776" s="42"/>
      <c r="Q776" s="42"/>
      <c r="R776" s="42"/>
      <c r="S776" s="42"/>
      <c r="T776" s="42"/>
      <c r="U776" s="42"/>
      <c r="V776" s="42"/>
      <c r="AB776" s="42"/>
      <c r="AC776" s="42"/>
      <c r="AD776" s="42"/>
      <c r="AE776" s="42"/>
      <c r="AF776" s="42"/>
      <c r="AG776" s="42"/>
      <c r="AH776" s="42"/>
      <c r="AI776" s="42"/>
      <c r="AJ776" s="42"/>
      <c r="AK776" s="42"/>
      <c r="AL776" s="42"/>
    </row>
    <row r="777" spans="12:38">
      <c r="L777" s="42"/>
      <c r="M777" s="42"/>
      <c r="N777" s="42"/>
      <c r="O777" s="42"/>
      <c r="P777" s="42"/>
      <c r="Q777" s="42"/>
      <c r="R777" s="42"/>
      <c r="S777" s="42"/>
      <c r="T777" s="42"/>
      <c r="U777" s="42"/>
      <c r="V777" s="42"/>
      <c r="AB777" s="42"/>
      <c r="AC777" s="42"/>
      <c r="AD777" s="42"/>
      <c r="AE777" s="42"/>
      <c r="AF777" s="42"/>
      <c r="AG777" s="42"/>
      <c r="AH777" s="42"/>
      <c r="AI777" s="42"/>
      <c r="AJ777" s="42"/>
      <c r="AK777" s="42"/>
      <c r="AL777" s="42"/>
    </row>
    <row r="778" spans="12:38">
      <c r="L778" s="42"/>
      <c r="M778" s="42"/>
      <c r="N778" s="42"/>
      <c r="O778" s="42"/>
      <c r="P778" s="42"/>
      <c r="Q778" s="42"/>
      <c r="R778" s="42"/>
      <c r="S778" s="42"/>
      <c r="T778" s="42"/>
      <c r="U778" s="42"/>
      <c r="V778" s="42"/>
      <c r="AB778" s="42"/>
      <c r="AC778" s="42"/>
      <c r="AD778" s="42"/>
      <c r="AE778" s="42"/>
      <c r="AF778" s="42"/>
      <c r="AG778" s="42"/>
      <c r="AH778" s="42"/>
      <c r="AI778" s="42"/>
      <c r="AJ778" s="42"/>
      <c r="AK778" s="42"/>
      <c r="AL778" s="42"/>
    </row>
    <row r="779" spans="12:38">
      <c r="L779" s="42"/>
      <c r="M779" s="42"/>
      <c r="N779" s="42"/>
      <c r="O779" s="42"/>
      <c r="P779" s="42"/>
      <c r="Q779" s="42"/>
      <c r="R779" s="42"/>
      <c r="S779" s="42"/>
      <c r="T779" s="42"/>
      <c r="U779" s="42"/>
      <c r="V779" s="42"/>
      <c r="AB779" s="42"/>
      <c r="AC779" s="42"/>
      <c r="AD779" s="42"/>
      <c r="AE779" s="42"/>
      <c r="AF779" s="42"/>
      <c r="AG779" s="42"/>
      <c r="AH779" s="42"/>
      <c r="AI779" s="42"/>
      <c r="AJ779" s="42"/>
      <c r="AK779" s="42"/>
      <c r="AL779" s="42"/>
    </row>
    <row r="780" spans="12:38">
      <c r="L780" s="42"/>
      <c r="M780" s="42"/>
      <c r="N780" s="42"/>
      <c r="O780" s="42"/>
      <c r="P780" s="42"/>
      <c r="Q780" s="42"/>
      <c r="R780" s="42"/>
      <c r="S780" s="42"/>
      <c r="T780" s="42"/>
      <c r="U780" s="42"/>
      <c r="V780" s="42"/>
      <c r="AB780" s="42"/>
      <c r="AC780" s="42"/>
      <c r="AD780" s="42"/>
      <c r="AE780" s="42"/>
      <c r="AF780" s="42"/>
      <c r="AG780" s="42"/>
      <c r="AH780" s="42"/>
      <c r="AI780" s="42"/>
      <c r="AJ780" s="42"/>
      <c r="AK780" s="42"/>
      <c r="AL780" s="42"/>
    </row>
    <row r="781" spans="12:38">
      <c r="L781" s="42"/>
      <c r="M781" s="42"/>
      <c r="N781" s="42"/>
      <c r="O781" s="42"/>
      <c r="P781" s="42"/>
      <c r="Q781" s="42"/>
      <c r="R781" s="42"/>
      <c r="S781" s="42"/>
      <c r="T781" s="42"/>
      <c r="U781" s="42"/>
      <c r="V781" s="42"/>
      <c r="AB781" s="42"/>
      <c r="AC781" s="42"/>
      <c r="AD781" s="42"/>
      <c r="AE781" s="42"/>
      <c r="AF781" s="42"/>
      <c r="AG781" s="42"/>
      <c r="AH781" s="42"/>
      <c r="AI781" s="42"/>
      <c r="AJ781" s="42"/>
      <c r="AK781" s="42"/>
      <c r="AL781" s="42"/>
    </row>
    <row r="782" spans="12:38">
      <c r="L782" s="42"/>
      <c r="M782" s="42"/>
      <c r="N782" s="42"/>
      <c r="O782" s="42"/>
      <c r="P782" s="42"/>
      <c r="Q782" s="42"/>
      <c r="R782" s="42"/>
      <c r="S782" s="42"/>
      <c r="T782" s="42"/>
      <c r="U782" s="42"/>
      <c r="V782" s="42"/>
      <c r="AB782" s="42"/>
      <c r="AC782" s="42"/>
      <c r="AD782" s="42"/>
      <c r="AE782" s="42"/>
      <c r="AF782" s="42"/>
      <c r="AG782" s="42"/>
      <c r="AH782" s="42"/>
      <c r="AI782" s="42"/>
      <c r="AJ782" s="42"/>
      <c r="AK782" s="42"/>
      <c r="AL782" s="42"/>
    </row>
    <row r="783" spans="12:38">
      <c r="L783" s="42"/>
      <c r="M783" s="42"/>
      <c r="N783" s="42"/>
      <c r="O783" s="42"/>
      <c r="P783" s="42"/>
      <c r="Q783" s="42"/>
      <c r="R783" s="42"/>
      <c r="S783" s="42"/>
      <c r="T783" s="42"/>
      <c r="U783" s="42"/>
      <c r="V783" s="42"/>
      <c r="AB783" s="42"/>
      <c r="AC783" s="42"/>
      <c r="AD783" s="42"/>
      <c r="AE783" s="42"/>
      <c r="AF783" s="42"/>
      <c r="AG783" s="42"/>
      <c r="AH783" s="42"/>
      <c r="AI783" s="42"/>
      <c r="AJ783" s="42"/>
      <c r="AK783" s="42"/>
      <c r="AL783" s="42"/>
    </row>
    <row r="784" spans="12:38">
      <c r="L784" s="42"/>
      <c r="M784" s="42"/>
      <c r="N784" s="42"/>
      <c r="O784" s="42"/>
      <c r="P784" s="42"/>
      <c r="Q784" s="42"/>
      <c r="R784" s="42"/>
      <c r="S784" s="42"/>
      <c r="T784" s="42"/>
      <c r="U784" s="42"/>
      <c r="V784" s="42"/>
      <c r="AB784" s="42"/>
      <c r="AC784" s="42"/>
      <c r="AD784" s="42"/>
      <c r="AE784" s="42"/>
      <c r="AF784" s="42"/>
      <c r="AG784" s="42"/>
      <c r="AH784" s="42"/>
      <c r="AI784" s="42"/>
      <c r="AJ784" s="42"/>
      <c r="AK784" s="42"/>
      <c r="AL784" s="42"/>
    </row>
    <row r="785" spans="12:38">
      <c r="L785" s="42"/>
      <c r="M785" s="42"/>
      <c r="N785" s="42"/>
      <c r="O785" s="42"/>
      <c r="P785" s="42"/>
      <c r="Q785" s="42"/>
      <c r="R785" s="42"/>
      <c r="S785" s="42"/>
      <c r="T785" s="42"/>
      <c r="U785" s="42"/>
      <c r="V785" s="42"/>
      <c r="AB785" s="42"/>
      <c r="AC785" s="42"/>
      <c r="AD785" s="42"/>
      <c r="AE785" s="42"/>
      <c r="AF785" s="42"/>
      <c r="AG785" s="42"/>
      <c r="AH785" s="42"/>
      <c r="AI785" s="42"/>
      <c r="AJ785" s="42"/>
      <c r="AK785" s="42"/>
      <c r="AL785" s="42"/>
    </row>
    <row r="786" spans="12:38">
      <c r="L786" s="42"/>
      <c r="M786" s="42"/>
      <c r="N786" s="42"/>
      <c r="O786" s="42"/>
      <c r="P786" s="42"/>
      <c r="Q786" s="42"/>
      <c r="R786" s="42"/>
      <c r="S786" s="42"/>
      <c r="T786" s="42"/>
      <c r="U786" s="42"/>
      <c r="V786" s="42"/>
      <c r="AB786" s="42"/>
      <c r="AC786" s="42"/>
      <c r="AD786" s="42"/>
      <c r="AE786" s="42"/>
      <c r="AF786" s="42"/>
      <c r="AG786" s="42"/>
      <c r="AH786" s="42"/>
      <c r="AI786" s="42"/>
      <c r="AJ786" s="42"/>
      <c r="AK786" s="42"/>
      <c r="AL786" s="42"/>
    </row>
    <row r="787" spans="12:38">
      <c r="L787" s="42"/>
      <c r="M787" s="42"/>
      <c r="N787" s="42"/>
      <c r="O787" s="42"/>
      <c r="P787" s="42"/>
      <c r="Q787" s="42"/>
      <c r="R787" s="42"/>
      <c r="S787" s="42"/>
      <c r="T787" s="42"/>
      <c r="U787" s="42"/>
      <c r="V787" s="42"/>
      <c r="AB787" s="42"/>
      <c r="AC787" s="42"/>
      <c r="AD787" s="42"/>
      <c r="AE787" s="42"/>
      <c r="AF787" s="42"/>
      <c r="AG787" s="42"/>
      <c r="AH787" s="42"/>
      <c r="AI787" s="42"/>
      <c r="AJ787" s="42"/>
      <c r="AK787" s="42"/>
      <c r="AL787" s="42"/>
    </row>
    <row r="788" spans="12:38">
      <c r="L788" s="42"/>
      <c r="M788" s="42"/>
      <c r="N788" s="42"/>
      <c r="O788" s="42"/>
      <c r="P788" s="42"/>
      <c r="Q788" s="42"/>
      <c r="R788" s="42"/>
      <c r="S788" s="42"/>
      <c r="T788" s="42"/>
      <c r="U788" s="42"/>
      <c r="V788" s="42"/>
      <c r="AB788" s="42"/>
      <c r="AC788" s="42"/>
      <c r="AD788" s="42"/>
      <c r="AE788" s="42"/>
      <c r="AF788" s="42"/>
      <c r="AG788" s="42"/>
      <c r="AH788" s="42"/>
      <c r="AI788" s="42"/>
      <c r="AJ788" s="42"/>
      <c r="AK788" s="42"/>
      <c r="AL788" s="42"/>
    </row>
    <row r="789" spans="12:38">
      <c r="L789" s="42"/>
      <c r="M789" s="42"/>
      <c r="N789" s="42"/>
      <c r="O789" s="42"/>
      <c r="P789" s="42"/>
      <c r="Q789" s="42"/>
      <c r="R789" s="42"/>
      <c r="S789" s="42"/>
      <c r="T789" s="42"/>
      <c r="U789" s="42"/>
      <c r="V789" s="42"/>
      <c r="AB789" s="42"/>
      <c r="AC789" s="42"/>
      <c r="AD789" s="42"/>
      <c r="AE789" s="42"/>
      <c r="AF789" s="42"/>
      <c r="AG789" s="42"/>
      <c r="AH789" s="42"/>
      <c r="AI789" s="42"/>
      <c r="AJ789" s="42"/>
      <c r="AK789" s="42"/>
      <c r="AL789" s="42"/>
    </row>
    <row r="790" spans="12:38">
      <c r="L790" s="42"/>
      <c r="M790" s="42"/>
      <c r="N790" s="42"/>
      <c r="O790" s="42"/>
      <c r="P790" s="42"/>
      <c r="Q790" s="42"/>
      <c r="R790" s="42"/>
      <c r="S790" s="42"/>
      <c r="T790" s="42"/>
      <c r="U790" s="42"/>
      <c r="V790" s="42"/>
      <c r="AB790" s="42"/>
      <c r="AC790" s="42"/>
      <c r="AD790" s="42"/>
      <c r="AE790" s="42"/>
      <c r="AF790" s="42"/>
      <c r="AG790" s="42"/>
      <c r="AH790" s="42"/>
      <c r="AI790" s="42"/>
      <c r="AJ790" s="42"/>
      <c r="AK790" s="42"/>
      <c r="AL790" s="42"/>
    </row>
    <row r="791" spans="12:38">
      <c r="L791" s="42"/>
      <c r="M791" s="42"/>
      <c r="N791" s="42"/>
      <c r="O791" s="42"/>
      <c r="P791" s="42"/>
      <c r="Q791" s="42"/>
      <c r="R791" s="42"/>
      <c r="S791" s="42"/>
      <c r="T791" s="42"/>
      <c r="U791" s="42"/>
      <c r="V791" s="42"/>
      <c r="AB791" s="42"/>
      <c r="AC791" s="42"/>
      <c r="AD791" s="42"/>
      <c r="AE791" s="42"/>
      <c r="AF791" s="42"/>
      <c r="AG791" s="42"/>
      <c r="AH791" s="42"/>
      <c r="AI791" s="42"/>
      <c r="AJ791" s="42"/>
      <c r="AK791" s="42"/>
      <c r="AL791" s="42"/>
    </row>
    <row r="792" spans="12:38">
      <c r="L792" s="42"/>
      <c r="M792" s="42"/>
      <c r="N792" s="42"/>
      <c r="O792" s="42"/>
      <c r="P792" s="42"/>
      <c r="Q792" s="42"/>
      <c r="R792" s="42"/>
      <c r="S792" s="42"/>
      <c r="T792" s="42"/>
      <c r="U792" s="42"/>
      <c r="V792" s="42"/>
      <c r="AB792" s="42"/>
      <c r="AC792" s="42"/>
      <c r="AD792" s="42"/>
      <c r="AE792" s="42"/>
      <c r="AF792" s="42"/>
      <c r="AG792" s="42"/>
      <c r="AH792" s="42"/>
      <c r="AI792" s="42"/>
      <c r="AJ792" s="42"/>
      <c r="AK792" s="42"/>
      <c r="AL792" s="42"/>
    </row>
    <row r="793" spans="12:38">
      <c r="L793" s="42"/>
      <c r="M793" s="42"/>
      <c r="N793" s="42"/>
      <c r="O793" s="42"/>
      <c r="P793" s="42"/>
      <c r="Q793" s="42"/>
      <c r="R793" s="42"/>
      <c r="S793" s="42"/>
      <c r="T793" s="42"/>
      <c r="U793" s="42"/>
      <c r="V793" s="42"/>
      <c r="AB793" s="42"/>
      <c r="AC793" s="42"/>
      <c r="AD793" s="42"/>
      <c r="AE793" s="42"/>
      <c r="AF793" s="42"/>
      <c r="AG793" s="42"/>
      <c r="AH793" s="42"/>
      <c r="AI793" s="42"/>
      <c r="AJ793" s="42"/>
      <c r="AK793" s="42"/>
      <c r="AL793" s="42"/>
    </row>
    <row r="794" spans="12:38">
      <c r="L794" s="42"/>
      <c r="M794" s="42"/>
      <c r="N794" s="42"/>
      <c r="O794" s="42"/>
      <c r="P794" s="42"/>
      <c r="Q794" s="42"/>
      <c r="R794" s="42"/>
      <c r="S794" s="42"/>
      <c r="T794" s="42"/>
      <c r="U794" s="42"/>
      <c r="V794" s="42"/>
      <c r="AB794" s="42"/>
      <c r="AC794" s="42"/>
      <c r="AD794" s="42"/>
      <c r="AE794" s="42"/>
      <c r="AF794" s="42"/>
      <c r="AG794" s="42"/>
      <c r="AH794" s="42"/>
      <c r="AI794" s="42"/>
      <c r="AJ794" s="42"/>
      <c r="AK794" s="42"/>
      <c r="AL794" s="42"/>
    </row>
    <row r="795" spans="12:38">
      <c r="L795" s="42"/>
      <c r="M795" s="42"/>
      <c r="N795" s="42"/>
      <c r="O795" s="42"/>
      <c r="P795" s="42"/>
      <c r="Q795" s="42"/>
      <c r="R795" s="42"/>
      <c r="S795" s="42"/>
      <c r="T795" s="42"/>
      <c r="U795" s="42"/>
      <c r="V795" s="42"/>
      <c r="AB795" s="42"/>
      <c r="AC795" s="42"/>
      <c r="AD795" s="42"/>
      <c r="AE795" s="42"/>
      <c r="AF795" s="42"/>
      <c r="AG795" s="42"/>
      <c r="AH795" s="42"/>
      <c r="AI795" s="42"/>
      <c r="AJ795" s="42"/>
      <c r="AK795" s="42"/>
      <c r="AL795" s="42"/>
    </row>
    <row r="796" spans="12:38">
      <c r="L796" s="42"/>
      <c r="M796" s="42"/>
      <c r="N796" s="42"/>
      <c r="O796" s="42"/>
      <c r="P796" s="42"/>
      <c r="Q796" s="42"/>
      <c r="R796" s="42"/>
      <c r="S796" s="42"/>
      <c r="T796" s="42"/>
      <c r="U796" s="42"/>
      <c r="V796" s="42"/>
      <c r="AB796" s="42"/>
      <c r="AC796" s="42"/>
      <c r="AD796" s="42"/>
      <c r="AE796" s="42"/>
      <c r="AF796" s="42"/>
      <c r="AG796" s="42"/>
      <c r="AH796" s="42"/>
      <c r="AI796" s="42"/>
      <c r="AJ796" s="42"/>
      <c r="AK796" s="42"/>
      <c r="AL796" s="42"/>
    </row>
    <row r="797" spans="12:38">
      <c r="L797" s="42"/>
      <c r="M797" s="42"/>
      <c r="N797" s="42"/>
      <c r="O797" s="42"/>
      <c r="P797" s="42"/>
      <c r="Q797" s="42"/>
      <c r="R797" s="42"/>
      <c r="S797" s="42"/>
      <c r="T797" s="42"/>
      <c r="U797" s="42"/>
      <c r="V797" s="42"/>
      <c r="AB797" s="42"/>
      <c r="AC797" s="42"/>
      <c r="AD797" s="42"/>
      <c r="AE797" s="42"/>
      <c r="AF797" s="42"/>
      <c r="AG797" s="42"/>
      <c r="AH797" s="42"/>
      <c r="AI797" s="42"/>
      <c r="AJ797" s="42"/>
      <c r="AK797" s="42"/>
      <c r="AL797" s="42"/>
    </row>
    <row r="798" spans="12:38">
      <c r="L798" s="42"/>
      <c r="M798" s="42"/>
      <c r="N798" s="42"/>
      <c r="O798" s="42"/>
      <c r="P798" s="42"/>
      <c r="Q798" s="42"/>
      <c r="R798" s="42"/>
      <c r="S798" s="42"/>
      <c r="T798" s="42"/>
      <c r="U798" s="42"/>
      <c r="V798" s="42"/>
      <c r="AB798" s="42"/>
      <c r="AC798" s="42"/>
      <c r="AD798" s="42"/>
      <c r="AE798" s="42"/>
      <c r="AF798" s="42"/>
      <c r="AG798" s="42"/>
      <c r="AH798" s="42"/>
      <c r="AI798" s="42"/>
      <c r="AJ798" s="42"/>
      <c r="AK798" s="42"/>
      <c r="AL798" s="42"/>
    </row>
    <row r="799" spans="12:38">
      <c r="L799" s="42"/>
      <c r="M799" s="42"/>
      <c r="N799" s="42"/>
      <c r="O799" s="42"/>
      <c r="P799" s="42"/>
      <c r="Q799" s="42"/>
      <c r="R799" s="42"/>
      <c r="S799" s="42"/>
      <c r="T799" s="42"/>
      <c r="U799" s="42"/>
      <c r="V799" s="42"/>
      <c r="AB799" s="42"/>
      <c r="AC799" s="42"/>
      <c r="AD799" s="42"/>
      <c r="AE799" s="42"/>
      <c r="AF799" s="42"/>
      <c r="AG799" s="42"/>
      <c r="AH799" s="42"/>
      <c r="AI799" s="42"/>
      <c r="AJ799" s="42"/>
      <c r="AK799" s="42"/>
      <c r="AL799" s="42"/>
    </row>
    <row r="800" spans="12:38">
      <c r="L800" s="42"/>
      <c r="M800" s="42"/>
      <c r="N800" s="42"/>
      <c r="O800" s="42"/>
      <c r="P800" s="42"/>
      <c r="Q800" s="42"/>
      <c r="R800" s="42"/>
      <c r="S800" s="42"/>
      <c r="T800" s="42"/>
      <c r="U800" s="42"/>
      <c r="V800" s="42"/>
      <c r="AB800" s="42"/>
      <c r="AC800" s="42"/>
      <c r="AD800" s="42"/>
      <c r="AE800" s="42"/>
      <c r="AF800" s="42"/>
      <c r="AG800" s="42"/>
      <c r="AH800" s="42"/>
      <c r="AI800" s="42"/>
      <c r="AJ800" s="42"/>
      <c r="AK800" s="42"/>
      <c r="AL800" s="42"/>
    </row>
    <row r="801" spans="12:38">
      <c r="L801" s="42"/>
      <c r="M801" s="42"/>
      <c r="N801" s="42"/>
      <c r="O801" s="42"/>
      <c r="P801" s="42"/>
      <c r="Q801" s="42"/>
      <c r="R801" s="42"/>
      <c r="S801" s="42"/>
      <c r="T801" s="42"/>
      <c r="U801" s="42"/>
      <c r="V801" s="42"/>
      <c r="AB801" s="42"/>
      <c r="AC801" s="42"/>
      <c r="AD801" s="42"/>
      <c r="AE801" s="42"/>
      <c r="AF801" s="42"/>
      <c r="AG801" s="42"/>
      <c r="AH801" s="42"/>
      <c r="AI801" s="42"/>
      <c r="AJ801" s="42"/>
      <c r="AK801" s="42"/>
      <c r="AL801" s="42"/>
    </row>
    <row r="802" spans="12:38">
      <c r="L802" s="42"/>
      <c r="M802" s="42"/>
      <c r="N802" s="42"/>
      <c r="O802" s="42"/>
      <c r="P802" s="42"/>
      <c r="Q802" s="42"/>
      <c r="R802" s="42"/>
      <c r="S802" s="42"/>
      <c r="T802" s="42"/>
      <c r="U802" s="42"/>
      <c r="V802" s="42"/>
      <c r="AB802" s="42"/>
      <c r="AC802" s="42"/>
      <c r="AD802" s="42"/>
      <c r="AE802" s="42"/>
      <c r="AF802" s="42"/>
      <c r="AG802" s="42"/>
      <c r="AH802" s="42"/>
      <c r="AI802" s="42"/>
      <c r="AJ802" s="42"/>
      <c r="AK802" s="42"/>
      <c r="AL802" s="42"/>
    </row>
    <row r="803" spans="12:38">
      <c r="L803" s="42"/>
      <c r="M803" s="42"/>
      <c r="N803" s="42"/>
      <c r="O803" s="42"/>
      <c r="P803" s="42"/>
      <c r="Q803" s="42"/>
      <c r="R803" s="42"/>
      <c r="S803" s="42"/>
      <c r="T803" s="42"/>
      <c r="U803" s="42"/>
      <c r="V803" s="42"/>
      <c r="AB803" s="42"/>
      <c r="AC803" s="42"/>
      <c r="AD803" s="42"/>
      <c r="AE803" s="42"/>
      <c r="AF803" s="42"/>
      <c r="AG803" s="42"/>
      <c r="AH803" s="42"/>
      <c r="AI803" s="42"/>
      <c r="AJ803" s="42"/>
      <c r="AK803" s="42"/>
      <c r="AL803" s="42"/>
    </row>
    <row r="804" spans="12:38">
      <c r="L804" s="42"/>
      <c r="M804" s="42"/>
      <c r="N804" s="42"/>
      <c r="O804" s="42"/>
      <c r="P804" s="42"/>
      <c r="Q804" s="42"/>
      <c r="R804" s="42"/>
      <c r="S804" s="42"/>
      <c r="T804" s="42"/>
      <c r="U804" s="42"/>
      <c r="V804" s="42"/>
      <c r="AB804" s="42"/>
      <c r="AC804" s="42"/>
      <c r="AD804" s="42"/>
      <c r="AE804" s="42"/>
      <c r="AF804" s="42"/>
      <c r="AG804" s="42"/>
      <c r="AH804" s="42"/>
      <c r="AI804" s="42"/>
      <c r="AJ804" s="42"/>
      <c r="AK804" s="42"/>
      <c r="AL804" s="42"/>
    </row>
    <row r="805" spans="12:38">
      <c r="L805" s="42"/>
      <c r="M805" s="42"/>
      <c r="N805" s="42"/>
      <c r="O805" s="42"/>
      <c r="P805" s="42"/>
      <c r="Q805" s="42"/>
      <c r="R805" s="42"/>
      <c r="S805" s="42"/>
      <c r="T805" s="42"/>
      <c r="U805" s="42"/>
      <c r="V805" s="42"/>
      <c r="AB805" s="42"/>
      <c r="AC805" s="42"/>
      <c r="AD805" s="42"/>
      <c r="AE805" s="42"/>
      <c r="AF805" s="42"/>
      <c r="AG805" s="42"/>
      <c r="AH805" s="42"/>
      <c r="AI805" s="42"/>
      <c r="AJ805" s="42"/>
      <c r="AK805" s="42"/>
      <c r="AL805" s="42"/>
    </row>
    <row r="806" spans="12:38">
      <c r="L806" s="42"/>
      <c r="M806" s="42"/>
      <c r="N806" s="42"/>
      <c r="O806" s="42"/>
      <c r="P806" s="42"/>
      <c r="Q806" s="42"/>
      <c r="R806" s="42"/>
      <c r="S806" s="42"/>
      <c r="T806" s="42"/>
      <c r="U806" s="42"/>
      <c r="V806" s="42"/>
      <c r="AB806" s="42"/>
      <c r="AC806" s="42"/>
      <c r="AD806" s="42"/>
      <c r="AE806" s="42"/>
      <c r="AF806" s="42"/>
      <c r="AG806" s="42"/>
      <c r="AH806" s="42"/>
      <c r="AI806" s="42"/>
      <c r="AJ806" s="42"/>
      <c r="AK806" s="42"/>
      <c r="AL806" s="42"/>
    </row>
    <row r="807" spans="12:38">
      <c r="L807" s="42"/>
      <c r="M807" s="42"/>
      <c r="N807" s="42"/>
      <c r="O807" s="42"/>
      <c r="P807" s="42"/>
      <c r="Q807" s="42"/>
      <c r="R807" s="42"/>
      <c r="S807" s="42"/>
      <c r="T807" s="42"/>
      <c r="U807" s="42"/>
      <c r="V807" s="42"/>
      <c r="AB807" s="42"/>
      <c r="AC807" s="42"/>
      <c r="AD807" s="42"/>
      <c r="AE807" s="42"/>
      <c r="AF807" s="42"/>
      <c r="AG807" s="42"/>
      <c r="AH807" s="42"/>
      <c r="AI807" s="42"/>
      <c r="AJ807" s="42"/>
      <c r="AK807" s="42"/>
      <c r="AL807" s="42"/>
    </row>
    <row r="808" spans="12:38">
      <c r="L808" s="42"/>
      <c r="M808" s="42"/>
      <c r="N808" s="42"/>
      <c r="O808" s="42"/>
      <c r="P808" s="42"/>
      <c r="Q808" s="42"/>
      <c r="R808" s="42"/>
      <c r="S808" s="42"/>
      <c r="T808" s="42"/>
      <c r="U808" s="42"/>
      <c r="V808" s="42"/>
      <c r="AB808" s="42"/>
      <c r="AC808" s="42"/>
      <c r="AD808" s="42"/>
      <c r="AE808" s="42"/>
      <c r="AF808" s="42"/>
      <c r="AG808" s="42"/>
      <c r="AH808" s="42"/>
      <c r="AI808" s="42"/>
      <c r="AJ808" s="42"/>
      <c r="AK808" s="42"/>
      <c r="AL808" s="42"/>
    </row>
    <row r="809" spans="12:38">
      <c r="L809" s="42"/>
      <c r="M809" s="42"/>
      <c r="N809" s="42"/>
      <c r="O809" s="42"/>
      <c r="P809" s="42"/>
      <c r="Q809" s="42"/>
      <c r="R809" s="42"/>
      <c r="S809" s="42"/>
      <c r="T809" s="42"/>
      <c r="U809" s="42"/>
      <c r="V809" s="42"/>
      <c r="AB809" s="42"/>
      <c r="AC809" s="42"/>
      <c r="AD809" s="42"/>
      <c r="AE809" s="42"/>
      <c r="AF809" s="42"/>
      <c r="AG809" s="42"/>
      <c r="AH809" s="42"/>
      <c r="AI809" s="42"/>
      <c r="AJ809" s="42"/>
      <c r="AK809" s="42"/>
      <c r="AL809" s="42"/>
    </row>
    <row r="810" spans="12:38">
      <c r="L810" s="42"/>
      <c r="M810" s="42"/>
      <c r="N810" s="42"/>
      <c r="O810" s="42"/>
      <c r="P810" s="42"/>
      <c r="Q810" s="42"/>
      <c r="R810" s="42"/>
      <c r="S810" s="42"/>
      <c r="T810" s="42"/>
      <c r="U810" s="42"/>
      <c r="V810" s="42"/>
      <c r="AB810" s="42"/>
      <c r="AC810" s="42"/>
      <c r="AD810" s="42"/>
      <c r="AE810" s="42"/>
      <c r="AF810" s="42"/>
      <c r="AG810" s="42"/>
      <c r="AH810" s="42"/>
      <c r="AI810" s="42"/>
      <c r="AJ810" s="42"/>
      <c r="AK810" s="42"/>
      <c r="AL810" s="42"/>
    </row>
    <row r="811" spans="12:38">
      <c r="L811" s="42"/>
      <c r="M811" s="42"/>
      <c r="N811" s="42"/>
      <c r="O811" s="42"/>
      <c r="P811" s="42"/>
      <c r="Q811" s="42"/>
      <c r="R811" s="42"/>
      <c r="S811" s="42"/>
      <c r="T811" s="42"/>
      <c r="U811" s="42"/>
      <c r="V811" s="42"/>
      <c r="AB811" s="42"/>
      <c r="AC811" s="42"/>
      <c r="AD811" s="42"/>
      <c r="AE811" s="42"/>
      <c r="AF811" s="42"/>
      <c r="AG811" s="42"/>
      <c r="AH811" s="42"/>
      <c r="AI811" s="42"/>
      <c r="AJ811" s="42"/>
      <c r="AK811" s="42"/>
      <c r="AL811" s="42"/>
    </row>
    <row r="812" spans="12:38">
      <c r="L812" s="42"/>
      <c r="M812" s="42"/>
      <c r="N812" s="42"/>
      <c r="O812" s="42"/>
      <c r="P812" s="42"/>
      <c r="Q812" s="42"/>
      <c r="R812" s="42"/>
      <c r="S812" s="42"/>
      <c r="T812" s="42"/>
      <c r="U812" s="42"/>
      <c r="V812" s="42"/>
      <c r="AB812" s="42"/>
      <c r="AC812" s="42"/>
      <c r="AD812" s="42"/>
      <c r="AE812" s="42"/>
      <c r="AF812" s="42"/>
      <c r="AG812" s="42"/>
      <c r="AH812" s="42"/>
      <c r="AI812" s="42"/>
      <c r="AJ812" s="42"/>
      <c r="AK812" s="42"/>
      <c r="AL812" s="42"/>
    </row>
    <row r="813" spans="12:38">
      <c r="L813" s="42"/>
      <c r="M813" s="42"/>
      <c r="N813" s="42"/>
      <c r="O813" s="42"/>
      <c r="P813" s="42"/>
      <c r="Q813" s="42"/>
      <c r="R813" s="42"/>
      <c r="S813" s="42"/>
      <c r="T813" s="42"/>
      <c r="U813" s="42"/>
      <c r="V813" s="42"/>
      <c r="AB813" s="42"/>
      <c r="AC813" s="42"/>
      <c r="AD813" s="42"/>
      <c r="AE813" s="42"/>
      <c r="AF813" s="42"/>
      <c r="AG813" s="42"/>
      <c r="AH813" s="42"/>
      <c r="AI813" s="42"/>
      <c r="AJ813" s="42"/>
      <c r="AK813" s="42"/>
      <c r="AL813" s="42"/>
    </row>
    <row r="814" spans="12:38">
      <c r="L814" s="42"/>
      <c r="M814" s="42"/>
      <c r="N814" s="42"/>
      <c r="O814" s="42"/>
      <c r="P814" s="42"/>
      <c r="Q814" s="42"/>
      <c r="R814" s="42"/>
      <c r="S814" s="42"/>
      <c r="T814" s="42"/>
      <c r="U814" s="42"/>
      <c r="V814" s="42"/>
      <c r="AB814" s="42"/>
      <c r="AC814" s="42"/>
      <c r="AD814" s="42"/>
      <c r="AE814" s="42"/>
      <c r="AF814" s="42"/>
      <c r="AG814" s="42"/>
      <c r="AH814" s="42"/>
      <c r="AI814" s="42"/>
      <c r="AJ814" s="42"/>
      <c r="AK814" s="42"/>
      <c r="AL814" s="42"/>
    </row>
    <row r="815" spans="12:38">
      <c r="L815" s="42"/>
      <c r="M815" s="42"/>
      <c r="N815" s="42"/>
      <c r="O815" s="42"/>
      <c r="P815" s="42"/>
      <c r="Q815" s="42"/>
      <c r="R815" s="42"/>
      <c r="S815" s="42"/>
      <c r="T815" s="42"/>
      <c r="U815" s="42"/>
      <c r="V815" s="42"/>
      <c r="AB815" s="42"/>
      <c r="AC815" s="42"/>
      <c r="AD815" s="42"/>
      <c r="AE815" s="42"/>
      <c r="AF815" s="42"/>
      <c r="AG815" s="42"/>
      <c r="AH815" s="42"/>
      <c r="AI815" s="42"/>
      <c r="AJ815" s="42"/>
      <c r="AK815" s="42"/>
      <c r="AL815" s="42"/>
    </row>
    <row r="816" spans="12:38">
      <c r="L816" s="42"/>
      <c r="M816" s="42"/>
      <c r="N816" s="42"/>
      <c r="O816" s="42"/>
      <c r="P816" s="42"/>
      <c r="Q816" s="42"/>
      <c r="R816" s="42"/>
      <c r="S816" s="42"/>
      <c r="T816" s="42"/>
      <c r="U816" s="42"/>
      <c r="V816" s="42"/>
      <c r="AB816" s="42"/>
      <c r="AC816" s="42"/>
      <c r="AD816" s="42"/>
      <c r="AE816" s="42"/>
      <c r="AF816" s="42"/>
      <c r="AG816" s="42"/>
      <c r="AH816" s="42"/>
      <c r="AI816" s="42"/>
      <c r="AJ816" s="42"/>
      <c r="AK816" s="42"/>
      <c r="AL816" s="42"/>
    </row>
    <row r="817" spans="12:38">
      <c r="L817" s="42"/>
      <c r="M817" s="42"/>
      <c r="N817" s="42"/>
      <c r="O817" s="42"/>
      <c r="P817" s="42"/>
      <c r="Q817" s="42"/>
      <c r="R817" s="42"/>
      <c r="S817" s="42"/>
      <c r="T817" s="42"/>
      <c r="U817" s="42"/>
      <c r="V817" s="42"/>
      <c r="AB817" s="42"/>
      <c r="AC817" s="42"/>
      <c r="AD817" s="42"/>
      <c r="AE817" s="42"/>
      <c r="AF817" s="42"/>
      <c r="AG817" s="42"/>
      <c r="AH817" s="42"/>
      <c r="AI817" s="42"/>
      <c r="AJ817" s="42"/>
      <c r="AK817" s="42"/>
      <c r="AL817" s="42"/>
    </row>
    <row r="818" spans="12:38">
      <c r="L818" s="42"/>
      <c r="M818" s="42"/>
      <c r="N818" s="42"/>
      <c r="O818" s="42"/>
      <c r="P818" s="42"/>
      <c r="Q818" s="42"/>
      <c r="R818" s="42"/>
      <c r="S818" s="42"/>
      <c r="T818" s="42"/>
      <c r="U818" s="42"/>
      <c r="V818" s="42"/>
      <c r="AB818" s="42"/>
      <c r="AC818" s="42"/>
      <c r="AD818" s="42"/>
      <c r="AE818" s="42"/>
      <c r="AF818" s="42"/>
      <c r="AG818" s="42"/>
      <c r="AH818" s="42"/>
      <c r="AI818" s="42"/>
      <c r="AJ818" s="42"/>
      <c r="AK818" s="42"/>
      <c r="AL818" s="42"/>
    </row>
    <row r="819" spans="12:38">
      <c r="L819" s="42"/>
      <c r="M819" s="42"/>
      <c r="N819" s="42"/>
      <c r="O819" s="42"/>
      <c r="P819" s="42"/>
      <c r="Q819" s="42"/>
      <c r="R819" s="42"/>
      <c r="S819" s="42"/>
      <c r="T819" s="42"/>
      <c r="U819" s="42"/>
      <c r="V819" s="42"/>
      <c r="AB819" s="42"/>
      <c r="AC819" s="42"/>
      <c r="AD819" s="42"/>
      <c r="AE819" s="42"/>
      <c r="AF819" s="42"/>
      <c r="AG819" s="42"/>
      <c r="AH819" s="42"/>
      <c r="AI819" s="42"/>
      <c r="AJ819" s="42"/>
      <c r="AK819" s="42"/>
      <c r="AL819" s="42"/>
    </row>
    <row r="820" spans="12:38">
      <c r="L820" s="42"/>
      <c r="M820" s="42"/>
      <c r="N820" s="42"/>
      <c r="O820" s="42"/>
      <c r="P820" s="42"/>
      <c r="Q820" s="42"/>
      <c r="R820" s="42"/>
      <c r="S820" s="42"/>
      <c r="T820" s="42"/>
      <c r="U820" s="42"/>
      <c r="V820" s="42"/>
      <c r="AB820" s="42"/>
      <c r="AC820" s="42"/>
      <c r="AD820" s="42"/>
      <c r="AE820" s="42"/>
      <c r="AF820" s="42"/>
      <c r="AG820" s="42"/>
      <c r="AH820" s="42"/>
      <c r="AI820" s="42"/>
      <c r="AJ820" s="42"/>
      <c r="AK820" s="42"/>
      <c r="AL820" s="42"/>
    </row>
    <row r="821" spans="12:38">
      <c r="L821" s="42"/>
      <c r="M821" s="42"/>
      <c r="N821" s="42"/>
      <c r="O821" s="42"/>
      <c r="P821" s="42"/>
      <c r="Q821" s="42"/>
      <c r="R821" s="42"/>
      <c r="S821" s="42"/>
      <c r="T821" s="42"/>
      <c r="U821" s="42"/>
      <c r="V821" s="42"/>
      <c r="AB821" s="42"/>
      <c r="AC821" s="42"/>
      <c r="AD821" s="42"/>
      <c r="AE821" s="42"/>
      <c r="AF821" s="42"/>
      <c r="AG821" s="42"/>
      <c r="AH821" s="42"/>
      <c r="AI821" s="42"/>
      <c r="AJ821" s="42"/>
      <c r="AK821" s="42"/>
      <c r="AL821" s="42"/>
    </row>
    <row r="822" spans="12:38">
      <c r="L822" s="42"/>
      <c r="M822" s="42"/>
      <c r="N822" s="42"/>
      <c r="O822" s="42"/>
      <c r="P822" s="42"/>
      <c r="Q822" s="42"/>
      <c r="R822" s="42"/>
      <c r="S822" s="42"/>
      <c r="T822" s="42"/>
      <c r="U822" s="42"/>
      <c r="V822" s="42"/>
      <c r="AB822" s="42"/>
      <c r="AC822" s="42"/>
      <c r="AD822" s="42"/>
      <c r="AE822" s="42"/>
      <c r="AF822" s="42"/>
      <c r="AG822" s="42"/>
      <c r="AH822" s="42"/>
      <c r="AI822" s="42"/>
      <c r="AJ822" s="42"/>
      <c r="AK822" s="42"/>
      <c r="AL822" s="42"/>
    </row>
    <row r="823" spans="12:38">
      <c r="L823" s="42"/>
      <c r="M823" s="42"/>
      <c r="N823" s="42"/>
      <c r="O823" s="42"/>
      <c r="P823" s="42"/>
      <c r="Q823" s="42"/>
      <c r="R823" s="42"/>
      <c r="S823" s="42"/>
      <c r="T823" s="42"/>
      <c r="U823" s="42"/>
      <c r="V823" s="42"/>
      <c r="AB823" s="42"/>
      <c r="AC823" s="42"/>
      <c r="AD823" s="42"/>
      <c r="AE823" s="42"/>
      <c r="AF823" s="42"/>
      <c r="AG823" s="42"/>
      <c r="AH823" s="42"/>
      <c r="AI823" s="42"/>
      <c r="AJ823" s="42"/>
      <c r="AK823" s="42"/>
      <c r="AL823" s="42"/>
    </row>
    <row r="824" spans="12:38">
      <c r="L824" s="42"/>
      <c r="M824" s="42"/>
      <c r="N824" s="42"/>
      <c r="O824" s="42"/>
      <c r="P824" s="42"/>
      <c r="Q824" s="42"/>
      <c r="R824" s="42"/>
      <c r="S824" s="42"/>
      <c r="T824" s="42"/>
      <c r="U824" s="42"/>
      <c r="V824" s="42"/>
      <c r="AB824" s="42"/>
      <c r="AC824" s="42"/>
      <c r="AD824" s="42"/>
      <c r="AE824" s="42"/>
      <c r="AF824" s="42"/>
      <c r="AG824" s="42"/>
      <c r="AH824" s="42"/>
      <c r="AI824" s="42"/>
      <c r="AJ824" s="42"/>
      <c r="AK824" s="42"/>
      <c r="AL824" s="42"/>
    </row>
    <row r="825" spans="12:38">
      <c r="L825" s="42"/>
      <c r="M825" s="42"/>
      <c r="N825" s="42"/>
      <c r="O825" s="42"/>
      <c r="P825" s="42"/>
      <c r="Q825" s="42"/>
      <c r="R825" s="42"/>
      <c r="S825" s="42"/>
      <c r="T825" s="42"/>
      <c r="U825" s="42"/>
      <c r="V825" s="42"/>
      <c r="AB825" s="42"/>
      <c r="AC825" s="42"/>
      <c r="AD825" s="42"/>
      <c r="AE825" s="42"/>
      <c r="AF825" s="42"/>
      <c r="AG825" s="42"/>
      <c r="AH825" s="42"/>
      <c r="AI825" s="42"/>
      <c r="AJ825" s="42"/>
      <c r="AK825" s="42"/>
      <c r="AL825" s="42"/>
    </row>
    <row r="826" spans="12:38">
      <c r="L826" s="42"/>
      <c r="M826" s="42"/>
      <c r="N826" s="42"/>
      <c r="O826" s="42"/>
      <c r="P826" s="42"/>
      <c r="Q826" s="42"/>
      <c r="R826" s="42"/>
      <c r="S826" s="42"/>
      <c r="T826" s="42"/>
      <c r="U826" s="42"/>
      <c r="V826" s="42"/>
      <c r="AB826" s="42"/>
      <c r="AC826" s="42"/>
      <c r="AD826" s="42"/>
      <c r="AE826" s="42"/>
      <c r="AF826" s="42"/>
      <c r="AG826" s="42"/>
      <c r="AH826" s="42"/>
      <c r="AI826" s="42"/>
      <c r="AJ826" s="42"/>
      <c r="AK826" s="42"/>
      <c r="AL826" s="42"/>
    </row>
    <row r="827" spans="12:38">
      <c r="L827" s="42"/>
      <c r="M827" s="42"/>
      <c r="N827" s="42"/>
      <c r="O827" s="42"/>
      <c r="P827" s="42"/>
      <c r="Q827" s="42"/>
      <c r="R827" s="42"/>
      <c r="S827" s="42"/>
      <c r="T827" s="42"/>
      <c r="U827" s="42"/>
      <c r="V827" s="42"/>
      <c r="AB827" s="42"/>
      <c r="AC827" s="42"/>
      <c r="AD827" s="42"/>
      <c r="AE827" s="42"/>
      <c r="AF827" s="42"/>
      <c r="AG827" s="42"/>
      <c r="AH827" s="42"/>
      <c r="AI827" s="42"/>
      <c r="AJ827" s="42"/>
      <c r="AK827" s="42"/>
      <c r="AL827" s="42"/>
    </row>
    <row r="828" spans="12:38">
      <c r="L828" s="42"/>
      <c r="M828" s="42"/>
      <c r="N828" s="42"/>
      <c r="O828" s="42"/>
      <c r="P828" s="42"/>
      <c r="Q828" s="42"/>
      <c r="R828" s="42"/>
      <c r="S828" s="42"/>
      <c r="T828" s="42"/>
      <c r="U828" s="42"/>
      <c r="V828" s="42"/>
      <c r="AB828" s="42"/>
      <c r="AC828" s="42"/>
      <c r="AD828" s="42"/>
      <c r="AE828" s="42"/>
      <c r="AF828" s="42"/>
      <c r="AG828" s="42"/>
      <c r="AH828" s="42"/>
      <c r="AI828" s="42"/>
      <c r="AJ828" s="42"/>
      <c r="AK828" s="42"/>
      <c r="AL828" s="42"/>
    </row>
    <row r="829" spans="12:38">
      <c r="L829" s="42"/>
      <c r="M829" s="42"/>
      <c r="N829" s="42"/>
      <c r="O829" s="42"/>
      <c r="P829" s="42"/>
      <c r="Q829" s="42"/>
      <c r="R829" s="42"/>
      <c r="S829" s="42"/>
      <c r="T829" s="42"/>
      <c r="U829" s="42"/>
      <c r="V829" s="42"/>
      <c r="AB829" s="42"/>
      <c r="AC829" s="42"/>
      <c r="AD829" s="42"/>
      <c r="AE829" s="42"/>
      <c r="AF829" s="42"/>
      <c r="AG829" s="42"/>
      <c r="AH829" s="42"/>
      <c r="AI829" s="42"/>
      <c r="AJ829" s="42"/>
      <c r="AK829" s="42"/>
      <c r="AL829" s="42"/>
    </row>
    <row r="830" spans="12:38">
      <c r="L830" s="42"/>
      <c r="M830" s="42"/>
      <c r="N830" s="42"/>
      <c r="O830" s="42"/>
      <c r="P830" s="42"/>
      <c r="Q830" s="42"/>
      <c r="R830" s="42"/>
      <c r="S830" s="42"/>
      <c r="T830" s="42"/>
      <c r="U830" s="42"/>
      <c r="V830" s="42"/>
      <c r="AB830" s="42"/>
      <c r="AC830" s="42"/>
      <c r="AD830" s="42"/>
      <c r="AE830" s="42"/>
      <c r="AF830" s="42"/>
      <c r="AG830" s="42"/>
      <c r="AH830" s="42"/>
      <c r="AI830" s="42"/>
      <c r="AJ830" s="42"/>
      <c r="AK830" s="42"/>
      <c r="AL830" s="42"/>
    </row>
    <row r="831" spans="12:38">
      <c r="L831" s="42"/>
      <c r="M831" s="42"/>
      <c r="N831" s="42"/>
      <c r="O831" s="42"/>
      <c r="P831" s="42"/>
      <c r="Q831" s="42"/>
      <c r="R831" s="42"/>
      <c r="S831" s="42"/>
      <c r="T831" s="42"/>
      <c r="U831" s="42"/>
      <c r="V831" s="42"/>
      <c r="AB831" s="42"/>
      <c r="AC831" s="42"/>
      <c r="AD831" s="42"/>
      <c r="AE831" s="42"/>
      <c r="AF831" s="42"/>
      <c r="AG831" s="42"/>
      <c r="AH831" s="42"/>
      <c r="AI831" s="42"/>
      <c r="AJ831" s="42"/>
      <c r="AK831" s="42"/>
      <c r="AL831" s="42"/>
    </row>
    <row r="832" spans="12:38">
      <c r="L832" s="42"/>
      <c r="M832" s="42"/>
      <c r="N832" s="42"/>
      <c r="O832" s="42"/>
      <c r="P832" s="42"/>
      <c r="Q832" s="42"/>
      <c r="R832" s="42"/>
      <c r="S832" s="42"/>
      <c r="T832" s="42"/>
      <c r="U832" s="42"/>
      <c r="V832" s="42"/>
      <c r="AB832" s="42"/>
      <c r="AC832" s="42"/>
      <c r="AD832" s="42"/>
      <c r="AE832" s="42"/>
      <c r="AF832" s="42"/>
      <c r="AG832" s="42"/>
      <c r="AH832" s="42"/>
      <c r="AI832" s="42"/>
      <c r="AJ832" s="42"/>
      <c r="AK832" s="42"/>
      <c r="AL832" s="42"/>
    </row>
    <row r="833" spans="12:38">
      <c r="L833" s="42"/>
      <c r="M833" s="42"/>
      <c r="N833" s="42"/>
      <c r="O833" s="42"/>
      <c r="P833" s="42"/>
      <c r="Q833" s="42"/>
      <c r="R833" s="42"/>
      <c r="S833" s="42"/>
      <c r="T833" s="42"/>
      <c r="U833" s="42"/>
      <c r="V833" s="42"/>
      <c r="AB833" s="42"/>
      <c r="AC833" s="42"/>
      <c r="AD833" s="42"/>
      <c r="AE833" s="42"/>
      <c r="AF833" s="42"/>
      <c r="AG833" s="42"/>
      <c r="AH833" s="42"/>
      <c r="AI833" s="42"/>
      <c r="AJ833" s="42"/>
      <c r="AK833" s="42"/>
      <c r="AL833" s="42"/>
    </row>
    <row r="834" spans="12:38">
      <c r="L834" s="42"/>
      <c r="M834" s="42"/>
      <c r="N834" s="42"/>
      <c r="O834" s="42"/>
      <c r="P834" s="42"/>
      <c r="Q834" s="42"/>
      <c r="R834" s="42"/>
      <c r="S834" s="42"/>
      <c r="T834" s="42"/>
      <c r="U834" s="42"/>
      <c r="V834" s="42"/>
      <c r="AB834" s="42"/>
      <c r="AC834" s="42"/>
      <c r="AD834" s="42"/>
      <c r="AE834" s="42"/>
      <c r="AF834" s="42"/>
      <c r="AG834" s="42"/>
      <c r="AH834" s="42"/>
      <c r="AI834" s="42"/>
      <c r="AJ834" s="42"/>
      <c r="AK834" s="42"/>
      <c r="AL834" s="42"/>
    </row>
    <row r="835" spans="12:38">
      <c r="L835" s="42"/>
      <c r="M835" s="42"/>
      <c r="N835" s="42"/>
      <c r="O835" s="42"/>
      <c r="P835" s="42"/>
      <c r="Q835" s="42"/>
      <c r="R835" s="42"/>
      <c r="S835" s="42"/>
      <c r="T835" s="42"/>
      <c r="U835" s="42"/>
      <c r="V835" s="42"/>
      <c r="AB835" s="42"/>
      <c r="AC835" s="42"/>
      <c r="AD835" s="42"/>
      <c r="AE835" s="42"/>
      <c r="AF835" s="42"/>
      <c r="AG835" s="42"/>
      <c r="AH835" s="42"/>
      <c r="AI835" s="42"/>
      <c r="AJ835" s="42"/>
      <c r="AK835" s="42"/>
      <c r="AL835" s="42"/>
    </row>
    <row r="836" spans="12:38">
      <c r="L836" s="42"/>
      <c r="M836" s="42"/>
      <c r="N836" s="42"/>
      <c r="O836" s="42"/>
      <c r="P836" s="42"/>
      <c r="Q836" s="42"/>
      <c r="R836" s="42"/>
      <c r="S836" s="42"/>
      <c r="T836" s="42"/>
      <c r="U836" s="42"/>
      <c r="V836" s="42"/>
      <c r="AB836" s="42"/>
      <c r="AC836" s="42"/>
      <c r="AD836" s="42"/>
      <c r="AE836" s="42"/>
      <c r="AF836" s="42"/>
      <c r="AG836" s="42"/>
      <c r="AH836" s="42"/>
      <c r="AI836" s="42"/>
      <c r="AJ836" s="42"/>
      <c r="AK836" s="42"/>
      <c r="AL836" s="42"/>
    </row>
    <row r="837" spans="12:38">
      <c r="L837" s="42"/>
      <c r="M837" s="42"/>
      <c r="N837" s="42"/>
      <c r="O837" s="42"/>
      <c r="P837" s="42"/>
      <c r="Q837" s="42"/>
      <c r="R837" s="42"/>
      <c r="S837" s="42"/>
      <c r="T837" s="42"/>
      <c r="U837" s="42"/>
      <c r="V837" s="42"/>
      <c r="AB837" s="42"/>
      <c r="AC837" s="42"/>
      <c r="AD837" s="42"/>
      <c r="AE837" s="42"/>
      <c r="AF837" s="42"/>
      <c r="AG837" s="42"/>
      <c r="AH837" s="42"/>
      <c r="AI837" s="42"/>
      <c r="AJ837" s="42"/>
      <c r="AK837" s="42"/>
      <c r="AL837" s="42"/>
    </row>
    <row r="838" spans="12:38">
      <c r="L838" s="42"/>
      <c r="M838" s="42"/>
      <c r="N838" s="42"/>
      <c r="O838" s="42"/>
      <c r="P838" s="42"/>
      <c r="Q838" s="42"/>
      <c r="R838" s="42"/>
      <c r="S838" s="42"/>
      <c r="T838" s="42"/>
      <c r="U838" s="42"/>
      <c r="V838" s="42"/>
      <c r="AB838" s="42"/>
      <c r="AC838" s="42"/>
      <c r="AD838" s="42"/>
      <c r="AE838" s="42"/>
      <c r="AF838" s="42"/>
      <c r="AG838" s="42"/>
      <c r="AH838" s="42"/>
      <c r="AI838" s="42"/>
      <c r="AJ838" s="42"/>
      <c r="AK838" s="42"/>
      <c r="AL838" s="42"/>
    </row>
    <row r="839" spans="12:38">
      <c r="L839" s="42"/>
      <c r="M839" s="42"/>
      <c r="N839" s="42"/>
      <c r="O839" s="42"/>
      <c r="P839" s="42"/>
      <c r="Q839" s="42"/>
      <c r="R839" s="42"/>
      <c r="S839" s="42"/>
      <c r="T839" s="42"/>
      <c r="U839" s="42"/>
      <c r="V839" s="42"/>
      <c r="AB839" s="42"/>
      <c r="AC839" s="42"/>
      <c r="AD839" s="42"/>
      <c r="AE839" s="42"/>
      <c r="AF839" s="42"/>
      <c r="AG839" s="42"/>
      <c r="AH839" s="42"/>
      <c r="AI839" s="42"/>
      <c r="AJ839" s="42"/>
      <c r="AK839" s="42"/>
      <c r="AL839" s="42"/>
    </row>
    <row r="840" spans="12:38">
      <c r="L840" s="42"/>
      <c r="M840" s="42"/>
      <c r="N840" s="42"/>
      <c r="O840" s="42"/>
      <c r="P840" s="42"/>
      <c r="Q840" s="42"/>
      <c r="R840" s="42"/>
      <c r="S840" s="42"/>
      <c r="T840" s="42"/>
      <c r="U840" s="42"/>
      <c r="V840" s="42"/>
      <c r="AB840" s="42"/>
      <c r="AC840" s="42"/>
      <c r="AD840" s="42"/>
      <c r="AE840" s="42"/>
      <c r="AF840" s="42"/>
      <c r="AG840" s="42"/>
      <c r="AH840" s="42"/>
      <c r="AI840" s="42"/>
      <c r="AJ840" s="42"/>
      <c r="AK840" s="42"/>
      <c r="AL840" s="42"/>
    </row>
    <row r="841" spans="12:38">
      <c r="L841" s="42"/>
      <c r="M841" s="42"/>
      <c r="N841" s="42"/>
      <c r="O841" s="42"/>
      <c r="P841" s="42"/>
      <c r="Q841" s="42"/>
      <c r="R841" s="42"/>
      <c r="S841" s="42"/>
      <c r="T841" s="42"/>
      <c r="U841" s="42"/>
      <c r="V841" s="42"/>
      <c r="AB841" s="42"/>
      <c r="AC841" s="42"/>
      <c r="AD841" s="42"/>
      <c r="AE841" s="42"/>
      <c r="AF841" s="42"/>
      <c r="AG841" s="42"/>
      <c r="AH841" s="42"/>
      <c r="AI841" s="42"/>
      <c r="AJ841" s="42"/>
      <c r="AK841" s="42"/>
      <c r="AL841" s="42"/>
    </row>
    <row r="842" spans="12:38">
      <c r="L842" s="42"/>
      <c r="M842" s="42"/>
      <c r="N842" s="42"/>
      <c r="O842" s="42"/>
      <c r="P842" s="42"/>
      <c r="Q842" s="42"/>
      <c r="R842" s="42"/>
      <c r="S842" s="42"/>
      <c r="T842" s="42"/>
      <c r="U842" s="42"/>
      <c r="V842" s="42"/>
      <c r="AB842" s="42"/>
      <c r="AC842" s="42"/>
      <c r="AD842" s="42"/>
      <c r="AE842" s="42"/>
      <c r="AF842" s="42"/>
      <c r="AG842" s="42"/>
      <c r="AH842" s="42"/>
      <c r="AI842" s="42"/>
      <c r="AJ842" s="42"/>
      <c r="AK842" s="42"/>
      <c r="AL842" s="42"/>
    </row>
    <row r="843" spans="12:38">
      <c r="L843" s="42"/>
      <c r="M843" s="42"/>
      <c r="N843" s="42"/>
      <c r="O843" s="42"/>
      <c r="P843" s="42"/>
      <c r="Q843" s="42"/>
      <c r="R843" s="42"/>
      <c r="S843" s="42"/>
      <c r="T843" s="42"/>
      <c r="U843" s="42"/>
      <c r="V843" s="42"/>
      <c r="AB843" s="42"/>
      <c r="AC843" s="42"/>
      <c r="AD843" s="42"/>
      <c r="AE843" s="42"/>
      <c r="AF843" s="42"/>
      <c r="AG843" s="42"/>
      <c r="AH843" s="42"/>
      <c r="AI843" s="42"/>
      <c r="AJ843" s="42"/>
      <c r="AK843" s="42"/>
      <c r="AL843" s="42"/>
    </row>
    <row r="844" spans="12:38">
      <c r="L844" s="42"/>
      <c r="M844" s="42"/>
      <c r="N844" s="42"/>
      <c r="O844" s="42"/>
      <c r="P844" s="42"/>
      <c r="Q844" s="42"/>
      <c r="R844" s="42"/>
      <c r="S844" s="42"/>
      <c r="T844" s="42"/>
      <c r="U844" s="42"/>
      <c r="V844" s="42"/>
      <c r="AB844" s="42"/>
      <c r="AC844" s="42"/>
      <c r="AD844" s="42"/>
      <c r="AE844" s="42"/>
      <c r="AF844" s="42"/>
      <c r="AG844" s="42"/>
      <c r="AH844" s="42"/>
      <c r="AI844" s="42"/>
      <c r="AJ844" s="42"/>
      <c r="AK844" s="42"/>
      <c r="AL844" s="42"/>
    </row>
    <row r="845" spans="12:38">
      <c r="L845" s="42"/>
      <c r="M845" s="42"/>
      <c r="N845" s="42"/>
      <c r="O845" s="42"/>
      <c r="P845" s="42"/>
      <c r="Q845" s="42"/>
      <c r="R845" s="42"/>
      <c r="S845" s="42"/>
      <c r="T845" s="42"/>
      <c r="U845" s="42"/>
      <c r="V845" s="42"/>
      <c r="AB845" s="42"/>
      <c r="AC845" s="42"/>
      <c r="AD845" s="42"/>
      <c r="AE845" s="42"/>
      <c r="AF845" s="42"/>
      <c r="AG845" s="42"/>
      <c r="AH845" s="42"/>
      <c r="AI845" s="42"/>
      <c r="AJ845" s="42"/>
      <c r="AK845" s="42"/>
      <c r="AL845" s="42"/>
    </row>
    <row r="846" spans="12:38">
      <c r="L846" s="42"/>
      <c r="M846" s="42"/>
      <c r="N846" s="42"/>
      <c r="O846" s="42"/>
      <c r="P846" s="42"/>
      <c r="Q846" s="42"/>
      <c r="R846" s="42"/>
      <c r="S846" s="42"/>
      <c r="T846" s="42"/>
      <c r="U846" s="42"/>
      <c r="V846" s="42"/>
      <c r="AB846" s="42"/>
      <c r="AC846" s="42"/>
      <c r="AD846" s="42"/>
      <c r="AE846" s="42"/>
      <c r="AF846" s="42"/>
      <c r="AG846" s="42"/>
      <c r="AH846" s="42"/>
      <c r="AI846" s="42"/>
      <c r="AJ846" s="42"/>
      <c r="AK846" s="42"/>
      <c r="AL846" s="42"/>
    </row>
    <row r="847" spans="12:38">
      <c r="L847" s="42"/>
      <c r="M847" s="42"/>
      <c r="N847" s="42"/>
      <c r="O847" s="42"/>
      <c r="P847" s="42"/>
      <c r="Q847" s="42"/>
      <c r="R847" s="42"/>
      <c r="S847" s="42"/>
      <c r="T847" s="42"/>
      <c r="U847" s="42"/>
      <c r="V847" s="42"/>
      <c r="AB847" s="42"/>
      <c r="AC847" s="42"/>
      <c r="AD847" s="42"/>
      <c r="AE847" s="42"/>
      <c r="AF847" s="42"/>
      <c r="AG847" s="42"/>
      <c r="AH847" s="42"/>
      <c r="AI847" s="42"/>
      <c r="AJ847" s="42"/>
      <c r="AK847" s="42"/>
      <c r="AL847" s="42"/>
    </row>
    <row r="848" spans="12:38">
      <c r="L848" s="42"/>
      <c r="M848" s="42"/>
      <c r="N848" s="42"/>
      <c r="O848" s="42"/>
      <c r="P848" s="42"/>
      <c r="Q848" s="42"/>
      <c r="R848" s="42"/>
      <c r="S848" s="42"/>
      <c r="T848" s="42"/>
      <c r="U848" s="42"/>
      <c r="V848" s="42"/>
      <c r="AB848" s="42"/>
      <c r="AC848" s="42"/>
      <c r="AD848" s="42"/>
      <c r="AE848" s="42"/>
      <c r="AF848" s="42"/>
      <c r="AG848" s="42"/>
      <c r="AH848" s="42"/>
      <c r="AI848" s="42"/>
      <c r="AJ848" s="42"/>
      <c r="AK848" s="42"/>
      <c r="AL848" s="42"/>
    </row>
    <row r="849" spans="12:38">
      <c r="L849" s="42"/>
      <c r="M849" s="42"/>
      <c r="N849" s="42"/>
      <c r="O849" s="42"/>
      <c r="P849" s="42"/>
      <c r="Q849" s="42"/>
      <c r="R849" s="42"/>
      <c r="S849" s="42"/>
      <c r="T849" s="42"/>
      <c r="U849" s="42"/>
      <c r="V849" s="42"/>
      <c r="AB849" s="42"/>
      <c r="AC849" s="42"/>
      <c r="AD849" s="42"/>
      <c r="AE849" s="42"/>
      <c r="AF849" s="42"/>
      <c r="AG849" s="42"/>
      <c r="AH849" s="42"/>
      <c r="AI849" s="42"/>
      <c r="AJ849" s="42"/>
      <c r="AK849" s="42"/>
      <c r="AL849" s="42"/>
    </row>
    <row r="850" spans="12:38">
      <c r="L850" s="42"/>
      <c r="M850" s="42"/>
      <c r="N850" s="42"/>
      <c r="O850" s="42"/>
      <c r="P850" s="42"/>
      <c r="Q850" s="42"/>
      <c r="R850" s="42"/>
      <c r="S850" s="42"/>
      <c r="T850" s="42"/>
      <c r="U850" s="42"/>
      <c r="V850" s="42"/>
      <c r="AB850" s="42"/>
      <c r="AC850" s="42"/>
      <c r="AD850" s="42"/>
      <c r="AE850" s="42"/>
      <c r="AF850" s="42"/>
      <c r="AG850" s="42"/>
      <c r="AH850" s="42"/>
      <c r="AI850" s="42"/>
      <c r="AJ850" s="42"/>
      <c r="AK850" s="42"/>
      <c r="AL850" s="42"/>
    </row>
    <row r="851" spans="12:38">
      <c r="L851" s="42"/>
      <c r="M851" s="42"/>
      <c r="N851" s="42"/>
      <c r="O851" s="42"/>
      <c r="P851" s="42"/>
      <c r="Q851" s="42"/>
      <c r="R851" s="42"/>
      <c r="S851" s="42"/>
      <c r="T851" s="42"/>
      <c r="U851" s="42"/>
      <c r="V851" s="42"/>
      <c r="AB851" s="42"/>
      <c r="AC851" s="42"/>
      <c r="AD851" s="42"/>
      <c r="AE851" s="42"/>
      <c r="AF851" s="42"/>
      <c r="AG851" s="42"/>
      <c r="AH851" s="42"/>
      <c r="AI851" s="42"/>
      <c r="AJ851" s="42"/>
      <c r="AK851" s="42"/>
      <c r="AL851" s="42"/>
    </row>
    <row r="852" spans="12:38">
      <c r="L852" s="42"/>
      <c r="M852" s="42"/>
      <c r="N852" s="42"/>
      <c r="O852" s="42"/>
      <c r="P852" s="42"/>
      <c r="Q852" s="42"/>
      <c r="R852" s="42"/>
      <c r="S852" s="42"/>
      <c r="T852" s="42"/>
      <c r="U852" s="42"/>
      <c r="V852" s="42"/>
      <c r="AB852" s="42"/>
      <c r="AC852" s="42"/>
      <c r="AD852" s="42"/>
      <c r="AE852" s="42"/>
      <c r="AF852" s="42"/>
      <c r="AG852" s="42"/>
      <c r="AH852" s="42"/>
      <c r="AI852" s="42"/>
      <c r="AJ852" s="42"/>
      <c r="AK852" s="42"/>
      <c r="AL852" s="42"/>
    </row>
    <row r="853" spans="12:38">
      <c r="L853" s="42"/>
      <c r="M853" s="42"/>
      <c r="N853" s="42"/>
      <c r="O853" s="42"/>
      <c r="P853" s="42"/>
      <c r="Q853" s="42"/>
      <c r="R853" s="42"/>
      <c r="S853" s="42"/>
      <c r="T853" s="42"/>
      <c r="U853" s="42"/>
      <c r="V853" s="42"/>
      <c r="AB853" s="42"/>
      <c r="AC853" s="42"/>
      <c r="AD853" s="42"/>
      <c r="AE853" s="42"/>
      <c r="AF853" s="42"/>
      <c r="AG853" s="42"/>
      <c r="AH853" s="42"/>
      <c r="AI853" s="42"/>
      <c r="AJ853" s="42"/>
      <c r="AK853" s="42"/>
      <c r="AL853" s="42"/>
    </row>
    <row r="854" spans="12:38">
      <c r="L854" s="42"/>
      <c r="M854" s="42"/>
      <c r="N854" s="42"/>
      <c r="O854" s="42"/>
      <c r="P854" s="42"/>
      <c r="Q854" s="42"/>
      <c r="R854" s="42"/>
      <c r="S854" s="42"/>
      <c r="T854" s="42"/>
      <c r="U854" s="42"/>
      <c r="V854" s="42"/>
      <c r="AB854" s="42"/>
      <c r="AC854" s="42"/>
      <c r="AD854" s="42"/>
      <c r="AE854" s="42"/>
      <c r="AF854" s="42"/>
      <c r="AG854" s="42"/>
      <c r="AH854" s="42"/>
      <c r="AI854" s="42"/>
      <c r="AJ854" s="42"/>
      <c r="AK854" s="42"/>
      <c r="AL854" s="42"/>
    </row>
    <row r="855" spans="12:38">
      <c r="L855" s="42"/>
      <c r="M855" s="42"/>
      <c r="N855" s="42"/>
      <c r="O855" s="42"/>
      <c r="P855" s="42"/>
      <c r="Q855" s="42"/>
      <c r="R855" s="42"/>
      <c r="S855" s="42"/>
      <c r="T855" s="42"/>
      <c r="U855" s="42"/>
      <c r="V855" s="42"/>
      <c r="AB855" s="42"/>
      <c r="AC855" s="42"/>
      <c r="AD855" s="42"/>
      <c r="AE855" s="42"/>
      <c r="AF855" s="42"/>
      <c r="AG855" s="42"/>
      <c r="AH855" s="42"/>
      <c r="AI855" s="42"/>
      <c r="AJ855" s="42"/>
      <c r="AK855" s="42"/>
      <c r="AL855" s="42"/>
    </row>
    <row r="856" spans="12:38">
      <c r="L856" s="42"/>
      <c r="M856" s="42"/>
      <c r="N856" s="42"/>
      <c r="O856" s="42"/>
      <c r="P856" s="42"/>
      <c r="Q856" s="42"/>
      <c r="R856" s="42"/>
      <c r="S856" s="42"/>
      <c r="T856" s="42"/>
      <c r="U856" s="42"/>
      <c r="V856" s="42"/>
      <c r="AB856" s="42"/>
      <c r="AC856" s="42"/>
      <c r="AD856" s="42"/>
      <c r="AE856" s="42"/>
      <c r="AF856" s="42"/>
      <c r="AG856" s="42"/>
      <c r="AH856" s="42"/>
      <c r="AI856" s="42"/>
      <c r="AJ856" s="42"/>
      <c r="AK856" s="42"/>
      <c r="AL856" s="42"/>
    </row>
    <row r="857" spans="12:38">
      <c r="L857" s="42"/>
      <c r="M857" s="42"/>
      <c r="N857" s="42"/>
      <c r="O857" s="42"/>
      <c r="P857" s="42"/>
      <c r="Q857" s="42"/>
      <c r="R857" s="42"/>
      <c r="S857" s="42"/>
      <c r="T857" s="42"/>
      <c r="U857" s="42"/>
      <c r="V857" s="42"/>
      <c r="AB857" s="42"/>
      <c r="AC857" s="42"/>
      <c r="AD857" s="42"/>
      <c r="AE857" s="42"/>
      <c r="AF857" s="42"/>
      <c r="AG857" s="42"/>
      <c r="AH857" s="42"/>
      <c r="AI857" s="42"/>
      <c r="AJ857" s="42"/>
      <c r="AK857" s="42"/>
      <c r="AL857" s="42"/>
    </row>
    <row r="858" spans="12:38">
      <c r="L858" s="42"/>
      <c r="M858" s="42"/>
      <c r="N858" s="42"/>
      <c r="O858" s="42"/>
      <c r="P858" s="42"/>
      <c r="Q858" s="42"/>
      <c r="R858" s="42"/>
      <c r="S858" s="42"/>
      <c r="T858" s="42"/>
      <c r="U858" s="42"/>
      <c r="V858" s="42"/>
      <c r="AB858" s="42"/>
      <c r="AC858" s="42"/>
      <c r="AD858" s="42"/>
      <c r="AE858" s="42"/>
      <c r="AF858" s="42"/>
      <c r="AG858" s="42"/>
      <c r="AH858" s="42"/>
      <c r="AI858" s="42"/>
      <c r="AJ858" s="42"/>
      <c r="AK858" s="42"/>
      <c r="AL858" s="42"/>
    </row>
    <row r="859" spans="12:38">
      <c r="L859" s="42"/>
      <c r="M859" s="42"/>
      <c r="N859" s="42"/>
      <c r="O859" s="42"/>
      <c r="P859" s="42"/>
      <c r="Q859" s="42"/>
      <c r="R859" s="42"/>
      <c r="S859" s="42"/>
      <c r="T859" s="42"/>
      <c r="U859" s="42"/>
      <c r="V859" s="42"/>
      <c r="AB859" s="42"/>
      <c r="AC859" s="42"/>
      <c r="AD859" s="42"/>
      <c r="AE859" s="42"/>
      <c r="AF859" s="42"/>
      <c r="AG859" s="42"/>
      <c r="AH859" s="42"/>
      <c r="AI859" s="42"/>
      <c r="AJ859" s="42"/>
      <c r="AK859" s="42"/>
      <c r="AL859" s="42"/>
    </row>
    <row r="860" spans="12:38">
      <c r="L860" s="42"/>
      <c r="M860" s="42"/>
      <c r="N860" s="42"/>
      <c r="O860" s="42"/>
      <c r="P860" s="42"/>
      <c r="Q860" s="42"/>
      <c r="R860" s="42"/>
      <c r="S860" s="42"/>
      <c r="T860" s="42"/>
      <c r="U860" s="42"/>
      <c r="V860" s="42"/>
      <c r="AB860" s="42"/>
      <c r="AC860" s="42"/>
      <c r="AD860" s="42"/>
      <c r="AE860" s="42"/>
      <c r="AF860" s="42"/>
      <c r="AG860" s="42"/>
      <c r="AH860" s="42"/>
      <c r="AI860" s="42"/>
      <c r="AJ860" s="42"/>
      <c r="AK860" s="42"/>
      <c r="AL860" s="42"/>
    </row>
    <row r="861" spans="12:38">
      <c r="L861" s="42"/>
      <c r="M861" s="42"/>
      <c r="N861" s="42"/>
      <c r="O861" s="42"/>
      <c r="P861" s="42"/>
      <c r="Q861" s="42"/>
      <c r="R861" s="42"/>
      <c r="S861" s="42"/>
      <c r="T861" s="42"/>
      <c r="U861" s="42"/>
      <c r="V861" s="42"/>
      <c r="AB861" s="42"/>
      <c r="AC861" s="42"/>
      <c r="AD861" s="42"/>
      <c r="AE861" s="42"/>
      <c r="AF861" s="42"/>
      <c r="AG861" s="42"/>
      <c r="AH861" s="42"/>
      <c r="AI861" s="42"/>
      <c r="AJ861" s="42"/>
      <c r="AK861" s="42"/>
      <c r="AL861" s="42"/>
    </row>
    <row r="862" spans="12:38">
      <c r="L862" s="42"/>
      <c r="M862" s="42"/>
      <c r="N862" s="42"/>
      <c r="O862" s="42"/>
      <c r="P862" s="42"/>
      <c r="Q862" s="42"/>
      <c r="R862" s="42"/>
      <c r="S862" s="42"/>
      <c r="T862" s="42"/>
      <c r="U862" s="42"/>
      <c r="V862" s="42"/>
      <c r="AB862" s="42"/>
      <c r="AC862" s="42"/>
      <c r="AD862" s="42"/>
      <c r="AE862" s="42"/>
      <c r="AF862" s="42"/>
      <c r="AG862" s="42"/>
      <c r="AH862" s="42"/>
      <c r="AI862" s="42"/>
      <c r="AJ862" s="42"/>
      <c r="AK862" s="42"/>
      <c r="AL862" s="42"/>
    </row>
    <row r="863" spans="12:38">
      <c r="L863" s="42"/>
      <c r="M863" s="42"/>
      <c r="N863" s="42"/>
      <c r="O863" s="42"/>
      <c r="P863" s="42"/>
      <c r="Q863" s="42"/>
      <c r="R863" s="42"/>
      <c r="S863" s="42"/>
      <c r="T863" s="42"/>
      <c r="U863" s="42"/>
      <c r="V863" s="42"/>
      <c r="AB863" s="42"/>
      <c r="AC863" s="42"/>
      <c r="AD863" s="42"/>
      <c r="AE863" s="42"/>
      <c r="AF863" s="42"/>
      <c r="AG863" s="42"/>
      <c r="AH863" s="42"/>
      <c r="AI863" s="42"/>
      <c r="AJ863" s="42"/>
      <c r="AK863" s="42"/>
      <c r="AL863" s="42"/>
    </row>
    <row r="864" spans="12:38">
      <c r="L864" s="42"/>
      <c r="M864" s="42"/>
      <c r="N864" s="42"/>
      <c r="O864" s="42"/>
      <c r="P864" s="42"/>
      <c r="Q864" s="42"/>
      <c r="R864" s="42"/>
      <c r="S864" s="42"/>
      <c r="T864" s="42"/>
      <c r="U864" s="42"/>
      <c r="V864" s="42"/>
      <c r="AB864" s="42"/>
      <c r="AC864" s="42"/>
      <c r="AD864" s="42"/>
      <c r="AE864" s="42"/>
      <c r="AF864" s="42"/>
      <c r="AG864" s="42"/>
      <c r="AH864" s="42"/>
      <c r="AI864" s="42"/>
      <c r="AJ864" s="42"/>
      <c r="AK864" s="42"/>
      <c r="AL864" s="42"/>
    </row>
    <row r="865" spans="12:38">
      <c r="L865" s="42"/>
      <c r="M865" s="42"/>
      <c r="N865" s="42"/>
      <c r="O865" s="42"/>
      <c r="P865" s="42"/>
      <c r="Q865" s="42"/>
      <c r="R865" s="42"/>
      <c r="S865" s="42"/>
      <c r="T865" s="42"/>
      <c r="U865" s="42"/>
      <c r="V865" s="42"/>
      <c r="AB865" s="42"/>
      <c r="AC865" s="42"/>
      <c r="AD865" s="42"/>
      <c r="AE865" s="42"/>
      <c r="AF865" s="42"/>
      <c r="AG865" s="42"/>
      <c r="AH865" s="42"/>
      <c r="AI865" s="42"/>
      <c r="AJ865" s="42"/>
      <c r="AK865" s="42"/>
      <c r="AL865" s="42"/>
    </row>
    <row r="866" spans="12:38">
      <c r="L866" s="42"/>
      <c r="M866" s="42"/>
      <c r="N866" s="42"/>
      <c r="O866" s="42"/>
      <c r="P866" s="42"/>
      <c r="Q866" s="42"/>
      <c r="R866" s="42"/>
      <c r="S866" s="42"/>
      <c r="T866" s="42"/>
      <c r="U866" s="42"/>
      <c r="V866" s="42"/>
      <c r="AB866" s="42"/>
      <c r="AC866" s="42"/>
      <c r="AD866" s="42"/>
      <c r="AE866" s="42"/>
      <c r="AF866" s="42"/>
      <c r="AG866" s="42"/>
      <c r="AH866" s="42"/>
      <c r="AI866" s="42"/>
      <c r="AJ866" s="42"/>
      <c r="AK866" s="42"/>
      <c r="AL866" s="42"/>
    </row>
    <row r="867" spans="12:38">
      <c r="L867" s="42"/>
      <c r="M867" s="42"/>
      <c r="N867" s="42"/>
      <c r="O867" s="42"/>
      <c r="P867" s="42"/>
      <c r="Q867" s="42"/>
      <c r="R867" s="42"/>
      <c r="S867" s="42"/>
      <c r="T867" s="42"/>
      <c r="U867" s="42"/>
      <c r="V867" s="42"/>
      <c r="AB867" s="42"/>
      <c r="AC867" s="42"/>
      <c r="AD867" s="42"/>
      <c r="AE867" s="42"/>
      <c r="AF867" s="42"/>
      <c r="AG867" s="42"/>
      <c r="AH867" s="42"/>
      <c r="AI867" s="42"/>
      <c r="AJ867" s="42"/>
      <c r="AK867" s="42"/>
      <c r="AL867" s="42"/>
    </row>
    <row r="868" spans="12:38">
      <c r="L868" s="42"/>
      <c r="M868" s="42"/>
      <c r="N868" s="42"/>
      <c r="O868" s="42"/>
      <c r="P868" s="42"/>
      <c r="Q868" s="42"/>
      <c r="R868" s="42"/>
      <c r="S868" s="42"/>
      <c r="T868" s="42"/>
      <c r="U868" s="42"/>
      <c r="V868" s="42"/>
      <c r="AB868" s="42"/>
      <c r="AC868" s="42"/>
      <c r="AD868" s="42"/>
      <c r="AE868" s="42"/>
      <c r="AF868" s="42"/>
      <c r="AG868" s="42"/>
      <c r="AH868" s="42"/>
      <c r="AI868" s="42"/>
      <c r="AJ868" s="42"/>
      <c r="AK868" s="42"/>
      <c r="AL868" s="42"/>
    </row>
    <row r="869" spans="12:38">
      <c r="L869" s="42"/>
      <c r="M869" s="42"/>
      <c r="N869" s="42"/>
      <c r="O869" s="42"/>
      <c r="P869" s="42"/>
      <c r="Q869" s="42"/>
      <c r="R869" s="42"/>
      <c r="S869" s="42"/>
      <c r="T869" s="42"/>
      <c r="U869" s="42"/>
      <c r="V869" s="42"/>
      <c r="AB869" s="42"/>
      <c r="AC869" s="42"/>
      <c r="AD869" s="42"/>
      <c r="AE869" s="42"/>
      <c r="AF869" s="42"/>
      <c r="AG869" s="42"/>
      <c r="AH869" s="42"/>
      <c r="AI869" s="42"/>
      <c r="AJ869" s="42"/>
      <c r="AK869" s="42"/>
      <c r="AL869" s="42"/>
    </row>
    <row r="870" spans="12:38">
      <c r="L870" s="42"/>
      <c r="M870" s="42"/>
      <c r="N870" s="42"/>
      <c r="O870" s="42"/>
      <c r="P870" s="42"/>
      <c r="Q870" s="42"/>
      <c r="R870" s="42"/>
      <c r="S870" s="42"/>
      <c r="T870" s="42"/>
      <c r="U870" s="42"/>
      <c r="V870" s="42"/>
      <c r="AB870" s="42"/>
      <c r="AC870" s="42"/>
      <c r="AD870" s="42"/>
      <c r="AE870" s="42"/>
      <c r="AF870" s="42"/>
      <c r="AG870" s="42"/>
      <c r="AH870" s="42"/>
      <c r="AI870" s="42"/>
      <c r="AJ870" s="42"/>
      <c r="AK870" s="42"/>
      <c r="AL870" s="42"/>
    </row>
    <row r="871" spans="12:38">
      <c r="L871" s="42"/>
      <c r="M871" s="42"/>
      <c r="N871" s="42"/>
      <c r="O871" s="42"/>
      <c r="P871" s="42"/>
      <c r="Q871" s="42"/>
      <c r="R871" s="42"/>
      <c r="S871" s="42"/>
      <c r="T871" s="42"/>
      <c r="U871" s="42"/>
      <c r="V871" s="42"/>
      <c r="AB871" s="42"/>
      <c r="AC871" s="42"/>
      <c r="AD871" s="42"/>
      <c r="AE871" s="42"/>
      <c r="AF871" s="42"/>
      <c r="AG871" s="42"/>
      <c r="AH871" s="42"/>
      <c r="AI871" s="42"/>
      <c r="AJ871" s="42"/>
      <c r="AK871" s="42"/>
      <c r="AL871" s="42"/>
    </row>
    <row r="872" spans="12:38">
      <c r="L872" s="42"/>
      <c r="M872" s="42"/>
      <c r="N872" s="42"/>
      <c r="O872" s="42"/>
      <c r="P872" s="42"/>
      <c r="Q872" s="42"/>
      <c r="R872" s="42"/>
      <c r="S872" s="42"/>
      <c r="T872" s="42"/>
      <c r="U872" s="42"/>
      <c r="V872" s="42"/>
      <c r="AB872" s="42"/>
      <c r="AC872" s="42"/>
      <c r="AD872" s="42"/>
      <c r="AE872" s="42"/>
      <c r="AF872" s="42"/>
      <c r="AG872" s="42"/>
      <c r="AH872" s="42"/>
      <c r="AI872" s="42"/>
      <c r="AJ872" s="42"/>
      <c r="AK872" s="42"/>
      <c r="AL872" s="42"/>
    </row>
    <row r="873" spans="12:38">
      <c r="L873" s="42"/>
      <c r="M873" s="42"/>
      <c r="N873" s="42"/>
      <c r="O873" s="42"/>
      <c r="P873" s="42"/>
      <c r="Q873" s="42"/>
      <c r="R873" s="42"/>
      <c r="S873" s="42"/>
      <c r="T873" s="42"/>
      <c r="U873" s="42"/>
      <c r="V873" s="42"/>
      <c r="AB873" s="42"/>
      <c r="AC873" s="42"/>
      <c r="AD873" s="42"/>
      <c r="AE873" s="42"/>
      <c r="AF873" s="42"/>
      <c r="AG873" s="42"/>
      <c r="AH873" s="42"/>
      <c r="AI873" s="42"/>
      <c r="AJ873" s="42"/>
      <c r="AK873" s="42"/>
      <c r="AL873" s="42"/>
    </row>
    <row r="874" spans="12:38">
      <c r="L874" s="42"/>
      <c r="M874" s="42"/>
      <c r="N874" s="42"/>
      <c r="O874" s="42"/>
      <c r="P874" s="42"/>
      <c r="Q874" s="42"/>
      <c r="R874" s="42"/>
      <c r="S874" s="42"/>
      <c r="T874" s="42"/>
      <c r="U874" s="42"/>
      <c r="V874" s="42"/>
      <c r="AB874" s="42"/>
      <c r="AC874" s="42"/>
      <c r="AD874" s="42"/>
      <c r="AE874" s="42"/>
      <c r="AF874" s="42"/>
      <c r="AG874" s="42"/>
      <c r="AH874" s="42"/>
      <c r="AI874" s="42"/>
      <c r="AJ874" s="42"/>
      <c r="AK874" s="42"/>
      <c r="AL874" s="42"/>
    </row>
    <row r="875" spans="12:38">
      <c r="L875" s="42"/>
      <c r="M875" s="42"/>
      <c r="N875" s="42"/>
      <c r="O875" s="42"/>
      <c r="P875" s="42"/>
      <c r="Q875" s="42"/>
      <c r="R875" s="42"/>
      <c r="S875" s="42"/>
      <c r="T875" s="42"/>
      <c r="U875" s="42"/>
      <c r="V875" s="42"/>
      <c r="AB875" s="42"/>
      <c r="AC875" s="42"/>
      <c r="AD875" s="42"/>
      <c r="AE875" s="42"/>
      <c r="AF875" s="42"/>
      <c r="AG875" s="42"/>
      <c r="AH875" s="42"/>
      <c r="AI875" s="42"/>
      <c r="AJ875" s="42"/>
      <c r="AK875" s="42"/>
      <c r="AL875" s="42"/>
    </row>
    <row r="876" spans="12:38">
      <c r="L876" s="42"/>
      <c r="M876" s="42"/>
      <c r="N876" s="42"/>
      <c r="O876" s="42"/>
      <c r="P876" s="42"/>
      <c r="Q876" s="42"/>
      <c r="R876" s="42"/>
      <c r="S876" s="42"/>
      <c r="T876" s="42"/>
      <c r="U876" s="42"/>
      <c r="V876" s="42"/>
      <c r="AB876" s="42"/>
      <c r="AC876" s="42"/>
      <c r="AD876" s="42"/>
      <c r="AE876" s="42"/>
      <c r="AF876" s="42"/>
      <c r="AG876" s="42"/>
      <c r="AH876" s="42"/>
      <c r="AI876" s="42"/>
      <c r="AJ876" s="42"/>
      <c r="AK876" s="42"/>
      <c r="AL876" s="42"/>
    </row>
    <row r="877" spans="12:38">
      <c r="L877" s="42"/>
      <c r="M877" s="42"/>
      <c r="N877" s="42"/>
      <c r="O877" s="42"/>
      <c r="P877" s="42"/>
      <c r="Q877" s="42"/>
      <c r="R877" s="42"/>
      <c r="S877" s="42"/>
      <c r="T877" s="42"/>
      <c r="U877" s="42"/>
      <c r="V877" s="42"/>
      <c r="AB877" s="42"/>
      <c r="AC877" s="42"/>
      <c r="AD877" s="42"/>
      <c r="AE877" s="42"/>
      <c r="AF877" s="42"/>
      <c r="AG877" s="42"/>
      <c r="AH877" s="42"/>
      <c r="AI877" s="42"/>
      <c r="AJ877" s="42"/>
      <c r="AK877" s="42"/>
      <c r="AL877" s="42"/>
    </row>
    <row r="878" spans="12:38">
      <c r="L878" s="42"/>
      <c r="M878" s="42"/>
      <c r="N878" s="42"/>
      <c r="O878" s="42"/>
      <c r="P878" s="42"/>
      <c r="Q878" s="42"/>
      <c r="R878" s="42"/>
      <c r="S878" s="42"/>
      <c r="T878" s="42"/>
      <c r="U878" s="42"/>
      <c r="V878" s="42"/>
      <c r="AB878" s="42"/>
      <c r="AC878" s="42"/>
      <c r="AD878" s="42"/>
      <c r="AE878" s="42"/>
      <c r="AF878" s="42"/>
      <c r="AG878" s="42"/>
      <c r="AH878" s="42"/>
      <c r="AI878" s="42"/>
      <c r="AJ878" s="42"/>
      <c r="AK878" s="42"/>
      <c r="AL878" s="42"/>
    </row>
    <row r="879" spans="12:38">
      <c r="L879" s="42"/>
      <c r="M879" s="42"/>
      <c r="N879" s="42"/>
      <c r="O879" s="42"/>
      <c r="P879" s="42"/>
      <c r="Q879" s="42"/>
      <c r="R879" s="42"/>
      <c r="S879" s="42"/>
      <c r="T879" s="42"/>
      <c r="U879" s="42"/>
      <c r="V879" s="42"/>
      <c r="AB879" s="42"/>
      <c r="AC879" s="42"/>
      <c r="AD879" s="42"/>
      <c r="AE879" s="42"/>
      <c r="AF879" s="42"/>
      <c r="AG879" s="42"/>
      <c r="AH879" s="42"/>
      <c r="AI879" s="42"/>
      <c r="AJ879" s="42"/>
      <c r="AK879" s="42"/>
      <c r="AL879" s="42"/>
    </row>
    <row r="880" spans="12:38">
      <c r="L880" s="42"/>
      <c r="M880" s="42"/>
      <c r="N880" s="42"/>
      <c r="O880" s="42"/>
      <c r="P880" s="42"/>
      <c r="Q880" s="42"/>
      <c r="R880" s="42"/>
      <c r="S880" s="42"/>
      <c r="T880" s="42"/>
      <c r="U880" s="42"/>
      <c r="V880" s="42"/>
      <c r="AB880" s="42"/>
      <c r="AC880" s="42"/>
      <c r="AD880" s="42"/>
      <c r="AE880" s="42"/>
      <c r="AF880" s="42"/>
      <c r="AG880" s="42"/>
      <c r="AH880" s="42"/>
      <c r="AI880" s="42"/>
      <c r="AJ880" s="42"/>
      <c r="AK880" s="42"/>
      <c r="AL880" s="42"/>
    </row>
    <row r="881" spans="12:38">
      <c r="L881" s="42"/>
      <c r="M881" s="42"/>
      <c r="N881" s="42"/>
      <c r="O881" s="42"/>
      <c r="P881" s="42"/>
      <c r="Q881" s="42"/>
      <c r="R881" s="42"/>
      <c r="S881" s="42"/>
      <c r="T881" s="42"/>
      <c r="U881" s="42"/>
      <c r="V881" s="42"/>
      <c r="AB881" s="42"/>
      <c r="AC881" s="42"/>
      <c r="AD881" s="42"/>
      <c r="AE881" s="42"/>
      <c r="AF881" s="42"/>
      <c r="AG881" s="42"/>
      <c r="AH881" s="42"/>
      <c r="AI881" s="42"/>
      <c r="AJ881" s="42"/>
      <c r="AK881" s="42"/>
      <c r="AL881" s="42"/>
    </row>
    <row r="882" spans="12:38">
      <c r="L882" s="42"/>
      <c r="M882" s="42"/>
      <c r="N882" s="42"/>
      <c r="O882" s="42"/>
      <c r="P882" s="42"/>
      <c r="Q882" s="42"/>
      <c r="R882" s="42"/>
      <c r="S882" s="42"/>
      <c r="T882" s="42"/>
      <c r="U882" s="42"/>
      <c r="V882" s="42"/>
      <c r="AB882" s="42"/>
      <c r="AC882" s="42"/>
      <c r="AD882" s="42"/>
      <c r="AE882" s="42"/>
      <c r="AF882" s="42"/>
      <c r="AG882" s="42"/>
      <c r="AH882" s="42"/>
      <c r="AI882" s="42"/>
      <c r="AJ882" s="42"/>
      <c r="AK882" s="42"/>
      <c r="AL882" s="42"/>
    </row>
    <row r="883" spans="12:38">
      <c r="L883" s="42"/>
      <c r="M883" s="42"/>
      <c r="N883" s="42"/>
      <c r="O883" s="42"/>
      <c r="P883" s="42"/>
      <c r="Q883" s="42"/>
      <c r="R883" s="42"/>
      <c r="S883" s="42"/>
      <c r="T883" s="42"/>
      <c r="U883" s="42"/>
      <c r="V883" s="42"/>
      <c r="AB883" s="42"/>
      <c r="AC883" s="42"/>
      <c r="AD883" s="42"/>
      <c r="AE883" s="42"/>
      <c r="AF883" s="42"/>
      <c r="AG883" s="42"/>
      <c r="AH883" s="42"/>
      <c r="AI883" s="42"/>
      <c r="AJ883" s="42"/>
      <c r="AK883" s="42"/>
      <c r="AL883" s="42"/>
    </row>
    <row r="884" spans="12:38">
      <c r="L884" s="42"/>
      <c r="M884" s="42"/>
      <c r="N884" s="42"/>
      <c r="O884" s="42"/>
      <c r="P884" s="42"/>
      <c r="Q884" s="42"/>
      <c r="R884" s="42"/>
      <c r="S884" s="42"/>
      <c r="T884" s="42"/>
      <c r="U884" s="42"/>
      <c r="V884" s="42"/>
      <c r="AB884" s="42"/>
      <c r="AC884" s="42"/>
      <c r="AD884" s="42"/>
      <c r="AE884" s="42"/>
      <c r="AF884" s="42"/>
      <c r="AG884" s="42"/>
      <c r="AH884" s="42"/>
      <c r="AI884" s="42"/>
      <c r="AJ884" s="42"/>
      <c r="AK884" s="42"/>
      <c r="AL884" s="42"/>
    </row>
    <row r="885" spans="12:38">
      <c r="L885" s="42"/>
      <c r="M885" s="42"/>
      <c r="N885" s="42"/>
      <c r="O885" s="42"/>
      <c r="P885" s="42"/>
      <c r="Q885" s="42"/>
      <c r="R885" s="42"/>
      <c r="S885" s="42"/>
      <c r="T885" s="42"/>
      <c r="U885" s="42"/>
      <c r="V885" s="42"/>
      <c r="AB885" s="42"/>
      <c r="AC885" s="42"/>
      <c r="AD885" s="42"/>
      <c r="AE885" s="42"/>
      <c r="AF885" s="42"/>
      <c r="AG885" s="42"/>
      <c r="AH885" s="42"/>
      <c r="AI885" s="42"/>
      <c r="AJ885" s="42"/>
      <c r="AK885" s="42"/>
      <c r="AL885" s="42"/>
    </row>
    <row r="886" spans="12:38">
      <c r="L886" s="42"/>
      <c r="M886" s="42"/>
      <c r="N886" s="42"/>
      <c r="O886" s="42"/>
      <c r="P886" s="42"/>
      <c r="Q886" s="42"/>
      <c r="R886" s="42"/>
      <c r="S886" s="42"/>
      <c r="T886" s="42"/>
      <c r="U886" s="42"/>
      <c r="V886" s="42"/>
      <c r="AB886" s="42"/>
      <c r="AC886" s="42"/>
      <c r="AD886" s="42"/>
      <c r="AE886" s="42"/>
      <c r="AF886" s="42"/>
      <c r="AG886" s="42"/>
      <c r="AH886" s="42"/>
      <c r="AI886" s="42"/>
      <c r="AJ886" s="42"/>
      <c r="AK886" s="42"/>
      <c r="AL886" s="42"/>
    </row>
    <row r="887" spans="12:38">
      <c r="L887" s="42"/>
      <c r="M887" s="42"/>
      <c r="N887" s="42"/>
      <c r="O887" s="42"/>
      <c r="P887" s="42"/>
      <c r="Q887" s="42"/>
      <c r="R887" s="42"/>
      <c r="S887" s="42"/>
      <c r="T887" s="42"/>
      <c r="U887" s="42"/>
      <c r="V887" s="42"/>
      <c r="AB887" s="42"/>
      <c r="AC887" s="42"/>
      <c r="AD887" s="42"/>
      <c r="AE887" s="42"/>
      <c r="AF887" s="42"/>
      <c r="AG887" s="42"/>
      <c r="AH887" s="42"/>
      <c r="AI887" s="42"/>
      <c r="AJ887" s="42"/>
      <c r="AK887" s="42"/>
      <c r="AL887" s="42"/>
    </row>
    <row r="888" spans="12:38">
      <c r="L888" s="42"/>
      <c r="M888" s="42"/>
      <c r="N888" s="42"/>
      <c r="O888" s="42"/>
      <c r="P888" s="42"/>
      <c r="Q888" s="42"/>
      <c r="R888" s="42"/>
      <c r="S888" s="42"/>
      <c r="T888" s="42"/>
      <c r="U888" s="42"/>
      <c r="V888" s="42"/>
      <c r="AB888" s="42"/>
      <c r="AC888" s="42"/>
      <c r="AD888" s="42"/>
      <c r="AE888" s="42"/>
      <c r="AF888" s="42"/>
      <c r="AG888" s="42"/>
      <c r="AH888" s="42"/>
      <c r="AI888" s="42"/>
      <c r="AJ888" s="42"/>
      <c r="AK888" s="42"/>
      <c r="AL888" s="42"/>
    </row>
    <row r="889" spans="12:38">
      <c r="L889" s="42"/>
      <c r="M889" s="42"/>
      <c r="N889" s="42"/>
      <c r="O889" s="42"/>
      <c r="P889" s="42"/>
      <c r="Q889" s="42"/>
      <c r="R889" s="42"/>
      <c r="S889" s="42"/>
      <c r="T889" s="42"/>
      <c r="U889" s="42"/>
      <c r="V889" s="42"/>
      <c r="AB889" s="42"/>
      <c r="AC889" s="42"/>
      <c r="AD889" s="42"/>
      <c r="AE889" s="42"/>
      <c r="AF889" s="42"/>
      <c r="AG889" s="42"/>
      <c r="AH889" s="42"/>
      <c r="AI889" s="42"/>
      <c r="AJ889" s="42"/>
      <c r="AK889" s="42"/>
      <c r="AL889" s="42"/>
    </row>
    <row r="890" spans="12:38">
      <c r="L890" s="42"/>
      <c r="M890" s="42"/>
      <c r="N890" s="42"/>
      <c r="O890" s="42"/>
      <c r="P890" s="42"/>
      <c r="Q890" s="42"/>
      <c r="R890" s="42"/>
      <c r="S890" s="42"/>
      <c r="T890" s="42"/>
      <c r="U890" s="42"/>
      <c r="V890" s="42"/>
      <c r="AB890" s="42"/>
      <c r="AC890" s="42"/>
      <c r="AD890" s="42"/>
      <c r="AE890" s="42"/>
      <c r="AF890" s="42"/>
      <c r="AG890" s="42"/>
      <c r="AH890" s="42"/>
      <c r="AI890" s="42"/>
      <c r="AJ890" s="42"/>
      <c r="AK890" s="42"/>
      <c r="AL890" s="42"/>
    </row>
    <row r="891" spans="12:38">
      <c r="L891" s="42"/>
      <c r="M891" s="42"/>
      <c r="N891" s="42"/>
      <c r="O891" s="42"/>
      <c r="P891" s="42"/>
      <c r="Q891" s="42"/>
      <c r="R891" s="42"/>
      <c r="S891" s="42"/>
      <c r="T891" s="42"/>
      <c r="U891" s="42"/>
      <c r="V891" s="42"/>
      <c r="AB891" s="42"/>
      <c r="AC891" s="42"/>
      <c r="AD891" s="42"/>
      <c r="AE891" s="42"/>
      <c r="AF891" s="42"/>
      <c r="AG891" s="42"/>
      <c r="AH891" s="42"/>
      <c r="AI891" s="42"/>
      <c r="AJ891" s="42"/>
      <c r="AK891" s="42"/>
      <c r="AL891" s="42"/>
    </row>
    <row r="892" spans="12:38">
      <c r="L892" s="42"/>
      <c r="M892" s="42"/>
      <c r="N892" s="42"/>
      <c r="O892" s="42"/>
      <c r="P892" s="42"/>
      <c r="Q892" s="42"/>
      <c r="R892" s="42"/>
      <c r="S892" s="42"/>
      <c r="T892" s="42"/>
      <c r="U892" s="42"/>
      <c r="V892" s="42"/>
      <c r="AB892" s="42"/>
      <c r="AC892" s="42"/>
      <c r="AD892" s="42"/>
      <c r="AE892" s="42"/>
      <c r="AF892" s="42"/>
      <c r="AG892" s="42"/>
      <c r="AH892" s="42"/>
      <c r="AI892" s="42"/>
      <c r="AJ892" s="42"/>
      <c r="AK892" s="42"/>
      <c r="AL892" s="42"/>
    </row>
    <row r="893" spans="12:38">
      <c r="L893" s="42"/>
      <c r="M893" s="42"/>
      <c r="N893" s="42"/>
      <c r="O893" s="42"/>
      <c r="P893" s="42"/>
      <c r="Q893" s="42"/>
      <c r="R893" s="42"/>
      <c r="S893" s="42"/>
      <c r="T893" s="42"/>
      <c r="U893" s="42"/>
      <c r="V893" s="42"/>
      <c r="AB893" s="42"/>
      <c r="AC893" s="42"/>
      <c r="AD893" s="42"/>
      <c r="AE893" s="42"/>
      <c r="AF893" s="42"/>
      <c r="AG893" s="42"/>
      <c r="AH893" s="42"/>
      <c r="AI893" s="42"/>
      <c r="AJ893" s="42"/>
      <c r="AK893" s="42"/>
      <c r="AL893" s="42"/>
    </row>
    <row r="894" spans="12:38">
      <c r="L894" s="42"/>
      <c r="M894" s="42"/>
      <c r="N894" s="42"/>
      <c r="O894" s="42"/>
      <c r="P894" s="42"/>
      <c r="Q894" s="42"/>
      <c r="R894" s="42"/>
      <c r="S894" s="42"/>
      <c r="T894" s="42"/>
      <c r="U894" s="42"/>
      <c r="V894" s="42"/>
      <c r="AB894" s="42"/>
      <c r="AC894" s="42"/>
      <c r="AD894" s="42"/>
      <c r="AE894" s="42"/>
      <c r="AF894" s="42"/>
      <c r="AG894" s="42"/>
      <c r="AH894" s="42"/>
      <c r="AI894" s="42"/>
      <c r="AJ894" s="42"/>
      <c r="AK894" s="42"/>
      <c r="AL894" s="42"/>
    </row>
    <row r="895" spans="12:38">
      <c r="L895" s="42"/>
      <c r="M895" s="42"/>
      <c r="N895" s="42"/>
      <c r="O895" s="42"/>
      <c r="P895" s="42"/>
      <c r="Q895" s="42"/>
      <c r="R895" s="42"/>
      <c r="S895" s="42"/>
      <c r="T895" s="42"/>
      <c r="U895" s="42"/>
      <c r="V895" s="42"/>
      <c r="AB895" s="42"/>
      <c r="AC895" s="42"/>
      <c r="AD895" s="42"/>
      <c r="AE895" s="42"/>
      <c r="AF895" s="42"/>
      <c r="AG895" s="42"/>
      <c r="AH895" s="42"/>
      <c r="AI895" s="42"/>
      <c r="AJ895" s="42"/>
      <c r="AK895" s="42"/>
      <c r="AL895" s="42"/>
    </row>
    <row r="896" spans="12:38">
      <c r="L896" s="42"/>
      <c r="M896" s="42"/>
      <c r="N896" s="42"/>
      <c r="O896" s="42"/>
      <c r="P896" s="42"/>
      <c r="Q896" s="42"/>
      <c r="R896" s="42"/>
      <c r="S896" s="42"/>
      <c r="T896" s="42"/>
      <c r="U896" s="42"/>
      <c r="V896" s="42"/>
      <c r="AB896" s="42"/>
      <c r="AC896" s="42"/>
      <c r="AD896" s="42"/>
      <c r="AE896" s="42"/>
      <c r="AF896" s="42"/>
      <c r="AG896" s="42"/>
      <c r="AH896" s="42"/>
      <c r="AI896" s="42"/>
      <c r="AJ896" s="42"/>
      <c r="AK896" s="42"/>
      <c r="AL896" s="42"/>
    </row>
    <row r="897" spans="12:38">
      <c r="L897" s="42"/>
      <c r="M897" s="42"/>
      <c r="N897" s="42"/>
      <c r="O897" s="42"/>
      <c r="P897" s="42"/>
      <c r="Q897" s="42"/>
      <c r="R897" s="42"/>
      <c r="S897" s="42"/>
      <c r="T897" s="42"/>
      <c r="U897" s="42"/>
      <c r="V897" s="42"/>
      <c r="AB897" s="42"/>
      <c r="AC897" s="42"/>
      <c r="AD897" s="42"/>
      <c r="AE897" s="42"/>
      <c r="AF897" s="42"/>
      <c r="AG897" s="42"/>
      <c r="AH897" s="42"/>
      <c r="AI897" s="42"/>
      <c r="AJ897" s="42"/>
      <c r="AK897" s="42"/>
      <c r="AL897" s="42"/>
    </row>
    <row r="898" spans="12:38">
      <c r="L898" s="42"/>
      <c r="M898" s="42"/>
      <c r="N898" s="42"/>
      <c r="O898" s="42"/>
      <c r="P898" s="42"/>
      <c r="Q898" s="42"/>
      <c r="R898" s="42"/>
      <c r="S898" s="42"/>
      <c r="T898" s="42"/>
      <c r="U898" s="42"/>
      <c r="V898" s="42"/>
      <c r="AB898" s="42"/>
      <c r="AC898" s="42"/>
      <c r="AD898" s="42"/>
      <c r="AE898" s="42"/>
      <c r="AF898" s="42"/>
      <c r="AG898" s="42"/>
      <c r="AH898" s="42"/>
      <c r="AI898" s="42"/>
      <c r="AJ898" s="42"/>
      <c r="AK898" s="42"/>
      <c r="AL898" s="42"/>
    </row>
    <row r="899" spans="12:38">
      <c r="L899" s="42"/>
      <c r="M899" s="42"/>
      <c r="N899" s="42"/>
      <c r="O899" s="42"/>
      <c r="P899" s="42"/>
      <c r="Q899" s="42"/>
      <c r="R899" s="42"/>
      <c r="S899" s="42"/>
      <c r="T899" s="42"/>
      <c r="U899" s="42"/>
      <c r="V899" s="42"/>
      <c r="AB899" s="42"/>
      <c r="AC899" s="42"/>
      <c r="AD899" s="42"/>
      <c r="AE899" s="42"/>
      <c r="AF899" s="42"/>
      <c r="AG899" s="42"/>
      <c r="AH899" s="42"/>
      <c r="AI899" s="42"/>
      <c r="AJ899" s="42"/>
      <c r="AK899" s="42"/>
      <c r="AL899" s="42"/>
    </row>
    <row r="900" spans="12:38">
      <c r="L900" s="42"/>
      <c r="M900" s="42"/>
      <c r="N900" s="42"/>
      <c r="O900" s="42"/>
      <c r="P900" s="42"/>
      <c r="Q900" s="42"/>
      <c r="R900" s="42"/>
      <c r="S900" s="42"/>
      <c r="T900" s="42"/>
      <c r="U900" s="42"/>
      <c r="V900" s="42"/>
      <c r="AB900" s="42"/>
      <c r="AC900" s="42"/>
      <c r="AD900" s="42"/>
      <c r="AE900" s="42"/>
      <c r="AF900" s="42"/>
      <c r="AG900" s="42"/>
      <c r="AH900" s="42"/>
      <c r="AI900" s="42"/>
      <c r="AJ900" s="42"/>
      <c r="AK900" s="42"/>
      <c r="AL900" s="42"/>
    </row>
    <row r="901" spans="12:38">
      <c r="L901" s="42"/>
      <c r="M901" s="42"/>
      <c r="N901" s="42"/>
      <c r="O901" s="42"/>
      <c r="P901" s="42"/>
      <c r="Q901" s="42"/>
      <c r="R901" s="42"/>
      <c r="S901" s="42"/>
      <c r="T901" s="42"/>
      <c r="U901" s="42"/>
      <c r="V901" s="42"/>
      <c r="AB901" s="42"/>
      <c r="AC901" s="42"/>
      <c r="AD901" s="42"/>
      <c r="AE901" s="42"/>
      <c r="AF901" s="42"/>
      <c r="AG901" s="42"/>
      <c r="AH901" s="42"/>
      <c r="AI901" s="42"/>
      <c r="AJ901" s="42"/>
      <c r="AK901" s="42"/>
      <c r="AL901" s="42"/>
    </row>
    <row r="902" spans="12:38">
      <c r="L902" s="42"/>
      <c r="M902" s="42"/>
      <c r="N902" s="42"/>
      <c r="O902" s="42"/>
      <c r="P902" s="42"/>
      <c r="Q902" s="42"/>
      <c r="R902" s="42"/>
      <c r="S902" s="42"/>
      <c r="T902" s="42"/>
      <c r="U902" s="42"/>
      <c r="V902" s="42"/>
      <c r="AB902" s="42"/>
      <c r="AC902" s="42"/>
      <c r="AD902" s="42"/>
      <c r="AE902" s="42"/>
      <c r="AF902" s="42"/>
      <c r="AG902" s="42"/>
      <c r="AH902" s="42"/>
      <c r="AI902" s="42"/>
      <c r="AJ902" s="42"/>
      <c r="AK902" s="42"/>
      <c r="AL902" s="42"/>
    </row>
    <row r="903" spans="12:38">
      <c r="L903" s="42"/>
      <c r="M903" s="42"/>
      <c r="N903" s="42"/>
      <c r="O903" s="42"/>
      <c r="P903" s="42"/>
      <c r="Q903" s="42"/>
      <c r="R903" s="42"/>
      <c r="S903" s="42"/>
      <c r="T903" s="42"/>
      <c r="U903" s="42"/>
      <c r="V903" s="42"/>
      <c r="AB903" s="42"/>
      <c r="AC903" s="42"/>
      <c r="AD903" s="42"/>
      <c r="AE903" s="42"/>
      <c r="AF903" s="42"/>
      <c r="AG903" s="42"/>
      <c r="AH903" s="42"/>
      <c r="AI903" s="42"/>
      <c r="AJ903" s="42"/>
      <c r="AK903" s="42"/>
      <c r="AL903" s="42"/>
    </row>
    <row r="904" spans="12:38">
      <c r="L904" s="42"/>
      <c r="M904" s="42"/>
      <c r="N904" s="42"/>
      <c r="O904" s="42"/>
      <c r="P904" s="42"/>
      <c r="Q904" s="42"/>
      <c r="R904" s="42"/>
      <c r="S904" s="42"/>
      <c r="T904" s="42"/>
      <c r="U904" s="42"/>
      <c r="V904" s="42"/>
      <c r="AB904" s="42"/>
      <c r="AC904" s="42"/>
      <c r="AD904" s="42"/>
      <c r="AE904" s="42"/>
      <c r="AF904" s="42"/>
      <c r="AG904" s="42"/>
      <c r="AH904" s="42"/>
      <c r="AI904" s="42"/>
      <c r="AJ904" s="42"/>
      <c r="AK904" s="42"/>
      <c r="AL904" s="42"/>
    </row>
    <row r="905" spans="12:38">
      <c r="L905" s="42"/>
      <c r="M905" s="42"/>
      <c r="N905" s="42"/>
      <c r="O905" s="42"/>
      <c r="P905" s="42"/>
      <c r="Q905" s="42"/>
      <c r="R905" s="42"/>
      <c r="S905" s="42"/>
      <c r="T905" s="42"/>
      <c r="U905" s="42"/>
      <c r="V905" s="42"/>
      <c r="AB905" s="42"/>
      <c r="AC905" s="42"/>
      <c r="AD905" s="42"/>
      <c r="AE905" s="42"/>
      <c r="AF905" s="42"/>
      <c r="AG905" s="42"/>
      <c r="AH905" s="42"/>
      <c r="AI905" s="42"/>
      <c r="AJ905" s="42"/>
      <c r="AK905" s="42"/>
      <c r="AL905" s="42"/>
    </row>
    <row r="906" spans="12:38">
      <c r="L906" s="42"/>
      <c r="M906" s="42"/>
      <c r="N906" s="42"/>
      <c r="O906" s="42"/>
      <c r="P906" s="42"/>
      <c r="Q906" s="42"/>
      <c r="R906" s="42"/>
      <c r="S906" s="42"/>
      <c r="T906" s="42"/>
      <c r="U906" s="42"/>
      <c r="V906" s="42"/>
      <c r="AB906" s="42"/>
      <c r="AC906" s="42"/>
      <c r="AD906" s="42"/>
      <c r="AE906" s="42"/>
      <c r="AF906" s="42"/>
      <c r="AG906" s="42"/>
      <c r="AH906" s="42"/>
      <c r="AI906" s="42"/>
      <c r="AJ906" s="42"/>
      <c r="AK906" s="42"/>
      <c r="AL906" s="42"/>
    </row>
    <row r="907" spans="12:38">
      <c r="L907" s="42"/>
      <c r="M907" s="42"/>
      <c r="N907" s="42"/>
      <c r="O907" s="42"/>
      <c r="P907" s="42"/>
      <c r="Q907" s="42"/>
      <c r="R907" s="42"/>
      <c r="S907" s="42"/>
      <c r="T907" s="42"/>
      <c r="U907" s="42"/>
      <c r="V907" s="42"/>
      <c r="AB907" s="42"/>
      <c r="AC907" s="42"/>
      <c r="AD907" s="42"/>
      <c r="AE907" s="42"/>
      <c r="AF907" s="42"/>
      <c r="AG907" s="42"/>
      <c r="AH907" s="42"/>
      <c r="AI907" s="42"/>
      <c r="AJ907" s="42"/>
      <c r="AK907" s="42"/>
      <c r="AL907" s="42"/>
    </row>
    <row r="908" spans="12:38">
      <c r="L908" s="42"/>
      <c r="M908" s="42"/>
      <c r="N908" s="42"/>
      <c r="O908" s="42"/>
      <c r="P908" s="42"/>
      <c r="Q908" s="42"/>
      <c r="R908" s="42"/>
      <c r="S908" s="42"/>
      <c r="T908" s="42"/>
      <c r="U908" s="42"/>
      <c r="V908" s="42"/>
      <c r="AB908" s="42"/>
      <c r="AC908" s="42"/>
      <c r="AD908" s="42"/>
      <c r="AE908" s="42"/>
      <c r="AF908" s="42"/>
      <c r="AG908" s="42"/>
      <c r="AH908" s="42"/>
      <c r="AI908" s="42"/>
      <c r="AJ908" s="42"/>
      <c r="AK908" s="42"/>
      <c r="AL908" s="42"/>
    </row>
    <row r="909" spans="12:38">
      <c r="L909" s="42"/>
      <c r="M909" s="42"/>
      <c r="N909" s="42"/>
      <c r="O909" s="42"/>
      <c r="P909" s="42"/>
      <c r="Q909" s="42"/>
      <c r="R909" s="42"/>
      <c r="S909" s="42"/>
      <c r="T909" s="42"/>
      <c r="U909" s="42"/>
      <c r="V909" s="42"/>
      <c r="AB909" s="42"/>
      <c r="AC909" s="42"/>
      <c r="AD909" s="42"/>
      <c r="AE909" s="42"/>
      <c r="AF909" s="42"/>
      <c r="AG909" s="42"/>
      <c r="AH909" s="42"/>
      <c r="AI909" s="42"/>
      <c r="AJ909" s="42"/>
      <c r="AK909" s="42"/>
      <c r="AL909" s="42"/>
    </row>
    <row r="910" spans="12:38">
      <c r="L910" s="42"/>
      <c r="M910" s="42"/>
      <c r="N910" s="42"/>
      <c r="O910" s="42"/>
      <c r="P910" s="42"/>
      <c r="Q910" s="42"/>
      <c r="R910" s="42"/>
      <c r="S910" s="42"/>
      <c r="T910" s="42"/>
      <c r="U910" s="42"/>
      <c r="V910" s="42"/>
      <c r="AB910" s="42"/>
      <c r="AC910" s="42"/>
      <c r="AD910" s="42"/>
      <c r="AE910" s="42"/>
      <c r="AF910" s="42"/>
      <c r="AG910" s="42"/>
      <c r="AH910" s="42"/>
      <c r="AI910" s="42"/>
      <c r="AJ910" s="42"/>
      <c r="AK910" s="42"/>
      <c r="AL910" s="42"/>
    </row>
    <row r="911" spans="12:38">
      <c r="L911" s="42"/>
      <c r="M911" s="42"/>
      <c r="N911" s="42"/>
      <c r="O911" s="42"/>
      <c r="P911" s="42"/>
      <c r="Q911" s="42"/>
      <c r="R911" s="42"/>
      <c r="S911" s="42"/>
      <c r="T911" s="42"/>
      <c r="U911" s="42"/>
      <c r="V911" s="42"/>
      <c r="AB911" s="42"/>
      <c r="AC911" s="42"/>
      <c r="AD911" s="42"/>
      <c r="AE911" s="42"/>
      <c r="AF911" s="42"/>
      <c r="AG911" s="42"/>
      <c r="AH911" s="42"/>
      <c r="AI911" s="42"/>
      <c r="AJ911" s="42"/>
      <c r="AK911" s="42"/>
      <c r="AL911" s="42"/>
    </row>
    <row r="912" spans="12:38">
      <c r="L912" s="42"/>
      <c r="M912" s="42"/>
      <c r="N912" s="42"/>
      <c r="O912" s="42"/>
      <c r="P912" s="42"/>
      <c r="Q912" s="42"/>
      <c r="R912" s="42"/>
      <c r="S912" s="42"/>
      <c r="T912" s="42"/>
      <c r="U912" s="42"/>
      <c r="V912" s="42"/>
      <c r="AB912" s="42"/>
      <c r="AC912" s="42"/>
      <c r="AD912" s="42"/>
      <c r="AE912" s="42"/>
      <c r="AF912" s="42"/>
      <c r="AG912" s="42"/>
      <c r="AH912" s="42"/>
      <c r="AI912" s="42"/>
      <c r="AJ912" s="42"/>
      <c r="AK912" s="42"/>
      <c r="AL912" s="42"/>
    </row>
    <row r="913" spans="12:38">
      <c r="L913" s="42"/>
      <c r="M913" s="42"/>
      <c r="N913" s="42"/>
      <c r="O913" s="42"/>
      <c r="P913" s="42"/>
      <c r="Q913" s="42"/>
      <c r="R913" s="42"/>
      <c r="S913" s="42"/>
      <c r="T913" s="42"/>
      <c r="U913" s="42"/>
      <c r="V913" s="42"/>
      <c r="AB913" s="42"/>
      <c r="AC913" s="42"/>
      <c r="AD913" s="42"/>
      <c r="AE913" s="42"/>
      <c r="AF913" s="42"/>
      <c r="AG913" s="42"/>
      <c r="AH913" s="42"/>
      <c r="AI913" s="42"/>
      <c r="AJ913" s="42"/>
      <c r="AK913" s="42"/>
      <c r="AL913" s="42"/>
    </row>
    <row r="914" spans="12:38">
      <c r="L914" s="42"/>
      <c r="M914" s="42"/>
      <c r="N914" s="42"/>
      <c r="O914" s="42"/>
      <c r="P914" s="42"/>
      <c r="Q914" s="42"/>
      <c r="R914" s="42"/>
      <c r="S914" s="42"/>
      <c r="T914" s="42"/>
      <c r="U914" s="42"/>
      <c r="V914" s="42"/>
      <c r="AB914" s="42"/>
      <c r="AC914" s="42"/>
      <c r="AD914" s="42"/>
      <c r="AE914" s="42"/>
      <c r="AF914" s="42"/>
      <c r="AG914" s="42"/>
      <c r="AH914" s="42"/>
      <c r="AI914" s="42"/>
      <c r="AJ914" s="42"/>
      <c r="AK914" s="42"/>
      <c r="AL914" s="42"/>
    </row>
    <row r="915" spans="12:38">
      <c r="L915" s="42"/>
      <c r="M915" s="42"/>
      <c r="N915" s="42"/>
      <c r="O915" s="42"/>
      <c r="P915" s="42"/>
      <c r="Q915" s="42"/>
      <c r="R915" s="42"/>
      <c r="S915" s="42"/>
      <c r="T915" s="42"/>
      <c r="U915" s="42"/>
      <c r="V915" s="42"/>
      <c r="AB915" s="42"/>
      <c r="AC915" s="42"/>
      <c r="AD915" s="42"/>
      <c r="AE915" s="42"/>
      <c r="AF915" s="42"/>
      <c r="AG915" s="42"/>
      <c r="AH915" s="42"/>
      <c r="AI915" s="42"/>
      <c r="AJ915" s="42"/>
      <c r="AK915" s="42"/>
      <c r="AL915" s="42"/>
    </row>
    <row r="916" spans="12:38">
      <c r="L916" s="42"/>
      <c r="M916" s="42"/>
      <c r="N916" s="42"/>
      <c r="O916" s="42"/>
      <c r="P916" s="42"/>
      <c r="Q916" s="42"/>
      <c r="R916" s="42"/>
      <c r="S916" s="42"/>
      <c r="T916" s="42"/>
      <c r="U916" s="42"/>
      <c r="V916" s="42"/>
      <c r="AB916" s="42"/>
      <c r="AC916" s="42"/>
      <c r="AD916" s="42"/>
      <c r="AE916" s="42"/>
      <c r="AF916" s="42"/>
      <c r="AG916" s="42"/>
      <c r="AH916" s="42"/>
      <c r="AI916" s="42"/>
      <c r="AJ916" s="42"/>
      <c r="AK916" s="42"/>
      <c r="AL916" s="42"/>
    </row>
    <row r="917" spans="12:38">
      <c r="L917" s="42"/>
      <c r="M917" s="42"/>
      <c r="N917" s="42"/>
      <c r="O917" s="42"/>
      <c r="P917" s="42"/>
      <c r="Q917" s="42"/>
      <c r="R917" s="42"/>
      <c r="S917" s="42"/>
      <c r="T917" s="42"/>
      <c r="U917" s="42"/>
      <c r="V917" s="42"/>
      <c r="AB917" s="42"/>
      <c r="AC917" s="42"/>
      <c r="AD917" s="42"/>
      <c r="AE917" s="42"/>
      <c r="AF917" s="42"/>
      <c r="AG917" s="42"/>
      <c r="AH917" s="42"/>
      <c r="AI917" s="42"/>
      <c r="AJ917" s="42"/>
      <c r="AK917" s="42"/>
      <c r="AL917" s="42"/>
    </row>
    <row r="918" spans="12:38">
      <c r="L918" s="42"/>
      <c r="M918" s="42"/>
      <c r="N918" s="42"/>
      <c r="O918" s="42"/>
      <c r="P918" s="42"/>
      <c r="Q918" s="42"/>
      <c r="R918" s="42"/>
      <c r="S918" s="42"/>
      <c r="T918" s="42"/>
      <c r="U918" s="42"/>
      <c r="V918" s="42"/>
      <c r="AB918" s="42"/>
      <c r="AC918" s="42"/>
      <c r="AD918" s="42"/>
      <c r="AE918" s="42"/>
      <c r="AF918" s="42"/>
      <c r="AG918" s="42"/>
      <c r="AH918" s="42"/>
      <c r="AI918" s="42"/>
      <c r="AJ918" s="42"/>
      <c r="AK918" s="42"/>
      <c r="AL918" s="42"/>
    </row>
    <row r="919" spans="12:38">
      <c r="L919" s="42"/>
      <c r="M919" s="42"/>
      <c r="N919" s="42"/>
      <c r="O919" s="42"/>
      <c r="P919" s="42"/>
      <c r="Q919" s="42"/>
      <c r="R919" s="42"/>
      <c r="S919" s="42"/>
      <c r="T919" s="42"/>
      <c r="U919" s="42"/>
      <c r="V919" s="42"/>
      <c r="AB919" s="42"/>
      <c r="AC919" s="42"/>
      <c r="AD919" s="42"/>
      <c r="AE919" s="42"/>
      <c r="AF919" s="42"/>
      <c r="AG919" s="42"/>
      <c r="AH919" s="42"/>
      <c r="AI919" s="42"/>
      <c r="AJ919" s="42"/>
      <c r="AK919" s="42"/>
      <c r="AL919" s="42"/>
    </row>
    <row r="920" spans="12:38">
      <c r="L920" s="42"/>
      <c r="M920" s="42"/>
      <c r="N920" s="42"/>
      <c r="O920" s="42"/>
      <c r="P920" s="42"/>
      <c r="Q920" s="42"/>
      <c r="R920" s="42"/>
      <c r="S920" s="42"/>
      <c r="T920" s="42"/>
      <c r="U920" s="42"/>
      <c r="V920" s="42"/>
      <c r="AB920" s="42"/>
      <c r="AC920" s="42"/>
      <c r="AD920" s="42"/>
      <c r="AE920" s="42"/>
      <c r="AF920" s="42"/>
      <c r="AG920" s="42"/>
      <c r="AH920" s="42"/>
      <c r="AI920" s="42"/>
      <c r="AJ920" s="42"/>
      <c r="AK920" s="42"/>
      <c r="AL920" s="42"/>
    </row>
    <row r="921" spans="12:38">
      <c r="L921" s="42"/>
      <c r="M921" s="42"/>
      <c r="N921" s="42"/>
      <c r="O921" s="42"/>
      <c r="P921" s="42"/>
      <c r="Q921" s="42"/>
      <c r="R921" s="42"/>
      <c r="S921" s="42"/>
      <c r="T921" s="42"/>
      <c r="U921" s="42"/>
      <c r="V921" s="42"/>
      <c r="AB921" s="42"/>
      <c r="AC921" s="42"/>
      <c r="AD921" s="42"/>
      <c r="AE921" s="42"/>
      <c r="AF921" s="42"/>
      <c r="AG921" s="42"/>
      <c r="AH921" s="42"/>
      <c r="AI921" s="42"/>
      <c r="AJ921" s="42"/>
      <c r="AK921" s="42"/>
      <c r="AL921" s="42"/>
    </row>
    <row r="922" spans="12:38">
      <c r="L922" s="42"/>
      <c r="M922" s="42"/>
      <c r="N922" s="42"/>
      <c r="O922" s="42"/>
      <c r="P922" s="42"/>
      <c r="Q922" s="42"/>
      <c r="R922" s="42"/>
      <c r="S922" s="42"/>
      <c r="T922" s="42"/>
      <c r="U922" s="42"/>
      <c r="V922" s="42"/>
      <c r="AB922" s="42"/>
      <c r="AC922" s="42"/>
      <c r="AD922" s="42"/>
      <c r="AE922" s="42"/>
      <c r="AF922" s="42"/>
      <c r="AG922" s="42"/>
      <c r="AH922" s="42"/>
      <c r="AI922" s="42"/>
      <c r="AJ922" s="42"/>
      <c r="AK922" s="42"/>
      <c r="AL922" s="42"/>
    </row>
    <row r="923" spans="12:38">
      <c r="L923" s="42"/>
      <c r="M923" s="42"/>
      <c r="N923" s="42"/>
      <c r="O923" s="42"/>
      <c r="P923" s="42"/>
      <c r="Q923" s="42"/>
      <c r="R923" s="42"/>
      <c r="S923" s="42"/>
      <c r="T923" s="42"/>
      <c r="U923" s="42"/>
      <c r="V923" s="42"/>
      <c r="AB923" s="42"/>
      <c r="AC923" s="42"/>
      <c r="AD923" s="42"/>
      <c r="AE923" s="42"/>
      <c r="AF923" s="42"/>
      <c r="AG923" s="42"/>
      <c r="AH923" s="42"/>
      <c r="AI923" s="42"/>
      <c r="AJ923" s="42"/>
      <c r="AK923" s="42"/>
      <c r="AL923" s="42"/>
    </row>
    <row r="924" spans="12:38">
      <c r="L924" s="42"/>
      <c r="M924" s="42"/>
      <c r="N924" s="42"/>
      <c r="O924" s="42"/>
      <c r="P924" s="42"/>
      <c r="Q924" s="42"/>
      <c r="R924" s="42"/>
      <c r="S924" s="42"/>
      <c r="T924" s="42"/>
      <c r="U924" s="42"/>
      <c r="V924" s="42"/>
      <c r="AB924" s="42"/>
      <c r="AC924" s="42"/>
      <c r="AD924" s="42"/>
      <c r="AE924" s="42"/>
      <c r="AF924" s="42"/>
      <c r="AG924" s="42"/>
      <c r="AH924" s="42"/>
      <c r="AI924" s="42"/>
      <c r="AJ924" s="42"/>
      <c r="AK924" s="42"/>
      <c r="AL924" s="42"/>
    </row>
    <row r="925" spans="12:38">
      <c r="L925" s="42"/>
      <c r="M925" s="42"/>
      <c r="N925" s="42"/>
      <c r="O925" s="42"/>
      <c r="P925" s="42"/>
      <c r="Q925" s="42"/>
      <c r="R925" s="42"/>
      <c r="S925" s="42"/>
      <c r="T925" s="42"/>
      <c r="U925" s="42"/>
      <c r="V925" s="42"/>
      <c r="AB925" s="42"/>
      <c r="AC925" s="42"/>
      <c r="AD925" s="42"/>
      <c r="AE925" s="42"/>
      <c r="AF925" s="42"/>
      <c r="AG925" s="42"/>
      <c r="AH925" s="42"/>
      <c r="AI925" s="42"/>
      <c r="AJ925" s="42"/>
      <c r="AK925" s="42"/>
      <c r="AL925" s="42"/>
    </row>
    <row r="926" spans="12:38">
      <c r="L926" s="42"/>
      <c r="M926" s="42"/>
      <c r="N926" s="42"/>
      <c r="O926" s="42"/>
      <c r="P926" s="42"/>
      <c r="Q926" s="42"/>
      <c r="R926" s="42"/>
      <c r="S926" s="42"/>
      <c r="T926" s="42"/>
      <c r="U926" s="42"/>
      <c r="V926" s="42"/>
      <c r="AB926" s="42"/>
      <c r="AC926" s="42"/>
      <c r="AD926" s="42"/>
      <c r="AE926" s="42"/>
      <c r="AF926" s="42"/>
      <c r="AG926" s="42"/>
      <c r="AH926" s="42"/>
      <c r="AI926" s="42"/>
      <c r="AJ926" s="42"/>
      <c r="AK926" s="42"/>
      <c r="AL926" s="42"/>
    </row>
    <row r="927" spans="12:38">
      <c r="L927" s="42"/>
      <c r="M927" s="42"/>
      <c r="N927" s="42"/>
      <c r="O927" s="42"/>
      <c r="P927" s="42"/>
      <c r="Q927" s="42"/>
      <c r="R927" s="42"/>
      <c r="S927" s="42"/>
      <c r="T927" s="42"/>
      <c r="U927" s="42"/>
      <c r="V927" s="42"/>
      <c r="AB927" s="42"/>
      <c r="AC927" s="42"/>
      <c r="AD927" s="42"/>
      <c r="AE927" s="42"/>
      <c r="AF927" s="42"/>
      <c r="AG927" s="42"/>
      <c r="AH927" s="42"/>
      <c r="AI927" s="42"/>
      <c r="AJ927" s="42"/>
      <c r="AK927" s="42"/>
      <c r="AL927" s="42"/>
    </row>
    <row r="928" spans="12:38">
      <c r="L928" s="42"/>
      <c r="M928" s="42"/>
      <c r="N928" s="42"/>
      <c r="O928" s="42"/>
      <c r="P928" s="42"/>
      <c r="Q928" s="42"/>
      <c r="R928" s="42"/>
      <c r="S928" s="42"/>
      <c r="T928" s="42"/>
      <c r="U928" s="42"/>
      <c r="V928" s="42"/>
      <c r="AB928" s="42"/>
      <c r="AC928" s="42"/>
      <c r="AD928" s="42"/>
      <c r="AE928" s="42"/>
      <c r="AF928" s="42"/>
      <c r="AG928" s="42"/>
      <c r="AH928" s="42"/>
      <c r="AI928" s="42"/>
      <c r="AJ928" s="42"/>
      <c r="AK928" s="42"/>
      <c r="AL928" s="42"/>
    </row>
    <row r="929" spans="12:38">
      <c r="L929" s="42"/>
      <c r="M929" s="42"/>
      <c r="N929" s="42"/>
      <c r="O929" s="42"/>
      <c r="P929" s="42"/>
      <c r="Q929" s="42"/>
      <c r="R929" s="42"/>
      <c r="S929" s="42"/>
      <c r="T929" s="42"/>
      <c r="U929" s="42"/>
      <c r="V929" s="42"/>
      <c r="AB929" s="42"/>
      <c r="AC929" s="42"/>
      <c r="AD929" s="42"/>
      <c r="AE929" s="42"/>
      <c r="AF929" s="42"/>
      <c r="AG929" s="42"/>
      <c r="AH929" s="42"/>
      <c r="AI929" s="42"/>
      <c r="AJ929" s="42"/>
      <c r="AK929" s="42"/>
      <c r="AL929" s="42"/>
    </row>
    <row r="930" spans="12:38">
      <c r="L930" s="42"/>
      <c r="M930" s="42"/>
      <c r="N930" s="42"/>
      <c r="O930" s="42"/>
      <c r="P930" s="42"/>
      <c r="Q930" s="42"/>
      <c r="R930" s="42"/>
      <c r="S930" s="42"/>
      <c r="T930" s="42"/>
      <c r="U930" s="42"/>
      <c r="V930" s="42"/>
      <c r="AB930" s="42"/>
      <c r="AC930" s="42"/>
      <c r="AD930" s="42"/>
      <c r="AE930" s="42"/>
      <c r="AF930" s="42"/>
      <c r="AG930" s="42"/>
      <c r="AH930" s="42"/>
      <c r="AI930" s="42"/>
      <c r="AJ930" s="42"/>
      <c r="AK930" s="42"/>
      <c r="AL930" s="42"/>
    </row>
    <row r="931" spans="12:38">
      <c r="L931" s="42"/>
      <c r="M931" s="42"/>
      <c r="N931" s="42"/>
      <c r="O931" s="42"/>
      <c r="P931" s="42"/>
      <c r="Q931" s="42"/>
      <c r="R931" s="42"/>
      <c r="S931" s="42"/>
      <c r="T931" s="42"/>
      <c r="U931" s="42"/>
      <c r="V931" s="42"/>
      <c r="AB931" s="42"/>
      <c r="AC931" s="42"/>
      <c r="AD931" s="42"/>
      <c r="AE931" s="42"/>
      <c r="AF931" s="42"/>
      <c r="AG931" s="42"/>
      <c r="AH931" s="42"/>
      <c r="AI931" s="42"/>
      <c r="AJ931" s="42"/>
      <c r="AK931" s="42"/>
      <c r="AL931" s="42"/>
    </row>
    <row r="932" spans="12:38">
      <c r="L932" s="42"/>
      <c r="M932" s="42"/>
      <c r="N932" s="42"/>
      <c r="O932" s="42"/>
      <c r="P932" s="42"/>
      <c r="Q932" s="42"/>
      <c r="R932" s="42"/>
      <c r="S932" s="42"/>
      <c r="T932" s="42"/>
      <c r="U932" s="42"/>
      <c r="V932" s="42"/>
      <c r="AB932" s="42"/>
      <c r="AC932" s="42"/>
      <c r="AD932" s="42"/>
      <c r="AE932" s="42"/>
      <c r="AF932" s="42"/>
      <c r="AG932" s="42"/>
      <c r="AH932" s="42"/>
      <c r="AI932" s="42"/>
      <c r="AJ932" s="42"/>
      <c r="AK932" s="42"/>
      <c r="AL932" s="42"/>
    </row>
    <row r="933" spans="12:38">
      <c r="L933" s="42"/>
      <c r="M933" s="42"/>
      <c r="N933" s="42"/>
      <c r="O933" s="42"/>
      <c r="P933" s="42"/>
      <c r="Q933" s="42"/>
      <c r="R933" s="42"/>
      <c r="S933" s="42"/>
      <c r="T933" s="42"/>
      <c r="U933" s="42"/>
      <c r="V933" s="42"/>
      <c r="AB933" s="42"/>
      <c r="AC933" s="42"/>
      <c r="AD933" s="42"/>
      <c r="AE933" s="42"/>
      <c r="AF933" s="42"/>
      <c r="AG933" s="42"/>
      <c r="AH933" s="42"/>
      <c r="AI933" s="42"/>
      <c r="AJ933" s="42"/>
      <c r="AK933" s="42"/>
      <c r="AL933" s="42"/>
    </row>
    <row r="934" spans="12:38">
      <c r="L934" s="42"/>
      <c r="M934" s="42"/>
      <c r="N934" s="42"/>
      <c r="O934" s="42"/>
      <c r="P934" s="42"/>
      <c r="Q934" s="42"/>
      <c r="R934" s="42"/>
      <c r="S934" s="42"/>
      <c r="T934" s="42"/>
      <c r="U934" s="42"/>
      <c r="V934" s="42"/>
      <c r="AB934" s="42"/>
      <c r="AC934" s="42"/>
      <c r="AD934" s="42"/>
      <c r="AE934" s="42"/>
      <c r="AF934" s="42"/>
      <c r="AG934" s="42"/>
      <c r="AH934" s="42"/>
      <c r="AI934" s="42"/>
      <c r="AJ934" s="42"/>
      <c r="AK934" s="42"/>
      <c r="AL934" s="42"/>
    </row>
    <row r="935" spans="12:38">
      <c r="L935" s="42"/>
      <c r="M935" s="42"/>
      <c r="N935" s="42"/>
      <c r="O935" s="42"/>
      <c r="P935" s="42"/>
      <c r="Q935" s="42"/>
      <c r="R935" s="42"/>
      <c r="S935" s="42"/>
      <c r="T935" s="42"/>
      <c r="U935" s="42"/>
      <c r="V935" s="42"/>
      <c r="AB935" s="42"/>
      <c r="AC935" s="42"/>
      <c r="AD935" s="42"/>
      <c r="AE935" s="42"/>
      <c r="AF935" s="42"/>
      <c r="AG935" s="42"/>
      <c r="AH935" s="42"/>
      <c r="AI935" s="42"/>
      <c r="AJ935" s="42"/>
      <c r="AK935" s="42"/>
      <c r="AL935" s="42"/>
    </row>
    <row r="936" spans="12:38">
      <c r="L936" s="42"/>
      <c r="M936" s="42"/>
      <c r="N936" s="42"/>
      <c r="O936" s="42"/>
      <c r="P936" s="42"/>
      <c r="Q936" s="42"/>
      <c r="R936" s="42"/>
      <c r="S936" s="42"/>
      <c r="T936" s="42"/>
      <c r="U936" s="42"/>
      <c r="V936" s="42"/>
      <c r="AB936" s="42"/>
      <c r="AC936" s="42"/>
      <c r="AD936" s="42"/>
      <c r="AE936" s="42"/>
      <c r="AF936" s="42"/>
      <c r="AG936" s="42"/>
      <c r="AH936" s="42"/>
      <c r="AI936" s="42"/>
      <c r="AJ936" s="42"/>
      <c r="AK936" s="42"/>
      <c r="AL936" s="42"/>
    </row>
    <row r="937" spans="12:38">
      <c r="L937" s="42"/>
      <c r="M937" s="42"/>
      <c r="N937" s="42"/>
      <c r="O937" s="42"/>
      <c r="P937" s="42"/>
      <c r="Q937" s="42"/>
      <c r="R937" s="42"/>
      <c r="S937" s="42"/>
      <c r="T937" s="42"/>
      <c r="U937" s="42"/>
      <c r="V937" s="42"/>
      <c r="AB937" s="42"/>
      <c r="AC937" s="42"/>
      <c r="AD937" s="42"/>
      <c r="AE937" s="42"/>
      <c r="AF937" s="42"/>
      <c r="AG937" s="42"/>
      <c r="AH937" s="42"/>
      <c r="AI937" s="42"/>
      <c r="AJ937" s="42"/>
      <c r="AK937" s="42"/>
      <c r="AL937" s="42"/>
    </row>
    <row r="938" spans="12:38">
      <c r="L938" s="42"/>
      <c r="M938" s="42"/>
      <c r="N938" s="42"/>
      <c r="O938" s="42"/>
      <c r="P938" s="42"/>
      <c r="Q938" s="42"/>
      <c r="R938" s="42"/>
      <c r="S938" s="42"/>
      <c r="T938" s="42"/>
      <c r="U938" s="42"/>
      <c r="V938" s="42"/>
      <c r="AB938" s="42"/>
      <c r="AC938" s="42"/>
      <c r="AD938" s="42"/>
      <c r="AE938" s="42"/>
      <c r="AF938" s="42"/>
      <c r="AG938" s="42"/>
      <c r="AH938" s="42"/>
      <c r="AI938" s="42"/>
      <c r="AJ938" s="42"/>
      <c r="AK938" s="42"/>
      <c r="AL938" s="42"/>
    </row>
    <row r="939" spans="12:38">
      <c r="L939" s="42"/>
      <c r="M939" s="42"/>
      <c r="N939" s="42"/>
      <c r="O939" s="42"/>
      <c r="P939" s="42"/>
      <c r="Q939" s="42"/>
      <c r="R939" s="42"/>
      <c r="S939" s="42"/>
      <c r="T939" s="42"/>
      <c r="U939" s="42"/>
      <c r="V939" s="42"/>
      <c r="AB939" s="42"/>
      <c r="AC939" s="42"/>
      <c r="AD939" s="42"/>
      <c r="AE939" s="42"/>
      <c r="AF939" s="42"/>
      <c r="AG939" s="42"/>
      <c r="AH939" s="42"/>
      <c r="AI939" s="42"/>
      <c r="AJ939" s="42"/>
      <c r="AK939" s="42"/>
      <c r="AL939" s="42"/>
    </row>
    <row r="940" spans="12:38">
      <c r="L940" s="42"/>
      <c r="M940" s="42"/>
      <c r="N940" s="42"/>
      <c r="O940" s="42"/>
      <c r="P940" s="42"/>
      <c r="Q940" s="42"/>
      <c r="R940" s="42"/>
      <c r="S940" s="42"/>
      <c r="T940" s="42"/>
      <c r="U940" s="42"/>
      <c r="V940" s="42"/>
      <c r="AB940" s="42"/>
      <c r="AC940" s="42"/>
      <c r="AD940" s="42"/>
      <c r="AE940" s="42"/>
      <c r="AF940" s="42"/>
      <c r="AG940" s="42"/>
      <c r="AH940" s="42"/>
      <c r="AI940" s="42"/>
      <c r="AJ940" s="42"/>
      <c r="AK940" s="42"/>
      <c r="AL940" s="42"/>
    </row>
    <row r="941" spans="12:38">
      <c r="L941" s="42"/>
      <c r="M941" s="42"/>
      <c r="N941" s="42"/>
      <c r="O941" s="42"/>
      <c r="P941" s="42"/>
      <c r="Q941" s="42"/>
      <c r="R941" s="42"/>
      <c r="S941" s="42"/>
      <c r="T941" s="42"/>
      <c r="U941" s="42"/>
      <c r="V941" s="42"/>
      <c r="AB941" s="42"/>
      <c r="AC941" s="42"/>
      <c r="AD941" s="42"/>
      <c r="AE941" s="42"/>
      <c r="AF941" s="42"/>
      <c r="AG941" s="42"/>
      <c r="AH941" s="42"/>
      <c r="AI941" s="42"/>
      <c r="AJ941" s="42"/>
      <c r="AK941" s="42"/>
      <c r="AL941" s="42"/>
    </row>
    <row r="942" spans="12:38">
      <c r="L942" s="42"/>
      <c r="M942" s="42"/>
      <c r="N942" s="42"/>
      <c r="O942" s="42"/>
      <c r="P942" s="42"/>
      <c r="Q942" s="42"/>
      <c r="R942" s="42"/>
      <c r="S942" s="42"/>
      <c r="T942" s="42"/>
      <c r="U942" s="42"/>
      <c r="V942" s="42"/>
      <c r="AB942" s="42"/>
      <c r="AC942" s="42"/>
      <c r="AD942" s="42"/>
      <c r="AE942" s="42"/>
      <c r="AF942" s="42"/>
      <c r="AG942" s="42"/>
      <c r="AH942" s="42"/>
      <c r="AI942" s="42"/>
      <c r="AJ942" s="42"/>
      <c r="AK942" s="42"/>
      <c r="AL942" s="42"/>
    </row>
    <row r="943" spans="12:38">
      <c r="L943" s="42"/>
      <c r="M943" s="42"/>
      <c r="N943" s="42"/>
      <c r="O943" s="42"/>
      <c r="P943" s="42"/>
      <c r="Q943" s="42"/>
      <c r="R943" s="42"/>
      <c r="S943" s="42"/>
      <c r="T943" s="42"/>
      <c r="U943" s="42"/>
      <c r="V943" s="42"/>
      <c r="AB943" s="42"/>
      <c r="AC943" s="42"/>
      <c r="AD943" s="42"/>
      <c r="AE943" s="42"/>
      <c r="AF943" s="42"/>
      <c r="AG943" s="42"/>
      <c r="AH943" s="42"/>
      <c r="AI943" s="42"/>
      <c r="AJ943" s="42"/>
      <c r="AK943" s="42"/>
      <c r="AL943" s="42"/>
    </row>
    <row r="944" spans="12:38">
      <c r="L944" s="42"/>
      <c r="M944" s="42"/>
      <c r="N944" s="42"/>
      <c r="O944" s="42"/>
      <c r="P944" s="42"/>
      <c r="Q944" s="42"/>
      <c r="R944" s="42"/>
      <c r="S944" s="42"/>
      <c r="T944" s="42"/>
      <c r="U944" s="42"/>
      <c r="V944" s="42"/>
      <c r="AB944" s="42"/>
      <c r="AC944" s="42"/>
      <c r="AD944" s="42"/>
      <c r="AE944" s="42"/>
      <c r="AF944" s="42"/>
      <c r="AG944" s="42"/>
      <c r="AH944" s="42"/>
      <c r="AI944" s="42"/>
      <c r="AJ944" s="42"/>
      <c r="AK944" s="42"/>
      <c r="AL944" s="42"/>
    </row>
    <row r="945" spans="12:38">
      <c r="L945" s="42"/>
      <c r="M945" s="42"/>
      <c r="N945" s="42"/>
      <c r="O945" s="42"/>
      <c r="P945" s="42"/>
      <c r="Q945" s="42"/>
      <c r="R945" s="42"/>
      <c r="S945" s="42"/>
      <c r="T945" s="42"/>
      <c r="U945" s="42"/>
      <c r="V945" s="42"/>
      <c r="AB945" s="42"/>
      <c r="AC945" s="42"/>
      <c r="AD945" s="42"/>
      <c r="AE945" s="42"/>
      <c r="AF945" s="42"/>
      <c r="AG945" s="42"/>
      <c r="AH945" s="42"/>
      <c r="AI945" s="42"/>
      <c r="AJ945" s="42"/>
      <c r="AK945" s="42"/>
      <c r="AL945" s="42"/>
    </row>
    <row r="946" spans="12:38">
      <c r="L946" s="42"/>
      <c r="M946" s="42"/>
      <c r="N946" s="42"/>
      <c r="O946" s="42"/>
      <c r="P946" s="42"/>
      <c r="Q946" s="42"/>
      <c r="R946" s="42"/>
      <c r="S946" s="42"/>
      <c r="T946" s="42"/>
      <c r="U946" s="42"/>
      <c r="V946" s="42"/>
      <c r="AB946" s="42"/>
      <c r="AC946" s="42"/>
      <c r="AD946" s="42"/>
      <c r="AE946" s="42"/>
      <c r="AF946" s="42"/>
      <c r="AG946" s="42"/>
      <c r="AH946" s="42"/>
      <c r="AI946" s="42"/>
      <c r="AJ946" s="42"/>
      <c r="AK946" s="42"/>
      <c r="AL946" s="42"/>
    </row>
    <row r="947" spans="12:38">
      <c r="L947" s="42"/>
      <c r="M947" s="42"/>
      <c r="N947" s="42"/>
      <c r="O947" s="42"/>
      <c r="P947" s="42"/>
      <c r="Q947" s="42"/>
      <c r="R947" s="42"/>
      <c r="S947" s="42"/>
      <c r="T947" s="42"/>
      <c r="U947" s="42"/>
      <c r="V947" s="42"/>
      <c r="AB947" s="42"/>
      <c r="AC947" s="42"/>
      <c r="AD947" s="42"/>
      <c r="AE947" s="42"/>
      <c r="AF947" s="42"/>
      <c r="AG947" s="42"/>
      <c r="AH947" s="42"/>
      <c r="AI947" s="42"/>
      <c r="AJ947" s="42"/>
      <c r="AK947" s="42"/>
      <c r="AL947" s="42"/>
    </row>
    <row r="948" spans="12:38">
      <c r="L948" s="42"/>
      <c r="M948" s="42"/>
      <c r="N948" s="42"/>
      <c r="O948" s="42"/>
      <c r="P948" s="42"/>
      <c r="Q948" s="42"/>
      <c r="R948" s="42"/>
      <c r="S948" s="42"/>
      <c r="T948" s="42"/>
      <c r="U948" s="42"/>
      <c r="V948" s="42"/>
      <c r="AB948" s="42"/>
      <c r="AC948" s="42"/>
      <c r="AD948" s="42"/>
      <c r="AE948" s="42"/>
      <c r="AF948" s="42"/>
      <c r="AG948" s="42"/>
      <c r="AH948" s="42"/>
      <c r="AI948" s="42"/>
      <c r="AJ948" s="42"/>
      <c r="AK948" s="42"/>
      <c r="AL948" s="42"/>
    </row>
    <row r="949" spans="12:38">
      <c r="L949" s="42"/>
      <c r="M949" s="42"/>
      <c r="N949" s="42"/>
      <c r="O949" s="42"/>
      <c r="P949" s="42"/>
      <c r="Q949" s="42"/>
      <c r="R949" s="42"/>
      <c r="S949" s="42"/>
      <c r="T949" s="42"/>
      <c r="U949" s="42"/>
      <c r="V949" s="42"/>
      <c r="AB949" s="42"/>
      <c r="AC949" s="42"/>
      <c r="AD949" s="42"/>
      <c r="AE949" s="42"/>
      <c r="AF949" s="42"/>
      <c r="AG949" s="42"/>
      <c r="AH949" s="42"/>
      <c r="AI949" s="42"/>
      <c r="AJ949" s="42"/>
      <c r="AK949" s="42"/>
      <c r="AL949" s="42"/>
    </row>
    <row r="950" spans="12:38">
      <c r="L950" s="42"/>
      <c r="M950" s="42"/>
      <c r="N950" s="42"/>
      <c r="O950" s="42"/>
      <c r="P950" s="42"/>
      <c r="Q950" s="42"/>
      <c r="R950" s="42"/>
      <c r="S950" s="42"/>
      <c r="T950" s="42"/>
      <c r="U950" s="42"/>
      <c r="V950" s="42"/>
      <c r="AB950" s="42"/>
      <c r="AC950" s="42"/>
      <c r="AD950" s="42"/>
      <c r="AE950" s="42"/>
      <c r="AF950" s="42"/>
      <c r="AG950" s="42"/>
      <c r="AH950" s="42"/>
      <c r="AI950" s="42"/>
      <c r="AJ950" s="42"/>
      <c r="AK950" s="42"/>
      <c r="AL950" s="42"/>
    </row>
    <row r="951" spans="12:38">
      <c r="L951" s="42"/>
      <c r="M951" s="42"/>
      <c r="N951" s="42"/>
      <c r="O951" s="42"/>
      <c r="P951" s="42"/>
      <c r="Q951" s="42"/>
      <c r="R951" s="42"/>
      <c r="S951" s="42"/>
      <c r="T951" s="42"/>
      <c r="U951" s="42"/>
      <c r="V951" s="42"/>
      <c r="AB951" s="42"/>
      <c r="AC951" s="42"/>
      <c r="AD951" s="42"/>
      <c r="AE951" s="42"/>
      <c r="AF951" s="42"/>
      <c r="AG951" s="42"/>
      <c r="AH951" s="42"/>
      <c r="AI951" s="42"/>
      <c r="AJ951" s="42"/>
      <c r="AK951" s="42"/>
      <c r="AL951" s="42"/>
    </row>
    <row r="952" spans="12:38">
      <c r="L952" s="42"/>
      <c r="M952" s="42"/>
      <c r="N952" s="42"/>
      <c r="O952" s="42"/>
      <c r="P952" s="42"/>
      <c r="Q952" s="42"/>
      <c r="R952" s="42"/>
      <c r="S952" s="42"/>
      <c r="T952" s="42"/>
      <c r="U952" s="42"/>
      <c r="V952" s="42"/>
      <c r="AB952" s="42"/>
      <c r="AC952" s="42"/>
      <c r="AD952" s="42"/>
      <c r="AE952" s="42"/>
      <c r="AF952" s="42"/>
      <c r="AG952" s="42"/>
      <c r="AH952" s="42"/>
      <c r="AI952" s="42"/>
      <c r="AJ952" s="42"/>
      <c r="AK952" s="42"/>
      <c r="AL952" s="42"/>
    </row>
    <row r="953" spans="12:38">
      <c r="L953" s="42"/>
      <c r="M953" s="42"/>
      <c r="N953" s="42"/>
      <c r="O953" s="42"/>
      <c r="P953" s="42"/>
      <c r="Q953" s="42"/>
      <c r="R953" s="42"/>
      <c r="S953" s="42"/>
      <c r="T953" s="42"/>
      <c r="U953" s="42"/>
      <c r="V953" s="42"/>
      <c r="AB953" s="42"/>
      <c r="AC953" s="42"/>
      <c r="AD953" s="42"/>
      <c r="AE953" s="42"/>
      <c r="AF953" s="42"/>
      <c r="AG953" s="42"/>
      <c r="AH953" s="42"/>
      <c r="AI953" s="42"/>
      <c r="AJ953" s="42"/>
      <c r="AK953" s="42"/>
      <c r="AL953" s="42"/>
    </row>
    <row r="954" spans="12:38">
      <c r="L954" s="42"/>
      <c r="M954" s="42"/>
      <c r="N954" s="42"/>
      <c r="O954" s="42"/>
      <c r="P954" s="42"/>
      <c r="Q954" s="42"/>
      <c r="R954" s="42"/>
      <c r="S954" s="42"/>
      <c r="T954" s="42"/>
      <c r="U954" s="42"/>
      <c r="V954" s="42"/>
      <c r="AB954" s="42"/>
      <c r="AC954" s="42"/>
      <c r="AD954" s="42"/>
      <c r="AE954" s="42"/>
      <c r="AF954" s="42"/>
      <c r="AG954" s="42"/>
      <c r="AH954" s="42"/>
      <c r="AI954" s="42"/>
      <c r="AJ954" s="42"/>
      <c r="AK954" s="42"/>
      <c r="AL954" s="42"/>
    </row>
    <row r="955" spans="12:38">
      <c r="L955" s="42"/>
      <c r="M955" s="42"/>
      <c r="N955" s="42"/>
      <c r="O955" s="42"/>
      <c r="P955" s="42"/>
      <c r="Q955" s="42"/>
      <c r="R955" s="42"/>
      <c r="S955" s="42"/>
      <c r="T955" s="42"/>
      <c r="U955" s="42"/>
      <c r="V955" s="42"/>
      <c r="AB955" s="42"/>
      <c r="AC955" s="42"/>
      <c r="AD955" s="42"/>
      <c r="AE955" s="42"/>
      <c r="AF955" s="42"/>
      <c r="AG955" s="42"/>
      <c r="AH955" s="42"/>
      <c r="AI955" s="42"/>
      <c r="AJ955" s="42"/>
      <c r="AK955" s="42"/>
      <c r="AL955" s="42"/>
    </row>
    <row r="956" spans="12:38">
      <c r="L956" s="42"/>
      <c r="M956" s="42"/>
      <c r="N956" s="42"/>
      <c r="O956" s="42"/>
      <c r="P956" s="42"/>
      <c r="Q956" s="42"/>
      <c r="R956" s="42"/>
      <c r="S956" s="42"/>
      <c r="T956" s="42"/>
      <c r="U956" s="42"/>
      <c r="V956" s="42"/>
      <c r="AB956" s="42"/>
      <c r="AC956" s="42"/>
      <c r="AD956" s="42"/>
      <c r="AE956" s="42"/>
      <c r="AF956" s="42"/>
      <c r="AG956" s="42"/>
      <c r="AH956" s="42"/>
      <c r="AI956" s="42"/>
      <c r="AJ956" s="42"/>
      <c r="AK956" s="42"/>
      <c r="AL956" s="42"/>
    </row>
    <row r="957" spans="12:38">
      <c r="L957" s="42"/>
      <c r="M957" s="42"/>
      <c r="N957" s="42"/>
      <c r="O957" s="42"/>
      <c r="P957" s="42"/>
      <c r="Q957" s="42"/>
      <c r="R957" s="42"/>
      <c r="S957" s="42"/>
      <c r="T957" s="42"/>
      <c r="U957" s="42"/>
      <c r="V957" s="42"/>
      <c r="AB957" s="42"/>
      <c r="AC957" s="42"/>
      <c r="AD957" s="42"/>
      <c r="AE957" s="42"/>
      <c r="AF957" s="42"/>
      <c r="AG957" s="42"/>
      <c r="AH957" s="42"/>
      <c r="AI957" s="42"/>
      <c r="AJ957" s="42"/>
      <c r="AK957" s="42"/>
      <c r="AL957" s="42"/>
    </row>
    <row r="958" spans="12:38">
      <c r="L958" s="42"/>
      <c r="M958" s="42"/>
      <c r="N958" s="42"/>
      <c r="O958" s="42"/>
      <c r="P958" s="42"/>
      <c r="Q958" s="42"/>
      <c r="R958" s="42"/>
      <c r="S958" s="42"/>
      <c r="T958" s="42"/>
      <c r="U958" s="42"/>
      <c r="V958" s="42"/>
      <c r="AB958" s="42"/>
      <c r="AC958" s="42"/>
      <c r="AD958" s="42"/>
      <c r="AE958" s="42"/>
      <c r="AF958" s="42"/>
      <c r="AG958" s="42"/>
      <c r="AH958" s="42"/>
      <c r="AI958" s="42"/>
      <c r="AJ958" s="42"/>
      <c r="AK958" s="42"/>
      <c r="AL958" s="42"/>
    </row>
    <row r="959" spans="12:38">
      <c r="L959" s="42"/>
      <c r="M959" s="42"/>
      <c r="N959" s="42"/>
      <c r="O959" s="42"/>
      <c r="P959" s="42"/>
      <c r="Q959" s="42"/>
      <c r="R959" s="42"/>
      <c r="S959" s="42"/>
      <c r="T959" s="42"/>
      <c r="U959" s="42"/>
      <c r="V959" s="42"/>
      <c r="AB959" s="42"/>
      <c r="AC959" s="42"/>
      <c r="AD959" s="42"/>
      <c r="AE959" s="42"/>
      <c r="AF959" s="42"/>
      <c r="AG959" s="42"/>
      <c r="AH959" s="42"/>
      <c r="AI959" s="42"/>
      <c r="AJ959" s="42"/>
      <c r="AK959" s="42"/>
      <c r="AL959" s="42"/>
    </row>
    <row r="960" spans="12:38">
      <c r="L960" s="42"/>
      <c r="M960" s="42"/>
      <c r="N960" s="42"/>
      <c r="O960" s="42"/>
      <c r="P960" s="42"/>
      <c r="Q960" s="42"/>
      <c r="R960" s="42"/>
      <c r="S960" s="42"/>
      <c r="T960" s="42"/>
      <c r="U960" s="42"/>
      <c r="V960" s="42"/>
      <c r="AB960" s="42"/>
      <c r="AC960" s="42"/>
      <c r="AD960" s="42"/>
      <c r="AE960" s="42"/>
      <c r="AF960" s="42"/>
      <c r="AG960" s="42"/>
      <c r="AH960" s="42"/>
      <c r="AI960" s="42"/>
      <c r="AJ960" s="42"/>
      <c r="AK960" s="42"/>
      <c r="AL960" s="42"/>
    </row>
    <row r="961" spans="12:38">
      <c r="L961" s="42"/>
      <c r="M961" s="42"/>
      <c r="N961" s="42"/>
      <c r="O961" s="42"/>
      <c r="P961" s="42"/>
      <c r="Q961" s="42"/>
      <c r="R961" s="42"/>
      <c r="S961" s="42"/>
      <c r="T961" s="42"/>
      <c r="U961" s="42"/>
      <c r="V961" s="42"/>
      <c r="AB961" s="42"/>
      <c r="AC961" s="42"/>
      <c r="AD961" s="42"/>
      <c r="AE961" s="42"/>
      <c r="AF961" s="42"/>
      <c r="AG961" s="42"/>
      <c r="AH961" s="42"/>
      <c r="AI961" s="42"/>
      <c r="AJ961" s="42"/>
      <c r="AK961" s="42"/>
      <c r="AL961" s="42"/>
    </row>
    <row r="962" spans="12:38">
      <c r="L962" s="42"/>
      <c r="M962" s="42"/>
      <c r="N962" s="42"/>
      <c r="O962" s="42"/>
      <c r="P962" s="42"/>
      <c r="Q962" s="42"/>
      <c r="R962" s="42"/>
      <c r="S962" s="42"/>
      <c r="T962" s="42"/>
      <c r="U962" s="42"/>
      <c r="V962" s="42"/>
      <c r="AB962" s="42"/>
      <c r="AC962" s="42"/>
      <c r="AD962" s="42"/>
      <c r="AE962" s="42"/>
      <c r="AF962" s="42"/>
      <c r="AG962" s="42"/>
      <c r="AH962" s="42"/>
      <c r="AI962" s="42"/>
      <c r="AJ962" s="42"/>
      <c r="AK962" s="42"/>
      <c r="AL962" s="42"/>
    </row>
    <row r="963" spans="12:38">
      <c r="L963" s="42"/>
      <c r="M963" s="42"/>
      <c r="N963" s="42"/>
      <c r="O963" s="42"/>
      <c r="P963" s="42"/>
      <c r="Q963" s="42"/>
      <c r="R963" s="42"/>
      <c r="S963" s="42"/>
      <c r="T963" s="42"/>
      <c r="U963" s="42"/>
      <c r="V963" s="42"/>
      <c r="AB963" s="42"/>
      <c r="AC963" s="42"/>
      <c r="AD963" s="42"/>
      <c r="AE963" s="42"/>
      <c r="AF963" s="42"/>
      <c r="AG963" s="42"/>
      <c r="AH963" s="42"/>
      <c r="AI963" s="42"/>
      <c r="AJ963" s="42"/>
      <c r="AK963" s="42"/>
      <c r="AL963" s="42"/>
    </row>
    <row r="964" spans="12:38">
      <c r="L964" s="42"/>
      <c r="M964" s="42"/>
      <c r="N964" s="42"/>
      <c r="O964" s="42"/>
      <c r="P964" s="42"/>
      <c r="Q964" s="42"/>
      <c r="R964" s="42"/>
      <c r="S964" s="42"/>
      <c r="T964" s="42"/>
      <c r="U964" s="42"/>
      <c r="V964" s="42"/>
      <c r="AB964" s="42"/>
      <c r="AC964" s="42"/>
      <c r="AD964" s="42"/>
      <c r="AE964" s="42"/>
      <c r="AF964" s="42"/>
      <c r="AG964" s="42"/>
      <c r="AH964" s="42"/>
      <c r="AI964" s="42"/>
      <c r="AJ964" s="42"/>
      <c r="AK964" s="42"/>
      <c r="AL964" s="42"/>
    </row>
    <row r="965" spans="12:38">
      <c r="L965" s="42"/>
      <c r="M965" s="42"/>
      <c r="N965" s="42"/>
      <c r="O965" s="42"/>
      <c r="P965" s="42"/>
      <c r="Q965" s="42"/>
      <c r="R965" s="42"/>
      <c r="S965" s="42"/>
      <c r="T965" s="42"/>
      <c r="U965" s="42"/>
      <c r="V965" s="42"/>
      <c r="AB965" s="42"/>
      <c r="AC965" s="42"/>
      <c r="AD965" s="42"/>
      <c r="AE965" s="42"/>
      <c r="AF965" s="42"/>
      <c r="AG965" s="42"/>
      <c r="AH965" s="42"/>
      <c r="AI965" s="42"/>
      <c r="AJ965" s="42"/>
      <c r="AK965" s="42"/>
      <c r="AL965" s="42"/>
    </row>
    <row r="966" spans="12:38">
      <c r="L966" s="42"/>
      <c r="M966" s="42"/>
      <c r="N966" s="42"/>
      <c r="O966" s="42"/>
      <c r="P966" s="42"/>
      <c r="Q966" s="42"/>
      <c r="R966" s="42"/>
      <c r="S966" s="42"/>
      <c r="T966" s="42"/>
      <c r="U966" s="42"/>
      <c r="V966" s="42"/>
      <c r="AB966" s="42"/>
      <c r="AC966" s="42"/>
      <c r="AD966" s="42"/>
      <c r="AE966" s="42"/>
      <c r="AF966" s="42"/>
      <c r="AG966" s="42"/>
      <c r="AH966" s="42"/>
      <c r="AI966" s="42"/>
      <c r="AJ966" s="42"/>
      <c r="AK966" s="42"/>
      <c r="AL966" s="42"/>
    </row>
    <row r="967" spans="12:38">
      <c r="L967" s="42"/>
      <c r="M967" s="42"/>
      <c r="N967" s="42"/>
      <c r="O967" s="42"/>
      <c r="P967" s="42"/>
      <c r="Q967" s="42"/>
      <c r="R967" s="42"/>
      <c r="S967" s="42"/>
      <c r="T967" s="42"/>
      <c r="U967" s="42"/>
      <c r="V967" s="42"/>
      <c r="AB967" s="42"/>
      <c r="AC967" s="42"/>
      <c r="AD967" s="42"/>
      <c r="AE967" s="42"/>
      <c r="AF967" s="42"/>
      <c r="AG967" s="42"/>
      <c r="AH967" s="42"/>
      <c r="AI967" s="42"/>
      <c r="AJ967" s="42"/>
      <c r="AK967" s="42"/>
      <c r="AL967" s="42"/>
    </row>
    <row r="968" spans="12:38">
      <c r="L968" s="42"/>
      <c r="M968" s="42"/>
      <c r="N968" s="42"/>
      <c r="O968" s="42"/>
      <c r="P968" s="42"/>
      <c r="Q968" s="42"/>
      <c r="R968" s="42"/>
      <c r="S968" s="42"/>
      <c r="T968" s="42"/>
      <c r="U968" s="42"/>
      <c r="V968" s="42"/>
      <c r="AB968" s="42"/>
      <c r="AC968" s="42"/>
      <c r="AD968" s="42"/>
      <c r="AE968" s="42"/>
      <c r="AF968" s="42"/>
      <c r="AG968" s="42"/>
      <c r="AH968" s="42"/>
      <c r="AI968" s="42"/>
      <c r="AJ968" s="42"/>
      <c r="AK968" s="42"/>
      <c r="AL968" s="42"/>
    </row>
    <row r="969" spans="12:38">
      <c r="L969" s="42"/>
      <c r="M969" s="42"/>
      <c r="N969" s="42"/>
      <c r="O969" s="42"/>
      <c r="P969" s="42"/>
      <c r="Q969" s="42"/>
      <c r="R969" s="42"/>
      <c r="S969" s="42"/>
      <c r="T969" s="42"/>
      <c r="U969" s="42"/>
      <c r="V969" s="42"/>
      <c r="AB969" s="42"/>
      <c r="AC969" s="42"/>
      <c r="AD969" s="42"/>
      <c r="AE969" s="42"/>
      <c r="AF969" s="42"/>
      <c r="AG969" s="42"/>
      <c r="AH969" s="42"/>
      <c r="AI969" s="42"/>
      <c r="AJ969" s="42"/>
      <c r="AK969" s="42"/>
      <c r="AL969" s="42"/>
    </row>
    <row r="970" spans="12:38">
      <c r="L970" s="42"/>
      <c r="M970" s="42"/>
      <c r="N970" s="42"/>
      <c r="O970" s="42"/>
      <c r="P970" s="42"/>
      <c r="Q970" s="42"/>
      <c r="R970" s="42"/>
      <c r="S970" s="42"/>
      <c r="T970" s="42"/>
      <c r="U970" s="42"/>
      <c r="V970" s="42"/>
      <c r="AB970" s="42"/>
      <c r="AC970" s="42"/>
      <c r="AD970" s="42"/>
      <c r="AE970" s="42"/>
      <c r="AF970" s="42"/>
      <c r="AG970" s="42"/>
      <c r="AH970" s="42"/>
      <c r="AI970" s="42"/>
      <c r="AJ970" s="42"/>
      <c r="AK970" s="42"/>
      <c r="AL970" s="42"/>
    </row>
    <row r="971" spans="12:38">
      <c r="L971" s="42"/>
      <c r="M971" s="42"/>
      <c r="N971" s="42"/>
      <c r="O971" s="42"/>
      <c r="P971" s="42"/>
      <c r="Q971" s="42"/>
      <c r="R971" s="42"/>
      <c r="S971" s="42"/>
      <c r="T971" s="42"/>
      <c r="U971" s="42"/>
      <c r="V971" s="42"/>
      <c r="AB971" s="42"/>
      <c r="AC971" s="42"/>
      <c r="AD971" s="42"/>
      <c r="AE971" s="42"/>
      <c r="AF971" s="42"/>
      <c r="AG971" s="42"/>
      <c r="AH971" s="42"/>
      <c r="AI971" s="42"/>
      <c r="AJ971" s="42"/>
      <c r="AK971" s="42"/>
      <c r="AL971" s="42"/>
    </row>
    <row r="972" spans="12:38">
      <c r="L972" s="42"/>
      <c r="M972" s="42"/>
      <c r="N972" s="42"/>
      <c r="O972" s="42"/>
      <c r="P972" s="42"/>
      <c r="Q972" s="42"/>
      <c r="R972" s="42"/>
      <c r="S972" s="42"/>
      <c r="T972" s="42"/>
      <c r="U972" s="42"/>
      <c r="V972" s="42"/>
      <c r="AB972" s="42"/>
      <c r="AC972" s="42"/>
      <c r="AD972" s="42"/>
      <c r="AE972" s="42"/>
      <c r="AF972" s="42"/>
      <c r="AG972" s="42"/>
      <c r="AH972" s="42"/>
      <c r="AI972" s="42"/>
      <c r="AJ972" s="42"/>
      <c r="AK972" s="42"/>
      <c r="AL972" s="42"/>
    </row>
    <row r="973" spans="12:38">
      <c r="L973" s="42"/>
      <c r="M973" s="42"/>
      <c r="N973" s="42"/>
      <c r="O973" s="42"/>
      <c r="P973" s="42"/>
      <c r="Q973" s="42"/>
      <c r="R973" s="42"/>
      <c r="S973" s="42"/>
      <c r="T973" s="42"/>
      <c r="U973" s="42"/>
      <c r="V973" s="42"/>
      <c r="AB973" s="42"/>
      <c r="AC973" s="42"/>
      <c r="AD973" s="42"/>
      <c r="AE973" s="42"/>
      <c r="AF973" s="42"/>
      <c r="AG973" s="42"/>
      <c r="AH973" s="42"/>
      <c r="AI973" s="42"/>
      <c r="AJ973" s="42"/>
      <c r="AK973" s="42"/>
      <c r="AL973" s="42"/>
    </row>
    <row r="974" spans="12:38">
      <c r="L974" s="42"/>
      <c r="M974" s="42"/>
      <c r="N974" s="42"/>
      <c r="O974" s="42"/>
      <c r="P974" s="42"/>
      <c r="Q974" s="42"/>
      <c r="R974" s="42"/>
      <c r="S974" s="42"/>
      <c r="T974" s="42"/>
      <c r="U974" s="42"/>
      <c r="V974" s="42"/>
      <c r="AB974" s="42"/>
      <c r="AC974" s="42"/>
      <c r="AD974" s="42"/>
      <c r="AE974" s="42"/>
      <c r="AF974" s="42"/>
      <c r="AG974" s="42"/>
      <c r="AH974" s="42"/>
      <c r="AI974" s="42"/>
      <c r="AJ974" s="42"/>
      <c r="AK974" s="42"/>
      <c r="AL974" s="42"/>
    </row>
    <row r="975" spans="12:38">
      <c r="L975" s="42"/>
      <c r="M975" s="42"/>
      <c r="N975" s="42"/>
      <c r="O975" s="42"/>
      <c r="P975" s="42"/>
      <c r="Q975" s="42"/>
      <c r="R975" s="42"/>
      <c r="S975" s="42"/>
      <c r="T975" s="42"/>
      <c r="U975" s="42"/>
      <c r="V975" s="42"/>
      <c r="AB975" s="42"/>
      <c r="AC975" s="42"/>
      <c r="AD975" s="42"/>
      <c r="AE975" s="42"/>
      <c r="AF975" s="42"/>
      <c r="AG975" s="42"/>
      <c r="AH975" s="42"/>
      <c r="AI975" s="42"/>
      <c r="AJ975" s="42"/>
      <c r="AK975" s="42"/>
      <c r="AL975" s="42"/>
    </row>
    <row r="976" spans="12:38">
      <c r="L976" s="42"/>
      <c r="M976" s="42"/>
      <c r="N976" s="42"/>
      <c r="O976" s="42"/>
      <c r="P976" s="42"/>
      <c r="Q976" s="42"/>
      <c r="R976" s="42"/>
      <c r="S976" s="42"/>
      <c r="T976" s="42"/>
      <c r="U976" s="42"/>
      <c r="V976" s="42"/>
      <c r="AB976" s="42"/>
      <c r="AC976" s="42"/>
      <c r="AD976" s="42"/>
      <c r="AE976" s="42"/>
      <c r="AF976" s="42"/>
      <c r="AG976" s="42"/>
      <c r="AH976" s="42"/>
      <c r="AI976" s="42"/>
      <c r="AJ976" s="42"/>
      <c r="AK976" s="42"/>
      <c r="AL976" s="42"/>
    </row>
    <row r="977" spans="12:38">
      <c r="L977" s="42"/>
      <c r="M977" s="42"/>
      <c r="N977" s="42"/>
      <c r="O977" s="42"/>
      <c r="P977" s="42"/>
      <c r="Q977" s="42"/>
      <c r="R977" s="42"/>
      <c r="S977" s="42"/>
      <c r="T977" s="42"/>
      <c r="U977" s="42"/>
      <c r="V977" s="42"/>
      <c r="AB977" s="42"/>
      <c r="AC977" s="42"/>
      <c r="AD977" s="42"/>
      <c r="AE977" s="42"/>
      <c r="AF977" s="42"/>
      <c r="AG977" s="42"/>
      <c r="AH977" s="42"/>
      <c r="AI977" s="42"/>
      <c r="AJ977" s="42"/>
      <c r="AK977" s="42"/>
      <c r="AL977" s="42"/>
    </row>
    <row r="978" spans="12:38">
      <c r="L978" s="42"/>
      <c r="M978" s="42"/>
      <c r="N978" s="42"/>
      <c r="O978" s="42"/>
      <c r="P978" s="42"/>
      <c r="Q978" s="42"/>
      <c r="R978" s="42"/>
      <c r="S978" s="42"/>
      <c r="T978" s="42"/>
      <c r="U978" s="42"/>
      <c r="V978" s="42"/>
      <c r="AB978" s="42"/>
      <c r="AC978" s="42"/>
      <c r="AD978" s="42"/>
      <c r="AE978" s="42"/>
      <c r="AF978" s="42"/>
      <c r="AG978" s="42"/>
      <c r="AH978" s="42"/>
      <c r="AI978" s="42"/>
      <c r="AJ978" s="42"/>
      <c r="AK978" s="42"/>
      <c r="AL978" s="42"/>
    </row>
    <row r="979" spans="12:38">
      <c r="L979" s="42"/>
      <c r="M979" s="42"/>
      <c r="N979" s="42"/>
      <c r="O979" s="42"/>
      <c r="P979" s="42"/>
      <c r="Q979" s="42"/>
      <c r="R979" s="42"/>
      <c r="S979" s="42"/>
      <c r="T979" s="42"/>
      <c r="U979" s="42"/>
      <c r="V979" s="42"/>
      <c r="AB979" s="42"/>
      <c r="AC979" s="42"/>
      <c r="AD979" s="42"/>
      <c r="AE979" s="42"/>
      <c r="AF979" s="42"/>
      <c r="AG979" s="42"/>
      <c r="AH979" s="42"/>
      <c r="AI979" s="42"/>
      <c r="AJ979" s="42"/>
      <c r="AK979" s="42"/>
      <c r="AL979" s="42"/>
    </row>
    <row r="980" spans="12:38">
      <c r="L980" s="42"/>
      <c r="M980" s="42"/>
      <c r="N980" s="42"/>
      <c r="O980" s="42"/>
      <c r="P980" s="42"/>
      <c r="Q980" s="42"/>
      <c r="R980" s="42"/>
      <c r="S980" s="42"/>
      <c r="T980" s="42"/>
      <c r="U980" s="42"/>
      <c r="V980" s="42"/>
      <c r="AB980" s="42"/>
      <c r="AC980" s="42"/>
      <c r="AD980" s="42"/>
      <c r="AE980" s="42"/>
      <c r="AF980" s="42"/>
      <c r="AG980" s="42"/>
      <c r="AH980" s="42"/>
      <c r="AI980" s="42"/>
      <c r="AJ980" s="42"/>
      <c r="AK980" s="42"/>
      <c r="AL980" s="42"/>
    </row>
    <row r="981" spans="12:38">
      <c r="L981" s="42"/>
      <c r="M981" s="42"/>
      <c r="N981" s="42"/>
      <c r="O981" s="42"/>
      <c r="P981" s="42"/>
      <c r="Q981" s="42"/>
      <c r="R981" s="42"/>
      <c r="S981" s="42"/>
      <c r="T981" s="42"/>
      <c r="U981" s="42"/>
      <c r="V981" s="42"/>
      <c r="AB981" s="42"/>
      <c r="AC981" s="42"/>
      <c r="AD981" s="42"/>
      <c r="AE981" s="42"/>
      <c r="AF981" s="42"/>
      <c r="AG981" s="42"/>
      <c r="AH981" s="42"/>
      <c r="AI981" s="42"/>
      <c r="AJ981" s="42"/>
      <c r="AK981" s="42"/>
      <c r="AL981" s="42"/>
    </row>
    <row r="982" spans="12:38">
      <c r="L982" s="42"/>
      <c r="M982" s="42"/>
      <c r="N982" s="42"/>
      <c r="O982" s="42"/>
      <c r="P982" s="42"/>
      <c r="Q982" s="42"/>
      <c r="R982" s="42"/>
      <c r="S982" s="42"/>
      <c r="T982" s="42"/>
      <c r="U982" s="42"/>
      <c r="V982" s="42"/>
      <c r="AB982" s="42"/>
      <c r="AC982" s="42"/>
      <c r="AD982" s="42"/>
      <c r="AE982" s="42"/>
      <c r="AF982" s="42"/>
      <c r="AG982" s="42"/>
      <c r="AH982" s="42"/>
      <c r="AI982" s="42"/>
      <c r="AJ982" s="42"/>
      <c r="AK982" s="42"/>
      <c r="AL982" s="42"/>
    </row>
    <row r="983" spans="12:38">
      <c r="L983" s="42"/>
      <c r="M983" s="42"/>
      <c r="N983" s="42"/>
      <c r="O983" s="42"/>
      <c r="P983" s="42"/>
      <c r="Q983" s="42"/>
      <c r="R983" s="42"/>
      <c r="S983" s="42"/>
      <c r="T983" s="42"/>
      <c r="U983" s="42"/>
      <c r="V983" s="42"/>
      <c r="AB983" s="42"/>
      <c r="AC983" s="42"/>
      <c r="AD983" s="42"/>
      <c r="AE983" s="42"/>
      <c r="AF983" s="42"/>
      <c r="AG983" s="42"/>
      <c r="AH983" s="42"/>
      <c r="AI983" s="42"/>
      <c r="AJ983" s="42"/>
      <c r="AK983" s="42"/>
      <c r="AL983" s="42"/>
    </row>
    <row r="984" spans="12:38">
      <c r="L984" s="42"/>
      <c r="M984" s="42"/>
      <c r="N984" s="42"/>
      <c r="O984" s="42"/>
      <c r="P984" s="42"/>
      <c r="Q984" s="42"/>
      <c r="R984" s="42"/>
      <c r="S984" s="42"/>
      <c r="T984" s="42"/>
      <c r="U984" s="42"/>
      <c r="V984" s="42"/>
      <c r="AB984" s="42"/>
      <c r="AC984" s="42"/>
      <c r="AD984" s="42"/>
      <c r="AE984" s="42"/>
      <c r="AF984" s="42"/>
      <c r="AG984" s="42"/>
      <c r="AH984" s="42"/>
      <c r="AI984" s="42"/>
      <c r="AJ984" s="42"/>
      <c r="AK984" s="42"/>
      <c r="AL984" s="42"/>
    </row>
    <row r="985" spans="12:38">
      <c r="L985" s="42"/>
      <c r="M985" s="42"/>
      <c r="N985" s="42"/>
      <c r="O985" s="42"/>
      <c r="P985" s="42"/>
      <c r="Q985" s="42"/>
      <c r="R985" s="42"/>
      <c r="S985" s="42"/>
      <c r="T985" s="42"/>
      <c r="U985" s="42"/>
      <c r="V985" s="42"/>
      <c r="AB985" s="42"/>
      <c r="AC985" s="42"/>
      <c r="AD985" s="42"/>
      <c r="AE985" s="42"/>
      <c r="AF985" s="42"/>
      <c r="AG985" s="42"/>
      <c r="AH985" s="42"/>
      <c r="AI985" s="42"/>
      <c r="AJ985" s="42"/>
      <c r="AK985" s="42"/>
      <c r="AL985" s="42"/>
    </row>
    <row r="986" spans="12:38">
      <c r="L986" s="42"/>
      <c r="M986" s="42"/>
      <c r="N986" s="42"/>
      <c r="O986" s="42"/>
      <c r="P986" s="42"/>
      <c r="Q986" s="42"/>
      <c r="R986" s="42"/>
      <c r="S986" s="42"/>
      <c r="T986" s="42"/>
      <c r="U986" s="42"/>
      <c r="V986" s="42"/>
      <c r="AB986" s="42"/>
      <c r="AC986" s="42"/>
      <c r="AD986" s="42"/>
      <c r="AE986" s="42"/>
      <c r="AF986" s="42"/>
      <c r="AG986" s="42"/>
      <c r="AH986" s="42"/>
      <c r="AI986" s="42"/>
      <c r="AJ986" s="42"/>
      <c r="AK986" s="42"/>
      <c r="AL986" s="42"/>
    </row>
    <row r="987" spans="12:38">
      <c r="L987" s="42"/>
      <c r="M987" s="42"/>
      <c r="N987" s="42"/>
      <c r="O987" s="42"/>
      <c r="P987" s="42"/>
      <c r="Q987" s="42"/>
      <c r="R987" s="42"/>
      <c r="S987" s="42"/>
      <c r="T987" s="42"/>
      <c r="U987" s="42"/>
      <c r="V987" s="42"/>
      <c r="AB987" s="42"/>
      <c r="AC987" s="42"/>
      <c r="AD987" s="42"/>
      <c r="AE987" s="42"/>
      <c r="AF987" s="42"/>
      <c r="AG987" s="42"/>
      <c r="AH987" s="42"/>
      <c r="AI987" s="42"/>
      <c r="AJ987" s="42"/>
      <c r="AK987" s="42"/>
      <c r="AL987" s="42"/>
    </row>
    <row r="988" spans="12:38">
      <c r="L988" s="42"/>
      <c r="M988" s="42"/>
      <c r="N988" s="42"/>
      <c r="O988" s="42"/>
      <c r="P988" s="42"/>
      <c r="Q988" s="42"/>
      <c r="R988" s="42"/>
      <c r="S988" s="42"/>
      <c r="T988" s="42"/>
      <c r="U988" s="42"/>
      <c r="V988" s="42"/>
      <c r="AB988" s="42"/>
      <c r="AC988" s="42"/>
      <c r="AD988" s="42"/>
      <c r="AE988" s="42"/>
      <c r="AF988" s="42"/>
      <c r="AG988" s="42"/>
      <c r="AH988" s="42"/>
      <c r="AI988" s="42"/>
      <c r="AJ988" s="42"/>
      <c r="AK988" s="42"/>
      <c r="AL988" s="42"/>
    </row>
    <row r="989" spans="12:38">
      <c r="L989" s="42"/>
      <c r="M989" s="42"/>
      <c r="N989" s="42"/>
      <c r="O989" s="42"/>
      <c r="P989" s="42"/>
      <c r="Q989" s="42"/>
      <c r="R989" s="42"/>
      <c r="S989" s="42"/>
      <c r="T989" s="42"/>
      <c r="U989" s="42"/>
      <c r="V989" s="42"/>
      <c r="AB989" s="42"/>
      <c r="AC989" s="42"/>
      <c r="AD989" s="42"/>
      <c r="AE989" s="42"/>
      <c r="AF989" s="42"/>
      <c r="AG989" s="42"/>
      <c r="AH989" s="42"/>
      <c r="AI989" s="42"/>
      <c r="AJ989" s="42"/>
      <c r="AK989" s="42"/>
      <c r="AL989" s="42"/>
    </row>
    <row r="990" spans="12:38">
      <c r="L990" s="42"/>
      <c r="M990" s="42"/>
      <c r="N990" s="42"/>
      <c r="O990" s="42"/>
      <c r="P990" s="42"/>
      <c r="Q990" s="42"/>
      <c r="R990" s="42"/>
      <c r="S990" s="42"/>
      <c r="T990" s="42"/>
      <c r="U990" s="42"/>
      <c r="V990" s="42"/>
      <c r="AB990" s="42"/>
      <c r="AC990" s="42"/>
      <c r="AD990" s="42"/>
      <c r="AE990" s="42"/>
      <c r="AF990" s="42"/>
      <c r="AG990" s="42"/>
      <c r="AH990" s="42"/>
      <c r="AI990" s="42"/>
      <c r="AJ990" s="42"/>
      <c r="AK990" s="42"/>
      <c r="AL990" s="42"/>
    </row>
    <row r="991" spans="12:38">
      <c r="L991" s="42"/>
      <c r="M991" s="42"/>
      <c r="N991" s="42"/>
      <c r="O991" s="42"/>
      <c r="P991" s="42"/>
      <c r="Q991" s="42"/>
      <c r="R991" s="42"/>
      <c r="S991" s="42"/>
      <c r="T991" s="42"/>
      <c r="U991" s="42"/>
      <c r="V991" s="42"/>
      <c r="AB991" s="42"/>
      <c r="AC991" s="42"/>
      <c r="AD991" s="42"/>
      <c r="AE991" s="42"/>
      <c r="AF991" s="42"/>
      <c r="AG991" s="42"/>
      <c r="AH991" s="42"/>
      <c r="AI991" s="42"/>
      <c r="AJ991" s="42"/>
      <c r="AK991" s="42"/>
      <c r="AL991" s="42"/>
    </row>
    <row r="992" spans="12:38">
      <c r="L992" s="42"/>
      <c r="M992" s="42"/>
      <c r="N992" s="42"/>
      <c r="O992" s="42"/>
      <c r="P992" s="42"/>
      <c r="Q992" s="42"/>
      <c r="R992" s="42"/>
      <c r="S992" s="42"/>
      <c r="T992" s="42"/>
      <c r="U992" s="42"/>
      <c r="V992" s="42"/>
      <c r="AB992" s="42"/>
      <c r="AC992" s="42"/>
      <c r="AD992" s="42"/>
      <c r="AE992" s="42"/>
      <c r="AF992" s="42"/>
      <c r="AG992" s="42"/>
      <c r="AH992" s="42"/>
      <c r="AI992" s="42"/>
      <c r="AJ992" s="42"/>
      <c r="AK992" s="42"/>
      <c r="AL992" s="42"/>
    </row>
    <row r="993" spans="12:38">
      <c r="L993" s="42"/>
      <c r="M993" s="42"/>
      <c r="N993" s="42"/>
      <c r="O993" s="42"/>
      <c r="P993" s="42"/>
      <c r="Q993" s="42"/>
      <c r="R993" s="42"/>
      <c r="S993" s="42"/>
      <c r="T993" s="42"/>
      <c r="U993" s="42"/>
      <c r="V993" s="42"/>
      <c r="AB993" s="42"/>
      <c r="AC993" s="42"/>
      <c r="AD993" s="42"/>
      <c r="AE993" s="42"/>
      <c r="AF993" s="42"/>
      <c r="AG993" s="42"/>
      <c r="AH993" s="42"/>
      <c r="AI993" s="42"/>
      <c r="AJ993" s="42"/>
      <c r="AK993" s="42"/>
      <c r="AL993" s="42"/>
    </row>
    <row r="994" spans="12:38">
      <c r="L994" s="42"/>
      <c r="M994" s="42"/>
      <c r="N994" s="42"/>
      <c r="O994" s="42"/>
      <c r="P994" s="42"/>
      <c r="Q994" s="42"/>
      <c r="R994" s="42"/>
      <c r="S994" s="42"/>
      <c r="T994" s="42"/>
      <c r="U994" s="42"/>
      <c r="V994" s="42"/>
      <c r="AB994" s="42"/>
      <c r="AC994" s="42"/>
      <c r="AD994" s="42"/>
      <c r="AE994" s="42"/>
      <c r="AF994" s="42"/>
      <c r="AG994" s="42"/>
      <c r="AH994" s="42"/>
      <c r="AI994" s="42"/>
      <c r="AJ994" s="42"/>
      <c r="AK994" s="42"/>
      <c r="AL994" s="42"/>
    </row>
    <row r="995" spans="12:38">
      <c r="L995" s="42"/>
      <c r="M995" s="42"/>
      <c r="N995" s="42"/>
      <c r="O995" s="42"/>
      <c r="P995" s="42"/>
      <c r="Q995" s="42"/>
      <c r="R995" s="42"/>
      <c r="S995" s="42"/>
      <c r="T995" s="42"/>
      <c r="U995" s="42"/>
      <c r="V995" s="42"/>
      <c r="AB995" s="42"/>
      <c r="AC995" s="42"/>
      <c r="AD995" s="42"/>
      <c r="AE995" s="42"/>
      <c r="AF995" s="42"/>
      <c r="AG995" s="42"/>
      <c r="AH995" s="42"/>
      <c r="AI995" s="42"/>
      <c r="AJ995" s="42"/>
      <c r="AK995" s="42"/>
      <c r="AL995" s="42"/>
    </row>
    <row r="996" spans="12:38">
      <c r="L996" s="42"/>
      <c r="M996" s="42"/>
      <c r="N996" s="42"/>
      <c r="O996" s="42"/>
      <c r="P996" s="42"/>
      <c r="Q996" s="42"/>
      <c r="R996" s="42"/>
      <c r="S996" s="42"/>
      <c r="T996" s="42"/>
      <c r="U996" s="42"/>
      <c r="V996" s="42"/>
      <c r="AB996" s="42"/>
      <c r="AC996" s="42"/>
      <c r="AD996" s="42"/>
      <c r="AE996" s="42"/>
      <c r="AF996" s="42"/>
      <c r="AG996" s="42"/>
      <c r="AH996" s="42"/>
      <c r="AI996" s="42"/>
      <c r="AJ996" s="42"/>
      <c r="AK996" s="42"/>
      <c r="AL996" s="42"/>
    </row>
    <row r="997" spans="12:38">
      <c r="L997" s="42"/>
      <c r="M997" s="42"/>
      <c r="N997" s="42"/>
      <c r="O997" s="42"/>
      <c r="P997" s="42"/>
      <c r="Q997" s="42"/>
      <c r="R997" s="42"/>
      <c r="S997" s="42"/>
      <c r="T997" s="42"/>
      <c r="U997" s="42"/>
      <c r="V997" s="42"/>
      <c r="AB997" s="42"/>
      <c r="AC997" s="42"/>
      <c r="AD997" s="42"/>
      <c r="AE997" s="42"/>
      <c r="AF997" s="42"/>
      <c r="AG997" s="42"/>
      <c r="AH997" s="42"/>
      <c r="AI997" s="42"/>
      <c r="AJ997" s="42"/>
      <c r="AK997" s="42"/>
      <c r="AL997" s="42"/>
    </row>
    <row r="998" spans="12:38">
      <c r="L998" s="42"/>
      <c r="M998" s="42"/>
      <c r="N998" s="42"/>
      <c r="O998" s="42"/>
      <c r="P998" s="42"/>
      <c r="Q998" s="42"/>
      <c r="R998" s="42"/>
      <c r="S998" s="42"/>
      <c r="T998" s="42"/>
      <c r="U998" s="42"/>
      <c r="V998" s="42"/>
      <c r="AB998" s="42"/>
      <c r="AC998" s="42"/>
      <c r="AD998" s="42"/>
      <c r="AE998" s="42"/>
      <c r="AF998" s="42"/>
      <c r="AG998" s="42"/>
      <c r="AH998" s="42"/>
      <c r="AI998" s="42"/>
      <c r="AJ998" s="42"/>
      <c r="AK998" s="42"/>
      <c r="AL998" s="42"/>
    </row>
    <row r="999" spans="12:38">
      <c r="L999" s="42"/>
      <c r="M999" s="42"/>
      <c r="N999" s="42"/>
      <c r="O999" s="42"/>
      <c r="P999" s="42"/>
      <c r="Q999" s="42"/>
      <c r="R999" s="42"/>
      <c r="S999" s="42"/>
      <c r="T999" s="42"/>
      <c r="U999" s="42"/>
      <c r="V999" s="42"/>
      <c r="AB999" s="42"/>
      <c r="AC999" s="42"/>
      <c r="AD999" s="42"/>
      <c r="AE999" s="42"/>
      <c r="AF999" s="42"/>
      <c r="AG999" s="42"/>
      <c r="AH999" s="42"/>
      <c r="AI999" s="42"/>
      <c r="AJ999" s="42"/>
      <c r="AK999" s="42"/>
      <c r="AL999" s="42"/>
    </row>
    <row r="1000" spans="12:38">
      <c r="L1000" s="42"/>
      <c r="M1000" s="42"/>
      <c r="N1000" s="42"/>
      <c r="O1000" s="42"/>
      <c r="P1000" s="42"/>
      <c r="Q1000" s="42"/>
      <c r="R1000" s="42"/>
      <c r="S1000" s="42"/>
      <c r="T1000" s="42"/>
      <c r="U1000" s="42"/>
      <c r="V1000" s="42"/>
      <c r="AB1000" s="42"/>
      <c r="AC1000" s="42"/>
      <c r="AD1000" s="42"/>
      <c r="AE1000" s="42"/>
      <c r="AF1000" s="42"/>
      <c r="AG1000" s="42"/>
      <c r="AH1000" s="42"/>
      <c r="AI1000" s="42"/>
      <c r="AJ1000" s="42"/>
      <c r="AK1000" s="42"/>
      <c r="AL1000" s="42"/>
    </row>
    <row r="1001" spans="12:38">
      <c r="L1001" s="42"/>
      <c r="M1001" s="42"/>
      <c r="N1001" s="42"/>
      <c r="O1001" s="42"/>
      <c r="P1001" s="42"/>
      <c r="Q1001" s="42"/>
      <c r="R1001" s="42"/>
      <c r="S1001" s="42"/>
      <c r="T1001" s="42"/>
      <c r="U1001" s="42"/>
      <c r="V1001" s="42"/>
      <c r="AB1001" s="42"/>
      <c r="AC1001" s="42"/>
      <c r="AD1001" s="42"/>
      <c r="AE1001" s="42"/>
      <c r="AF1001" s="42"/>
      <c r="AG1001" s="42"/>
      <c r="AH1001" s="42"/>
      <c r="AI1001" s="42"/>
      <c r="AJ1001" s="42"/>
      <c r="AK1001" s="42"/>
      <c r="AL1001" s="42"/>
    </row>
    <row r="1002" spans="12:38">
      <c r="L1002" s="42"/>
      <c r="M1002" s="42"/>
      <c r="N1002" s="42"/>
      <c r="O1002" s="42"/>
      <c r="P1002" s="42"/>
      <c r="Q1002" s="42"/>
      <c r="R1002" s="42"/>
      <c r="S1002" s="42"/>
      <c r="T1002" s="42"/>
      <c r="U1002" s="42"/>
      <c r="V1002" s="42"/>
      <c r="AB1002" s="42"/>
      <c r="AC1002" s="42"/>
      <c r="AD1002" s="42"/>
      <c r="AE1002" s="42"/>
      <c r="AF1002" s="42"/>
      <c r="AG1002" s="42"/>
      <c r="AH1002" s="42"/>
      <c r="AI1002" s="42"/>
      <c r="AJ1002" s="42"/>
      <c r="AK1002" s="42"/>
      <c r="AL1002" s="42"/>
    </row>
    <row r="1003" spans="12:38">
      <c r="L1003" s="42"/>
      <c r="M1003" s="42"/>
      <c r="N1003" s="42"/>
      <c r="O1003" s="42"/>
      <c r="P1003" s="42"/>
      <c r="Q1003" s="42"/>
      <c r="R1003" s="42"/>
      <c r="S1003" s="42"/>
      <c r="T1003" s="42"/>
      <c r="U1003" s="42"/>
      <c r="V1003" s="42"/>
      <c r="AB1003" s="42"/>
      <c r="AC1003" s="42"/>
      <c r="AD1003" s="42"/>
      <c r="AE1003" s="42"/>
      <c r="AF1003" s="42"/>
      <c r="AG1003" s="42"/>
      <c r="AH1003" s="42"/>
      <c r="AI1003" s="42"/>
      <c r="AJ1003" s="42"/>
      <c r="AK1003" s="42"/>
      <c r="AL1003" s="42"/>
    </row>
    <row r="1004" spans="12:38">
      <c r="L1004" s="42"/>
      <c r="M1004" s="42"/>
      <c r="N1004" s="42"/>
      <c r="O1004" s="42"/>
      <c r="P1004" s="42"/>
      <c r="Q1004" s="42"/>
      <c r="R1004" s="42"/>
      <c r="S1004" s="42"/>
      <c r="T1004" s="42"/>
      <c r="U1004" s="42"/>
      <c r="V1004" s="42"/>
      <c r="AB1004" s="42"/>
      <c r="AC1004" s="42"/>
      <c r="AD1004" s="42"/>
      <c r="AE1004" s="42"/>
      <c r="AF1004" s="42"/>
      <c r="AG1004" s="42"/>
      <c r="AH1004" s="42"/>
      <c r="AI1004" s="42"/>
      <c r="AJ1004" s="42"/>
      <c r="AK1004" s="42"/>
      <c r="AL1004" s="42"/>
    </row>
    <row r="1005" spans="12:38">
      <c r="L1005" s="42"/>
      <c r="M1005" s="42"/>
      <c r="N1005" s="42"/>
      <c r="O1005" s="42"/>
      <c r="P1005" s="42"/>
      <c r="Q1005" s="42"/>
      <c r="R1005" s="42"/>
      <c r="S1005" s="42"/>
      <c r="T1005" s="42"/>
      <c r="U1005" s="42"/>
      <c r="V1005" s="42"/>
      <c r="AB1005" s="42"/>
      <c r="AC1005" s="42"/>
      <c r="AD1005" s="42"/>
      <c r="AE1005" s="42"/>
      <c r="AF1005" s="42"/>
      <c r="AG1005" s="42"/>
      <c r="AH1005" s="42"/>
      <c r="AI1005" s="42"/>
      <c r="AJ1005" s="42"/>
      <c r="AK1005" s="42"/>
      <c r="AL1005" s="42"/>
    </row>
    <row r="1006" spans="12:38">
      <c r="L1006" s="42"/>
      <c r="M1006" s="42"/>
      <c r="N1006" s="42"/>
      <c r="O1006" s="42"/>
      <c r="P1006" s="42"/>
      <c r="Q1006" s="42"/>
      <c r="R1006" s="42"/>
      <c r="S1006" s="42"/>
      <c r="T1006" s="42"/>
      <c r="U1006" s="42"/>
      <c r="V1006" s="42"/>
      <c r="AB1006" s="42"/>
      <c r="AC1006" s="42"/>
      <c r="AD1006" s="42"/>
      <c r="AE1006" s="42"/>
      <c r="AF1006" s="42"/>
      <c r="AG1006" s="42"/>
      <c r="AH1006" s="42"/>
      <c r="AI1006" s="42"/>
      <c r="AJ1006" s="42"/>
      <c r="AK1006" s="42"/>
      <c r="AL1006" s="42"/>
    </row>
    <row r="1007" spans="12:38">
      <c r="L1007" s="42"/>
      <c r="M1007" s="42"/>
      <c r="N1007" s="42"/>
      <c r="O1007" s="42"/>
      <c r="P1007" s="42"/>
      <c r="Q1007" s="42"/>
      <c r="R1007" s="42"/>
      <c r="S1007" s="42"/>
      <c r="T1007" s="42"/>
      <c r="U1007" s="42"/>
      <c r="V1007" s="42"/>
      <c r="AB1007" s="42"/>
      <c r="AC1007" s="42"/>
      <c r="AD1007" s="42"/>
      <c r="AE1007" s="42"/>
      <c r="AF1007" s="42"/>
      <c r="AG1007" s="42"/>
      <c r="AH1007" s="42"/>
      <c r="AI1007" s="42"/>
      <c r="AJ1007" s="42"/>
      <c r="AK1007" s="42"/>
      <c r="AL1007" s="42"/>
    </row>
    <row r="1008" spans="12:38">
      <c r="L1008" s="42"/>
      <c r="M1008" s="42"/>
      <c r="N1008" s="42"/>
      <c r="O1008" s="42"/>
      <c r="P1008" s="42"/>
      <c r="Q1008" s="42"/>
      <c r="R1008" s="42"/>
      <c r="S1008" s="42"/>
      <c r="T1008" s="42"/>
      <c r="U1008" s="42"/>
      <c r="V1008" s="42"/>
      <c r="AB1008" s="42"/>
      <c r="AC1008" s="42"/>
      <c r="AD1008" s="42"/>
      <c r="AE1008" s="42"/>
      <c r="AF1008" s="42"/>
      <c r="AG1008" s="42"/>
      <c r="AH1008" s="42"/>
      <c r="AI1008" s="42"/>
      <c r="AJ1008" s="42"/>
      <c r="AK1008" s="42"/>
      <c r="AL1008" s="42"/>
    </row>
    <row r="1009" spans="12:38">
      <c r="L1009" s="42"/>
      <c r="M1009" s="42"/>
      <c r="N1009" s="42"/>
      <c r="O1009" s="42"/>
      <c r="P1009" s="42"/>
      <c r="Q1009" s="42"/>
      <c r="R1009" s="42"/>
      <c r="S1009" s="42"/>
      <c r="T1009" s="42"/>
      <c r="U1009" s="42"/>
      <c r="V1009" s="42"/>
      <c r="AB1009" s="42"/>
      <c r="AC1009" s="42"/>
      <c r="AD1009" s="42"/>
      <c r="AE1009" s="42"/>
      <c r="AF1009" s="42"/>
      <c r="AG1009" s="42"/>
      <c r="AH1009" s="42"/>
      <c r="AI1009" s="42"/>
      <c r="AJ1009" s="42"/>
      <c r="AK1009" s="42"/>
      <c r="AL1009" s="42"/>
    </row>
    <row r="1010" spans="12:38">
      <c r="L1010" s="42"/>
      <c r="M1010" s="42"/>
      <c r="N1010" s="42"/>
      <c r="O1010" s="42"/>
      <c r="P1010" s="42"/>
      <c r="Q1010" s="42"/>
      <c r="R1010" s="42"/>
      <c r="S1010" s="42"/>
      <c r="T1010" s="42"/>
      <c r="U1010" s="42"/>
      <c r="V1010" s="42"/>
      <c r="AB1010" s="42"/>
      <c r="AC1010" s="42"/>
      <c r="AD1010" s="42"/>
      <c r="AE1010" s="42"/>
      <c r="AF1010" s="42"/>
      <c r="AG1010" s="42"/>
      <c r="AH1010" s="42"/>
      <c r="AI1010" s="42"/>
      <c r="AJ1010" s="42"/>
      <c r="AK1010" s="42"/>
      <c r="AL1010" s="42"/>
    </row>
    <row r="1011" spans="12:38">
      <c r="L1011" s="42"/>
      <c r="M1011" s="42"/>
      <c r="N1011" s="42"/>
      <c r="O1011" s="42"/>
      <c r="P1011" s="42"/>
      <c r="Q1011" s="42"/>
      <c r="R1011" s="42"/>
      <c r="S1011" s="42"/>
      <c r="T1011" s="42"/>
      <c r="U1011" s="42"/>
      <c r="V1011" s="42"/>
      <c r="AB1011" s="42"/>
      <c r="AC1011" s="42"/>
      <c r="AD1011" s="42"/>
      <c r="AE1011" s="42"/>
      <c r="AF1011" s="42"/>
      <c r="AG1011" s="42"/>
      <c r="AH1011" s="42"/>
      <c r="AI1011" s="42"/>
      <c r="AJ1011" s="42"/>
      <c r="AK1011" s="42"/>
      <c r="AL1011" s="42"/>
    </row>
    <row r="1012" spans="12:38">
      <c r="L1012" s="42"/>
      <c r="M1012" s="42"/>
      <c r="N1012" s="42"/>
      <c r="O1012" s="42"/>
      <c r="P1012" s="42"/>
      <c r="Q1012" s="42"/>
      <c r="R1012" s="42"/>
      <c r="S1012" s="42"/>
      <c r="T1012" s="42"/>
      <c r="U1012" s="42"/>
      <c r="V1012" s="42"/>
      <c r="AB1012" s="42"/>
      <c r="AC1012" s="42"/>
      <c r="AD1012" s="42"/>
      <c r="AE1012" s="42"/>
      <c r="AF1012" s="42"/>
      <c r="AG1012" s="42"/>
      <c r="AH1012" s="42"/>
      <c r="AI1012" s="42"/>
      <c r="AJ1012" s="42"/>
      <c r="AK1012" s="42"/>
      <c r="AL1012" s="42"/>
    </row>
    <row r="1013" spans="12:38">
      <c r="L1013" s="42"/>
      <c r="M1013" s="42"/>
      <c r="N1013" s="42"/>
      <c r="O1013" s="42"/>
      <c r="P1013" s="42"/>
      <c r="Q1013" s="42"/>
      <c r="R1013" s="42"/>
      <c r="S1013" s="42"/>
      <c r="T1013" s="42"/>
      <c r="U1013" s="42"/>
      <c r="V1013" s="42"/>
      <c r="AB1013" s="42"/>
      <c r="AC1013" s="42"/>
      <c r="AD1013" s="42"/>
      <c r="AE1013" s="42"/>
      <c r="AF1013" s="42"/>
      <c r="AG1013" s="42"/>
      <c r="AH1013" s="42"/>
      <c r="AI1013" s="42"/>
      <c r="AJ1013" s="42"/>
      <c r="AK1013" s="42"/>
      <c r="AL1013" s="42"/>
    </row>
    <row r="1014" spans="12:38">
      <c r="L1014" s="42"/>
      <c r="M1014" s="42"/>
      <c r="N1014" s="42"/>
      <c r="O1014" s="42"/>
      <c r="P1014" s="42"/>
      <c r="Q1014" s="42"/>
      <c r="R1014" s="42"/>
      <c r="S1014" s="42"/>
      <c r="T1014" s="42"/>
      <c r="U1014" s="42"/>
      <c r="V1014" s="42"/>
      <c r="AB1014" s="42"/>
      <c r="AC1014" s="42"/>
      <c r="AD1014" s="42"/>
      <c r="AE1014" s="42"/>
      <c r="AF1014" s="42"/>
      <c r="AG1014" s="42"/>
      <c r="AH1014" s="42"/>
      <c r="AI1014" s="42"/>
      <c r="AJ1014" s="42"/>
      <c r="AK1014" s="42"/>
      <c r="AL1014" s="42"/>
    </row>
    <row r="1015" spans="12:38">
      <c r="L1015" s="42"/>
      <c r="M1015" s="42"/>
      <c r="N1015" s="42"/>
      <c r="O1015" s="42"/>
      <c r="P1015" s="42"/>
      <c r="Q1015" s="42"/>
      <c r="R1015" s="42"/>
      <c r="S1015" s="42"/>
      <c r="T1015" s="42"/>
      <c r="U1015" s="42"/>
      <c r="V1015" s="42"/>
      <c r="AB1015" s="42"/>
      <c r="AC1015" s="42"/>
      <c r="AD1015" s="42"/>
      <c r="AE1015" s="42"/>
      <c r="AF1015" s="42"/>
      <c r="AG1015" s="42"/>
      <c r="AH1015" s="42"/>
      <c r="AI1015" s="42"/>
      <c r="AJ1015" s="42"/>
      <c r="AK1015" s="42"/>
      <c r="AL1015" s="42"/>
    </row>
    <row r="1016" spans="12:38">
      <c r="L1016" s="42"/>
      <c r="M1016" s="42"/>
      <c r="N1016" s="42"/>
      <c r="O1016" s="42"/>
      <c r="P1016" s="42"/>
      <c r="Q1016" s="42"/>
      <c r="R1016" s="42"/>
      <c r="S1016" s="42"/>
      <c r="T1016" s="42"/>
      <c r="U1016" s="42"/>
      <c r="V1016" s="42"/>
      <c r="AB1016" s="42"/>
      <c r="AC1016" s="42"/>
      <c r="AD1016" s="42"/>
      <c r="AE1016" s="42"/>
      <c r="AF1016" s="42"/>
      <c r="AG1016" s="42"/>
      <c r="AH1016" s="42"/>
      <c r="AI1016" s="42"/>
      <c r="AJ1016" s="42"/>
      <c r="AK1016" s="42"/>
      <c r="AL1016" s="42"/>
    </row>
    <row r="1017" spans="12:38">
      <c r="L1017" s="42"/>
      <c r="M1017" s="42"/>
      <c r="N1017" s="42"/>
      <c r="O1017" s="42"/>
      <c r="P1017" s="42"/>
      <c r="Q1017" s="42"/>
      <c r="R1017" s="42"/>
      <c r="S1017" s="42"/>
      <c r="T1017" s="42"/>
      <c r="U1017" s="42"/>
      <c r="V1017" s="42"/>
      <c r="AB1017" s="42"/>
      <c r="AC1017" s="42"/>
      <c r="AD1017" s="42"/>
      <c r="AE1017" s="42"/>
      <c r="AF1017" s="42"/>
      <c r="AG1017" s="42"/>
      <c r="AH1017" s="42"/>
      <c r="AI1017" s="42"/>
      <c r="AJ1017" s="42"/>
      <c r="AK1017" s="42"/>
      <c r="AL1017" s="42"/>
    </row>
    <row r="1018" spans="12:38">
      <c r="L1018" s="42"/>
      <c r="M1018" s="42"/>
      <c r="N1018" s="42"/>
      <c r="O1018" s="42"/>
      <c r="P1018" s="42"/>
      <c r="Q1018" s="42"/>
      <c r="R1018" s="42"/>
      <c r="S1018" s="42"/>
      <c r="T1018" s="42"/>
      <c r="U1018" s="42"/>
      <c r="V1018" s="42"/>
      <c r="AB1018" s="42"/>
      <c r="AC1018" s="42"/>
      <c r="AD1018" s="42"/>
      <c r="AE1018" s="42"/>
      <c r="AF1018" s="42"/>
      <c r="AG1018" s="42"/>
      <c r="AH1018" s="42"/>
      <c r="AI1018" s="42"/>
      <c r="AJ1018" s="42"/>
      <c r="AK1018" s="42"/>
      <c r="AL1018" s="42"/>
    </row>
    <row r="1019" spans="12:38">
      <c r="L1019" s="42"/>
      <c r="M1019" s="42"/>
      <c r="N1019" s="42"/>
      <c r="O1019" s="42"/>
      <c r="P1019" s="42"/>
      <c r="Q1019" s="42"/>
      <c r="R1019" s="42"/>
      <c r="S1019" s="42"/>
      <c r="T1019" s="42"/>
      <c r="U1019" s="42"/>
      <c r="V1019" s="42"/>
      <c r="AB1019" s="42"/>
      <c r="AC1019" s="42"/>
      <c r="AD1019" s="42"/>
      <c r="AE1019" s="42"/>
      <c r="AF1019" s="42"/>
      <c r="AG1019" s="42"/>
      <c r="AH1019" s="42"/>
      <c r="AI1019" s="42"/>
      <c r="AJ1019" s="42"/>
      <c r="AK1019" s="42"/>
      <c r="AL1019" s="42"/>
    </row>
    <row r="1020" spans="12:38">
      <c r="L1020" s="42"/>
      <c r="M1020" s="42"/>
      <c r="N1020" s="42"/>
      <c r="O1020" s="42"/>
      <c r="P1020" s="42"/>
      <c r="Q1020" s="42"/>
      <c r="R1020" s="42"/>
      <c r="S1020" s="42"/>
      <c r="T1020" s="42"/>
      <c r="U1020" s="42"/>
      <c r="V1020" s="42"/>
      <c r="AB1020" s="42"/>
      <c r="AC1020" s="42"/>
      <c r="AD1020" s="42"/>
      <c r="AE1020" s="42"/>
      <c r="AF1020" s="42"/>
      <c r="AG1020" s="42"/>
      <c r="AH1020" s="42"/>
      <c r="AI1020" s="42"/>
      <c r="AJ1020" s="42"/>
      <c r="AK1020" s="42"/>
      <c r="AL1020" s="42"/>
    </row>
    <row r="1021" spans="12:38">
      <c r="L1021" s="42"/>
      <c r="M1021" s="42"/>
      <c r="N1021" s="42"/>
      <c r="O1021" s="42"/>
      <c r="P1021" s="42"/>
      <c r="Q1021" s="42"/>
      <c r="R1021" s="42"/>
      <c r="S1021" s="42"/>
      <c r="T1021" s="42"/>
      <c r="U1021" s="42"/>
      <c r="V1021" s="42"/>
      <c r="AB1021" s="42"/>
      <c r="AC1021" s="42"/>
      <c r="AD1021" s="42"/>
      <c r="AE1021" s="42"/>
      <c r="AF1021" s="42"/>
      <c r="AG1021" s="42"/>
      <c r="AH1021" s="42"/>
      <c r="AI1021" s="42"/>
      <c r="AJ1021" s="42"/>
      <c r="AK1021" s="42"/>
      <c r="AL1021" s="42"/>
    </row>
    <row r="1022" spans="12:38">
      <c r="L1022" s="42"/>
      <c r="M1022" s="42"/>
      <c r="N1022" s="42"/>
      <c r="O1022" s="42"/>
      <c r="P1022" s="42"/>
      <c r="Q1022" s="42"/>
      <c r="R1022" s="42"/>
      <c r="S1022" s="42"/>
      <c r="T1022" s="42"/>
      <c r="U1022" s="42"/>
      <c r="V1022" s="42"/>
      <c r="AB1022" s="42"/>
      <c r="AC1022" s="42"/>
      <c r="AD1022" s="42"/>
      <c r="AE1022" s="42"/>
      <c r="AF1022" s="42"/>
      <c r="AG1022" s="42"/>
      <c r="AH1022" s="42"/>
      <c r="AI1022" s="42"/>
      <c r="AJ1022" s="42"/>
      <c r="AK1022" s="42"/>
      <c r="AL1022" s="42"/>
    </row>
    <row r="1023" spans="12:38">
      <c r="L1023" s="42"/>
      <c r="M1023" s="42"/>
      <c r="N1023" s="42"/>
      <c r="O1023" s="42"/>
      <c r="P1023" s="42"/>
      <c r="Q1023" s="42"/>
      <c r="R1023" s="42"/>
      <c r="S1023" s="42"/>
      <c r="T1023" s="42"/>
      <c r="U1023" s="42"/>
      <c r="V1023" s="42"/>
      <c r="AB1023" s="42"/>
      <c r="AC1023" s="42"/>
      <c r="AD1023" s="42"/>
      <c r="AE1023" s="42"/>
      <c r="AF1023" s="42"/>
      <c r="AG1023" s="42"/>
      <c r="AH1023" s="42"/>
      <c r="AI1023" s="42"/>
      <c r="AJ1023" s="42"/>
      <c r="AK1023" s="42"/>
      <c r="AL1023" s="42"/>
    </row>
    <row r="1024" spans="12:38">
      <c r="L1024" s="42"/>
      <c r="M1024" s="42"/>
      <c r="N1024" s="42"/>
      <c r="O1024" s="42"/>
      <c r="P1024" s="42"/>
      <c r="Q1024" s="42"/>
      <c r="R1024" s="42"/>
      <c r="S1024" s="42"/>
      <c r="T1024" s="42"/>
      <c r="U1024" s="42"/>
      <c r="V1024" s="42"/>
      <c r="AB1024" s="42"/>
      <c r="AC1024" s="42"/>
      <c r="AD1024" s="42"/>
      <c r="AE1024" s="42"/>
      <c r="AF1024" s="42"/>
      <c r="AG1024" s="42"/>
      <c r="AH1024" s="42"/>
      <c r="AI1024" s="42"/>
      <c r="AJ1024" s="42"/>
      <c r="AK1024" s="42"/>
      <c r="AL1024" s="42"/>
    </row>
    <row r="1025" spans="12:38">
      <c r="L1025" s="42"/>
      <c r="M1025" s="42"/>
      <c r="N1025" s="42"/>
      <c r="O1025" s="42"/>
      <c r="P1025" s="42"/>
      <c r="Q1025" s="42"/>
      <c r="R1025" s="42"/>
      <c r="S1025" s="42"/>
      <c r="T1025" s="42"/>
      <c r="U1025" s="42"/>
      <c r="V1025" s="42"/>
      <c r="AB1025" s="42"/>
      <c r="AC1025" s="42"/>
      <c r="AD1025" s="42"/>
      <c r="AE1025" s="42"/>
      <c r="AF1025" s="42"/>
      <c r="AG1025" s="42"/>
      <c r="AH1025" s="42"/>
      <c r="AI1025" s="42"/>
      <c r="AJ1025" s="42"/>
      <c r="AK1025" s="42"/>
      <c r="AL1025" s="42"/>
    </row>
    <row r="1026" spans="12:38">
      <c r="L1026" s="42"/>
      <c r="M1026" s="42"/>
      <c r="N1026" s="42"/>
      <c r="O1026" s="42"/>
      <c r="P1026" s="42"/>
      <c r="Q1026" s="42"/>
      <c r="R1026" s="42"/>
      <c r="S1026" s="42"/>
      <c r="T1026" s="42"/>
      <c r="U1026" s="42"/>
      <c r="V1026" s="42"/>
      <c r="AB1026" s="42"/>
      <c r="AC1026" s="42"/>
      <c r="AD1026" s="42"/>
      <c r="AE1026" s="42"/>
      <c r="AF1026" s="42"/>
      <c r="AG1026" s="42"/>
      <c r="AH1026" s="42"/>
      <c r="AI1026" s="42"/>
      <c r="AJ1026" s="42"/>
      <c r="AK1026" s="42"/>
      <c r="AL1026" s="42"/>
    </row>
    <row r="1027" spans="12:38">
      <c r="L1027" s="42"/>
      <c r="M1027" s="42"/>
      <c r="N1027" s="42"/>
      <c r="O1027" s="42"/>
      <c r="P1027" s="42"/>
      <c r="Q1027" s="42"/>
      <c r="R1027" s="42"/>
      <c r="S1027" s="42"/>
      <c r="T1027" s="42"/>
      <c r="U1027" s="42"/>
      <c r="V1027" s="42"/>
      <c r="AB1027" s="42"/>
      <c r="AC1027" s="42"/>
      <c r="AD1027" s="42"/>
      <c r="AE1027" s="42"/>
      <c r="AF1027" s="42"/>
      <c r="AG1027" s="42"/>
      <c r="AH1027" s="42"/>
      <c r="AI1027" s="42"/>
      <c r="AJ1027" s="42"/>
      <c r="AK1027" s="42"/>
      <c r="AL1027" s="42"/>
    </row>
    <row r="1028" spans="12:38">
      <c r="L1028" s="42"/>
      <c r="M1028" s="42"/>
      <c r="N1028" s="42"/>
      <c r="O1028" s="42"/>
      <c r="P1028" s="42"/>
      <c r="Q1028" s="42"/>
      <c r="R1028" s="42"/>
      <c r="S1028" s="42"/>
      <c r="T1028" s="42"/>
      <c r="U1028" s="42"/>
      <c r="V1028" s="42"/>
      <c r="AB1028" s="42"/>
      <c r="AC1028" s="42"/>
      <c r="AD1028" s="42"/>
      <c r="AE1028" s="42"/>
      <c r="AF1028" s="42"/>
      <c r="AG1028" s="42"/>
      <c r="AH1028" s="42"/>
      <c r="AI1028" s="42"/>
      <c r="AJ1028" s="42"/>
      <c r="AK1028" s="42"/>
      <c r="AL1028" s="42"/>
    </row>
    <row r="1029" spans="12:38">
      <c r="L1029" s="42"/>
      <c r="M1029" s="42"/>
      <c r="N1029" s="42"/>
      <c r="O1029" s="42"/>
      <c r="P1029" s="42"/>
      <c r="Q1029" s="42"/>
      <c r="R1029" s="42"/>
      <c r="S1029" s="42"/>
      <c r="T1029" s="42"/>
      <c r="U1029" s="42"/>
      <c r="V1029" s="42"/>
      <c r="AB1029" s="42"/>
      <c r="AC1029" s="42"/>
      <c r="AD1029" s="42"/>
      <c r="AE1029" s="42"/>
      <c r="AF1029" s="42"/>
      <c r="AG1029" s="42"/>
      <c r="AH1029" s="42"/>
      <c r="AI1029" s="42"/>
      <c r="AJ1029" s="42"/>
      <c r="AK1029" s="42"/>
      <c r="AL1029" s="42"/>
    </row>
    <row r="1030" spans="12:38">
      <c r="L1030" s="42"/>
      <c r="M1030" s="42"/>
      <c r="N1030" s="42"/>
      <c r="O1030" s="42"/>
      <c r="P1030" s="42"/>
      <c r="Q1030" s="42"/>
      <c r="R1030" s="42"/>
      <c r="S1030" s="42"/>
      <c r="T1030" s="42"/>
      <c r="U1030" s="42"/>
      <c r="V1030" s="42"/>
      <c r="AB1030" s="42"/>
      <c r="AC1030" s="42"/>
      <c r="AD1030" s="42"/>
      <c r="AE1030" s="42"/>
      <c r="AF1030" s="42"/>
      <c r="AG1030" s="42"/>
      <c r="AH1030" s="42"/>
      <c r="AI1030" s="42"/>
      <c r="AJ1030" s="42"/>
      <c r="AK1030" s="42"/>
      <c r="AL1030" s="42"/>
    </row>
    <row r="1031" spans="12:38">
      <c r="L1031" s="42"/>
      <c r="M1031" s="42"/>
      <c r="N1031" s="42"/>
      <c r="O1031" s="42"/>
      <c r="P1031" s="42"/>
      <c r="Q1031" s="42"/>
      <c r="R1031" s="42"/>
      <c r="S1031" s="42"/>
      <c r="T1031" s="42"/>
      <c r="U1031" s="42"/>
      <c r="V1031" s="42"/>
      <c r="AB1031" s="42"/>
      <c r="AC1031" s="42"/>
      <c r="AD1031" s="42"/>
      <c r="AE1031" s="42"/>
      <c r="AF1031" s="42"/>
      <c r="AG1031" s="42"/>
      <c r="AH1031" s="42"/>
      <c r="AI1031" s="42"/>
      <c r="AJ1031" s="42"/>
      <c r="AK1031" s="42"/>
      <c r="AL1031" s="42"/>
    </row>
    <row r="1032" spans="12:38">
      <c r="L1032" s="42"/>
      <c r="M1032" s="42"/>
      <c r="N1032" s="42"/>
      <c r="O1032" s="42"/>
      <c r="P1032" s="42"/>
      <c r="Q1032" s="42"/>
      <c r="R1032" s="42"/>
      <c r="S1032" s="42"/>
      <c r="T1032" s="42"/>
      <c r="U1032" s="42"/>
      <c r="V1032" s="42"/>
      <c r="AB1032" s="42"/>
      <c r="AC1032" s="42"/>
      <c r="AD1032" s="42"/>
      <c r="AE1032" s="42"/>
      <c r="AF1032" s="42"/>
      <c r="AG1032" s="42"/>
      <c r="AH1032" s="42"/>
      <c r="AI1032" s="42"/>
      <c r="AJ1032" s="42"/>
      <c r="AK1032" s="42"/>
      <c r="AL1032" s="42"/>
    </row>
    <row r="1033" spans="12:38">
      <c r="L1033" s="42"/>
      <c r="M1033" s="42"/>
      <c r="N1033" s="42"/>
      <c r="O1033" s="42"/>
      <c r="P1033" s="42"/>
      <c r="Q1033" s="42"/>
      <c r="R1033" s="42"/>
      <c r="S1033" s="42"/>
      <c r="T1033" s="42"/>
      <c r="U1033" s="42"/>
      <c r="V1033" s="42"/>
      <c r="AB1033" s="42"/>
      <c r="AC1033" s="42"/>
      <c r="AD1033" s="42"/>
      <c r="AE1033" s="42"/>
      <c r="AF1033" s="42"/>
      <c r="AG1033" s="42"/>
      <c r="AH1033" s="42"/>
      <c r="AI1033" s="42"/>
      <c r="AJ1033" s="42"/>
      <c r="AK1033" s="42"/>
      <c r="AL1033" s="42"/>
    </row>
    <row r="1034" spans="12:38">
      <c r="L1034" s="42"/>
      <c r="M1034" s="42"/>
      <c r="N1034" s="42"/>
      <c r="O1034" s="42"/>
      <c r="P1034" s="42"/>
      <c r="Q1034" s="42"/>
      <c r="R1034" s="42"/>
      <c r="S1034" s="42"/>
      <c r="T1034" s="42"/>
      <c r="U1034" s="42"/>
      <c r="V1034" s="42"/>
      <c r="AB1034" s="42"/>
      <c r="AC1034" s="42"/>
      <c r="AD1034" s="42"/>
      <c r="AE1034" s="42"/>
      <c r="AF1034" s="42"/>
      <c r="AG1034" s="42"/>
      <c r="AH1034" s="42"/>
      <c r="AI1034" s="42"/>
      <c r="AJ1034" s="42"/>
      <c r="AK1034" s="42"/>
      <c r="AL1034" s="42"/>
    </row>
    <row r="1035" spans="12:38">
      <c r="L1035" s="42"/>
      <c r="M1035" s="42"/>
      <c r="N1035" s="42"/>
      <c r="O1035" s="42"/>
      <c r="P1035" s="42"/>
      <c r="Q1035" s="42"/>
      <c r="R1035" s="42"/>
      <c r="S1035" s="42"/>
      <c r="T1035" s="42"/>
      <c r="U1035" s="42"/>
      <c r="V1035" s="42"/>
      <c r="AB1035" s="42"/>
      <c r="AC1035" s="42"/>
      <c r="AD1035" s="42"/>
      <c r="AE1035" s="42"/>
      <c r="AF1035" s="42"/>
      <c r="AG1035" s="42"/>
      <c r="AH1035" s="42"/>
      <c r="AI1035" s="42"/>
      <c r="AJ1035" s="42"/>
      <c r="AK1035" s="42"/>
      <c r="AL1035" s="42"/>
    </row>
    <row r="1036" spans="12:38">
      <c r="L1036" s="42"/>
      <c r="M1036" s="42"/>
      <c r="N1036" s="42"/>
      <c r="O1036" s="42"/>
      <c r="P1036" s="42"/>
      <c r="Q1036" s="42"/>
      <c r="R1036" s="42"/>
      <c r="S1036" s="42"/>
      <c r="T1036" s="42"/>
      <c r="U1036" s="42"/>
      <c r="V1036" s="42"/>
      <c r="AB1036" s="42"/>
      <c r="AC1036" s="42"/>
      <c r="AD1036" s="42"/>
      <c r="AE1036" s="42"/>
      <c r="AF1036" s="42"/>
      <c r="AG1036" s="42"/>
      <c r="AH1036" s="42"/>
      <c r="AI1036" s="42"/>
      <c r="AJ1036" s="42"/>
      <c r="AK1036" s="42"/>
      <c r="AL1036" s="42"/>
    </row>
    <row r="1037" spans="12:38">
      <c r="L1037" s="42"/>
      <c r="M1037" s="42"/>
      <c r="N1037" s="42"/>
      <c r="O1037" s="42"/>
      <c r="P1037" s="42"/>
      <c r="Q1037" s="42"/>
      <c r="R1037" s="42"/>
      <c r="S1037" s="42"/>
      <c r="T1037" s="42"/>
      <c r="U1037" s="42"/>
      <c r="V1037" s="42"/>
      <c r="AB1037" s="42"/>
      <c r="AC1037" s="42"/>
      <c r="AD1037" s="42"/>
      <c r="AE1037" s="42"/>
      <c r="AF1037" s="42"/>
      <c r="AG1037" s="42"/>
      <c r="AH1037" s="42"/>
      <c r="AI1037" s="42"/>
      <c r="AJ1037" s="42"/>
      <c r="AK1037" s="42"/>
      <c r="AL1037" s="42"/>
    </row>
    <row r="1038" spans="12:38">
      <c r="L1038" s="42"/>
      <c r="M1038" s="42"/>
      <c r="N1038" s="42"/>
      <c r="O1038" s="42"/>
      <c r="P1038" s="42"/>
      <c r="Q1038" s="42"/>
      <c r="R1038" s="42"/>
      <c r="S1038" s="42"/>
      <c r="T1038" s="42"/>
      <c r="U1038" s="42"/>
      <c r="V1038" s="42"/>
      <c r="AB1038" s="42"/>
      <c r="AC1038" s="42"/>
      <c r="AD1038" s="42"/>
      <c r="AE1038" s="42"/>
      <c r="AF1038" s="42"/>
      <c r="AG1038" s="42"/>
      <c r="AH1038" s="42"/>
      <c r="AI1038" s="42"/>
      <c r="AJ1038" s="42"/>
      <c r="AK1038" s="42"/>
      <c r="AL1038" s="42"/>
    </row>
    <row r="1039" spans="12:38">
      <c r="L1039" s="42"/>
      <c r="M1039" s="42"/>
      <c r="N1039" s="42"/>
      <c r="O1039" s="42"/>
      <c r="P1039" s="42"/>
      <c r="Q1039" s="42"/>
      <c r="R1039" s="42"/>
      <c r="S1039" s="42"/>
      <c r="T1039" s="42"/>
      <c r="U1039" s="42"/>
      <c r="V1039" s="42"/>
      <c r="AB1039" s="42"/>
      <c r="AC1039" s="42"/>
      <c r="AD1039" s="42"/>
      <c r="AE1039" s="42"/>
      <c r="AF1039" s="42"/>
      <c r="AG1039" s="42"/>
      <c r="AH1039" s="42"/>
      <c r="AI1039" s="42"/>
      <c r="AJ1039" s="42"/>
      <c r="AK1039" s="42"/>
      <c r="AL1039" s="42"/>
    </row>
    <row r="1040" spans="12:38">
      <c r="L1040" s="42"/>
      <c r="M1040" s="42"/>
      <c r="N1040" s="42"/>
      <c r="O1040" s="42"/>
      <c r="P1040" s="42"/>
      <c r="Q1040" s="42"/>
      <c r="R1040" s="42"/>
      <c r="S1040" s="42"/>
      <c r="T1040" s="42"/>
      <c r="U1040" s="42"/>
      <c r="V1040" s="42"/>
      <c r="AB1040" s="42"/>
      <c r="AC1040" s="42"/>
      <c r="AD1040" s="42"/>
      <c r="AE1040" s="42"/>
      <c r="AF1040" s="42"/>
      <c r="AG1040" s="42"/>
      <c r="AH1040" s="42"/>
      <c r="AI1040" s="42"/>
      <c r="AJ1040" s="42"/>
      <c r="AK1040" s="42"/>
      <c r="AL1040" s="42"/>
    </row>
    <row r="1041" spans="12:38">
      <c r="L1041" s="42"/>
      <c r="M1041" s="42"/>
      <c r="N1041" s="42"/>
      <c r="O1041" s="42"/>
      <c r="P1041" s="42"/>
      <c r="Q1041" s="42"/>
      <c r="R1041" s="42"/>
      <c r="S1041" s="42"/>
      <c r="T1041" s="42"/>
      <c r="U1041" s="42"/>
      <c r="V1041" s="42"/>
      <c r="AB1041" s="42"/>
      <c r="AC1041" s="42"/>
      <c r="AD1041" s="42"/>
      <c r="AE1041" s="42"/>
      <c r="AF1041" s="42"/>
      <c r="AG1041" s="42"/>
      <c r="AH1041" s="42"/>
      <c r="AI1041" s="42"/>
      <c r="AJ1041" s="42"/>
      <c r="AK1041" s="42"/>
      <c r="AL1041" s="42"/>
    </row>
    <row r="1042" spans="12:38">
      <c r="L1042" s="42"/>
      <c r="M1042" s="42"/>
      <c r="N1042" s="42"/>
      <c r="O1042" s="42"/>
      <c r="P1042" s="42"/>
      <c r="Q1042" s="42"/>
      <c r="R1042" s="42"/>
      <c r="S1042" s="42"/>
      <c r="T1042" s="42"/>
      <c r="U1042" s="42"/>
      <c r="V1042" s="42"/>
      <c r="AB1042" s="42"/>
      <c r="AC1042" s="42"/>
      <c r="AD1042" s="42"/>
      <c r="AE1042" s="42"/>
      <c r="AF1042" s="42"/>
      <c r="AG1042" s="42"/>
      <c r="AH1042" s="42"/>
      <c r="AI1042" s="42"/>
      <c r="AJ1042" s="42"/>
      <c r="AK1042" s="42"/>
      <c r="AL1042" s="42"/>
    </row>
    <row r="1043" spans="12:38">
      <c r="L1043" s="42"/>
      <c r="M1043" s="42"/>
      <c r="N1043" s="42"/>
      <c r="O1043" s="42"/>
      <c r="P1043" s="42"/>
      <c r="Q1043" s="42"/>
      <c r="R1043" s="42"/>
      <c r="S1043" s="42"/>
      <c r="T1043" s="42"/>
      <c r="U1043" s="42"/>
      <c r="V1043" s="42"/>
      <c r="AB1043" s="42"/>
      <c r="AC1043" s="42"/>
      <c r="AD1043" s="42"/>
      <c r="AE1043" s="42"/>
      <c r="AF1043" s="42"/>
      <c r="AG1043" s="42"/>
      <c r="AH1043" s="42"/>
      <c r="AI1043" s="42"/>
      <c r="AJ1043" s="42"/>
      <c r="AK1043" s="42"/>
      <c r="AL1043" s="42"/>
    </row>
    <row r="1044" spans="12:38">
      <c r="L1044" s="42"/>
      <c r="M1044" s="42"/>
      <c r="N1044" s="42"/>
      <c r="O1044" s="42"/>
      <c r="P1044" s="42"/>
      <c r="Q1044" s="42"/>
      <c r="R1044" s="42"/>
      <c r="S1044" s="42"/>
      <c r="T1044" s="42"/>
      <c r="U1044" s="42"/>
      <c r="V1044" s="42"/>
      <c r="AB1044" s="42"/>
      <c r="AC1044" s="42"/>
      <c r="AD1044" s="42"/>
      <c r="AE1044" s="42"/>
      <c r="AF1044" s="42"/>
      <c r="AG1044" s="42"/>
      <c r="AH1044" s="42"/>
      <c r="AI1044" s="42"/>
      <c r="AJ1044" s="42"/>
      <c r="AK1044" s="42"/>
      <c r="AL1044" s="42"/>
    </row>
    <row r="1045" spans="12:38">
      <c r="L1045" s="42"/>
      <c r="M1045" s="42"/>
      <c r="N1045" s="42"/>
      <c r="O1045" s="42"/>
      <c r="P1045" s="42"/>
      <c r="Q1045" s="42"/>
      <c r="R1045" s="42"/>
      <c r="S1045" s="42"/>
      <c r="T1045" s="42"/>
      <c r="U1045" s="42"/>
      <c r="V1045" s="42"/>
      <c r="AB1045" s="42"/>
      <c r="AC1045" s="42"/>
      <c r="AD1045" s="42"/>
      <c r="AE1045" s="42"/>
      <c r="AF1045" s="42"/>
      <c r="AG1045" s="42"/>
      <c r="AH1045" s="42"/>
      <c r="AI1045" s="42"/>
      <c r="AJ1045" s="42"/>
      <c r="AK1045" s="42"/>
      <c r="AL1045" s="42"/>
    </row>
    <row r="1046" spans="12:38">
      <c r="L1046" s="42"/>
      <c r="M1046" s="42"/>
      <c r="N1046" s="42"/>
      <c r="O1046" s="42"/>
      <c r="P1046" s="42"/>
      <c r="Q1046" s="42"/>
      <c r="R1046" s="42"/>
      <c r="S1046" s="42"/>
      <c r="T1046" s="42"/>
      <c r="U1046" s="42"/>
      <c r="V1046" s="42"/>
      <c r="AB1046" s="42"/>
      <c r="AC1046" s="42"/>
      <c r="AD1046" s="42"/>
      <c r="AE1046" s="42"/>
      <c r="AF1046" s="42"/>
      <c r="AG1046" s="42"/>
      <c r="AH1046" s="42"/>
      <c r="AI1046" s="42"/>
      <c r="AJ1046" s="42"/>
      <c r="AK1046" s="42"/>
      <c r="AL1046" s="42"/>
    </row>
    <row r="1047" spans="12:38">
      <c r="L1047" s="42"/>
      <c r="M1047" s="42"/>
      <c r="N1047" s="42"/>
      <c r="O1047" s="42"/>
      <c r="P1047" s="42"/>
      <c r="Q1047" s="42"/>
      <c r="R1047" s="42"/>
      <c r="S1047" s="42"/>
      <c r="T1047" s="42"/>
      <c r="U1047" s="42"/>
      <c r="V1047" s="42"/>
      <c r="AB1047" s="42"/>
      <c r="AC1047" s="42"/>
      <c r="AD1047" s="42"/>
      <c r="AE1047" s="42"/>
      <c r="AF1047" s="42"/>
      <c r="AG1047" s="42"/>
      <c r="AH1047" s="42"/>
      <c r="AI1047" s="42"/>
      <c r="AJ1047" s="42"/>
      <c r="AK1047" s="42"/>
      <c r="AL1047" s="42"/>
    </row>
    <row r="1048" spans="12:38">
      <c r="L1048" s="42"/>
      <c r="M1048" s="42"/>
      <c r="N1048" s="42"/>
      <c r="O1048" s="42"/>
      <c r="P1048" s="42"/>
      <c r="Q1048" s="42"/>
      <c r="R1048" s="42"/>
      <c r="S1048" s="42"/>
      <c r="T1048" s="42"/>
      <c r="U1048" s="42"/>
      <c r="V1048" s="42"/>
      <c r="AB1048" s="42"/>
      <c r="AC1048" s="42"/>
      <c r="AD1048" s="42"/>
      <c r="AE1048" s="42"/>
      <c r="AF1048" s="42"/>
      <c r="AG1048" s="42"/>
      <c r="AH1048" s="42"/>
      <c r="AI1048" s="42"/>
      <c r="AJ1048" s="42"/>
      <c r="AK1048" s="42"/>
      <c r="AL1048" s="42"/>
    </row>
    <row r="1049" spans="12:38">
      <c r="L1049" s="42"/>
      <c r="M1049" s="42"/>
      <c r="N1049" s="42"/>
      <c r="O1049" s="42"/>
      <c r="P1049" s="42"/>
      <c r="Q1049" s="42"/>
      <c r="R1049" s="42"/>
      <c r="S1049" s="42"/>
      <c r="T1049" s="42"/>
      <c r="U1049" s="42"/>
      <c r="V1049" s="42"/>
      <c r="AB1049" s="42"/>
      <c r="AC1049" s="42"/>
      <c r="AD1049" s="42"/>
      <c r="AE1049" s="42"/>
      <c r="AF1049" s="42"/>
      <c r="AG1049" s="42"/>
      <c r="AH1049" s="42"/>
      <c r="AI1049" s="42"/>
      <c r="AJ1049" s="42"/>
      <c r="AK1049" s="42"/>
      <c r="AL1049" s="42"/>
    </row>
    <row r="1050" spans="12:38">
      <c r="L1050" s="42"/>
      <c r="M1050" s="42"/>
      <c r="N1050" s="42"/>
      <c r="O1050" s="42"/>
      <c r="P1050" s="42"/>
      <c r="Q1050" s="42"/>
      <c r="R1050" s="42"/>
      <c r="S1050" s="42"/>
      <c r="T1050" s="42"/>
      <c r="U1050" s="42"/>
      <c r="V1050" s="42"/>
      <c r="AB1050" s="42"/>
      <c r="AC1050" s="42"/>
      <c r="AD1050" s="42"/>
      <c r="AE1050" s="42"/>
      <c r="AF1050" s="42"/>
      <c r="AG1050" s="42"/>
      <c r="AH1050" s="42"/>
      <c r="AI1050" s="42"/>
      <c r="AJ1050" s="42"/>
      <c r="AK1050" s="42"/>
      <c r="AL1050" s="42"/>
    </row>
    <row r="1051" spans="12:38">
      <c r="L1051" s="42"/>
      <c r="M1051" s="42"/>
      <c r="N1051" s="42"/>
      <c r="O1051" s="42"/>
      <c r="P1051" s="42"/>
      <c r="Q1051" s="42"/>
      <c r="R1051" s="42"/>
      <c r="S1051" s="42"/>
      <c r="T1051" s="42"/>
      <c r="U1051" s="42"/>
      <c r="V1051" s="42"/>
      <c r="AB1051" s="42"/>
      <c r="AC1051" s="42"/>
      <c r="AD1051" s="42"/>
      <c r="AE1051" s="42"/>
      <c r="AF1051" s="42"/>
      <c r="AG1051" s="42"/>
      <c r="AH1051" s="42"/>
      <c r="AI1051" s="42"/>
      <c r="AJ1051" s="42"/>
      <c r="AK1051" s="42"/>
      <c r="AL1051" s="42"/>
    </row>
    <row r="1052" spans="12:38">
      <c r="L1052" s="42"/>
      <c r="M1052" s="42"/>
      <c r="N1052" s="42"/>
      <c r="O1052" s="42"/>
      <c r="P1052" s="42"/>
      <c r="Q1052" s="42"/>
      <c r="R1052" s="42"/>
      <c r="S1052" s="42"/>
      <c r="T1052" s="42"/>
      <c r="U1052" s="42"/>
      <c r="V1052" s="42"/>
      <c r="AB1052" s="42"/>
      <c r="AC1052" s="42"/>
      <c r="AD1052" s="42"/>
      <c r="AE1052" s="42"/>
      <c r="AF1052" s="42"/>
      <c r="AG1052" s="42"/>
      <c r="AH1052" s="42"/>
      <c r="AI1052" s="42"/>
      <c r="AJ1052" s="42"/>
      <c r="AK1052" s="42"/>
      <c r="AL1052" s="42"/>
    </row>
    <row r="1053" spans="12:38">
      <c r="L1053" s="42"/>
      <c r="M1053" s="42"/>
      <c r="N1053" s="42"/>
      <c r="O1053" s="42"/>
      <c r="P1053" s="42"/>
      <c r="Q1053" s="42"/>
      <c r="R1053" s="42"/>
      <c r="S1053" s="42"/>
      <c r="T1053" s="42"/>
      <c r="U1053" s="42"/>
      <c r="V1053" s="42"/>
      <c r="AB1053" s="42"/>
      <c r="AC1053" s="42"/>
      <c r="AD1053" s="42"/>
      <c r="AE1053" s="42"/>
      <c r="AF1053" s="42"/>
      <c r="AG1053" s="42"/>
      <c r="AH1053" s="42"/>
      <c r="AI1053" s="42"/>
      <c r="AJ1053" s="42"/>
      <c r="AK1053" s="42"/>
      <c r="AL1053" s="42"/>
    </row>
    <row r="1054" spans="12:38">
      <c r="L1054" s="42"/>
      <c r="M1054" s="42"/>
      <c r="N1054" s="42"/>
      <c r="O1054" s="42"/>
      <c r="P1054" s="42"/>
      <c r="Q1054" s="42"/>
      <c r="R1054" s="42"/>
      <c r="S1054" s="42"/>
      <c r="T1054" s="42"/>
      <c r="U1054" s="42"/>
      <c r="V1054" s="42"/>
      <c r="AB1054" s="42"/>
      <c r="AC1054" s="42"/>
      <c r="AD1054" s="42"/>
      <c r="AE1054" s="42"/>
      <c r="AF1054" s="42"/>
      <c r="AG1054" s="42"/>
      <c r="AH1054" s="42"/>
      <c r="AI1054" s="42"/>
      <c r="AJ1054" s="42"/>
      <c r="AK1054" s="42"/>
      <c r="AL1054" s="42"/>
    </row>
    <row r="1055" spans="12:38">
      <c r="L1055" s="42"/>
      <c r="M1055" s="42"/>
      <c r="N1055" s="42"/>
      <c r="O1055" s="42"/>
      <c r="P1055" s="42"/>
      <c r="Q1055" s="42"/>
      <c r="R1055" s="42"/>
      <c r="S1055" s="42"/>
      <c r="T1055" s="42"/>
      <c r="U1055" s="42"/>
      <c r="V1055" s="42"/>
      <c r="AB1055" s="42"/>
      <c r="AC1055" s="42"/>
      <c r="AD1055" s="42"/>
      <c r="AE1055" s="42"/>
      <c r="AF1055" s="42"/>
      <c r="AG1055" s="42"/>
      <c r="AH1055" s="42"/>
      <c r="AI1055" s="42"/>
      <c r="AJ1055" s="42"/>
      <c r="AK1055" s="42"/>
      <c r="AL1055" s="42"/>
    </row>
    <row r="1056" spans="12:38">
      <c r="L1056" s="42"/>
      <c r="M1056" s="42"/>
      <c r="N1056" s="42"/>
      <c r="O1056" s="42"/>
      <c r="P1056" s="42"/>
      <c r="Q1056" s="42"/>
      <c r="R1056" s="42"/>
      <c r="S1056" s="42"/>
      <c r="T1056" s="42"/>
      <c r="U1056" s="42"/>
      <c r="V1056" s="42"/>
      <c r="AB1056" s="42"/>
      <c r="AC1056" s="42"/>
      <c r="AD1056" s="42"/>
      <c r="AE1056" s="42"/>
      <c r="AF1056" s="42"/>
      <c r="AG1056" s="42"/>
      <c r="AH1056" s="42"/>
      <c r="AI1056" s="42"/>
      <c r="AJ1056" s="42"/>
      <c r="AK1056" s="42"/>
      <c r="AL1056" s="42"/>
    </row>
    <row r="1057" spans="12:38">
      <c r="L1057" s="42"/>
      <c r="M1057" s="42"/>
      <c r="N1057" s="42"/>
      <c r="O1057" s="42"/>
      <c r="P1057" s="42"/>
      <c r="Q1057" s="42"/>
      <c r="R1057" s="42"/>
      <c r="S1057" s="42"/>
      <c r="T1057" s="42"/>
      <c r="U1057" s="42"/>
      <c r="V1057" s="42"/>
      <c r="AB1057" s="42"/>
      <c r="AC1057" s="42"/>
      <c r="AD1057" s="42"/>
      <c r="AE1057" s="42"/>
      <c r="AF1057" s="42"/>
      <c r="AG1057" s="42"/>
      <c r="AH1057" s="42"/>
      <c r="AI1057" s="42"/>
      <c r="AJ1057" s="42"/>
      <c r="AK1057" s="42"/>
      <c r="AL1057" s="42"/>
    </row>
    <row r="1058" spans="12:38">
      <c r="L1058" s="42"/>
      <c r="M1058" s="42"/>
      <c r="N1058" s="42"/>
      <c r="O1058" s="42"/>
      <c r="P1058" s="42"/>
      <c r="Q1058" s="42"/>
      <c r="R1058" s="42"/>
      <c r="S1058" s="42"/>
      <c r="T1058" s="42"/>
      <c r="U1058" s="42"/>
      <c r="V1058" s="42"/>
      <c r="AB1058" s="42"/>
      <c r="AC1058" s="42"/>
      <c r="AD1058" s="42"/>
      <c r="AE1058" s="42"/>
      <c r="AF1058" s="42"/>
      <c r="AG1058" s="42"/>
      <c r="AH1058" s="42"/>
      <c r="AI1058" s="42"/>
      <c r="AJ1058" s="42"/>
      <c r="AK1058" s="42"/>
      <c r="AL1058" s="42"/>
    </row>
    <row r="1059" spans="12:38">
      <c r="L1059" s="42"/>
      <c r="M1059" s="42"/>
      <c r="N1059" s="42"/>
      <c r="O1059" s="42"/>
      <c r="P1059" s="42"/>
      <c r="Q1059" s="42"/>
      <c r="R1059" s="42"/>
      <c r="S1059" s="42"/>
      <c r="T1059" s="42"/>
      <c r="U1059" s="42"/>
      <c r="V1059" s="42"/>
      <c r="AB1059" s="42"/>
      <c r="AC1059" s="42"/>
      <c r="AD1059" s="42"/>
      <c r="AE1059" s="42"/>
      <c r="AF1059" s="42"/>
      <c r="AG1059" s="42"/>
      <c r="AH1059" s="42"/>
      <c r="AI1059" s="42"/>
      <c r="AJ1059" s="42"/>
      <c r="AK1059" s="42"/>
      <c r="AL1059" s="42"/>
    </row>
    <row r="1060" spans="12:38">
      <c r="L1060" s="42"/>
      <c r="M1060" s="42"/>
      <c r="N1060" s="42"/>
      <c r="O1060" s="42"/>
      <c r="P1060" s="42"/>
      <c r="Q1060" s="42"/>
      <c r="R1060" s="42"/>
      <c r="S1060" s="42"/>
      <c r="T1060" s="42"/>
      <c r="U1060" s="42"/>
      <c r="V1060" s="42"/>
      <c r="AB1060" s="42"/>
      <c r="AC1060" s="42"/>
      <c r="AD1060" s="42"/>
      <c r="AE1060" s="42"/>
      <c r="AF1060" s="42"/>
      <c r="AG1060" s="42"/>
      <c r="AH1060" s="42"/>
      <c r="AI1060" s="42"/>
      <c r="AJ1060" s="42"/>
      <c r="AK1060" s="42"/>
      <c r="AL1060" s="42"/>
    </row>
    <row r="1061" spans="12:38">
      <c r="L1061" s="42"/>
      <c r="M1061" s="42"/>
      <c r="N1061" s="42"/>
      <c r="O1061" s="42"/>
      <c r="P1061" s="42"/>
      <c r="Q1061" s="42"/>
      <c r="R1061" s="42"/>
      <c r="S1061" s="42"/>
      <c r="T1061" s="42"/>
      <c r="U1061" s="42"/>
      <c r="V1061" s="42"/>
      <c r="AB1061" s="42"/>
      <c r="AC1061" s="42"/>
      <c r="AD1061" s="42"/>
      <c r="AE1061" s="42"/>
      <c r="AF1061" s="42"/>
      <c r="AG1061" s="42"/>
      <c r="AH1061" s="42"/>
      <c r="AI1061" s="42"/>
      <c r="AJ1061" s="42"/>
      <c r="AK1061" s="42"/>
      <c r="AL1061" s="42"/>
    </row>
    <row r="1062" spans="12:38">
      <c r="L1062" s="42"/>
      <c r="M1062" s="42"/>
      <c r="N1062" s="42"/>
      <c r="O1062" s="42"/>
      <c r="P1062" s="42"/>
      <c r="Q1062" s="42"/>
      <c r="R1062" s="42"/>
      <c r="S1062" s="42"/>
      <c r="T1062" s="42"/>
      <c r="U1062" s="42"/>
      <c r="V1062" s="42"/>
      <c r="AB1062" s="42"/>
      <c r="AC1062" s="42"/>
      <c r="AD1062" s="42"/>
      <c r="AE1062" s="42"/>
      <c r="AF1062" s="42"/>
      <c r="AG1062" s="42"/>
      <c r="AH1062" s="42"/>
      <c r="AI1062" s="42"/>
      <c r="AJ1062" s="42"/>
      <c r="AK1062" s="42"/>
      <c r="AL1062" s="42"/>
    </row>
    <row r="1063" spans="12:38">
      <c r="L1063" s="42"/>
      <c r="M1063" s="42"/>
      <c r="N1063" s="42"/>
      <c r="O1063" s="42"/>
      <c r="P1063" s="42"/>
      <c r="Q1063" s="42"/>
      <c r="R1063" s="42"/>
      <c r="S1063" s="42"/>
      <c r="T1063" s="42"/>
      <c r="U1063" s="42"/>
      <c r="V1063" s="42"/>
      <c r="AB1063" s="42"/>
      <c r="AC1063" s="42"/>
      <c r="AD1063" s="42"/>
      <c r="AE1063" s="42"/>
      <c r="AF1063" s="42"/>
      <c r="AG1063" s="42"/>
      <c r="AH1063" s="42"/>
      <c r="AI1063" s="42"/>
      <c r="AJ1063" s="42"/>
      <c r="AK1063" s="42"/>
      <c r="AL1063" s="42"/>
    </row>
    <row r="1064" spans="12:38">
      <c r="L1064" s="42"/>
      <c r="M1064" s="42"/>
      <c r="N1064" s="42"/>
      <c r="O1064" s="42"/>
      <c r="P1064" s="42"/>
      <c r="Q1064" s="42"/>
      <c r="R1064" s="42"/>
      <c r="S1064" s="42"/>
      <c r="T1064" s="42"/>
      <c r="U1064" s="42"/>
      <c r="V1064" s="42"/>
      <c r="AB1064" s="42"/>
      <c r="AC1064" s="42"/>
      <c r="AD1064" s="42"/>
      <c r="AE1064" s="42"/>
      <c r="AF1064" s="42"/>
      <c r="AG1064" s="42"/>
      <c r="AH1064" s="42"/>
      <c r="AI1064" s="42"/>
      <c r="AJ1064" s="42"/>
      <c r="AK1064" s="42"/>
      <c r="AL1064" s="42"/>
    </row>
    <row r="1065" spans="12:38">
      <c r="L1065" s="42"/>
      <c r="M1065" s="42"/>
      <c r="N1065" s="42"/>
      <c r="O1065" s="42"/>
      <c r="P1065" s="42"/>
      <c r="Q1065" s="42"/>
      <c r="R1065" s="42"/>
      <c r="S1065" s="42"/>
      <c r="T1065" s="42"/>
      <c r="U1065" s="42"/>
      <c r="V1065" s="42"/>
      <c r="AB1065" s="42"/>
      <c r="AC1065" s="42"/>
      <c r="AD1065" s="42"/>
      <c r="AE1065" s="42"/>
      <c r="AF1065" s="42"/>
      <c r="AG1065" s="42"/>
      <c r="AH1065" s="42"/>
      <c r="AI1065" s="42"/>
      <c r="AJ1065" s="42"/>
      <c r="AK1065" s="42"/>
      <c r="AL1065" s="42"/>
    </row>
    <row r="1066" spans="12:38">
      <c r="L1066" s="42"/>
      <c r="M1066" s="42"/>
      <c r="N1066" s="42"/>
      <c r="O1066" s="42"/>
      <c r="P1066" s="42"/>
      <c r="Q1066" s="42"/>
      <c r="R1066" s="42"/>
      <c r="S1066" s="42"/>
      <c r="T1066" s="42"/>
      <c r="U1066" s="42"/>
      <c r="V1066" s="42"/>
      <c r="AB1066" s="42"/>
      <c r="AC1066" s="42"/>
      <c r="AD1066" s="42"/>
      <c r="AE1066" s="42"/>
      <c r="AF1066" s="42"/>
      <c r="AG1066" s="42"/>
      <c r="AH1066" s="42"/>
      <c r="AI1066" s="42"/>
      <c r="AJ1066" s="42"/>
      <c r="AK1066" s="42"/>
      <c r="AL1066" s="42"/>
    </row>
    <row r="1067" spans="12:38">
      <c r="L1067" s="42"/>
      <c r="M1067" s="42"/>
      <c r="N1067" s="42"/>
      <c r="O1067" s="42"/>
      <c r="P1067" s="42"/>
      <c r="Q1067" s="42"/>
      <c r="R1067" s="42"/>
      <c r="S1067" s="42"/>
      <c r="T1067" s="42"/>
      <c r="U1067" s="42"/>
      <c r="V1067" s="42"/>
      <c r="AB1067" s="42"/>
      <c r="AC1067" s="42"/>
      <c r="AD1067" s="42"/>
      <c r="AE1067" s="42"/>
      <c r="AF1067" s="42"/>
      <c r="AG1067" s="42"/>
      <c r="AH1067" s="42"/>
      <c r="AI1067" s="42"/>
      <c r="AJ1067" s="42"/>
      <c r="AK1067" s="42"/>
      <c r="AL1067" s="42"/>
    </row>
    <row r="1068" spans="12:38">
      <c r="L1068" s="42"/>
      <c r="M1068" s="42"/>
      <c r="N1068" s="42"/>
      <c r="O1068" s="42"/>
      <c r="P1068" s="42"/>
      <c r="Q1068" s="42"/>
      <c r="R1068" s="42"/>
      <c r="S1068" s="42"/>
      <c r="T1068" s="42"/>
      <c r="U1068" s="42"/>
      <c r="V1068" s="42"/>
      <c r="AB1068" s="42"/>
      <c r="AC1068" s="42"/>
      <c r="AD1068" s="42"/>
      <c r="AE1068" s="42"/>
      <c r="AF1068" s="42"/>
      <c r="AG1068" s="42"/>
      <c r="AH1068" s="42"/>
      <c r="AI1068" s="42"/>
      <c r="AJ1068" s="42"/>
      <c r="AK1068" s="42"/>
      <c r="AL1068" s="42"/>
    </row>
    <row r="1069" spans="12:38">
      <c r="L1069" s="42"/>
      <c r="M1069" s="42"/>
      <c r="N1069" s="42"/>
      <c r="O1069" s="42"/>
      <c r="P1069" s="42"/>
      <c r="Q1069" s="42"/>
      <c r="R1069" s="42"/>
      <c r="S1069" s="42"/>
      <c r="T1069" s="42"/>
      <c r="U1069" s="42"/>
      <c r="V1069" s="42"/>
      <c r="AB1069" s="42"/>
      <c r="AC1069" s="42"/>
      <c r="AD1069" s="42"/>
      <c r="AE1069" s="42"/>
      <c r="AF1069" s="42"/>
      <c r="AG1069" s="42"/>
      <c r="AH1069" s="42"/>
      <c r="AI1069" s="42"/>
      <c r="AJ1069" s="42"/>
      <c r="AK1069" s="42"/>
      <c r="AL1069" s="42"/>
    </row>
    <row r="1070" spans="12:38">
      <c r="L1070" s="42"/>
      <c r="M1070" s="42"/>
      <c r="N1070" s="42"/>
      <c r="O1070" s="42"/>
      <c r="P1070" s="42"/>
      <c r="Q1070" s="42"/>
      <c r="R1070" s="42"/>
      <c r="S1070" s="42"/>
      <c r="T1070" s="42"/>
      <c r="U1070" s="42"/>
      <c r="V1070" s="42"/>
      <c r="AB1070" s="42"/>
      <c r="AC1070" s="42"/>
      <c r="AD1070" s="42"/>
      <c r="AE1070" s="42"/>
      <c r="AF1070" s="42"/>
      <c r="AG1070" s="42"/>
      <c r="AH1070" s="42"/>
      <c r="AI1070" s="42"/>
      <c r="AJ1070" s="42"/>
      <c r="AK1070" s="42"/>
      <c r="AL1070" s="42"/>
    </row>
    <row r="1071" spans="12:38">
      <c r="L1071" s="42"/>
      <c r="M1071" s="42"/>
      <c r="N1071" s="42"/>
      <c r="O1071" s="42"/>
      <c r="P1071" s="42"/>
      <c r="Q1071" s="42"/>
      <c r="R1071" s="42"/>
      <c r="S1071" s="42"/>
      <c r="T1071" s="42"/>
      <c r="U1071" s="42"/>
      <c r="V1071" s="42"/>
      <c r="AB1071" s="42"/>
      <c r="AC1071" s="42"/>
      <c r="AD1071" s="42"/>
      <c r="AE1071" s="42"/>
      <c r="AF1071" s="42"/>
      <c r="AG1071" s="42"/>
      <c r="AH1071" s="42"/>
      <c r="AI1071" s="42"/>
      <c r="AJ1071" s="42"/>
      <c r="AK1071" s="42"/>
      <c r="AL1071" s="42"/>
    </row>
    <row r="1072" spans="12:38">
      <c r="L1072" s="42"/>
      <c r="M1072" s="42"/>
      <c r="N1072" s="42"/>
      <c r="O1072" s="42"/>
      <c r="P1072" s="42"/>
      <c r="Q1072" s="42"/>
      <c r="R1072" s="42"/>
      <c r="S1072" s="42"/>
      <c r="T1072" s="42"/>
      <c r="U1072" s="42"/>
      <c r="V1072" s="42"/>
      <c r="AB1072" s="42"/>
      <c r="AC1072" s="42"/>
      <c r="AD1072" s="42"/>
      <c r="AE1072" s="42"/>
      <c r="AF1072" s="42"/>
      <c r="AG1072" s="42"/>
      <c r="AH1072" s="42"/>
      <c r="AI1072" s="42"/>
      <c r="AJ1072" s="42"/>
      <c r="AK1072" s="42"/>
      <c r="AL1072" s="42"/>
    </row>
    <row r="1073" spans="12:38">
      <c r="L1073" s="42"/>
      <c r="M1073" s="42"/>
      <c r="N1073" s="42"/>
      <c r="O1073" s="42"/>
      <c r="P1073" s="42"/>
      <c r="Q1073" s="42"/>
      <c r="R1073" s="42"/>
      <c r="S1073" s="42"/>
      <c r="T1073" s="42"/>
      <c r="U1073" s="42"/>
      <c r="V1073" s="42"/>
      <c r="AB1073" s="42"/>
      <c r="AC1073" s="42"/>
      <c r="AD1073" s="42"/>
      <c r="AE1073" s="42"/>
      <c r="AF1073" s="42"/>
      <c r="AG1073" s="42"/>
      <c r="AH1073" s="42"/>
      <c r="AI1073" s="42"/>
      <c r="AJ1073" s="42"/>
      <c r="AK1073" s="42"/>
      <c r="AL1073" s="42"/>
    </row>
    <row r="1074" spans="12:38">
      <c r="L1074" s="42"/>
      <c r="M1074" s="42"/>
      <c r="N1074" s="42"/>
      <c r="O1074" s="42"/>
      <c r="P1074" s="42"/>
      <c r="Q1074" s="42"/>
      <c r="R1074" s="42"/>
      <c r="S1074" s="42"/>
      <c r="T1074" s="42"/>
      <c r="U1074" s="42"/>
      <c r="V1074" s="42"/>
      <c r="AB1074" s="42"/>
      <c r="AC1074" s="42"/>
      <c r="AD1074" s="42"/>
      <c r="AE1074" s="42"/>
      <c r="AF1074" s="42"/>
      <c r="AG1074" s="42"/>
      <c r="AH1074" s="42"/>
      <c r="AI1074" s="42"/>
      <c r="AJ1074" s="42"/>
      <c r="AK1074" s="42"/>
      <c r="AL1074" s="42"/>
    </row>
    <row r="1075" spans="12:38">
      <c r="L1075" s="42"/>
      <c r="M1075" s="42"/>
      <c r="N1075" s="42"/>
      <c r="O1075" s="42"/>
      <c r="P1075" s="42"/>
      <c r="Q1075" s="42"/>
      <c r="R1075" s="42"/>
      <c r="S1075" s="42"/>
      <c r="T1075" s="42"/>
      <c r="U1075" s="42"/>
      <c r="V1075" s="42"/>
      <c r="AB1075" s="42"/>
      <c r="AC1075" s="42"/>
      <c r="AD1075" s="42"/>
      <c r="AE1075" s="42"/>
      <c r="AF1075" s="42"/>
      <c r="AG1075" s="42"/>
      <c r="AH1075" s="42"/>
      <c r="AI1075" s="42"/>
      <c r="AJ1075" s="42"/>
      <c r="AK1075" s="42"/>
      <c r="AL1075" s="42"/>
    </row>
    <row r="1076" spans="12:38">
      <c r="L1076" s="42"/>
      <c r="M1076" s="42"/>
      <c r="N1076" s="42"/>
      <c r="O1076" s="42"/>
      <c r="P1076" s="42"/>
      <c r="Q1076" s="42"/>
      <c r="R1076" s="42"/>
      <c r="S1076" s="42"/>
      <c r="T1076" s="42"/>
      <c r="U1076" s="42"/>
      <c r="V1076" s="42"/>
      <c r="AB1076" s="42"/>
      <c r="AC1076" s="42"/>
      <c r="AD1076" s="42"/>
      <c r="AE1076" s="42"/>
      <c r="AF1076" s="42"/>
      <c r="AG1076" s="42"/>
      <c r="AH1076" s="42"/>
      <c r="AI1076" s="42"/>
      <c r="AJ1076" s="42"/>
      <c r="AK1076" s="42"/>
      <c r="AL1076" s="42"/>
    </row>
    <row r="1077" spans="12:38">
      <c r="L1077" s="42"/>
      <c r="M1077" s="42"/>
      <c r="N1077" s="42"/>
      <c r="O1077" s="42"/>
      <c r="P1077" s="42"/>
      <c r="Q1077" s="42"/>
      <c r="R1077" s="42"/>
      <c r="S1077" s="42"/>
      <c r="T1077" s="42"/>
      <c r="U1077" s="42"/>
      <c r="V1077" s="42"/>
      <c r="AB1077" s="42"/>
      <c r="AC1077" s="42"/>
      <c r="AD1077" s="42"/>
      <c r="AE1077" s="42"/>
      <c r="AF1077" s="42"/>
      <c r="AG1077" s="42"/>
      <c r="AH1077" s="42"/>
      <c r="AI1077" s="42"/>
      <c r="AJ1077" s="42"/>
      <c r="AK1077" s="42"/>
      <c r="AL1077" s="42"/>
    </row>
    <row r="1078" spans="12:38">
      <c r="L1078" s="42"/>
      <c r="M1078" s="42"/>
      <c r="N1078" s="42"/>
      <c r="O1078" s="42"/>
      <c r="P1078" s="42"/>
      <c r="Q1078" s="42"/>
      <c r="R1078" s="42"/>
      <c r="S1078" s="42"/>
      <c r="T1078" s="42"/>
      <c r="U1078" s="42"/>
      <c r="V1078" s="42"/>
      <c r="AB1078" s="42"/>
      <c r="AC1078" s="42"/>
      <c r="AD1078" s="42"/>
      <c r="AE1078" s="42"/>
      <c r="AF1078" s="42"/>
      <c r="AG1078" s="42"/>
      <c r="AH1078" s="42"/>
      <c r="AI1078" s="42"/>
      <c r="AJ1078" s="42"/>
      <c r="AK1078" s="42"/>
      <c r="AL1078" s="42"/>
    </row>
    <row r="1079" spans="12:38">
      <c r="L1079" s="42"/>
      <c r="M1079" s="42"/>
      <c r="N1079" s="42"/>
      <c r="O1079" s="42"/>
      <c r="P1079" s="42"/>
      <c r="Q1079" s="42"/>
      <c r="R1079" s="42"/>
      <c r="S1079" s="42"/>
      <c r="T1079" s="42"/>
      <c r="U1079" s="42"/>
      <c r="V1079" s="42"/>
      <c r="AB1079" s="42"/>
      <c r="AC1079" s="42"/>
      <c r="AD1079" s="42"/>
      <c r="AE1079" s="42"/>
      <c r="AF1079" s="42"/>
      <c r="AG1079" s="42"/>
      <c r="AH1079" s="42"/>
      <c r="AI1079" s="42"/>
      <c r="AJ1079" s="42"/>
      <c r="AK1079" s="42"/>
      <c r="AL1079" s="42"/>
    </row>
    <row r="1080" spans="12:38">
      <c r="L1080" s="42"/>
      <c r="M1080" s="42"/>
      <c r="N1080" s="42"/>
      <c r="O1080" s="42"/>
      <c r="P1080" s="42"/>
      <c r="Q1080" s="42"/>
      <c r="R1080" s="42"/>
      <c r="S1080" s="42"/>
      <c r="T1080" s="42"/>
      <c r="U1080" s="42"/>
      <c r="V1080" s="42"/>
      <c r="AB1080" s="42"/>
      <c r="AC1080" s="42"/>
      <c r="AD1080" s="42"/>
      <c r="AE1080" s="42"/>
      <c r="AF1080" s="42"/>
      <c r="AG1080" s="42"/>
      <c r="AH1080" s="42"/>
      <c r="AI1080" s="42"/>
      <c r="AJ1080" s="42"/>
      <c r="AK1080" s="42"/>
      <c r="AL1080" s="42"/>
    </row>
    <row r="1081" spans="12:38">
      <c r="L1081" s="42"/>
      <c r="M1081" s="42"/>
      <c r="N1081" s="42"/>
      <c r="O1081" s="42"/>
      <c r="P1081" s="42"/>
      <c r="Q1081" s="42"/>
      <c r="R1081" s="42"/>
      <c r="S1081" s="42"/>
      <c r="T1081" s="42"/>
      <c r="U1081" s="42"/>
      <c r="V1081" s="42"/>
      <c r="AB1081" s="42"/>
      <c r="AC1081" s="42"/>
      <c r="AD1081" s="42"/>
      <c r="AE1081" s="42"/>
      <c r="AF1081" s="42"/>
      <c r="AG1081" s="42"/>
      <c r="AH1081" s="42"/>
      <c r="AI1081" s="42"/>
      <c r="AJ1081" s="42"/>
      <c r="AK1081" s="42"/>
      <c r="AL1081" s="42"/>
    </row>
    <row r="1082" spans="12:38">
      <c r="L1082" s="42"/>
      <c r="M1082" s="42"/>
      <c r="N1082" s="42"/>
      <c r="O1082" s="42"/>
      <c r="P1082" s="42"/>
      <c r="Q1082" s="42"/>
      <c r="R1082" s="42"/>
      <c r="S1082" s="42"/>
      <c r="T1082" s="42"/>
      <c r="U1082" s="42"/>
      <c r="V1082" s="42"/>
      <c r="AB1082" s="42"/>
      <c r="AC1082" s="42"/>
      <c r="AD1082" s="42"/>
      <c r="AE1082" s="42"/>
      <c r="AF1082" s="42"/>
      <c r="AG1082" s="42"/>
      <c r="AH1082" s="42"/>
      <c r="AI1082" s="42"/>
      <c r="AJ1082" s="42"/>
      <c r="AK1082" s="42"/>
      <c r="AL1082" s="42"/>
    </row>
    <row r="1083" spans="12:38">
      <c r="L1083" s="42"/>
      <c r="M1083" s="42"/>
      <c r="N1083" s="42"/>
      <c r="O1083" s="42"/>
      <c r="P1083" s="42"/>
      <c r="Q1083" s="42"/>
      <c r="R1083" s="42"/>
      <c r="S1083" s="42"/>
      <c r="T1083" s="42"/>
      <c r="U1083" s="42"/>
      <c r="V1083" s="42"/>
      <c r="AB1083" s="42"/>
      <c r="AC1083" s="42"/>
      <c r="AD1083" s="42"/>
      <c r="AE1083" s="42"/>
      <c r="AF1083" s="42"/>
      <c r="AG1083" s="42"/>
      <c r="AH1083" s="42"/>
      <c r="AI1083" s="42"/>
      <c r="AJ1083" s="42"/>
      <c r="AK1083" s="42"/>
      <c r="AL1083" s="42"/>
    </row>
    <row r="1084" spans="12:38">
      <c r="L1084" s="42"/>
      <c r="M1084" s="42"/>
      <c r="N1084" s="42"/>
      <c r="O1084" s="42"/>
      <c r="P1084" s="42"/>
      <c r="Q1084" s="42"/>
      <c r="R1084" s="42"/>
      <c r="S1084" s="42"/>
      <c r="T1084" s="42"/>
      <c r="U1084" s="42"/>
      <c r="V1084" s="42"/>
      <c r="AB1084" s="42"/>
      <c r="AC1084" s="42"/>
      <c r="AD1084" s="42"/>
      <c r="AE1084" s="42"/>
      <c r="AF1084" s="42"/>
      <c r="AG1084" s="42"/>
      <c r="AH1084" s="42"/>
      <c r="AI1084" s="42"/>
      <c r="AJ1084" s="42"/>
      <c r="AK1084" s="42"/>
      <c r="AL1084" s="42"/>
    </row>
    <row r="1085" spans="12:38">
      <c r="L1085" s="42"/>
      <c r="M1085" s="42"/>
      <c r="N1085" s="42"/>
      <c r="O1085" s="42"/>
      <c r="P1085" s="42"/>
      <c r="Q1085" s="42"/>
      <c r="R1085" s="42"/>
      <c r="S1085" s="42"/>
      <c r="T1085" s="42"/>
      <c r="U1085" s="42"/>
      <c r="V1085" s="42"/>
      <c r="AB1085" s="42"/>
      <c r="AC1085" s="42"/>
      <c r="AD1085" s="42"/>
      <c r="AE1085" s="42"/>
      <c r="AF1085" s="42"/>
      <c r="AG1085" s="42"/>
      <c r="AH1085" s="42"/>
      <c r="AI1085" s="42"/>
      <c r="AJ1085" s="42"/>
      <c r="AK1085" s="42"/>
      <c r="AL1085" s="42"/>
    </row>
    <row r="1086" spans="12:38">
      <c r="L1086" s="42"/>
      <c r="M1086" s="42"/>
      <c r="N1086" s="42"/>
      <c r="O1086" s="42"/>
      <c r="P1086" s="42"/>
      <c r="Q1086" s="42"/>
      <c r="R1086" s="42"/>
      <c r="S1086" s="42"/>
      <c r="T1086" s="42"/>
      <c r="U1086" s="42"/>
      <c r="V1086" s="42"/>
      <c r="AB1086" s="42"/>
      <c r="AC1086" s="42"/>
      <c r="AD1086" s="42"/>
      <c r="AE1086" s="42"/>
      <c r="AF1086" s="42"/>
      <c r="AG1086" s="42"/>
      <c r="AH1086" s="42"/>
      <c r="AI1086" s="42"/>
      <c r="AJ1086" s="42"/>
      <c r="AK1086" s="42"/>
      <c r="AL1086" s="42"/>
    </row>
    <row r="1087" spans="12:38">
      <c r="L1087" s="42"/>
      <c r="M1087" s="42"/>
      <c r="N1087" s="42"/>
      <c r="O1087" s="42"/>
      <c r="P1087" s="42"/>
      <c r="Q1087" s="42"/>
      <c r="R1087" s="42"/>
      <c r="S1087" s="42"/>
      <c r="T1087" s="42"/>
      <c r="U1087" s="42"/>
      <c r="V1087" s="42"/>
      <c r="AB1087" s="42"/>
      <c r="AC1087" s="42"/>
      <c r="AD1087" s="42"/>
      <c r="AE1087" s="42"/>
      <c r="AF1087" s="42"/>
      <c r="AG1087" s="42"/>
      <c r="AH1087" s="42"/>
      <c r="AI1087" s="42"/>
      <c r="AJ1087" s="42"/>
      <c r="AK1087" s="42"/>
      <c r="AL1087" s="42"/>
    </row>
    <row r="1088" spans="12:38">
      <c r="L1088" s="42"/>
      <c r="M1088" s="42"/>
      <c r="N1088" s="42"/>
      <c r="O1088" s="42"/>
      <c r="P1088" s="42"/>
      <c r="Q1088" s="42"/>
      <c r="R1088" s="42"/>
      <c r="S1088" s="42"/>
      <c r="T1088" s="42"/>
      <c r="U1088" s="42"/>
      <c r="V1088" s="42"/>
      <c r="AB1088" s="42"/>
      <c r="AC1088" s="42"/>
      <c r="AD1088" s="42"/>
      <c r="AE1088" s="42"/>
      <c r="AF1088" s="42"/>
      <c r="AG1088" s="42"/>
      <c r="AH1088" s="42"/>
      <c r="AI1088" s="42"/>
      <c r="AJ1088" s="42"/>
      <c r="AK1088" s="42"/>
      <c r="AL1088" s="42"/>
    </row>
    <row r="1089" spans="12:38">
      <c r="L1089" s="42"/>
      <c r="M1089" s="42"/>
      <c r="N1089" s="42"/>
      <c r="O1089" s="42"/>
      <c r="P1089" s="42"/>
      <c r="Q1089" s="42"/>
      <c r="R1089" s="42"/>
      <c r="S1089" s="42"/>
      <c r="T1089" s="42"/>
      <c r="U1089" s="42"/>
      <c r="V1089" s="42"/>
      <c r="AB1089" s="42"/>
      <c r="AC1089" s="42"/>
      <c r="AD1089" s="42"/>
      <c r="AE1089" s="42"/>
      <c r="AF1089" s="42"/>
      <c r="AG1089" s="42"/>
      <c r="AH1089" s="42"/>
      <c r="AI1089" s="42"/>
      <c r="AJ1089" s="42"/>
      <c r="AK1089" s="42"/>
      <c r="AL1089" s="42"/>
    </row>
    <row r="1090" spans="12:38">
      <c r="L1090" s="42"/>
      <c r="M1090" s="42"/>
      <c r="N1090" s="42"/>
      <c r="O1090" s="42"/>
      <c r="P1090" s="42"/>
      <c r="Q1090" s="42"/>
      <c r="R1090" s="42"/>
      <c r="S1090" s="42"/>
      <c r="T1090" s="42"/>
      <c r="U1090" s="42"/>
      <c r="V1090" s="42"/>
      <c r="AB1090" s="42"/>
      <c r="AC1090" s="42"/>
      <c r="AD1090" s="42"/>
      <c r="AE1090" s="42"/>
      <c r="AF1090" s="42"/>
      <c r="AG1090" s="42"/>
      <c r="AH1090" s="42"/>
      <c r="AI1090" s="42"/>
      <c r="AJ1090" s="42"/>
      <c r="AK1090" s="42"/>
      <c r="AL1090" s="42"/>
    </row>
    <row r="1091" spans="12:38">
      <c r="L1091" s="42"/>
      <c r="M1091" s="42"/>
      <c r="N1091" s="42"/>
      <c r="O1091" s="42"/>
      <c r="P1091" s="42"/>
      <c r="Q1091" s="42"/>
      <c r="R1091" s="42"/>
      <c r="S1091" s="42"/>
      <c r="T1091" s="42"/>
      <c r="U1091" s="42"/>
      <c r="V1091" s="42"/>
      <c r="AB1091" s="42"/>
      <c r="AC1091" s="42"/>
      <c r="AD1091" s="42"/>
      <c r="AE1091" s="42"/>
      <c r="AF1091" s="42"/>
      <c r="AG1091" s="42"/>
      <c r="AH1091" s="42"/>
      <c r="AI1091" s="42"/>
      <c r="AJ1091" s="42"/>
      <c r="AK1091" s="42"/>
      <c r="AL1091" s="42"/>
    </row>
    <row r="1092" spans="12:38">
      <c r="L1092" s="42"/>
      <c r="M1092" s="42"/>
      <c r="N1092" s="42"/>
      <c r="O1092" s="42"/>
      <c r="P1092" s="42"/>
      <c r="Q1092" s="42"/>
      <c r="R1092" s="42"/>
      <c r="S1092" s="42"/>
      <c r="T1092" s="42"/>
      <c r="U1092" s="42"/>
      <c r="V1092" s="42"/>
      <c r="AB1092" s="42"/>
      <c r="AC1092" s="42"/>
      <c r="AD1092" s="42"/>
      <c r="AE1092" s="42"/>
      <c r="AF1092" s="42"/>
      <c r="AG1092" s="42"/>
      <c r="AH1092" s="42"/>
      <c r="AI1092" s="42"/>
      <c r="AJ1092" s="42"/>
      <c r="AK1092" s="42"/>
      <c r="AL1092" s="42"/>
    </row>
    <row r="1093" spans="12:38">
      <c r="L1093" s="42"/>
      <c r="M1093" s="42"/>
      <c r="N1093" s="42"/>
      <c r="O1093" s="42"/>
      <c r="P1093" s="42"/>
      <c r="Q1093" s="42"/>
      <c r="R1093" s="42"/>
      <c r="S1093" s="42"/>
      <c r="T1093" s="42"/>
      <c r="U1093" s="42"/>
      <c r="V1093" s="42"/>
      <c r="AB1093" s="42"/>
      <c r="AC1093" s="42"/>
      <c r="AD1093" s="42"/>
      <c r="AE1093" s="42"/>
      <c r="AF1093" s="42"/>
      <c r="AG1093" s="42"/>
      <c r="AH1093" s="42"/>
      <c r="AI1093" s="42"/>
      <c r="AJ1093" s="42"/>
      <c r="AK1093" s="42"/>
      <c r="AL1093" s="42"/>
    </row>
    <row r="1094" spans="12:38">
      <c r="L1094" s="42"/>
      <c r="M1094" s="42"/>
      <c r="N1094" s="42"/>
      <c r="O1094" s="42"/>
      <c r="P1094" s="42"/>
      <c r="Q1094" s="42"/>
      <c r="R1094" s="42"/>
      <c r="S1094" s="42"/>
      <c r="T1094" s="42"/>
      <c r="U1094" s="42"/>
      <c r="V1094" s="42"/>
      <c r="AB1094" s="42"/>
      <c r="AC1094" s="42"/>
      <c r="AD1094" s="42"/>
      <c r="AE1094" s="42"/>
      <c r="AF1094" s="42"/>
      <c r="AG1094" s="42"/>
      <c r="AH1094" s="42"/>
      <c r="AI1094" s="42"/>
      <c r="AJ1094" s="42"/>
      <c r="AK1094" s="42"/>
      <c r="AL1094" s="42"/>
    </row>
    <row r="1095" spans="12:38">
      <c r="L1095" s="42"/>
      <c r="M1095" s="42"/>
      <c r="N1095" s="42"/>
      <c r="O1095" s="42"/>
      <c r="P1095" s="42"/>
      <c r="Q1095" s="42"/>
      <c r="R1095" s="42"/>
      <c r="S1095" s="42"/>
      <c r="T1095" s="42"/>
      <c r="U1095" s="42"/>
      <c r="V1095" s="42"/>
      <c r="AB1095" s="42"/>
      <c r="AC1095" s="42"/>
      <c r="AD1095" s="42"/>
      <c r="AE1095" s="42"/>
      <c r="AF1095" s="42"/>
      <c r="AG1095" s="42"/>
      <c r="AH1095" s="42"/>
      <c r="AI1095" s="42"/>
      <c r="AJ1095" s="42"/>
      <c r="AK1095" s="42"/>
      <c r="AL1095" s="42"/>
    </row>
    <row r="1096" spans="12:38">
      <c r="L1096" s="42"/>
      <c r="M1096" s="42"/>
      <c r="N1096" s="42"/>
      <c r="O1096" s="42"/>
      <c r="P1096" s="42"/>
      <c r="Q1096" s="42"/>
      <c r="R1096" s="42"/>
      <c r="S1096" s="42"/>
      <c r="T1096" s="42"/>
      <c r="U1096" s="42"/>
      <c r="V1096" s="42"/>
      <c r="AB1096" s="42"/>
      <c r="AC1096" s="42"/>
      <c r="AD1096" s="42"/>
      <c r="AE1096" s="42"/>
      <c r="AF1096" s="42"/>
      <c r="AG1096" s="42"/>
      <c r="AH1096" s="42"/>
      <c r="AI1096" s="42"/>
      <c r="AJ1096" s="42"/>
      <c r="AK1096" s="42"/>
      <c r="AL1096" s="42"/>
    </row>
    <row r="1097" spans="12:38">
      <c r="L1097" s="42"/>
      <c r="M1097" s="42"/>
      <c r="N1097" s="42"/>
      <c r="O1097" s="42"/>
      <c r="P1097" s="42"/>
      <c r="Q1097" s="42"/>
      <c r="R1097" s="42"/>
      <c r="S1097" s="42"/>
      <c r="T1097" s="42"/>
      <c r="U1097" s="42"/>
      <c r="V1097" s="42"/>
      <c r="AB1097" s="42"/>
      <c r="AC1097" s="42"/>
      <c r="AD1097" s="42"/>
      <c r="AE1097" s="42"/>
      <c r="AF1097" s="42"/>
      <c r="AG1097" s="42"/>
      <c r="AH1097" s="42"/>
      <c r="AI1097" s="42"/>
      <c r="AJ1097" s="42"/>
      <c r="AK1097" s="42"/>
      <c r="AL1097" s="42"/>
    </row>
    <row r="1098" spans="12:38">
      <c r="L1098" s="42"/>
      <c r="M1098" s="42"/>
      <c r="N1098" s="42"/>
      <c r="O1098" s="42"/>
      <c r="P1098" s="42"/>
      <c r="Q1098" s="42"/>
      <c r="R1098" s="42"/>
      <c r="S1098" s="42"/>
      <c r="T1098" s="42"/>
      <c r="U1098" s="42"/>
      <c r="V1098" s="42"/>
      <c r="AB1098" s="42"/>
      <c r="AC1098" s="42"/>
      <c r="AD1098" s="42"/>
      <c r="AE1098" s="42"/>
      <c r="AF1098" s="42"/>
      <c r="AG1098" s="42"/>
      <c r="AH1098" s="42"/>
      <c r="AI1098" s="42"/>
      <c r="AJ1098" s="42"/>
      <c r="AK1098" s="42"/>
      <c r="AL1098" s="42"/>
    </row>
    <row r="1099" spans="12:38">
      <c r="L1099" s="42"/>
      <c r="M1099" s="42"/>
      <c r="N1099" s="42"/>
      <c r="O1099" s="42"/>
      <c r="P1099" s="42"/>
      <c r="Q1099" s="42"/>
      <c r="R1099" s="42"/>
      <c r="S1099" s="42"/>
      <c r="T1099" s="42"/>
      <c r="U1099" s="42"/>
      <c r="V1099" s="42"/>
      <c r="AB1099" s="42"/>
      <c r="AC1099" s="42"/>
      <c r="AD1099" s="42"/>
      <c r="AE1099" s="42"/>
      <c r="AF1099" s="42"/>
      <c r="AG1099" s="42"/>
      <c r="AH1099" s="42"/>
      <c r="AI1099" s="42"/>
      <c r="AJ1099" s="42"/>
      <c r="AK1099" s="42"/>
      <c r="AL1099" s="42"/>
    </row>
    <row r="1100" spans="12:38">
      <c r="L1100" s="42"/>
      <c r="M1100" s="42"/>
      <c r="N1100" s="42"/>
      <c r="O1100" s="42"/>
      <c r="P1100" s="42"/>
      <c r="Q1100" s="42"/>
      <c r="R1100" s="42"/>
      <c r="S1100" s="42"/>
      <c r="T1100" s="42"/>
      <c r="U1100" s="42"/>
      <c r="V1100" s="42"/>
      <c r="AB1100" s="42"/>
      <c r="AC1100" s="42"/>
      <c r="AD1100" s="42"/>
      <c r="AE1100" s="42"/>
      <c r="AF1100" s="42"/>
      <c r="AG1100" s="42"/>
      <c r="AH1100" s="42"/>
      <c r="AI1100" s="42"/>
      <c r="AJ1100" s="42"/>
      <c r="AK1100" s="42"/>
      <c r="AL1100" s="42"/>
    </row>
    <row r="1101" spans="12:38">
      <c r="L1101" s="42"/>
      <c r="M1101" s="42"/>
      <c r="N1101" s="42"/>
      <c r="O1101" s="42"/>
      <c r="P1101" s="42"/>
      <c r="Q1101" s="42"/>
      <c r="R1101" s="42"/>
      <c r="S1101" s="42"/>
      <c r="T1101" s="42"/>
      <c r="U1101" s="42"/>
      <c r="V1101" s="42"/>
      <c r="AB1101" s="42"/>
      <c r="AC1101" s="42"/>
      <c r="AD1101" s="42"/>
      <c r="AE1101" s="42"/>
      <c r="AF1101" s="42"/>
      <c r="AG1101" s="42"/>
      <c r="AH1101" s="42"/>
      <c r="AI1101" s="42"/>
      <c r="AJ1101" s="42"/>
      <c r="AK1101" s="42"/>
      <c r="AL1101" s="42"/>
    </row>
    <row r="1102" spans="12:38">
      <c r="L1102" s="42"/>
      <c r="M1102" s="42"/>
      <c r="N1102" s="42"/>
      <c r="O1102" s="42"/>
      <c r="P1102" s="42"/>
      <c r="Q1102" s="42"/>
      <c r="R1102" s="42"/>
      <c r="S1102" s="42"/>
      <c r="T1102" s="42"/>
      <c r="U1102" s="42"/>
      <c r="V1102" s="42"/>
      <c r="AB1102" s="42"/>
      <c r="AC1102" s="42"/>
      <c r="AD1102" s="42"/>
      <c r="AE1102" s="42"/>
      <c r="AF1102" s="42"/>
      <c r="AG1102" s="42"/>
      <c r="AH1102" s="42"/>
      <c r="AI1102" s="42"/>
      <c r="AJ1102" s="42"/>
      <c r="AK1102" s="42"/>
      <c r="AL1102" s="42"/>
    </row>
    <row r="1103" spans="12:38">
      <c r="L1103" s="42"/>
      <c r="M1103" s="42"/>
      <c r="N1103" s="42"/>
      <c r="O1103" s="42"/>
      <c r="P1103" s="42"/>
      <c r="Q1103" s="42"/>
      <c r="R1103" s="42"/>
      <c r="S1103" s="42"/>
      <c r="T1103" s="42"/>
      <c r="U1103" s="42"/>
      <c r="V1103" s="42"/>
      <c r="AB1103" s="42"/>
      <c r="AC1103" s="42"/>
      <c r="AD1103" s="42"/>
      <c r="AE1103" s="42"/>
      <c r="AF1103" s="42"/>
      <c r="AG1103" s="42"/>
      <c r="AH1103" s="42"/>
      <c r="AI1103" s="42"/>
      <c r="AJ1103" s="42"/>
      <c r="AK1103" s="42"/>
      <c r="AL1103" s="42"/>
    </row>
    <row r="1104" spans="12:38">
      <c r="L1104" s="42"/>
      <c r="M1104" s="42"/>
      <c r="N1104" s="42"/>
      <c r="O1104" s="42"/>
      <c r="P1104" s="42"/>
      <c r="Q1104" s="42"/>
      <c r="R1104" s="42"/>
      <c r="S1104" s="42"/>
      <c r="T1104" s="42"/>
      <c r="U1104" s="42"/>
      <c r="V1104" s="42"/>
      <c r="AB1104" s="42"/>
      <c r="AC1104" s="42"/>
      <c r="AD1104" s="42"/>
      <c r="AE1104" s="42"/>
      <c r="AF1104" s="42"/>
      <c r="AG1104" s="42"/>
      <c r="AH1104" s="42"/>
      <c r="AI1104" s="42"/>
      <c r="AJ1104" s="42"/>
      <c r="AK1104" s="42"/>
      <c r="AL1104" s="42"/>
    </row>
    <row r="1105" spans="12:38">
      <c r="L1105" s="42"/>
      <c r="M1105" s="42"/>
      <c r="N1105" s="42"/>
      <c r="O1105" s="42"/>
      <c r="P1105" s="42"/>
      <c r="Q1105" s="42"/>
      <c r="R1105" s="42"/>
      <c r="S1105" s="42"/>
      <c r="T1105" s="42"/>
      <c r="U1105" s="42"/>
      <c r="V1105" s="42"/>
      <c r="AB1105" s="42"/>
      <c r="AC1105" s="42"/>
      <c r="AD1105" s="42"/>
      <c r="AE1105" s="42"/>
      <c r="AF1105" s="42"/>
      <c r="AG1105" s="42"/>
      <c r="AH1105" s="42"/>
      <c r="AI1105" s="42"/>
      <c r="AJ1105" s="42"/>
      <c r="AK1105" s="42"/>
      <c r="AL1105" s="42"/>
    </row>
    <row r="1106" spans="12:38">
      <c r="L1106" s="42"/>
      <c r="M1106" s="42"/>
      <c r="N1106" s="42"/>
      <c r="O1106" s="42"/>
      <c r="P1106" s="42"/>
      <c r="Q1106" s="42"/>
      <c r="R1106" s="42"/>
      <c r="S1106" s="42"/>
      <c r="T1106" s="42"/>
      <c r="U1106" s="42"/>
      <c r="V1106" s="42"/>
      <c r="AB1106" s="42"/>
      <c r="AC1106" s="42"/>
      <c r="AD1106" s="42"/>
      <c r="AE1106" s="42"/>
      <c r="AF1106" s="42"/>
      <c r="AG1106" s="42"/>
      <c r="AH1106" s="42"/>
      <c r="AI1106" s="42"/>
      <c r="AJ1106" s="42"/>
      <c r="AK1106" s="42"/>
      <c r="AL1106" s="42"/>
    </row>
    <row r="1107" spans="12:38">
      <c r="L1107" s="42"/>
      <c r="M1107" s="42"/>
      <c r="N1107" s="42"/>
      <c r="O1107" s="42"/>
      <c r="P1107" s="42"/>
      <c r="Q1107" s="42"/>
      <c r="R1107" s="42"/>
      <c r="S1107" s="42"/>
      <c r="T1107" s="42"/>
      <c r="U1107" s="42"/>
      <c r="V1107" s="42"/>
      <c r="AB1107" s="42"/>
      <c r="AC1107" s="42"/>
      <c r="AD1107" s="42"/>
      <c r="AE1107" s="42"/>
      <c r="AF1107" s="42"/>
      <c r="AG1107" s="42"/>
      <c r="AH1107" s="42"/>
      <c r="AI1107" s="42"/>
      <c r="AJ1107" s="42"/>
      <c r="AK1107" s="42"/>
      <c r="AL1107" s="42"/>
    </row>
    <row r="1108" spans="12:38">
      <c r="L1108" s="42"/>
      <c r="M1108" s="42"/>
      <c r="N1108" s="42"/>
      <c r="O1108" s="42"/>
      <c r="P1108" s="42"/>
      <c r="Q1108" s="42"/>
      <c r="R1108" s="42"/>
      <c r="S1108" s="42"/>
      <c r="T1108" s="42"/>
      <c r="U1108" s="42"/>
      <c r="V1108" s="42"/>
      <c r="AB1108" s="42"/>
      <c r="AC1108" s="42"/>
      <c r="AD1108" s="42"/>
      <c r="AE1108" s="42"/>
      <c r="AF1108" s="42"/>
      <c r="AG1108" s="42"/>
      <c r="AH1108" s="42"/>
      <c r="AI1108" s="42"/>
      <c r="AJ1108" s="42"/>
      <c r="AK1108" s="42"/>
      <c r="AL1108" s="42"/>
    </row>
    <row r="1109" spans="12:38">
      <c r="L1109" s="42"/>
      <c r="M1109" s="42"/>
      <c r="N1109" s="42"/>
      <c r="O1109" s="42"/>
      <c r="P1109" s="42"/>
      <c r="Q1109" s="42"/>
      <c r="R1109" s="42"/>
      <c r="S1109" s="42"/>
      <c r="T1109" s="42"/>
      <c r="U1109" s="42"/>
      <c r="V1109" s="42"/>
      <c r="AB1109" s="42"/>
      <c r="AC1109" s="42"/>
      <c r="AD1109" s="42"/>
      <c r="AE1109" s="42"/>
      <c r="AF1109" s="42"/>
      <c r="AG1109" s="42"/>
      <c r="AH1109" s="42"/>
      <c r="AI1109" s="42"/>
      <c r="AJ1109" s="42"/>
      <c r="AK1109" s="42"/>
      <c r="AL1109" s="42"/>
    </row>
    <row r="1110" spans="12:38">
      <c r="L1110" s="42"/>
      <c r="M1110" s="42"/>
      <c r="N1110" s="42"/>
      <c r="O1110" s="42"/>
      <c r="P1110" s="42"/>
      <c r="Q1110" s="42"/>
      <c r="R1110" s="42"/>
      <c r="S1110" s="42"/>
      <c r="T1110" s="42"/>
      <c r="U1110" s="42"/>
      <c r="V1110" s="42"/>
      <c r="AB1110" s="42"/>
      <c r="AC1110" s="42"/>
      <c r="AD1110" s="42"/>
      <c r="AE1110" s="42"/>
      <c r="AF1110" s="42"/>
      <c r="AG1110" s="42"/>
      <c r="AH1110" s="42"/>
      <c r="AI1110" s="42"/>
      <c r="AJ1110" s="42"/>
      <c r="AK1110" s="42"/>
      <c r="AL1110" s="42"/>
    </row>
    <row r="1111" spans="12:38">
      <c r="L1111" s="42"/>
      <c r="M1111" s="42"/>
      <c r="N1111" s="42"/>
      <c r="O1111" s="42"/>
      <c r="P1111" s="42"/>
      <c r="Q1111" s="42"/>
      <c r="R1111" s="42"/>
      <c r="S1111" s="42"/>
      <c r="T1111" s="42"/>
      <c r="U1111" s="42"/>
      <c r="V1111" s="42"/>
      <c r="AB1111" s="42"/>
      <c r="AC1111" s="42"/>
      <c r="AD1111" s="42"/>
      <c r="AE1111" s="42"/>
      <c r="AF1111" s="42"/>
      <c r="AG1111" s="42"/>
      <c r="AH1111" s="42"/>
      <c r="AI1111" s="42"/>
      <c r="AJ1111" s="42"/>
      <c r="AK1111" s="42"/>
      <c r="AL1111" s="42"/>
    </row>
    <row r="1112" spans="12:38">
      <c r="L1112" s="42"/>
      <c r="M1112" s="42"/>
      <c r="N1112" s="42"/>
      <c r="O1112" s="42"/>
      <c r="P1112" s="42"/>
      <c r="Q1112" s="42"/>
      <c r="R1112" s="42"/>
      <c r="S1112" s="42"/>
      <c r="T1112" s="42"/>
      <c r="U1112" s="42"/>
      <c r="V1112" s="42"/>
      <c r="AB1112" s="42"/>
      <c r="AC1112" s="42"/>
      <c r="AD1112" s="42"/>
      <c r="AE1112" s="42"/>
      <c r="AF1112" s="42"/>
      <c r="AG1112" s="42"/>
      <c r="AH1112" s="42"/>
      <c r="AI1112" s="42"/>
      <c r="AJ1112" s="42"/>
      <c r="AK1112" s="42"/>
      <c r="AL1112" s="42"/>
    </row>
    <row r="1113" spans="12:38">
      <c r="L1113" s="42"/>
      <c r="M1113" s="42"/>
      <c r="N1113" s="42"/>
      <c r="O1113" s="42"/>
      <c r="P1113" s="42"/>
      <c r="Q1113" s="42"/>
      <c r="R1113" s="42"/>
      <c r="S1113" s="42"/>
      <c r="T1113" s="42"/>
      <c r="U1113" s="42"/>
      <c r="V1113" s="42"/>
      <c r="AB1113" s="42"/>
      <c r="AC1113" s="42"/>
      <c r="AD1113" s="42"/>
      <c r="AE1113" s="42"/>
      <c r="AF1113" s="42"/>
      <c r="AG1113" s="42"/>
      <c r="AH1113" s="42"/>
      <c r="AI1113" s="42"/>
      <c r="AJ1113" s="42"/>
      <c r="AK1113" s="42"/>
      <c r="AL1113" s="42"/>
    </row>
    <row r="1114" spans="12:38">
      <c r="L1114" s="42"/>
      <c r="M1114" s="42"/>
      <c r="N1114" s="42"/>
      <c r="O1114" s="42"/>
      <c r="P1114" s="42"/>
      <c r="Q1114" s="42"/>
      <c r="R1114" s="42"/>
      <c r="S1114" s="42"/>
      <c r="T1114" s="42"/>
      <c r="U1114" s="42"/>
      <c r="V1114" s="42"/>
      <c r="AB1114" s="42"/>
      <c r="AC1114" s="42"/>
      <c r="AD1114" s="42"/>
      <c r="AE1114" s="42"/>
      <c r="AF1114" s="42"/>
      <c r="AG1114" s="42"/>
      <c r="AH1114" s="42"/>
      <c r="AI1114" s="42"/>
      <c r="AJ1114" s="42"/>
      <c r="AK1114" s="42"/>
      <c r="AL1114" s="42"/>
    </row>
    <row r="1115" spans="12:38">
      <c r="L1115" s="42"/>
      <c r="M1115" s="42"/>
      <c r="N1115" s="42"/>
      <c r="O1115" s="42"/>
      <c r="P1115" s="42"/>
      <c r="Q1115" s="42"/>
      <c r="R1115" s="42"/>
      <c r="S1115" s="42"/>
      <c r="T1115" s="42"/>
      <c r="U1115" s="42"/>
      <c r="V1115" s="42"/>
      <c r="AB1115" s="42"/>
      <c r="AC1115" s="42"/>
      <c r="AD1115" s="42"/>
      <c r="AE1115" s="42"/>
      <c r="AF1115" s="42"/>
      <c r="AG1115" s="42"/>
      <c r="AH1115" s="42"/>
      <c r="AI1115" s="42"/>
      <c r="AJ1115" s="42"/>
      <c r="AK1115" s="42"/>
      <c r="AL1115" s="42"/>
    </row>
    <row r="1116" spans="12:38">
      <c r="L1116" s="42"/>
      <c r="M1116" s="42"/>
      <c r="N1116" s="42"/>
      <c r="O1116" s="42"/>
      <c r="P1116" s="42"/>
      <c r="Q1116" s="42"/>
      <c r="R1116" s="42"/>
      <c r="S1116" s="42"/>
      <c r="T1116" s="42"/>
      <c r="U1116" s="42"/>
      <c r="V1116" s="42"/>
      <c r="AB1116" s="42"/>
      <c r="AC1116" s="42"/>
      <c r="AD1116" s="42"/>
      <c r="AE1116" s="42"/>
      <c r="AF1116" s="42"/>
      <c r="AG1116" s="42"/>
      <c r="AH1116" s="42"/>
      <c r="AI1116" s="42"/>
      <c r="AJ1116" s="42"/>
      <c r="AK1116" s="42"/>
      <c r="AL1116" s="42"/>
    </row>
    <row r="1117" spans="12:38">
      <c r="L1117" s="42"/>
      <c r="M1117" s="42"/>
      <c r="N1117" s="42"/>
      <c r="O1117" s="42"/>
      <c r="P1117" s="42"/>
      <c r="Q1117" s="42"/>
      <c r="R1117" s="42"/>
      <c r="S1117" s="42"/>
      <c r="T1117" s="42"/>
      <c r="U1117" s="42"/>
      <c r="V1117" s="42"/>
      <c r="AB1117" s="42"/>
      <c r="AC1117" s="42"/>
      <c r="AD1117" s="42"/>
      <c r="AE1117" s="42"/>
      <c r="AF1117" s="42"/>
      <c r="AG1117" s="42"/>
      <c r="AH1117" s="42"/>
      <c r="AI1117" s="42"/>
      <c r="AJ1117" s="42"/>
      <c r="AK1117" s="42"/>
      <c r="AL1117" s="42"/>
    </row>
    <row r="1118" spans="12:38">
      <c r="L1118" s="42"/>
      <c r="M1118" s="42"/>
      <c r="N1118" s="42"/>
      <c r="O1118" s="42"/>
      <c r="P1118" s="42"/>
      <c r="Q1118" s="42"/>
      <c r="R1118" s="42"/>
      <c r="S1118" s="42"/>
      <c r="T1118" s="42"/>
      <c r="U1118" s="42"/>
      <c r="V1118" s="42"/>
      <c r="AB1118" s="42"/>
      <c r="AC1118" s="42"/>
      <c r="AD1118" s="42"/>
      <c r="AE1118" s="42"/>
      <c r="AF1118" s="42"/>
      <c r="AG1118" s="42"/>
      <c r="AH1118" s="42"/>
      <c r="AI1118" s="42"/>
      <c r="AJ1118" s="42"/>
      <c r="AK1118" s="42"/>
      <c r="AL1118" s="42"/>
    </row>
    <row r="1119" spans="12:38">
      <c r="L1119" s="42"/>
      <c r="M1119" s="42"/>
      <c r="N1119" s="42"/>
      <c r="O1119" s="42"/>
      <c r="P1119" s="42"/>
      <c r="Q1119" s="42"/>
      <c r="R1119" s="42"/>
      <c r="S1119" s="42"/>
      <c r="T1119" s="42"/>
      <c r="U1119" s="42"/>
      <c r="V1119" s="42"/>
      <c r="AB1119" s="42"/>
      <c r="AC1119" s="42"/>
      <c r="AD1119" s="42"/>
      <c r="AE1119" s="42"/>
      <c r="AF1119" s="42"/>
      <c r="AG1119" s="42"/>
      <c r="AH1119" s="42"/>
      <c r="AI1119" s="42"/>
      <c r="AJ1119" s="42"/>
      <c r="AK1119" s="42"/>
      <c r="AL1119" s="42"/>
    </row>
    <row r="1120" spans="12:38">
      <c r="L1120" s="42"/>
      <c r="M1120" s="42"/>
      <c r="N1120" s="42"/>
      <c r="O1120" s="42"/>
      <c r="P1120" s="42"/>
      <c r="Q1120" s="42"/>
      <c r="R1120" s="42"/>
      <c r="S1120" s="42"/>
      <c r="T1120" s="42"/>
      <c r="U1120" s="42"/>
      <c r="V1120" s="42"/>
      <c r="AB1120" s="42"/>
      <c r="AC1120" s="42"/>
      <c r="AD1120" s="42"/>
      <c r="AE1120" s="42"/>
      <c r="AF1120" s="42"/>
      <c r="AG1120" s="42"/>
      <c r="AH1120" s="42"/>
      <c r="AI1120" s="42"/>
      <c r="AJ1120" s="42"/>
      <c r="AK1120" s="42"/>
      <c r="AL1120" s="42"/>
    </row>
    <row r="1121" spans="12:38">
      <c r="L1121" s="42"/>
      <c r="M1121" s="42"/>
      <c r="N1121" s="42"/>
      <c r="O1121" s="42"/>
      <c r="P1121" s="42"/>
      <c r="Q1121" s="42"/>
      <c r="R1121" s="42"/>
      <c r="S1121" s="42"/>
      <c r="T1121" s="42"/>
      <c r="U1121" s="42"/>
      <c r="V1121" s="42"/>
      <c r="AB1121" s="42"/>
      <c r="AC1121" s="42"/>
      <c r="AD1121" s="42"/>
      <c r="AE1121" s="42"/>
      <c r="AF1121" s="42"/>
      <c r="AG1121" s="42"/>
      <c r="AH1121" s="42"/>
      <c r="AI1121" s="42"/>
      <c r="AJ1121" s="42"/>
      <c r="AK1121" s="42"/>
      <c r="AL1121" s="42"/>
    </row>
    <row r="1122" spans="12:38">
      <c r="L1122" s="42"/>
      <c r="M1122" s="42"/>
      <c r="N1122" s="42"/>
      <c r="O1122" s="42"/>
      <c r="P1122" s="42"/>
      <c r="Q1122" s="42"/>
      <c r="R1122" s="42"/>
      <c r="S1122" s="42"/>
      <c r="T1122" s="42"/>
      <c r="U1122" s="42"/>
      <c r="V1122" s="42"/>
      <c r="AB1122" s="42"/>
      <c r="AC1122" s="42"/>
      <c r="AD1122" s="42"/>
      <c r="AE1122" s="42"/>
      <c r="AF1122" s="42"/>
      <c r="AG1122" s="42"/>
      <c r="AH1122" s="42"/>
      <c r="AI1122" s="42"/>
      <c r="AJ1122" s="42"/>
      <c r="AK1122" s="42"/>
      <c r="AL1122" s="42"/>
    </row>
    <row r="1123" spans="12:38">
      <c r="L1123" s="42"/>
      <c r="M1123" s="42"/>
      <c r="N1123" s="42"/>
      <c r="O1123" s="42"/>
      <c r="P1123" s="42"/>
      <c r="Q1123" s="42"/>
      <c r="R1123" s="42"/>
      <c r="S1123" s="42"/>
      <c r="T1123" s="42"/>
      <c r="U1123" s="42"/>
      <c r="V1123" s="42"/>
      <c r="AB1123" s="42"/>
      <c r="AC1123" s="42"/>
      <c r="AD1123" s="42"/>
      <c r="AE1123" s="42"/>
      <c r="AF1123" s="42"/>
      <c r="AG1123" s="42"/>
      <c r="AH1123" s="42"/>
      <c r="AI1123" s="42"/>
      <c r="AJ1123" s="42"/>
      <c r="AK1123" s="42"/>
      <c r="AL1123" s="42"/>
    </row>
    <row r="1124" spans="12:38">
      <c r="L1124" s="42"/>
      <c r="M1124" s="42"/>
      <c r="N1124" s="42"/>
      <c r="O1124" s="42"/>
      <c r="P1124" s="42"/>
      <c r="Q1124" s="42"/>
      <c r="R1124" s="42"/>
      <c r="S1124" s="42"/>
      <c r="T1124" s="42"/>
      <c r="U1124" s="42"/>
      <c r="V1124" s="42"/>
      <c r="AB1124" s="42"/>
      <c r="AC1124" s="42"/>
      <c r="AD1124" s="42"/>
      <c r="AE1124" s="42"/>
      <c r="AF1124" s="42"/>
      <c r="AG1124" s="42"/>
      <c r="AH1124" s="42"/>
      <c r="AI1124" s="42"/>
      <c r="AJ1124" s="42"/>
      <c r="AK1124" s="42"/>
      <c r="AL1124" s="42"/>
    </row>
    <row r="1125" spans="12:38">
      <c r="L1125" s="42"/>
      <c r="M1125" s="42"/>
      <c r="N1125" s="42"/>
      <c r="O1125" s="42"/>
      <c r="P1125" s="42"/>
      <c r="Q1125" s="42"/>
      <c r="R1125" s="42"/>
      <c r="S1125" s="42"/>
      <c r="T1125" s="42"/>
      <c r="U1125" s="42"/>
      <c r="V1125" s="42"/>
      <c r="AB1125" s="42"/>
      <c r="AC1125" s="42"/>
      <c r="AD1125" s="42"/>
      <c r="AE1125" s="42"/>
      <c r="AF1125" s="42"/>
      <c r="AG1125" s="42"/>
      <c r="AH1125" s="42"/>
      <c r="AI1125" s="42"/>
      <c r="AJ1125" s="42"/>
      <c r="AK1125" s="42"/>
      <c r="AL1125" s="42"/>
    </row>
    <row r="1126" spans="12:38">
      <c r="L1126" s="42"/>
      <c r="M1126" s="42"/>
      <c r="N1126" s="42"/>
      <c r="O1126" s="42"/>
      <c r="P1126" s="42"/>
      <c r="Q1126" s="42"/>
      <c r="R1126" s="42"/>
      <c r="S1126" s="42"/>
      <c r="T1126" s="42"/>
      <c r="U1126" s="42"/>
      <c r="V1126" s="42"/>
      <c r="AB1126" s="42"/>
      <c r="AC1126" s="42"/>
      <c r="AD1126" s="42"/>
      <c r="AE1126" s="42"/>
      <c r="AF1126" s="42"/>
      <c r="AG1126" s="42"/>
      <c r="AH1126" s="42"/>
      <c r="AI1126" s="42"/>
      <c r="AJ1126" s="42"/>
      <c r="AK1126" s="42"/>
      <c r="AL1126" s="42"/>
    </row>
    <row r="1127" spans="12:38">
      <c r="L1127" s="42"/>
      <c r="M1127" s="42"/>
      <c r="N1127" s="42"/>
      <c r="O1127" s="42"/>
      <c r="P1127" s="42"/>
      <c r="Q1127" s="42"/>
      <c r="R1127" s="42"/>
      <c r="S1127" s="42"/>
      <c r="T1127" s="42"/>
      <c r="U1127" s="42"/>
      <c r="V1127" s="42"/>
      <c r="AB1127" s="42"/>
      <c r="AC1127" s="42"/>
      <c r="AD1127" s="42"/>
      <c r="AE1127" s="42"/>
      <c r="AF1127" s="42"/>
      <c r="AG1127" s="42"/>
      <c r="AH1127" s="42"/>
      <c r="AI1127" s="42"/>
      <c r="AJ1127" s="42"/>
      <c r="AK1127" s="42"/>
      <c r="AL1127" s="42"/>
    </row>
    <row r="1128" spans="12:38">
      <c r="L1128" s="42"/>
      <c r="M1128" s="42"/>
      <c r="N1128" s="42"/>
      <c r="O1128" s="42"/>
      <c r="P1128" s="42"/>
      <c r="Q1128" s="42"/>
      <c r="R1128" s="42"/>
      <c r="S1128" s="42"/>
      <c r="T1128" s="42"/>
      <c r="U1128" s="42"/>
      <c r="V1128" s="42"/>
      <c r="AB1128" s="42"/>
      <c r="AC1128" s="42"/>
      <c r="AD1128" s="42"/>
      <c r="AE1128" s="42"/>
      <c r="AF1128" s="42"/>
      <c r="AG1128" s="42"/>
      <c r="AH1128" s="42"/>
      <c r="AI1128" s="42"/>
      <c r="AJ1128" s="42"/>
      <c r="AK1128" s="42"/>
      <c r="AL1128" s="42"/>
    </row>
    <row r="1129" spans="12:38">
      <c r="L1129" s="42"/>
      <c r="M1129" s="42"/>
      <c r="N1129" s="42"/>
      <c r="O1129" s="42"/>
      <c r="P1129" s="42"/>
      <c r="Q1129" s="42"/>
      <c r="R1129" s="42"/>
      <c r="S1129" s="42"/>
      <c r="T1129" s="42"/>
      <c r="U1129" s="42"/>
      <c r="V1129" s="42"/>
      <c r="AB1129" s="42"/>
      <c r="AC1129" s="42"/>
      <c r="AD1129" s="42"/>
      <c r="AE1129" s="42"/>
      <c r="AF1129" s="42"/>
      <c r="AG1129" s="42"/>
      <c r="AH1129" s="42"/>
      <c r="AI1129" s="42"/>
      <c r="AJ1129" s="42"/>
      <c r="AK1129" s="42"/>
      <c r="AL1129" s="42"/>
    </row>
    <row r="1130" spans="12:38">
      <c r="L1130" s="42"/>
      <c r="M1130" s="42"/>
      <c r="N1130" s="42"/>
      <c r="O1130" s="42"/>
      <c r="P1130" s="42"/>
      <c r="Q1130" s="42"/>
      <c r="R1130" s="42"/>
      <c r="S1130" s="42"/>
      <c r="T1130" s="42"/>
      <c r="U1130" s="42"/>
      <c r="V1130" s="42"/>
      <c r="AB1130" s="42"/>
      <c r="AC1130" s="42"/>
      <c r="AD1130" s="42"/>
      <c r="AE1130" s="42"/>
      <c r="AF1130" s="42"/>
      <c r="AG1130" s="42"/>
      <c r="AH1130" s="42"/>
      <c r="AI1130" s="42"/>
      <c r="AJ1130" s="42"/>
      <c r="AK1130" s="42"/>
      <c r="AL1130" s="42"/>
    </row>
    <row r="1131" spans="12:38">
      <c r="L1131" s="42"/>
      <c r="M1131" s="42"/>
      <c r="N1131" s="42"/>
      <c r="O1131" s="42"/>
      <c r="P1131" s="42"/>
      <c r="Q1131" s="42"/>
      <c r="R1131" s="42"/>
      <c r="S1131" s="42"/>
      <c r="T1131" s="42"/>
      <c r="U1131" s="42"/>
      <c r="V1131" s="42"/>
      <c r="AB1131" s="42"/>
      <c r="AC1131" s="42"/>
      <c r="AD1131" s="42"/>
      <c r="AE1131" s="42"/>
      <c r="AF1131" s="42"/>
      <c r="AG1131" s="42"/>
      <c r="AH1131" s="42"/>
      <c r="AI1131" s="42"/>
      <c r="AJ1131" s="42"/>
      <c r="AK1131" s="42"/>
      <c r="AL1131" s="42"/>
    </row>
    <row r="1132" spans="12:38">
      <c r="L1132" s="42"/>
      <c r="M1132" s="42"/>
      <c r="N1132" s="42"/>
      <c r="O1132" s="42"/>
      <c r="P1132" s="42"/>
      <c r="Q1132" s="42"/>
      <c r="R1132" s="42"/>
      <c r="S1132" s="42"/>
      <c r="T1132" s="42"/>
      <c r="U1132" s="42"/>
      <c r="V1132" s="42"/>
      <c r="AB1132" s="42"/>
      <c r="AC1132" s="42"/>
      <c r="AD1132" s="42"/>
      <c r="AE1132" s="42"/>
      <c r="AF1132" s="42"/>
      <c r="AG1132" s="42"/>
      <c r="AH1132" s="42"/>
      <c r="AI1132" s="42"/>
      <c r="AJ1132" s="42"/>
      <c r="AK1132" s="42"/>
      <c r="AL1132" s="42"/>
    </row>
    <row r="1133" spans="12:38">
      <c r="L1133" s="42"/>
      <c r="M1133" s="42"/>
      <c r="N1133" s="42"/>
      <c r="O1133" s="42"/>
      <c r="P1133" s="42"/>
      <c r="Q1133" s="42"/>
      <c r="R1133" s="42"/>
      <c r="S1133" s="42"/>
      <c r="T1133" s="42"/>
      <c r="U1133" s="42"/>
      <c r="V1133" s="42"/>
      <c r="AB1133" s="42"/>
      <c r="AC1133" s="42"/>
      <c r="AD1133" s="42"/>
      <c r="AE1133" s="42"/>
      <c r="AF1133" s="42"/>
      <c r="AG1133" s="42"/>
      <c r="AH1133" s="42"/>
      <c r="AI1133" s="42"/>
      <c r="AJ1133" s="42"/>
      <c r="AK1133" s="42"/>
      <c r="AL1133" s="42"/>
    </row>
    <row r="1134" spans="12:38">
      <c r="L1134" s="42"/>
      <c r="M1134" s="42"/>
      <c r="N1134" s="42"/>
      <c r="O1134" s="42"/>
      <c r="P1134" s="42"/>
      <c r="Q1134" s="42"/>
      <c r="R1134" s="42"/>
      <c r="S1134" s="42"/>
      <c r="T1134" s="42"/>
      <c r="U1134" s="42"/>
      <c r="V1134" s="42"/>
      <c r="AB1134" s="42"/>
      <c r="AC1134" s="42"/>
      <c r="AD1134" s="42"/>
      <c r="AE1134" s="42"/>
      <c r="AF1134" s="42"/>
      <c r="AG1134" s="42"/>
      <c r="AH1134" s="42"/>
      <c r="AI1134" s="42"/>
      <c r="AJ1134" s="42"/>
      <c r="AK1134" s="42"/>
      <c r="AL1134" s="42"/>
    </row>
    <row r="1135" spans="12:38">
      <c r="L1135" s="42"/>
      <c r="M1135" s="42"/>
      <c r="N1135" s="42"/>
      <c r="O1135" s="42"/>
      <c r="P1135" s="42"/>
      <c r="Q1135" s="42"/>
      <c r="R1135" s="42"/>
      <c r="S1135" s="42"/>
      <c r="T1135" s="42"/>
      <c r="U1135" s="42"/>
      <c r="V1135" s="42"/>
      <c r="AB1135" s="42"/>
      <c r="AC1135" s="42"/>
      <c r="AD1135" s="42"/>
      <c r="AE1135" s="42"/>
      <c r="AF1135" s="42"/>
      <c r="AG1135" s="42"/>
      <c r="AH1135" s="42"/>
      <c r="AI1135" s="42"/>
      <c r="AJ1135" s="42"/>
      <c r="AK1135" s="42"/>
      <c r="AL1135" s="42"/>
    </row>
    <row r="1136" spans="12:38">
      <c r="L1136" s="42"/>
      <c r="M1136" s="42"/>
      <c r="N1136" s="42"/>
      <c r="O1136" s="42"/>
      <c r="P1136" s="42"/>
      <c r="Q1136" s="42"/>
      <c r="R1136" s="42"/>
      <c r="S1136" s="42"/>
      <c r="T1136" s="42"/>
      <c r="U1136" s="42"/>
      <c r="V1136" s="42"/>
      <c r="AB1136" s="42"/>
      <c r="AC1136" s="42"/>
      <c r="AD1136" s="42"/>
      <c r="AE1136" s="42"/>
      <c r="AF1136" s="42"/>
      <c r="AG1136" s="42"/>
      <c r="AH1136" s="42"/>
      <c r="AI1136" s="42"/>
      <c r="AJ1136" s="42"/>
      <c r="AK1136" s="42"/>
      <c r="AL1136" s="42"/>
    </row>
    <row r="1137" spans="12:38">
      <c r="L1137" s="42"/>
      <c r="M1137" s="42"/>
      <c r="N1137" s="42"/>
      <c r="O1137" s="42"/>
      <c r="P1137" s="42"/>
      <c r="Q1137" s="42"/>
      <c r="R1137" s="42"/>
      <c r="S1137" s="42"/>
      <c r="T1137" s="42"/>
      <c r="U1137" s="42"/>
      <c r="V1137" s="42"/>
      <c r="AB1137" s="42"/>
      <c r="AC1137" s="42"/>
      <c r="AD1137" s="42"/>
      <c r="AE1137" s="42"/>
      <c r="AF1137" s="42"/>
      <c r="AG1137" s="42"/>
      <c r="AH1137" s="42"/>
      <c r="AI1137" s="42"/>
      <c r="AJ1137" s="42"/>
      <c r="AK1137" s="42"/>
      <c r="AL1137" s="42"/>
    </row>
    <row r="1138" spans="12:38">
      <c r="L1138" s="42"/>
      <c r="M1138" s="42"/>
      <c r="N1138" s="42"/>
      <c r="O1138" s="42"/>
      <c r="P1138" s="42"/>
      <c r="Q1138" s="42"/>
      <c r="R1138" s="42"/>
      <c r="S1138" s="42"/>
      <c r="T1138" s="42"/>
      <c r="U1138" s="42"/>
      <c r="V1138" s="42"/>
      <c r="AB1138" s="42"/>
      <c r="AC1138" s="42"/>
      <c r="AD1138" s="42"/>
      <c r="AE1138" s="42"/>
      <c r="AF1138" s="42"/>
      <c r="AG1138" s="42"/>
      <c r="AH1138" s="42"/>
      <c r="AI1138" s="42"/>
      <c r="AJ1138" s="42"/>
      <c r="AK1138" s="42"/>
      <c r="AL1138" s="42"/>
    </row>
    <row r="1139" spans="12:38">
      <c r="L1139" s="42"/>
      <c r="M1139" s="42"/>
      <c r="N1139" s="42"/>
      <c r="O1139" s="42"/>
      <c r="P1139" s="42"/>
      <c r="Q1139" s="42"/>
      <c r="R1139" s="42"/>
      <c r="S1139" s="42"/>
      <c r="T1139" s="42"/>
      <c r="U1139" s="42"/>
      <c r="V1139" s="42"/>
      <c r="AB1139" s="42"/>
      <c r="AC1139" s="42"/>
      <c r="AD1139" s="42"/>
      <c r="AE1139" s="42"/>
      <c r="AF1139" s="42"/>
      <c r="AG1139" s="42"/>
      <c r="AH1139" s="42"/>
      <c r="AI1139" s="42"/>
      <c r="AJ1139" s="42"/>
      <c r="AK1139" s="42"/>
      <c r="AL1139" s="42"/>
    </row>
    <row r="1140" spans="12:38">
      <c r="L1140" s="42"/>
      <c r="M1140" s="42"/>
      <c r="N1140" s="42"/>
      <c r="O1140" s="42"/>
      <c r="P1140" s="42"/>
      <c r="Q1140" s="42"/>
      <c r="R1140" s="42"/>
      <c r="S1140" s="42"/>
      <c r="T1140" s="42"/>
      <c r="U1140" s="42"/>
      <c r="V1140" s="42"/>
      <c r="AB1140" s="42"/>
      <c r="AC1140" s="42"/>
      <c r="AD1140" s="42"/>
      <c r="AE1140" s="42"/>
      <c r="AF1140" s="42"/>
      <c r="AG1140" s="42"/>
      <c r="AH1140" s="42"/>
      <c r="AI1140" s="42"/>
      <c r="AJ1140" s="42"/>
      <c r="AK1140" s="42"/>
      <c r="AL1140" s="42"/>
    </row>
    <row r="1141" spans="12:38">
      <c r="L1141" s="42"/>
      <c r="M1141" s="42"/>
      <c r="N1141" s="42"/>
      <c r="O1141" s="42"/>
      <c r="P1141" s="42"/>
      <c r="Q1141" s="42"/>
      <c r="R1141" s="42"/>
      <c r="S1141" s="42"/>
      <c r="T1141" s="42"/>
      <c r="U1141" s="42"/>
      <c r="V1141" s="42"/>
      <c r="AB1141" s="42"/>
      <c r="AC1141" s="42"/>
      <c r="AD1141" s="42"/>
      <c r="AE1141" s="42"/>
      <c r="AF1141" s="42"/>
      <c r="AG1141" s="42"/>
      <c r="AH1141" s="42"/>
      <c r="AI1141" s="42"/>
      <c r="AJ1141" s="42"/>
      <c r="AK1141" s="42"/>
      <c r="AL1141" s="42"/>
    </row>
    <row r="1142" spans="12:38">
      <c r="L1142" s="42"/>
      <c r="M1142" s="42"/>
      <c r="N1142" s="42"/>
      <c r="O1142" s="42"/>
      <c r="P1142" s="42"/>
      <c r="Q1142" s="42"/>
      <c r="R1142" s="42"/>
      <c r="S1142" s="42"/>
      <c r="T1142" s="42"/>
      <c r="U1142" s="42"/>
      <c r="V1142" s="42"/>
      <c r="AB1142" s="42"/>
      <c r="AC1142" s="42"/>
      <c r="AD1142" s="42"/>
      <c r="AE1142" s="42"/>
      <c r="AF1142" s="42"/>
      <c r="AG1142" s="42"/>
      <c r="AH1142" s="42"/>
      <c r="AI1142" s="42"/>
      <c r="AJ1142" s="42"/>
      <c r="AK1142" s="42"/>
      <c r="AL1142" s="42"/>
    </row>
    <row r="1143" spans="12:38">
      <c r="L1143" s="42"/>
      <c r="M1143" s="42"/>
      <c r="N1143" s="42"/>
      <c r="O1143" s="42"/>
      <c r="P1143" s="42"/>
      <c r="Q1143" s="42"/>
      <c r="R1143" s="42"/>
      <c r="S1143" s="42"/>
      <c r="T1143" s="42"/>
      <c r="U1143" s="42"/>
      <c r="V1143" s="42"/>
      <c r="AB1143" s="42"/>
      <c r="AC1143" s="42"/>
      <c r="AD1143" s="42"/>
      <c r="AE1143" s="42"/>
      <c r="AF1143" s="42"/>
      <c r="AG1143" s="42"/>
      <c r="AH1143" s="42"/>
      <c r="AI1143" s="42"/>
      <c r="AJ1143" s="42"/>
      <c r="AK1143" s="42"/>
      <c r="AL1143" s="42"/>
    </row>
    <row r="1144" spans="12:38">
      <c r="L1144" s="42"/>
      <c r="M1144" s="42"/>
      <c r="N1144" s="42"/>
      <c r="O1144" s="42"/>
      <c r="P1144" s="42"/>
      <c r="Q1144" s="42"/>
      <c r="R1144" s="42"/>
      <c r="S1144" s="42"/>
      <c r="T1144" s="42"/>
      <c r="U1144" s="42"/>
      <c r="V1144" s="42"/>
      <c r="AB1144" s="42"/>
      <c r="AC1144" s="42"/>
      <c r="AD1144" s="42"/>
      <c r="AE1144" s="42"/>
      <c r="AF1144" s="42"/>
      <c r="AG1144" s="42"/>
      <c r="AH1144" s="42"/>
      <c r="AI1144" s="42"/>
      <c r="AJ1144" s="42"/>
      <c r="AK1144" s="42"/>
      <c r="AL1144" s="42"/>
    </row>
    <row r="1145" spans="12:38">
      <c r="L1145" s="42"/>
      <c r="M1145" s="42"/>
      <c r="N1145" s="42"/>
      <c r="O1145" s="42"/>
      <c r="P1145" s="42"/>
      <c r="Q1145" s="42"/>
      <c r="R1145" s="42"/>
      <c r="S1145" s="42"/>
      <c r="T1145" s="42"/>
      <c r="U1145" s="42"/>
      <c r="V1145" s="42"/>
      <c r="AB1145" s="42"/>
      <c r="AC1145" s="42"/>
      <c r="AD1145" s="42"/>
      <c r="AE1145" s="42"/>
      <c r="AF1145" s="42"/>
      <c r="AG1145" s="42"/>
      <c r="AH1145" s="42"/>
      <c r="AI1145" s="42"/>
      <c r="AJ1145" s="42"/>
      <c r="AK1145" s="42"/>
      <c r="AL1145" s="42"/>
    </row>
    <row r="1146" spans="12:38">
      <c r="L1146" s="42"/>
      <c r="M1146" s="42"/>
      <c r="N1146" s="42"/>
      <c r="O1146" s="42"/>
      <c r="P1146" s="42"/>
      <c r="Q1146" s="42"/>
      <c r="R1146" s="42"/>
      <c r="S1146" s="42"/>
      <c r="T1146" s="42"/>
      <c r="U1146" s="42"/>
      <c r="V1146" s="42"/>
      <c r="AB1146" s="42"/>
      <c r="AC1146" s="42"/>
      <c r="AD1146" s="42"/>
      <c r="AE1146" s="42"/>
      <c r="AF1146" s="42"/>
      <c r="AG1146" s="42"/>
      <c r="AH1146" s="42"/>
      <c r="AI1146" s="42"/>
      <c r="AJ1146" s="42"/>
      <c r="AK1146" s="42"/>
      <c r="AL1146" s="42"/>
    </row>
    <row r="1147" spans="12:38">
      <c r="L1147" s="42"/>
      <c r="M1147" s="42"/>
      <c r="N1147" s="42"/>
      <c r="O1147" s="42"/>
      <c r="P1147" s="42"/>
      <c r="Q1147" s="42"/>
      <c r="R1147" s="42"/>
      <c r="S1147" s="42"/>
      <c r="T1147" s="42"/>
      <c r="U1147" s="42"/>
      <c r="V1147" s="42"/>
      <c r="AB1147" s="42"/>
      <c r="AC1147" s="42"/>
      <c r="AD1147" s="42"/>
      <c r="AE1147" s="42"/>
      <c r="AF1147" s="42"/>
      <c r="AG1147" s="42"/>
      <c r="AH1147" s="42"/>
      <c r="AI1147" s="42"/>
      <c r="AJ1147" s="42"/>
      <c r="AK1147" s="42"/>
      <c r="AL1147" s="42"/>
    </row>
    <row r="1148" spans="12:38">
      <c r="L1148" s="42"/>
      <c r="M1148" s="42"/>
      <c r="N1148" s="42"/>
      <c r="O1148" s="42"/>
      <c r="P1148" s="42"/>
      <c r="Q1148" s="42"/>
      <c r="R1148" s="42"/>
      <c r="S1148" s="42"/>
      <c r="T1148" s="42"/>
      <c r="U1148" s="42"/>
      <c r="V1148" s="42"/>
      <c r="AB1148" s="42"/>
      <c r="AC1148" s="42"/>
      <c r="AD1148" s="42"/>
      <c r="AE1148" s="42"/>
      <c r="AF1148" s="42"/>
      <c r="AG1148" s="42"/>
      <c r="AH1148" s="42"/>
      <c r="AI1148" s="42"/>
      <c r="AJ1148" s="42"/>
      <c r="AK1148" s="42"/>
      <c r="AL1148" s="42"/>
    </row>
    <row r="1149" spans="12:38">
      <c r="L1149" s="42"/>
      <c r="M1149" s="42"/>
      <c r="N1149" s="42"/>
      <c r="O1149" s="42"/>
      <c r="P1149" s="42"/>
      <c r="Q1149" s="42"/>
      <c r="R1149" s="42"/>
      <c r="S1149" s="42"/>
      <c r="T1149" s="42"/>
      <c r="U1149" s="42"/>
      <c r="V1149" s="42"/>
      <c r="AB1149" s="42"/>
      <c r="AC1149" s="42"/>
      <c r="AD1149" s="42"/>
      <c r="AE1149" s="42"/>
      <c r="AF1149" s="42"/>
      <c r="AG1149" s="42"/>
      <c r="AH1149" s="42"/>
      <c r="AI1149" s="42"/>
      <c r="AJ1149" s="42"/>
      <c r="AK1149" s="42"/>
      <c r="AL1149" s="42"/>
    </row>
    <row r="1150" spans="12:38">
      <c r="L1150" s="42"/>
      <c r="M1150" s="42"/>
      <c r="N1150" s="42"/>
      <c r="O1150" s="42"/>
      <c r="P1150" s="42"/>
      <c r="Q1150" s="42"/>
      <c r="R1150" s="42"/>
      <c r="S1150" s="42"/>
      <c r="T1150" s="42"/>
      <c r="U1150" s="42"/>
      <c r="V1150" s="42"/>
      <c r="AB1150" s="42"/>
      <c r="AC1150" s="42"/>
      <c r="AD1150" s="42"/>
      <c r="AE1150" s="42"/>
      <c r="AF1150" s="42"/>
      <c r="AG1150" s="42"/>
      <c r="AH1150" s="42"/>
      <c r="AI1150" s="42"/>
      <c r="AJ1150" s="42"/>
      <c r="AK1150" s="42"/>
      <c r="AL1150" s="42"/>
    </row>
    <row r="1151" spans="12:38">
      <c r="L1151" s="42"/>
      <c r="M1151" s="42"/>
      <c r="N1151" s="42"/>
      <c r="O1151" s="42"/>
      <c r="P1151" s="42"/>
      <c r="Q1151" s="42"/>
      <c r="R1151" s="42"/>
      <c r="S1151" s="42"/>
      <c r="T1151" s="42"/>
      <c r="U1151" s="42"/>
      <c r="V1151" s="42"/>
      <c r="AB1151" s="42"/>
      <c r="AC1151" s="42"/>
      <c r="AD1151" s="42"/>
      <c r="AE1151" s="42"/>
      <c r="AF1151" s="42"/>
      <c r="AG1151" s="42"/>
      <c r="AH1151" s="42"/>
      <c r="AI1151" s="42"/>
      <c r="AJ1151" s="42"/>
      <c r="AK1151" s="42"/>
      <c r="AL1151" s="42"/>
    </row>
    <row r="1152" spans="12:38">
      <c r="L1152" s="42"/>
      <c r="M1152" s="42"/>
      <c r="N1152" s="42"/>
      <c r="O1152" s="42"/>
      <c r="P1152" s="42"/>
      <c r="Q1152" s="42"/>
      <c r="R1152" s="42"/>
      <c r="S1152" s="42"/>
      <c r="T1152" s="42"/>
      <c r="U1152" s="42"/>
      <c r="V1152" s="42"/>
      <c r="AB1152" s="42"/>
      <c r="AC1152" s="42"/>
      <c r="AD1152" s="42"/>
      <c r="AE1152" s="42"/>
      <c r="AF1152" s="42"/>
      <c r="AG1152" s="42"/>
      <c r="AH1152" s="42"/>
      <c r="AI1152" s="42"/>
      <c r="AJ1152" s="42"/>
      <c r="AK1152" s="42"/>
      <c r="AL1152" s="42"/>
    </row>
    <row r="1153" spans="12:38">
      <c r="L1153" s="42"/>
      <c r="M1153" s="42"/>
      <c r="N1153" s="42"/>
      <c r="O1153" s="42"/>
      <c r="P1153" s="42"/>
      <c r="Q1153" s="42"/>
      <c r="R1153" s="42"/>
      <c r="S1153" s="42"/>
      <c r="T1153" s="42"/>
      <c r="U1153" s="42"/>
      <c r="V1153" s="42"/>
      <c r="AB1153" s="42"/>
      <c r="AC1153" s="42"/>
      <c r="AD1153" s="42"/>
      <c r="AE1153" s="42"/>
      <c r="AF1153" s="42"/>
      <c r="AG1153" s="42"/>
      <c r="AH1153" s="42"/>
      <c r="AI1153" s="42"/>
      <c r="AJ1153" s="42"/>
      <c r="AK1153" s="42"/>
      <c r="AL1153" s="42"/>
    </row>
    <row r="1154" spans="12:38">
      <c r="L1154" s="42"/>
      <c r="M1154" s="42"/>
      <c r="N1154" s="42"/>
      <c r="O1154" s="42"/>
      <c r="P1154" s="42"/>
      <c r="Q1154" s="42"/>
      <c r="R1154" s="42"/>
      <c r="S1154" s="42"/>
      <c r="T1154" s="42"/>
      <c r="U1154" s="42"/>
      <c r="V1154" s="42"/>
      <c r="AB1154" s="42"/>
      <c r="AC1154" s="42"/>
      <c r="AD1154" s="42"/>
      <c r="AE1154" s="42"/>
      <c r="AF1154" s="42"/>
      <c r="AG1154" s="42"/>
      <c r="AH1154" s="42"/>
      <c r="AI1154" s="42"/>
      <c r="AJ1154" s="42"/>
      <c r="AK1154" s="42"/>
      <c r="AL1154" s="42"/>
    </row>
    <row r="1155" spans="12:38">
      <c r="L1155" s="42"/>
      <c r="M1155" s="42"/>
      <c r="N1155" s="42"/>
      <c r="O1155" s="42"/>
      <c r="P1155" s="42"/>
      <c r="Q1155" s="42"/>
      <c r="R1155" s="42"/>
      <c r="S1155" s="42"/>
      <c r="T1155" s="42"/>
      <c r="U1155" s="42"/>
      <c r="V1155" s="42"/>
      <c r="AB1155" s="42"/>
      <c r="AC1155" s="42"/>
      <c r="AD1155" s="42"/>
      <c r="AE1155" s="42"/>
      <c r="AF1155" s="42"/>
      <c r="AG1155" s="42"/>
      <c r="AH1155" s="42"/>
      <c r="AI1155" s="42"/>
      <c r="AJ1155" s="42"/>
      <c r="AK1155" s="42"/>
      <c r="AL1155" s="42"/>
    </row>
    <row r="1156" spans="12:38">
      <c r="L1156" s="42"/>
      <c r="M1156" s="42"/>
      <c r="N1156" s="42"/>
      <c r="O1156" s="42"/>
      <c r="P1156" s="42"/>
      <c r="Q1156" s="42"/>
      <c r="R1156" s="42"/>
      <c r="S1156" s="42"/>
      <c r="T1156" s="42"/>
      <c r="U1156" s="42"/>
      <c r="V1156" s="42"/>
      <c r="AB1156" s="42"/>
      <c r="AC1156" s="42"/>
      <c r="AD1156" s="42"/>
      <c r="AE1156" s="42"/>
      <c r="AF1156" s="42"/>
      <c r="AG1156" s="42"/>
      <c r="AH1156" s="42"/>
      <c r="AI1156" s="42"/>
      <c r="AJ1156" s="42"/>
      <c r="AK1156" s="42"/>
      <c r="AL1156" s="42"/>
    </row>
    <row r="1157" spans="12:38">
      <c r="L1157" s="42"/>
      <c r="M1157" s="42"/>
      <c r="N1157" s="42"/>
      <c r="O1157" s="42"/>
      <c r="P1157" s="42"/>
      <c r="Q1157" s="42"/>
      <c r="R1157" s="42"/>
      <c r="S1157" s="42"/>
      <c r="T1157" s="42"/>
      <c r="U1157" s="42"/>
      <c r="V1157" s="42"/>
      <c r="AB1157" s="42"/>
      <c r="AC1157" s="42"/>
      <c r="AD1157" s="42"/>
      <c r="AE1157" s="42"/>
      <c r="AF1157" s="42"/>
      <c r="AG1157" s="42"/>
      <c r="AH1157" s="42"/>
      <c r="AI1157" s="42"/>
      <c r="AJ1157" s="42"/>
      <c r="AK1157" s="42"/>
      <c r="AL1157" s="42"/>
    </row>
    <row r="1158" spans="12:38">
      <c r="L1158" s="42"/>
      <c r="M1158" s="42"/>
      <c r="N1158" s="42"/>
      <c r="O1158" s="42"/>
      <c r="P1158" s="42"/>
      <c r="Q1158" s="42"/>
      <c r="R1158" s="42"/>
      <c r="S1158" s="42"/>
      <c r="T1158" s="42"/>
      <c r="U1158" s="42"/>
      <c r="V1158" s="42"/>
      <c r="AB1158" s="42"/>
      <c r="AC1158" s="42"/>
      <c r="AD1158" s="42"/>
      <c r="AE1158" s="42"/>
      <c r="AF1158" s="42"/>
      <c r="AG1158" s="42"/>
      <c r="AH1158" s="42"/>
      <c r="AI1158" s="42"/>
      <c r="AJ1158" s="42"/>
      <c r="AK1158" s="42"/>
      <c r="AL1158" s="42"/>
    </row>
    <row r="1159" spans="12:38">
      <c r="L1159" s="42"/>
      <c r="M1159" s="42"/>
      <c r="N1159" s="42"/>
      <c r="O1159" s="42"/>
      <c r="P1159" s="42"/>
      <c r="Q1159" s="42"/>
      <c r="R1159" s="42"/>
      <c r="S1159" s="42"/>
      <c r="T1159" s="42"/>
      <c r="U1159" s="42"/>
      <c r="V1159" s="42"/>
      <c r="AB1159" s="42"/>
      <c r="AC1159" s="42"/>
      <c r="AD1159" s="42"/>
      <c r="AE1159" s="42"/>
      <c r="AF1159" s="42"/>
      <c r="AG1159" s="42"/>
      <c r="AH1159" s="42"/>
      <c r="AI1159" s="42"/>
      <c r="AJ1159" s="42"/>
      <c r="AK1159" s="42"/>
      <c r="AL1159" s="42"/>
    </row>
    <row r="1160" spans="12:38">
      <c r="L1160" s="42"/>
      <c r="M1160" s="42"/>
      <c r="N1160" s="42"/>
      <c r="O1160" s="42"/>
      <c r="P1160" s="42"/>
      <c r="Q1160" s="42"/>
      <c r="R1160" s="42"/>
      <c r="S1160" s="42"/>
      <c r="T1160" s="42"/>
      <c r="U1160" s="42"/>
      <c r="V1160" s="42"/>
      <c r="AB1160" s="42"/>
      <c r="AC1160" s="42"/>
      <c r="AD1160" s="42"/>
      <c r="AE1160" s="42"/>
      <c r="AF1160" s="42"/>
      <c r="AG1160" s="42"/>
      <c r="AH1160" s="42"/>
      <c r="AI1160" s="42"/>
      <c r="AJ1160" s="42"/>
      <c r="AK1160" s="42"/>
      <c r="AL1160" s="42"/>
    </row>
    <row r="1161" spans="12:38">
      <c r="L1161" s="42"/>
      <c r="M1161" s="42"/>
      <c r="N1161" s="42"/>
      <c r="O1161" s="42"/>
      <c r="P1161" s="42"/>
      <c r="Q1161" s="42"/>
      <c r="R1161" s="42"/>
      <c r="S1161" s="42"/>
      <c r="T1161" s="42"/>
      <c r="U1161" s="42"/>
      <c r="V1161" s="42"/>
      <c r="AB1161" s="42"/>
      <c r="AC1161" s="42"/>
      <c r="AD1161" s="42"/>
      <c r="AE1161" s="42"/>
      <c r="AF1161" s="42"/>
      <c r="AG1161" s="42"/>
      <c r="AH1161" s="42"/>
      <c r="AI1161" s="42"/>
      <c r="AJ1161" s="42"/>
      <c r="AK1161" s="42"/>
      <c r="AL1161" s="42"/>
    </row>
    <row r="1162" spans="12:38">
      <c r="L1162" s="42"/>
      <c r="M1162" s="42"/>
      <c r="N1162" s="42"/>
      <c r="O1162" s="42"/>
      <c r="P1162" s="42"/>
      <c r="Q1162" s="42"/>
      <c r="R1162" s="42"/>
      <c r="S1162" s="42"/>
      <c r="T1162" s="42"/>
      <c r="U1162" s="42"/>
      <c r="V1162" s="42"/>
      <c r="AB1162" s="42"/>
      <c r="AC1162" s="42"/>
      <c r="AD1162" s="42"/>
      <c r="AE1162" s="42"/>
      <c r="AF1162" s="42"/>
      <c r="AG1162" s="42"/>
      <c r="AH1162" s="42"/>
      <c r="AI1162" s="42"/>
      <c r="AJ1162" s="42"/>
      <c r="AK1162" s="42"/>
      <c r="AL1162" s="42"/>
    </row>
    <row r="1163" spans="12:38">
      <c r="L1163" s="42"/>
      <c r="M1163" s="42"/>
      <c r="N1163" s="42"/>
      <c r="O1163" s="42"/>
      <c r="P1163" s="42"/>
      <c r="Q1163" s="42"/>
      <c r="R1163" s="42"/>
      <c r="S1163" s="42"/>
      <c r="T1163" s="42"/>
      <c r="U1163" s="42"/>
      <c r="V1163" s="42"/>
      <c r="AB1163" s="42"/>
      <c r="AC1163" s="42"/>
      <c r="AD1163" s="42"/>
      <c r="AE1163" s="42"/>
      <c r="AF1163" s="42"/>
      <c r="AG1163" s="42"/>
      <c r="AH1163" s="42"/>
      <c r="AI1163" s="42"/>
      <c r="AJ1163" s="42"/>
      <c r="AK1163" s="42"/>
      <c r="AL1163" s="42"/>
    </row>
    <row r="1164" spans="12:38">
      <c r="L1164" s="42"/>
      <c r="M1164" s="42"/>
      <c r="N1164" s="42"/>
      <c r="O1164" s="42"/>
      <c r="P1164" s="42"/>
      <c r="Q1164" s="42"/>
      <c r="R1164" s="42"/>
      <c r="S1164" s="42"/>
      <c r="T1164" s="42"/>
      <c r="U1164" s="42"/>
      <c r="V1164" s="42"/>
      <c r="AB1164" s="42"/>
      <c r="AC1164" s="42"/>
      <c r="AD1164" s="42"/>
      <c r="AE1164" s="42"/>
      <c r="AF1164" s="42"/>
      <c r="AG1164" s="42"/>
      <c r="AH1164" s="42"/>
      <c r="AI1164" s="42"/>
      <c r="AJ1164" s="42"/>
      <c r="AK1164" s="42"/>
      <c r="AL1164" s="42"/>
    </row>
    <row r="1165" spans="12:38">
      <c r="L1165" s="42"/>
      <c r="M1165" s="42"/>
      <c r="N1165" s="42"/>
      <c r="O1165" s="42"/>
      <c r="P1165" s="42"/>
      <c r="Q1165" s="42"/>
      <c r="R1165" s="42"/>
      <c r="S1165" s="42"/>
      <c r="T1165" s="42"/>
      <c r="U1165" s="42"/>
      <c r="V1165" s="42"/>
      <c r="AB1165" s="42"/>
      <c r="AC1165" s="42"/>
      <c r="AD1165" s="42"/>
      <c r="AE1165" s="42"/>
      <c r="AF1165" s="42"/>
      <c r="AG1165" s="42"/>
      <c r="AH1165" s="42"/>
      <c r="AI1165" s="42"/>
      <c r="AJ1165" s="42"/>
      <c r="AK1165" s="42"/>
      <c r="AL1165" s="42"/>
    </row>
    <row r="1166" spans="12:38">
      <c r="L1166" s="42"/>
      <c r="M1166" s="42"/>
      <c r="N1166" s="42"/>
      <c r="O1166" s="42"/>
      <c r="P1166" s="42"/>
      <c r="Q1166" s="42"/>
      <c r="R1166" s="42"/>
      <c r="S1166" s="42"/>
      <c r="T1166" s="42"/>
      <c r="U1166" s="42"/>
      <c r="V1166" s="42"/>
      <c r="AB1166" s="42"/>
      <c r="AC1166" s="42"/>
      <c r="AD1166" s="42"/>
      <c r="AE1166" s="42"/>
      <c r="AF1166" s="42"/>
      <c r="AG1166" s="42"/>
      <c r="AH1166" s="42"/>
      <c r="AI1166" s="42"/>
      <c r="AJ1166" s="42"/>
      <c r="AK1166" s="42"/>
      <c r="AL1166" s="42"/>
    </row>
    <row r="1167" spans="12:38">
      <c r="L1167" s="42"/>
      <c r="M1167" s="42"/>
      <c r="N1167" s="42"/>
      <c r="O1167" s="42"/>
      <c r="P1167" s="42"/>
      <c r="Q1167" s="42"/>
      <c r="R1167" s="42"/>
      <c r="S1167" s="42"/>
      <c r="T1167" s="42"/>
      <c r="U1167" s="42"/>
      <c r="V1167" s="42"/>
      <c r="AB1167" s="42"/>
      <c r="AC1167" s="42"/>
      <c r="AD1167" s="42"/>
      <c r="AE1167" s="42"/>
      <c r="AF1167" s="42"/>
      <c r="AG1167" s="42"/>
      <c r="AH1167" s="42"/>
      <c r="AI1167" s="42"/>
      <c r="AJ1167" s="42"/>
      <c r="AK1167" s="42"/>
      <c r="AL1167" s="42"/>
    </row>
    <row r="1168" spans="12:38">
      <c r="L1168" s="42"/>
      <c r="M1168" s="42"/>
      <c r="N1168" s="42"/>
      <c r="O1168" s="42"/>
      <c r="P1168" s="42"/>
      <c r="Q1168" s="42"/>
      <c r="R1168" s="42"/>
      <c r="S1168" s="42"/>
      <c r="T1168" s="42"/>
      <c r="U1168" s="42"/>
      <c r="V1168" s="42"/>
      <c r="AB1168" s="42"/>
      <c r="AC1168" s="42"/>
      <c r="AD1168" s="42"/>
      <c r="AE1168" s="42"/>
      <c r="AF1168" s="42"/>
      <c r="AG1168" s="42"/>
      <c r="AH1168" s="42"/>
      <c r="AI1168" s="42"/>
      <c r="AJ1168" s="42"/>
      <c r="AK1168" s="42"/>
      <c r="AL1168" s="42"/>
    </row>
    <row r="1169" spans="12:38">
      <c r="L1169" s="42"/>
      <c r="M1169" s="42"/>
      <c r="N1169" s="42"/>
      <c r="O1169" s="42"/>
      <c r="P1169" s="42"/>
      <c r="Q1169" s="42"/>
      <c r="R1169" s="42"/>
      <c r="S1169" s="42"/>
      <c r="T1169" s="42"/>
      <c r="U1169" s="42"/>
      <c r="V1169" s="42"/>
      <c r="AB1169" s="42"/>
      <c r="AC1169" s="42"/>
      <c r="AD1169" s="42"/>
      <c r="AE1169" s="42"/>
      <c r="AF1169" s="42"/>
      <c r="AG1169" s="42"/>
      <c r="AH1169" s="42"/>
      <c r="AI1169" s="42"/>
      <c r="AJ1169" s="42"/>
      <c r="AK1169" s="42"/>
      <c r="AL1169" s="42"/>
    </row>
    <row r="1170" spans="12:38">
      <c r="L1170" s="42"/>
      <c r="M1170" s="42"/>
      <c r="N1170" s="42"/>
      <c r="O1170" s="42"/>
      <c r="P1170" s="42"/>
      <c r="Q1170" s="42"/>
      <c r="R1170" s="42"/>
      <c r="S1170" s="42"/>
      <c r="T1170" s="42"/>
      <c r="U1170" s="42"/>
      <c r="V1170" s="42"/>
      <c r="AB1170" s="42"/>
      <c r="AC1170" s="42"/>
      <c r="AD1170" s="42"/>
      <c r="AE1170" s="42"/>
      <c r="AF1170" s="42"/>
      <c r="AG1170" s="42"/>
      <c r="AH1170" s="42"/>
      <c r="AI1170" s="42"/>
      <c r="AJ1170" s="42"/>
      <c r="AK1170" s="42"/>
      <c r="AL1170" s="42"/>
    </row>
    <row r="1171" spans="12:38">
      <c r="L1171" s="42"/>
      <c r="M1171" s="42"/>
      <c r="N1171" s="42"/>
      <c r="O1171" s="42"/>
      <c r="P1171" s="42"/>
      <c r="Q1171" s="42"/>
      <c r="R1171" s="42"/>
      <c r="S1171" s="42"/>
      <c r="T1171" s="42"/>
      <c r="U1171" s="42"/>
      <c r="V1171" s="42"/>
      <c r="AB1171" s="42"/>
      <c r="AC1171" s="42"/>
      <c r="AD1171" s="42"/>
      <c r="AE1171" s="42"/>
      <c r="AF1171" s="42"/>
      <c r="AG1171" s="42"/>
      <c r="AH1171" s="42"/>
      <c r="AI1171" s="42"/>
      <c r="AJ1171" s="42"/>
      <c r="AK1171" s="42"/>
      <c r="AL1171" s="42"/>
    </row>
    <row r="1172" spans="12:38">
      <c r="L1172" s="42"/>
      <c r="M1172" s="42"/>
      <c r="N1172" s="42"/>
      <c r="O1172" s="42"/>
      <c r="P1172" s="42"/>
      <c r="Q1172" s="42"/>
      <c r="R1172" s="42"/>
      <c r="S1172" s="42"/>
      <c r="T1172" s="42"/>
      <c r="U1172" s="42"/>
      <c r="V1172" s="42"/>
      <c r="AB1172" s="42"/>
      <c r="AC1172" s="42"/>
      <c r="AD1172" s="42"/>
      <c r="AE1172" s="42"/>
      <c r="AF1172" s="42"/>
      <c r="AG1172" s="42"/>
      <c r="AH1172" s="42"/>
      <c r="AI1172" s="42"/>
      <c r="AJ1172" s="42"/>
      <c r="AK1172" s="42"/>
      <c r="AL1172" s="42"/>
    </row>
    <row r="1173" spans="12:38">
      <c r="L1173" s="42"/>
      <c r="M1173" s="42"/>
      <c r="N1173" s="42"/>
      <c r="O1173" s="42"/>
      <c r="P1173" s="42"/>
      <c r="Q1173" s="42"/>
      <c r="R1173" s="42"/>
      <c r="S1173" s="42"/>
      <c r="T1173" s="42"/>
      <c r="U1173" s="42"/>
      <c r="V1173" s="42"/>
      <c r="AB1173" s="42"/>
      <c r="AC1173" s="42"/>
      <c r="AD1173" s="42"/>
      <c r="AE1173" s="42"/>
      <c r="AF1173" s="42"/>
      <c r="AG1173" s="42"/>
      <c r="AH1173" s="42"/>
      <c r="AI1173" s="42"/>
      <c r="AJ1173" s="42"/>
      <c r="AK1173" s="42"/>
      <c r="AL1173" s="42"/>
    </row>
    <row r="1174" spans="12:38">
      <c r="L1174" s="42"/>
      <c r="M1174" s="42"/>
      <c r="N1174" s="42"/>
      <c r="O1174" s="42"/>
      <c r="P1174" s="42"/>
      <c r="Q1174" s="42"/>
      <c r="R1174" s="42"/>
      <c r="S1174" s="42"/>
      <c r="T1174" s="42"/>
      <c r="U1174" s="42"/>
      <c r="V1174" s="42"/>
      <c r="AB1174" s="42"/>
      <c r="AC1174" s="42"/>
      <c r="AD1174" s="42"/>
      <c r="AE1174" s="42"/>
      <c r="AF1174" s="42"/>
      <c r="AG1174" s="42"/>
      <c r="AH1174" s="42"/>
      <c r="AI1174" s="42"/>
      <c r="AJ1174" s="42"/>
      <c r="AK1174" s="42"/>
      <c r="AL1174" s="42"/>
    </row>
    <row r="1175" spans="12:38">
      <c r="L1175" s="42"/>
      <c r="M1175" s="42"/>
      <c r="N1175" s="42"/>
      <c r="O1175" s="42"/>
      <c r="P1175" s="42"/>
      <c r="Q1175" s="42"/>
      <c r="R1175" s="42"/>
      <c r="S1175" s="42"/>
      <c r="T1175" s="42"/>
      <c r="U1175" s="42"/>
      <c r="V1175" s="42"/>
      <c r="AB1175" s="42"/>
      <c r="AC1175" s="42"/>
      <c r="AD1175" s="42"/>
      <c r="AE1175" s="42"/>
      <c r="AF1175" s="42"/>
      <c r="AG1175" s="42"/>
      <c r="AH1175" s="42"/>
      <c r="AI1175" s="42"/>
      <c r="AJ1175" s="42"/>
      <c r="AK1175" s="42"/>
      <c r="AL1175" s="42"/>
    </row>
    <row r="1176" spans="12:38">
      <c r="L1176" s="42"/>
      <c r="M1176" s="42"/>
      <c r="N1176" s="42"/>
      <c r="O1176" s="42"/>
      <c r="P1176" s="42"/>
      <c r="Q1176" s="42"/>
      <c r="R1176" s="42"/>
      <c r="S1176" s="42"/>
      <c r="T1176" s="42"/>
      <c r="U1176" s="42"/>
      <c r="V1176" s="42"/>
      <c r="AB1176" s="42"/>
      <c r="AC1176" s="42"/>
      <c r="AD1176" s="42"/>
      <c r="AE1176" s="42"/>
      <c r="AF1176" s="42"/>
      <c r="AG1176" s="42"/>
      <c r="AH1176" s="42"/>
      <c r="AI1176" s="42"/>
      <c r="AJ1176" s="42"/>
      <c r="AK1176" s="42"/>
      <c r="AL1176" s="42"/>
    </row>
    <row r="1177" spans="12:38">
      <c r="L1177" s="42"/>
      <c r="M1177" s="42"/>
      <c r="N1177" s="42"/>
      <c r="O1177" s="42"/>
      <c r="P1177" s="42"/>
      <c r="Q1177" s="42"/>
      <c r="R1177" s="42"/>
      <c r="S1177" s="42"/>
      <c r="T1177" s="42"/>
      <c r="U1177" s="42"/>
      <c r="V1177" s="42"/>
      <c r="AB1177" s="42"/>
      <c r="AC1177" s="42"/>
      <c r="AD1177" s="42"/>
      <c r="AE1177" s="42"/>
      <c r="AF1177" s="42"/>
      <c r="AG1177" s="42"/>
      <c r="AH1177" s="42"/>
      <c r="AI1177" s="42"/>
      <c r="AJ1177" s="42"/>
      <c r="AK1177" s="42"/>
      <c r="AL1177" s="42"/>
    </row>
    <row r="1178" spans="12:38">
      <c r="L1178" s="42"/>
      <c r="M1178" s="42"/>
      <c r="N1178" s="42"/>
      <c r="O1178" s="42"/>
      <c r="P1178" s="42"/>
      <c r="Q1178" s="42"/>
      <c r="R1178" s="42"/>
      <c r="S1178" s="42"/>
      <c r="T1178" s="42"/>
      <c r="U1178" s="42"/>
      <c r="V1178" s="42"/>
      <c r="AB1178" s="42"/>
      <c r="AC1178" s="42"/>
      <c r="AD1178" s="42"/>
      <c r="AE1178" s="42"/>
      <c r="AF1178" s="42"/>
      <c r="AG1178" s="42"/>
      <c r="AH1178" s="42"/>
      <c r="AI1178" s="42"/>
      <c r="AJ1178" s="42"/>
      <c r="AK1178" s="42"/>
      <c r="AL1178" s="42"/>
    </row>
    <row r="1179" spans="12:38">
      <c r="L1179" s="42"/>
      <c r="M1179" s="42"/>
      <c r="N1179" s="42"/>
      <c r="O1179" s="42"/>
      <c r="P1179" s="42"/>
      <c r="Q1179" s="42"/>
      <c r="R1179" s="42"/>
      <c r="S1179" s="42"/>
      <c r="T1179" s="42"/>
      <c r="U1179" s="42"/>
      <c r="V1179" s="42"/>
      <c r="AB1179" s="42"/>
      <c r="AC1179" s="42"/>
      <c r="AD1179" s="42"/>
      <c r="AE1179" s="42"/>
      <c r="AF1179" s="42"/>
      <c r="AG1179" s="42"/>
      <c r="AH1179" s="42"/>
      <c r="AI1179" s="42"/>
      <c r="AJ1179" s="42"/>
      <c r="AK1179" s="42"/>
      <c r="AL1179" s="42"/>
    </row>
    <row r="1180" spans="12:38">
      <c r="L1180" s="42"/>
      <c r="M1180" s="42"/>
      <c r="N1180" s="42"/>
      <c r="O1180" s="42"/>
      <c r="P1180" s="42"/>
      <c r="Q1180" s="42"/>
      <c r="R1180" s="42"/>
      <c r="S1180" s="42"/>
      <c r="T1180" s="42"/>
      <c r="U1180" s="42"/>
      <c r="V1180" s="42"/>
      <c r="AB1180" s="42"/>
      <c r="AC1180" s="42"/>
      <c r="AD1180" s="42"/>
      <c r="AE1180" s="42"/>
      <c r="AF1180" s="42"/>
      <c r="AG1180" s="42"/>
      <c r="AH1180" s="42"/>
      <c r="AI1180" s="42"/>
      <c r="AJ1180" s="42"/>
      <c r="AK1180" s="42"/>
      <c r="AL1180" s="42"/>
    </row>
    <row r="1181" spans="12:38">
      <c r="L1181" s="42"/>
      <c r="M1181" s="42"/>
      <c r="N1181" s="42"/>
      <c r="O1181" s="42"/>
      <c r="P1181" s="42"/>
      <c r="Q1181" s="42"/>
      <c r="R1181" s="42"/>
      <c r="S1181" s="42"/>
      <c r="T1181" s="42"/>
      <c r="U1181" s="42"/>
      <c r="V1181" s="42"/>
      <c r="AB1181" s="42"/>
      <c r="AC1181" s="42"/>
      <c r="AD1181" s="42"/>
      <c r="AE1181" s="42"/>
      <c r="AF1181" s="42"/>
      <c r="AG1181" s="42"/>
      <c r="AH1181" s="42"/>
      <c r="AI1181" s="42"/>
      <c r="AJ1181" s="42"/>
      <c r="AK1181" s="42"/>
      <c r="AL1181" s="42"/>
    </row>
    <row r="1182" spans="12:38">
      <c r="L1182" s="42"/>
      <c r="M1182" s="42"/>
      <c r="N1182" s="42"/>
      <c r="O1182" s="42"/>
      <c r="P1182" s="42"/>
      <c r="Q1182" s="42"/>
      <c r="R1182" s="42"/>
      <c r="S1182" s="42"/>
      <c r="T1182" s="42"/>
      <c r="U1182" s="42"/>
      <c r="V1182" s="42"/>
      <c r="AB1182" s="42"/>
      <c r="AC1182" s="42"/>
      <c r="AD1182" s="42"/>
      <c r="AE1182" s="42"/>
      <c r="AF1182" s="42"/>
      <c r="AG1182" s="42"/>
      <c r="AH1182" s="42"/>
      <c r="AI1182" s="42"/>
      <c r="AJ1182" s="42"/>
      <c r="AK1182" s="42"/>
      <c r="AL1182" s="42"/>
    </row>
    <row r="1183" spans="12:38">
      <c r="L1183" s="42"/>
      <c r="M1183" s="42"/>
      <c r="N1183" s="42"/>
      <c r="O1183" s="42"/>
      <c r="P1183" s="42"/>
      <c r="Q1183" s="42"/>
      <c r="R1183" s="42"/>
      <c r="S1183" s="42"/>
      <c r="T1183" s="42"/>
      <c r="U1183" s="42"/>
      <c r="V1183" s="42"/>
      <c r="AB1183" s="42"/>
      <c r="AC1183" s="42"/>
      <c r="AD1183" s="42"/>
      <c r="AE1183" s="42"/>
      <c r="AF1183" s="42"/>
      <c r="AG1183" s="42"/>
      <c r="AH1183" s="42"/>
      <c r="AI1183" s="42"/>
      <c r="AJ1183" s="42"/>
      <c r="AK1183" s="42"/>
      <c r="AL1183" s="42"/>
    </row>
    <row r="1184" spans="12:38">
      <c r="L1184" s="42"/>
      <c r="M1184" s="42"/>
      <c r="N1184" s="42"/>
      <c r="O1184" s="42"/>
      <c r="P1184" s="42"/>
      <c r="Q1184" s="42"/>
      <c r="R1184" s="42"/>
      <c r="S1184" s="42"/>
      <c r="T1184" s="42"/>
      <c r="U1184" s="42"/>
      <c r="V1184" s="42"/>
      <c r="AB1184" s="42"/>
      <c r="AC1184" s="42"/>
      <c r="AD1184" s="42"/>
      <c r="AE1184" s="42"/>
      <c r="AF1184" s="42"/>
      <c r="AG1184" s="42"/>
      <c r="AH1184" s="42"/>
      <c r="AI1184" s="42"/>
      <c r="AJ1184" s="42"/>
      <c r="AK1184" s="42"/>
      <c r="AL1184" s="42"/>
    </row>
    <row r="1185" spans="12:38">
      <c r="L1185" s="42"/>
      <c r="M1185" s="42"/>
      <c r="N1185" s="42"/>
      <c r="O1185" s="42"/>
      <c r="P1185" s="42"/>
      <c r="Q1185" s="42"/>
      <c r="R1185" s="42"/>
      <c r="S1185" s="42"/>
      <c r="T1185" s="42"/>
      <c r="U1185" s="42"/>
      <c r="V1185" s="42"/>
      <c r="AB1185" s="42"/>
      <c r="AC1185" s="42"/>
      <c r="AD1185" s="42"/>
      <c r="AE1185" s="42"/>
      <c r="AF1185" s="42"/>
      <c r="AG1185" s="42"/>
      <c r="AH1185" s="42"/>
      <c r="AI1185" s="42"/>
      <c r="AJ1185" s="42"/>
      <c r="AK1185" s="42"/>
      <c r="AL1185" s="42"/>
    </row>
    <row r="1186" spans="12:38">
      <c r="L1186" s="42"/>
      <c r="M1186" s="42"/>
      <c r="N1186" s="42"/>
      <c r="O1186" s="42"/>
      <c r="P1186" s="42"/>
      <c r="Q1186" s="42"/>
      <c r="R1186" s="42"/>
      <c r="S1186" s="42"/>
      <c r="T1186" s="42"/>
      <c r="U1186" s="42"/>
      <c r="V1186" s="42"/>
      <c r="AB1186" s="42"/>
      <c r="AC1186" s="42"/>
      <c r="AD1186" s="42"/>
      <c r="AE1186" s="42"/>
      <c r="AF1186" s="42"/>
      <c r="AG1186" s="42"/>
      <c r="AH1186" s="42"/>
      <c r="AI1186" s="42"/>
      <c r="AJ1186" s="42"/>
      <c r="AK1186" s="42"/>
      <c r="AL1186" s="42"/>
    </row>
    <row r="1187" spans="12:38">
      <c r="L1187" s="42"/>
      <c r="M1187" s="42"/>
      <c r="N1187" s="42"/>
      <c r="O1187" s="42"/>
      <c r="P1187" s="42"/>
      <c r="Q1187" s="42"/>
      <c r="R1187" s="42"/>
      <c r="S1187" s="42"/>
      <c r="T1187" s="42"/>
      <c r="U1187" s="42"/>
      <c r="V1187" s="42"/>
      <c r="AB1187" s="42"/>
      <c r="AC1187" s="42"/>
      <c r="AD1187" s="42"/>
      <c r="AE1187" s="42"/>
      <c r="AF1187" s="42"/>
      <c r="AG1187" s="42"/>
      <c r="AH1187" s="42"/>
      <c r="AI1187" s="42"/>
      <c r="AJ1187" s="42"/>
      <c r="AK1187" s="42"/>
      <c r="AL1187" s="42"/>
    </row>
    <row r="1188" spans="12:38">
      <c r="L1188" s="42"/>
      <c r="M1188" s="42"/>
      <c r="N1188" s="42"/>
      <c r="O1188" s="42"/>
      <c r="P1188" s="42"/>
      <c r="Q1188" s="42"/>
      <c r="R1188" s="42"/>
      <c r="S1188" s="42"/>
      <c r="T1188" s="42"/>
      <c r="U1188" s="42"/>
      <c r="V1188" s="42"/>
      <c r="AB1188" s="42"/>
      <c r="AC1188" s="42"/>
      <c r="AD1188" s="42"/>
      <c r="AE1188" s="42"/>
      <c r="AF1188" s="42"/>
      <c r="AG1188" s="42"/>
      <c r="AH1188" s="42"/>
      <c r="AI1188" s="42"/>
      <c r="AJ1188" s="42"/>
      <c r="AK1188" s="42"/>
      <c r="AL1188" s="42"/>
    </row>
    <row r="1189" spans="12:38">
      <c r="L1189" s="42"/>
      <c r="M1189" s="42"/>
      <c r="N1189" s="42"/>
      <c r="O1189" s="42"/>
      <c r="P1189" s="42"/>
      <c r="Q1189" s="42"/>
      <c r="R1189" s="42"/>
      <c r="S1189" s="42"/>
      <c r="T1189" s="42"/>
      <c r="U1189" s="42"/>
      <c r="V1189" s="42"/>
      <c r="AB1189" s="42"/>
      <c r="AC1189" s="42"/>
      <c r="AD1189" s="42"/>
      <c r="AE1189" s="42"/>
      <c r="AF1189" s="42"/>
      <c r="AG1189" s="42"/>
      <c r="AH1189" s="42"/>
      <c r="AI1189" s="42"/>
      <c r="AJ1189" s="42"/>
      <c r="AK1189" s="42"/>
      <c r="AL1189" s="42"/>
    </row>
    <row r="1190" spans="12:38">
      <c r="L1190" s="42"/>
      <c r="M1190" s="42"/>
      <c r="N1190" s="42"/>
      <c r="O1190" s="42"/>
      <c r="P1190" s="42"/>
      <c r="Q1190" s="42"/>
      <c r="R1190" s="42"/>
      <c r="S1190" s="42"/>
      <c r="T1190" s="42"/>
      <c r="U1190" s="42"/>
      <c r="V1190" s="42"/>
      <c r="AB1190" s="42"/>
      <c r="AC1190" s="42"/>
      <c r="AD1190" s="42"/>
      <c r="AE1190" s="42"/>
      <c r="AF1190" s="42"/>
      <c r="AG1190" s="42"/>
      <c r="AH1190" s="42"/>
      <c r="AI1190" s="42"/>
      <c r="AJ1190" s="42"/>
      <c r="AK1190" s="42"/>
      <c r="AL1190" s="42"/>
    </row>
    <row r="1191" spans="12:38">
      <c r="L1191" s="42"/>
      <c r="M1191" s="42"/>
      <c r="N1191" s="42"/>
      <c r="O1191" s="42"/>
      <c r="P1191" s="42"/>
      <c r="Q1191" s="42"/>
      <c r="R1191" s="42"/>
      <c r="S1191" s="42"/>
      <c r="T1191" s="42"/>
      <c r="U1191" s="42"/>
      <c r="V1191" s="42"/>
      <c r="AB1191" s="42"/>
      <c r="AC1191" s="42"/>
      <c r="AD1191" s="42"/>
      <c r="AE1191" s="42"/>
      <c r="AF1191" s="42"/>
      <c r="AG1191" s="42"/>
      <c r="AH1191" s="42"/>
      <c r="AI1191" s="42"/>
      <c r="AJ1191" s="42"/>
      <c r="AK1191" s="42"/>
      <c r="AL1191" s="42"/>
    </row>
    <row r="1192" spans="12:38">
      <c r="L1192" s="42"/>
      <c r="M1192" s="42"/>
      <c r="N1192" s="42"/>
      <c r="O1192" s="42"/>
      <c r="P1192" s="42"/>
      <c r="Q1192" s="42"/>
      <c r="R1192" s="42"/>
      <c r="S1192" s="42"/>
      <c r="T1192" s="42"/>
      <c r="U1192" s="42"/>
      <c r="V1192" s="42"/>
      <c r="AB1192" s="42"/>
      <c r="AC1192" s="42"/>
      <c r="AD1192" s="42"/>
      <c r="AE1192" s="42"/>
      <c r="AF1192" s="42"/>
      <c r="AG1192" s="42"/>
      <c r="AH1192" s="42"/>
      <c r="AI1192" s="42"/>
      <c r="AJ1192" s="42"/>
      <c r="AK1192" s="42"/>
      <c r="AL1192" s="42"/>
    </row>
    <row r="1193" spans="12:38">
      <c r="L1193" s="42"/>
      <c r="M1193" s="42"/>
      <c r="N1193" s="42"/>
      <c r="O1193" s="42"/>
      <c r="P1193" s="42"/>
      <c r="Q1193" s="42"/>
      <c r="R1193" s="42"/>
      <c r="S1193" s="42"/>
      <c r="T1193" s="42"/>
      <c r="U1193" s="42"/>
      <c r="V1193" s="42"/>
      <c r="AB1193" s="42"/>
      <c r="AC1193" s="42"/>
      <c r="AD1193" s="42"/>
      <c r="AE1193" s="42"/>
      <c r="AF1193" s="42"/>
      <c r="AG1193" s="42"/>
      <c r="AH1193" s="42"/>
      <c r="AI1193" s="42"/>
      <c r="AJ1193" s="42"/>
      <c r="AK1193" s="42"/>
      <c r="AL1193" s="42"/>
    </row>
    <row r="1194" spans="12:38">
      <c r="L1194" s="42"/>
      <c r="M1194" s="42"/>
      <c r="N1194" s="42"/>
      <c r="O1194" s="42"/>
      <c r="P1194" s="42"/>
      <c r="Q1194" s="42"/>
      <c r="R1194" s="42"/>
      <c r="S1194" s="42"/>
      <c r="T1194" s="42"/>
      <c r="U1194" s="42"/>
      <c r="V1194" s="42"/>
      <c r="AB1194" s="42"/>
      <c r="AC1194" s="42"/>
      <c r="AD1194" s="42"/>
      <c r="AE1194" s="42"/>
      <c r="AF1194" s="42"/>
      <c r="AG1194" s="42"/>
      <c r="AH1194" s="42"/>
      <c r="AI1194" s="42"/>
      <c r="AJ1194" s="42"/>
      <c r="AK1194" s="42"/>
      <c r="AL1194" s="42"/>
    </row>
    <row r="1195" spans="12:38">
      <c r="L1195" s="42"/>
      <c r="M1195" s="42"/>
      <c r="N1195" s="42"/>
      <c r="O1195" s="42"/>
      <c r="P1195" s="42"/>
      <c r="Q1195" s="42"/>
      <c r="R1195" s="42"/>
      <c r="S1195" s="42"/>
      <c r="T1195" s="42"/>
      <c r="U1195" s="42"/>
      <c r="V1195" s="42"/>
      <c r="AB1195" s="42"/>
      <c r="AC1195" s="42"/>
      <c r="AD1195" s="42"/>
      <c r="AE1195" s="42"/>
      <c r="AF1195" s="42"/>
      <c r="AG1195" s="42"/>
      <c r="AH1195" s="42"/>
      <c r="AI1195" s="42"/>
      <c r="AJ1195" s="42"/>
      <c r="AK1195" s="42"/>
      <c r="AL1195" s="42"/>
    </row>
    <row r="1196" spans="12:38">
      <c r="L1196" s="42"/>
      <c r="M1196" s="42"/>
      <c r="N1196" s="42"/>
      <c r="O1196" s="42"/>
      <c r="P1196" s="42"/>
      <c r="Q1196" s="42"/>
      <c r="R1196" s="42"/>
      <c r="S1196" s="42"/>
      <c r="T1196" s="42"/>
      <c r="U1196" s="42"/>
      <c r="V1196" s="42"/>
      <c r="AB1196" s="42"/>
      <c r="AC1196" s="42"/>
      <c r="AD1196" s="42"/>
      <c r="AE1196" s="42"/>
      <c r="AF1196" s="42"/>
      <c r="AG1196" s="42"/>
      <c r="AH1196" s="42"/>
      <c r="AI1196" s="42"/>
      <c r="AJ1196" s="42"/>
      <c r="AK1196" s="42"/>
      <c r="AL1196" s="42"/>
    </row>
    <row r="1197" spans="12:38">
      <c r="L1197" s="42"/>
      <c r="M1197" s="42"/>
      <c r="N1197" s="42"/>
      <c r="O1197" s="42"/>
      <c r="P1197" s="42"/>
      <c r="Q1197" s="42"/>
      <c r="R1197" s="42"/>
      <c r="S1197" s="42"/>
      <c r="T1197" s="42"/>
      <c r="U1197" s="42"/>
      <c r="V1197" s="42"/>
      <c r="AB1197" s="42"/>
      <c r="AC1197" s="42"/>
      <c r="AD1197" s="42"/>
      <c r="AE1197" s="42"/>
      <c r="AF1197" s="42"/>
      <c r="AG1197" s="42"/>
      <c r="AH1197" s="42"/>
      <c r="AI1197" s="42"/>
      <c r="AJ1197" s="42"/>
      <c r="AK1197" s="42"/>
      <c r="AL1197" s="42"/>
    </row>
    <row r="1198" spans="12:38">
      <c r="L1198" s="42"/>
      <c r="M1198" s="42"/>
      <c r="N1198" s="42"/>
      <c r="O1198" s="42"/>
      <c r="P1198" s="42"/>
      <c r="Q1198" s="42"/>
      <c r="R1198" s="42"/>
      <c r="S1198" s="42"/>
      <c r="T1198" s="42"/>
      <c r="U1198" s="42"/>
      <c r="V1198" s="42"/>
      <c r="AB1198" s="42"/>
      <c r="AC1198" s="42"/>
      <c r="AD1198" s="42"/>
      <c r="AE1198" s="42"/>
      <c r="AF1198" s="42"/>
      <c r="AG1198" s="42"/>
      <c r="AH1198" s="42"/>
      <c r="AI1198" s="42"/>
      <c r="AJ1198" s="42"/>
      <c r="AK1198" s="42"/>
      <c r="AL1198" s="42"/>
    </row>
    <row r="1199" spans="12:38">
      <c r="L1199" s="42"/>
      <c r="M1199" s="42"/>
      <c r="N1199" s="42"/>
      <c r="O1199" s="42"/>
      <c r="P1199" s="42"/>
      <c r="Q1199" s="42"/>
      <c r="R1199" s="42"/>
      <c r="S1199" s="42"/>
      <c r="T1199" s="42"/>
      <c r="U1199" s="42"/>
      <c r="V1199" s="42"/>
      <c r="AB1199" s="42"/>
      <c r="AC1199" s="42"/>
      <c r="AD1199" s="42"/>
      <c r="AE1199" s="42"/>
      <c r="AF1199" s="42"/>
      <c r="AG1199" s="42"/>
      <c r="AH1199" s="42"/>
      <c r="AI1199" s="42"/>
      <c r="AJ1199" s="42"/>
      <c r="AK1199" s="42"/>
      <c r="AL1199" s="42"/>
    </row>
    <row r="1200" spans="12:38">
      <c r="L1200" s="42"/>
      <c r="M1200" s="42"/>
      <c r="N1200" s="42"/>
      <c r="O1200" s="42"/>
      <c r="P1200" s="42"/>
      <c r="Q1200" s="42"/>
      <c r="R1200" s="42"/>
      <c r="S1200" s="42"/>
      <c r="T1200" s="42"/>
      <c r="U1200" s="42"/>
      <c r="V1200" s="42"/>
      <c r="AB1200" s="42"/>
      <c r="AC1200" s="42"/>
      <c r="AD1200" s="42"/>
      <c r="AE1200" s="42"/>
      <c r="AF1200" s="42"/>
      <c r="AG1200" s="42"/>
      <c r="AH1200" s="42"/>
      <c r="AI1200" s="42"/>
      <c r="AJ1200" s="42"/>
      <c r="AK1200" s="42"/>
      <c r="AL1200" s="42"/>
    </row>
    <row r="1201" spans="12:38">
      <c r="L1201" s="42"/>
      <c r="M1201" s="42"/>
      <c r="N1201" s="42"/>
      <c r="O1201" s="42"/>
      <c r="P1201" s="42"/>
      <c r="Q1201" s="42"/>
      <c r="R1201" s="42"/>
      <c r="S1201" s="42"/>
      <c r="T1201" s="42"/>
      <c r="U1201" s="42"/>
      <c r="V1201" s="42"/>
      <c r="AB1201" s="42"/>
      <c r="AC1201" s="42"/>
      <c r="AD1201" s="42"/>
      <c r="AE1201" s="42"/>
      <c r="AF1201" s="42"/>
      <c r="AG1201" s="42"/>
      <c r="AH1201" s="42"/>
      <c r="AI1201" s="42"/>
      <c r="AJ1201" s="42"/>
      <c r="AK1201" s="42"/>
      <c r="AL1201" s="42"/>
    </row>
    <row r="1202" spans="12:38">
      <c r="L1202" s="42"/>
      <c r="M1202" s="42"/>
      <c r="N1202" s="42"/>
      <c r="O1202" s="42"/>
      <c r="P1202" s="42"/>
      <c r="Q1202" s="42"/>
      <c r="R1202" s="42"/>
      <c r="S1202" s="42"/>
      <c r="T1202" s="42"/>
      <c r="U1202" s="42"/>
      <c r="V1202" s="42"/>
      <c r="AB1202" s="42"/>
      <c r="AC1202" s="42"/>
      <c r="AD1202" s="42"/>
      <c r="AE1202" s="42"/>
      <c r="AF1202" s="42"/>
      <c r="AG1202" s="42"/>
      <c r="AH1202" s="42"/>
      <c r="AI1202" s="42"/>
      <c r="AJ1202" s="42"/>
      <c r="AK1202" s="42"/>
      <c r="AL1202" s="42"/>
    </row>
    <row r="1203" spans="12:38">
      <c r="L1203" s="42"/>
      <c r="M1203" s="42"/>
      <c r="N1203" s="42"/>
      <c r="O1203" s="42"/>
      <c r="P1203" s="42"/>
      <c r="Q1203" s="42"/>
      <c r="R1203" s="42"/>
      <c r="S1203" s="42"/>
      <c r="T1203" s="42"/>
      <c r="U1203" s="42"/>
      <c r="V1203" s="42"/>
      <c r="AB1203" s="42"/>
      <c r="AC1203" s="42"/>
      <c r="AD1203" s="42"/>
      <c r="AE1203" s="42"/>
      <c r="AF1203" s="42"/>
      <c r="AG1203" s="42"/>
      <c r="AH1203" s="42"/>
      <c r="AI1203" s="42"/>
      <c r="AJ1203" s="42"/>
      <c r="AK1203" s="42"/>
      <c r="AL1203" s="42"/>
    </row>
    <row r="1204" spans="12:38">
      <c r="L1204" s="42"/>
      <c r="M1204" s="42"/>
      <c r="N1204" s="42"/>
      <c r="O1204" s="42"/>
      <c r="P1204" s="42"/>
      <c r="Q1204" s="42"/>
      <c r="R1204" s="42"/>
      <c r="S1204" s="42"/>
      <c r="T1204" s="42"/>
      <c r="U1204" s="42"/>
      <c r="V1204" s="42"/>
      <c r="AB1204" s="42"/>
      <c r="AC1204" s="42"/>
      <c r="AD1204" s="42"/>
      <c r="AE1204" s="42"/>
      <c r="AF1204" s="42"/>
      <c r="AG1204" s="42"/>
      <c r="AH1204" s="42"/>
      <c r="AI1204" s="42"/>
      <c r="AJ1204" s="42"/>
      <c r="AK1204" s="42"/>
      <c r="AL1204" s="42"/>
    </row>
    <row r="1205" spans="12:38">
      <c r="L1205" s="42"/>
      <c r="M1205" s="42"/>
      <c r="N1205" s="42"/>
      <c r="O1205" s="42"/>
      <c r="P1205" s="42"/>
      <c r="Q1205" s="42"/>
      <c r="R1205" s="42"/>
      <c r="S1205" s="42"/>
      <c r="T1205" s="42"/>
      <c r="U1205" s="42"/>
      <c r="V1205" s="42"/>
      <c r="AB1205" s="42"/>
      <c r="AC1205" s="42"/>
      <c r="AD1205" s="42"/>
      <c r="AE1205" s="42"/>
      <c r="AF1205" s="42"/>
      <c r="AG1205" s="42"/>
      <c r="AH1205" s="42"/>
      <c r="AI1205" s="42"/>
      <c r="AJ1205" s="42"/>
      <c r="AK1205" s="42"/>
      <c r="AL1205" s="42"/>
    </row>
    <row r="1206" spans="12:38">
      <c r="L1206" s="42"/>
      <c r="M1206" s="42"/>
      <c r="N1206" s="42"/>
      <c r="O1206" s="42"/>
      <c r="P1206" s="42"/>
      <c r="Q1206" s="42"/>
      <c r="R1206" s="42"/>
      <c r="S1206" s="42"/>
      <c r="T1206" s="42"/>
      <c r="U1206" s="42"/>
      <c r="V1206" s="42"/>
      <c r="AB1206" s="42"/>
      <c r="AC1206" s="42"/>
      <c r="AD1206" s="42"/>
      <c r="AE1206" s="42"/>
      <c r="AF1206" s="42"/>
      <c r="AG1206" s="42"/>
      <c r="AH1206" s="42"/>
      <c r="AI1206" s="42"/>
      <c r="AJ1206" s="42"/>
      <c r="AK1206" s="42"/>
      <c r="AL1206" s="42"/>
    </row>
    <row r="1207" spans="12:38">
      <c r="L1207" s="42"/>
      <c r="M1207" s="42"/>
      <c r="N1207" s="42"/>
      <c r="O1207" s="42"/>
      <c r="P1207" s="42"/>
      <c r="Q1207" s="42"/>
      <c r="R1207" s="42"/>
      <c r="S1207" s="42"/>
      <c r="T1207" s="42"/>
      <c r="U1207" s="42"/>
      <c r="V1207" s="42"/>
      <c r="AB1207" s="42"/>
      <c r="AC1207" s="42"/>
      <c r="AD1207" s="42"/>
      <c r="AE1207" s="42"/>
      <c r="AF1207" s="42"/>
      <c r="AG1207" s="42"/>
      <c r="AH1207" s="42"/>
      <c r="AI1207" s="42"/>
      <c r="AJ1207" s="42"/>
      <c r="AK1207" s="42"/>
      <c r="AL1207" s="42"/>
    </row>
    <row r="1208" spans="12:38">
      <c r="L1208" s="42"/>
      <c r="M1208" s="42"/>
      <c r="N1208" s="42"/>
      <c r="O1208" s="42"/>
      <c r="P1208" s="42"/>
      <c r="Q1208" s="42"/>
      <c r="R1208" s="42"/>
      <c r="S1208" s="42"/>
      <c r="T1208" s="42"/>
      <c r="U1208" s="42"/>
      <c r="V1208" s="42"/>
      <c r="AB1208" s="42"/>
      <c r="AC1208" s="42"/>
      <c r="AD1208" s="42"/>
      <c r="AE1208" s="42"/>
      <c r="AF1208" s="42"/>
      <c r="AG1208" s="42"/>
      <c r="AH1208" s="42"/>
      <c r="AI1208" s="42"/>
      <c r="AJ1208" s="42"/>
      <c r="AK1208" s="42"/>
      <c r="AL1208" s="42"/>
    </row>
    <row r="1209" spans="12:38">
      <c r="L1209" s="42"/>
      <c r="M1209" s="42"/>
      <c r="N1209" s="42"/>
      <c r="O1209" s="42"/>
      <c r="P1209" s="42"/>
      <c r="Q1209" s="42"/>
      <c r="R1209" s="42"/>
      <c r="S1209" s="42"/>
      <c r="T1209" s="42"/>
      <c r="U1209" s="42"/>
      <c r="V1209" s="42"/>
      <c r="AB1209" s="42"/>
      <c r="AC1209" s="42"/>
      <c r="AD1209" s="42"/>
      <c r="AE1209" s="42"/>
      <c r="AF1209" s="42"/>
      <c r="AG1209" s="42"/>
      <c r="AH1209" s="42"/>
      <c r="AI1209" s="42"/>
      <c r="AJ1209" s="42"/>
      <c r="AK1209" s="42"/>
      <c r="AL1209" s="42"/>
    </row>
    <row r="1210" spans="12:38">
      <c r="L1210" s="42"/>
      <c r="M1210" s="42"/>
      <c r="N1210" s="42"/>
      <c r="O1210" s="42"/>
      <c r="P1210" s="42"/>
      <c r="Q1210" s="42"/>
      <c r="R1210" s="42"/>
      <c r="S1210" s="42"/>
      <c r="T1210" s="42"/>
      <c r="U1210" s="42"/>
      <c r="V1210" s="42"/>
      <c r="AB1210" s="42"/>
      <c r="AC1210" s="42"/>
      <c r="AD1210" s="42"/>
      <c r="AE1210" s="42"/>
      <c r="AF1210" s="42"/>
      <c r="AG1210" s="42"/>
      <c r="AH1210" s="42"/>
      <c r="AI1210" s="42"/>
      <c r="AJ1210" s="42"/>
      <c r="AK1210" s="42"/>
      <c r="AL1210" s="42"/>
    </row>
    <row r="1211" spans="12:38">
      <c r="L1211" s="42"/>
      <c r="M1211" s="42"/>
      <c r="N1211" s="42"/>
      <c r="O1211" s="42"/>
      <c r="P1211" s="42"/>
      <c r="Q1211" s="42"/>
      <c r="R1211" s="42"/>
      <c r="S1211" s="42"/>
      <c r="T1211" s="42"/>
      <c r="U1211" s="42"/>
      <c r="V1211" s="42"/>
      <c r="AB1211" s="42"/>
      <c r="AC1211" s="42"/>
      <c r="AD1211" s="42"/>
      <c r="AE1211" s="42"/>
      <c r="AF1211" s="42"/>
      <c r="AG1211" s="42"/>
      <c r="AH1211" s="42"/>
      <c r="AI1211" s="42"/>
      <c r="AJ1211" s="42"/>
      <c r="AK1211" s="42"/>
      <c r="AL1211" s="42"/>
    </row>
    <row r="1212" spans="12:38">
      <c r="L1212" s="42"/>
      <c r="M1212" s="42"/>
      <c r="N1212" s="42"/>
      <c r="O1212" s="42"/>
      <c r="P1212" s="42"/>
      <c r="Q1212" s="42"/>
      <c r="R1212" s="42"/>
      <c r="S1212" s="42"/>
      <c r="T1212" s="42"/>
      <c r="U1212" s="42"/>
      <c r="V1212" s="42"/>
      <c r="AB1212" s="42"/>
      <c r="AC1212" s="42"/>
      <c r="AD1212" s="42"/>
      <c r="AE1212" s="42"/>
      <c r="AF1212" s="42"/>
      <c r="AG1212" s="42"/>
      <c r="AH1212" s="42"/>
      <c r="AI1212" s="42"/>
      <c r="AJ1212" s="42"/>
      <c r="AK1212" s="42"/>
      <c r="AL1212" s="42"/>
    </row>
    <row r="1213" spans="12:38">
      <c r="L1213" s="42"/>
      <c r="M1213" s="42"/>
      <c r="N1213" s="42"/>
      <c r="O1213" s="42"/>
      <c r="P1213" s="42"/>
      <c r="Q1213" s="42"/>
      <c r="R1213" s="42"/>
      <c r="S1213" s="42"/>
      <c r="T1213" s="42"/>
      <c r="U1213" s="42"/>
      <c r="V1213" s="42"/>
      <c r="AB1213" s="42"/>
      <c r="AC1213" s="42"/>
      <c r="AD1213" s="42"/>
      <c r="AE1213" s="42"/>
      <c r="AF1213" s="42"/>
      <c r="AG1213" s="42"/>
      <c r="AH1213" s="42"/>
      <c r="AI1213" s="42"/>
      <c r="AJ1213" s="42"/>
      <c r="AK1213" s="42"/>
      <c r="AL1213" s="42"/>
    </row>
    <row r="1214" spans="12:38">
      <c r="L1214" s="42"/>
      <c r="M1214" s="42"/>
      <c r="N1214" s="42"/>
      <c r="O1214" s="42"/>
      <c r="P1214" s="42"/>
      <c r="Q1214" s="42"/>
      <c r="R1214" s="42"/>
      <c r="S1214" s="42"/>
      <c r="T1214" s="42"/>
      <c r="U1214" s="42"/>
      <c r="V1214" s="42"/>
      <c r="AB1214" s="42"/>
      <c r="AC1214" s="42"/>
      <c r="AD1214" s="42"/>
      <c r="AE1214" s="42"/>
      <c r="AF1214" s="42"/>
      <c r="AG1214" s="42"/>
      <c r="AH1214" s="42"/>
      <c r="AI1214" s="42"/>
      <c r="AJ1214" s="42"/>
      <c r="AK1214" s="42"/>
      <c r="AL1214" s="42"/>
    </row>
    <row r="1215" spans="12:38">
      <c r="L1215" s="42"/>
      <c r="M1215" s="42"/>
      <c r="N1215" s="42"/>
      <c r="O1215" s="42"/>
      <c r="P1215" s="42"/>
      <c r="Q1215" s="42"/>
      <c r="R1215" s="42"/>
      <c r="S1215" s="42"/>
      <c r="T1215" s="42"/>
      <c r="U1215" s="42"/>
      <c r="V1215" s="42"/>
      <c r="AB1215" s="42"/>
      <c r="AC1215" s="42"/>
      <c r="AD1215" s="42"/>
      <c r="AE1215" s="42"/>
      <c r="AF1215" s="42"/>
      <c r="AG1215" s="42"/>
      <c r="AH1215" s="42"/>
      <c r="AI1215" s="42"/>
      <c r="AJ1215" s="42"/>
      <c r="AK1215" s="42"/>
      <c r="AL1215" s="42"/>
    </row>
    <row r="1216" spans="12:38">
      <c r="L1216" s="42"/>
      <c r="M1216" s="42"/>
      <c r="N1216" s="42"/>
      <c r="O1216" s="42"/>
      <c r="P1216" s="42"/>
      <c r="Q1216" s="42"/>
      <c r="R1216" s="42"/>
      <c r="S1216" s="42"/>
      <c r="T1216" s="42"/>
      <c r="U1216" s="42"/>
      <c r="V1216" s="42"/>
      <c r="AB1216" s="42"/>
      <c r="AC1216" s="42"/>
      <c r="AD1216" s="42"/>
      <c r="AE1216" s="42"/>
      <c r="AF1216" s="42"/>
      <c r="AG1216" s="42"/>
      <c r="AH1216" s="42"/>
      <c r="AI1216" s="42"/>
      <c r="AJ1216" s="42"/>
      <c r="AK1216" s="42"/>
      <c r="AL1216" s="42"/>
    </row>
    <row r="1217" spans="12:38">
      <c r="L1217" s="42"/>
      <c r="M1217" s="42"/>
      <c r="N1217" s="42"/>
      <c r="O1217" s="42"/>
      <c r="P1217" s="42"/>
      <c r="Q1217" s="42"/>
      <c r="R1217" s="42"/>
      <c r="S1217" s="42"/>
      <c r="T1217" s="42"/>
      <c r="U1217" s="42"/>
      <c r="V1217" s="42"/>
      <c r="AB1217" s="42"/>
      <c r="AC1217" s="42"/>
      <c r="AD1217" s="42"/>
      <c r="AE1217" s="42"/>
      <c r="AF1217" s="42"/>
      <c r="AG1217" s="42"/>
      <c r="AH1217" s="42"/>
      <c r="AI1217" s="42"/>
      <c r="AJ1217" s="42"/>
      <c r="AK1217" s="42"/>
      <c r="AL1217" s="42"/>
    </row>
    <row r="1218" spans="12:38">
      <c r="L1218" s="42"/>
      <c r="M1218" s="42"/>
      <c r="N1218" s="42"/>
      <c r="O1218" s="42"/>
      <c r="P1218" s="42"/>
      <c r="Q1218" s="42"/>
      <c r="R1218" s="42"/>
      <c r="S1218" s="42"/>
      <c r="T1218" s="42"/>
      <c r="U1218" s="42"/>
      <c r="V1218" s="42"/>
      <c r="AB1218" s="42"/>
      <c r="AC1218" s="42"/>
      <c r="AD1218" s="42"/>
      <c r="AE1218" s="42"/>
      <c r="AF1218" s="42"/>
      <c r="AG1218" s="42"/>
      <c r="AH1218" s="42"/>
      <c r="AI1218" s="42"/>
      <c r="AJ1218" s="42"/>
      <c r="AK1218" s="42"/>
      <c r="AL1218" s="42"/>
    </row>
    <row r="1219" spans="12:38">
      <c r="L1219" s="42"/>
      <c r="M1219" s="42"/>
      <c r="N1219" s="42"/>
      <c r="O1219" s="42"/>
      <c r="P1219" s="42"/>
      <c r="Q1219" s="42"/>
      <c r="R1219" s="42"/>
      <c r="S1219" s="42"/>
      <c r="T1219" s="42"/>
      <c r="U1219" s="42"/>
      <c r="V1219" s="42"/>
      <c r="AB1219" s="42"/>
      <c r="AC1219" s="42"/>
      <c r="AD1219" s="42"/>
      <c r="AE1219" s="42"/>
      <c r="AF1219" s="42"/>
      <c r="AG1219" s="42"/>
      <c r="AH1219" s="42"/>
      <c r="AI1219" s="42"/>
      <c r="AJ1219" s="42"/>
      <c r="AK1219" s="42"/>
      <c r="AL1219" s="42"/>
    </row>
    <row r="1220" spans="12:38">
      <c r="L1220" s="42"/>
      <c r="M1220" s="42"/>
      <c r="N1220" s="42"/>
      <c r="O1220" s="42"/>
      <c r="P1220" s="42"/>
      <c r="Q1220" s="42"/>
      <c r="R1220" s="42"/>
      <c r="S1220" s="42"/>
      <c r="T1220" s="42"/>
      <c r="U1220" s="42"/>
      <c r="V1220" s="42"/>
      <c r="AB1220" s="42"/>
      <c r="AC1220" s="42"/>
      <c r="AD1220" s="42"/>
      <c r="AE1220" s="42"/>
      <c r="AF1220" s="42"/>
      <c r="AG1220" s="42"/>
      <c r="AH1220" s="42"/>
      <c r="AI1220" s="42"/>
      <c r="AJ1220" s="42"/>
      <c r="AK1220" s="42"/>
      <c r="AL1220" s="42"/>
    </row>
    <row r="1221" spans="12:38">
      <c r="L1221" s="42"/>
      <c r="M1221" s="42"/>
      <c r="N1221" s="42"/>
      <c r="O1221" s="42"/>
      <c r="P1221" s="42"/>
      <c r="Q1221" s="42"/>
      <c r="R1221" s="42"/>
      <c r="S1221" s="42"/>
      <c r="T1221" s="42"/>
      <c r="U1221" s="42"/>
      <c r="V1221" s="42"/>
      <c r="AB1221" s="42"/>
      <c r="AC1221" s="42"/>
      <c r="AD1221" s="42"/>
      <c r="AE1221" s="42"/>
      <c r="AF1221" s="42"/>
      <c r="AG1221" s="42"/>
      <c r="AH1221" s="42"/>
      <c r="AI1221" s="42"/>
      <c r="AJ1221" s="42"/>
      <c r="AK1221" s="42"/>
      <c r="AL1221" s="42"/>
    </row>
    <row r="1222" spans="12:38">
      <c r="L1222" s="42"/>
      <c r="M1222" s="42"/>
      <c r="N1222" s="42"/>
      <c r="O1222" s="42"/>
      <c r="P1222" s="42"/>
      <c r="Q1222" s="42"/>
      <c r="R1222" s="42"/>
      <c r="S1222" s="42"/>
      <c r="T1222" s="42"/>
      <c r="U1222" s="42"/>
      <c r="V1222" s="42"/>
      <c r="AB1222" s="42"/>
      <c r="AC1222" s="42"/>
      <c r="AD1222" s="42"/>
      <c r="AE1222" s="42"/>
      <c r="AF1222" s="42"/>
      <c r="AG1222" s="42"/>
      <c r="AH1222" s="42"/>
      <c r="AI1222" s="42"/>
      <c r="AJ1222" s="42"/>
      <c r="AK1222" s="42"/>
      <c r="AL1222" s="42"/>
    </row>
    <row r="1223" spans="12:38">
      <c r="L1223" s="42"/>
      <c r="M1223" s="42"/>
      <c r="N1223" s="42"/>
      <c r="O1223" s="42"/>
      <c r="P1223" s="42"/>
      <c r="Q1223" s="42"/>
      <c r="R1223" s="42"/>
      <c r="S1223" s="42"/>
      <c r="T1223" s="42"/>
      <c r="U1223" s="42"/>
      <c r="V1223" s="42"/>
      <c r="AB1223" s="42"/>
      <c r="AC1223" s="42"/>
      <c r="AD1223" s="42"/>
      <c r="AE1223" s="42"/>
      <c r="AF1223" s="42"/>
      <c r="AG1223" s="42"/>
      <c r="AH1223" s="42"/>
      <c r="AI1223" s="42"/>
      <c r="AJ1223" s="42"/>
      <c r="AK1223" s="42"/>
      <c r="AL1223" s="42"/>
    </row>
    <row r="1224" spans="12:38">
      <c r="L1224" s="42"/>
      <c r="M1224" s="42"/>
      <c r="N1224" s="42"/>
      <c r="O1224" s="42"/>
      <c r="P1224" s="42"/>
      <c r="Q1224" s="42"/>
      <c r="R1224" s="42"/>
      <c r="S1224" s="42"/>
      <c r="T1224" s="42"/>
      <c r="U1224" s="42"/>
      <c r="V1224" s="42"/>
      <c r="AB1224" s="42"/>
      <c r="AC1224" s="42"/>
      <c r="AD1224" s="42"/>
      <c r="AE1224" s="42"/>
      <c r="AF1224" s="42"/>
      <c r="AG1224" s="42"/>
      <c r="AH1224" s="42"/>
      <c r="AI1224" s="42"/>
      <c r="AJ1224" s="42"/>
      <c r="AK1224" s="42"/>
      <c r="AL1224" s="42"/>
    </row>
    <row r="1225" spans="12:38">
      <c r="L1225" s="42"/>
      <c r="M1225" s="42"/>
      <c r="N1225" s="42"/>
      <c r="O1225" s="42"/>
      <c r="P1225" s="42"/>
      <c r="Q1225" s="42"/>
      <c r="R1225" s="42"/>
      <c r="S1225" s="42"/>
      <c r="T1225" s="42"/>
      <c r="U1225" s="42"/>
      <c r="V1225" s="42"/>
      <c r="AB1225" s="42"/>
      <c r="AC1225" s="42"/>
      <c r="AD1225" s="42"/>
      <c r="AE1225" s="42"/>
      <c r="AF1225" s="42"/>
      <c r="AG1225" s="42"/>
      <c r="AH1225" s="42"/>
      <c r="AI1225" s="42"/>
      <c r="AJ1225" s="42"/>
      <c r="AK1225" s="42"/>
      <c r="AL1225" s="42"/>
    </row>
    <row r="1226" spans="12:38">
      <c r="L1226" s="42"/>
      <c r="M1226" s="42"/>
      <c r="N1226" s="42"/>
      <c r="O1226" s="42"/>
      <c r="P1226" s="42"/>
      <c r="Q1226" s="42"/>
      <c r="R1226" s="42"/>
      <c r="S1226" s="42"/>
      <c r="T1226" s="42"/>
      <c r="U1226" s="42"/>
      <c r="V1226" s="42"/>
      <c r="AB1226" s="42"/>
      <c r="AC1226" s="42"/>
      <c r="AD1226" s="42"/>
      <c r="AE1226" s="42"/>
      <c r="AF1226" s="42"/>
      <c r="AG1226" s="42"/>
      <c r="AH1226" s="42"/>
      <c r="AI1226" s="42"/>
      <c r="AJ1226" s="42"/>
      <c r="AK1226" s="42"/>
      <c r="AL1226" s="42"/>
    </row>
    <row r="1227" spans="12:38">
      <c r="L1227" s="42"/>
      <c r="M1227" s="42"/>
      <c r="N1227" s="42"/>
      <c r="O1227" s="42"/>
      <c r="P1227" s="42"/>
      <c r="Q1227" s="42"/>
      <c r="R1227" s="42"/>
      <c r="S1227" s="42"/>
      <c r="T1227" s="42"/>
      <c r="U1227" s="42"/>
      <c r="V1227" s="42"/>
      <c r="AB1227" s="42"/>
      <c r="AC1227" s="42"/>
      <c r="AD1227" s="42"/>
      <c r="AE1227" s="42"/>
      <c r="AF1227" s="42"/>
      <c r="AG1227" s="42"/>
      <c r="AH1227" s="42"/>
      <c r="AI1227" s="42"/>
      <c r="AJ1227" s="42"/>
      <c r="AK1227" s="42"/>
      <c r="AL1227" s="42"/>
    </row>
    <row r="1228" spans="12:38">
      <c r="L1228" s="42"/>
      <c r="M1228" s="42"/>
      <c r="N1228" s="42"/>
      <c r="O1228" s="42"/>
      <c r="P1228" s="42"/>
      <c r="Q1228" s="42"/>
      <c r="R1228" s="42"/>
      <c r="S1228" s="42"/>
      <c r="T1228" s="42"/>
      <c r="U1228" s="42"/>
      <c r="V1228" s="42"/>
      <c r="AB1228" s="42"/>
      <c r="AC1228" s="42"/>
      <c r="AD1228" s="42"/>
      <c r="AE1228" s="42"/>
      <c r="AF1228" s="42"/>
      <c r="AG1228" s="42"/>
      <c r="AH1228" s="42"/>
      <c r="AI1228" s="42"/>
      <c r="AJ1228" s="42"/>
      <c r="AK1228" s="42"/>
      <c r="AL1228" s="42"/>
    </row>
    <row r="1229" spans="12:38">
      <c r="L1229" s="42"/>
      <c r="M1229" s="42"/>
      <c r="N1229" s="42"/>
      <c r="O1229" s="42"/>
      <c r="P1229" s="42"/>
      <c r="Q1229" s="42"/>
      <c r="R1229" s="42"/>
      <c r="S1229" s="42"/>
      <c r="T1229" s="42"/>
      <c r="U1229" s="42"/>
      <c r="V1229" s="42"/>
      <c r="AB1229" s="42"/>
      <c r="AC1229" s="42"/>
      <c r="AD1229" s="42"/>
      <c r="AE1229" s="42"/>
      <c r="AF1229" s="42"/>
      <c r="AG1229" s="42"/>
      <c r="AH1229" s="42"/>
      <c r="AI1229" s="42"/>
      <c r="AJ1229" s="42"/>
      <c r="AK1229" s="42"/>
      <c r="AL1229" s="42"/>
    </row>
    <row r="1230" spans="12:38">
      <c r="L1230" s="42"/>
      <c r="M1230" s="42"/>
      <c r="N1230" s="42"/>
      <c r="O1230" s="42"/>
      <c r="P1230" s="42"/>
      <c r="Q1230" s="42"/>
      <c r="R1230" s="42"/>
      <c r="S1230" s="42"/>
      <c r="T1230" s="42"/>
      <c r="U1230" s="42"/>
      <c r="V1230" s="42"/>
      <c r="AB1230" s="42"/>
      <c r="AC1230" s="42"/>
      <c r="AD1230" s="42"/>
      <c r="AE1230" s="42"/>
      <c r="AF1230" s="42"/>
      <c r="AG1230" s="42"/>
      <c r="AH1230" s="42"/>
      <c r="AI1230" s="42"/>
      <c r="AJ1230" s="42"/>
      <c r="AK1230" s="42"/>
      <c r="AL1230" s="42"/>
    </row>
    <row r="1231" spans="12:38">
      <c r="L1231" s="42"/>
      <c r="M1231" s="42"/>
      <c r="N1231" s="42"/>
      <c r="O1231" s="42"/>
      <c r="P1231" s="42"/>
      <c r="Q1231" s="42"/>
      <c r="R1231" s="42"/>
      <c r="S1231" s="42"/>
      <c r="T1231" s="42"/>
      <c r="U1231" s="42"/>
      <c r="V1231" s="42"/>
      <c r="AB1231" s="42"/>
      <c r="AC1231" s="42"/>
      <c r="AD1231" s="42"/>
      <c r="AE1231" s="42"/>
      <c r="AF1231" s="42"/>
      <c r="AG1231" s="42"/>
      <c r="AH1231" s="42"/>
      <c r="AI1231" s="42"/>
      <c r="AJ1231" s="42"/>
      <c r="AK1231" s="42"/>
      <c r="AL1231" s="42"/>
    </row>
    <row r="1232" spans="12:38">
      <c r="L1232" s="42"/>
      <c r="M1232" s="42"/>
      <c r="N1232" s="42"/>
      <c r="O1232" s="42"/>
      <c r="P1232" s="42"/>
      <c r="Q1232" s="42"/>
      <c r="R1232" s="42"/>
      <c r="S1232" s="42"/>
      <c r="T1232" s="42"/>
      <c r="U1232" s="42"/>
      <c r="V1232" s="42"/>
      <c r="AB1232" s="42"/>
      <c r="AC1232" s="42"/>
      <c r="AD1232" s="42"/>
      <c r="AE1232" s="42"/>
      <c r="AF1232" s="42"/>
      <c r="AG1232" s="42"/>
      <c r="AH1232" s="42"/>
      <c r="AI1232" s="42"/>
      <c r="AJ1232" s="42"/>
      <c r="AK1232" s="42"/>
      <c r="AL1232" s="42"/>
    </row>
    <row r="1233" spans="12:38">
      <c r="L1233" s="42"/>
      <c r="M1233" s="42"/>
      <c r="N1233" s="42"/>
      <c r="O1233" s="42"/>
      <c r="P1233" s="42"/>
      <c r="Q1233" s="42"/>
      <c r="R1233" s="42"/>
      <c r="S1233" s="42"/>
      <c r="T1233" s="42"/>
      <c r="U1233" s="42"/>
      <c r="V1233" s="42"/>
      <c r="AB1233" s="42"/>
      <c r="AC1233" s="42"/>
      <c r="AD1233" s="42"/>
      <c r="AE1233" s="42"/>
      <c r="AF1233" s="42"/>
      <c r="AG1233" s="42"/>
      <c r="AH1233" s="42"/>
      <c r="AI1233" s="42"/>
      <c r="AJ1233" s="42"/>
      <c r="AK1233" s="42"/>
      <c r="AL1233" s="42"/>
    </row>
    <row r="1234" spans="12:38">
      <c r="L1234" s="42"/>
      <c r="M1234" s="42"/>
      <c r="N1234" s="42"/>
      <c r="O1234" s="42"/>
      <c r="P1234" s="42"/>
      <c r="Q1234" s="42"/>
      <c r="R1234" s="42"/>
      <c r="S1234" s="42"/>
      <c r="T1234" s="42"/>
      <c r="U1234" s="42"/>
      <c r="V1234" s="42"/>
      <c r="AB1234" s="42"/>
      <c r="AC1234" s="42"/>
      <c r="AD1234" s="42"/>
      <c r="AE1234" s="42"/>
      <c r="AF1234" s="42"/>
      <c r="AG1234" s="42"/>
      <c r="AH1234" s="42"/>
      <c r="AI1234" s="42"/>
      <c r="AJ1234" s="42"/>
      <c r="AK1234" s="42"/>
      <c r="AL1234" s="42"/>
    </row>
    <row r="1235" spans="12:38">
      <c r="L1235" s="42"/>
      <c r="M1235" s="42"/>
      <c r="N1235" s="42"/>
      <c r="O1235" s="42"/>
      <c r="P1235" s="42"/>
      <c r="Q1235" s="42"/>
      <c r="R1235" s="42"/>
      <c r="S1235" s="42"/>
      <c r="T1235" s="42"/>
      <c r="U1235" s="42"/>
      <c r="V1235" s="42"/>
      <c r="AB1235" s="42"/>
      <c r="AC1235" s="42"/>
      <c r="AD1235" s="42"/>
      <c r="AE1235" s="42"/>
      <c r="AF1235" s="42"/>
      <c r="AG1235" s="42"/>
      <c r="AH1235" s="42"/>
      <c r="AI1235" s="42"/>
      <c r="AJ1235" s="42"/>
      <c r="AK1235" s="42"/>
      <c r="AL1235" s="42"/>
    </row>
    <row r="1236" spans="12:38">
      <c r="L1236" s="42"/>
      <c r="M1236" s="42"/>
      <c r="N1236" s="42"/>
      <c r="O1236" s="42"/>
      <c r="P1236" s="42"/>
      <c r="Q1236" s="42"/>
      <c r="R1236" s="42"/>
      <c r="S1236" s="42"/>
      <c r="T1236" s="42"/>
      <c r="U1236" s="42"/>
      <c r="V1236" s="42"/>
      <c r="AB1236" s="42"/>
      <c r="AC1236" s="42"/>
      <c r="AD1236" s="42"/>
      <c r="AE1236" s="42"/>
      <c r="AF1236" s="42"/>
      <c r="AG1236" s="42"/>
      <c r="AH1236" s="42"/>
      <c r="AI1236" s="42"/>
      <c r="AJ1236" s="42"/>
      <c r="AK1236" s="42"/>
      <c r="AL1236" s="42"/>
    </row>
    <row r="1237" spans="12:38">
      <c r="L1237" s="42"/>
      <c r="M1237" s="42"/>
      <c r="N1237" s="42"/>
      <c r="O1237" s="42"/>
      <c r="P1237" s="42"/>
      <c r="Q1237" s="42"/>
      <c r="R1237" s="42"/>
      <c r="S1237" s="42"/>
      <c r="T1237" s="42"/>
      <c r="U1237" s="42"/>
      <c r="V1237" s="42"/>
      <c r="AB1237" s="42"/>
      <c r="AC1237" s="42"/>
      <c r="AD1237" s="42"/>
      <c r="AE1237" s="42"/>
      <c r="AF1237" s="42"/>
      <c r="AG1237" s="42"/>
      <c r="AH1237" s="42"/>
      <c r="AI1237" s="42"/>
      <c r="AJ1237" s="42"/>
      <c r="AK1237" s="42"/>
      <c r="AL1237" s="42"/>
    </row>
    <row r="1238" spans="12:38">
      <c r="L1238" s="42"/>
      <c r="M1238" s="42"/>
      <c r="N1238" s="42"/>
      <c r="O1238" s="42"/>
      <c r="P1238" s="42"/>
      <c r="Q1238" s="42"/>
      <c r="R1238" s="42"/>
      <c r="S1238" s="42"/>
      <c r="T1238" s="42"/>
      <c r="U1238" s="42"/>
      <c r="V1238" s="42"/>
      <c r="AB1238" s="42"/>
      <c r="AC1238" s="42"/>
      <c r="AD1238" s="42"/>
      <c r="AE1238" s="42"/>
      <c r="AF1238" s="42"/>
      <c r="AG1238" s="42"/>
      <c r="AH1238" s="42"/>
      <c r="AI1238" s="42"/>
      <c r="AJ1238" s="42"/>
      <c r="AK1238" s="42"/>
      <c r="AL1238" s="42"/>
    </row>
    <row r="1239" spans="12:38">
      <c r="L1239" s="42"/>
      <c r="M1239" s="42"/>
      <c r="N1239" s="42"/>
      <c r="O1239" s="42"/>
      <c r="P1239" s="42"/>
      <c r="Q1239" s="42"/>
      <c r="R1239" s="42"/>
      <c r="S1239" s="42"/>
      <c r="T1239" s="42"/>
      <c r="U1239" s="42"/>
      <c r="V1239" s="42"/>
      <c r="AB1239" s="42"/>
      <c r="AC1239" s="42"/>
      <c r="AD1239" s="42"/>
      <c r="AE1239" s="42"/>
      <c r="AF1239" s="42"/>
      <c r="AG1239" s="42"/>
      <c r="AH1239" s="42"/>
      <c r="AI1239" s="42"/>
      <c r="AJ1239" s="42"/>
      <c r="AK1239" s="42"/>
      <c r="AL1239" s="42"/>
    </row>
    <row r="1240" spans="12:38">
      <c r="L1240" s="42"/>
      <c r="M1240" s="42"/>
      <c r="N1240" s="42"/>
      <c r="O1240" s="42"/>
      <c r="P1240" s="42"/>
      <c r="Q1240" s="42"/>
      <c r="R1240" s="42"/>
      <c r="S1240" s="42"/>
      <c r="T1240" s="42"/>
      <c r="U1240" s="42"/>
      <c r="V1240" s="42"/>
      <c r="AB1240" s="42"/>
      <c r="AC1240" s="42"/>
      <c r="AD1240" s="42"/>
      <c r="AE1240" s="42"/>
      <c r="AF1240" s="42"/>
      <c r="AG1240" s="42"/>
      <c r="AH1240" s="42"/>
      <c r="AI1240" s="42"/>
      <c r="AJ1240" s="42"/>
      <c r="AK1240" s="42"/>
      <c r="AL1240" s="42"/>
    </row>
    <row r="1241" spans="12:38">
      <c r="L1241" s="42"/>
      <c r="M1241" s="42"/>
      <c r="N1241" s="42"/>
      <c r="O1241" s="42"/>
      <c r="P1241" s="42"/>
      <c r="Q1241" s="42"/>
      <c r="R1241" s="42"/>
      <c r="S1241" s="42"/>
      <c r="T1241" s="42"/>
      <c r="U1241" s="42"/>
      <c r="V1241" s="42"/>
      <c r="AB1241" s="42"/>
      <c r="AC1241" s="42"/>
      <c r="AD1241" s="42"/>
      <c r="AE1241" s="42"/>
      <c r="AF1241" s="42"/>
      <c r="AG1241" s="42"/>
      <c r="AH1241" s="42"/>
      <c r="AI1241" s="42"/>
      <c r="AJ1241" s="42"/>
      <c r="AK1241" s="42"/>
      <c r="AL1241" s="42"/>
    </row>
    <row r="1242" spans="12:38">
      <c r="L1242" s="42"/>
      <c r="M1242" s="42"/>
      <c r="N1242" s="42"/>
      <c r="O1242" s="42"/>
      <c r="P1242" s="42"/>
      <c r="Q1242" s="42"/>
      <c r="R1242" s="42"/>
      <c r="S1242" s="42"/>
      <c r="T1242" s="42"/>
      <c r="U1242" s="42"/>
      <c r="V1242" s="42"/>
      <c r="AB1242" s="42"/>
      <c r="AC1242" s="42"/>
      <c r="AD1242" s="42"/>
      <c r="AE1242" s="42"/>
      <c r="AF1242" s="42"/>
      <c r="AG1242" s="42"/>
      <c r="AH1242" s="42"/>
      <c r="AI1242" s="42"/>
      <c r="AJ1242" s="42"/>
      <c r="AK1242" s="42"/>
      <c r="AL1242" s="42"/>
    </row>
    <row r="1243" spans="12:38">
      <c r="L1243" s="42"/>
      <c r="M1243" s="42"/>
      <c r="N1243" s="42"/>
      <c r="O1243" s="42"/>
      <c r="P1243" s="42"/>
      <c r="Q1243" s="42"/>
      <c r="R1243" s="42"/>
      <c r="S1243" s="42"/>
      <c r="T1243" s="42"/>
      <c r="U1243" s="42"/>
      <c r="V1243" s="42"/>
      <c r="AB1243" s="42"/>
      <c r="AC1243" s="42"/>
      <c r="AD1243" s="42"/>
      <c r="AE1243" s="42"/>
      <c r="AF1243" s="42"/>
      <c r="AG1243" s="42"/>
      <c r="AH1243" s="42"/>
      <c r="AI1243" s="42"/>
      <c r="AJ1243" s="42"/>
      <c r="AK1243" s="42"/>
      <c r="AL1243" s="42"/>
    </row>
    <row r="1244" spans="12:38">
      <c r="L1244" s="42"/>
      <c r="M1244" s="42"/>
      <c r="N1244" s="42"/>
      <c r="O1244" s="42"/>
      <c r="P1244" s="42"/>
      <c r="Q1244" s="42"/>
      <c r="R1244" s="42"/>
      <c r="S1244" s="42"/>
      <c r="T1244" s="42"/>
      <c r="U1244" s="42"/>
      <c r="V1244" s="42"/>
      <c r="AB1244" s="42"/>
      <c r="AC1244" s="42"/>
      <c r="AD1244" s="42"/>
      <c r="AE1244" s="42"/>
      <c r="AF1244" s="42"/>
      <c r="AG1244" s="42"/>
      <c r="AH1244" s="42"/>
      <c r="AI1244" s="42"/>
      <c r="AJ1244" s="42"/>
      <c r="AK1244" s="42"/>
      <c r="AL1244" s="42"/>
    </row>
    <row r="1245" spans="12:38">
      <c r="L1245" s="42"/>
      <c r="M1245" s="42"/>
      <c r="N1245" s="42"/>
      <c r="O1245" s="42"/>
      <c r="P1245" s="42"/>
      <c r="Q1245" s="42"/>
      <c r="R1245" s="42"/>
      <c r="S1245" s="42"/>
      <c r="T1245" s="42"/>
      <c r="U1245" s="42"/>
      <c r="V1245" s="42"/>
      <c r="AB1245" s="42"/>
      <c r="AC1245" s="42"/>
      <c r="AD1245" s="42"/>
      <c r="AE1245" s="42"/>
      <c r="AF1245" s="42"/>
      <c r="AG1245" s="42"/>
      <c r="AH1245" s="42"/>
      <c r="AI1245" s="42"/>
      <c r="AJ1245" s="42"/>
      <c r="AK1245" s="42"/>
      <c r="AL1245" s="42"/>
    </row>
    <row r="1246" spans="12:38">
      <c r="L1246" s="42"/>
      <c r="M1246" s="42"/>
      <c r="N1246" s="42"/>
      <c r="O1246" s="42"/>
      <c r="P1246" s="42"/>
      <c r="Q1246" s="42"/>
      <c r="R1246" s="42"/>
      <c r="S1246" s="42"/>
      <c r="T1246" s="42"/>
      <c r="U1246" s="42"/>
      <c r="V1246" s="42"/>
      <c r="AB1246" s="42"/>
      <c r="AC1246" s="42"/>
      <c r="AD1246" s="42"/>
      <c r="AE1246" s="42"/>
      <c r="AF1246" s="42"/>
      <c r="AG1246" s="42"/>
      <c r="AH1246" s="42"/>
      <c r="AI1246" s="42"/>
      <c r="AJ1246" s="42"/>
      <c r="AK1246" s="42"/>
      <c r="AL1246" s="42"/>
    </row>
    <row r="1247" spans="12:38">
      <c r="L1247" s="42"/>
      <c r="M1247" s="42"/>
      <c r="N1247" s="42"/>
      <c r="O1247" s="42"/>
      <c r="P1247" s="42"/>
      <c r="Q1247" s="42"/>
      <c r="R1247" s="42"/>
      <c r="S1247" s="42"/>
      <c r="T1247" s="42"/>
      <c r="U1247" s="42"/>
      <c r="V1247" s="42"/>
      <c r="AB1247" s="42"/>
      <c r="AC1247" s="42"/>
      <c r="AD1247" s="42"/>
      <c r="AE1247" s="42"/>
      <c r="AF1247" s="42"/>
      <c r="AG1247" s="42"/>
      <c r="AH1247" s="42"/>
      <c r="AI1247" s="42"/>
      <c r="AJ1247" s="42"/>
      <c r="AK1247" s="42"/>
      <c r="AL1247" s="42"/>
    </row>
    <row r="1248" spans="12:38">
      <c r="L1248" s="42"/>
      <c r="M1248" s="42"/>
      <c r="N1248" s="42"/>
      <c r="O1248" s="42"/>
      <c r="P1248" s="42"/>
      <c r="Q1248" s="42"/>
      <c r="R1248" s="42"/>
      <c r="S1248" s="42"/>
      <c r="T1248" s="42"/>
      <c r="U1248" s="42"/>
      <c r="V1248" s="42"/>
      <c r="AB1248" s="42"/>
      <c r="AC1248" s="42"/>
      <c r="AD1248" s="42"/>
      <c r="AE1248" s="42"/>
      <c r="AF1248" s="42"/>
      <c r="AG1248" s="42"/>
      <c r="AH1248" s="42"/>
      <c r="AI1248" s="42"/>
      <c r="AJ1248" s="42"/>
      <c r="AK1248" s="42"/>
      <c r="AL1248" s="42"/>
    </row>
    <row r="1249" spans="12:38">
      <c r="L1249" s="42"/>
      <c r="M1249" s="42"/>
      <c r="N1249" s="42"/>
      <c r="O1249" s="42"/>
      <c r="P1249" s="42"/>
      <c r="Q1249" s="42"/>
      <c r="R1249" s="42"/>
      <c r="S1249" s="42"/>
      <c r="T1249" s="42"/>
      <c r="U1249" s="42"/>
      <c r="V1249" s="42"/>
      <c r="AB1249" s="42"/>
      <c r="AC1249" s="42"/>
      <c r="AD1249" s="42"/>
      <c r="AE1249" s="42"/>
      <c r="AF1249" s="42"/>
      <c r="AG1249" s="42"/>
      <c r="AH1249" s="42"/>
      <c r="AI1249" s="42"/>
      <c r="AJ1249" s="42"/>
      <c r="AK1249" s="42"/>
      <c r="AL1249" s="42"/>
    </row>
    <row r="1250" spans="12:38">
      <c r="L1250" s="42"/>
      <c r="M1250" s="42"/>
      <c r="N1250" s="42"/>
      <c r="O1250" s="42"/>
      <c r="P1250" s="42"/>
      <c r="Q1250" s="42"/>
      <c r="R1250" s="42"/>
      <c r="S1250" s="42"/>
      <c r="T1250" s="42"/>
      <c r="U1250" s="42"/>
      <c r="V1250" s="42"/>
      <c r="AB1250" s="42"/>
      <c r="AC1250" s="42"/>
      <c r="AD1250" s="42"/>
      <c r="AE1250" s="42"/>
      <c r="AF1250" s="42"/>
      <c r="AG1250" s="42"/>
      <c r="AH1250" s="42"/>
      <c r="AI1250" s="42"/>
      <c r="AJ1250" s="42"/>
      <c r="AK1250" s="42"/>
      <c r="AL1250" s="42"/>
    </row>
    <row r="1251" spans="12:38">
      <c r="L1251" s="42"/>
      <c r="M1251" s="42"/>
      <c r="N1251" s="42"/>
      <c r="O1251" s="42"/>
      <c r="P1251" s="42"/>
      <c r="Q1251" s="42"/>
      <c r="R1251" s="42"/>
      <c r="S1251" s="42"/>
      <c r="T1251" s="42"/>
      <c r="U1251" s="42"/>
      <c r="V1251" s="42"/>
      <c r="AB1251" s="42"/>
      <c r="AC1251" s="42"/>
      <c r="AD1251" s="42"/>
      <c r="AE1251" s="42"/>
      <c r="AF1251" s="42"/>
      <c r="AG1251" s="42"/>
      <c r="AH1251" s="42"/>
      <c r="AI1251" s="42"/>
      <c r="AJ1251" s="42"/>
      <c r="AK1251" s="42"/>
      <c r="AL1251" s="42"/>
    </row>
    <row r="1252" spans="12:38">
      <c r="L1252" s="42"/>
      <c r="M1252" s="42"/>
      <c r="N1252" s="42"/>
      <c r="O1252" s="42"/>
      <c r="P1252" s="42"/>
      <c r="Q1252" s="42"/>
      <c r="R1252" s="42"/>
      <c r="S1252" s="42"/>
      <c r="T1252" s="42"/>
      <c r="U1252" s="42"/>
      <c r="V1252" s="42"/>
      <c r="AB1252" s="42"/>
      <c r="AC1252" s="42"/>
      <c r="AD1252" s="42"/>
      <c r="AE1252" s="42"/>
      <c r="AF1252" s="42"/>
      <c r="AG1252" s="42"/>
      <c r="AH1252" s="42"/>
      <c r="AI1252" s="42"/>
      <c r="AJ1252" s="42"/>
      <c r="AK1252" s="42"/>
      <c r="AL1252" s="42"/>
    </row>
    <row r="1253" spans="12:38">
      <c r="L1253" s="42"/>
      <c r="M1253" s="42"/>
      <c r="N1253" s="42"/>
      <c r="O1253" s="42"/>
      <c r="P1253" s="42"/>
      <c r="Q1253" s="42"/>
      <c r="R1253" s="42"/>
      <c r="S1253" s="42"/>
      <c r="T1253" s="42"/>
      <c r="U1253" s="42"/>
      <c r="V1253" s="42"/>
      <c r="AB1253" s="42"/>
      <c r="AC1253" s="42"/>
      <c r="AD1253" s="42"/>
      <c r="AE1253" s="42"/>
      <c r="AF1253" s="42"/>
      <c r="AG1253" s="42"/>
      <c r="AH1253" s="42"/>
      <c r="AI1253" s="42"/>
      <c r="AJ1253" s="42"/>
      <c r="AK1253" s="42"/>
      <c r="AL1253" s="42"/>
    </row>
    <row r="1254" spans="12:38">
      <c r="L1254" s="42"/>
      <c r="M1254" s="42"/>
      <c r="N1254" s="42"/>
      <c r="O1254" s="42"/>
      <c r="P1254" s="42"/>
      <c r="Q1254" s="42"/>
      <c r="R1254" s="42"/>
      <c r="S1254" s="42"/>
      <c r="T1254" s="42"/>
      <c r="U1254" s="42"/>
      <c r="V1254" s="42"/>
      <c r="AB1254" s="42"/>
      <c r="AC1254" s="42"/>
      <c r="AD1254" s="42"/>
      <c r="AE1254" s="42"/>
      <c r="AF1254" s="42"/>
      <c r="AG1254" s="42"/>
      <c r="AH1254" s="42"/>
      <c r="AI1254" s="42"/>
      <c r="AJ1254" s="42"/>
      <c r="AK1254" s="42"/>
      <c r="AL1254" s="42"/>
    </row>
    <row r="1255" spans="12:38">
      <c r="L1255" s="42"/>
      <c r="M1255" s="42"/>
      <c r="N1255" s="42"/>
      <c r="O1255" s="42"/>
      <c r="P1255" s="42"/>
      <c r="Q1255" s="42"/>
      <c r="R1255" s="42"/>
      <c r="S1255" s="42"/>
      <c r="T1255" s="42"/>
      <c r="U1255" s="42"/>
      <c r="V1255" s="42"/>
      <c r="AB1255" s="42"/>
      <c r="AC1255" s="42"/>
      <c r="AD1255" s="42"/>
      <c r="AE1255" s="42"/>
      <c r="AF1255" s="42"/>
      <c r="AG1255" s="42"/>
      <c r="AH1255" s="42"/>
      <c r="AI1255" s="42"/>
      <c r="AJ1255" s="42"/>
      <c r="AK1255" s="42"/>
      <c r="AL1255" s="42"/>
    </row>
    <row r="1256" spans="12:38">
      <c r="L1256" s="42"/>
      <c r="M1256" s="42"/>
      <c r="N1256" s="42"/>
      <c r="O1256" s="42"/>
      <c r="P1256" s="42"/>
      <c r="Q1256" s="42"/>
      <c r="R1256" s="42"/>
      <c r="S1256" s="42"/>
      <c r="T1256" s="42"/>
      <c r="U1256" s="42"/>
      <c r="V1256" s="42"/>
      <c r="AB1256" s="42"/>
      <c r="AC1256" s="42"/>
      <c r="AD1256" s="42"/>
      <c r="AE1256" s="42"/>
      <c r="AF1256" s="42"/>
      <c r="AG1256" s="42"/>
      <c r="AH1256" s="42"/>
      <c r="AI1256" s="42"/>
      <c r="AJ1256" s="42"/>
      <c r="AK1256" s="42"/>
      <c r="AL1256" s="42"/>
    </row>
    <row r="1257" spans="12:38">
      <c r="L1257" s="42"/>
      <c r="M1257" s="42"/>
      <c r="N1257" s="42"/>
      <c r="O1257" s="42"/>
      <c r="P1257" s="42"/>
      <c r="Q1257" s="42"/>
      <c r="R1257" s="42"/>
      <c r="S1257" s="42"/>
      <c r="T1257" s="42"/>
      <c r="U1257" s="42"/>
      <c r="V1257" s="42"/>
      <c r="AB1257" s="42"/>
      <c r="AC1257" s="42"/>
      <c r="AD1257" s="42"/>
      <c r="AE1257" s="42"/>
      <c r="AF1257" s="42"/>
      <c r="AG1257" s="42"/>
      <c r="AH1257" s="42"/>
      <c r="AI1257" s="42"/>
      <c r="AJ1257" s="42"/>
      <c r="AK1257" s="42"/>
      <c r="AL1257" s="42"/>
    </row>
    <row r="1258" spans="12:38">
      <c r="L1258" s="42"/>
      <c r="M1258" s="42"/>
      <c r="N1258" s="42"/>
      <c r="O1258" s="42"/>
      <c r="P1258" s="42"/>
      <c r="Q1258" s="42"/>
      <c r="R1258" s="42"/>
      <c r="S1258" s="42"/>
      <c r="T1258" s="42"/>
      <c r="U1258" s="42"/>
      <c r="V1258" s="42"/>
      <c r="AB1258" s="42"/>
      <c r="AC1258" s="42"/>
      <c r="AD1258" s="42"/>
      <c r="AE1258" s="42"/>
      <c r="AF1258" s="42"/>
      <c r="AG1258" s="42"/>
      <c r="AH1258" s="42"/>
      <c r="AI1258" s="42"/>
      <c r="AJ1258" s="42"/>
      <c r="AK1258" s="42"/>
      <c r="AL1258" s="42"/>
    </row>
    <row r="1259" spans="12:38">
      <c r="L1259" s="42"/>
      <c r="M1259" s="42"/>
      <c r="N1259" s="42"/>
      <c r="O1259" s="42"/>
      <c r="P1259" s="42"/>
      <c r="Q1259" s="42"/>
      <c r="R1259" s="42"/>
      <c r="S1259" s="42"/>
      <c r="T1259" s="42"/>
      <c r="U1259" s="42"/>
      <c r="V1259" s="42"/>
      <c r="AB1259" s="42"/>
      <c r="AC1259" s="42"/>
      <c r="AD1259" s="42"/>
      <c r="AE1259" s="42"/>
      <c r="AF1259" s="42"/>
      <c r="AG1259" s="42"/>
      <c r="AH1259" s="42"/>
      <c r="AI1259" s="42"/>
      <c r="AJ1259" s="42"/>
      <c r="AK1259" s="42"/>
      <c r="AL1259" s="42"/>
    </row>
    <row r="1260" spans="12:38">
      <c r="L1260" s="42"/>
      <c r="M1260" s="42"/>
      <c r="N1260" s="42"/>
      <c r="O1260" s="42"/>
      <c r="P1260" s="42"/>
      <c r="Q1260" s="42"/>
      <c r="R1260" s="42"/>
      <c r="S1260" s="42"/>
      <c r="T1260" s="42"/>
      <c r="U1260" s="42"/>
      <c r="V1260" s="42"/>
      <c r="AB1260" s="42"/>
      <c r="AC1260" s="42"/>
      <c r="AD1260" s="42"/>
      <c r="AE1260" s="42"/>
      <c r="AF1260" s="42"/>
      <c r="AG1260" s="42"/>
      <c r="AH1260" s="42"/>
      <c r="AI1260" s="42"/>
      <c r="AJ1260" s="42"/>
      <c r="AK1260" s="42"/>
      <c r="AL1260" s="42"/>
    </row>
    <row r="1261" spans="12:38">
      <c r="L1261" s="42"/>
      <c r="M1261" s="42"/>
      <c r="N1261" s="42"/>
      <c r="O1261" s="42"/>
      <c r="P1261" s="42"/>
      <c r="Q1261" s="42"/>
      <c r="R1261" s="42"/>
      <c r="S1261" s="42"/>
      <c r="T1261" s="42"/>
      <c r="U1261" s="42"/>
      <c r="V1261" s="42"/>
      <c r="AB1261" s="42"/>
      <c r="AC1261" s="42"/>
      <c r="AD1261" s="42"/>
      <c r="AE1261" s="42"/>
      <c r="AF1261" s="42"/>
      <c r="AG1261" s="42"/>
      <c r="AH1261" s="42"/>
      <c r="AI1261" s="42"/>
      <c r="AJ1261" s="42"/>
      <c r="AK1261" s="42"/>
      <c r="AL1261" s="42"/>
    </row>
    <row r="1262" spans="12:38">
      <c r="L1262" s="42"/>
      <c r="M1262" s="42"/>
      <c r="N1262" s="42"/>
      <c r="O1262" s="42"/>
      <c r="P1262" s="42"/>
      <c r="Q1262" s="42"/>
      <c r="R1262" s="42"/>
      <c r="S1262" s="42"/>
      <c r="T1262" s="42"/>
      <c r="U1262" s="42"/>
      <c r="V1262" s="42"/>
      <c r="AB1262" s="42"/>
      <c r="AC1262" s="42"/>
      <c r="AD1262" s="42"/>
      <c r="AE1262" s="42"/>
      <c r="AF1262" s="42"/>
      <c r="AG1262" s="42"/>
      <c r="AH1262" s="42"/>
      <c r="AI1262" s="42"/>
      <c r="AJ1262" s="42"/>
      <c r="AK1262" s="42"/>
      <c r="AL1262" s="42"/>
    </row>
    <row r="1263" spans="12:38">
      <c r="L1263" s="42"/>
      <c r="M1263" s="42"/>
      <c r="N1263" s="42"/>
      <c r="O1263" s="42"/>
      <c r="P1263" s="42"/>
      <c r="Q1263" s="42"/>
      <c r="R1263" s="42"/>
      <c r="S1263" s="42"/>
      <c r="T1263" s="42"/>
      <c r="U1263" s="42"/>
      <c r="V1263" s="42"/>
      <c r="AB1263" s="42"/>
      <c r="AC1263" s="42"/>
      <c r="AD1263" s="42"/>
      <c r="AE1263" s="42"/>
      <c r="AF1263" s="42"/>
      <c r="AG1263" s="42"/>
      <c r="AH1263" s="42"/>
      <c r="AI1263" s="42"/>
      <c r="AJ1263" s="42"/>
      <c r="AK1263" s="42"/>
      <c r="AL1263" s="42"/>
    </row>
    <row r="1264" spans="12:38">
      <c r="L1264" s="42"/>
      <c r="M1264" s="42"/>
      <c r="N1264" s="42"/>
      <c r="O1264" s="42"/>
      <c r="P1264" s="42"/>
      <c r="Q1264" s="42"/>
      <c r="R1264" s="42"/>
      <c r="S1264" s="42"/>
      <c r="T1264" s="42"/>
      <c r="U1264" s="42"/>
      <c r="V1264" s="42"/>
      <c r="AB1264" s="42"/>
      <c r="AC1264" s="42"/>
      <c r="AD1264" s="42"/>
      <c r="AE1264" s="42"/>
      <c r="AF1264" s="42"/>
      <c r="AG1264" s="42"/>
      <c r="AH1264" s="42"/>
      <c r="AI1264" s="42"/>
      <c r="AJ1264" s="42"/>
      <c r="AK1264" s="42"/>
      <c r="AL1264" s="42"/>
    </row>
  </sheetData>
  <mergeCells count="4">
    <mergeCell ref="H10:K10"/>
    <mergeCell ref="X10:AA10"/>
    <mergeCell ref="L10:V10"/>
    <mergeCell ref="AB10:AL10"/>
  </mergeCells>
  <phoneticPr fontId="0" type="noConversion"/>
  <pageMargins left="0.75" right="0.75" top="1" bottom="1" header="0.5" footer="0.5"/>
  <pageSetup orientation="portrait" r:id="rId1"/>
  <headerFooter alignWithMargins="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X76"/>
  <sheetViews>
    <sheetView zoomScale="80" zoomScaleNormal="80" workbookViewId="0">
      <pane ySplit="5" topLeftCell="A6" activePane="bottomLeft" state="frozen"/>
      <selection pane="bottomLeft" sqref="A1:XFD1048576"/>
    </sheetView>
  </sheetViews>
  <sheetFormatPr defaultColWidth="9.140625" defaultRowHeight="12.75"/>
  <cols>
    <col min="1" max="1" width="21.5703125" style="1" bestFit="1" customWidth="1"/>
    <col min="2" max="16" width="10.7109375" style="13" customWidth="1"/>
    <col min="17" max="18" width="9.140625" style="1"/>
    <col min="19" max="19" width="26" style="1" customWidth="1"/>
    <col min="20" max="16384" width="9.140625" style="1"/>
  </cols>
  <sheetData>
    <row r="1" spans="1:24" ht="27" customHeight="1">
      <c r="A1" s="253" t="s">
        <v>1079</v>
      </c>
      <c r="B1" s="253"/>
      <c r="C1" s="253"/>
      <c r="D1" s="253"/>
      <c r="E1" s="253"/>
      <c r="F1" s="253"/>
      <c r="G1" s="253"/>
      <c r="H1" s="253"/>
      <c r="I1" s="253"/>
      <c r="J1" s="253"/>
      <c r="K1" s="253"/>
      <c r="L1" s="253"/>
      <c r="M1" s="253"/>
      <c r="N1" s="253"/>
      <c r="O1" s="253"/>
      <c r="P1" s="253"/>
    </row>
    <row r="2" spans="1:24" ht="13.5" customHeight="1">
      <c r="D2" s="252" t="s">
        <v>519</v>
      </c>
      <c r="E2" s="252"/>
      <c r="F2" s="252"/>
      <c r="G2" s="252"/>
      <c r="H2" s="252"/>
      <c r="L2" s="252" t="s">
        <v>148</v>
      </c>
      <c r="M2" s="252"/>
      <c r="N2" s="252"/>
      <c r="O2" s="252"/>
      <c r="P2" s="252"/>
      <c r="U2" s="68"/>
    </row>
    <row r="3" spans="1:24" s="13" customFormat="1">
      <c r="B3" s="22"/>
      <c r="C3" s="22"/>
      <c r="D3" s="22" t="s">
        <v>133</v>
      </c>
      <c r="E3" s="22" t="s">
        <v>124</v>
      </c>
      <c r="F3" s="22" t="s">
        <v>125</v>
      </c>
      <c r="G3" s="22" t="s">
        <v>126</v>
      </c>
      <c r="H3" s="22" t="s">
        <v>134</v>
      </c>
      <c r="I3" s="22"/>
      <c r="J3" s="22"/>
      <c r="K3" s="22"/>
      <c r="L3" s="22" t="s">
        <v>133</v>
      </c>
      <c r="M3" s="22" t="s">
        <v>124</v>
      </c>
      <c r="N3" s="22" t="s">
        <v>125</v>
      </c>
      <c r="O3" s="22" t="s">
        <v>126</v>
      </c>
      <c r="P3" s="22" t="s">
        <v>134</v>
      </c>
      <c r="S3" s="1"/>
      <c r="T3" s="1"/>
      <c r="U3" s="1"/>
      <c r="V3" s="1"/>
      <c r="W3" s="1"/>
      <c r="X3" s="1"/>
    </row>
    <row r="4" spans="1:24">
      <c r="B4" s="22"/>
      <c r="C4" s="22"/>
      <c r="D4" s="22"/>
      <c r="E4" s="22"/>
      <c r="F4" s="22"/>
      <c r="G4" s="22"/>
      <c r="H4" s="22"/>
      <c r="I4" s="22"/>
      <c r="J4" s="22"/>
      <c r="K4" s="22"/>
      <c r="L4" s="22"/>
      <c r="M4" s="22"/>
      <c r="N4" s="22"/>
      <c r="O4" s="22"/>
      <c r="P4" s="22"/>
    </row>
    <row r="5" spans="1:24" s="69" customFormat="1" ht="25.5">
      <c r="B5" s="6" t="s">
        <v>135</v>
      </c>
      <c r="C5" s="6" t="s">
        <v>136</v>
      </c>
      <c r="D5" s="6" t="s">
        <v>137</v>
      </c>
      <c r="E5" s="6" t="s">
        <v>137</v>
      </c>
      <c r="F5" s="6" t="s">
        <v>137</v>
      </c>
      <c r="G5" s="6" t="s">
        <v>137</v>
      </c>
      <c r="H5" s="6" t="s">
        <v>137</v>
      </c>
      <c r="I5" s="6"/>
      <c r="J5" s="6" t="s">
        <v>135</v>
      </c>
      <c r="K5" s="6" t="s">
        <v>136</v>
      </c>
      <c r="L5" s="6" t="s">
        <v>138</v>
      </c>
      <c r="M5" s="6" t="s">
        <v>138</v>
      </c>
      <c r="N5" s="6" t="s">
        <v>138</v>
      </c>
      <c r="O5" s="6" t="s">
        <v>138</v>
      </c>
      <c r="P5" s="6" t="s">
        <v>138</v>
      </c>
    </row>
    <row r="6" spans="1:24">
      <c r="A6" s="1" t="s">
        <v>20</v>
      </c>
      <c r="B6" s="13">
        <v>2005</v>
      </c>
      <c r="C6" s="13">
        <v>1</v>
      </c>
      <c r="D6" s="13">
        <f t="array" ref="D6">SUM(IF('AEO 2012 prdcrv'!$A$7:$A$2000='Agg prdcrv'!$A6,IF('AEO 2012 prdcrv'!$H$7:$H$2000="2005",IF('AEO 2012 prdcrv'!$I$7:$I$2000="Quantities",'AEO 2012 prdcrv'!B$7:B$2000,0))))</f>
        <v>244.86</v>
      </c>
      <c r="E6" s="13">
        <f t="array" ref="E6">SUM(IF('AEO 2012 prdcrv'!$A$7:$A$2000='Agg prdcrv'!$A6,IF('AEO 2012 prdcrv'!$H$7:$H$2000="2005",IF('AEO 2012 prdcrv'!$I$7:$I$2000="Quantities",'AEO 2012 prdcrv'!C$7:C$2000,0))))</f>
        <v>0</v>
      </c>
      <c r="F6" s="13">
        <f t="array" ref="F6">SUM(IF('AEO 2012 prdcrv'!$A$7:$A$2000='Agg prdcrv'!$A6,IF('AEO 2012 prdcrv'!$H$7:$H$2000="2005",IF('AEO 2012 prdcrv'!$I$7:$I$2000="Quantities",'AEO 2012 prdcrv'!D$7:D$2000,0))))</f>
        <v>4.12</v>
      </c>
      <c r="G6" s="13">
        <f t="array" ref="G6">SUM(IF('AEO 2012 prdcrv'!$A$7:$A$2000='Agg prdcrv'!$A6,IF('AEO 2012 prdcrv'!$H$7:$H$2000="2005",IF('AEO 2012 prdcrv'!$I$7:$I$2000="Quantities",'AEO 2012 prdcrv'!E$7:E$2000,0))))</f>
        <v>0</v>
      </c>
      <c r="H6" s="13">
        <f t="array" ref="H6">SUM(IF('AEO 2012 prdcrv'!$A$7:$A$2000='Agg prdcrv'!$A6,IF('AEO 2012 prdcrv'!$H$7:$H$2000="2005",IF('AEO 2012 prdcrv'!$I$7:$I$2000="Quantities",'AEO 2012 prdcrv'!F$7:F$2000,0))))</f>
        <v>6.45</v>
      </c>
      <c r="J6" s="13">
        <v>2005</v>
      </c>
      <c r="K6" s="13">
        <v>1</v>
      </c>
      <c r="L6" s="13">
        <f t="array" ref="L6">SUM(IF('AEO 2012 prdcrv'!$A$7:$A$2000='Agg prdcrv'!$A6,IF('AEO 2012 prdcrv'!$H$7:$H$2000="2005",IF('AEO 2012 prdcrv'!$I$7:$I$2000="Prices",'AEO 2012 prdcrv'!B$7:B$2000,0))))</f>
        <v>61.74</v>
      </c>
      <c r="M6" s="13">
        <f t="array" ref="M6">SUM(IF('AEO 2012 prdcrv'!$A$7:$A$2000='Agg prdcrv'!$A6,IF('AEO 2012 prdcrv'!$H$7:$H$2000="2005",IF('AEO 2012 prdcrv'!$I$7:$I$2000="Prices",'AEO 2012 prdcrv'!C$7:C$2000,0))))</f>
        <v>63.01</v>
      </c>
      <c r="N6" s="13">
        <f t="array" ref="N6">SUM(IF('AEO 2012 prdcrv'!$A$7:$A$2000='Agg prdcrv'!$A6,IF('AEO 2012 prdcrv'!$H$7:$H$2000="2005",IF('AEO 2012 prdcrv'!$I$7:$I$2000="Prices",'AEO 2012 prdcrv'!D$7:D$2000,0))))</f>
        <v>62.03</v>
      </c>
      <c r="O6" s="13">
        <f t="array" ref="O6">SUM(IF('AEO 2012 prdcrv'!$A$7:$A$2000='Agg prdcrv'!$A6,IF('AEO 2012 prdcrv'!$H$7:$H$2000="2005",IF('AEO 2012 prdcrv'!$I$7:$I$2000="Prices",'AEO 2012 prdcrv'!E$7:E$2000,0))))</f>
        <v>61.84</v>
      </c>
      <c r="P6" s="13">
        <f t="array" ref="P6">SUM(IF('AEO 2012 prdcrv'!$A$7:$A$2000='Agg prdcrv'!$A6,IF('AEO 2012 prdcrv'!$H$7:$H$2000="2005",IF('AEO 2012 prdcrv'!$I$7:$I$2000="Prices",'AEO 2012 prdcrv'!F$7:F$2000,0))))</f>
        <v>35.89</v>
      </c>
    </row>
    <row r="7" spans="1:24">
      <c r="A7" s="1" t="s">
        <v>17</v>
      </c>
      <c r="B7" s="13">
        <v>2005</v>
      </c>
      <c r="C7" s="13">
        <v>1</v>
      </c>
      <c r="D7" s="13">
        <f t="array" ref="D7">SUM(IF('AEO 2012 prdcrv'!$A$7:$A$2000='Agg prdcrv'!$A7,IF('AEO 2012 prdcrv'!$H$7:$H$2000="2005",IF('AEO 2012 prdcrv'!$I$7:$I$2000="Quantities",'AEO 2012 prdcrv'!B$7:B$2000,0))))</f>
        <v>299.08</v>
      </c>
      <c r="E7" s="13">
        <f t="array" ref="E7">SUM(IF('AEO 2012 prdcrv'!$A$7:$A$2000='Agg prdcrv'!$A7,IF('AEO 2012 prdcrv'!$H$7:$H$2000="2005",IF('AEO 2012 prdcrv'!$I$7:$I$2000="Quantities",'AEO 2012 prdcrv'!C$7:C$2000,0))))</f>
        <v>2.58</v>
      </c>
      <c r="F7" s="13">
        <f t="array" ref="F7">SUM(IF('AEO 2012 prdcrv'!$A$7:$A$2000='Agg prdcrv'!$A7,IF('AEO 2012 prdcrv'!$H$7:$H$2000="2005",IF('AEO 2012 prdcrv'!$I$7:$I$2000="Quantities",'AEO 2012 prdcrv'!D$7:D$2000,0))))</f>
        <v>32.270000000000003</v>
      </c>
      <c r="G7" s="13">
        <f t="array" ref="G7">SUM(IF('AEO 2012 prdcrv'!$A$7:$A$2000='Agg prdcrv'!$A7,IF('AEO 2012 prdcrv'!$H$7:$H$2000="2005",IF('AEO 2012 prdcrv'!$I$7:$I$2000="Quantities",'AEO 2012 prdcrv'!E$7:E$2000,0))))</f>
        <v>0.55000000000000004</v>
      </c>
      <c r="H7" s="13">
        <f t="array" ref="H7">SUM(IF('AEO 2012 prdcrv'!$A$7:$A$2000='Agg prdcrv'!$A7,IF('AEO 2012 prdcrv'!$H$7:$H$2000="2005",IF('AEO 2012 prdcrv'!$I$7:$I$2000="Quantities",'AEO 2012 prdcrv'!F$7:F$2000,0))))</f>
        <v>23.07</v>
      </c>
      <c r="J7" s="13">
        <v>2005</v>
      </c>
      <c r="K7" s="13">
        <v>1</v>
      </c>
      <c r="L7" s="13">
        <f t="array" ref="L7">SUM(IF('AEO 2012 prdcrv'!$A$7:$A$2000='Agg prdcrv'!$A7,IF('AEO 2012 prdcrv'!$H$7:$H$2000="2005",IF('AEO 2012 prdcrv'!$I$7:$I$2000="Prices",'AEO 2012 prdcrv'!B$7:B$2000,0))))</f>
        <v>59.78</v>
      </c>
      <c r="M7" s="13">
        <f t="array" ref="M7">SUM(IF('AEO 2012 prdcrv'!$A$7:$A$2000='Agg prdcrv'!$A7,IF('AEO 2012 prdcrv'!$H$7:$H$2000="2005",IF('AEO 2012 prdcrv'!$I$7:$I$2000="Prices",'AEO 2012 prdcrv'!C$7:C$2000,0))))</f>
        <v>61.05</v>
      </c>
      <c r="N7" s="13">
        <f t="array" ref="N7">SUM(IF('AEO 2012 prdcrv'!$A$7:$A$2000='Agg prdcrv'!$A7,IF('AEO 2012 prdcrv'!$H$7:$H$2000="2005",IF('AEO 2012 prdcrv'!$I$7:$I$2000="Prices",'AEO 2012 prdcrv'!D$7:D$2000,0))))</f>
        <v>60.07</v>
      </c>
      <c r="O7" s="13">
        <f t="array" ref="O7">SUM(IF('AEO 2012 prdcrv'!$A$7:$A$2000='Agg prdcrv'!$A7,IF('AEO 2012 prdcrv'!$H$7:$H$2000="2005",IF('AEO 2012 prdcrv'!$I$7:$I$2000="Prices",'AEO 2012 prdcrv'!E$7:E$2000,0))))</f>
        <v>59.88</v>
      </c>
      <c r="P7" s="13">
        <f t="array" ref="P7">SUM(IF('AEO 2012 prdcrv'!$A$7:$A$2000='Agg prdcrv'!$A7,IF('AEO 2012 prdcrv'!$H$7:$H$2000="2005",IF('AEO 2012 prdcrv'!$I$7:$I$2000="Prices",'AEO 2012 prdcrv'!F$7:F$2000,0))))</f>
        <v>33.93</v>
      </c>
    </row>
    <row r="8" spans="1:24">
      <c r="A8" s="1" t="s">
        <v>10</v>
      </c>
      <c r="B8" s="13">
        <v>2005</v>
      </c>
      <c r="C8" s="13">
        <v>1</v>
      </c>
      <c r="D8" s="13">
        <f t="array" ref="D8">SUM(IF('AEO 2012 prdcrv'!$A$7:$A$2000='Agg prdcrv'!$A8,IF('AEO 2012 prdcrv'!$H$7:$H$2000="2005",IF('AEO 2012 prdcrv'!$I$7:$I$2000="Quantities",'AEO 2012 prdcrv'!B$7:B$2000,0))))</f>
        <v>206.68</v>
      </c>
      <c r="E8" s="13">
        <f t="array" ref="E8">SUM(IF('AEO 2012 prdcrv'!$A$7:$A$2000='Agg prdcrv'!$A8,IF('AEO 2012 prdcrv'!$H$7:$H$2000="2005",IF('AEO 2012 prdcrv'!$I$7:$I$2000="Quantities",'AEO 2012 prdcrv'!C$7:C$2000,0))))</f>
        <v>2.04</v>
      </c>
      <c r="F8" s="13">
        <f t="array" ref="F8">SUM(IF('AEO 2012 prdcrv'!$A$7:$A$2000='Agg prdcrv'!$A8,IF('AEO 2012 prdcrv'!$H$7:$H$2000="2005",IF('AEO 2012 prdcrv'!$I$7:$I$2000="Quantities",'AEO 2012 prdcrv'!D$7:D$2000,0))))</f>
        <v>7.88</v>
      </c>
      <c r="G8" s="13">
        <f t="array" ref="G8">SUM(IF('AEO 2012 prdcrv'!$A$7:$A$2000='Agg prdcrv'!$A8,IF('AEO 2012 prdcrv'!$H$7:$H$2000="2005",IF('AEO 2012 prdcrv'!$I$7:$I$2000="Quantities",'AEO 2012 prdcrv'!E$7:E$2000,0))))</f>
        <v>1.34</v>
      </c>
      <c r="H8" s="13">
        <f t="array" ref="H8">SUM(IF('AEO 2012 prdcrv'!$A$7:$A$2000='Agg prdcrv'!$A8,IF('AEO 2012 prdcrv'!$H$7:$H$2000="2005",IF('AEO 2012 prdcrv'!$I$7:$I$2000="Quantities",'AEO 2012 prdcrv'!F$7:F$2000,0))))</f>
        <v>5.07</v>
      </c>
      <c r="J8" s="13">
        <v>2005</v>
      </c>
      <c r="K8" s="13">
        <v>1</v>
      </c>
      <c r="L8" s="13">
        <f t="array" ref="L8">SUM(IF('AEO 2012 prdcrv'!$A$7:$A$2000='Agg prdcrv'!$A8,IF('AEO 2012 prdcrv'!$H$7:$H$2000="2005",IF('AEO 2012 prdcrv'!$I$7:$I$2000="Prices",'AEO 2012 prdcrv'!B$7:B$2000,0))))</f>
        <v>50.83</v>
      </c>
      <c r="M8" s="13">
        <f t="array" ref="M8">SUM(IF('AEO 2012 prdcrv'!$A$7:$A$2000='Agg prdcrv'!$A8,IF('AEO 2012 prdcrv'!$H$7:$H$2000="2005",IF('AEO 2012 prdcrv'!$I$7:$I$2000="Prices",'AEO 2012 prdcrv'!C$7:C$2000,0))))</f>
        <v>52.1</v>
      </c>
      <c r="N8" s="13">
        <f t="array" ref="N8">SUM(IF('AEO 2012 prdcrv'!$A$7:$A$2000='Agg prdcrv'!$A8,IF('AEO 2012 prdcrv'!$H$7:$H$2000="2005",IF('AEO 2012 prdcrv'!$I$7:$I$2000="Prices",'AEO 2012 prdcrv'!D$7:D$2000,0))))</f>
        <v>51.12</v>
      </c>
      <c r="O8" s="13">
        <f t="array" ref="O8">SUM(IF('AEO 2012 prdcrv'!$A$7:$A$2000='Agg prdcrv'!$A8,IF('AEO 2012 prdcrv'!$H$7:$H$2000="2005",IF('AEO 2012 prdcrv'!$I$7:$I$2000="Prices",'AEO 2012 prdcrv'!E$7:E$2000,0))))</f>
        <v>53.51</v>
      </c>
      <c r="P8" s="13">
        <f t="array" ref="P8">SUM(IF('AEO 2012 prdcrv'!$A$7:$A$2000='Agg prdcrv'!$A8,IF('AEO 2012 prdcrv'!$H$7:$H$2000="2005",IF('AEO 2012 prdcrv'!$I$7:$I$2000="Prices",'AEO 2012 prdcrv'!F$7:F$2000,0))))</f>
        <v>50.61</v>
      </c>
    </row>
    <row r="9" spans="1:24">
      <c r="A9" s="1" t="s">
        <v>11</v>
      </c>
      <c r="B9" s="13">
        <v>2005</v>
      </c>
      <c r="C9" s="13">
        <v>1</v>
      </c>
      <c r="D9" s="13">
        <f t="array" ref="D9">SUM(IF('AEO 2012 prdcrv'!$A$7:$A$2000='Agg prdcrv'!$A9,IF('AEO 2012 prdcrv'!$H$7:$H$2000="2005",IF('AEO 2012 prdcrv'!$I$7:$I$2000="Quantities",'AEO 2012 prdcrv'!B$7:B$2000,0))))</f>
        <v>124.23</v>
      </c>
      <c r="E9" s="13">
        <f t="array" ref="E9">SUM(IF('AEO 2012 prdcrv'!$A$7:$A$2000='Agg prdcrv'!$A9,IF('AEO 2012 prdcrv'!$H$7:$H$2000="2005",IF('AEO 2012 prdcrv'!$I$7:$I$2000="Quantities",'AEO 2012 prdcrv'!C$7:C$2000,0))))</f>
        <v>5.74</v>
      </c>
      <c r="F9" s="13">
        <f t="array" ref="F9">SUM(IF('AEO 2012 prdcrv'!$A$7:$A$2000='Agg prdcrv'!$A9,IF('AEO 2012 prdcrv'!$H$7:$H$2000="2005",IF('AEO 2012 prdcrv'!$I$7:$I$2000="Quantities",'AEO 2012 prdcrv'!D$7:D$2000,0))))</f>
        <v>8.2799999999999994</v>
      </c>
      <c r="G9" s="13">
        <f t="array" ref="G9">SUM(IF('AEO 2012 prdcrv'!$A$7:$A$2000='Agg prdcrv'!$A9,IF('AEO 2012 prdcrv'!$H$7:$H$2000="2005",IF('AEO 2012 prdcrv'!$I$7:$I$2000="Quantities",'AEO 2012 prdcrv'!E$7:E$2000,0))))</f>
        <v>9.3699999999999992</v>
      </c>
      <c r="H9" s="13">
        <f t="array" ref="H9">SUM(IF('AEO 2012 prdcrv'!$A$7:$A$2000='Agg prdcrv'!$A9,IF('AEO 2012 prdcrv'!$H$7:$H$2000="2005",IF('AEO 2012 prdcrv'!$I$7:$I$2000="Quantities",'AEO 2012 prdcrv'!F$7:F$2000,0))))</f>
        <v>13.73</v>
      </c>
      <c r="J9" s="13">
        <v>2005</v>
      </c>
      <c r="K9" s="13">
        <v>1</v>
      </c>
      <c r="L9" s="13">
        <f t="array" ref="L9">SUM(IF('AEO 2012 prdcrv'!$A$7:$A$2000='Agg prdcrv'!$A9,IF('AEO 2012 prdcrv'!$H$7:$H$2000="2005",IF('AEO 2012 prdcrv'!$I$7:$I$2000="Prices",'AEO 2012 prdcrv'!B$7:B$2000,0))))</f>
        <v>52.34</v>
      </c>
      <c r="M9" s="13">
        <f t="array" ref="M9">SUM(IF('AEO 2012 prdcrv'!$A$7:$A$2000='Agg prdcrv'!$A9,IF('AEO 2012 prdcrv'!$H$7:$H$2000="2005",IF('AEO 2012 prdcrv'!$I$7:$I$2000="Prices",'AEO 2012 prdcrv'!C$7:C$2000,0))))</f>
        <v>50.45</v>
      </c>
      <c r="N9" s="13">
        <f t="array" ref="N9">SUM(IF('AEO 2012 prdcrv'!$A$7:$A$2000='Agg prdcrv'!$A9,IF('AEO 2012 prdcrv'!$H$7:$H$2000="2005",IF('AEO 2012 prdcrv'!$I$7:$I$2000="Prices",'AEO 2012 prdcrv'!D$7:D$2000,0))))</f>
        <v>50.89</v>
      </c>
      <c r="O9" s="13">
        <f t="array" ref="O9">SUM(IF('AEO 2012 prdcrv'!$A$7:$A$2000='Agg prdcrv'!$A9,IF('AEO 2012 prdcrv'!$H$7:$H$2000="2005",IF('AEO 2012 prdcrv'!$I$7:$I$2000="Prices",'AEO 2012 prdcrv'!E$7:E$2000,0))))</f>
        <v>61.33</v>
      </c>
      <c r="P9" s="13">
        <f t="array" ref="P9">SUM(IF('AEO 2012 prdcrv'!$A$7:$A$2000='Agg prdcrv'!$A9,IF('AEO 2012 prdcrv'!$H$7:$H$2000="2005",IF('AEO 2012 prdcrv'!$I$7:$I$2000="Prices",'AEO 2012 prdcrv'!F$7:F$2000,0))))</f>
        <v>59.05</v>
      </c>
    </row>
    <row r="10" spans="1:24">
      <c r="A10" s="1" t="s">
        <v>32</v>
      </c>
      <c r="B10" s="13">
        <v>2005</v>
      </c>
      <c r="C10" s="13">
        <v>1</v>
      </c>
      <c r="D10" s="13">
        <f t="array" ref="D10">SUM(IF('AEO 2012 prdcrv'!$A$7:$A$2000='Agg prdcrv'!$A10,IF('AEO 2012 prdcrv'!$H$7:$H$2000="2005",IF('AEO 2012 prdcrv'!$I$7:$I$2000="Quantities",'AEO 2012 prdcrv'!B$7:B$2000,0))))</f>
        <v>211.46</v>
      </c>
      <c r="E10" s="13">
        <f t="array" ref="E10">SUM(IF('AEO 2012 prdcrv'!$A$7:$A$2000='Agg prdcrv'!$A10,IF('AEO 2012 prdcrv'!$H$7:$H$2000="2005",IF('AEO 2012 prdcrv'!$I$7:$I$2000="Quantities",'AEO 2012 prdcrv'!C$7:C$2000,0))))</f>
        <v>2.82</v>
      </c>
      <c r="F10" s="13">
        <f t="array" ref="F10">SUM(IF('AEO 2012 prdcrv'!$A$7:$A$2000='Agg prdcrv'!$A10,IF('AEO 2012 prdcrv'!$H$7:$H$2000="2005",IF('AEO 2012 prdcrv'!$I$7:$I$2000="Quantities",'AEO 2012 prdcrv'!D$7:D$2000,0))))</f>
        <v>62.6</v>
      </c>
      <c r="G10" s="13">
        <f t="array" ref="G10">SUM(IF('AEO 2012 prdcrv'!$A$7:$A$2000='Agg prdcrv'!$A10,IF('AEO 2012 prdcrv'!$H$7:$H$2000="2005",IF('AEO 2012 prdcrv'!$I$7:$I$2000="Quantities",'AEO 2012 prdcrv'!E$7:E$2000,0))))</f>
        <v>0</v>
      </c>
      <c r="H10" s="13">
        <f t="array" ref="H10">SUM(IF('AEO 2012 prdcrv'!$A$7:$A$2000='Agg prdcrv'!$A10,IF('AEO 2012 prdcrv'!$H$7:$H$2000="2005",IF('AEO 2012 prdcrv'!$I$7:$I$2000="Quantities",'AEO 2012 prdcrv'!F$7:F$2000,0))))</f>
        <v>10.5</v>
      </c>
      <c r="J10" s="13">
        <v>2005</v>
      </c>
      <c r="K10" s="13">
        <v>1</v>
      </c>
      <c r="L10" s="13">
        <f t="array" ref="L10">SUM(IF('AEO 2012 prdcrv'!$A$7:$A$2000='Agg prdcrv'!$A10,IF('AEO 2012 prdcrv'!$H$7:$H$2000="2005",IF('AEO 2012 prdcrv'!$I$7:$I$2000="Prices",'AEO 2012 prdcrv'!B$7:B$2000,0))))</f>
        <v>36.299999999999997</v>
      </c>
      <c r="M10" s="13">
        <f t="array" ref="M10">SUM(IF('AEO 2012 prdcrv'!$A$7:$A$2000='Agg prdcrv'!$A10,IF('AEO 2012 prdcrv'!$H$7:$H$2000="2005",IF('AEO 2012 prdcrv'!$I$7:$I$2000="Prices",'AEO 2012 prdcrv'!C$7:C$2000,0))))</f>
        <v>39.200000000000003</v>
      </c>
      <c r="N10" s="13">
        <f t="array" ref="N10">SUM(IF('AEO 2012 prdcrv'!$A$7:$A$2000='Agg prdcrv'!$A10,IF('AEO 2012 prdcrv'!$H$7:$H$2000="2005",IF('AEO 2012 prdcrv'!$I$7:$I$2000="Prices",'AEO 2012 prdcrv'!D$7:D$2000,0))))</f>
        <v>39.200000000000003</v>
      </c>
      <c r="O10" s="13">
        <f t="array" ref="O10">SUM(IF('AEO 2012 prdcrv'!$A$7:$A$2000='Agg prdcrv'!$A10,IF('AEO 2012 prdcrv'!$H$7:$H$2000="2005",IF('AEO 2012 prdcrv'!$I$7:$I$2000="Prices",'AEO 2012 prdcrv'!E$7:E$2000,0))))</f>
        <v>38.43</v>
      </c>
      <c r="P10" s="13">
        <f t="array" ref="P10">SUM(IF('AEO 2012 prdcrv'!$A$7:$A$2000='Agg prdcrv'!$A10,IF('AEO 2012 prdcrv'!$H$7:$H$2000="2005",IF('AEO 2012 prdcrv'!$I$7:$I$2000="Prices",'AEO 2012 prdcrv'!F$7:F$2000,0))))</f>
        <v>32.56</v>
      </c>
    </row>
    <row r="11" spans="1:24">
      <c r="A11" s="1" t="s">
        <v>31</v>
      </c>
      <c r="B11" s="13">
        <v>2005</v>
      </c>
      <c r="C11" s="13">
        <v>1</v>
      </c>
      <c r="D11" s="13">
        <f t="array" ref="D11">SUM(IF('AEO 2012 prdcrv'!$A$7:$A$2000='Agg prdcrv'!$A11,IF('AEO 2012 prdcrv'!$H$7:$H$2000="2005",IF('AEO 2012 prdcrv'!$I$7:$I$2000="Quantities",'AEO 2012 prdcrv'!B$7:B$2000,0))))</f>
        <v>188.15</v>
      </c>
      <c r="E11" s="13">
        <f t="array" ref="E11">SUM(IF('AEO 2012 prdcrv'!$A$7:$A$2000='Agg prdcrv'!$A11,IF('AEO 2012 prdcrv'!$H$7:$H$2000="2005",IF('AEO 2012 prdcrv'!$I$7:$I$2000="Quantities",'AEO 2012 prdcrv'!C$7:C$2000,0))))</f>
        <v>2.1</v>
      </c>
      <c r="F11" s="13">
        <f t="array" ref="F11">SUM(IF('AEO 2012 prdcrv'!$A$7:$A$2000='Agg prdcrv'!$A11,IF('AEO 2012 prdcrv'!$H$7:$H$2000="2005",IF('AEO 2012 prdcrv'!$I$7:$I$2000="Quantities",'AEO 2012 prdcrv'!D$7:D$2000,0))))</f>
        <v>33.5</v>
      </c>
      <c r="G11" s="13">
        <f t="array" ref="G11">SUM(IF('AEO 2012 prdcrv'!$A$7:$A$2000='Agg prdcrv'!$A11,IF('AEO 2012 prdcrv'!$H$7:$H$2000="2005",IF('AEO 2012 prdcrv'!$I$7:$I$2000="Quantities",'AEO 2012 prdcrv'!E$7:E$2000,0))))</f>
        <v>0</v>
      </c>
      <c r="H11" s="13">
        <f t="array" ref="H11">SUM(IF('AEO 2012 prdcrv'!$A$7:$A$2000='Agg prdcrv'!$A11,IF('AEO 2012 prdcrv'!$H$7:$H$2000="2005",IF('AEO 2012 prdcrv'!$I$7:$I$2000="Quantities",'AEO 2012 prdcrv'!F$7:F$2000,0))))</f>
        <v>31.98</v>
      </c>
      <c r="J11" s="13">
        <v>2005</v>
      </c>
      <c r="K11" s="13">
        <v>1</v>
      </c>
      <c r="L11" s="13">
        <f t="array" ref="L11">SUM(IF('AEO 2012 prdcrv'!$A$7:$A$2000='Agg prdcrv'!$A11,IF('AEO 2012 prdcrv'!$H$7:$H$2000="2005",IF('AEO 2012 prdcrv'!$I$7:$I$2000="Prices",'AEO 2012 prdcrv'!B$7:B$2000,0))))</f>
        <v>34.79</v>
      </c>
      <c r="M11" s="13">
        <f t="array" ref="M11">SUM(IF('AEO 2012 prdcrv'!$A$7:$A$2000='Agg prdcrv'!$A11,IF('AEO 2012 prdcrv'!$H$7:$H$2000="2005",IF('AEO 2012 prdcrv'!$I$7:$I$2000="Prices",'AEO 2012 prdcrv'!C$7:C$2000,0))))</f>
        <v>37.590000000000003</v>
      </c>
      <c r="N11" s="13">
        <f t="array" ref="N11">SUM(IF('AEO 2012 prdcrv'!$A$7:$A$2000='Agg prdcrv'!$A11,IF('AEO 2012 prdcrv'!$H$7:$H$2000="2005",IF('AEO 2012 prdcrv'!$I$7:$I$2000="Prices",'AEO 2012 prdcrv'!D$7:D$2000,0))))</f>
        <v>38.11</v>
      </c>
      <c r="O11" s="13">
        <f t="array" ref="O11">SUM(IF('AEO 2012 prdcrv'!$A$7:$A$2000='Agg prdcrv'!$A11,IF('AEO 2012 prdcrv'!$H$7:$H$2000="2005",IF('AEO 2012 prdcrv'!$I$7:$I$2000="Prices",'AEO 2012 prdcrv'!E$7:E$2000,0))))</f>
        <v>37.14</v>
      </c>
      <c r="P11" s="13">
        <f t="array" ref="P11">SUM(IF('AEO 2012 prdcrv'!$A$7:$A$2000='Agg prdcrv'!$A11,IF('AEO 2012 prdcrv'!$H$7:$H$2000="2005",IF('AEO 2012 prdcrv'!$I$7:$I$2000="Prices",'AEO 2012 prdcrv'!F$7:F$2000,0))))</f>
        <v>32.799999999999997</v>
      </c>
    </row>
    <row r="12" spans="1:24">
      <c r="A12" s="1" t="s">
        <v>266</v>
      </c>
      <c r="B12" s="13">
        <v>2005</v>
      </c>
      <c r="C12" s="13">
        <v>1</v>
      </c>
      <c r="D12" s="13">
        <f t="array" ref="D12">SUM(IF('AEO 2012 prdcrv'!$A$7:$A$2000='Agg prdcrv'!$A12,IF('AEO 2012 prdcrv'!$H$7:$H$2000="2005",IF('AEO 2012 prdcrv'!$I$7:$I$2000="Quantities",'AEO 2012 prdcrv'!B$7:B$2000,0))))</f>
        <v>71.38</v>
      </c>
      <c r="E12" s="13">
        <f t="array" ref="E12">SUM(IF('AEO 2012 prdcrv'!$A$7:$A$2000='Agg prdcrv'!$A12,IF('AEO 2012 prdcrv'!$H$7:$H$2000="2005",IF('AEO 2012 prdcrv'!$I$7:$I$2000="Quantities",'AEO 2012 prdcrv'!C$7:C$2000,0))))</f>
        <v>1.1299999999999999</v>
      </c>
      <c r="F12" s="13">
        <f t="array" ref="F12">SUM(IF('AEO 2012 prdcrv'!$A$7:$A$2000='Agg prdcrv'!$A12,IF('AEO 2012 prdcrv'!$H$7:$H$2000="2005",IF('AEO 2012 prdcrv'!$I$7:$I$2000="Quantities",'AEO 2012 prdcrv'!D$7:D$2000,0))))</f>
        <v>16.05</v>
      </c>
      <c r="G12" s="13">
        <f t="array" ref="G12">SUM(IF('AEO 2012 prdcrv'!$A$7:$A$2000='Agg prdcrv'!$A12,IF('AEO 2012 prdcrv'!$H$7:$H$2000="2005",IF('AEO 2012 prdcrv'!$I$7:$I$2000="Quantities",'AEO 2012 prdcrv'!E$7:E$2000,0))))</f>
        <v>0.43</v>
      </c>
      <c r="H12" s="13">
        <f t="array" ref="H12">SUM(IF('AEO 2012 prdcrv'!$A$7:$A$2000='Agg prdcrv'!$A12,IF('AEO 2012 prdcrv'!$H$7:$H$2000="2005",IF('AEO 2012 prdcrv'!$I$7:$I$2000="Quantities",'AEO 2012 prdcrv'!F$7:F$2000,0))))</f>
        <v>100.3</v>
      </c>
      <c r="J12" s="13">
        <v>2005</v>
      </c>
      <c r="K12" s="13">
        <v>1</v>
      </c>
      <c r="L12" s="13">
        <f t="array" ref="L12">SUM(IF('AEO 2012 prdcrv'!$A$7:$A$2000='Agg prdcrv'!$A12,IF('AEO 2012 prdcrv'!$H$7:$H$2000="2005",IF('AEO 2012 prdcrv'!$I$7:$I$2000="Prices",'AEO 2012 prdcrv'!B$7:B$2000,0))))</f>
        <v>44.02</v>
      </c>
      <c r="M12" s="13">
        <f t="array" ref="M12">SUM(IF('AEO 2012 prdcrv'!$A$7:$A$2000='Agg prdcrv'!$A12,IF('AEO 2012 prdcrv'!$H$7:$H$2000="2005",IF('AEO 2012 prdcrv'!$I$7:$I$2000="Prices",'AEO 2012 prdcrv'!C$7:C$2000,0))))</f>
        <v>43.72</v>
      </c>
      <c r="N12" s="13">
        <f t="array" ref="N12">SUM(IF('AEO 2012 prdcrv'!$A$7:$A$2000='Agg prdcrv'!$A12,IF('AEO 2012 prdcrv'!$H$7:$H$2000="2005",IF('AEO 2012 prdcrv'!$I$7:$I$2000="Prices",'AEO 2012 prdcrv'!D$7:D$2000,0))))</f>
        <v>43.27</v>
      </c>
      <c r="O12" s="13">
        <f t="array" ref="O12">SUM(IF('AEO 2012 prdcrv'!$A$7:$A$2000='Agg prdcrv'!$A12,IF('AEO 2012 prdcrv'!$H$7:$H$2000="2005",IF('AEO 2012 prdcrv'!$I$7:$I$2000="Prices",'AEO 2012 prdcrv'!E$7:E$2000,0))))</f>
        <v>55.7</v>
      </c>
      <c r="P12" s="13">
        <f t="array" ref="P12">SUM(IF('AEO 2012 prdcrv'!$A$7:$A$2000='Agg prdcrv'!$A12,IF('AEO 2012 prdcrv'!$H$7:$H$2000="2005",IF('AEO 2012 prdcrv'!$I$7:$I$2000="Prices",'AEO 2012 prdcrv'!F$7:F$2000,0))))</f>
        <v>51.43</v>
      </c>
    </row>
    <row r="13" spans="1:24">
      <c r="A13" s="1" t="s">
        <v>269</v>
      </c>
      <c r="B13" s="13">
        <v>2005</v>
      </c>
      <c r="C13" s="13">
        <v>1</v>
      </c>
      <c r="D13" s="13">
        <f t="array" ref="D13">SUM(IF('AEO 2012 prdcrv'!$A$7:$A$2000='Agg prdcrv'!$A13,IF('AEO 2012 prdcrv'!$H$7:$H$2000="2005",IF('AEO 2012 prdcrv'!$I$7:$I$2000="Quantities",'AEO 2012 prdcrv'!B$7:B$2000,0))))</f>
        <v>60.35</v>
      </c>
      <c r="E13" s="13">
        <f t="array" ref="E13">SUM(IF('AEO 2012 prdcrv'!$A$7:$A$2000='Agg prdcrv'!$A13,IF('AEO 2012 prdcrv'!$H$7:$H$2000="2005",IF('AEO 2012 prdcrv'!$I$7:$I$2000="Quantities",'AEO 2012 prdcrv'!C$7:C$2000,0))))</f>
        <v>140.19999999999999</v>
      </c>
      <c r="F13" s="13">
        <f t="array" ref="F13">SUM(IF('AEO 2012 prdcrv'!$A$7:$A$2000='Agg prdcrv'!$A13,IF('AEO 2012 prdcrv'!$H$7:$H$2000="2005",IF('AEO 2012 prdcrv'!$I$7:$I$2000="Quantities",'AEO 2012 prdcrv'!D$7:D$2000,0))))</f>
        <v>191.43</v>
      </c>
      <c r="G13" s="13">
        <f t="array" ref="G13">SUM(IF('AEO 2012 prdcrv'!$A$7:$A$2000='Agg prdcrv'!$A13,IF('AEO 2012 prdcrv'!$H$7:$H$2000="2005",IF('AEO 2012 prdcrv'!$I$7:$I$2000="Quantities",'AEO 2012 prdcrv'!E$7:E$2000,0))))</f>
        <v>18.350000000000001</v>
      </c>
      <c r="H13" s="13">
        <f t="array" ref="H13">SUM(IF('AEO 2012 prdcrv'!$A$7:$A$2000='Agg prdcrv'!$A13,IF('AEO 2012 prdcrv'!$H$7:$H$2000="2005",IF('AEO 2012 prdcrv'!$I$7:$I$2000="Quantities",'AEO 2012 prdcrv'!F$7:F$2000,0))))</f>
        <v>7.33</v>
      </c>
      <c r="J13" s="13">
        <v>2005</v>
      </c>
      <c r="K13" s="13">
        <v>1</v>
      </c>
      <c r="L13" s="13">
        <f t="array" ref="L13">SUM(IF('AEO 2012 prdcrv'!$A$7:$A$2000='Agg prdcrv'!$A13,IF('AEO 2012 prdcrv'!$H$7:$H$2000="2005",IF('AEO 2012 prdcrv'!$I$7:$I$2000="Prices",'AEO 2012 prdcrv'!B$7:B$2000,0))))</f>
        <v>28.81</v>
      </c>
      <c r="M13" s="13">
        <f t="array" ref="M13">SUM(IF('AEO 2012 prdcrv'!$A$7:$A$2000='Agg prdcrv'!$A13,IF('AEO 2012 prdcrv'!$H$7:$H$2000="2005",IF('AEO 2012 prdcrv'!$I$7:$I$2000="Prices",'AEO 2012 prdcrv'!C$7:C$2000,0))))</f>
        <v>28.81</v>
      </c>
      <c r="N13" s="13">
        <f t="array" ref="N13">SUM(IF('AEO 2012 prdcrv'!$A$7:$A$2000='Agg prdcrv'!$A13,IF('AEO 2012 prdcrv'!$H$7:$H$2000="2005",IF('AEO 2012 prdcrv'!$I$7:$I$2000="Prices",'AEO 2012 prdcrv'!D$7:D$2000,0))))</f>
        <v>28.81</v>
      </c>
      <c r="O13" s="13">
        <f t="array" ref="O13">SUM(IF('AEO 2012 prdcrv'!$A$7:$A$2000='Agg prdcrv'!$A13,IF('AEO 2012 prdcrv'!$H$7:$H$2000="2005",IF('AEO 2012 prdcrv'!$I$7:$I$2000="Prices",'AEO 2012 prdcrv'!E$7:E$2000,0))))</f>
        <v>28.81</v>
      </c>
      <c r="P13" s="13">
        <f t="array" ref="P13">SUM(IF('AEO 2012 prdcrv'!$A$7:$A$2000='Agg prdcrv'!$A13,IF('AEO 2012 prdcrv'!$H$7:$H$2000="2005",IF('AEO 2012 prdcrv'!$I$7:$I$2000="Prices",'AEO 2012 prdcrv'!F$7:F$2000,0))))</f>
        <v>28.81</v>
      </c>
    </row>
    <row r="14" spans="1:24">
      <c r="A14" s="1" t="s">
        <v>30</v>
      </c>
      <c r="B14" s="13">
        <v>2005</v>
      </c>
      <c r="C14" s="13">
        <v>1</v>
      </c>
      <c r="D14" s="13">
        <f t="array" ref="D14">SUM(IF('AEO 2012 prdcrv'!$A$7:$A$2000='Agg prdcrv'!$A14,IF('AEO 2012 prdcrv'!$H$7:$H$2000="2005",IF('AEO 2012 prdcrv'!$I$7:$I$2000="Quantities",'AEO 2012 prdcrv'!B$7:B$2000,0))))</f>
        <v>4</v>
      </c>
      <c r="E14" s="13">
        <f t="array" ref="E14">SUM(IF('AEO 2012 prdcrv'!$A$7:$A$2000='Agg prdcrv'!$A14,IF('AEO 2012 prdcrv'!$H$7:$H$2000="2005",IF('AEO 2012 prdcrv'!$I$7:$I$2000="Quantities",'AEO 2012 prdcrv'!C$7:C$2000,0))))</f>
        <v>1</v>
      </c>
      <c r="F14" s="13">
        <f t="array" ref="F14">SUM(IF('AEO 2012 prdcrv'!$A$7:$A$2000='Agg prdcrv'!$A14,IF('AEO 2012 prdcrv'!$H$7:$H$2000="2005",IF('AEO 2012 prdcrv'!$I$7:$I$2000="Quantities",'AEO 2012 prdcrv'!D$7:D$2000,0))))</f>
        <v>293</v>
      </c>
      <c r="G14" s="13">
        <f t="array" ref="G14">SUM(IF('AEO 2012 prdcrv'!$A$7:$A$2000='Agg prdcrv'!$A14,IF('AEO 2012 prdcrv'!$H$7:$H$2000="2005",IF('AEO 2012 prdcrv'!$I$7:$I$2000="Quantities",'AEO 2012 prdcrv'!E$7:E$2000,0))))</f>
        <v>0</v>
      </c>
      <c r="H14" s="13">
        <f t="array" ref="H14">SUM(IF('AEO 2012 prdcrv'!$A$7:$A$2000='Agg prdcrv'!$A14,IF('AEO 2012 prdcrv'!$H$7:$H$2000="2005",IF('AEO 2012 prdcrv'!$I$7:$I$2000="Quantities",'AEO 2012 prdcrv'!F$7:F$2000,0))))</f>
        <v>0</v>
      </c>
      <c r="J14" s="13">
        <v>2005</v>
      </c>
      <c r="K14" s="13">
        <v>1</v>
      </c>
      <c r="L14" s="13">
        <f t="array" ref="L14">SUM(IF('AEO 2012 prdcrv'!$A$7:$A$2000='Agg prdcrv'!$A14,IF('AEO 2012 prdcrv'!$H$7:$H$2000="2005",IF('AEO 2012 prdcrv'!$I$7:$I$2000="Prices",'AEO 2012 prdcrv'!B$7:B$2000,0))))</f>
        <v>37.479999999999997</v>
      </c>
      <c r="M14" s="13">
        <f t="array" ref="M14">SUM(IF('AEO 2012 prdcrv'!$A$7:$A$2000='Agg prdcrv'!$A14,IF('AEO 2012 prdcrv'!$H$7:$H$2000="2005",IF('AEO 2012 prdcrv'!$I$7:$I$2000="Prices",'AEO 2012 prdcrv'!C$7:C$2000,0))))</f>
        <v>37.119999999999997</v>
      </c>
      <c r="N14" s="13">
        <f t="array" ref="N14">SUM(IF('AEO 2012 prdcrv'!$A$7:$A$2000='Agg prdcrv'!$A14,IF('AEO 2012 prdcrv'!$H$7:$H$2000="2005",IF('AEO 2012 prdcrv'!$I$7:$I$2000="Prices",'AEO 2012 prdcrv'!D$7:D$2000,0))))</f>
        <v>36.340000000000003</v>
      </c>
      <c r="O14" s="13">
        <f t="array" ref="O14">SUM(IF('AEO 2012 prdcrv'!$A$7:$A$2000='Agg prdcrv'!$A14,IF('AEO 2012 prdcrv'!$H$7:$H$2000="2005",IF('AEO 2012 prdcrv'!$I$7:$I$2000="Prices",'AEO 2012 prdcrv'!E$7:E$2000,0))))</f>
        <v>36.28</v>
      </c>
      <c r="P14" s="13">
        <f t="array" ref="P14">SUM(IF('AEO 2012 prdcrv'!$A$7:$A$2000='Agg prdcrv'!$A14,IF('AEO 2012 prdcrv'!$H$7:$H$2000="2005",IF('AEO 2012 prdcrv'!$I$7:$I$2000="Prices",'AEO 2012 prdcrv'!F$7:F$2000,0))))</f>
        <v>28.81</v>
      </c>
    </row>
    <row r="15" spans="1:24">
      <c r="A15" s="1" t="s">
        <v>26</v>
      </c>
      <c r="B15" s="13">
        <v>2005</v>
      </c>
      <c r="C15" s="13">
        <v>1</v>
      </c>
      <c r="D15" s="13">
        <f t="array" ref="D15">SUM(IF('AEO 2012 prdcrv'!$A$7:$A$2000='Agg prdcrv'!$A15,IF('AEO 2012 prdcrv'!$H$7:$H$2000="2005",IF('AEO 2012 prdcrv'!$I$7:$I$2000="Quantities",'AEO 2012 prdcrv'!B$7:B$2000,0))))</f>
        <v>440</v>
      </c>
      <c r="E15" s="13">
        <f t="array" ref="E15">SUM(IF('AEO 2012 prdcrv'!$A$7:$A$2000='Agg prdcrv'!$A15,IF('AEO 2012 prdcrv'!$H$7:$H$2000="2005",IF('AEO 2012 prdcrv'!$I$7:$I$2000="Quantities",'AEO 2012 prdcrv'!C$7:C$2000,0))))</f>
        <v>7</v>
      </c>
      <c r="F15" s="13">
        <f t="array" ref="F15">SUM(IF('AEO 2012 prdcrv'!$A$7:$A$2000='Agg prdcrv'!$A15,IF('AEO 2012 prdcrv'!$H$7:$H$2000="2005",IF('AEO 2012 prdcrv'!$I$7:$I$2000="Quantities",'AEO 2012 prdcrv'!D$7:D$2000,0))))</f>
        <v>109</v>
      </c>
      <c r="G15" s="13">
        <f t="array" ref="G15">SUM(IF('AEO 2012 prdcrv'!$A$7:$A$2000='Agg prdcrv'!$A15,IF('AEO 2012 prdcrv'!$H$7:$H$2000="2005",IF('AEO 2012 prdcrv'!$I$7:$I$2000="Quantities",'AEO 2012 prdcrv'!E$7:E$2000,0))))</f>
        <v>1</v>
      </c>
      <c r="H15" s="13">
        <f t="array" ref="H15">SUM(IF('AEO 2012 prdcrv'!$A$7:$A$2000='Agg prdcrv'!$A15,IF('AEO 2012 prdcrv'!$H$7:$H$2000="2005",IF('AEO 2012 prdcrv'!$I$7:$I$2000="Quantities",'AEO 2012 prdcrv'!F$7:F$2000,0))))</f>
        <v>42</v>
      </c>
      <c r="J15" s="13">
        <v>2005</v>
      </c>
      <c r="K15" s="13">
        <v>1</v>
      </c>
      <c r="L15" s="13">
        <f t="array" ref="L15">SUM(IF('AEO 2012 prdcrv'!$A$7:$A$2000='Agg prdcrv'!$A15,IF('AEO 2012 prdcrv'!$H$7:$H$2000="2005",IF('AEO 2012 prdcrv'!$I$7:$I$2000="Prices",'AEO 2012 prdcrv'!B$7:B$2000,0))))</f>
        <v>59.93</v>
      </c>
      <c r="M15" s="13">
        <f t="array" ref="M15">SUM(IF('AEO 2012 prdcrv'!$A$7:$A$2000='Agg prdcrv'!$A15,IF('AEO 2012 prdcrv'!$H$7:$H$2000="2005",IF('AEO 2012 prdcrv'!$I$7:$I$2000="Prices",'AEO 2012 prdcrv'!C$7:C$2000,0))))</f>
        <v>59.93</v>
      </c>
      <c r="N15" s="13">
        <f t="array" ref="N15">SUM(IF('AEO 2012 prdcrv'!$A$7:$A$2000='Agg prdcrv'!$A15,IF('AEO 2012 prdcrv'!$H$7:$H$2000="2005",IF('AEO 2012 prdcrv'!$I$7:$I$2000="Prices",'AEO 2012 prdcrv'!D$7:D$2000,0))))</f>
        <v>60.59</v>
      </c>
      <c r="O15" s="13">
        <f t="array" ref="O15">SUM(IF('AEO 2012 prdcrv'!$A$7:$A$2000='Agg prdcrv'!$A15,IF('AEO 2012 prdcrv'!$H$7:$H$2000="2005",IF('AEO 2012 prdcrv'!$I$7:$I$2000="Prices",'AEO 2012 prdcrv'!E$7:E$2000,0))))</f>
        <v>60.09</v>
      </c>
      <c r="P15" s="13">
        <f t="array" ref="P15">SUM(IF('AEO 2012 prdcrv'!$A$7:$A$2000='Agg prdcrv'!$A15,IF('AEO 2012 prdcrv'!$H$7:$H$2000="2005",IF('AEO 2012 prdcrv'!$I$7:$I$2000="Prices",'AEO 2012 prdcrv'!F$7:F$2000,0))))</f>
        <v>60.09</v>
      </c>
    </row>
    <row r="16" spans="1:24">
      <c r="A16" s="1" t="s">
        <v>271</v>
      </c>
      <c r="B16" s="13">
        <v>2005</v>
      </c>
      <c r="C16" s="13">
        <v>1</v>
      </c>
      <c r="D16" s="13">
        <f t="array" ref="D16">SUM(IF('AEO 2012 prdcrv'!$A$7:$A$2000='Agg prdcrv'!$A16,IF('AEO 2012 prdcrv'!$H$7:$H$2000="2005",IF('AEO 2012 prdcrv'!$I$7:$I$2000="Quantities",'AEO 2012 prdcrv'!B$7:B$2000,0))))</f>
        <v>0.62</v>
      </c>
      <c r="E16" s="13">
        <f t="array" ref="E16">SUM(IF('AEO 2012 prdcrv'!$A$7:$A$2000='Agg prdcrv'!$A16,IF('AEO 2012 prdcrv'!$H$7:$H$2000="2005",IF('AEO 2012 prdcrv'!$I$7:$I$2000="Quantities",'AEO 2012 prdcrv'!C$7:C$2000,0))))</f>
        <v>0</v>
      </c>
      <c r="F16" s="13">
        <f t="array" ref="F16">SUM(IF('AEO 2012 prdcrv'!$A$7:$A$2000='Agg prdcrv'!$A16,IF('AEO 2012 prdcrv'!$H$7:$H$2000="2005",IF('AEO 2012 prdcrv'!$I$7:$I$2000="Quantities",'AEO 2012 prdcrv'!D$7:D$2000,0))))</f>
        <v>0</v>
      </c>
      <c r="G16" s="13">
        <f t="array" ref="G16">SUM(IF('AEO 2012 prdcrv'!$A$7:$A$2000='Agg prdcrv'!$A16,IF('AEO 2012 prdcrv'!$H$7:$H$2000="2005",IF('AEO 2012 prdcrv'!$I$7:$I$2000="Quantities",'AEO 2012 prdcrv'!E$7:E$2000,0))))</f>
        <v>0</v>
      </c>
      <c r="H16" s="13">
        <f t="array" ref="H16">SUM(IF('AEO 2012 prdcrv'!$A$7:$A$2000='Agg prdcrv'!$A16,IF('AEO 2012 prdcrv'!$H$7:$H$2000="2005",IF('AEO 2012 prdcrv'!$I$7:$I$2000="Quantities",'AEO 2012 prdcrv'!F$7:F$2000,0))))</f>
        <v>0.86</v>
      </c>
      <c r="J16" s="13">
        <v>2005</v>
      </c>
      <c r="K16" s="13">
        <v>1</v>
      </c>
      <c r="L16" s="13">
        <f t="array" ref="L16">SUM(IF('AEO 2012 prdcrv'!$A$7:$A$2000='Agg prdcrv'!$A16,IF('AEO 2012 prdcrv'!$H$7:$H$2000="2005",IF('AEO 2012 prdcrv'!$I$7:$I$2000="Prices",'AEO 2012 prdcrv'!B$7:B$2000,0))))</f>
        <v>48.28</v>
      </c>
      <c r="M16" s="13">
        <f t="array" ref="M16">SUM(IF('AEO 2012 prdcrv'!$A$7:$A$2000='Agg prdcrv'!$A16,IF('AEO 2012 prdcrv'!$H$7:$H$2000="2005",IF('AEO 2012 prdcrv'!$I$7:$I$2000="Prices",'AEO 2012 prdcrv'!C$7:C$2000,0))))</f>
        <v>47.45</v>
      </c>
      <c r="N16" s="13">
        <f t="array" ref="N16">SUM(IF('AEO 2012 prdcrv'!$A$7:$A$2000='Agg prdcrv'!$A16,IF('AEO 2012 prdcrv'!$H$7:$H$2000="2005",IF('AEO 2012 prdcrv'!$I$7:$I$2000="Prices",'AEO 2012 prdcrv'!D$7:D$2000,0))))</f>
        <v>46.99</v>
      </c>
      <c r="O16" s="13">
        <f t="array" ref="O16">SUM(IF('AEO 2012 prdcrv'!$A$7:$A$2000='Agg prdcrv'!$A16,IF('AEO 2012 prdcrv'!$H$7:$H$2000="2005",IF('AEO 2012 prdcrv'!$I$7:$I$2000="Prices",'AEO 2012 prdcrv'!E$7:E$2000,0))))</f>
        <v>48.97</v>
      </c>
      <c r="P16" s="13">
        <f t="array" ref="P16">SUM(IF('AEO 2012 prdcrv'!$A$7:$A$2000='Agg prdcrv'!$A16,IF('AEO 2012 prdcrv'!$H$7:$H$2000="2005",IF('AEO 2012 prdcrv'!$I$7:$I$2000="Prices",'AEO 2012 prdcrv'!F$7:F$2000,0))))</f>
        <v>46.56</v>
      </c>
    </row>
    <row r="17" spans="1:16">
      <c r="A17" s="1" t="s">
        <v>143</v>
      </c>
      <c r="B17" s="13">
        <v>2005</v>
      </c>
      <c r="C17" s="13">
        <v>1</v>
      </c>
      <c r="D17" s="13">
        <f t="array" ref="D17">SUM(IF('AEO 2012 prdcrv'!$A$7:$A$2000='Agg prdcrv'!$A17,IF('AEO 2012 prdcrv'!$H$7:$H$2000="2005",IF('AEO 2012 prdcrv'!$I$7:$I$2000="Quantities",'AEO 2012 prdcrv'!B$7:B$2000,0))))</f>
        <v>33.68</v>
      </c>
      <c r="E17" s="13">
        <f t="array" ref="E17">SUM(IF('AEO 2012 prdcrv'!$A$7:$A$2000='Agg prdcrv'!$A17,IF('AEO 2012 prdcrv'!$H$7:$H$2000="2005",IF('AEO 2012 prdcrv'!$I$7:$I$2000="Quantities",'AEO 2012 prdcrv'!C$7:C$2000,0))))</f>
        <v>0</v>
      </c>
      <c r="F17" s="13">
        <f t="array" ref="F17">SUM(IF('AEO 2012 prdcrv'!$A$7:$A$2000='Agg prdcrv'!$A17,IF('AEO 2012 prdcrv'!$H$7:$H$2000="2005",IF('AEO 2012 prdcrv'!$I$7:$I$2000="Quantities",'AEO 2012 prdcrv'!D$7:D$2000,0))))</f>
        <v>4.72</v>
      </c>
      <c r="G17" s="13">
        <f t="array" ref="G17">SUM(IF('AEO 2012 prdcrv'!$A$7:$A$2000='Agg prdcrv'!$A17,IF('AEO 2012 prdcrv'!$H$7:$H$2000="2005",IF('AEO 2012 prdcrv'!$I$7:$I$2000="Quantities",'AEO 2012 prdcrv'!E$7:E$2000,0))))</f>
        <v>0</v>
      </c>
      <c r="H17" s="13">
        <f t="array" ref="H17">SUM(IF('AEO 2012 prdcrv'!$A$7:$A$2000='Agg prdcrv'!$A17,IF('AEO 2012 prdcrv'!$H$7:$H$2000="2005",IF('AEO 2012 prdcrv'!$I$7:$I$2000="Quantities",'AEO 2012 prdcrv'!F$7:F$2000,0))))</f>
        <v>65.25</v>
      </c>
      <c r="J17" s="13">
        <v>2005</v>
      </c>
      <c r="K17" s="13">
        <v>1</v>
      </c>
      <c r="L17" s="13">
        <f t="array" ref="L17">SUM(IF('AEO 2012 prdcrv'!$A$7:$A$2000='Agg prdcrv'!$A17,IF('AEO 2012 prdcrv'!$H$7:$H$2000="2005",IF('AEO 2012 prdcrv'!$I$7:$I$2000="Prices",'AEO 2012 prdcrv'!B$7:B$2000,0))))</f>
        <v>60.65</v>
      </c>
      <c r="M17" s="13">
        <f t="array" ref="M17">SUM(IF('AEO 2012 prdcrv'!$A$7:$A$2000='Agg prdcrv'!$A17,IF('AEO 2012 prdcrv'!$H$7:$H$2000="2005",IF('AEO 2012 prdcrv'!$I$7:$I$2000="Prices",'AEO 2012 prdcrv'!C$7:C$2000,0))))</f>
        <v>58.57</v>
      </c>
      <c r="N17" s="13">
        <f t="array" ref="N17">SUM(IF('AEO 2012 prdcrv'!$A$7:$A$2000='Agg prdcrv'!$A17,IF('AEO 2012 prdcrv'!$H$7:$H$2000="2005",IF('AEO 2012 prdcrv'!$I$7:$I$2000="Prices",'AEO 2012 prdcrv'!D$7:D$2000,0))))</f>
        <v>58.16</v>
      </c>
      <c r="O17" s="13">
        <f t="array" ref="O17">SUM(IF('AEO 2012 prdcrv'!$A$7:$A$2000='Agg prdcrv'!$A17,IF('AEO 2012 prdcrv'!$H$7:$H$2000="2005",IF('AEO 2012 prdcrv'!$I$7:$I$2000="Prices",'AEO 2012 prdcrv'!E$7:E$2000,0))))</f>
        <v>60.83</v>
      </c>
      <c r="P17" s="13">
        <f t="array" ref="P17">SUM(IF('AEO 2012 prdcrv'!$A$7:$A$2000='Agg prdcrv'!$A17,IF('AEO 2012 prdcrv'!$H$7:$H$2000="2005",IF('AEO 2012 prdcrv'!$I$7:$I$2000="Prices",'AEO 2012 prdcrv'!F$7:F$2000,0))))</f>
        <v>58.19</v>
      </c>
    </row>
    <row r="18" spans="1:16">
      <c r="A18" s="1" t="s">
        <v>144</v>
      </c>
      <c r="B18" s="13">
        <v>2005</v>
      </c>
      <c r="C18" s="13">
        <v>1</v>
      </c>
      <c r="D18" s="13">
        <f t="array" ref="D18">SUM(IF('AEO 2012 prdcrv'!$A$7:$A$2000='Agg prdcrv'!$A18,IF('AEO 2012 prdcrv'!$H$7:$H$2000="2005",IF('AEO 2012 prdcrv'!$I$7:$I$2000="Quantities",'AEO 2012 prdcrv'!B$7:B$2000,0))))</f>
        <v>74.16</v>
      </c>
      <c r="E18" s="13">
        <f t="array" ref="E18">SUM(IF('AEO 2012 prdcrv'!$A$7:$A$2000='Agg prdcrv'!$A18,IF('AEO 2012 prdcrv'!$H$7:$H$2000="2005",IF('AEO 2012 prdcrv'!$I$7:$I$2000="Quantities",'AEO 2012 prdcrv'!C$7:C$2000,0))))</f>
        <v>1</v>
      </c>
      <c r="F18" s="13">
        <f t="array" ref="F18">SUM(IF('AEO 2012 prdcrv'!$A$7:$A$2000='Agg prdcrv'!$A18,IF('AEO 2012 prdcrv'!$H$7:$H$2000="2005",IF('AEO 2012 prdcrv'!$I$7:$I$2000="Quantities",'AEO 2012 prdcrv'!D$7:D$2000,0))))</f>
        <v>1.97</v>
      </c>
      <c r="G18" s="13">
        <f t="array" ref="G18">SUM(IF('AEO 2012 prdcrv'!$A$7:$A$2000='Agg prdcrv'!$A18,IF('AEO 2012 prdcrv'!$H$7:$H$2000="2005",IF('AEO 2012 prdcrv'!$I$7:$I$2000="Quantities",'AEO 2012 prdcrv'!E$7:E$2000,0))))</f>
        <v>1</v>
      </c>
      <c r="H18" s="13">
        <f t="array" ref="H18">SUM(IF('AEO 2012 prdcrv'!$A$7:$A$2000='Agg prdcrv'!$A18,IF('AEO 2012 prdcrv'!$H$7:$H$2000="2005",IF('AEO 2012 prdcrv'!$I$7:$I$2000="Quantities",'AEO 2012 prdcrv'!F$7:F$2000,0))))</f>
        <v>20.43</v>
      </c>
      <c r="J18" s="13">
        <v>2005</v>
      </c>
      <c r="K18" s="13">
        <v>1</v>
      </c>
      <c r="L18" s="13">
        <f t="array" ref="L18">SUM(IF('AEO 2012 prdcrv'!$A$7:$A$2000='Agg prdcrv'!$A18,IF('AEO 2012 prdcrv'!$H$7:$H$2000="2005",IF('AEO 2012 prdcrv'!$I$7:$I$2000="Prices",'AEO 2012 prdcrv'!B$7:B$2000,0))))</f>
        <v>52.75</v>
      </c>
      <c r="M18" s="13">
        <f t="array" ref="M18">SUM(IF('AEO 2012 prdcrv'!$A$7:$A$2000='Agg prdcrv'!$A18,IF('AEO 2012 prdcrv'!$H$7:$H$2000="2005",IF('AEO 2012 prdcrv'!$I$7:$I$2000="Prices",'AEO 2012 prdcrv'!C$7:C$2000,0))))</f>
        <v>52.07</v>
      </c>
      <c r="N18" s="13">
        <f t="array" ref="N18">SUM(IF('AEO 2012 prdcrv'!$A$7:$A$2000='Agg prdcrv'!$A18,IF('AEO 2012 prdcrv'!$H$7:$H$2000="2005",IF('AEO 2012 prdcrv'!$I$7:$I$2000="Prices",'AEO 2012 prdcrv'!D$7:D$2000,0))))</f>
        <v>51.76</v>
      </c>
      <c r="O18" s="13">
        <f t="array" ref="O18">SUM(IF('AEO 2012 prdcrv'!$A$7:$A$2000='Agg prdcrv'!$A18,IF('AEO 2012 prdcrv'!$H$7:$H$2000="2005",IF('AEO 2012 prdcrv'!$I$7:$I$2000="Prices",'AEO 2012 prdcrv'!E$7:E$2000,0))))</f>
        <v>56.99</v>
      </c>
      <c r="P18" s="13">
        <f t="array" ref="P18">SUM(IF('AEO 2012 prdcrv'!$A$7:$A$2000='Agg prdcrv'!$A18,IF('AEO 2012 prdcrv'!$H$7:$H$2000="2005",IF('AEO 2012 prdcrv'!$I$7:$I$2000="Prices",'AEO 2012 prdcrv'!F$7:F$2000,0))))</f>
        <v>55.34</v>
      </c>
    </row>
    <row r="19" spans="1:16">
      <c r="A19" s="1" t="s">
        <v>14</v>
      </c>
      <c r="B19" s="13">
        <v>2005</v>
      </c>
      <c r="C19" s="13">
        <v>1</v>
      </c>
      <c r="D19" s="13">
        <f t="array" ref="D19">SUM(IF('AEO 2012 prdcrv'!$A$7:$A$2000='Agg prdcrv'!$A19,IF('AEO 2012 prdcrv'!$H$7:$H$2000="2005",IF('AEO 2012 prdcrv'!$I$7:$I$2000="Quantities",'AEO 2012 prdcrv'!B$7:B$2000,0))))</f>
        <v>21.38</v>
      </c>
      <c r="E19" s="13">
        <f t="array" ref="E19">SUM(IF('AEO 2012 prdcrv'!$A$7:$A$2000='Agg prdcrv'!$A19,IF('AEO 2012 prdcrv'!$H$7:$H$2000="2005",IF('AEO 2012 prdcrv'!$I$7:$I$2000="Quantities",'AEO 2012 prdcrv'!C$7:C$2000,0))))</f>
        <v>0</v>
      </c>
      <c r="F19" s="13">
        <f t="array" ref="F19">SUM(IF('AEO 2012 prdcrv'!$A$7:$A$2000='Agg prdcrv'!$A19,IF('AEO 2012 prdcrv'!$H$7:$H$2000="2005",IF('AEO 2012 prdcrv'!$I$7:$I$2000="Quantities",'AEO 2012 prdcrv'!D$7:D$2000,0))))</f>
        <v>3.05</v>
      </c>
      <c r="G19" s="13">
        <f t="array" ref="G19">SUM(IF('AEO 2012 prdcrv'!$A$7:$A$2000='Agg prdcrv'!$A19,IF('AEO 2012 prdcrv'!$H$7:$H$2000="2005",IF('AEO 2012 prdcrv'!$I$7:$I$2000="Quantities",'AEO 2012 prdcrv'!E$7:E$2000,0))))</f>
        <v>0</v>
      </c>
      <c r="H19" s="13">
        <f t="array" ref="H19">SUM(IF('AEO 2012 prdcrv'!$A$7:$A$2000='Agg prdcrv'!$A19,IF('AEO 2012 prdcrv'!$H$7:$H$2000="2005",IF('AEO 2012 prdcrv'!$I$7:$I$2000="Quantities",'AEO 2012 prdcrv'!F$7:F$2000,0))))</f>
        <v>4.3499999999999996</v>
      </c>
      <c r="J19" s="13">
        <v>2005</v>
      </c>
      <c r="K19" s="13">
        <v>1</v>
      </c>
      <c r="L19" s="13">
        <f t="array" ref="L19">SUM(IF('AEO 2012 prdcrv'!$A$7:$A$2000='Agg prdcrv'!$A19,IF('AEO 2012 prdcrv'!$H$7:$H$2000="2005",IF('AEO 2012 prdcrv'!$I$7:$I$2000="Prices",'AEO 2012 prdcrv'!B$7:B$2000,0))))</f>
        <v>57.53</v>
      </c>
      <c r="M19" s="13">
        <f t="array" ref="M19">SUM(IF('AEO 2012 prdcrv'!$A$7:$A$2000='Agg prdcrv'!$A19,IF('AEO 2012 prdcrv'!$H$7:$H$2000="2005",IF('AEO 2012 prdcrv'!$I$7:$I$2000="Prices",'AEO 2012 prdcrv'!C$7:C$2000,0))))</f>
        <v>57.76</v>
      </c>
      <c r="N19" s="13">
        <f t="array" ref="N19">SUM(IF('AEO 2012 prdcrv'!$A$7:$A$2000='Agg prdcrv'!$A19,IF('AEO 2012 prdcrv'!$H$7:$H$2000="2005",IF('AEO 2012 prdcrv'!$I$7:$I$2000="Prices",'AEO 2012 prdcrv'!D$7:D$2000,0))))</f>
        <v>56.78</v>
      </c>
      <c r="O19" s="13">
        <f t="array" ref="O19">SUM(IF('AEO 2012 prdcrv'!$A$7:$A$2000='Agg prdcrv'!$A19,IF('AEO 2012 prdcrv'!$H$7:$H$2000="2005",IF('AEO 2012 prdcrv'!$I$7:$I$2000="Prices",'AEO 2012 prdcrv'!E$7:E$2000,0))))</f>
        <v>68.39</v>
      </c>
      <c r="P19" s="13">
        <f t="array" ref="P19">SUM(IF('AEO 2012 prdcrv'!$A$7:$A$2000='Agg prdcrv'!$A19,IF('AEO 2012 prdcrv'!$H$7:$H$2000="2005",IF('AEO 2012 prdcrv'!$I$7:$I$2000="Prices",'AEO 2012 prdcrv'!F$7:F$2000,0))))</f>
        <v>64.040000000000006</v>
      </c>
    </row>
    <row r="20" spans="1:16">
      <c r="A20" s="1" t="s">
        <v>145</v>
      </c>
      <c r="B20" s="13">
        <v>2005</v>
      </c>
      <c r="C20" s="13">
        <v>1</v>
      </c>
      <c r="D20" s="13">
        <f t="array" ref="D20">SUM(IF('AEO 2012 prdcrv'!$A$7:$A$2000='Agg prdcrv'!$A20,IF('AEO 2012 prdcrv'!$H$7:$H$2000="2005",IF('AEO 2012 prdcrv'!$I$7:$I$2000="Quantities",'AEO 2012 prdcrv'!B$7:B$2000,0))))</f>
        <v>18.61</v>
      </c>
      <c r="E20" s="13">
        <f t="array" ref="E20">SUM(IF('AEO 2012 prdcrv'!$A$7:$A$2000='Agg prdcrv'!$A20,IF('AEO 2012 prdcrv'!$H$7:$H$2000="2005",IF('AEO 2012 prdcrv'!$I$7:$I$2000="Quantities",'AEO 2012 prdcrv'!C$7:C$2000,0))))</f>
        <v>0</v>
      </c>
      <c r="F20" s="13">
        <f t="array" ref="F20">SUM(IF('AEO 2012 prdcrv'!$A$7:$A$2000='Agg prdcrv'!$A20,IF('AEO 2012 prdcrv'!$H$7:$H$2000="2005",IF('AEO 2012 prdcrv'!$I$7:$I$2000="Quantities",'AEO 2012 prdcrv'!D$7:D$2000,0))))</f>
        <v>140.25</v>
      </c>
      <c r="G20" s="13">
        <f t="array" ref="G20">SUM(IF('AEO 2012 prdcrv'!$A$7:$A$2000='Agg prdcrv'!$A20,IF('AEO 2012 prdcrv'!$H$7:$H$2000="2005",IF('AEO 2012 prdcrv'!$I$7:$I$2000="Quantities",'AEO 2012 prdcrv'!E$7:E$2000,0))))</f>
        <v>0</v>
      </c>
      <c r="H20" s="13">
        <f t="array" ref="H20">SUM(IF('AEO 2012 prdcrv'!$A$7:$A$2000='Agg prdcrv'!$A20,IF('AEO 2012 prdcrv'!$H$7:$H$2000="2005",IF('AEO 2012 prdcrv'!$I$7:$I$2000="Quantities",'AEO 2012 prdcrv'!F$7:F$2000,0))))</f>
        <v>28.07</v>
      </c>
      <c r="J20" s="13">
        <v>2005</v>
      </c>
      <c r="K20" s="13">
        <v>1</v>
      </c>
      <c r="L20" s="13">
        <f t="array" ref="L20">SUM(IF('AEO 2012 prdcrv'!$A$7:$A$2000='Agg prdcrv'!$A20,IF('AEO 2012 prdcrv'!$H$7:$H$2000="2005",IF('AEO 2012 prdcrv'!$I$7:$I$2000="Prices",'AEO 2012 prdcrv'!B$7:B$2000,0))))</f>
        <v>26.15</v>
      </c>
      <c r="M20" s="13">
        <f t="array" ref="M20">SUM(IF('AEO 2012 prdcrv'!$A$7:$A$2000='Agg prdcrv'!$A20,IF('AEO 2012 prdcrv'!$H$7:$H$2000="2005",IF('AEO 2012 prdcrv'!$I$7:$I$2000="Prices",'AEO 2012 prdcrv'!C$7:C$2000,0))))</f>
        <v>26.25</v>
      </c>
      <c r="N20" s="13">
        <f t="array" ref="N20">SUM(IF('AEO 2012 prdcrv'!$A$7:$A$2000='Agg prdcrv'!$A20,IF('AEO 2012 prdcrv'!$H$7:$H$2000="2005",IF('AEO 2012 prdcrv'!$I$7:$I$2000="Prices",'AEO 2012 prdcrv'!D$7:D$2000,0))))</f>
        <v>25.81</v>
      </c>
      <c r="O20" s="13">
        <f t="array" ref="O20">SUM(IF('AEO 2012 prdcrv'!$A$7:$A$2000='Agg prdcrv'!$A20,IF('AEO 2012 prdcrv'!$H$7:$H$2000="2005",IF('AEO 2012 prdcrv'!$I$7:$I$2000="Prices",'AEO 2012 prdcrv'!E$7:E$2000,0))))</f>
        <v>31.09</v>
      </c>
      <c r="P20" s="13">
        <f t="array" ref="P20">SUM(IF('AEO 2012 prdcrv'!$A$7:$A$2000='Agg prdcrv'!$A20,IF('AEO 2012 prdcrv'!$H$7:$H$2000="2005",IF('AEO 2012 prdcrv'!$I$7:$I$2000="Prices",'AEO 2012 prdcrv'!F$7:F$2000,0))))</f>
        <v>29.11</v>
      </c>
    </row>
    <row r="21" spans="1:16">
      <c r="A21" s="1" t="s">
        <v>146</v>
      </c>
      <c r="B21" s="13">
        <v>2005</v>
      </c>
      <c r="C21" s="13">
        <v>1</v>
      </c>
      <c r="D21" s="13">
        <f t="array" ref="D21">SUM(IF('AEO 2012 prdcrv'!$A$7:$A$2000='Agg prdcrv'!$A21,IF('AEO 2012 prdcrv'!$H$7:$H$2000="2005",IF('AEO 2012 prdcrv'!$I$7:$I$2000="Quantities",'AEO 2012 prdcrv'!B$7:B$2000,0))))</f>
        <v>16.239999999999998</v>
      </c>
      <c r="E21" s="13">
        <f t="array" ref="E21">SUM(IF('AEO 2012 prdcrv'!$A$7:$A$2000='Agg prdcrv'!$A21,IF('AEO 2012 prdcrv'!$H$7:$H$2000="2005",IF('AEO 2012 prdcrv'!$I$7:$I$2000="Quantities",'AEO 2012 prdcrv'!C$7:C$2000,0))))</f>
        <v>1.39</v>
      </c>
      <c r="F21" s="13">
        <f t="array" ref="F21">SUM(IF('AEO 2012 prdcrv'!$A$7:$A$2000='Agg prdcrv'!$A21,IF('AEO 2012 prdcrv'!$H$7:$H$2000="2005",IF('AEO 2012 prdcrv'!$I$7:$I$2000="Quantities",'AEO 2012 prdcrv'!D$7:D$2000,0))))</f>
        <v>365.56</v>
      </c>
      <c r="G21" s="13">
        <f t="array" ref="G21">SUM(IF('AEO 2012 prdcrv'!$A$7:$A$2000='Agg prdcrv'!$A21,IF('AEO 2012 prdcrv'!$H$7:$H$2000="2005",IF('AEO 2012 prdcrv'!$I$7:$I$2000="Quantities",'AEO 2012 prdcrv'!E$7:E$2000,0))))</f>
        <v>0.9</v>
      </c>
      <c r="H21" s="13">
        <f t="array" ref="H21">SUM(IF('AEO 2012 prdcrv'!$A$7:$A$2000='Agg prdcrv'!$A21,IF('AEO 2012 prdcrv'!$H$7:$H$2000="2005",IF('AEO 2012 prdcrv'!$I$7:$I$2000="Quantities",'AEO 2012 prdcrv'!F$7:F$2000,0))))</f>
        <v>15.29</v>
      </c>
      <c r="J21" s="13">
        <v>2005</v>
      </c>
      <c r="K21" s="13">
        <v>1</v>
      </c>
      <c r="L21" s="13">
        <f t="array" ref="L21">SUM(IF('AEO 2012 prdcrv'!$A$7:$A$2000='Agg prdcrv'!$A21,IF('AEO 2012 prdcrv'!$H$7:$H$2000="2005",IF('AEO 2012 prdcrv'!$I$7:$I$2000="Prices",'AEO 2012 prdcrv'!B$7:B$2000,0))))</f>
        <v>31.96</v>
      </c>
      <c r="M21" s="13">
        <f t="array" ref="M21">SUM(IF('AEO 2012 prdcrv'!$A$7:$A$2000='Agg prdcrv'!$A21,IF('AEO 2012 prdcrv'!$H$7:$H$2000="2005",IF('AEO 2012 prdcrv'!$I$7:$I$2000="Prices",'AEO 2012 prdcrv'!C$7:C$2000,0))))</f>
        <v>32.090000000000003</v>
      </c>
      <c r="N21" s="13">
        <f t="array" ref="N21">SUM(IF('AEO 2012 prdcrv'!$A$7:$A$2000='Agg prdcrv'!$A21,IF('AEO 2012 prdcrv'!$H$7:$H$2000="2005",IF('AEO 2012 prdcrv'!$I$7:$I$2000="Prices",'AEO 2012 prdcrv'!D$7:D$2000,0))))</f>
        <v>31.55</v>
      </c>
      <c r="O21" s="13">
        <f t="array" ref="O21">SUM(IF('AEO 2012 prdcrv'!$A$7:$A$2000='Agg prdcrv'!$A21,IF('AEO 2012 prdcrv'!$H$7:$H$2000="2005",IF('AEO 2012 prdcrv'!$I$7:$I$2000="Prices",'AEO 2012 prdcrv'!E$7:E$2000,0))))</f>
        <v>38</v>
      </c>
      <c r="P21" s="13">
        <f t="array" ref="P21">SUM(IF('AEO 2012 prdcrv'!$A$7:$A$2000='Agg prdcrv'!$A21,IF('AEO 2012 prdcrv'!$H$7:$H$2000="2005",IF('AEO 2012 prdcrv'!$I$7:$I$2000="Prices",'AEO 2012 prdcrv'!F$7:F$2000,0))))</f>
        <v>35.58</v>
      </c>
    </row>
    <row r="22" spans="1:16">
      <c r="A22" s="1" t="s">
        <v>147</v>
      </c>
      <c r="B22" s="13">
        <v>2005</v>
      </c>
      <c r="C22" s="13">
        <v>1</v>
      </c>
      <c r="D22" s="13">
        <f t="array" ref="D22">SUM(IF('AEO 2012 prdcrv'!$A$7:$A$2000='Agg prdcrv'!$A22,IF('AEO 2012 prdcrv'!$H$7:$H$2000="2005",IF('AEO 2012 prdcrv'!$I$7:$I$2000="Quantities",'AEO 2012 prdcrv'!B$7:B$2000,0))))</f>
        <v>98.01</v>
      </c>
      <c r="E22" s="13">
        <f t="array" ref="E22">SUM(IF('AEO 2012 prdcrv'!$A$7:$A$2000='Agg prdcrv'!$A22,IF('AEO 2012 prdcrv'!$H$7:$H$2000="2005",IF('AEO 2012 prdcrv'!$I$7:$I$2000="Quantities",'AEO 2012 prdcrv'!C$7:C$2000,0))))</f>
        <v>0.92</v>
      </c>
      <c r="F22" s="13">
        <f t="array" ref="F22">SUM(IF('AEO 2012 prdcrv'!$A$7:$A$2000='Agg prdcrv'!$A22,IF('AEO 2012 prdcrv'!$H$7:$H$2000="2005",IF('AEO 2012 prdcrv'!$I$7:$I$2000="Quantities",'AEO 2012 prdcrv'!D$7:D$2000,0))))</f>
        <v>194.41</v>
      </c>
      <c r="G22" s="13">
        <f t="array" ref="G22">SUM(IF('AEO 2012 prdcrv'!$A$7:$A$2000='Agg prdcrv'!$A22,IF('AEO 2012 prdcrv'!$H$7:$H$2000="2005",IF('AEO 2012 prdcrv'!$I$7:$I$2000="Quantities",'AEO 2012 prdcrv'!E$7:E$2000,0))))</f>
        <v>0</v>
      </c>
      <c r="H22" s="13">
        <f t="array" ref="H22">SUM(IF('AEO 2012 prdcrv'!$A$7:$A$2000='Agg prdcrv'!$A22,IF('AEO 2012 prdcrv'!$H$7:$H$2000="2005",IF('AEO 2012 prdcrv'!$I$7:$I$2000="Quantities",'AEO 2012 prdcrv'!F$7:F$2000,0))))</f>
        <v>54.95</v>
      </c>
      <c r="J22" s="13">
        <v>2005</v>
      </c>
      <c r="K22" s="13">
        <v>1</v>
      </c>
      <c r="L22" s="13">
        <f t="array" ref="L22">SUM(IF('AEO 2012 prdcrv'!$A$7:$A$2000='Agg prdcrv'!$A22,IF('AEO 2012 prdcrv'!$H$7:$H$2000="2005",IF('AEO 2012 prdcrv'!$I$7:$I$2000="Prices",'AEO 2012 prdcrv'!B$7:B$2000,0))))</f>
        <v>23.97</v>
      </c>
      <c r="M22" s="13">
        <f t="array" ref="M22">SUM(IF('AEO 2012 prdcrv'!$A$7:$A$2000='Agg prdcrv'!$A22,IF('AEO 2012 prdcrv'!$H$7:$H$2000="2005",IF('AEO 2012 prdcrv'!$I$7:$I$2000="Prices",'AEO 2012 prdcrv'!C$7:C$2000,0))))</f>
        <v>24.07</v>
      </c>
      <c r="N22" s="13">
        <f t="array" ref="N22">SUM(IF('AEO 2012 prdcrv'!$A$7:$A$2000='Agg prdcrv'!$A22,IF('AEO 2012 prdcrv'!$H$7:$H$2000="2005",IF('AEO 2012 prdcrv'!$I$7:$I$2000="Prices",'AEO 2012 prdcrv'!D$7:D$2000,0))))</f>
        <v>23.66</v>
      </c>
      <c r="O22" s="13">
        <f t="array" ref="O22">SUM(IF('AEO 2012 prdcrv'!$A$7:$A$2000='Agg prdcrv'!$A22,IF('AEO 2012 prdcrv'!$H$7:$H$2000="2005",IF('AEO 2012 prdcrv'!$I$7:$I$2000="Prices",'AEO 2012 prdcrv'!E$7:E$2000,0))))</f>
        <v>28.5</v>
      </c>
      <c r="P22" s="13">
        <f t="array" ref="P22">SUM(IF('AEO 2012 prdcrv'!$A$7:$A$2000='Agg prdcrv'!$A22,IF('AEO 2012 prdcrv'!$H$7:$H$2000="2005",IF('AEO 2012 prdcrv'!$I$7:$I$2000="Prices",'AEO 2012 prdcrv'!F$7:F$2000,0))))</f>
        <v>26.68</v>
      </c>
    </row>
    <row r="23" spans="1:16">
      <c r="A23" s="12" t="s">
        <v>398</v>
      </c>
    </row>
    <row r="24" spans="1:16">
      <c r="A24" s="1" t="s">
        <v>20</v>
      </c>
      <c r="B24" s="13">
        <v>2010</v>
      </c>
      <c r="C24" s="13">
        <v>1</v>
      </c>
      <c r="D24" s="13">
        <f t="array" ref="D24">SUM(IF('AEO 2012 prdcrv'!$A$7:$A$2000='Agg prdcrv'!$A24,IF('AEO 2012 prdcrv'!$H$7:$H$2000="2010",IF('AEO 2012 prdcrv'!$I$7:$I$2000="Quantities",'AEO 2012 prdcrv'!B$7:B$2000,0))))</f>
        <v>0</v>
      </c>
      <c r="E24" s="13">
        <f t="array" ref="E24">SUM(IF('AEO 2012 prdcrv'!$A$7:$A$2000='Agg prdcrv'!$A24,IF('AEO 2012 prdcrv'!$H$7:$H$2000="2010",IF('AEO 2012 prdcrv'!$I$7:$I$2000="Quantities",'AEO 2012 prdcrv'!C$7:C$2000,0))))</f>
        <v>0</v>
      </c>
      <c r="F24" s="13">
        <f t="array" ref="F24">SUM(IF('AEO 2012 prdcrv'!$A$7:$A$2000='Agg prdcrv'!$A24,IF('AEO 2012 prdcrv'!$H$7:$H$2000="2010",IF('AEO 2012 prdcrv'!$I$7:$I$2000="Quantities",'AEO 2012 prdcrv'!D$7:D$2000,0))))</f>
        <v>0</v>
      </c>
      <c r="G24" s="13">
        <f t="array" ref="G24">SUM(IF('AEO 2012 prdcrv'!$A$7:$A$2000='Agg prdcrv'!$A24,IF('AEO 2012 prdcrv'!$H$7:$H$2000="2010",IF('AEO 2012 prdcrv'!$I$7:$I$2000="Quantities",'AEO 2012 prdcrv'!E$7:E$2000,0))))</f>
        <v>0</v>
      </c>
      <c r="H24" s="13">
        <f t="array" ref="H24">SUM(IF('AEO 2012 prdcrv'!$A$7:$A$2000='Agg prdcrv'!$A24,IF('AEO 2012 prdcrv'!$H$7:$H$2000="2010",IF('AEO 2012 prdcrv'!$I$7:$I$2000="Quantities",'AEO 2012 prdcrv'!F$7:F$2000,0))))</f>
        <v>0</v>
      </c>
      <c r="J24" s="13">
        <v>2010</v>
      </c>
      <c r="K24" s="13">
        <v>1</v>
      </c>
      <c r="L24" s="13">
        <f t="array" ref="L24">SUM(IF('AEO 2012 prdcrv'!$A$7:$A$2000='Agg prdcrv'!$A24,IF('AEO 2012 prdcrv'!$H$7:$H$2000="2010",IF('AEO 2012 prdcrv'!$I$7:$I$2000="Prices",'AEO 2012 prdcrv'!B$7:B$2000,0))))</f>
        <v>113.56</v>
      </c>
      <c r="M24" s="13">
        <f t="array" ref="M24">SUM(IF('AEO 2012 prdcrv'!$A$7:$A$2000='Agg prdcrv'!$A24,IF('AEO 2012 prdcrv'!$H$7:$H$2000="2010",IF('AEO 2012 prdcrv'!$I$7:$I$2000="Prices",'AEO 2012 prdcrv'!C$7:C$2000,0))))</f>
        <v>113.5</v>
      </c>
      <c r="N24" s="13">
        <f t="array" ref="N24">SUM(IF('AEO 2012 prdcrv'!$A$7:$A$2000='Agg prdcrv'!$A24,IF('AEO 2012 prdcrv'!$H$7:$H$2000="2010",IF('AEO 2012 prdcrv'!$I$7:$I$2000="Prices",'AEO 2012 prdcrv'!D$7:D$2000,0))))</f>
        <v>113.56</v>
      </c>
      <c r="O24" s="13">
        <f t="array" ref="O24">SUM(IF('AEO 2012 prdcrv'!$A$7:$A$2000='Agg prdcrv'!$A24,IF('AEO 2012 prdcrv'!$H$7:$H$2000="2010",IF('AEO 2012 prdcrv'!$I$7:$I$2000="Prices",'AEO 2012 prdcrv'!E$7:E$2000,0))))</f>
        <v>113.3</v>
      </c>
      <c r="P24" s="13">
        <f t="array" ref="P24">SUM(IF('AEO 2012 prdcrv'!$A$7:$A$2000='Agg prdcrv'!$A24,IF('AEO 2012 prdcrv'!$H$7:$H$2000="2010",IF('AEO 2012 prdcrv'!$I$7:$I$2000="Prices",'AEO 2012 prdcrv'!F$7:F$2000,0))))</f>
        <v>113.5</v>
      </c>
    </row>
    <row r="25" spans="1:16">
      <c r="A25" s="1" t="s">
        <v>17</v>
      </c>
      <c r="B25" s="13">
        <v>2010</v>
      </c>
      <c r="C25" s="13">
        <v>1</v>
      </c>
      <c r="D25" s="13">
        <f t="array" ref="D25">SUM(IF('AEO 2012 prdcrv'!$A$7:$A$2000='Agg prdcrv'!$A25,IF('AEO 2012 prdcrv'!$H$7:$H$2000="2010",IF('AEO 2012 prdcrv'!$I$7:$I$2000="Quantities",'AEO 2012 prdcrv'!B$7:B$2000,0))))</f>
        <v>300.14999999999998</v>
      </c>
      <c r="E25" s="13">
        <f t="array" ref="E25">SUM(IF('AEO 2012 prdcrv'!$A$7:$A$2000='Agg prdcrv'!$A25,IF('AEO 2012 prdcrv'!$H$7:$H$2000="2010",IF('AEO 2012 prdcrv'!$I$7:$I$2000="Quantities",'AEO 2012 prdcrv'!C$7:C$2000,0))))</f>
        <v>1.01</v>
      </c>
      <c r="F25" s="13">
        <f t="array" ref="F25">SUM(IF('AEO 2012 prdcrv'!$A$7:$A$2000='Agg prdcrv'!$A25,IF('AEO 2012 prdcrv'!$H$7:$H$2000="2010",IF('AEO 2012 prdcrv'!$I$7:$I$2000="Quantities",'AEO 2012 prdcrv'!D$7:D$2000,0))))</f>
        <v>28.56</v>
      </c>
      <c r="G25" s="13">
        <f t="array" ref="G25">SUM(IF('AEO 2012 prdcrv'!$A$7:$A$2000='Agg prdcrv'!$A25,IF('AEO 2012 prdcrv'!$H$7:$H$2000="2010",IF('AEO 2012 prdcrv'!$I$7:$I$2000="Quantities",'AEO 2012 prdcrv'!E$7:E$2000,0))))</f>
        <v>0</v>
      </c>
      <c r="H25" s="13">
        <f t="array" ref="H25">SUM(IF('AEO 2012 prdcrv'!$A$7:$A$2000='Agg prdcrv'!$A25,IF('AEO 2012 prdcrv'!$H$7:$H$2000="2010",IF('AEO 2012 prdcrv'!$I$7:$I$2000="Quantities",'AEO 2012 prdcrv'!F$7:F$2000,0))))</f>
        <v>19.77</v>
      </c>
      <c r="J25" s="13">
        <v>2010</v>
      </c>
      <c r="K25" s="13">
        <v>1</v>
      </c>
      <c r="L25" s="13">
        <f t="array" ref="L25">SUM(IF('AEO 2012 prdcrv'!$A$7:$A$2000='Agg prdcrv'!$A25,IF('AEO 2012 prdcrv'!$H$7:$H$2000="2010",IF('AEO 2012 prdcrv'!$I$7:$I$2000="Prices",'AEO 2012 prdcrv'!B$7:B$2000,0))))</f>
        <v>49.74</v>
      </c>
      <c r="M25" s="13">
        <f t="array" ref="M25">SUM(IF('AEO 2012 prdcrv'!$A$7:$A$2000='Agg prdcrv'!$A25,IF('AEO 2012 prdcrv'!$H$7:$H$2000="2010",IF('AEO 2012 prdcrv'!$I$7:$I$2000="Prices",'AEO 2012 prdcrv'!C$7:C$2000,0))))</f>
        <v>50.63</v>
      </c>
      <c r="N25" s="13">
        <f t="array" ref="N25">SUM(IF('AEO 2012 prdcrv'!$A$7:$A$2000='Agg prdcrv'!$A25,IF('AEO 2012 prdcrv'!$H$7:$H$2000="2010",IF('AEO 2012 prdcrv'!$I$7:$I$2000="Prices",'AEO 2012 prdcrv'!D$7:D$2000,0))))</f>
        <v>49.8</v>
      </c>
      <c r="O25" s="13">
        <f t="array" ref="O25">SUM(IF('AEO 2012 prdcrv'!$A$7:$A$2000='Agg prdcrv'!$A25,IF('AEO 2012 prdcrv'!$H$7:$H$2000="2010",IF('AEO 2012 prdcrv'!$I$7:$I$2000="Prices",'AEO 2012 prdcrv'!E$7:E$2000,0))))</f>
        <v>49.61</v>
      </c>
      <c r="P25" s="13">
        <f t="array" ref="P25">SUM(IF('AEO 2012 prdcrv'!$A$7:$A$2000='Agg prdcrv'!$A25,IF('AEO 2012 prdcrv'!$H$7:$H$2000="2010",IF('AEO 2012 prdcrv'!$I$7:$I$2000="Prices",'AEO 2012 prdcrv'!F$7:F$2000,0))))</f>
        <v>34.799999999999997</v>
      </c>
    </row>
    <row r="26" spans="1:16">
      <c r="A26" s="1" t="s">
        <v>10</v>
      </c>
      <c r="B26" s="13">
        <v>2010</v>
      </c>
      <c r="C26" s="13">
        <v>1</v>
      </c>
      <c r="D26" s="13">
        <f t="array" ref="D26">SUM(IF('AEO 2012 prdcrv'!$A$7:$A$2000='Agg prdcrv'!$A26,IF('AEO 2012 prdcrv'!$H$7:$H$2000="2010",IF('AEO 2012 prdcrv'!$I$7:$I$2000="Quantities",'AEO 2012 prdcrv'!B$7:B$2000,0))))</f>
        <v>200.4</v>
      </c>
      <c r="E26" s="13">
        <f t="array" ref="E26">SUM(IF('AEO 2012 prdcrv'!$A$7:$A$2000='Agg prdcrv'!$A26,IF('AEO 2012 prdcrv'!$H$7:$H$2000="2010",IF('AEO 2012 prdcrv'!$I$7:$I$2000="Quantities",'AEO 2012 prdcrv'!C$7:C$2000,0))))</f>
        <v>0.87</v>
      </c>
      <c r="F26" s="13">
        <f t="array" ref="F26">SUM(IF('AEO 2012 prdcrv'!$A$7:$A$2000='Agg prdcrv'!$A26,IF('AEO 2012 prdcrv'!$H$7:$H$2000="2010",IF('AEO 2012 prdcrv'!$I$7:$I$2000="Quantities",'AEO 2012 prdcrv'!D$7:D$2000,0))))</f>
        <v>8.23</v>
      </c>
      <c r="G26" s="13">
        <f t="array" ref="G26">SUM(IF('AEO 2012 prdcrv'!$A$7:$A$2000='Agg prdcrv'!$A26,IF('AEO 2012 prdcrv'!$H$7:$H$2000="2010",IF('AEO 2012 prdcrv'!$I$7:$I$2000="Quantities",'AEO 2012 prdcrv'!E$7:E$2000,0))))</f>
        <v>0.87</v>
      </c>
      <c r="H26" s="13">
        <f t="array" ref="H26">SUM(IF('AEO 2012 prdcrv'!$A$7:$A$2000='Agg prdcrv'!$A26,IF('AEO 2012 prdcrv'!$H$7:$H$2000="2010",IF('AEO 2012 prdcrv'!$I$7:$I$2000="Quantities",'AEO 2012 prdcrv'!F$7:F$2000,0))))</f>
        <v>4.91</v>
      </c>
      <c r="J26" s="13">
        <v>2010</v>
      </c>
      <c r="K26" s="13">
        <v>1</v>
      </c>
      <c r="L26" s="13">
        <f t="array" ref="L26">SUM(IF('AEO 2012 prdcrv'!$A$7:$A$2000='Agg prdcrv'!$A26,IF('AEO 2012 prdcrv'!$H$7:$H$2000="2010",IF('AEO 2012 prdcrv'!$I$7:$I$2000="Prices",'AEO 2012 prdcrv'!B$7:B$2000,0))))</f>
        <v>45.48</v>
      </c>
      <c r="M26" s="13">
        <f t="array" ref="M26">SUM(IF('AEO 2012 prdcrv'!$A$7:$A$2000='Agg prdcrv'!$A26,IF('AEO 2012 prdcrv'!$H$7:$H$2000="2010",IF('AEO 2012 prdcrv'!$I$7:$I$2000="Prices",'AEO 2012 prdcrv'!C$7:C$2000,0))))</f>
        <v>49.64</v>
      </c>
      <c r="N26" s="13">
        <f t="array" ref="N26">SUM(IF('AEO 2012 prdcrv'!$A$7:$A$2000='Agg prdcrv'!$A26,IF('AEO 2012 prdcrv'!$H$7:$H$2000="2010",IF('AEO 2012 prdcrv'!$I$7:$I$2000="Prices",'AEO 2012 prdcrv'!D$7:D$2000,0))))</f>
        <v>48.67</v>
      </c>
      <c r="O26" s="13">
        <f t="array" ref="O26">SUM(IF('AEO 2012 prdcrv'!$A$7:$A$2000='Agg prdcrv'!$A26,IF('AEO 2012 prdcrv'!$H$7:$H$2000="2010",IF('AEO 2012 prdcrv'!$I$7:$I$2000="Prices",'AEO 2012 prdcrv'!E$7:E$2000,0))))</f>
        <v>40.82</v>
      </c>
      <c r="P26" s="13">
        <f t="array" ref="P26">SUM(IF('AEO 2012 prdcrv'!$A$7:$A$2000='Agg prdcrv'!$A26,IF('AEO 2012 prdcrv'!$H$7:$H$2000="2010",IF('AEO 2012 prdcrv'!$I$7:$I$2000="Prices",'AEO 2012 prdcrv'!F$7:F$2000,0))))</f>
        <v>46.09</v>
      </c>
    </row>
    <row r="27" spans="1:16">
      <c r="A27" s="1" t="s">
        <v>11</v>
      </c>
      <c r="B27" s="13">
        <v>2010</v>
      </c>
      <c r="C27" s="13">
        <v>1</v>
      </c>
      <c r="D27" s="13">
        <f t="array" ref="D27">SUM(IF('AEO 2012 prdcrv'!$A$7:$A$2000='Agg prdcrv'!$A27,IF('AEO 2012 prdcrv'!$H$7:$H$2000="2010",IF('AEO 2012 prdcrv'!$I$7:$I$2000="Quantities",'AEO 2012 prdcrv'!B$7:B$2000,0))))</f>
        <v>20.2</v>
      </c>
      <c r="E27" s="13">
        <f t="array" ref="E27">SUM(IF('AEO 2012 prdcrv'!$A$7:$A$2000='Agg prdcrv'!$A27,IF('AEO 2012 prdcrv'!$H$7:$H$2000="2010",IF('AEO 2012 prdcrv'!$I$7:$I$2000="Quantities",'AEO 2012 prdcrv'!C$7:C$2000,0))))</f>
        <v>1.52</v>
      </c>
      <c r="F27" s="13">
        <f t="array" ref="F27">SUM(IF('AEO 2012 prdcrv'!$A$7:$A$2000='Agg prdcrv'!$A27,IF('AEO 2012 prdcrv'!$H$7:$H$2000="2010",IF('AEO 2012 prdcrv'!$I$7:$I$2000="Quantities",'AEO 2012 prdcrv'!D$7:D$2000,0))))</f>
        <v>1.77</v>
      </c>
      <c r="G27" s="13">
        <f t="array" ref="G27">SUM(IF('AEO 2012 prdcrv'!$A$7:$A$2000='Agg prdcrv'!$A27,IF('AEO 2012 prdcrv'!$H$7:$H$2000="2010",IF('AEO 2012 prdcrv'!$I$7:$I$2000="Quantities",'AEO 2012 prdcrv'!E$7:E$2000,0))))</f>
        <v>2.13</v>
      </c>
      <c r="H27" s="13">
        <f t="array" ref="H27">SUM(IF('AEO 2012 prdcrv'!$A$7:$A$2000='Agg prdcrv'!$A27,IF('AEO 2012 prdcrv'!$H$7:$H$2000="2010",IF('AEO 2012 prdcrv'!$I$7:$I$2000="Quantities",'AEO 2012 prdcrv'!F$7:F$2000,0))))</f>
        <v>4.3</v>
      </c>
      <c r="J27" s="13">
        <v>2010</v>
      </c>
      <c r="K27" s="13">
        <v>1</v>
      </c>
      <c r="L27" s="13">
        <f t="array" ref="L27">SUM(IF('AEO 2012 prdcrv'!$A$7:$A$2000='Agg prdcrv'!$A27,IF('AEO 2012 prdcrv'!$H$7:$H$2000="2010",IF('AEO 2012 prdcrv'!$I$7:$I$2000="Prices",'AEO 2012 prdcrv'!B$7:B$2000,0))))</f>
        <v>46.26</v>
      </c>
      <c r="M27" s="13">
        <f t="array" ref="M27">SUM(IF('AEO 2012 prdcrv'!$A$7:$A$2000='Agg prdcrv'!$A27,IF('AEO 2012 prdcrv'!$H$7:$H$2000="2010",IF('AEO 2012 prdcrv'!$I$7:$I$2000="Prices",'AEO 2012 prdcrv'!C$7:C$2000,0))))</f>
        <v>44.59</v>
      </c>
      <c r="N27" s="13">
        <f t="array" ref="N27">SUM(IF('AEO 2012 prdcrv'!$A$7:$A$2000='Agg prdcrv'!$A27,IF('AEO 2012 prdcrv'!$H$7:$H$2000="2010",IF('AEO 2012 prdcrv'!$I$7:$I$2000="Prices",'AEO 2012 prdcrv'!D$7:D$2000,0))))</f>
        <v>44.91</v>
      </c>
      <c r="O27" s="13">
        <f t="array" ref="O27">SUM(IF('AEO 2012 prdcrv'!$A$7:$A$2000='Agg prdcrv'!$A27,IF('AEO 2012 prdcrv'!$H$7:$H$2000="2010",IF('AEO 2012 prdcrv'!$I$7:$I$2000="Prices",'AEO 2012 prdcrv'!E$7:E$2000,0))))</f>
        <v>46.14</v>
      </c>
      <c r="P27" s="13">
        <f t="array" ref="P27">SUM(IF('AEO 2012 prdcrv'!$A$7:$A$2000='Agg prdcrv'!$A27,IF('AEO 2012 prdcrv'!$H$7:$H$2000="2010",IF('AEO 2012 prdcrv'!$I$7:$I$2000="Prices",'AEO 2012 prdcrv'!F$7:F$2000,0))))</f>
        <v>46.25</v>
      </c>
    </row>
    <row r="28" spans="1:16">
      <c r="A28" s="1" t="s">
        <v>32</v>
      </c>
      <c r="B28" s="13">
        <v>2010</v>
      </c>
      <c r="C28" s="13">
        <v>1</v>
      </c>
      <c r="D28" s="13">
        <f t="array" ref="D28">SUM(IF('AEO 2012 prdcrv'!$A$7:$A$2000='Agg prdcrv'!$A28,IF('AEO 2012 prdcrv'!$H$7:$H$2000="2010",IF('AEO 2012 prdcrv'!$I$7:$I$2000="Quantities",'AEO 2012 prdcrv'!B$7:B$2000,0))))</f>
        <v>159.16</v>
      </c>
      <c r="E28" s="13">
        <f t="array" ref="E28">SUM(IF('AEO 2012 prdcrv'!$A$7:$A$2000='Agg prdcrv'!$A28,IF('AEO 2012 prdcrv'!$H$7:$H$2000="2010",IF('AEO 2012 prdcrv'!$I$7:$I$2000="Quantities",'AEO 2012 prdcrv'!C$7:C$2000,0))))</f>
        <v>1.73</v>
      </c>
      <c r="F28" s="13">
        <f t="array" ref="F28">SUM(IF('AEO 2012 prdcrv'!$A$7:$A$2000='Agg prdcrv'!$A28,IF('AEO 2012 prdcrv'!$H$7:$H$2000="2010",IF('AEO 2012 prdcrv'!$I$7:$I$2000="Quantities",'AEO 2012 prdcrv'!D$7:D$2000,0))))</f>
        <v>32.909999999999997</v>
      </c>
      <c r="G28" s="13">
        <f t="array" ref="G28">SUM(IF('AEO 2012 prdcrv'!$A$7:$A$2000='Agg prdcrv'!$A28,IF('AEO 2012 prdcrv'!$H$7:$H$2000="2010",IF('AEO 2012 prdcrv'!$I$7:$I$2000="Quantities",'AEO 2012 prdcrv'!E$7:E$2000,0))))</f>
        <v>0</v>
      </c>
      <c r="H28" s="13">
        <f t="array" ref="H28">SUM(IF('AEO 2012 prdcrv'!$A$7:$A$2000='Agg prdcrv'!$A28,IF('AEO 2012 prdcrv'!$H$7:$H$2000="2010",IF('AEO 2012 prdcrv'!$I$7:$I$2000="Quantities",'AEO 2012 prdcrv'!F$7:F$2000,0))))</f>
        <v>8.66</v>
      </c>
      <c r="J28" s="13">
        <v>2010</v>
      </c>
      <c r="K28" s="13">
        <v>1</v>
      </c>
      <c r="L28" s="13">
        <f t="array" ref="L28">SUM(IF('AEO 2012 prdcrv'!$A$7:$A$2000='Agg prdcrv'!$A28,IF('AEO 2012 prdcrv'!$H$7:$H$2000="2010",IF('AEO 2012 prdcrv'!$I$7:$I$2000="Prices",'AEO 2012 prdcrv'!B$7:B$2000,0))))</f>
        <v>34.28</v>
      </c>
      <c r="M28" s="13">
        <f t="array" ref="M28">SUM(IF('AEO 2012 prdcrv'!$A$7:$A$2000='Agg prdcrv'!$A28,IF('AEO 2012 prdcrv'!$H$7:$H$2000="2010",IF('AEO 2012 prdcrv'!$I$7:$I$2000="Prices",'AEO 2012 prdcrv'!C$7:C$2000,0))))</f>
        <v>33.409999999999997</v>
      </c>
      <c r="N28" s="13">
        <f t="array" ref="N28">SUM(IF('AEO 2012 prdcrv'!$A$7:$A$2000='Agg prdcrv'!$A28,IF('AEO 2012 prdcrv'!$H$7:$H$2000="2010",IF('AEO 2012 prdcrv'!$I$7:$I$2000="Prices",'AEO 2012 prdcrv'!D$7:D$2000,0))))</f>
        <v>33.57</v>
      </c>
      <c r="O28" s="13">
        <f t="array" ref="O28">SUM(IF('AEO 2012 prdcrv'!$A$7:$A$2000='Agg prdcrv'!$A28,IF('AEO 2012 prdcrv'!$H$7:$H$2000="2010",IF('AEO 2012 prdcrv'!$I$7:$I$2000="Prices",'AEO 2012 prdcrv'!E$7:E$2000,0))))</f>
        <v>33.47</v>
      </c>
      <c r="P28" s="13">
        <f t="array" ref="P28">SUM(IF('AEO 2012 prdcrv'!$A$7:$A$2000='Agg prdcrv'!$A28,IF('AEO 2012 prdcrv'!$H$7:$H$2000="2010",IF('AEO 2012 prdcrv'!$I$7:$I$2000="Prices",'AEO 2012 prdcrv'!F$7:F$2000,0))))</f>
        <v>32.83</v>
      </c>
    </row>
    <row r="29" spans="1:16">
      <c r="A29" s="1" t="s">
        <v>31</v>
      </c>
      <c r="B29" s="13">
        <v>2010</v>
      </c>
      <c r="C29" s="13">
        <v>1</v>
      </c>
      <c r="D29" s="13">
        <f t="array" ref="D29">SUM(IF('AEO 2012 prdcrv'!$A$7:$A$2000='Agg prdcrv'!$A29,IF('AEO 2012 prdcrv'!$H$7:$H$2000="2010",IF('AEO 2012 prdcrv'!$I$7:$I$2000="Quantities",'AEO 2012 prdcrv'!B$7:B$2000,0))))</f>
        <v>135.79</v>
      </c>
      <c r="E29" s="13">
        <f t="array" ref="E29">SUM(IF('AEO 2012 prdcrv'!$A$7:$A$2000='Agg prdcrv'!$A29,IF('AEO 2012 prdcrv'!$H$7:$H$2000="2010",IF('AEO 2012 prdcrv'!$I$7:$I$2000="Quantities",'AEO 2012 prdcrv'!C$7:C$2000,0))))</f>
        <v>1.84</v>
      </c>
      <c r="F29" s="13">
        <f t="array" ref="F29">SUM(IF('AEO 2012 prdcrv'!$A$7:$A$2000='Agg prdcrv'!$A29,IF('AEO 2012 prdcrv'!$H$7:$H$2000="2010",IF('AEO 2012 prdcrv'!$I$7:$I$2000="Quantities",'AEO 2012 prdcrv'!D$7:D$2000,0))))</f>
        <v>24.16</v>
      </c>
      <c r="G29" s="13">
        <f t="array" ref="G29">SUM(IF('AEO 2012 prdcrv'!$A$7:$A$2000='Agg prdcrv'!$A29,IF('AEO 2012 prdcrv'!$H$7:$H$2000="2010",IF('AEO 2012 prdcrv'!$I$7:$I$2000="Quantities",'AEO 2012 prdcrv'!E$7:E$2000,0))))</f>
        <v>0</v>
      </c>
      <c r="H29" s="13">
        <f t="array" ref="H29">SUM(IF('AEO 2012 prdcrv'!$A$7:$A$2000='Agg prdcrv'!$A29,IF('AEO 2012 prdcrv'!$H$7:$H$2000="2010",IF('AEO 2012 prdcrv'!$I$7:$I$2000="Quantities",'AEO 2012 prdcrv'!F$7:F$2000,0))))</f>
        <v>28.14</v>
      </c>
      <c r="J29" s="13">
        <v>2010</v>
      </c>
      <c r="K29" s="13">
        <v>1</v>
      </c>
      <c r="L29" s="13">
        <f t="array" ref="L29">SUM(IF('AEO 2012 prdcrv'!$A$7:$A$2000='Agg prdcrv'!$A29,IF('AEO 2012 prdcrv'!$H$7:$H$2000="2010",IF('AEO 2012 prdcrv'!$I$7:$I$2000="Prices",'AEO 2012 prdcrv'!B$7:B$2000,0))))</f>
        <v>28.5</v>
      </c>
      <c r="M29" s="13">
        <f t="array" ref="M29">SUM(IF('AEO 2012 prdcrv'!$A$7:$A$2000='Agg prdcrv'!$A29,IF('AEO 2012 prdcrv'!$H$7:$H$2000="2010",IF('AEO 2012 prdcrv'!$I$7:$I$2000="Prices",'AEO 2012 prdcrv'!C$7:C$2000,0))))</f>
        <v>32.93</v>
      </c>
      <c r="N29" s="13">
        <f t="array" ref="N29">SUM(IF('AEO 2012 prdcrv'!$A$7:$A$2000='Agg prdcrv'!$A29,IF('AEO 2012 prdcrv'!$H$7:$H$2000="2010",IF('AEO 2012 prdcrv'!$I$7:$I$2000="Prices",'AEO 2012 prdcrv'!D$7:D$2000,0))))</f>
        <v>33.409999999999997</v>
      </c>
      <c r="O29" s="13">
        <f t="array" ref="O29">SUM(IF('AEO 2012 prdcrv'!$A$7:$A$2000='Agg prdcrv'!$A29,IF('AEO 2012 prdcrv'!$H$7:$H$2000="2010",IF('AEO 2012 prdcrv'!$I$7:$I$2000="Prices",'AEO 2012 prdcrv'!E$7:E$2000,0))))</f>
        <v>32.81</v>
      </c>
      <c r="P29" s="13">
        <f t="array" ref="P29">SUM(IF('AEO 2012 prdcrv'!$A$7:$A$2000='Agg prdcrv'!$A29,IF('AEO 2012 prdcrv'!$H$7:$H$2000="2010",IF('AEO 2012 prdcrv'!$I$7:$I$2000="Prices",'AEO 2012 prdcrv'!F$7:F$2000,0))))</f>
        <v>33.299999999999997</v>
      </c>
    </row>
    <row r="30" spans="1:16">
      <c r="A30" s="1" t="s">
        <v>266</v>
      </c>
      <c r="B30" s="13">
        <v>2010</v>
      </c>
      <c r="C30" s="13">
        <v>1</v>
      </c>
      <c r="D30" s="13">
        <f t="array" ref="D30">SUM(IF('AEO 2012 prdcrv'!$A$7:$A$2000='Agg prdcrv'!$A30,IF('AEO 2012 prdcrv'!$H$7:$H$2000="2010",IF('AEO 2012 prdcrv'!$I$7:$I$2000="Quantities",'AEO 2012 prdcrv'!B$7:B$2000,0))))</f>
        <v>99.81</v>
      </c>
      <c r="E30" s="13">
        <f t="array" ref="E30">SUM(IF('AEO 2012 prdcrv'!$A$7:$A$2000='Agg prdcrv'!$A30,IF('AEO 2012 prdcrv'!$H$7:$H$2000="2010",IF('AEO 2012 prdcrv'!$I$7:$I$2000="Quantities",'AEO 2012 prdcrv'!C$7:C$2000,0))))</f>
        <v>0</v>
      </c>
      <c r="F30" s="13">
        <f t="array" ref="F30">SUM(IF('AEO 2012 prdcrv'!$A$7:$A$2000='Agg prdcrv'!$A30,IF('AEO 2012 prdcrv'!$H$7:$H$2000="2010",IF('AEO 2012 prdcrv'!$I$7:$I$2000="Quantities",'AEO 2012 prdcrv'!D$7:D$2000,0))))</f>
        <v>5.04</v>
      </c>
      <c r="G30" s="13">
        <f t="array" ref="G30">SUM(IF('AEO 2012 prdcrv'!$A$7:$A$2000='Agg prdcrv'!$A30,IF('AEO 2012 prdcrv'!$H$7:$H$2000="2010",IF('AEO 2012 prdcrv'!$I$7:$I$2000="Quantities",'AEO 2012 prdcrv'!E$7:E$2000,0))))</f>
        <v>0</v>
      </c>
      <c r="H30" s="13">
        <f t="array" ref="H30">SUM(IF('AEO 2012 prdcrv'!$A$7:$A$2000='Agg prdcrv'!$A30,IF('AEO 2012 prdcrv'!$H$7:$H$2000="2010",IF('AEO 2012 prdcrv'!$I$7:$I$2000="Quantities",'AEO 2012 prdcrv'!F$7:F$2000,0))))</f>
        <v>55.38</v>
      </c>
      <c r="J30" s="13">
        <v>2010</v>
      </c>
      <c r="K30" s="13">
        <v>1</v>
      </c>
      <c r="L30" s="13">
        <f t="array" ref="L30">SUM(IF('AEO 2012 prdcrv'!$A$7:$A$2000='Agg prdcrv'!$A30,IF('AEO 2012 prdcrv'!$H$7:$H$2000="2010",IF('AEO 2012 prdcrv'!$I$7:$I$2000="Prices",'AEO 2012 prdcrv'!B$7:B$2000,0))))</f>
        <v>39.44</v>
      </c>
      <c r="M30" s="13">
        <f t="array" ref="M30">SUM(IF('AEO 2012 prdcrv'!$A$7:$A$2000='Agg prdcrv'!$A30,IF('AEO 2012 prdcrv'!$H$7:$H$2000="2010",IF('AEO 2012 prdcrv'!$I$7:$I$2000="Prices",'AEO 2012 prdcrv'!C$7:C$2000,0))))</f>
        <v>39.67</v>
      </c>
      <c r="N30" s="13">
        <f t="array" ref="N30">SUM(IF('AEO 2012 prdcrv'!$A$7:$A$2000='Agg prdcrv'!$A30,IF('AEO 2012 prdcrv'!$H$7:$H$2000="2010",IF('AEO 2012 prdcrv'!$I$7:$I$2000="Prices",'AEO 2012 prdcrv'!D$7:D$2000,0))))</f>
        <v>38.71</v>
      </c>
      <c r="O30" s="13">
        <f t="array" ref="O30">SUM(IF('AEO 2012 prdcrv'!$A$7:$A$2000='Agg prdcrv'!$A30,IF('AEO 2012 prdcrv'!$H$7:$H$2000="2010",IF('AEO 2012 prdcrv'!$I$7:$I$2000="Prices",'AEO 2012 prdcrv'!E$7:E$2000,0))))</f>
        <v>39.94</v>
      </c>
      <c r="P30" s="13">
        <f t="array" ref="P30">SUM(IF('AEO 2012 prdcrv'!$A$7:$A$2000='Agg prdcrv'!$A30,IF('AEO 2012 prdcrv'!$H$7:$H$2000="2010",IF('AEO 2012 prdcrv'!$I$7:$I$2000="Prices",'AEO 2012 prdcrv'!F$7:F$2000,0))))</f>
        <v>41.74</v>
      </c>
    </row>
    <row r="31" spans="1:16">
      <c r="A31" s="1" t="s">
        <v>269</v>
      </c>
      <c r="B31" s="13">
        <v>2010</v>
      </c>
      <c r="C31" s="13">
        <v>1</v>
      </c>
      <c r="D31" s="13">
        <f t="array" ref="D31">SUM(IF('AEO 2012 prdcrv'!$A$7:$A$2000='Agg prdcrv'!$A31,IF('AEO 2012 prdcrv'!$H$7:$H$2000="2010",IF('AEO 2012 prdcrv'!$I$7:$I$2000="Quantities",'AEO 2012 prdcrv'!B$7:B$2000,0))))</f>
        <v>75.680000000000007</v>
      </c>
      <c r="E31" s="13">
        <f t="array" ref="E31">SUM(IF('AEO 2012 prdcrv'!$A$7:$A$2000='Agg prdcrv'!$A31,IF('AEO 2012 prdcrv'!$H$7:$H$2000="2010",IF('AEO 2012 prdcrv'!$I$7:$I$2000="Quantities",'AEO 2012 prdcrv'!C$7:C$2000,0))))</f>
        <v>86.77</v>
      </c>
      <c r="F31" s="13">
        <f t="array" ref="F31">SUM(IF('AEO 2012 prdcrv'!$A$7:$A$2000='Agg prdcrv'!$A31,IF('AEO 2012 prdcrv'!$H$7:$H$2000="2010",IF('AEO 2012 prdcrv'!$I$7:$I$2000="Quantities",'AEO 2012 prdcrv'!D$7:D$2000,0))))</f>
        <v>152.81</v>
      </c>
      <c r="G31" s="13">
        <f t="array" ref="G31">SUM(IF('AEO 2012 prdcrv'!$A$7:$A$2000='Agg prdcrv'!$A31,IF('AEO 2012 prdcrv'!$H$7:$H$2000="2010",IF('AEO 2012 prdcrv'!$I$7:$I$2000="Quantities",'AEO 2012 prdcrv'!E$7:E$2000,0))))</f>
        <v>9.18</v>
      </c>
      <c r="H31" s="13">
        <f t="array" ref="H31">SUM(IF('AEO 2012 prdcrv'!$A$7:$A$2000='Agg prdcrv'!$A31,IF('AEO 2012 prdcrv'!$H$7:$H$2000="2010",IF('AEO 2012 prdcrv'!$I$7:$I$2000="Quantities",'AEO 2012 prdcrv'!F$7:F$2000,0))))</f>
        <v>1.73</v>
      </c>
      <c r="J31" s="13">
        <v>2010</v>
      </c>
      <c r="K31" s="13">
        <v>1</v>
      </c>
      <c r="L31" s="13">
        <f t="array" ref="L31">SUM(IF('AEO 2012 prdcrv'!$A$7:$A$2000='Agg prdcrv'!$A31,IF('AEO 2012 prdcrv'!$H$7:$H$2000="2010",IF('AEO 2012 prdcrv'!$I$7:$I$2000="Prices",'AEO 2012 prdcrv'!B$7:B$2000,0))))</f>
        <v>28.5</v>
      </c>
      <c r="M31" s="13">
        <f t="array" ref="M31">SUM(IF('AEO 2012 prdcrv'!$A$7:$A$2000='Agg prdcrv'!$A31,IF('AEO 2012 prdcrv'!$H$7:$H$2000="2010",IF('AEO 2012 prdcrv'!$I$7:$I$2000="Prices",'AEO 2012 prdcrv'!C$7:C$2000,0))))</f>
        <v>28.5</v>
      </c>
      <c r="N31" s="13">
        <f t="array" ref="N31">SUM(IF('AEO 2012 prdcrv'!$A$7:$A$2000='Agg prdcrv'!$A31,IF('AEO 2012 prdcrv'!$H$7:$H$2000="2010",IF('AEO 2012 prdcrv'!$I$7:$I$2000="Prices",'AEO 2012 prdcrv'!D$7:D$2000,0))))</f>
        <v>28.5</v>
      </c>
      <c r="O31" s="13">
        <f t="array" ref="O31">SUM(IF('AEO 2012 prdcrv'!$A$7:$A$2000='Agg prdcrv'!$A31,IF('AEO 2012 prdcrv'!$H$7:$H$2000="2010",IF('AEO 2012 prdcrv'!$I$7:$I$2000="Prices",'AEO 2012 prdcrv'!E$7:E$2000,0))))</f>
        <v>28.5</v>
      </c>
      <c r="P31" s="13">
        <f t="array" ref="P31">SUM(IF('AEO 2012 prdcrv'!$A$7:$A$2000='Agg prdcrv'!$A31,IF('AEO 2012 prdcrv'!$H$7:$H$2000="2010",IF('AEO 2012 prdcrv'!$I$7:$I$2000="Prices",'AEO 2012 prdcrv'!F$7:F$2000,0))))</f>
        <v>28.5</v>
      </c>
    </row>
    <row r="32" spans="1:16">
      <c r="A32" s="1" t="s">
        <v>30</v>
      </c>
      <c r="B32" s="13">
        <v>2010</v>
      </c>
      <c r="C32" s="13">
        <v>1</v>
      </c>
      <c r="D32" s="13">
        <f t="array" ref="D32">SUM(IF('AEO 2012 prdcrv'!$A$7:$A$2000='Agg prdcrv'!$A32,IF('AEO 2012 prdcrv'!$H$7:$H$2000="2010",IF('AEO 2012 prdcrv'!$I$7:$I$2000="Quantities",'AEO 2012 prdcrv'!B$7:B$2000,0))))</f>
        <v>3.46</v>
      </c>
      <c r="E32" s="13">
        <f t="array" ref="E32">SUM(IF('AEO 2012 prdcrv'!$A$7:$A$2000='Agg prdcrv'!$A32,IF('AEO 2012 prdcrv'!$H$7:$H$2000="2010",IF('AEO 2012 prdcrv'!$I$7:$I$2000="Quantities",'AEO 2012 prdcrv'!C$7:C$2000,0))))</f>
        <v>3.98</v>
      </c>
      <c r="F32" s="13">
        <f t="array" ref="F32">SUM(IF('AEO 2012 prdcrv'!$A$7:$A$2000='Agg prdcrv'!$A32,IF('AEO 2012 prdcrv'!$H$7:$H$2000="2010",IF('AEO 2012 prdcrv'!$I$7:$I$2000="Quantities",'AEO 2012 prdcrv'!D$7:D$2000,0))))</f>
        <v>254.69</v>
      </c>
      <c r="G32" s="13">
        <f t="array" ref="G32">SUM(IF('AEO 2012 prdcrv'!$A$7:$A$2000='Agg prdcrv'!$A32,IF('AEO 2012 prdcrv'!$H$7:$H$2000="2010",IF('AEO 2012 prdcrv'!$I$7:$I$2000="Quantities",'AEO 2012 prdcrv'!E$7:E$2000,0))))</f>
        <v>0</v>
      </c>
      <c r="H32" s="13">
        <f t="array" ref="H32">SUM(IF('AEO 2012 prdcrv'!$A$7:$A$2000='Agg prdcrv'!$A32,IF('AEO 2012 prdcrv'!$H$7:$H$2000="2010",IF('AEO 2012 prdcrv'!$I$7:$I$2000="Quantities",'AEO 2012 prdcrv'!F$7:F$2000,0))))</f>
        <v>2.89</v>
      </c>
      <c r="J32" s="13">
        <v>2010</v>
      </c>
      <c r="K32" s="13">
        <v>1</v>
      </c>
      <c r="L32" s="13">
        <f t="array" ref="L32">SUM(IF('AEO 2012 prdcrv'!$A$7:$A$2000='Agg prdcrv'!$A32,IF('AEO 2012 prdcrv'!$H$7:$H$2000="2010",IF('AEO 2012 prdcrv'!$I$7:$I$2000="Prices",'AEO 2012 prdcrv'!B$7:B$2000,0))))</f>
        <v>22.98</v>
      </c>
      <c r="M32" s="13">
        <f t="array" ref="M32">SUM(IF('AEO 2012 prdcrv'!$A$7:$A$2000='Agg prdcrv'!$A32,IF('AEO 2012 prdcrv'!$H$7:$H$2000="2010",IF('AEO 2012 prdcrv'!$I$7:$I$2000="Prices",'AEO 2012 prdcrv'!C$7:C$2000,0))))</f>
        <v>27.68</v>
      </c>
      <c r="N32" s="13">
        <f t="array" ref="N32">SUM(IF('AEO 2012 prdcrv'!$A$7:$A$2000='Agg prdcrv'!$A32,IF('AEO 2012 prdcrv'!$H$7:$H$2000="2010",IF('AEO 2012 prdcrv'!$I$7:$I$2000="Prices",'AEO 2012 prdcrv'!D$7:D$2000,0))))</f>
        <v>27.74</v>
      </c>
      <c r="O32" s="13">
        <f t="array" ref="O32">SUM(IF('AEO 2012 prdcrv'!$A$7:$A$2000='Agg prdcrv'!$A32,IF('AEO 2012 prdcrv'!$H$7:$H$2000="2010",IF('AEO 2012 prdcrv'!$I$7:$I$2000="Prices",'AEO 2012 prdcrv'!E$7:E$2000,0))))</f>
        <v>26.9</v>
      </c>
      <c r="P32" s="13">
        <f t="array" ref="P32">SUM(IF('AEO 2012 prdcrv'!$A$7:$A$2000='Agg prdcrv'!$A32,IF('AEO 2012 prdcrv'!$H$7:$H$2000="2010",IF('AEO 2012 prdcrv'!$I$7:$I$2000="Prices",'AEO 2012 prdcrv'!F$7:F$2000,0))))</f>
        <v>28.5</v>
      </c>
    </row>
    <row r="33" spans="1:16">
      <c r="A33" s="1" t="s">
        <v>26</v>
      </c>
      <c r="B33" s="13">
        <v>2010</v>
      </c>
      <c r="C33" s="13">
        <v>1</v>
      </c>
      <c r="D33" s="13">
        <f t="array" ref="D33">SUM(IF('AEO 2012 prdcrv'!$A$7:$A$2000='Agg prdcrv'!$A33,IF('AEO 2012 prdcrv'!$H$7:$H$2000="2010",IF('AEO 2012 prdcrv'!$I$7:$I$2000="Quantities",'AEO 2012 prdcrv'!B$7:B$2000,0))))</f>
        <v>39.17</v>
      </c>
      <c r="E33" s="13">
        <f t="array" ref="E33">SUM(IF('AEO 2012 prdcrv'!$A$7:$A$2000='Agg prdcrv'!$A33,IF('AEO 2012 prdcrv'!$H$7:$H$2000="2010",IF('AEO 2012 prdcrv'!$I$7:$I$2000="Quantities",'AEO 2012 prdcrv'!C$7:C$2000,0))))</f>
        <v>6.05</v>
      </c>
      <c r="F33" s="13">
        <f t="array" ref="F33">SUM(IF('AEO 2012 prdcrv'!$A$7:$A$2000='Agg prdcrv'!$A33,IF('AEO 2012 prdcrv'!$H$7:$H$2000="2010",IF('AEO 2012 prdcrv'!$I$7:$I$2000="Quantities",'AEO 2012 prdcrv'!D$7:D$2000,0))))</f>
        <v>19.59</v>
      </c>
      <c r="G33" s="13">
        <f t="array" ref="G33">SUM(IF('AEO 2012 prdcrv'!$A$7:$A$2000='Agg prdcrv'!$A33,IF('AEO 2012 prdcrv'!$H$7:$H$2000="2010",IF('AEO 2012 prdcrv'!$I$7:$I$2000="Quantities",'AEO 2012 prdcrv'!E$7:E$2000,0))))</f>
        <v>0.86</v>
      </c>
      <c r="H33" s="13">
        <f t="array" ref="H33">SUM(IF('AEO 2012 prdcrv'!$A$7:$A$2000='Agg prdcrv'!$A33,IF('AEO 2012 prdcrv'!$H$7:$H$2000="2010",IF('AEO 2012 prdcrv'!$I$7:$I$2000="Quantities",'AEO 2012 prdcrv'!F$7:F$2000,0))))</f>
        <v>27.25</v>
      </c>
      <c r="J33" s="13">
        <v>2010</v>
      </c>
      <c r="K33" s="13">
        <v>1</v>
      </c>
      <c r="L33" s="13">
        <f t="array" ref="L33">SUM(IF('AEO 2012 prdcrv'!$A$7:$A$2000='Agg prdcrv'!$A33,IF('AEO 2012 prdcrv'!$H$7:$H$2000="2010",IF('AEO 2012 prdcrv'!$I$7:$I$2000="Prices",'AEO 2012 prdcrv'!B$7:B$2000,0))))</f>
        <v>36.42</v>
      </c>
      <c r="M33" s="13">
        <f t="array" ref="M33">SUM(IF('AEO 2012 prdcrv'!$A$7:$A$2000='Agg prdcrv'!$A33,IF('AEO 2012 prdcrv'!$H$7:$H$2000="2010",IF('AEO 2012 prdcrv'!$I$7:$I$2000="Prices",'AEO 2012 prdcrv'!C$7:C$2000,0))))</f>
        <v>36.42</v>
      </c>
      <c r="N33" s="13">
        <f t="array" ref="N33">SUM(IF('AEO 2012 prdcrv'!$A$7:$A$2000='Agg prdcrv'!$A33,IF('AEO 2012 prdcrv'!$H$7:$H$2000="2010",IF('AEO 2012 prdcrv'!$I$7:$I$2000="Prices",'AEO 2012 prdcrv'!D$7:D$2000,0))))</f>
        <v>37.04</v>
      </c>
      <c r="O33" s="13">
        <f t="array" ref="O33">SUM(IF('AEO 2012 prdcrv'!$A$7:$A$2000='Agg prdcrv'!$A33,IF('AEO 2012 prdcrv'!$H$7:$H$2000="2010",IF('AEO 2012 prdcrv'!$I$7:$I$2000="Prices",'AEO 2012 prdcrv'!E$7:E$2000,0))))</f>
        <v>36.549999999999997</v>
      </c>
      <c r="P33" s="13">
        <f t="array" ref="P33">SUM(IF('AEO 2012 prdcrv'!$A$7:$A$2000='Agg prdcrv'!$A33,IF('AEO 2012 prdcrv'!$H$7:$H$2000="2010",IF('AEO 2012 prdcrv'!$I$7:$I$2000="Prices",'AEO 2012 prdcrv'!F$7:F$2000,0))))</f>
        <v>36.549999999999997</v>
      </c>
    </row>
    <row r="34" spans="1:16">
      <c r="A34" s="1" t="s">
        <v>271</v>
      </c>
      <c r="B34" s="13">
        <v>2010</v>
      </c>
      <c r="C34" s="13">
        <v>1</v>
      </c>
      <c r="D34" s="13">
        <f t="array" ref="D34">SUM(IF('AEO 2012 prdcrv'!$A$7:$A$2000='Agg prdcrv'!$A34,IF('AEO 2012 prdcrv'!$H$7:$H$2000="2010",IF('AEO 2012 prdcrv'!$I$7:$I$2000="Quantities",'AEO 2012 prdcrv'!B$7:B$2000,0))))</f>
        <v>0.56000000000000005</v>
      </c>
      <c r="E34" s="13">
        <f t="array" ref="E34">SUM(IF('AEO 2012 prdcrv'!$A$7:$A$2000='Agg prdcrv'!$A34,IF('AEO 2012 prdcrv'!$H$7:$H$2000="2010",IF('AEO 2012 prdcrv'!$I$7:$I$2000="Quantities",'AEO 2012 prdcrv'!C$7:C$2000,0))))</f>
        <v>0</v>
      </c>
      <c r="F34" s="13">
        <f t="array" ref="F34">SUM(IF('AEO 2012 prdcrv'!$A$7:$A$2000='Agg prdcrv'!$A34,IF('AEO 2012 prdcrv'!$H$7:$H$2000="2010",IF('AEO 2012 prdcrv'!$I$7:$I$2000="Quantities",'AEO 2012 prdcrv'!D$7:D$2000,0))))</f>
        <v>0</v>
      </c>
      <c r="G34" s="13">
        <f t="array" ref="G34">SUM(IF('AEO 2012 prdcrv'!$A$7:$A$2000='Agg prdcrv'!$A34,IF('AEO 2012 prdcrv'!$H$7:$H$2000="2010",IF('AEO 2012 prdcrv'!$I$7:$I$2000="Quantities",'AEO 2012 prdcrv'!E$7:E$2000,0))))</f>
        <v>0</v>
      </c>
      <c r="H34" s="13">
        <f t="array" ref="H34">SUM(IF('AEO 2012 prdcrv'!$A$7:$A$2000='Agg prdcrv'!$A34,IF('AEO 2012 prdcrv'!$H$7:$H$2000="2010",IF('AEO 2012 prdcrv'!$I$7:$I$2000="Quantities",'AEO 2012 prdcrv'!F$7:F$2000,0))))</f>
        <v>0.77</v>
      </c>
      <c r="J34" s="13">
        <v>2010</v>
      </c>
      <c r="K34" s="13">
        <v>1</v>
      </c>
      <c r="L34" s="13">
        <f t="array" ref="L34">SUM(IF('AEO 2012 prdcrv'!$A$7:$A$2000='Agg prdcrv'!$A34,IF('AEO 2012 prdcrv'!$H$7:$H$2000="2010",IF('AEO 2012 prdcrv'!$I$7:$I$2000="Prices",'AEO 2012 prdcrv'!B$7:B$2000,0))))</f>
        <v>47.76</v>
      </c>
      <c r="M34" s="13">
        <f t="array" ref="M34">SUM(IF('AEO 2012 prdcrv'!$A$7:$A$2000='Agg prdcrv'!$A34,IF('AEO 2012 prdcrv'!$H$7:$H$2000="2010",IF('AEO 2012 prdcrv'!$I$7:$I$2000="Prices",'AEO 2012 prdcrv'!C$7:C$2000,0))))</f>
        <v>46.94</v>
      </c>
      <c r="N34" s="13">
        <f t="array" ref="N34">SUM(IF('AEO 2012 prdcrv'!$A$7:$A$2000='Agg prdcrv'!$A34,IF('AEO 2012 prdcrv'!$H$7:$H$2000="2010",IF('AEO 2012 prdcrv'!$I$7:$I$2000="Prices",'AEO 2012 prdcrv'!D$7:D$2000,0))))</f>
        <v>46.48</v>
      </c>
      <c r="O34" s="13">
        <f t="array" ref="O34">SUM(IF('AEO 2012 prdcrv'!$A$7:$A$2000='Agg prdcrv'!$A34,IF('AEO 2012 prdcrv'!$H$7:$H$2000="2010",IF('AEO 2012 prdcrv'!$I$7:$I$2000="Prices",'AEO 2012 prdcrv'!E$7:E$2000,0))))</f>
        <v>48.44</v>
      </c>
      <c r="P34" s="13">
        <f t="array" ref="P34">SUM(IF('AEO 2012 prdcrv'!$A$7:$A$2000='Agg prdcrv'!$A34,IF('AEO 2012 prdcrv'!$H$7:$H$2000="2010",IF('AEO 2012 prdcrv'!$I$7:$I$2000="Prices",'AEO 2012 prdcrv'!F$7:F$2000,0))))</f>
        <v>46.06</v>
      </c>
    </row>
    <row r="35" spans="1:16">
      <c r="A35" s="1" t="s">
        <v>143</v>
      </c>
      <c r="B35" s="13">
        <v>2010</v>
      </c>
      <c r="C35" s="13">
        <v>1</v>
      </c>
      <c r="D35" s="13">
        <f t="array" ref="D35">SUM(IF('AEO 2012 prdcrv'!$A$7:$A$2000='Agg prdcrv'!$A35,IF('AEO 2012 prdcrv'!$H$7:$H$2000="2010",IF('AEO 2012 prdcrv'!$I$7:$I$2000="Quantities",'AEO 2012 prdcrv'!B$7:B$2000,0))))</f>
        <v>273.04000000000002</v>
      </c>
      <c r="E35" s="13">
        <f t="array" ref="E35">SUM(IF('AEO 2012 prdcrv'!$A$7:$A$2000='Agg prdcrv'!$A35,IF('AEO 2012 prdcrv'!$H$7:$H$2000="2010",IF('AEO 2012 prdcrv'!$I$7:$I$2000="Quantities",'AEO 2012 prdcrv'!C$7:C$2000,0))))</f>
        <v>0.87</v>
      </c>
      <c r="F35" s="13">
        <f t="array" ref="F35">SUM(IF('AEO 2012 prdcrv'!$A$7:$A$2000='Agg prdcrv'!$A35,IF('AEO 2012 prdcrv'!$H$7:$H$2000="2010",IF('AEO 2012 prdcrv'!$I$7:$I$2000="Quantities",'AEO 2012 prdcrv'!D$7:D$2000,0))))</f>
        <v>5.24</v>
      </c>
      <c r="G35" s="13">
        <f t="array" ref="G35">SUM(IF('AEO 2012 prdcrv'!$A$7:$A$2000='Agg prdcrv'!$A35,IF('AEO 2012 prdcrv'!$H$7:$H$2000="2010",IF('AEO 2012 prdcrv'!$I$7:$I$2000="Quantities",'AEO 2012 prdcrv'!E$7:E$2000,0))))</f>
        <v>0.87</v>
      </c>
      <c r="H35" s="13">
        <f t="array" ref="H35">SUM(IF('AEO 2012 prdcrv'!$A$7:$A$2000='Agg prdcrv'!$A35,IF('AEO 2012 prdcrv'!$H$7:$H$2000="2010",IF('AEO 2012 prdcrv'!$I$7:$I$2000="Quantities",'AEO 2012 prdcrv'!F$7:F$2000,0))))</f>
        <v>23.42</v>
      </c>
      <c r="J35" s="13">
        <v>2010</v>
      </c>
      <c r="K35" s="13">
        <v>1</v>
      </c>
      <c r="L35" s="13">
        <f t="array" ref="L35">SUM(IF('AEO 2012 prdcrv'!$A$7:$A$2000='Agg prdcrv'!$A35,IF('AEO 2012 prdcrv'!$H$7:$H$2000="2010",IF('AEO 2012 prdcrv'!$I$7:$I$2000="Prices",'AEO 2012 prdcrv'!B$7:B$2000,0))))</f>
        <v>59.99</v>
      </c>
      <c r="M35" s="13">
        <f t="array" ref="M35">SUM(IF('AEO 2012 prdcrv'!$A$7:$A$2000='Agg prdcrv'!$A35,IF('AEO 2012 prdcrv'!$H$7:$H$2000="2010",IF('AEO 2012 prdcrv'!$I$7:$I$2000="Prices",'AEO 2012 prdcrv'!C$7:C$2000,0))))</f>
        <v>57.94</v>
      </c>
      <c r="N35" s="13">
        <f t="array" ref="N35">SUM(IF('AEO 2012 prdcrv'!$A$7:$A$2000='Agg prdcrv'!$A35,IF('AEO 2012 prdcrv'!$H$7:$H$2000="2010",IF('AEO 2012 prdcrv'!$I$7:$I$2000="Prices",'AEO 2012 prdcrv'!D$7:D$2000,0))))</f>
        <v>57.53</v>
      </c>
      <c r="O35" s="13">
        <f t="array" ref="O35">SUM(IF('AEO 2012 prdcrv'!$A$7:$A$2000='Agg prdcrv'!$A35,IF('AEO 2012 prdcrv'!$H$7:$H$2000="2010",IF('AEO 2012 prdcrv'!$I$7:$I$2000="Prices",'AEO 2012 prdcrv'!E$7:E$2000,0))))</f>
        <v>60.17</v>
      </c>
      <c r="P35" s="13">
        <f t="array" ref="P35">SUM(IF('AEO 2012 prdcrv'!$A$7:$A$2000='Agg prdcrv'!$A35,IF('AEO 2012 prdcrv'!$H$7:$H$2000="2010",IF('AEO 2012 prdcrv'!$I$7:$I$2000="Prices",'AEO 2012 prdcrv'!F$7:F$2000,0))))</f>
        <v>57.56</v>
      </c>
    </row>
    <row r="36" spans="1:16">
      <c r="A36" s="1" t="s">
        <v>144</v>
      </c>
      <c r="B36" s="13">
        <v>2010</v>
      </c>
      <c r="C36" s="13">
        <v>1</v>
      </c>
      <c r="D36" s="13">
        <f t="array" ref="D36">SUM(IF('AEO 2012 prdcrv'!$A$7:$A$2000='Agg prdcrv'!$A36,IF('AEO 2012 prdcrv'!$H$7:$H$2000="2010",IF('AEO 2012 prdcrv'!$I$7:$I$2000="Quantities",'AEO 2012 prdcrv'!B$7:B$2000,0))))</f>
        <v>285.27</v>
      </c>
      <c r="E36" s="13">
        <f t="array" ref="E36">SUM(IF('AEO 2012 prdcrv'!$A$7:$A$2000='Agg prdcrv'!$A36,IF('AEO 2012 prdcrv'!$H$7:$H$2000="2010",IF('AEO 2012 prdcrv'!$I$7:$I$2000="Quantities",'AEO 2012 prdcrv'!C$7:C$2000,0))))</f>
        <v>0.92</v>
      </c>
      <c r="F36" s="13">
        <f t="array" ref="F36">SUM(IF('AEO 2012 prdcrv'!$A$7:$A$2000='Agg prdcrv'!$A36,IF('AEO 2012 prdcrv'!$H$7:$H$2000="2010",IF('AEO 2012 prdcrv'!$I$7:$I$2000="Quantities",'AEO 2012 prdcrv'!D$7:D$2000,0))))</f>
        <v>5.47</v>
      </c>
      <c r="G36" s="13">
        <f t="array" ref="G36">SUM(IF('AEO 2012 prdcrv'!$A$7:$A$2000='Agg prdcrv'!$A36,IF('AEO 2012 prdcrv'!$H$7:$H$2000="2010",IF('AEO 2012 prdcrv'!$I$7:$I$2000="Quantities",'AEO 2012 prdcrv'!E$7:E$2000,0))))</f>
        <v>0.92</v>
      </c>
      <c r="H36" s="13">
        <f t="array" ref="H36">SUM(IF('AEO 2012 prdcrv'!$A$7:$A$2000='Agg prdcrv'!$A36,IF('AEO 2012 prdcrv'!$H$7:$H$2000="2010",IF('AEO 2012 prdcrv'!$I$7:$I$2000="Quantities",'AEO 2012 prdcrv'!F$7:F$2000,0))))</f>
        <v>44.35</v>
      </c>
      <c r="J36" s="13">
        <v>2010</v>
      </c>
      <c r="K36" s="13">
        <v>1</v>
      </c>
      <c r="L36" s="13">
        <f t="array" ref="L36">SUM(IF('AEO 2012 prdcrv'!$A$7:$A$2000='Agg prdcrv'!$A36,IF('AEO 2012 prdcrv'!$H$7:$H$2000="2010",IF('AEO 2012 prdcrv'!$I$7:$I$2000="Prices",'AEO 2012 prdcrv'!B$7:B$2000,0))))</f>
        <v>34.409999999999997</v>
      </c>
      <c r="M36" s="13">
        <f t="array" ref="M36">SUM(IF('AEO 2012 prdcrv'!$A$7:$A$2000='Agg prdcrv'!$A36,IF('AEO 2012 prdcrv'!$H$7:$H$2000="2010",IF('AEO 2012 prdcrv'!$I$7:$I$2000="Prices",'AEO 2012 prdcrv'!C$7:C$2000,0))))</f>
        <v>37.18</v>
      </c>
      <c r="N36" s="13">
        <f t="array" ref="N36">SUM(IF('AEO 2012 prdcrv'!$A$7:$A$2000='Agg prdcrv'!$A36,IF('AEO 2012 prdcrv'!$H$7:$H$2000="2010",IF('AEO 2012 prdcrv'!$I$7:$I$2000="Prices",'AEO 2012 prdcrv'!D$7:D$2000,0))))</f>
        <v>37.700000000000003</v>
      </c>
      <c r="O36" s="13">
        <f t="array" ref="O36">SUM(IF('AEO 2012 prdcrv'!$A$7:$A$2000='Agg prdcrv'!$A36,IF('AEO 2012 prdcrv'!$H$7:$H$2000="2010",IF('AEO 2012 prdcrv'!$I$7:$I$2000="Prices",'AEO 2012 prdcrv'!E$7:E$2000,0))))</f>
        <v>36.729999999999997</v>
      </c>
      <c r="P36" s="13">
        <f t="array" ref="P36">SUM(IF('AEO 2012 prdcrv'!$A$7:$A$2000='Agg prdcrv'!$A36,IF('AEO 2012 prdcrv'!$H$7:$H$2000="2010",IF('AEO 2012 prdcrv'!$I$7:$I$2000="Prices",'AEO 2012 prdcrv'!F$7:F$2000,0))))</f>
        <v>32.450000000000003</v>
      </c>
    </row>
    <row r="37" spans="1:16">
      <c r="A37" s="1" t="s">
        <v>14</v>
      </c>
      <c r="B37" s="13">
        <v>2010</v>
      </c>
      <c r="C37" s="13">
        <v>1</v>
      </c>
      <c r="D37" s="13">
        <f t="array" ref="D37">SUM(IF('AEO 2012 prdcrv'!$A$7:$A$2000='Agg prdcrv'!$A37,IF('AEO 2012 prdcrv'!$H$7:$H$2000="2010",IF('AEO 2012 prdcrv'!$I$7:$I$2000="Quantities",'AEO 2012 prdcrv'!B$7:B$2000,0))))</f>
        <v>43.43</v>
      </c>
      <c r="E37" s="13">
        <f t="array" ref="E37">SUM(IF('AEO 2012 prdcrv'!$A$7:$A$2000='Agg prdcrv'!$A37,IF('AEO 2012 prdcrv'!$H$7:$H$2000="2010",IF('AEO 2012 prdcrv'!$I$7:$I$2000="Quantities",'AEO 2012 prdcrv'!C$7:C$2000,0))))</f>
        <v>0</v>
      </c>
      <c r="F37" s="13">
        <f t="array" ref="F37">SUM(IF('AEO 2012 prdcrv'!$A$7:$A$2000='Agg prdcrv'!$A37,IF('AEO 2012 prdcrv'!$H$7:$H$2000="2010",IF('AEO 2012 prdcrv'!$I$7:$I$2000="Quantities",'AEO 2012 prdcrv'!D$7:D$2000,0))))</f>
        <v>4.79</v>
      </c>
      <c r="G37" s="13">
        <f t="array" ref="G37">SUM(IF('AEO 2012 prdcrv'!$A$7:$A$2000='Agg prdcrv'!$A37,IF('AEO 2012 prdcrv'!$H$7:$H$2000="2010",IF('AEO 2012 prdcrv'!$I$7:$I$2000="Quantities",'AEO 2012 prdcrv'!E$7:E$2000,0))))</f>
        <v>0</v>
      </c>
      <c r="H37" s="13">
        <f t="array" ref="H37">SUM(IF('AEO 2012 prdcrv'!$A$7:$A$2000='Agg prdcrv'!$A37,IF('AEO 2012 prdcrv'!$H$7:$H$2000="2010",IF('AEO 2012 prdcrv'!$I$7:$I$2000="Quantities",'AEO 2012 prdcrv'!F$7:F$2000,0))))</f>
        <v>14.48</v>
      </c>
      <c r="J37" s="13">
        <v>2010</v>
      </c>
      <c r="K37" s="13">
        <v>1</v>
      </c>
      <c r="L37" s="13">
        <f t="array" ref="L37">SUM(IF('AEO 2012 prdcrv'!$A$7:$A$2000='Agg prdcrv'!$A37,IF('AEO 2012 prdcrv'!$H$7:$H$2000="2010",IF('AEO 2012 prdcrv'!$I$7:$I$2000="Prices",'AEO 2012 prdcrv'!B$7:B$2000,0))))</f>
        <v>49.38</v>
      </c>
      <c r="M37" s="13">
        <f t="array" ref="M37">SUM(IF('AEO 2012 prdcrv'!$A$7:$A$2000='Agg prdcrv'!$A37,IF('AEO 2012 prdcrv'!$H$7:$H$2000="2010",IF('AEO 2012 prdcrv'!$I$7:$I$2000="Prices",'AEO 2012 prdcrv'!C$7:C$2000,0))))</f>
        <v>48.41</v>
      </c>
      <c r="N37" s="13">
        <f t="array" ref="N37">SUM(IF('AEO 2012 prdcrv'!$A$7:$A$2000='Agg prdcrv'!$A37,IF('AEO 2012 prdcrv'!$H$7:$H$2000="2010",IF('AEO 2012 prdcrv'!$I$7:$I$2000="Prices",'AEO 2012 prdcrv'!D$7:D$2000,0))))</f>
        <v>48.64</v>
      </c>
      <c r="O37" s="13">
        <f t="array" ref="O37">SUM(IF('AEO 2012 prdcrv'!$A$7:$A$2000='Agg prdcrv'!$A37,IF('AEO 2012 prdcrv'!$H$7:$H$2000="2010",IF('AEO 2012 prdcrv'!$I$7:$I$2000="Prices",'AEO 2012 prdcrv'!E$7:E$2000,0))))</f>
        <v>49.87</v>
      </c>
      <c r="P37" s="13">
        <f t="array" ref="P37">SUM(IF('AEO 2012 prdcrv'!$A$7:$A$2000='Agg prdcrv'!$A37,IF('AEO 2012 prdcrv'!$H$7:$H$2000="2010",IF('AEO 2012 prdcrv'!$I$7:$I$2000="Prices",'AEO 2012 prdcrv'!F$7:F$2000,0))))</f>
        <v>49.6</v>
      </c>
    </row>
    <row r="38" spans="1:16">
      <c r="A38" s="1" t="s">
        <v>145</v>
      </c>
      <c r="B38" s="13">
        <v>2010</v>
      </c>
      <c r="C38" s="13">
        <v>1</v>
      </c>
      <c r="D38" s="13">
        <f t="array" ref="D38">SUM(IF('AEO 2012 prdcrv'!$A$7:$A$2000='Agg prdcrv'!$A38,IF('AEO 2012 prdcrv'!$H$7:$H$2000="2010",IF('AEO 2012 prdcrv'!$I$7:$I$2000="Quantities",'AEO 2012 prdcrv'!B$7:B$2000,0))))</f>
        <v>16.04</v>
      </c>
      <c r="E38" s="13">
        <f t="array" ref="E38">SUM(IF('AEO 2012 prdcrv'!$A$7:$A$2000='Agg prdcrv'!$A38,IF('AEO 2012 prdcrv'!$H$7:$H$2000="2010",IF('AEO 2012 prdcrv'!$I$7:$I$2000="Quantities",'AEO 2012 prdcrv'!C$7:C$2000,0))))</f>
        <v>0</v>
      </c>
      <c r="F38" s="13">
        <f t="array" ref="F38">SUM(IF('AEO 2012 prdcrv'!$A$7:$A$2000='Agg prdcrv'!$A38,IF('AEO 2012 prdcrv'!$H$7:$H$2000="2010",IF('AEO 2012 prdcrv'!$I$7:$I$2000="Quantities",'AEO 2012 prdcrv'!D$7:D$2000,0))))</f>
        <v>120.88</v>
      </c>
      <c r="G38" s="13">
        <f t="array" ref="G38">SUM(IF('AEO 2012 prdcrv'!$A$7:$A$2000='Agg prdcrv'!$A38,IF('AEO 2012 prdcrv'!$H$7:$H$2000="2010",IF('AEO 2012 prdcrv'!$I$7:$I$2000="Quantities",'AEO 2012 prdcrv'!E$7:E$2000,0))))</f>
        <v>0</v>
      </c>
      <c r="H38" s="13">
        <f t="array" ref="H38">SUM(IF('AEO 2012 prdcrv'!$A$7:$A$2000='Agg prdcrv'!$A38,IF('AEO 2012 prdcrv'!$H$7:$H$2000="2010",IF('AEO 2012 prdcrv'!$I$7:$I$2000="Quantities",'AEO 2012 prdcrv'!F$7:F$2000,0))))</f>
        <v>24.19</v>
      </c>
      <c r="J38" s="13">
        <v>2010</v>
      </c>
      <c r="K38" s="13">
        <v>1</v>
      </c>
      <c r="L38" s="13">
        <f t="array" ref="L38">SUM(IF('AEO 2012 prdcrv'!$A$7:$A$2000='Agg prdcrv'!$A38,IF('AEO 2012 prdcrv'!$H$7:$H$2000="2010",IF('AEO 2012 prdcrv'!$I$7:$I$2000="Prices",'AEO 2012 prdcrv'!B$7:B$2000,0))))</f>
        <v>22.44</v>
      </c>
      <c r="M38" s="13">
        <f t="array" ref="M38">SUM(IF('AEO 2012 prdcrv'!$A$7:$A$2000='Agg prdcrv'!$A38,IF('AEO 2012 prdcrv'!$H$7:$H$2000="2010",IF('AEO 2012 prdcrv'!$I$7:$I$2000="Prices",'AEO 2012 prdcrv'!C$7:C$2000,0))))</f>
        <v>22</v>
      </c>
      <c r="N38" s="13">
        <f t="array" ref="N38">SUM(IF('AEO 2012 prdcrv'!$A$7:$A$2000='Agg prdcrv'!$A38,IF('AEO 2012 prdcrv'!$H$7:$H$2000="2010",IF('AEO 2012 prdcrv'!$I$7:$I$2000="Prices",'AEO 2012 prdcrv'!D$7:D$2000,0))))</f>
        <v>22.11</v>
      </c>
      <c r="O38" s="13">
        <f t="array" ref="O38">SUM(IF('AEO 2012 prdcrv'!$A$7:$A$2000='Agg prdcrv'!$A38,IF('AEO 2012 prdcrv'!$H$7:$H$2000="2010",IF('AEO 2012 prdcrv'!$I$7:$I$2000="Prices",'AEO 2012 prdcrv'!E$7:E$2000,0))))</f>
        <v>22.67</v>
      </c>
      <c r="P38" s="13">
        <f t="array" ref="P38">SUM(IF('AEO 2012 prdcrv'!$A$7:$A$2000='Agg prdcrv'!$A38,IF('AEO 2012 prdcrv'!$H$7:$H$2000="2010",IF('AEO 2012 prdcrv'!$I$7:$I$2000="Prices",'AEO 2012 prdcrv'!F$7:F$2000,0))))</f>
        <v>22.55</v>
      </c>
    </row>
    <row r="39" spans="1:16">
      <c r="A39" s="1" t="s">
        <v>146</v>
      </c>
      <c r="B39" s="13">
        <v>2010</v>
      </c>
      <c r="C39" s="13">
        <v>1</v>
      </c>
      <c r="D39" s="13">
        <f t="array" ref="D39">SUM(IF('AEO 2012 prdcrv'!$A$7:$A$2000='Agg prdcrv'!$A39,IF('AEO 2012 prdcrv'!$H$7:$H$2000="2010",IF('AEO 2012 prdcrv'!$I$7:$I$2000="Quantities",'AEO 2012 prdcrv'!B$7:B$2000,0))))</f>
        <v>14</v>
      </c>
      <c r="E39" s="13">
        <f t="array" ref="E39">SUM(IF('AEO 2012 prdcrv'!$A$7:$A$2000='Agg prdcrv'!$A39,IF('AEO 2012 prdcrv'!$H$7:$H$2000="2010",IF('AEO 2012 prdcrv'!$I$7:$I$2000="Quantities",'AEO 2012 prdcrv'!C$7:C$2000,0))))</f>
        <v>1.2</v>
      </c>
      <c r="F39" s="13">
        <f t="array" ref="F39">SUM(IF('AEO 2012 prdcrv'!$A$7:$A$2000='Agg prdcrv'!$A39,IF('AEO 2012 prdcrv'!$H$7:$H$2000="2010",IF('AEO 2012 prdcrv'!$I$7:$I$2000="Quantities",'AEO 2012 prdcrv'!D$7:D$2000,0))))</f>
        <v>315.05</v>
      </c>
      <c r="G39" s="13">
        <f t="array" ref="G39">SUM(IF('AEO 2012 prdcrv'!$A$7:$A$2000='Agg prdcrv'!$A39,IF('AEO 2012 prdcrv'!$H$7:$H$2000="2010",IF('AEO 2012 prdcrv'!$I$7:$I$2000="Quantities",'AEO 2012 prdcrv'!E$7:E$2000,0))))</f>
        <v>0.78</v>
      </c>
      <c r="H39" s="13">
        <f t="array" ref="H39">SUM(IF('AEO 2012 prdcrv'!$A$7:$A$2000='Agg prdcrv'!$A39,IF('AEO 2012 prdcrv'!$H$7:$H$2000="2010",IF('AEO 2012 prdcrv'!$I$7:$I$2000="Quantities",'AEO 2012 prdcrv'!F$7:F$2000,0))))</f>
        <v>13.18</v>
      </c>
      <c r="J39" s="13">
        <v>2010</v>
      </c>
      <c r="K39" s="13">
        <v>1</v>
      </c>
      <c r="L39" s="13">
        <f t="array" ref="L39">SUM(IF('AEO 2012 prdcrv'!$A$7:$A$2000='Agg prdcrv'!$A39,IF('AEO 2012 prdcrv'!$H$7:$H$2000="2010",IF('AEO 2012 prdcrv'!$I$7:$I$2000="Prices",'AEO 2012 prdcrv'!B$7:B$2000,0))))</f>
        <v>27.43</v>
      </c>
      <c r="M39" s="13">
        <f t="array" ref="M39">SUM(IF('AEO 2012 prdcrv'!$A$7:$A$2000='Agg prdcrv'!$A39,IF('AEO 2012 prdcrv'!$H$7:$H$2000="2010",IF('AEO 2012 prdcrv'!$I$7:$I$2000="Prices",'AEO 2012 prdcrv'!C$7:C$2000,0))))</f>
        <v>26.89</v>
      </c>
      <c r="N39" s="13">
        <f t="array" ref="N39">SUM(IF('AEO 2012 prdcrv'!$A$7:$A$2000='Agg prdcrv'!$A39,IF('AEO 2012 prdcrv'!$H$7:$H$2000="2010",IF('AEO 2012 prdcrv'!$I$7:$I$2000="Prices",'AEO 2012 prdcrv'!D$7:D$2000,0))))</f>
        <v>27.02</v>
      </c>
      <c r="O39" s="13">
        <f t="array" ref="O39">SUM(IF('AEO 2012 prdcrv'!$A$7:$A$2000='Agg prdcrv'!$A39,IF('AEO 2012 prdcrv'!$H$7:$H$2000="2010",IF('AEO 2012 prdcrv'!$I$7:$I$2000="Prices",'AEO 2012 prdcrv'!E$7:E$2000,0))))</f>
        <v>27.71</v>
      </c>
      <c r="P39" s="13">
        <f t="array" ref="P39">SUM(IF('AEO 2012 prdcrv'!$A$7:$A$2000='Agg prdcrv'!$A39,IF('AEO 2012 prdcrv'!$H$7:$H$2000="2010",IF('AEO 2012 prdcrv'!$I$7:$I$2000="Prices",'AEO 2012 prdcrv'!F$7:F$2000,0))))</f>
        <v>27.56</v>
      </c>
    </row>
    <row r="40" spans="1:16">
      <c r="A40" s="1" t="s">
        <v>147</v>
      </c>
      <c r="B40" s="13">
        <v>2010</v>
      </c>
      <c r="C40" s="13">
        <v>1</v>
      </c>
      <c r="D40" s="13">
        <f t="array" ref="D40">SUM(IF('AEO 2012 prdcrv'!$A$7:$A$2000='Agg prdcrv'!$A40,IF('AEO 2012 prdcrv'!$H$7:$H$2000="2010",IF('AEO 2012 prdcrv'!$I$7:$I$2000="Quantities",'AEO 2012 prdcrv'!B$7:B$2000,0))))</f>
        <v>84.47</v>
      </c>
      <c r="E40" s="13">
        <f t="array" ref="E40">SUM(IF('AEO 2012 prdcrv'!$A$7:$A$2000='Agg prdcrv'!$A40,IF('AEO 2012 prdcrv'!$H$7:$H$2000="2010",IF('AEO 2012 prdcrv'!$I$7:$I$2000="Quantities",'AEO 2012 prdcrv'!C$7:C$2000,0))))</f>
        <v>0.79</v>
      </c>
      <c r="F40" s="13">
        <f t="array" ref="F40">SUM(IF('AEO 2012 prdcrv'!$A$7:$A$2000='Agg prdcrv'!$A40,IF('AEO 2012 prdcrv'!$H$7:$H$2000="2010",IF('AEO 2012 prdcrv'!$I$7:$I$2000="Quantities",'AEO 2012 prdcrv'!D$7:D$2000,0))))</f>
        <v>167.55</v>
      </c>
      <c r="G40" s="13">
        <f t="array" ref="G40">SUM(IF('AEO 2012 prdcrv'!$A$7:$A$2000='Agg prdcrv'!$A40,IF('AEO 2012 prdcrv'!$H$7:$H$2000="2010",IF('AEO 2012 prdcrv'!$I$7:$I$2000="Quantities",'AEO 2012 prdcrv'!E$7:E$2000,0))))</f>
        <v>0</v>
      </c>
      <c r="H40" s="13">
        <f t="array" ref="H40">SUM(IF('AEO 2012 prdcrv'!$A$7:$A$2000='Agg prdcrv'!$A40,IF('AEO 2012 prdcrv'!$H$7:$H$2000="2010",IF('AEO 2012 prdcrv'!$I$7:$I$2000="Quantities",'AEO 2012 prdcrv'!F$7:F$2000,0))))</f>
        <v>47.36</v>
      </c>
      <c r="J40" s="13">
        <v>2010</v>
      </c>
      <c r="K40" s="13">
        <v>1</v>
      </c>
      <c r="L40" s="13">
        <f t="array" ref="L40">SUM(IF('AEO 2012 prdcrv'!$A$7:$A$2000='Agg prdcrv'!$A40,IF('AEO 2012 prdcrv'!$H$7:$H$2000="2010",IF('AEO 2012 prdcrv'!$I$7:$I$2000="Prices",'AEO 2012 prdcrv'!B$7:B$2000,0))))</f>
        <v>20.57</v>
      </c>
      <c r="M40" s="13">
        <f t="array" ref="M40">SUM(IF('AEO 2012 prdcrv'!$A$7:$A$2000='Agg prdcrv'!$A40,IF('AEO 2012 prdcrv'!$H$7:$H$2000="2010",IF('AEO 2012 prdcrv'!$I$7:$I$2000="Prices",'AEO 2012 prdcrv'!C$7:C$2000,0))))</f>
        <v>20.170000000000002</v>
      </c>
      <c r="N40" s="13">
        <f t="array" ref="N40">SUM(IF('AEO 2012 prdcrv'!$A$7:$A$2000='Agg prdcrv'!$A40,IF('AEO 2012 prdcrv'!$H$7:$H$2000="2010",IF('AEO 2012 prdcrv'!$I$7:$I$2000="Prices",'AEO 2012 prdcrv'!D$7:D$2000,0))))</f>
        <v>20.27</v>
      </c>
      <c r="O40" s="13">
        <f t="array" ref="O40">SUM(IF('AEO 2012 prdcrv'!$A$7:$A$2000='Agg prdcrv'!$A40,IF('AEO 2012 prdcrv'!$H$7:$H$2000="2010",IF('AEO 2012 prdcrv'!$I$7:$I$2000="Prices",'AEO 2012 prdcrv'!E$7:E$2000,0))))</f>
        <v>20.78</v>
      </c>
      <c r="P40" s="13">
        <f t="array" ref="P40">SUM(IF('AEO 2012 prdcrv'!$A$7:$A$2000='Agg prdcrv'!$A40,IF('AEO 2012 prdcrv'!$H$7:$H$2000="2010",IF('AEO 2012 prdcrv'!$I$7:$I$2000="Prices",'AEO 2012 prdcrv'!F$7:F$2000,0))))</f>
        <v>20.67</v>
      </c>
    </row>
    <row r="41" spans="1:16">
      <c r="A41" s="12" t="s">
        <v>398</v>
      </c>
    </row>
    <row r="42" spans="1:16">
      <c r="A42" s="1" t="s">
        <v>20</v>
      </c>
      <c r="B42" s="13">
        <v>2015</v>
      </c>
      <c r="C42" s="13">
        <v>1</v>
      </c>
      <c r="D42" s="13">
        <f t="array" ref="D42">SUM(IF('AEO 2012 prdcrv'!$A$7:$A$2000='Agg prdcrv'!$A42,IF('AEO 2012 prdcrv'!$H$7:$H$2000="2015",IF('AEO 2012 prdcrv'!$I$7:$I$2000="Quantities",'AEO 2012 prdcrv'!B$7:B$2000,0))))</f>
        <v>0</v>
      </c>
      <c r="E42" s="13">
        <f t="array" ref="E42">SUM(IF('AEO 2012 prdcrv'!$A$7:$A$2000='Agg prdcrv'!$A42,IF('AEO 2012 prdcrv'!$H$7:$H$2000="2015",IF('AEO 2012 prdcrv'!$I$7:$I$2000="Quantities",'AEO 2012 prdcrv'!C$7:C$2000,0))))</f>
        <v>0</v>
      </c>
      <c r="F42" s="13">
        <f t="array" ref="F42">SUM(IF('AEO 2012 prdcrv'!$A$7:$A$2000='Agg prdcrv'!$A42,IF('AEO 2012 prdcrv'!$H$7:$H$2000="2015",IF('AEO 2012 prdcrv'!$I$7:$I$2000="Quantities",'AEO 2012 prdcrv'!D$7:D$2000,0))))</f>
        <v>0</v>
      </c>
      <c r="G42" s="13">
        <f t="array" ref="G42">SUM(IF('AEO 2012 prdcrv'!$A$7:$A$2000='Agg prdcrv'!$A42,IF('AEO 2012 prdcrv'!$H$7:$H$2000="2015",IF('AEO 2012 prdcrv'!$I$7:$I$2000="Quantities",'AEO 2012 prdcrv'!E$7:E$2000,0))))</f>
        <v>0</v>
      </c>
      <c r="H42" s="13">
        <f t="array" ref="H42">SUM(IF('AEO 2012 prdcrv'!$A$7:$A$2000='Agg prdcrv'!$A42,IF('AEO 2012 prdcrv'!$H$7:$H$2000="2015",IF('AEO 2012 prdcrv'!$I$7:$I$2000="Quantities",'AEO 2012 prdcrv'!F$7:F$2000,0))))</f>
        <v>0</v>
      </c>
      <c r="J42" s="13">
        <v>2015</v>
      </c>
      <c r="K42" s="13">
        <v>1</v>
      </c>
      <c r="L42" s="13">
        <f t="array" ref="L42">SUM(IF('AEO 2012 prdcrv'!$A$7:$A$2000='Agg prdcrv'!$A42,IF('AEO 2012 prdcrv'!$H$7:$H$2000="2015",IF('AEO 2012 prdcrv'!$I$7:$I$2000="Prices",'AEO 2012 prdcrv'!B$7:B$2000,0))))</f>
        <v>113.56</v>
      </c>
      <c r="M42" s="13">
        <f t="array" ref="M42">SUM(IF('AEO 2012 prdcrv'!$A$7:$A$2000='Agg prdcrv'!$A42,IF('AEO 2012 prdcrv'!$H$7:$H$2000="2015",IF('AEO 2012 prdcrv'!$I$7:$I$2000="Prices",'AEO 2012 prdcrv'!C$7:C$2000,0))))</f>
        <v>113.5</v>
      </c>
      <c r="N42" s="13">
        <f t="array" ref="N42">SUM(IF('AEO 2012 prdcrv'!$A$7:$A$2000='Agg prdcrv'!$A42,IF('AEO 2012 prdcrv'!$H$7:$H$2000="2015",IF('AEO 2012 prdcrv'!$I$7:$I$2000="Prices",'AEO 2012 prdcrv'!D$7:D$2000,0))))</f>
        <v>113.56</v>
      </c>
      <c r="O42" s="13">
        <f t="array" ref="O42">SUM(IF('AEO 2012 prdcrv'!$A$7:$A$2000='Agg prdcrv'!$A42,IF('AEO 2012 prdcrv'!$H$7:$H$2000="2015",IF('AEO 2012 prdcrv'!$I$7:$I$2000="Prices",'AEO 2012 prdcrv'!E$7:E$2000,0))))</f>
        <v>113.3</v>
      </c>
      <c r="P42" s="13">
        <f t="array" ref="P42">SUM(IF('AEO 2012 prdcrv'!$A$7:$A$2000='Agg prdcrv'!$A42,IF('AEO 2012 prdcrv'!$H$7:$H$2000="2015",IF('AEO 2012 prdcrv'!$I$7:$I$2000="Prices",'AEO 2012 prdcrv'!F$7:F$2000,0))))</f>
        <v>113.5</v>
      </c>
    </row>
    <row r="43" spans="1:16">
      <c r="A43" s="1" t="s">
        <v>17</v>
      </c>
      <c r="B43" s="13">
        <v>2015</v>
      </c>
      <c r="C43" s="13">
        <v>1</v>
      </c>
      <c r="D43" s="13">
        <f t="array" ref="D43">SUM(IF('AEO 2012 prdcrv'!$A$7:$A$2000='Agg prdcrv'!$A43,IF('AEO 2012 prdcrv'!$H$7:$H$2000="2015",IF('AEO 2012 prdcrv'!$I$7:$I$2000="Quantities",'AEO 2012 prdcrv'!B$7:B$2000,0))))</f>
        <v>286.70999999999998</v>
      </c>
      <c r="E43" s="13">
        <f t="array" ref="E43">SUM(IF('AEO 2012 prdcrv'!$A$7:$A$2000='Agg prdcrv'!$A43,IF('AEO 2012 prdcrv'!$H$7:$H$2000="2015",IF('AEO 2012 prdcrv'!$I$7:$I$2000="Quantities",'AEO 2012 prdcrv'!C$7:C$2000,0))))</f>
        <v>1.0900000000000001</v>
      </c>
      <c r="F43" s="13">
        <f t="array" ref="F43">SUM(IF('AEO 2012 prdcrv'!$A$7:$A$2000='Agg prdcrv'!$A43,IF('AEO 2012 prdcrv'!$H$7:$H$2000="2015",IF('AEO 2012 prdcrv'!$I$7:$I$2000="Quantities",'AEO 2012 prdcrv'!D$7:D$2000,0))))</f>
        <v>30.76</v>
      </c>
      <c r="G43" s="13">
        <f t="array" ref="G43">SUM(IF('AEO 2012 prdcrv'!$A$7:$A$2000='Agg prdcrv'!$A43,IF('AEO 2012 prdcrv'!$H$7:$H$2000="2015",IF('AEO 2012 prdcrv'!$I$7:$I$2000="Quantities",'AEO 2012 prdcrv'!E$7:E$2000,0))))</f>
        <v>0</v>
      </c>
      <c r="H43" s="13">
        <f t="array" ref="H43">SUM(IF('AEO 2012 prdcrv'!$A$7:$A$2000='Agg prdcrv'!$A43,IF('AEO 2012 prdcrv'!$H$7:$H$2000="2015",IF('AEO 2012 prdcrv'!$I$7:$I$2000="Quantities",'AEO 2012 prdcrv'!F$7:F$2000,0))))</f>
        <v>21.3</v>
      </c>
      <c r="J43" s="13">
        <v>2015</v>
      </c>
      <c r="K43" s="13">
        <v>1</v>
      </c>
      <c r="L43" s="13">
        <f t="array" ref="L43">SUM(IF('AEO 2012 prdcrv'!$A$7:$A$2000='Agg prdcrv'!$A43,IF('AEO 2012 prdcrv'!$H$7:$H$2000="2015",IF('AEO 2012 prdcrv'!$I$7:$I$2000="Prices",'AEO 2012 prdcrv'!B$7:B$2000,0))))</f>
        <v>43.2</v>
      </c>
      <c r="M43" s="13">
        <f t="array" ref="M43">SUM(IF('AEO 2012 prdcrv'!$A$7:$A$2000='Agg prdcrv'!$A43,IF('AEO 2012 prdcrv'!$H$7:$H$2000="2015",IF('AEO 2012 prdcrv'!$I$7:$I$2000="Prices",'AEO 2012 prdcrv'!C$7:C$2000,0))))</f>
        <v>43.66</v>
      </c>
      <c r="N43" s="13">
        <f t="array" ref="N43">SUM(IF('AEO 2012 prdcrv'!$A$7:$A$2000='Agg prdcrv'!$A43,IF('AEO 2012 prdcrv'!$H$7:$H$2000="2015",IF('AEO 2012 prdcrv'!$I$7:$I$2000="Prices",'AEO 2012 prdcrv'!D$7:D$2000,0))))</f>
        <v>43.07</v>
      </c>
      <c r="O43" s="13">
        <f t="array" ref="O43">SUM(IF('AEO 2012 prdcrv'!$A$7:$A$2000='Agg prdcrv'!$A43,IF('AEO 2012 prdcrv'!$H$7:$H$2000="2015",IF('AEO 2012 prdcrv'!$I$7:$I$2000="Prices",'AEO 2012 prdcrv'!E$7:E$2000,0))))</f>
        <v>42.88</v>
      </c>
      <c r="P43" s="13">
        <f t="array" ref="P43">SUM(IF('AEO 2012 prdcrv'!$A$7:$A$2000='Agg prdcrv'!$A43,IF('AEO 2012 prdcrv'!$H$7:$H$2000="2015",IF('AEO 2012 prdcrv'!$I$7:$I$2000="Prices",'AEO 2012 prdcrv'!F$7:F$2000,0))))</f>
        <v>30.68</v>
      </c>
    </row>
    <row r="44" spans="1:16">
      <c r="A44" s="1" t="s">
        <v>10</v>
      </c>
      <c r="B44" s="13">
        <v>2015</v>
      </c>
      <c r="C44" s="13">
        <v>1</v>
      </c>
      <c r="D44" s="13">
        <f t="array" ref="D44">SUM(IF('AEO 2012 prdcrv'!$A$7:$A$2000='Agg prdcrv'!$A44,IF('AEO 2012 prdcrv'!$H$7:$H$2000="2015",IF('AEO 2012 prdcrv'!$I$7:$I$2000="Quantities",'AEO 2012 prdcrv'!B$7:B$2000,0))))</f>
        <v>182.61</v>
      </c>
      <c r="E44" s="13">
        <f t="array" ref="E44">SUM(IF('AEO 2012 prdcrv'!$A$7:$A$2000='Agg prdcrv'!$A44,IF('AEO 2012 prdcrv'!$H$7:$H$2000="2015",IF('AEO 2012 prdcrv'!$I$7:$I$2000="Quantities",'AEO 2012 prdcrv'!C$7:C$2000,0))))</f>
        <v>0.96</v>
      </c>
      <c r="F44" s="13">
        <f t="array" ref="F44">SUM(IF('AEO 2012 prdcrv'!$A$7:$A$2000='Agg prdcrv'!$A44,IF('AEO 2012 prdcrv'!$H$7:$H$2000="2015",IF('AEO 2012 prdcrv'!$I$7:$I$2000="Quantities",'AEO 2012 prdcrv'!D$7:D$2000,0))))</f>
        <v>9.08</v>
      </c>
      <c r="G44" s="13">
        <f t="array" ref="G44">SUM(IF('AEO 2012 prdcrv'!$A$7:$A$2000='Agg prdcrv'!$A44,IF('AEO 2012 prdcrv'!$H$7:$H$2000="2015",IF('AEO 2012 prdcrv'!$I$7:$I$2000="Quantities",'AEO 2012 prdcrv'!E$7:E$2000,0))))</f>
        <v>0.96</v>
      </c>
      <c r="H44" s="13">
        <f t="array" ref="H44">SUM(IF('AEO 2012 prdcrv'!$A$7:$A$2000='Agg prdcrv'!$A44,IF('AEO 2012 prdcrv'!$H$7:$H$2000="2015",IF('AEO 2012 prdcrv'!$I$7:$I$2000="Quantities",'AEO 2012 prdcrv'!F$7:F$2000,0))))</f>
        <v>5.42</v>
      </c>
      <c r="J44" s="13">
        <v>2015</v>
      </c>
      <c r="K44" s="13">
        <v>1</v>
      </c>
      <c r="L44" s="13">
        <f t="array" ref="L44">SUM(IF('AEO 2012 prdcrv'!$A$7:$A$2000='Agg prdcrv'!$A44,IF('AEO 2012 prdcrv'!$H$7:$H$2000="2015",IF('AEO 2012 prdcrv'!$I$7:$I$2000="Prices",'AEO 2012 prdcrv'!B$7:B$2000,0))))</f>
        <v>37.53</v>
      </c>
      <c r="M44" s="13">
        <f t="array" ref="M44">SUM(IF('AEO 2012 prdcrv'!$A$7:$A$2000='Agg prdcrv'!$A44,IF('AEO 2012 prdcrv'!$H$7:$H$2000="2015",IF('AEO 2012 prdcrv'!$I$7:$I$2000="Prices",'AEO 2012 prdcrv'!C$7:C$2000,0))))</f>
        <v>36.57</v>
      </c>
      <c r="N44" s="13">
        <f t="array" ref="N44">SUM(IF('AEO 2012 prdcrv'!$A$7:$A$2000='Agg prdcrv'!$A44,IF('AEO 2012 prdcrv'!$H$7:$H$2000="2015",IF('AEO 2012 prdcrv'!$I$7:$I$2000="Prices",'AEO 2012 prdcrv'!D$7:D$2000,0))))</f>
        <v>37.409999999999997</v>
      </c>
      <c r="O44" s="13">
        <f t="array" ref="O44">SUM(IF('AEO 2012 prdcrv'!$A$7:$A$2000='Agg prdcrv'!$A44,IF('AEO 2012 prdcrv'!$H$7:$H$2000="2015",IF('AEO 2012 prdcrv'!$I$7:$I$2000="Prices",'AEO 2012 prdcrv'!E$7:E$2000,0))))</f>
        <v>35.19</v>
      </c>
      <c r="P44" s="13">
        <f t="array" ref="P44">SUM(IF('AEO 2012 prdcrv'!$A$7:$A$2000='Agg prdcrv'!$A44,IF('AEO 2012 prdcrv'!$H$7:$H$2000="2015",IF('AEO 2012 prdcrv'!$I$7:$I$2000="Prices",'AEO 2012 prdcrv'!F$7:F$2000,0))))</f>
        <v>37.53</v>
      </c>
    </row>
    <row r="45" spans="1:16">
      <c r="A45" s="1" t="s">
        <v>11</v>
      </c>
      <c r="B45" s="13">
        <v>2015</v>
      </c>
      <c r="C45" s="13">
        <v>1</v>
      </c>
      <c r="D45" s="13">
        <f t="array" ref="D45">SUM(IF('AEO 2012 prdcrv'!$A$7:$A$2000='Agg prdcrv'!$A45,IF('AEO 2012 prdcrv'!$H$7:$H$2000="2015",IF('AEO 2012 prdcrv'!$I$7:$I$2000="Quantities",'AEO 2012 prdcrv'!B$7:B$2000,0))))</f>
        <v>4.79</v>
      </c>
      <c r="E45" s="13">
        <f t="array" ref="E45">SUM(IF('AEO 2012 prdcrv'!$A$7:$A$2000='Agg prdcrv'!$A45,IF('AEO 2012 prdcrv'!$H$7:$H$2000="2015",IF('AEO 2012 prdcrv'!$I$7:$I$2000="Quantities",'AEO 2012 prdcrv'!C$7:C$2000,0))))</f>
        <v>0.36</v>
      </c>
      <c r="F45" s="13">
        <f t="array" ref="F45">SUM(IF('AEO 2012 prdcrv'!$A$7:$A$2000='Agg prdcrv'!$A45,IF('AEO 2012 prdcrv'!$H$7:$H$2000="2015",IF('AEO 2012 prdcrv'!$I$7:$I$2000="Quantities",'AEO 2012 prdcrv'!D$7:D$2000,0))))</f>
        <v>0.42</v>
      </c>
      <c r="G45" s="13">
        <f t="array" ref="G45">SUM(IF('AEO 2012 prdcrv'!$A$7:$A$2000='Agg prdcrv'!$A45,IF('AEO 2012 prdcrv'!$H$7:$H$2000="2015",IF('AEO 2012 prdcrv'!$I$7:$I$2000="Quantities",'AEO 2012 prdcrv'!E$7:E$2000,0))))</f>
        <v>0.5</v>
      </c>
      <c r="H45" s="13">
        <f t="array" ref="H45">SUM(IF('AEO 2012 prdcrv'!$A$7:$A$2000='Agg prdcrv'!$A45,IF('AEO 2012 prdcrv'!$H$7:$H$2000="2015",IF('AEO 2012 prdcrv'!$I$7:$I$2000="Quantities",'AEO 2012 prdcrv'!F$7:F$2000,0))))</f>
        <v>1.02</v>
      </c>
      <c r="J45" s="13">
        <v>2015</v>
      </c>
      <c r="K45" s="13">
        <v>1</v>
      </c>
      <c r="L45" s="13">
        <f t="array" ref="L45">SUM(IF('AEO 2012 prdcrv'!$A$7:$A$2000='Agg prdcrv'!$A45,IF('AEO 2012 prdcrv'!$H$7:$H$2000="2015",IF('AEO 2012 prdcrv'!$I$7:$I$2000="Prices",'AEO 2012 prdcrv'!B$7:B$2000,0))))</f>
        <v>113.56</v>
      </c>
      <c r="M45" s="13">
        <f t="array" ref="M45">SUM(IF('AEO 2012 prdcrv'!$A$7:$A$2000='Agg prdcrv'!$A45,IF('AEO 2012 prdcrv'!$H$7:$H$2000="2015",IF('AEO 2012 prdcrv'!$I$7:$I$2000="Prices",'AEO 2012 prdcrv'!C$7:C$2000,0))))</f>
        <v>113.5</v>
      </c>
      <c r="N45" s="13">
        <f t="array" ref="N45">SUM(IF('AEO 2012 prdcrv'!$A$7:$A$2000='Agg prdcrv'!$A45,IF('AEO 2012 prdcrv'!$H$7:$H$2000="2015",IF('AEO 2012 prdcrv'!$I$7:$I$2000="Prices",'AEO 2012 prdcrv'!D$7:D$2000,0))))</f>
        <v>113.56</v>
      </c>
      <c r="O45" s="13">
        <f t="array" ref="O45">SUM(IF('AEO 2012 prdcrv'!$A$7:$A$2000='Agg prdcrv'!$A45,IF('AEO 2012 prdcrv'!$H$7:$H$2000="2015",IF('AEO 2012 prdcrv'!$I$7:$I$2000="Prices",'AEO 2012 prdcrv'!E$7:E$2000,0))))</f>
        <v>113.5</v>
      </c>
      <c r="P45" s="13">
        <f t="array" ref="P45">SUM(IF('AEO 2012 prdcrv'!$A$7:$A$2000='Agg prdcrv'!$A45,IF('AEO 2012 prdcrv'!$H$7:$H$2000="2015",IF('AEO 2012 prdcrv'!$I$7:$I$2000="Prices",'AEO 2012 prdcrv'!F$7:F$2000,0))))</f>
        <v>113.5</v>
      </c>
    </row>
    <row r="46" spans="1:16">
      <c r="A46" s="1" t="s">
        <v>32</v>
      </c>
      <c r="B46" s="13">
        <v>2015</v>
      </c>
      <c r="C46" s="13">
        <v>1</v>
      </c>
      <c r="D46" s="13">
        <f t="array" ref="D46">SUM(IF('AEO 2012 prdcrv'!$A$7:$A$2000='Agg prdcrv'!$A46,IF('AEO 2012 prdcrv'!$H$7:$H$2000="2015",IF('AEO 2012 prdcrv'!$I$7:$I$2000="Quantities",'AEO 2012 prdcrv'!B$7:B$2000,0))))</f>
        <v>175.73</v>
      </c>
      <c r="E46" s="13">
        <f t="array" ref="E46">SUM(IF('AEO 2012 prdcrv'!$A$7:$A$2000='Agg prdcrv'!$A46,IF('AEO 2012 prdcrv'!$H$7:$H$2000="2015",IF('AEO 2012 prdcrv'!$I$7:$I$2000="Quantities",'AEO 2012 prdcrv'!C$7:C$2000,0))))</f>
        <v>1.91</v>
      </c>
      <c r="F46" s="13">
        <f t="array" ref="F46">SUM(IF('AEO 2012 prdcrv'!$A$7:$A$2000='Agg prdcrv'!$A46,IF('AEO 2012 prdcrv'!$H$7:$H$2000="2015",IF('AEO 2012 prdcrv'!$I$7:$I$2000="Quantities",'AEO 2012 prdcrv'!D$7:D$2000,0))))</f>
        <v>36.33</v>
      </c>
      <c r="G46" s="13">
        <f t="array" ref="G46">SUM(IF('AEO 2012 prdcrv'!$A$7:$A$2000='Agg prdcrv'!$A46,IF('AEO 2012 prdcrv'!$H$7:$H$2000="2015",IF('AEO 2012 prdcrv'!$I$7:$I$2000="Quantities",'AEO 2012 prdcrv'!E$7:E$2000,0))))</f>
        <v>0</v>
      </c>
      <c r="H46" s="13">
        <f t="array" ref="H46">SUM(IF('AEO 2012 prdcrv'!$A$7:$A$2000='Agg prdcrv'!$A46,IF('AEO 2012 prdcrv'!$H$7:$H$2000="2015",IF('AEO 2012 prdcrv'!$I$7:$I$2000="Quantities",'AEO 2012 prdcrv'!F$7:F$2000,0))))</f>
        <v>9.56</v>
      </c>
      <c r="J46" s="13">
        <v>2015</v>
      </c>
      <c r="K46" s="13">
        <v>1</v>
      </c>
      <c r="L46" s="13">
        <f t="array" ref="L46">SUM(IF('AEO 2012 prdcrv'!$A$7:$A$2000='Agg prdcrv'!$A46,IF('AEO 2012 prdcrv'!$H$7:$H$2000="2015",IF('AEO 2012 prdcrv'!$I$7:$I$2000="Prices",'AEO 2012 prdcrv'!B$7:B$2000,0))))</f>
        <v>29.19</v>
      </c>
      <c r="M46" s="13">
        <f t="array" ref="M46">SUM(IF('AEO 2012 prdcrv'!$A$7:$A$2000='Agg prdcrv'!$A46,IF('AEO 2012 prdcrv'!$H$7:$H$2000="2015",IF('AEO 2012 prdcrv'!$I$7:$I$2000="Prices",'AEO 2012 prdcrv'!C$7:C$2000,0))))</f>
        <v>29.19</v>
      </c>
      <c r="N46" s="13">
        <f t="array" ref="N46">SUM(IF('AEO 2012 prdcrv'!$A$7:$A$2000='Agg prdcrv'!$A46,IF('AEO 2012 prdcrv'!$H$7:$H$2000="2015",IF('AEO 2012 prdcrv'!$I$7:$I$2000="Prices",'AEO 2012 prdcrv'!D$7:D$2000,0))))</f>
        <v>29.66</v>
      </c>
      <c r="O46" s="13">
        <f t="array" ref="O46">SUM(IF('AEO 2012 prdcrv'!$A$7:$A$2000='Agg prdcrv'!$A46,IF('AEO 2012 prdcrv'!$H$7:$H$2000="2015",IF('AEO 2012 prdcrv'!$I$7:$I$2000="Prices",'AEO 2012 prdcrv'!E$7:E$2000,0))))</f>
        <v>28.46</v>
      </c>
      <c r="P46" s="13">
        <f t="array" ref="P46">SUM(IF('AEO 2012 prdcrv'!$A$7:$A$2000='Agg prdcrv'!$A46,IF('AEO 2012 prdcrv'!$H$7:$H$2000="2015",IF('AEO 2012 prdcrv'!$I$7:$I$2000="Prices",'AEO 2012 prdcrv'!F$7:F$2000,0))))</f>
        <v>29.74</v>
      </c>
    </row>
    <row r="47" spans="1:16">
      <c r="A47" s="1" t="s">
        <v>31</v>
      </c>
      <c r="B47" s="13">
        <v>2015</v>
      </c>
      <c r="C47" s="13">
        <v>1</v>
      </c>
      <c r="D47" s="13">
        <f t="array" ref="D47">SUM(IF('AEO 2012 prdcrv'!$A$7:$A$2000='Agg prdcrv'!$A47,IF('AEO 2012 prdcrv'!$H$7:$H$2000="2015",IF('AEO 2012 prdcrv'!$I$7:$I$2000="Quantities",'AEO 2012 prdcrv'!B$7:B$2000,0))))</f>
        <v>129.13999999999999</v>
      </c>
      <c r="E47" s="13">
        <f t="array" ref="E47">SUM(IF('AEO 2012 prdcrv'!$A$7:$A$2000='Agg prdcrv'!$A47,IF('AEO 2012 prdcrv'!$H$7:$H$2000="2015",IF('AEO 2012 prdcrv'!$I$7:$I$2000="Quantities",'AEO 2012 prdcrv'!C$7:C$2000,0))))</f>
        <v>1.75</v>
      </c>
      <c r="F47" s="13">
        <f t="array" ref="F47">SUM(IF('AEO 2012 prdcrv'!$A$7:$A$2000='Agg prdcrv'!$A47,IF('AEO 2012 prdcrv'!$H$7:$H$2000="2015",IF('AEO 2012 prdcrv'!$I$7:$I$2000="Quantities",'AEO 2012 prdcrv'!D$7:D$2000,0))))</f>
        <v>22.98</v>
      </c>
      <c r="G47" s="13">
        <f t="array" ref="G47">SUM(IF('AEO 2012 prdcrv'!$A$7:$A$2000='Agg prdcrv'!$A47,IF('AEO 2012 prdcrv'!$H$7:$H$2000="2015",IF('AEO 2012 prdcrv'!$I$7:$I$2000="Quantities",'AEO 2012 prdcrv'!E$7:E$2000,0))))</f>
        <v>0</v>
      </c>
      <c r="H47" s="13">
        <f t="array" ref="H47">SUM(IF('AEO 2012 prdcrv'!$A$7:$A$2000='Agg prdcrv'!$A47,IF('AEO 2012 prdcrv'!$H$7:$H$2000="2015",IF('AEO 2012 prdcrv'!$I$7:$I$2000="Quantities",'AEO 2012 prdcrv'!F$7:F$2000,0))))</f>
        <v>26.76</v>
      </c>
      <c r="J47" s="13">
        <v>2015</v>
      </c>
      <c r="K47" s="13">
        <v>1</v>
      </c>
      <c r="L47" s="13">
        <f t="array" ref="L47">SUM(IF('AEO 2012 prdcrv'!$A$7:$A$2000='Agg prdcrv'!$A47,IF('AEO 2012 prdcrv'!$H$7:$H$2000="2015",IF('AEO 2012 prdcrv'!$I$7:$I$2000="Prices",'AEO 2012 prdcrv'!B$7:B$2000,0))))</f>
        <v>28.79</v>
      </c>
      <c r="M47" s="13">
        <f t="array" ref="M47">SUM(IF('AEO 2012 prdcrv'!$A$7:$A$2000='Agg prdcrv'!$A47,IF('AEO 2012 prdcrv'!$H$7:$H$2000="2015",IF('AEO 2012 prdcrv'!$I$7:$I$2000="Prices",'AEO 2012 prdcrv'!C$7:C$2000,0))))</f>
        <v>28.79</v>
      </c>
      <c r="N47" s="13">
        <f t="array" ref="N47">SUM(IF('AEO 2012 prdcrv'!$A$7:$A$2000='Agg prdcrv'!$A47,IF('AEO 2012 prdcrv'!$H$7:$H$2000="2015",IF('AEO 2012 prdcrv'!$I$7:$I$2000="Prices",'AEO 2012 prdcrv'!D$7:D$2000,0))))</f>
        <v>29.26</v>
      </c>
      <c r="O47" s="13">
        <f t="array" ref="O47">SUM(IF('AEO 2012 prdcrv'!$A$7:$A$2000='Agg prdcrv'!$A47,IF('AEO 2012 prdcrv'!$H$7:$H$2000="2015",IF('AEO 2012 prdcrv'!$I$7:$I$2000="Prices",'AEO 2012 prdcrv'!E$7:E$2000,0))))</f>
        <v>28.39</v>
      </c>
      <c r="P47" s="13">
        <f t="array" ref="P47">SUM(IF('AEO 2012 prdcrv'!$A$7:$A$2000='Agg prdcrv'!$A47,IF('AEO 2012 prdcrv'!$H$7:$H$2000="2015",IF('AEO 2012 prdcrv'!$I$7:$I$2000="Prices",'AEO 2012 prdcrv'!F$7:F$2000,0))))</f>
        <v>29.74</v>
      </c>
    </row>
    <row r="48" spans="1:16">
      <c r="A48" s="1" t="s">
        <v>266</v>
      </c>
      <c r="B48" s="13">
        <v>2015</v>
      </c>
      <c r="C48" s="13">
        <v>1</v>
      </c>
      <c r="D48" s="13">
        <f t="array" ref="D48">SUM(IF('AEO 2012 prdcrv'!$A$7:$A$2000='Agg prdcrv'!$A48,IF('AEO 2012 prdcrv'!$H$7:$H$2000="2015",IF('AEO 2012 prdcrv'!$I$7:$I$2000="Quantities",'AEO 2012 prdcrv'!B$7:B$2000,0))))</f>
        <v>88.11</v>
      </c>
      <c r="E48" s="13">
        <f t="array" ref="E48">SUM(IF('AEO 2012 prdcrv'!$A$7:$A$2000='Agg prdcrv'!$A48,IF('AEO 2012 prdcrv'!$H$7:$H$2000="2015",IF('AEO 2012 prdcrv'!$I$7:$I$2000="Quantities",'AEO 2012 prdcrv'!C$7:C$2000,0))))</f>
        <v>0</v>
      </c>
      <c r="F48" s="13">
        <f t="array" ref="F48">SUM(IF('AEO 2012 prdcrv'!$A$7:$A$2000='Agg prdcrv'!$A48,IF('AEO 2012 prdcrv'!$H$7:$H$2000="2015",IF('AEO 2012 prdcrv'!$I$7:$I$2000="Quantities",'AEO 2012 prdcrv'!D$7:D$2000,0))))</f>
        <v>5.57</v>
      </c>
      <c r="G48" s="13">
        <f t="array" ref="G48">SUM(IF('AEO 2012 prdcrv'!$A$7:$A$2000='Agg prdcrv'!$A48,IF('AEO 2012 prdcrv'!$H$7:$H$2000="2015",IF('AEO 2012 prdcrv'!$I$7:$I$2000="Quantities",'AEO 2012 prdcrv'!E$7:E$2000,0))))</f>
        <v>0</v>
      </c>
      <c r="H48" s="13">
        <f t="array" ref="H48">SUM(IF('AEO 2012 prdcrv'!$A$7:$A$2000='Agg prdcrv'!$A48,IF('AEO 2012 prdcrv'!$H$7:$H$2000="2015",IF('AEO 2012 prdcrv'!$I$7:$I$2000="Quantities",'AEO 2012 prdcrv'!F$7:F$2000,0))))</f>
        <v>50.1</v>
      </c>
      <c r="J48" s="13">
        <v>2015</v>
      </c>
      <c r="K48" s="13">
        <v>1</v>
      </c>
      <c r="L48" s="13">
        <f t="array" ref="L48">SUM(IF('AEO 2012 prdcrv'!$A$7:$A$2000='Agg prdcrv'!$A48,IF('AEO 2012 prdcrv'!$H$7:$H$2000="2015",IF('AEO 2012 prdcrv'!$I$7:$I$2000="Prices",'AEO 2012 prdcrv'!B$7:B$2000,0))))</f>
        <v>35.21</v>
      </c>
      <c r="M48" s="13">
        <f t="array" ref="M48">SUM(IF('AEO 2012 prdcrv'!$A$7:$A$2000='Agg prdcrv'!$A48,IF('AEO 2012 prdcrv'!$H$7:$H$2000="2015",IF('AEO 2012 prdcrv'!$I$7:$I$2000="Prices",'AEO 2012 prdcrv'!C$7:C$2000,0))))</f>
        <v>34.32</v>
      </c>
      <c r="N48" s="13">
        <f t="array" ref="N48">SUM(IF('AEO 2012 prdcrv'!$A$7:$A$2000='Agg prdcrv'!$A48,IF('AEO 2012 prdcrv'!$H$7:$H$2000="2015",IF('AEO 2012 prdcrv'!$I$7:$I$2000="Prices",'AEO 2012 prdcrv'!D$7:D$2000,0))))</f>
        <v>34.159999999999997</v>
      </c>
      <c r="O48" s="13">
        <f t="array" ref="O48">SUM(IF('AEO 2012 prdcrv'!$A$7:$A$2000='Agg prdcrv'!$A48,IF('AEO 2012 prdcrv'!$H$7:$H$2000="2015",IF('AEO 2012 prdcrv'!$I$7:$I$2000="Prices",'AEO 2012 prdcrv'!E$7:E$2000,0))))</f>
        <v>37.049999999999997</v>
      </c>
      <c r="P48" s="13">
        <f t="array" ref="P48">SUM(IF('AEO 2012 prdcrv'!$A$7:$A$2000='Agg prdcrv'!$A48,IF('AEO 2012 prdcrv'!$H$7:$H$2000="2015",IF('AEO 2012 prdcrv'!$I$7:$I$2000="Prices",'AEO 2012 prdcrv'!F$7:F$2000,0))))</f>
        <v>36.26</v>
      </c>
    </row>
    <row r="49" spans="1:16">
      <c r="A49" s="1" t="s">
        <v>269</v>
      </c>
      <c r="B49" s="13">
        <v>2015</v>
      </c>
      <c r="C49" s="13">
        <v>1</v>
      </c>
      <c r="D49" s="13">
        <f t="array" ref="D49">SUM(IF('AEO 2012 prdcrv'!$A$7:$A$2000='Agg prdcrv'!$A49,IF('AEO 2012 prdcrv'!$H$7:$H$2000="2015",IF('AEO 2012 prdcrv'!$I$7:$I$2000="Quantities",'AEO 2012 prdcrv'!B$7:B$2000,0))))</f>
        <v>83.56</v>
      </c>
      <c r="E49" s="13">
        <f t="array" ref="E49">SUM(IF('AEO 2012 prdcrv'!$A$7:$A$2000='Agg prdcrv'!$A49,IF('AEO 2012 prdcrv'!$H$7:$H$2000="2015",IF('AEO 2012 prdcrv'!$I$7:$I$2000="Quantities",'AEO 2012 prdcrv'!C$7:C$2000,0))))</f>
        <v>95.8</v>
      </c>
      <c r="F49" s="13">
        <f t="array" ref="F49">SUM(IF('AEO 2012 prdcrv'!$A$7:$A$2000='Agg prdcrv'!$A49,IF('AEO 2012 prdcrv'!$H$7:$H$2000="2015",IF('AEO 2012 prdcrv'!$I$7:$I$2000="Quantities",'AEO 2012 prdcrv'!D$7:D$2000,0))))</f>
        <v>168.72</v>
      </c>
      <c r="G49" s="13">
        <f t="array" ref="G49">SUM(IF('AEO 2012 prdcrv'!$A$7:$A$2000='Agg prdcrv'!$A49,IF('AEO 2012 prdcrv'!$H$7:$H$2000="2015",IF('AEO 2012 prdcrv'!$I$7:$I$2000="Quantities",'AEO 2012 prdcrv'!E$7:E$2000,0))))</f>
        <v>10.130000000000001</v>
      </c>
      <c r="H49" s="13">
        <f t="array" ref="H49">SUM(IF('AEO 2012 prdcrv'!$A$7:$A$2000='Agg prdcrv'!$A49,IF('AEO 2012 prdcrv'!$H$7:$H$2000="2015",IF('AEO 2012 prdcrv'!$I$7:$I$2000="Quantities",'AEO 2012 prdcrv'!F$7:F$2000,0))))</f>
        <v>1.91</v>
      </c>
      <c r="J49" s="13">
        <v>2015</v>
      </c>
      <c r="K49" s="13">
        <v>1</v>
      </c>
      <c r="L49" s="13">
        <f t="array" ref="L49">SUM(IF('AEO 2012 prdcrv'!$A$7:$A$2000='Agg prdcrv'!$A49,IF('AEO 2012 prdcrv'!$H$7:$H$2000="2015",IF('AEO 2012 prdcrv'!$I$7:$I$2000="Prices",'AEO 2012 prdcrv'!B$7:B$2000,0))))</f>
        <v>28.5</v>
      </c>
      <c r="M49" s="13">
        <f t="array" ref="M49">SUM(IF('AEO 2012 prdcrv'!$A$7:$A$2000='Agg prdcrv'!$A49,IF('AEO 2012 prdcrv'!$H$7:$H$2000="2015",IF('AEO 2012 prdcrv'!$I$7:$I$2000="Prices",'AEO 2012 prdcrv'!C$7:C$2000,0))))</f>
        <v>28.5</v>
      </c>
      <c r="N49" s="13">
        <f t="array" ref="N49">SUM(IF('AEO 2012 prdcrv'!$A$7:$A$2000='Agg prdcrv'!$A49,IF('AEO 2012 prdcrv'!$H$7:$H$2000="2015",IF('AEO 2012 prdcrv'!$I$7:$I$2000="Prices",'AEO 2012 prdcrv'!D$7:D$2000,0))))</f>
        <v>28.5</v>
      </c>
      <c r="O49" s="13">
        <f t="array" ref="O49">SUM(IF('AEO 2012 prdcrv'!$A$7:$A$2000='Agg prdcrv'!$A49,IF('AEO 2012 prdcrv'!$H$7:$H$2000="2015",IF('AEO 2012 prdcrv'!$I$7:$I$2000="Prices",'AEO 2012 prdcrv'!E$7:E$2000,0))))</f>
        <v>28.5</v>
      </c>
      <c r="P49" s="13">
        <f t="array" ref="P49">SUM(IF('AEO 2012 prdcrv'!$A$7:$A$2000='Agg prdcrv'!$A49,IF('AEO 2012 prdcrv'!$H$7:$H$2000="2015",IF('AEO 2012 prdcrv'!$I$7:$I$2000="Prices",'AEO 2012 prdcrv'!F$7:F$2000,0))))</f>
        <v>28.5</v>
      </c>
    </row>
    <row r="50" spans="1:16">
      <c r="A50" s="1" t="s">
        <v>30</v>
      </c>
      <c r="B50" s="13">
        <v>2015</v>
      </c>
      <c r="C50" s="13">
        <v>1</v>
      </c>
      <c r="D50" s="13">
        <f t="array" ref="D50">SUM(IF('AEO 2012 prdcrv'!$A$7:$A$2000='Agg prdcrv'!$A50,IF('AEO 2012 prdcrv'!$H$7:$H$2000="2015",IF('AEO 2012 prdcrv'!$I$7:$I$2000="Quantities",'AEO 2012 prdcrv'!B$7:B$2000,0))))</f>
        <v>3.82</v>
      </c>
      <c r="E50" s="13">
        <f t="array" ref="E50">SUM(IF('AEO 2012 prdcrv'!$A$7:$A$2000='Agg prdcrv'!$A50,IF('AEO 2012 prdcrv'!$H$7:$H$2000="2015",IF('AEO 2012 prdcrv'!$I$7:$I$2000="Quantities",'AEO 2012 prdcrv'!C$7:C$2000,0))))</f>
        <v>4.4000000000000004</v>
      </c>
      <c r="F50" s="13">
        <f t="array" ref="F50">SUM(IF('AEO 2012 prdcrv'!$A$7:$A$2000='Agg prdcrv'!$A50,IF('AEO 2012 prdcrv'!$H$7:$H$2000="2015",IF('AEO 2012 prdcrv'!$I$7:$I$2000="Quantities",'AEO 2012 prdcrv'!D$7:D$2000,0))))</f>
        <v>281.2</v>
      </c>
      <c r="G50" s="13">
        <f t="array" ref="G50">SUM(IF('AEO 2012 prdcrv'!$A$7:$A$2000='Agg prdcrv'!$A50,IF('AEO 2012 prdcrv'!$H$7:$H$2000="2015",IF('AEO 2012 prdcrv'!$I$7:$I$2000="Quantities",'AEO 2012 prdcrv'!E$7:E$2000,0))))</f>
        <v>0</v>
      </c>
      <c r="H50" s="13">
        <f t="array" ref="H50">SUM(IF('AEO 2012 prdcrv'!$A$7:$A$2000='Agg prdcrv'!$A50,IF('AEO 2012 prdcrv'!$H$7:$H$2000="2015",IF('AEO 2012 prdcrv'!$I$7:$I$2000="Quantities",'AEO 2012 prdcrv'!F$7:F$2000,0))))</f>
        <v>3.19</v>
      </c>
      <c r="J50" s="13">
        <v>2015</v>
      </c>
      <c r="K50" s="13">
        <v>1</v>
      </c>
      <c r="L50" s="13">
        <f t="array" ref="L50">SUM(IF('AEO 2012 prdcrv'!$A$7:$A$2000='Agg prdcrv'!$A50,IF('AEO 2012 prdcrv'!$H$7:$H$2000="2015",IF('AEO 2012 prdcrv'!$I$7:$I$2000="Prices",'AEO 2012 prdcrv'!B$7:B$2000,0))))</f>
        <v>21.68</v>
      </c>
      <c r="M50" s="13">
        <f t="array" ref="M50">SUM(IF('AEO 2012 prdcrv'!$A$7:$A$2000='Agg prdcrv'!$A50,IF('AEO 2012 prdcrv'!$H$7:$H$2000="2015",IF('AEO 2012 prdcrv'!$I$7:$I$2000="Prices",'AEO 2012 prdcrv'!C$7:C$2000,0))))</f>
        <v>21.68</v>
      </c>
      <c r="N50" s="13">
        <f t="array" ref="N50">SUM(IF('AEO 2012 prdcrv'!$A$7:$A$2000='Agg prdcrv'!$A50,IF('AEO 2012 prdcrv'!$H$7:$H$2000="2015",IF('AEO 2012 prdcrv'!$I$7:$I$2000="Prices",'AEO 2012 prdcrv'!D$7:D$2000,0))))</f>
        <v>21.68</v>
      </c>
      <c r="O50" s="13">
        <f t="array" ref="O50">SUM(IF('AEO 2012 prdcrv'!$A$7:$A$2000='Agg prdcrv'!$A50,IF('AEO 2012 prdcrv'!$H$7:$H$2000="2015",IF('AEO 2012 prdcrv'!$I$7:$I$2000="Prices",'AEO 2012 prdcrv'!E$7:E$2000,0))))</f>
        <v>21.68</v>
      </c>
      <c r="P50" s="13">
        <f t="array" ref="P50">SUM(IF('AEO 2012 prdcrv'!$A$7:$A$2000='Agg prdcrv'!$A50,IF('AEO 2012 prdcrv'!$H$7:$H$2000="2015",IF('AEO 2012 prdcrv'!$I$7:$I$2000="Prices",'AEO 2012 prdcrv'!F$7:F$2000,0))))</f>
        <v>21.68</v>
      </c>
    </row>
    <row r="51" spans="1:16">
      <c r="A51" s="1" t="s">
        <v>26</v>
      </c>
      <c r="B51" s="13">
        <v>2015</v>
      </c>
      <c r="C51" s="13">
        <v>1</v>
      </c>
      <c r="D51" s="13">
        <f t="array" ref="D51">SUM(IF('AEO 2012 prdcrv'!$A$7:$A$2000='Agg prdcrv'!$A51,IF('AEO 2012 prdcrv'!$H$7:$H$2000="2015",IF('AEO 2012 prdcrv'!$I$7:$I$2000="Quantities",'AEO 2012 prdcrv'!B$7:B$2000,0))))</f>
        <v>42.41</v>
      </c>
      <c r="E51" s="13">
        <f t="array" ref="E51">SUM(IF('AEO 2012 prdcrv'!$A$7:$A$2000='Agg prdcrv'!$A51,IF('AEO 2012 prdcrv'!$H$7:$H$2000="2015",IF('AEO 2012 prdcrv'!$I$7:$I$2000="Quantities",'AEO 2012 prdcrv'!C$7:C$2000,0))))</f>
        <v>6.55</v>
      </c>
      <c r="F51" s="13">
        <f t="array" ref="F51">SUM(IF('AEO 2012 prdcrv'!$A$7:$A$2000='Agg prdcrv'!$A51,IF('AEO 2012 prdcrv'!$H$7:$H$2000="2015",IF('AEO 2012 prdcrv'!$I$7:$I$2000="Quantities",'AEO 2012 prdcrv'!D$7:D$2000,0))))</f>
        <v>21.2</v>
      </c>
      <c r="G51" s="13">
        <f t="array" ref="G51">SUM(IF('AEO 2012 prdcrv'!$A$7:$A$2000='Agg prdcrv'!$A51,IF('AEO 2012 prdcrv'!$H$7:$H$2000="2015",IF('AEO 2012 prdcrv'!$I$7:$I$2000="Quantities",'AEO 2012 prdcrv'!E$7:E$2000,0))))</f>
        <v>0.94</v>
      </c>
      <c r="H51" s="13">
        <f t="array" ref="H51">SUM(IF('AEO 2012 prdcrv'!$A$7:$A$2000='Agg prdcrv'!$A51,IF('AEO 2012 prdcrv'!$H$7:$H$2000="2015",IF('AEO 2012 prdcrv'!$I$7:$I$2000="Quantities",'AEO 2012 prdcrv'!F$7:F$2000,0))))</f>
        <v>29.5</v>
      </c>
      <c r="J51" s="13">
        <v>2015</v>
      </c>
      <c r="K51" s="13">
        <v>1</v>
      </c>
      <c r="L51" s="13">
        <f t="array" ref="L51">SUM(IF('AEO 2012 prdcrv'!$A$7:$A$2000='Agg prdcrv'!$A51,IF('AEO 2012 prdcrv'!$H$7:$H$2000="2015",IF('AEO 2012 prdcrv'!$I$7:$I$2000="Prices",'AEO 2012 prdcrv'!B$7:B$2000,0))))</f>
        <v>32.450000000000003</v>
      </c>
      <c r="M51" s="13">
        <f t="array" ref="M51">SUM(IF('AEO 2012 prdcrv'!$A$7:$A$2000='Agg prdcrv'!$A51,IF('AEO 2012 prdcrv'!$H$7:$H$2000="2015",IF('AEO 2012 prdcrv'!$I$7:$I$2000="Prices",'AEO 2012 prdcrv'!C$7:C$2000,0))))</f>
        <v>32.450000000000003</v>
      </c>
      <c r="N51" s="13">
        <f t="array" ref="N51">SUM(IF('AEO 2012 prdcrv'!$A$7:$A$2000='Agg prdcrv'!$A51,IF('AEO 2012 prdcrv'!$H$7:$H$2000="2015",IF('AEO 2012 prdcrv'!$I$7:$I$2000="Prices",'AEO 2012 prdcrv'!D$7:D$2000,0))))</f>
        <v>33.04</v>
      </c>
      <c r="O51" s="13">
        <f t="array" ref="O51">SUM(IF('AEO 2012 prdcrv'!$A$7:$A$2000='Agg prdcrv'!$A51,IF('AEO 2012 prdcrv'!$H$7:$H$2000="2015",IF('AEO 2012 prdcrv'!$I$7:$I$2000="Prices",'AEO 2012 prdcrv'!E$7:E$2000,0))))</f>
        <v>32.549999999999997</v>
      </c>
      <c r="P51" s="13">
        <f t="array" ref="P51">SUM(IF('AEO 2012 prdcrv'!$A$7:$A$2000='Agg prdcrv'!$A51,IF('AEO 2012 prdcrv'!$H$7:$H$2000="2015",IF('AEO 2012 prdcrv'!$I$7:$I$2000="Prices",'AEO 2012 prdcrv'!F$7:F$2000,0))))</f>
        <v>32.549999999999997</v>
      </c>
    </row>
    <row r="52" spans="1:16">
      <c r="A52" s="1" t="s">
        <v>271</v>
      </c>
      <c r="B52" s="13">
        <v>2015</v>
      </c>
      <c r="C52" s="13">
        <v>1</v>
      </c>
      <c r="D52" s="13">
        <f t="array" ref="D52">SUM(IF('AEO 2012 prdcrv'!$A$7:$A$2000='Agg prdcrv'!$A52,IF('AEO 2012 prdcrv'!$H$7:$H$2000="2015",IF('AEO 2012 prdcrv'!$I$7:$I$2000="Quantities",'AEO 2012 prdcrv'!B$7:B$2000,0))))</f>
        <v>0.65</v>
      </c>
      <c r="E52" s="13">
        <f t="array" ref="E52">SUM(IF('AEO 2012 prdcrv'!$A$7:$A$2000='Agg prdcrv'!$A52,IF('AEO 2012 prdcrv'!$H$7:$H$2000="2015",IF('AEO 2012 prdcrv'!$I$7:$I$2000="Quantities",'AEO 2012 prdcrv'!C$7:C$2000,0))))</f>
        <v>0</v>
      </c>
      <c r="F52" s="13">
        <f t="array" ref="F52">SUM(IF('AEO 2012 prdcrv'!$A$7:$A$2000='Agg prdcrv'!$A52,IF('AEO 2012 prdcrv'!$H$7:$H$2000="2015",IF('AEO 2012 prdcrv'!$I$7:$I$2000="Quantities",'AEO 2012 prdcrv'!D$7:D$2000,0))))</f>
        <v>0</v>
      </c>
      <c r="G52" s="13">
        <f t="array" ref="G52">SUM(IF('AEO 2012 prdcrv'!$A$7:$A$2000='Agg prdcrv'!$A52,IF('AEO 2012 prdcrv'!$H$7:$H$2000="2015",IF('AEO 2012 prdcrv'!$I$7:$I$2000="Quantities",'AEO 2012 prdcrv'!E$7:E$2000,0))))</f>
        <v>0</v>
      </c>
      <c r="H52" s="13">
        <f t="array" ref="H52">SUM(IF('AEO 2012 prdcrv'!$A$7:$A$2000='Agg prdcrv'!$A52,IF('AEO 2012 prdcrv'!$H$7:$H$2000="2015",IF('AEO 2012 prdcrv'!$I$7:$I$2000="Quantities",'AEO 2012 prdcrv'!F$7:F$2000,0))))</f>
        <v>0.9</v>
      </c>
      <c r="J52" s="13">
        <v>2015</v>
      </c>
      <c r="K52" s="13">
        <v>1</v>
      </c>
      <c r="L52" s="13">
        <f t="array" ref="L52">SUM(IF('AEO 2012 prdcrv'!$A$7:$A$2000='Agg prdcrv'!$A52,IF('AEO 2012 prdcrv'!$H$7:$H$2000="2015",IF('AEO 2012 prdcrv'!$I$7:$I$2000="Prices",'AEO 2012 prdcrv'!B$7:B$2000,0))))</f>
        <v>47.76</v>
      </c>
      <c r="M52" s="13">
        <f t="array" ref="M52">SUM(IF('AEO 2012 prdcrv'!$A$7:$A$2000='Agg prdcrv'!$A52,IF('AEO 2012 prdcrv'!$H$7:$H$2000="2015",IF('AEO 2012 prdcrv'!$I$7:$I$2000="Prices",'AEO 2012 prdcrv'!C$7:C$2000,0))))</f>
        <v>46.94</v>
      </c>
      <c r="N52" s="13">
        <f t="array" ref="N52">SUM(IF('AEO 2012 prdcrv'!$A$7:$A$2000='Agg prdcrv'!$A52,IF('AEO 2012 prdcrv'!$H$7:$H$2000="2015",IF('AEO 2012 prdcrv'!$I$7:$I$2000="Prices",'AEO 2012 prdcrv'!D$7:D$2000,0))))</f>
        <v>46.48</v>
      </c>
      <c r="O52" s="13">
        <f t="array" ref="O52">SUM(IF('AEO 2012 prdcrv'!$A$7:$A$2000='Agg prdcrv'!$A52,IF('AEO 2012 prdcrv'!$H$7:$H$2000="2015",IF('AEO 2012 prdcrv'!$I$7:$I$2000="Prices",'AEO 2012 prdcrv'!E$7:E$2000,0))))</f>
        <v>48.44</v>
      </c>
      <c r="P52" s="13">
        <f t="array" ref="P52">SUM(IF('AEO 2012 prdcrv'!$A$7:$A$2000='Agg prdcrv'!$A52,IF('AEO 2012 prdcrv'!$H$7:$H$2000="2015",IF('AEO 2012 prdcrv'!$I$7:$I$2000="Prices",'AEO 2012 prdcrv'!F$7:F$2000,0))))</f>
        <v>46.06</v>
      </c>
    </row>
    <row r="53" spans="1:16">
      <c r="A53" s="1" t="s">
        <v>143</v>
      </c>
      <c r="B53" s="13">
        <v>2015</v>
      </c>
      <c r="C53" s="13">
        <v>1</v>
      </c>
      <c r="D53" s="13">
        <f t="array" ref="D53">SUM(IF('AEO 2012 prdcrv'!$A$7:$A$2000='Agg prdcrv'!$A53,IF('AEO 2012 prdcrv'!$H$7:$H$2000="2015",IF('AEO 2012 prdcrv'!$I$7:$I$2000="Quantities",'AEO 2012 prdcrv'!B$7:B$2000,0))))</f>
        <v>301.45999999999998</v>
      </c>
      <c r="E53" s="13">
        <f t="array" ref="E53">SUM(IF('AEO 2012 prdcrv'!$A$7:$A$2000='Agg prdcrv'!$A53,IF('AEO 2012 prdcrv'!$H$7:$H$2000="2015",IF('AEO 2012 prdcrv'!$I$7:$I$2000="Quantities",'AEO 2012 prdcrv'!C$7:C$2000,0))))</f>
        <v>0.97</v>
      </c>
      <c r="F53" s="13">
        <f t="array" ref="F53">SUM(IF('AEO 2012 prdcrv'!$A$7:$A$2000='Agg prdcrv'!$A53,IF('AEO 2012 prdcrv'!$H$7:$H$2000="2015",IF('AEO 2012 prdcrv'!$I$7:$I$2000="Quantities",'AEO 2012 prdcrv'!D$7:D$2000,0))))</f>
        <v>5.78</v>
      </c>
      <c r="G53" s="13">
        <f t="array" ref="G53">SUM(IF('AEO 2012 prdcrv'!$A$7:$A$2000='Agg prdcrv'!$A53,IF('AEO 2012 prdcrv'!$H$7:$H$2000="2015",IF('AEO 2012 prdcrv'!$I$7:$I$2000="Quantities",'AEO 2012 prdcrv'!E$7:E$2000,0))))</f>
        <v>0.97</v>
      </c>
      <c r="H53" s="13">
        <f t="array" ref="H53">SUM(IF('AEO 2012 prdcrv'!$A$7:$A$2000='Agg prdcrv'!$A53,IF('AEO 2012 prdcrv'!$H$7:$H$2000="2015",IF('AEO 2012 prdcrv'!$I$7:$I$2000="Quantities",'AEO 2012 prdcrv'!F$7:F$2000,0))))</f>
        <v>25.86</v>
      </c>
      <c r="J53" s="13">
        <v>2015</v>
      </c>
      <c r="K53" s="13">
        <v>1</v>
      </c>
      <c r="L53" s="13">
        <f t="array" ref="L53">SUM(IF('AEO 2012 prdcrv'!$A$7:$A$2000='Agg prdcrv'!$A53,IF('AEO 2012 prdcrv'!$H$7:$H$2000="2015",IF('AEO 2012 prdcrv'!$I$7:$I$2000="Prices",'AEO 2012 prdcrv'!B$7:B$2000,0))))</f>
        <v>59.99</v>
      </c>
      <c r="M53" s="13">
        <f t="array" ref="M53">SUM(IF('AEO 2012 prdcrv'!$A$7:$A$2000='Agg prdcrv'!$A53,IF('AEO 2012 prdcrv'!$H$7:$H$2000="2015",IF('AEO 2012 prdcrv'!$I$7:$I$2000="Prices",'AEO 2012 prdcrv'!C$7:C$2000,0))))</f>
        <v>57.94</v>
      </c>
      <c r="N53" s="13">
        <f t="array" ref="N53">SUM(IF('AEO 2012 prdcrv'!$A$7:$A$2000='Agg prdcrv'!$A53,IF('AEO 2012 prdcrv'!$H$7:$H$2000="2015",IF('AEO 2012 prdcrv'!$I$7:$I$2000="Prices",'AEO 2012 prdcrv'!D$7:D$2000,0))))</f>
        <v>57.53</v>
      </c>
      <c r="O53" s="13">
        <f t="array" ref="O53">SUM(IF('AEO 2012 prdcrv'!$A$7:$A$2000='Agg prdcrv'!$A53,IF('AEO 2012 prdcrv'!$H$7:$H$2000="2015",IF('AEO 2012 prdcrv'!$I$7:$I$2000="Prices",'AEO 2012 prdcrv'!E$7:E$2000,0))))</f>
        <v>60.17</v>
      </c>
      <c r="P53" s="13">
        <f t="array" ref="P53">SUM(IF('AEO 2012 prdcrv'!$A$7:$A$2000='Agg prdcrv'!$A53,IF('AEO 2012 prdcrv'!$H$7:$H$2000="2015",IF('AEO 2012 prdcrv'!$I$7:$I$2000="Prices",'AEO 2012 prdcrv'!F$7:F$2000,0))))</f>
        <v>57.56</v>
      </c>
    </row>
    <row r="54" spans="1:16">
      <c r="A54" s="1" t="s">
        <v>144</v>
      </c>
      <c r="B54" s="13">
        <v>2015</v>
      </c>
      <c r="C54" s="13">
        <v>1</v>
      </c>
      <c r="D54" s="13">
        <f t="array" ref="D54">SUM(IF('AEO 2012 prdcrv'!$A$7:$A$2000='Agg prdcrv'!$A54,IF('AEO 2012 prdcrv'!$H$7:$H$2000="2015",IF('AEO 2012 prdcrv'!$I$7:$I$2000="Quantities",'AEO 2012 prdcrv'!B$7:B$2000,0))))</f>
        <v>338.81</v>
      </c>
      <c r="E54" s="13">
        <f t="array" ref="E54">SUM(IF('AEO 2012 prdcrv'!$A$7:$A$2000='Agg prdcrv'!$A54,IF('AEO 2012 prdcrv'!$H$7:$H$2000="2015",IF('AEO 2012 prdcrv'!$I$7:$I$2000="Quantities",'AEO 2012 prdcrv'!C$7:C$2000,0))))</f>
        <v>1.0900000000000001</v>
      </c>
      <c r="F54" s="13">
        <f t="array" ref="F54">SUM(IF('AEO 2012 prdcrv'!$A$7:$A$2000='Agg prdcrv'!$A54,IF('AEO 2012 prdcrv'!$H$7:$H$2000="2015",IF('AEO 2012 prdcrv'!$I$7:$I$2000="Quantities",'AEO 2012 prdcrv'!D$7:D$2000,0))))</f>
        <v>6.49</v>
      </c>
      <c r="G54" s="13">
        <f t="array" ref="G54">SUM(IF('AEO 2012 prdcrv'!$A$7:$A$2000='Agg prdcrv'!$A54,IF('AEO 2012 prdcrv'!$H$7:$H$2000="2015",IF('AEO 2012 prdcrv'!$I$7:$I$2000="Quantities",'AEO 2012 prdcrv'!E$7:E$2000,0))))</f>
        <v>1.0900000000000001</v>
      </c>
      <c r="H54" s="13">
        <f t="array" ref="H54">SUM(IF('AEO 2012 prdcrv'!$A$7:$A$2000='Agg prdcrv'!$A54,IF('AEO 2012 prdcrv'!$H$7:$H$2000="2015",IF('AEO 2012 prdcrv'!$I$7:$I$2000="Quantities",'AEO 2012 prdcrv'!F$7:F$2000,0))))</f>
        <v>52.67</v>
      </c>
      <c r="J54" s="13">
        <v>2015</v>
      </c>
      <c r="K54" s="13">
        <v>1</v>
      </c>
      <c r="L54" s="13">
        <f t="array" ref="L54">SUM(IF('AEO 2012 prdcrv'!$A$7:$A$2000='Agg prdcrv'!$A54,IF('AEO 2012 prdcrv'!$H$7:$H$2000="2015",IF('AEO 2012 prdcrv'!$I$7:$I$2000="Prices",'AEO 2012 prdcrv'!B$7:B$2000,0))))</f>
        <v>31.91</v>
      </c>
      <c r="M54" s="13">
        <f t="array" ref="M54">SUM(IF('AEO 2012 prdcrv'!$A$7:$A$2000='Agg prdcrv'!$A54,IF('AEO 2012 prdcrv'!$H$7:$H$2000="2015",IF('AEO 2012 prdcrv'!$I$7:$I$2000="Prices",'AEO 2012 prdcrv'!C$7:C$2000,0))))</f>
        <v>30.8</v>
      </c>
      <c r="N54" s="13">
        <f t="array" ref="N54">SUM(IF('AEO 2012 prdcrv'!$A$7:$A$2000='Agg prdcrv'!$A54,IF('AEO 2012 prdcrv'!$H$7:$H$2000="2015",IF('AEO 2012 prdcrv'!$I$7:$I$2000="Prices",'AEO 2012 prdcrv'!D$7:D$2000,0))))</f>
        <v>31.21</v>
      </c>
      <c r="O54" s="13">
        <f t="array" ref="O54">SUM(IF('AEO 2012 prdcrv'!$A$7:$A$2000='Agg prdcrv'!$A54,IF('AEO 2012 prdcrv'!$H$7:$H$2000="2015",IF('AEO 2012 prdcrv'!$I$7:$I$2000="Prices",'AEO 2012 prdcrv'!E$7:E$2000,0))))</f>
        <v>30.4</v>
      </c>
      <c r="P54" s="13">
        <f t="array" ref="P54">SUM(IF('AEO 2012 prdcrv'!$A$7:$A$2000='Agg prdcrv'!$A54,IF('AEO 2012 prdcrv'!$H$7:$H$2000="2015",IF('AEO 2012 prdcrv'!$I$7:$I$2000="Prices",'AEO 2012 prdcrv'!F$7:F$2000,0))))</f>
        <v>31.55</v>
      </c>
    </row>
    <row r="55" spans="1:16">
      <c r="A55" s="1" t="s">
        <v>14</v>
      </c>
      <c r="B55" s="13">
        <v>2015</v>
      </c>
      <c r="C55" s="13">
        <v>1</v>
      </c>
      <c r="D55" s="13">
        <f t="array" ref="D55">SUM(IF('AEO 2012 prdcrv'!$A$7:$A$2000='Agg prdcrv'!$A55,IF('AEO 2012 prdcrv'!$H$7:$H$2000="2015",IF('AEO 2012 prdcrv'!$I$7:$I$2000="Quantities",'AEO 2012 prdcrv'!B$7:B$2000,0))))</f>
        <v>51.58</v>
      </c>
      <c r="E55" s="13">
        <f t="array" ref="E55">SUM(IF('AEO 2012 prdcrv'!$A$7:$A$2000='Agg prdcrv'!$A55,IF('AEO 2012 prdcrv'!$H$7:$H$2000="2015",IF('AEO 2012 prdcrv'!$I$7:$I$2000="Quantities",'AEO 2012 prdcrv'!C$7:C$2000,0))))</f>
        <v>0</v>
      </c>
      <c r="F55" s="13">
        <f t="array" ref="F55">SUM(IF('AEO 2012 prdcrv'!$A$7:$A$2000='Agg prdcrv'!$A55,IF('AEO 2012 prdcrv'!$H$7:$H$2000="2015",IF('AEO 2012 prdcrv'!$I$7:$I$2000="Quantities",'AEO 2012 prdcrv'!D$7:D$2000,0))))</f>
        <v>5.69</v>
      </c>
      <c r="G55" s="13">
        <f t="array" ref="G55">SUM(IF('AEO 2012 prdcrv'!$A$7:$A$2000='Agg prdcrv'!$A55,IF('AEO 2012 prdcrv'!$H$7:$H$2000="2015",IF('AEO 2012 prdcrv'!$I$7:$I$2000="Quantities",'AEO 2012 prdcrv'!E$7:E$2000,0))))</f>
        <v>0</v>
      </c>
      <c r="H55" s="13">
        <f t="array" ref="H55">SUM(IF('AEO 2012 prdcrv'!$A$7:$A$2000='Agg prdcrv'!$A55,IF('AEO 2012 prdcrv'!$H$7:$H$2000="2015",IF('AEO 2012 prdcrv'!$I$7:$I$2000="Quantities",'AEO 2012 prdcrv'!F$7:F$2000,0))))</f>
        <v>17.190000000000001</v>
      </c>
      <c r="J55" s="13">
        <v>2015</v>
      </c>
      <c r="K55" s="13">
        <v>1</v>
      </c>
      <c r="L55" s="13">
        <f t="array" ref="L55">SUM(IF('AEO 2012 prdcrv'!$A$7:$A$2000='Agg prdcrv'!$A55,IF('AEO 2012 prdcrv'!$H$7:$H$2000="2015",IF('AEO 2012 prdcrv'!$I$7:$I$2000="Prices",'AEO 2012 prdcrv'!B$7:B$2000,0))))</f>
        <v>41.43</v>
      </c>
      <c r="M55" s="13">
        <f t="array" ref="M55">SUM(IF('AEO 2012 prdcrv'!$A$7:$A$2000='Agg prdcrv'!$A55,IF('AEO 2012 prdcrv'!$H$7:$H$2000="2015",IF('AEO 2012 prdcrv'!$I$7:$I$2000="Prices",'AEO 2012 prdcrv'!C$7:C$2000,0))))</f>
        <v>41.34</v>
      </c>
      <c r="N55" s="13">
        <f t="array" ref="N55">SUM(IF('AEO 2012 prdcrv'!$A$7:$A$2000='Agg prdcrv'!$A55,IF('AEO 2012 prdcrv'!$H$7:$H$2000="2015",IF('AEO 2012 prdcrv'!$I$7:$I$2000="Prices",'AEO 2012 prdcrv'!D$7:D$2000,0))))</f>
        <v>40.380000000000003</v>
      </c>
      <c r="O55" s="13">
        <f t="array" ref="O55">SUM(IF('AEO 2012 prdcrv'!$A$7:$A$2000='Agg prdcrv'!$A55,IF('AEO 2012 prdcrv'!$H$7:$H$2000="2015",IF('AEO 2012 prdcrv'!$I$7:$I$2000="Prices",'AEO 2012 prdcrv'!E$7:E$2000,0))))</f>
        <v>43.49</v>
      </c>
      <c r="P55" s="13">
        <f t="array" ref="P55">SUM(IF('AEO 2012 prdcrv'!$A$7:$A$2000='Agg prdcrv'!$A55,IF('AEO 2012 prdcrv'!$H$7:$H$2000="2015",IF('AEO 2012 prdcrv'!$I$7:$I$2000="Prices",'AEO 2012 prdcrv'!F$7:F$2000,0))))</f>
        <v>42.21</v>
      </c>
    </row>
    <row r="56" spans="1:16">
      <c r="A56" s="1" t="s">
        <v>145</v>
      </c>
      <c r="B56" s="13">
        <v>2015</v>
      </c>
      <c r="C56" s="13">
        <v>1</v>
      </c>
      <c r="D56" s="13">
        <f t="array" ref="D56">SUM(IF('AEO 2012 prdcrv'!$A$7:$A$2000='Agg prdcrv'!$A56,IF('AEO 2012 prdcrv'!$H$7:$H$2000="2015",IF('AEO 2012 prdcrv'!$I$7:$I$2000="Quantities",'AEO 2012 prdcrv'!B$7:B$2000,0))))</f>
        <v>17.28</v>
      </c>
      <c r="E56" s="13">
        <f t="array" ref="E56">SUM(IF('AEO 2012 prdcrv'!$A$7:$A$2000='Agg prdcrv'!$A56,IF('AEO 2012 prdcrv'!$H$7:$H$2000="2015",IF('AEO 2012 prdcrv'!$I$7:$I$2000="Quantities",'AEO 2012 prdcrv'!C$7:C$2000,0))))</f>
        <v>0</v>
      </c>
      <c r="F56" s="13">
        <f t="array" ref="F56">SUM(IF('AEO 2012 prdcrv'!$A$7:$A$2000='Agg prdcrv'!$A56,IF('AEO 2012 prdcrv'!$H$7:$H$2000="2015",IF('AEO 2012 prdcrv'!$I$7:$I$2000="Quantities",'AEO 2012 prdcrv'!D$7:D$2000,0))))</f>
        <v>130.22</v>
      </c>
      <c r="G56" s="13">
        <f t="array" ref="G56">SUM(IF('AEO 2012 prdcrv'!$A$7:$A$2000='Agg prdcrv'!$A56,IF('AEO 2012 prdcrv'!$H$7:$H$2000="2015",IF('AEO 2012 prdcrv'!$I$7:$I$2000="Quantities",'AEO 2012 prdcrv'!E$7:E$2000,0))))</f>
        <v>0</v>
      </c>
      <c r="H56" s="13">
        <f t="array" ref="H56">SUM(IF('AEO 2012 prdcrv'!$A$7:$A$2000='Agg prdcrv'!$A56,IF('AEO 2012 prdcrv'!$H$7:$H$2000="2015",IF('AEO 2012 prdcrv'!$I$7:$I$2000="Quantities",'AEO 2012 prdcrv'!F$7:F$2000,0))))</f>
        <v>26.06</v>
      </c>
      <c r="J56" s="13">
        <v>2015</v>
      </c>
      <c r="K56" s="13">
        <v>1</v>
      </c>
      <c r="L56" s="13">
        <f t="array" ref="L56">SUM(IF('AEO 2012 prdcrv'!$A$7:$A$2000='Agg prdcrv'!$A56,IF('AEO 2012 prdcrv'!$H$7:$H$2000="2015",IF('AEO 2012 prdcrv'!$I$7:$I$2000="Prices",'AEO 2012 prdcrv'!B$7:B$2000,0))))</f>
        <v>18.829999999999998</v>
      </c>
      <c r="M56" s="13">
        <f t="array" ref="M56">SUM(IF('AEO 2012 prdcrv'!$A$7:$A$2000='Agg prdcrv'!$A56,IF('AEO 2012 prdcrv'!$H$7:$H$2000="2015",IF('AEO 2012 prdcrv'!$I$7:$I$2000="Prices",'AEO 2012 prdcrv'!C$7:C$2000,0))))</f>
        <v>18.79</v>
      </c>
      <c r="N56" s="13">
        <f t="array" ref="N56">SUM(IF('AEO 2012 prdcrv'!$A$7:$A$2000='Agg prdcrv'!$A56,IF('AEO 2012 prdcrv'!$H$7:$H$2000="2015",IF('AEO 2012 prdcrv'!$I$7:$I$2000="Prices",'AEO 2012 prdcrv'!D$7:D$2000,0))))</f>
        <v>18.350000000000001</v>
      </c>
      <c r="O56" s="13">
        <f t="array" ref="O56">SUM(IF('AEO 2012 prdcrv'!$A$7:$A$2000='Agg prdcrv'!$A56,IF('AEO 2012 prdcrv'!$H$7:$H$2000="2015",IF('AEO 2012 prdcrv'!$I$7:$I$2000="Prices",'AEO 2012 prdcrv'!E$7:E$2000,0))))</f>
        <v>19.77</v>
      </c>
      <c r="P56" s="13">
        <f t="array" ref="P56">SUM(IF('AEO 2012 prdcrv'!$A$7:$A$2000='Agg prdcrv'!$A56,IF('AEO 2012 prdcrv'!$H$7:$H$2000="2015",IF('AEO 2012 prdcrv'!$I$7:$I$2000="Prices",'AEO 2012 prdcrv'!F$7:F$2000,0))))</f>
        <v>19.190000000000001</v>
      </c>
    </row>
    <row r="57" spans="1:16">
      <c r="A57" s="1" t="s">
        <v>146</v>
      </c>
      <c r="B57" s="13">
        <v>2015</v>
      </c>
      <c r="C57" s="13">
        <v>1</v>
      </c>
      <c r="D57" s="13">
        <f t="array" ref="D57">SUM(IF('AEO 2012 prdcrv'!$A$7:$A$2000='Agg prdcrv'!$A57,IF('AEO 2012 prdcrv'!$H$7:$H$2000="2015",IF('AEO 2012 prdcrv'!$I$7:$I$2000="Quantities",'AEO 2012 prdcrv'!B$7:B$2000,0))))</f>
        <v>15.08</v>
      </c>
      <c r="E57" s="13">
        <f t="array" ref="E57">SUM(IF('AEO 2012 prdcrv'!$A$7:$A$2000='Agg prdcrv'!$A57,IF('AEO 2012 prdcrv'!$H$7:$H$2000="2015",IF('AEO 2012 prdcrv'!$I$7:$I$2000="Quantities",'AEO 2012 prdcrv'!C$7:C$2000,0))))</f>
        <v>1.29</v>
      </c>
      <c r="F57" s="13">
        <f t="array" ref="F57">SUM(IF('AEO 2012 prdcrv'!$A$7:$A$2000='Agg prdcrv'!$A57,IF('AEO 2012 prdcrv'!$H$7:$H$2000="2015",IF('AEO 2012 prdcrv'!$I$7:$I$2000="Quantities",'AEO 2012 prdcrv'!D$7:D$2000,0))))</f>
        <v>339.39</v>
      </c>
      <c r="G57" s="13">
        <f t="array" ref="G57">SUM(IF('AEO 2012 prdcrv'!$A$7:$A$2000='Agg prdcrv'!$A57,IF('AEO 2012 prdcrv'!$H$7:$H$2000="2015",IF('AEO 2012 prdcrv'!$I$7:$I$2000="Quantities",'AEO 2012 prdcrv'!E$7:E$2000,0))))</f>
        <v>0.84</v>
      </c>
      <c r="H57" s="13">
        <f t="array" ref="H57">SUM(IF('AEO 2012 prdcrv'!$A$7:$A$2000='Agg prdcrv'!$A57,IF('AEO 2012 prdcrv'!$H$7:$H$2000="2015",IF('AEO 2012 prdcrv'!$I$7:$I$2000="Quantities",'AEO 2012 prdcrv'!F$7:F$2000,0))))</f>
        <v>14.19</v>
      </c>
      <c r="J57" s="13">
        <v>2015</v>
      </c>
      <c r="K57" s="13">
        <v>1</v>
      </c>
      <c r="L57" s="13">
        <f t="array" ref="L57">SUM(IF('AEO 2012 prdcrv'!$A$7:$A$2000='Agg prdcrv'!$A57,IF('AEO 2012 prdcrv'!$H$7:$H$2000="2015",IF('AEO 2012 prdcrv'!$I$7:$I$2000="Prices",'AEO 2012 prdcrv'!B$7:B$2000,0))))</f>
        <v>23.01</v>
      </c>
      <c r="M57" s="13">
        <f t="array" ref="M57">SUM(IF('AEO 2012 prdcrv'!$A$7:$A$2000='Agg prdcrv'!$A57,IF('AEO 2012 prdcrv'!$H$7:$H$2000="2015",IF('AEO 2012 prdcrv'!$I$7:$I$2000="Prices",'AEO 2012 prdcrv'!C$7:C$2000,0))))</f>
        <v>22.97</v>
      </c>
      <c r="N57" s="13">
        <f t="array" ref="N57">SUM(IF('AEO 2012 prdcrv'!$A$7:$A$2000='Agg prdcrv'!$A57,IF('AEO 2012 prdcrv'!$H$7:$H$2000="2015",IF('AEO 2012 prdcrv'!$I$7:$I$2000="Prices",'AEO 2012 prdcrv'!D$7:D$2000,0))))</f>
        <v>22.43</v>
      </c>
      <c r="O57" s="13">
        <f t="array" ref="O57">SUM(IF('AEO 2012 prdcrv'!$A$7:$A$2000='Agg prdcrv'!$A57,IF('AEO 2012 prdcrv'!$H$7:$H$2000="2015",IF('AEO 2012 prdcrv'!$I$7:$I$2000="Prices",'AEO 2012 prdcrv'!E$7:E$2000,0))))</f>
        <v>24.16</v>
      </c>
      <c r="P57" s="13">
        <f t="array" ref="P57">SUM(IF('AEO 2012 prdcrv'!$A$7:$A$2000='Agg prdcrv'!$A57,IF('AEO 2012 prdcrv'!$H$7:$H$2000="2015",IF('AEO 2012 prdcrv'!$I$7:$I$2000="Prices",'AEO 2012 prdcrv'!F$7:F$2000,0))))</f>
        <v>23.45</v>
      </c>
    </row>
    <row r="58" spans="1:16">
      <c r="A58" s="1" t="s">
        <v>147</v>
      </c>
      <c r="B58" s="13">
        <v>2015</v>
      </c>
      <c r="C58" s="13">
        <v>1</v>
      </c>
      <c r="D58" s="13">
        <f t="array" ref="D58">SUM(IF('AEO 2012 prdcrv'!$A$7:$A$2000='Agg prdcrv'!$A58,IF('AEO 2012 prdcrv'!$H$7:$H$2000="2015",IF('AEO 2012 prdcrv'!$I$7:$I$2000="Quantities",'AEO 2012 prdcrv'!B$7:B$2000,0))))</f>
        <v>91</v>
      </c>
      <c r="E58" s="13">
        <f t="array" ref="E58">SUM(IF('AEO 2012 prdcrv'!$A$7:$A$2000='Agg prdcrv'!$A58,IF('AEO 2012 prdcrv'!$H$7:$H$2000="2015",IF('AEO 2012 prdcrv'!$I$7:$I$2000="Quantities",'AEO 2012 prdcrv'!C$7:C$2000,0))))</f>
        <v>0.85</v>
      </c>
      <c r="F58" s="13">
        <f t="array" ref="F58">SUM(IF('AEO 2012 prdcrv'!$A$7:$A$2000='Agg prdcrv'!$A58,IF('AEO 2012 prdcrv'!$H$7:$H$2000="2015",IF('AEO 2012 prdcrv'!$I$7:$I$2000="Quantities",'AEO 2012 prdcrv'!D$7:D$2000,0))))</f>
        <v>180.5</v>
      </c>
      <c r="G58" s="13">
        <f t="array" ref="G58">SUM(IF('AEO 2012 prdcrv'!$A$7:$A$2000='Agg prdcrv'!$A58,IF('AEO 2012 prdcrv'!$H$7:$H$2000="2015",IF('AEO 2012 prdcrv'!$I$7:$I$2000="Quantities",'AEO 2012 prdcrv'!E$7:E$2000,0))))</f>
        <v>0</v>
      </c>
      <c r="H58" s="13">
        <f t="array" ref="H58">SUM(IF('AEO 2012 prdcrv'!$A$7:$A$2000='Agg prdcrv'!$A58,IF('AEO 2012 prdcrv'!$H$7:$H$2000="2015",IF('AEO 2012 prdcrv'!$I$7:$I$2000="Quantities",'AEO 2012 prdcrv'!F$7:F$2000,0))))</f>
        <v>51.02</v>
      </c>
      <c r="J58" s="13">
        <v>2015</v>
      </c>
      <c r="K58" s="13">
        <v>1</v>
      </c>
      <c r="L58" s="13">
        <f t="array" ref="L58">SUM(IF('AEO 2012 prdcrv'!$A$7:$A$2000='Agg prdcrv'!$A58,IF('AEO 2012 prdcrv'!$H$7:$H$2000="2015",IF('AEO 2012 prdcrv'!$I$7:$I$2000="Prices",'AEO 2012 prdcrv'!B$7:B$2000,0))))</f>
        <v>17.260000000000002</v>
      </c>
      <c r="M58" s="13">
        <f t="array" ref="M58">SUM(IF('AEO 2012 prdcrv'!$A$7:$A$2000='Agg prdcrv'!$A58,IF('AEO 2012 prdcrv'!$H$7:$H$2000="2015",IF('AEO 2012 prdcrv'!$I$7:$I$2000="Prices",'AEO 2012 prdcrv'!C$7:C$2000,0))))</f>
        <v>17.23</v>
      </c>
      <c r="N58" s="13">
        <f t="array" ref="N58">SUM(IF('AEO 2012 prdcrv'!$A$7:$A$2000='Agg prdcrv'!$A58,IF('AEO 2012 prdcrv'!$H$7:$H$2000="2015",IF('AEO 2012 prdcrv'!$I$7:$I$2000="Prices",'AEO 2012 prdcrv'!D$7:D$2000,0))))</f>
        <v>16.82</v>
      </c>
      <c r="O58" s="13">
        <f t="array" ref="O58">SUM(IF('AEO 2012 prdcrv'!$A$7:$A$2000='Agg prdcrv'!$A58,IF('AEO 2012 prdcrv'!$H$7:$H$2000="2015",IF('AEO 2012 prdcrv'!$I$7:$I$2000="Prices",'AEO 2012 prdcrv'!E$7:E$2000,0))))</f>
        <v>18.12</v>
      </c>
      <c r="P58" s="13">
        <f t="array" ref="P58">SUM(IF('AEO 2012 prdcrv'!$A$7:$A$2000='Agg prdcrv'!$A58,IF('AEO 2012 prdcrv'!$H$7:$H$2000="2015",IF('AEO 2012 prdcrv'!$I$7:$I$2000="Prices",'AEO 2012 prdcrv'!F$7:F$2000,0))))</f>
        <v>17.59</v>
      </c>
    </row>
    <row r="59" spans="1:16">
      <c r="A59" s="12" t="s">
        <v>398</v>
      </c>
    </row>
    <row r="60" spans="1:16">
      <c r="A60" s="1" t="s">
        <v>20</v>
      </c>
      <c r="B60" s="13">
        <v>2020</v>
      </c>
      <c r="C60" s="13">
        <v>1</v>
      </c>
      <c r="D60" s="13">
        <f t="array" ref="D60">SUM(IF('AEO 2012 prdcrv'!$A$7:$A$2000='Agg prdcrv'!$A60,IF('AEO 2012 prdcrv'!$H$7:$H$2000="2020",IF('AEO 2012 prdcrv'!$I$7:$I$2000="Quantities",'AEO 2012 prdcrv'!B$7:B$2000,0))))</f>
        <v>0</v>
      </c>
      <c r="E60" s="13">
        <f t="array" ref="E60">SUM(IF('AEO 2012 prdcrv'!$A$7:$A$2000='Agg prdcrv'!$A60,IF('AEO 2012 prdcrv'!$H$7:$H$2000="2020",IF('AEO 2012 prdcrv'!$I$7:$I$2000="Quantities",'AEO 2012 prdcrv'!C$7:C$2000,0))))</f>
        <v>0</v>
      </c>
      <c r="F60" s="13">
        <f t="array" ref="F60">SUM(IF('AEO 2012 prdcrv'!$A$7:$A$2000='Agg prdcrv'!$A60,IF('AEO 2012 prdcrv'!$H$7:$H$2000="2020",IF('AEO 2012 prdcrv'!$I$7:$I$2000="Quantities",'AEO 2012 prdcrv'!D$7:D$2000,0))))</f>
        <v>0</v>
      </c>
      <c r="G60" s="13">
        <f t="array" ref="G60">SUM(IF('AEO 2012 prdcrv'!$A$7:$A$2000='Agg prdcrv'!$A60,IF('AEO 2012 prdcrv'!$H$7:$H$2000="2020",IF('AEO 2012 prdcrv'!$I$7:$I$2000="Quantities",'AEO 2012 prdcrv'!E$7:E$2000,0))))</f>
        <v>0</v>
      </c>
      <c r="H60" s="13">
        <f t="array" ref="H60">SUM(IF('AEO 2012 prdcrv'!$A$7:$A$2000='Agg prdcrv'!$A60,IF('AEO 2012 prdcrv'!$H$7:$H$2000="2020",IF('AEO 2012 prdcrv'!$I$7:$I$2000="Quantities",'AEO 2012 prdcrv'!F$7:F$2000,0))))</f>
        <v>0</v>
      </c>
      <c r="J60" s="13">
        <v>2020</v>
      </c>
      <c r="K60" s="13">
        <v>1</v>
      </c>
      <c r="L60" s="13">
        <f t="array" ref="L60">SUM(IF('AEO 2012 prdcrv'!$A$7:$A$2000='Agg prdcrv'!$A60,IF('AEO 2012 prdcrv'!$H$7:$H$2000="2020",IF('AEO 2012 prdcrv'!$I$7:$I$2000="Prices",'AEO 2012 prdcrv'!B$7:B$2000,0))))</f>
        <v>113.56</v>
      </c>
      <c r="M60" s="13">
        <f t="array" ref="M60">SUM(IF('AEO 2012 prdcrv'!$A$7:$A$2000='Agg prdcrv'!$A60,IF('AEO 2012 prdcrv'!$H$7:$H$2000="2020",IF('AEO 2012 prdcrv'!$I$7:$I$2000="Prices",'AEO 2012 prdcrv'!C$7:C$2000,0))))</f>
        <v>113.5</v>
      </c>
      <c r="N60" s="13">
        <f t="array" ref="N60">SUM(IF('AEO 2012 prdcrv'!$A$7:$A$2000='Agg prdcrv'!$A60,IF('AEO 2012 prdcrv'!$H$7:$H$2000="2020",IF('AEO 2012 prdcrv'!$I$7:$I$2000="Prices",'AEO 2012 prdcrv'!D$7:D$2000,0))))</f>
        <v>113.56</v>
      </c>
      <c r="O60" s="13">
        <f t="array" ref="O60">SUM(IF('AEO 2012 prdcrv'!$A$7:$A$2000='Agg prdcrv'!$A60,IF('AEO 2012 prdcrv'!$H$7:$H$2000="2020",IF('AEO 2012 prdcrv'!$I$7:$I$2000="Prices",'AEO 2012 prdcrv'!E$7:E$2000,0))))</f>
        <v>113.3</v>
      </c>
      <c r="P60" s="13">
        <f t="array" ref="P60">SUM(IF('AEO 2012 prdcrv'!$A$7:$A$2000='Agg prdcrv'!$A60,IF('AEO 2012 prdcrv'!$H$7:$H$2000="2020",IF('AEO 2012 prdcrv'!$I$7:$I$2000="Prices",'AEO 2012 prdcrv'!F$7:F$2000,0))))</f>
        <v>113.5</v>
      </c>
    </row>
    <row r="61" spans="1:16">
      <c r="A61" s="1" t="s">
        <v>17</v>
      </c>
      <c r="B61" s="13">
        <v>2020</v>
      </c>
      <c r="C61" s="13">
        <v>1</v>
      </c>
      <c r="D61" s="13">
        <f t="array" ref="D61">SUM(IF('AEO 2012 prdcrv'!$A$7:$A$2000='Agg prdcrv'!$A61,IF('AEO 2012 prdcrv'!$H$7:$H$2000="2020",IF('AEO 2012 prdcrv'!$I$7:$I$2000="Quantities",'AEO 2012 prdcrv'!B$7:B$2000,0))))</f>
        <v>308.87</v>
      </c>
      <c r="E61" s="13">
        <f t="array" ref="E61">SUM(IF('AEO 2012 prdcrv'!$A$7:$A$2000='Agg prdcrv'!$A61,IF('AEO 2012 prdcrv'!$H$7:$H$2000="2020",IF('AEO 2012 prdcrv'!$I$7:$I$2000="Quantities",'AEO 2012 prdcrv'!C$7:C$2000,0))))</f>
        <v>1.18</v>
      </c>
      <c r="F61" s="13">
        <f t="array" ref="F61">SUM(IF('AEO 2012 prdcrv'!$A$7:$A$2000='Agg prdcrv'!$A61,IF('AEO 2012 prdcrv'!$H$7:$H$2000="2020",IF('AEO 2012 prdcrv'!$I$7:$I$2000="Quantities",'AEO 2012 prdcrv'!D$7:D$2000,0))))</f>
        <v>33.14</v>
      </c>
      <c r="G61" s="13">
        <f t="array" ref="G61">SUM(IF('AEO 2012 prdcrv'!$A$7:$A$2000='Agg prdcrv'!$A61,IF('AEO 2012 prdcrv'!$H$7:$H$2000="2020",IF('AEO 2012 prdcrv'!$I$7:$I$2000="Quantities",'AEO 2012 prdcrv'!E$7:E$2000,0))))</f>
        <v>0</v>
      </c>
      <c r="H61" s="13">
        <f t="array" ref="H61">SUM(IF('AEO 2012 prdcrv'!$A$7:$A$2000='Agg prdcrv'!$A61,IF('AEO 2012 prdcrv'!$H$7:$H$2000="2020",IF('AEO 2012 prdcrv'!$I$7:$I$2000="Quantities",'AEO 2012 prdcrv'!F$7:F$2000,0))))</f>
        <v>22.94</v>
      </c>
      <c r="J61" s="13">
        <v>2020</v>
      </c>
      <c r="K61" s="13">
        <v>1</v>
      </c>
      <c r="L61" s="13">
        <f t="array" ref="L61">SUM(IF('AEO 2012 prdcrv'!$A$7:$A$2000='Agg prdcrv'!$A61,IF('AEO 2012 prdcrv'!$H$7:$H$2000="2020",IF('AEO 2012 prdcrv'!$I$7:$I$2000="Prices",'AEO 2012 prdcrv'!B$7:B$2000,0))))</f>
        <v>46.77</v>
      </c>
      <c r="M61" s="13">
        <f t="array" ref="M61">SUM(IF('AEO 2012 prdcrv'!$A$7:$A$2000='Agg prdcrv'!$A61,IF('AEO 2012 prdcrv'!$H$7:$H$2000="2020",IF('AEO 2012 prdcrv'!$I$7:$I$2000="Prices",'AEO 2012 prdcrv'!C$7:C$2000,0))))</f>
        <v>47.23</v>
      </c>
      <c r="N61" s="13">
        <f t="array" ref="N61">SUM(IF('AEO 2012 prdcrv'!$A$7:$A$2000='Agg prdcrv'!$A61,IF('AEO 2012 prdcrv'!$H$7:$H$2000="2020",IF('AEO 2012 prdcrv'!$I$7:$I$2000="Prices",'AEO 2012 prdcrv'!D$7:D$2000,0))))</f>
        <v>46.65</v>
      </c>
      <c r="O61" s="13">
        <f t="array" ref="O61">SUM(IF('AEO 2012 prdcrv'!$A$7:$A$2000='Agg prdcrv'!$A61,IF('AEO 2012 prdcrv'!$H$7:$H$2000="2020",IF('AEO 2012 prdcrv'!$I$7:$I$2000="Prices",'AEO 2012 prdcrv'!E$7:E$2000,0))))</f>
        <v>46.46</v>
      </c>
      <c r="P61" s="13">
        <f t="array" ref="P61">SUM(IF('AEO 2012 prdcrv'!$A$7:$A$2000='Agg prdcrv'!$A61,IF('AEO 2012 prdcrv'!$H$7:$H$2000="2020",IF('AEO 2012 prdcrv'!$I$7:$I$2000="Prices",'AEO 2012 prdcrv'!F$7:F$2000,0))))</f>
        <v>30.65</v>
      </c>
    </row>
    <row r="62" spans="1:16">
      <c r="A62" s="1" t="s">
        <v>10</v>
      </c>
      <c r="B62" s="13">
        <v>2020</v>
      </c>
      <c r="C62" s="13">
        <v>1</v>
      </c>
      <c r="D62" s="13">
        <f t="array" ref="D62">SUM(IF('AEO 2012 prdcrv'!$A$7:$A$2000='Agg prdcrv'!$A62,IF('AEO 2012 prdcrv'!$H$7:$H$2000="2020",IF('AEO 2012 prdcrv'!$I$7:$I$2000="Quantities",'AEO 2012 prdcrv'!B$7:B$2000,0))))</f>
        <v>201.62</v>
      </c>
      <c r="E62" s="13">
        <f t="array" ref="E62">SUM(IF('AEO 2012 prdcrv'!$A$7:$A$2000='Agg prdcrv'!$A62,IF('AEO 2012 prdcrv'!$H$7:$H$2000="2020",IF('AEO 2012 prdcrv'!$I$7:$I$2000="Quantities",'AEO 2012 prdcrv'!C$7:C$2000,0))))</f>
        <v>1.06</v>
      </c>
      <c r="F62" s="13">
        <f t="array" ref="F62">SUM(IF('AEO 2012 prdcrv'!$A$7:$A$2000='Agg prdcrv'!$A62,IF('AEO 2012 prdcrv'!$H$7:$H$2000="2020",IF('AEO 2012 prdcrv'!$I$7:$I$2000="Quantities",'AEO 2012 prdcrv'!D$7:D$2000,0))))</f>
        <v>10.029999999999999</v>
      </c>
      <c r="G62" s="13">
        <f t="array" ref="G62">SUM(IF('AEO 2012 prdcrv'!$A$7:$A$2000='Agg prdcrv'!$A62,IF('AEO 2012 prdcrv'!$H$7:$H$2000="2020",IF('AEO 2012 prdcrv'!$I$7:$I$2000="Quantities",'AEO 2012 prdcrv'!E$7:E$2000,0))))</f>
        <v>1.06</v>
      </c>
      <c r="H62" s="13">
        <f t="array" ref="H62">SUM(IF('AEO 2012 prdcrv'!$A$7:$A$2000='Agg prdcrv'!$A62,IF('AEO 2012 prdcrv'!$H$7:$H$2000="2020",IF('AEO 2012 prdcrv'!$I$7:$I$2000="Quantities",'AEO 2012 prdcrv'!F$7:F$2000,0))))</f>
        <v>5.98</v>
      </c>
      <c r="J62" s="13">
        <v>2020</v>
      </c>
      <c r="K62" s="13">
        <v>1</v>
      </c>
      <c r="L62" s="13">
        <f t="array" ref="L62">SUM(IF('AEO 2012 prdcrv'!$A$7:$A$2000='Agg prdcrv'!$A62,IF('AEO 2012 prdcrv'!$H$7:$H$2000="2020",IF('AEO 2012 prdcrv'!$I$7:$I$2000="Prices",'AEO 2012 prdcrv'!B$7:B$2000,0))))</f>
        <v>40.57</v>
      </c>
      <c r="M62" s="13">
        <f t="array" ref="M62">SUM(IF('AEO 2012 prdcrv'!$A$7:$A$2000='Agg prdcrv'!$A62,IF('AEO 2012 prdcrv'!$H$7:$H$2000="2020",IF('AEO 2012 prdcrv'!$I$7:$I$2000="Prices",'AEO 2012 prdcrv'!C$7:C$2000,0))))</f>
        <v>39.6</v>
      </c>
      <c r="N62" s="13">
        <f t="array" ref="N62">SUM(IF('AEO 2012 prdcrv'!$A$7:$A$2000='Agg prdcrv'!$A62,IF('AEO 2012 prdcrv'!$H$7:$H$2000="2020",IF('AEO 2012 prdcrv'!$I$7:$I$2000="Prices",'AEO 2012 prdcrv'!D$7:D$2000,0))))</f>
        <v>41.05</v>
      </c>
      <c r="O62" s="13">
        <f t="array" ref="O62">SUM(IF('AEO 2012 prdcrv'!$A$7:$A$2000='Agg prdcrv'!$A62,IF('AEO 2012 prdcrv'!$H$7:$H$2000="2020",IF('AEO 2012 prdcrv'!$I$7:$I$2000="Prices",'AEO 2012 prdcrv'!E$7:E$2000,0))))</f>
        <v>37.42</v>
      </c>
      <c r="P62" s="13">
        <f t="array" ref="P62">SUM(IF('AEO 2012 prdcrv'!$A$7:$A$2000='Agg prdcrv'!$A62,IF('AEO 2012 prdcrv'!$H$7:$H$2000="2020",IF('AEO 2012 prdcrv'!$I$7:$I$2000="Prices",'AEO 2012 prdcrv'!F$7:F$2000,0))))</f>
        <v>40.35</v>
      </c>
    </row>
    <row r="63" spans="1:16">
      <c r="A63" s="1" t="s">
        <v>11</v>
      </c>
      <c r="B63" s="13">
        <v>2020</v>
      </c>
      <c r="C63" s="13">
        <v>1</v>
      </c>
      <c r="D63" s="13">
        <f t="array" ref="D63">SUM(IF('AEO 2012 prdcrv'!$A$7:$A$2000='Agg prdcrv'!$A63,IF('AEO 2012 prdcrv'!$H$7:$H$2000="2020",IF('AEO 2012 prdcrv'!$I$7:$I$2000="Quantities",'AEO 2012 prdcrv'!B$7:B$2000,0))))</f>
        <v>1.1399999999999999</v>
      </c>
      <c r="E63" s="13">
        <f t="array" ref="E63">SUM(IF('AEO 2012 prdcrv'!$A$7:$A$2000='Agg prdcrv'!$A63,IF('AEO 2012 prdcrv'!$H$7:$H$2000="2020",IF('AEO 2012 prdcrv'!$I$7:$I$2000="Quantities",'AEO 2012 prdcrv'!C$7:C$2000,0))))</f>
        <v>0.09</v>
      </c>
      <c r="F63" s="13">
        <f t="array" ref="F63">SUM(IF('AEO 2012 prdcrv'!$A$7:$A$2000='Agg prdcrv'!$A63,IF('AEO 2012 prdcrv'!$H$7:$H$2000="2020",IF('AEO 2012 prdcrv'!$I$7:$I$2000="Quantities",'AEO 2012 prdcrv'!D$7:D$2000,0))))</f>
        <v>0.1</v>
      </c>
      <c r="G63" s="13">
        <f t="array" ref="G63">SUM(IF('AEO 2012 prdcrv'!$A$7:$A$2000='Agg prdcrv'!$A63,IF('AEO 2012 prdcrv'!$H$7:$H$2000="2020",IF('AEO 2012 prdcrv'!$I$7:$I$2000="Quantities",'AEO 2012 prdcrv'!E$7:E$2000,0))))</f>
        <v>0.12</v>
      </c>
      <c r="H63" s="13">
        <f t="array" ref="H63">SUM(IF('AEO 2012 prdcrv'!$A$7:$A$2000='Agg prdcrv'!$A63,IF('AEO 2012 prdcrv'!$H$7:$H$2000="2020",IF('AEO 2012 prdcrv'!$I$7:$I$2000="Quantities",'AEO 2012 prdcrv'!F$7:F$2000,0))))</f>
        <v>0.24</v>
      </c>
      <c r="J63" s="13">
        <v>2020</v>
      </c>
      <c r="K63" s="13">
        <v>1</v>
      </c>
      <c r="L63" s="13">
        <f t="array" ref="L63">SUM(IF('AEO 2012 prdcrv'!$A$7:$A$2000='Agg prdcrv'!$A63,IF('AEO 2012 prdcrv'!$H$7:$H$2000="2020",IF('AEO 2012 prdcrv'!$I$7:$I$2000="Prices",'AEO 2012 prdcrv'!B$7:B$2000,0))))</f>
        <v>113.56</v>
      </c>
      <c r="M63" s="13">
        <f t="array" ref="M63">SUM(IF('AEO 2012 prdcrv'!$A$7:$A$2000='Agg prdcrv'!$A63,IF('AEO 2012 prdcrv'!$H$7:$H$2000="2020",IF('AEO 2012 prdcrv'!$I$7:$I$2000="Prices",'AEO 2012 prdcrv'!C$7:C$2000,0))))</f>
        <v>113.5</v>
      </c>
      <c r="N63" s="13">
        <f t="array" ref="N63">SUM(IF('AEO 2012 prdcrv'!$A$7:$A$2000='Agg prdcrv'!$A63,IF('AEO 2012 prdcrv'!$H$7:$H$2000="2020",IF('AEO 2012 prdcrv'!$I$7:$I$2000="Prices",'AEO 2012 prdcrv'!D$7:D$2000,0))))</f>
        <v>113.56</v>
      </c>
      <c r="O63" s="13">
        <f t="array" ref="O63">SUM(IF('AEO 2012 prdcrv'!$A$7:$A$2000='Agg prdcrv'!$A63,IF('AEO 2012 prdcrv'!$H$7:$H$2000="2020",IF('AEO 2012 prdcrv'!$I$7:$I$2000="Prices",'AEO 2012 prdcrv'!E$7:E$2000,0))))</f>
        <v>113.5</v>
      </c>
      <c r="P63" s="13">
        <f t="array" ref="P63">SUM(IF('AEO 2012 prdcrv'!$A$7:$A$2000='Agg prdcrv'!$A63,IF('AEO 2012 prdcrv'!$H$7:$H$2000="2020",IF('AEO 2012 prdcrv'!$I$7:$I$2000="Prices",'AEO 2012 prdcrv'!F$7:F$2000,0))))</f>
        <v>113.5</v>
      </c>
    </row>
    <row r="64" spans="1:16">
      <c r="A64" s="1" t="s">
        <v>32</v>
      </c>
      <c r="B64" s="13">
        <v>2020</v>
      </c>
      <c r="C64" s="13">
        <v>1</v>
      </c>
      <c r="D64" s="13">
        <f t="array" ref="D64">SUM(IF('AEO 2012 prdcrv'!$A$7:$A$2000='Agg prdcrv'!$A64,IF('AEO 2012 prdcrv'!$H$7:$H$2000="2020",IF('AEO 2012 prdcrv'!$I$7:$I$2000="Quantities",'AEO 2012 prdcrv'!B$7:B$2000,0))))</f>
        <v>194.02</v>
      </c>
      <c r="E64" s="13">
        <f t="array" ref="E64">SUM(IF('AEO 2012 prdcrv'!$A$7:$A$2000='Agg prdcrv'!$A64,IF('AEO 2012 prdcrv'!$H$7:$H$2000="2020",IF('AEO 2012 prdcrv'!$I$7:$I$2000="Quantities",'AEO 2012 prdcrv'!C$7:C$2000,0))))</f>
        <v>2.11</v>
      </c>
      <c r="F64" s="13">
        <f t="array" ref="F64">SUM(IF('AEO 2012 prdcrv'!$A$7:$A$2000='Agg prdcrv'!$A64,IF('AEO 2012 prdcrv'!$H$7:$H$2000="2020",IF('AEO 2012 prdcrv'!$I$7:$I$2000="Quantities",'AEO 2012 prdcrv'!D$7:D$2000,0))))</f>
        <v>40.11</v>
      </c>
      <c r="G64" s="13">
        <f t="array" ref="G64">SUM(IF('AEO 2012 prdcrv'!$A$7:$A$2000='Agg prdcrv'!$A64,IF('AEO 2012 prdcrv'!$H$7:$H$2000="2020",IF('AEO 2012 prdcrv'!$I$7:$I$2000="Quantities",'AEO 2012 prdcrv'!E$7:E$2000,0))))</f>
        <v>0</v>
      </c>
      <c r="H64" s="13">
        <f t="array" ref="H64">SUM(IF('AEO 2012 prdcrv'!$A$7:$A$2000='Agg prdcrv'!$A64,IF('AEO 2012 prdcrv'!$H$7:$H$2000="2020",IF('AEO 2012 prdcrv'!$I$7:$I$2000="Quantities",'AEO 2012 prdcrv'!F$7:F$2000,0))))</f>
        <v>10.56</v>
      </c>
      <c r="J64" s="13">
        <v>2020</v>
      </c>
      <c r="K64" s="13">
        <v>1</v>
      </c>
      <c r="L64" s="13">
        <f t="array" ref="L64">SUM(IF('AEO 2012 prdcrv'!$A$7:$A$2000='Agg prdcrv'!$A64,IF('AEO 2012 prdcrv'!$H$7:$H$2000="2020",IF('AEO 2012 prdcrv'!$I$7:$I$2000="Prices",'AEO 2012 prdcrv'!B$7:B$2000,0))))</f>
        <v>32.119999999999997</v>
      </c>
      <c r="M64" s="13">
        <f t="array" ref="M64">SUM(IF('AEO 2012 prdcrv'!$A$7:$A$2000='Agg prdcrv'!$A64,IF('AEO 2012 prdcrv'!$H$7:$H$2000="2020",IF('AEO 2012 prdcrv'!$I$7:$I$2000="Prices",'AEO 2012 prdcrv'!C$7:C$2000,0))))</f>
        <v>32.119999999999997</v>
      </c>
      <c r="N64" s="13">
        <f t="array" ref="N64">SUM(IF('AEO 2012 prdcrv'!$A$7:$A$2000='Agg prdcrv'!$A64,IF('AEO 2012 prdcrv'!$H$7:$H$2000="2020",IF('AEO 2012 prdcrv'!$I$7:$I$2000="Prices",'AEO 2012 prdcrv'!D$7:D$2000,0))))</f>
        <v>32.6</v>
      </c>
      <c r="O64" s="13">
        <f t="array" ref="O64">SUM(IF('AEO 2012 prdcrv'!$A$7:$A$2000='Agg prdcrv'!$A64,IF('AEO 2012 prdcrv'!$H$7:$H$2000="2020",IF('AEO 2012 prdcrv'!$I$7:$I$2000="Prices",'AEO 2012 prdcrv'!E$7:E$2000,0))))</f>
        <v>31.37</v>
      </c>
      <c r="P64" s="13">
        <f t="array" ref="P64">SUM(IF('AEO 2012 prdcrv'!$A$7:$A$2000='Agg prdcrv'!$A64,IF('AEO 2012 prdcrv'!$H$7:$H$2000="2020",IF('AEO 2012 prdcrv'!$I$7:$I$2000="Prices",'AEO 2012 prdcrv'!F$7:F$2000,0))))</f>
        <v>30.83</v>
      </c>
    </row>
    <row r="65" spans="1:16">
      <c r="A65" s="1" t="s">
        <v>31</v>
      </c>
      <c r="B65" s="13">
        <v>2020</v>
      </c>
      <c r="C65" s="13">
        <v>1</v>
      </c>
      <c r="D65" s="13">
        <f t="array" ref="D65">SUM(IF('AEO 2012 prdcrv'!$A$7:$A$2000='Agg prdcrv'!$A65,IF('AEO 2012 prdcrv'!$H$7:$H$2000="2020",IF('AEO 2012 prdcrv'!$I$7:$I$2000="Quantities",'AEO 2012 prdcrv'!B$7:B$2000,0))))</f>
        <v>122.81</v>
      </c>
      <c r="E65" s="13">
        <f t="array" ref="E65">SUM(IF('AEO 2012 prdcrv'!$A$7:$A$2000='Agg prdcrv'!$A65,IF('AEO 2012 prdcrv'!$H$7:$H$2000="2020",IF('AEO 2012 prdcrv'!$I$7:$I$2000="Quantities",'AEO 2012 prdcrv'!C$7:C$2000,0))))</f>
        <v>1.66</v>
      </c>
      <c r="F65" s="13">
        <f t="array" ref="F65">SUM(IF('AEO 2012 prdcrv'!$A$7:$A$2000='Agg prdcrv'!$A65,IF('AEO 2012 prdcrv'!$H$7:$H$2000="2020",IF('AEO 2012 prdcrv'!$I$7:$I$2000="Quantities",'AEO 2012 prdcrv'!D$7:D$2000,0))))</f>
        <v>21.85</v>
      </c>
      <c r="G65" s="13">
        <f t="array" ref="G65">SUM(IF('AEO 2012 prdcrv'!$A$7:$A$2000='Agg prdcrv'!$A65,IF('AEO 2012 prdcrv'!$H$7:$H$2000="2020",IF('AEO 2012 prdcrv'!$I$7:$I$2000="Quantities",'AEO 2012 prdcrv'!E$7:E$2000,0))))</f>
        <v>0</v>
      </c>
      <c r="H65" s="13">
        <f t="array" ref="H65">SUM(IF('AEO 2012 prdcrv'!$A$7:$A$2000='Agg prdcrv'!$A65,IF('AEO 2012 prdcrv'!$H$7:$H$2000="2020",IF('AEO 2012 prdcrv'!$I$7:$I$2000="Quantities",'AEO 2012 prdcrv'!F$7:F$2000,0))))</f>
        <v>25.45</v>
      </c>
      <c r="J65" s="13">
        <v>2020</v>
      </c>
      <c r="K65" s="13">
        <v>1</v>
      </c>
      <c r="L65" s="13">
        <f t="array" ref="L65">SUM(IF('AEO 2012 prdcrv'!$A$7:$A$2000='Agg prdcrv'!$A65,IF('AEO 2012 prdcrv'!$H$7:$H$2000="2020",IF('AEO 2012 prdcrv'!$I$7:$I$2000="Prices",'AEO 2012 prdcrv'!B$7:B$2000,0))))</f>
        <v>31.8</v>
      </c>
      <c r="M65" s="13">
        <f t="array" ref="M65">SUM(IF('AEO 2012 prdcrv'!$A$7:$A$2000='Agg prdcrv'!$A65,IF('AEO 2012 prdcrv'!$H$7:$H$2000="2020",IF('AEO 2012 prdcrv'!$I$7:$I$2000="Prices",'AEO 2012 prdcrv'!C$7:C$2000,0))))</f>
        <v>31.8</v>
      </c>
      <c r="N65" s="13">
        <f t="array" ref="N65">SUM(IF('AEO 2012 prdcrv'!$A$7:$A$2000='Agg prdcrv'!$A65,IF('AEO 2012 prdcrv'!$H$7:$H$2000="2020",IF('AEO 2012 prdcrv'!$I$7:$I$2000="Prices",'AEO 2012 prdcrv'!D$7:D$2000,0))))</f>
        <v>32.28</v>
      </c>
      <c r="O65" s="13">
        <f t="array" ref="O65">SUM(IF('AEO 2012 prdcrv'!$A$7:$A$2000='Agg prdcrv'!$A65,IF('AEO 2012 prdcrv'!$H$7:$H$2000="2020",IF('AEO 2012 prdcrv'!$I$7:$I$2000="Prices",'AEO 2012 prdcrv'!E$7:E$2000,0))))</f>
        <v>31.39</v>
      </c>
      <c r="P65" s="13">
        <f t="array" ref="P65">SUM(IF('AEO 2012 prdcrv'!$A$7:$A$2000='Agg prdcrv'!$A65,IF('AEO 2012 prdcrv'!$H$7:$H$2000="2020",IF('AEO 2012 prdcrv'!$I$7:$I$2000="Prices",'AEO 2012 prdcrv'!F$7:F$2000,0))))</f>
        <v>30.96</v>
      </c>
    </row>
    <row r="66" spans="1:16">
      <c r="A66" s="1" t="s">
        <v>266</v>
      </c>
      <c r="B66" s="13">
        <v>2020</v>
      </c>
      <c r="C66" s="13">
        <v>1</v>
      </c>
      <c r="D66" s="13">
        <f t="array" ref="D66">SUM(IF('AEO 2012 prdcrv'!$A$7:$A$2000='Agg prdcrv'!$A66,IF('AEO 2012 prdcrv'!$H$7:$H$2000="2020",IF('AEO 2012 prdcrv'!$I$7:$I$2000="Quantities",'AEO 2012 prdcrv'!B$7:B$2000,0))))</f>
        <v>97.28</v>
      </c>
      <c r="E66" s="13">
        <f t="array" ref="E66">SUM(IF('AEO 2012 prdcrv'!$A$7:$A$2000='Agg prdcrv'!$A66,IF('AEO 2012 prdcrv'!$H$7:$H$2000="2020",IF('AEO 2012 prdcrv'!$I$7:$I$2000="Quantities",'AEO 2012 prdcrv'!C$7:C$2000,0))))</f>
        <v>0</v>
      </c>
      <c r="F66" s="13">
        <f t="array" ref="F66">SUM(IF('AEO 2012 prdcrv'!$A$7:$A$2000='Agg prdcrv'!$A66,IF('AEO 2012 prdcrv'!$H$7:$H$2000="2020",IF('AEO 2012 prdcrv'!$I$7:$I$2000="Quantities",'AEO 2012 prdcrv'!D$7:D$2000,0))))</f>
        <v>6.15</v>
      </c>
      <c r="G66" s="13">
        <f t="array" ref="G66">SUM(IF('AEO 2012 prdcrv'!$A$7:$A$2000='Agg prdcrv'!$A66,IF('AEO 2012 prdcrv'!$H$7:$H$2000="2020",IF('AEO 2012 prdcrv'!$I$7:$I$2000="Quantities",'AEO 2012 prdcrv'!E$7:E$2000,0))))</f>
        <v>0</v>
      </c>
      <c r="H66" s="13">
        <f t="array" ref="H66">SUM(IF('AEO 2012 prdcrv'!$A$7:$A$2000='Agg prdcrv'!$A66,IF('AEO 2012 prdcrv'!$H$7:$H$2000="2020",IF('AEO 2012 prdcrv'!$I$7:$I$2000="Quantities",'AEO 2012 prdcrv'!F$7:F$2000,0))))</f>
        <v>55.32</v>
      </c>
      <c r="J66" s="13">
        <v>2020</v>
      </c>
      <c r="K66" s="13">
        <v>1</v>
      </c>
      <c r="L66" s="13">
        <f t="array" ref="L66">SUM(IF('AEO 2012 prdcrv'!$A$7:$A$2000='Agg prdcrv'!$A66,IF('AEO 2012 prdcrv'!$H$7:$H$2000="2020",IF('AEO 2012 prdcrv'!$I$7:$I$2000="Prices",'AEO 2012 prdcrv'!B$7:B$2000,0))))</f>
        <v>38.340000000000003</v>
      </c>
      <c r="M66" s="13">
        <f t="array" ref="M66">SUM(IF('AEO 2012 prdcrv'!$A$7:$A$2000='Agg prdcrv'!$A66,IF('AEO 2012 prdcrv'!$H$7:$H$2000="2020",IF('AEO 2012 prdcrv'!$I$7:$I$2000="Prices",'AEO 2012 prdcrv'!C$7:C$2000,0))))</f>
        <v>37.68</v>
      </c>
      <c r="N66" s="13">
        <f t="array" ref="N66">SUM(IF('AEO 2012 prdcrv'!$A$7:$A$2000='Agg prdcrv'!$A66,IF('AEO 2012 prdcrv'!$H$7:$H$2000="2020",IF('AEO 2012 prdcrv'!$I$7:$I$2000="Prices",'AEO 2012 prdcrv'!D$7:D$2000,0))))</f>
        <v>37.28</v>
      </c>
      <c r="O66" s="13">
        <f t="array" ref="O66">SUM(IF('AEO 2012 prdcrv'!$A$7:$A$2000='Agg prdcrv'!$A66,IF('AEO 2012 prdcrv'!$H$7:$H$2000="2020",IF('AEO 2012 prdcrv'!$I$7:$I$2000="Prices",'AEO 2012 prdcrv'!E$7:E$2000,0))))</f>
        <v>38.42</v>
      </c>
      <c r="P66" s="13">
        <f t="array" ref="P66">SUM(IF('AEO 2012 prdcrv'!$A$7:$A$2000='Agg prdcrv'!$A66,IF('AEO 2012 prdcrv'!$H$7:$H$2000="2020",IF('AEO 2012 prdcrv'!$I$7:$I$2000="Prices",'AEO 2012 prdcrv'!F$7:F$2000,0))))</f>
        <v>38.729999999999997</v>
      </c>
    </row>
    <row r="67" spans="1:16">
      <c r="A67" s="1" t="s">
        <v>269</v>
      </c>
      <c r="B67" s="13">
        <v>2020</v>
      </c>
      <c r="C67" s="13">
        <v>1</v>
      </c>
      <c r="D67" s="13">
        <f t="array" ref="D67">SUM(IF('AEO 2012 prdcrv'!$A$7:$A$2000='Agg prdcrv'!$A67,IF('AEO 2012 prdcrv'!$H$7:$H$2000="2020",IF('AEO 2012 prdcrv'!$I$7:$I$2000="Quantities",'AEO 2012 prdcrv'!B$7:B$2000,0))))</f>
        <v>92.26</v>
      </c>
      <c r="E67" s="13">
        <f t="array" ref="E67">SUM(IF('AEO 2012 prdcrv'!$A$7:$A$2000='Agg prdcrv'!$A67,IF('AEO 2012 prdcrv'!$H$7:$H$2000="2020",IF('AEO 2012 prdcrv'!$I$7:$I$2000="Quantities",'AEO 2012 prdcrv'!C$7:C$2000,0))))</f>
        <v>105.7</v>
      </c>
      <c r="F67" s="13">
        <f t="array" ref="F67">SUM(IF('AEO 2012 prdcrv'!$A$7:$A$2000='Agg prdcrv'!$A67,IF('AEO 2012 prdcrv'!$H$7:$H$2000="2020",IF('AEO 2012 prdcrv'!$I$7:$I$2000="Quantities",'AEO 2012 prdcrv'!D$7:D$2000,0))))</f>
        <v>186.28</v>
      </c>
      <c r="G67" s="13">
        <f t="array" ref="G67">SUM(IF('AEO 2012 prdcrv'!$A$7:$A$2000='Agg prdcrv'!$A67,IF('AEO 2012 prdcrv'!$H$7:$H$2000="2020",IF('AEO 2012 prdcrv'!$I$7:$I$2000="Quantities",'AEO 2012 prdcrv'!E$7:E$2000,0))))</f>
        <v>11.19</v>
      </c>
      <c r="H67" s="13">
        <f t="array" ref="H67">SUM(IF('AEO 2012 prdcrv'!$A$7:$A$2000='Agg prdcrv'!$A67,IF('AEO 2012 prdcrv'!$H$7:$H$2000="2020",IF('AEO 2012 prdcrv'!$I$7:$I$2000="Quantities",'AEO 2012 prdcrv'!F$7:F$2000,0))))</f>
        <v>2.11</v>
      </c>
      <c r="J67" s="13">
        <v>2020</v>
      </c>
      <c r="K67" s="13">
        <v>1</v>
      </c>
      <c r="L67" s="13">
        <f t="array" ref="L67">SUM(IF('AEO 2012 prdcrv'!$A$7:$A$2000='Agg prdcrv'!$A67,IF('AEO 2012 prdcrv'!$H$7:$H$2000="2020",IF('AEO 2012 prdcrv'!$I$7:$I$2000="Prices",'AEO 2012 prdcrv'!B$7:B$2000,0))))</f>
        <v>28.5</v>
      </c>
      <c r="M67" s="13">
        <f t="array" ref="M67">SUM(IF('AEO 2012 prdcrv'!$A$7:$A$2000='Agg prdcrv'!$A67,IF('AEO 2012 prdcrv'!$H$7:$H$2000="2020",IF('AEO 2012 prdcrv'!$I$7:$I$2000="Prices",'AEO 2012 prdcrv'!C$7:C$2000,0))))</f>
        <v>28.5</v>
      </c>
      <c r="N67" s="13">
        <f t="array" ref="N67">SUM(IF('AEO 2012 prdcrv'!$A$7:$A$2000='Agg prdcrv'!$A67,IF('AEO 2012 prdcrv'!$H$7:$H$2000="2020",IF('AEO 2012 prdcrv'!$I$7:$I$2000="Prices",'AEO 2012 prdcrv'!D$7:D$2000,0))))</f>
        <v>28.5</v>
      </c>
      <c r="O67" s="13">
        <f t="array" ref="O67">SUM(IF('AEO 2012 prdcrv'!$A$7:$A$2000='Agg prdcrv'!$A67,IF('AEO 2012 prdcrv'!$H$7:$H$2000="2020",IF('AEO 2012 prdcrv'!$I$7:$I$2000="Prices",'AEO 2012 prdcrv'!E$7:E$2000,0))))</f>
        <v>28.5</v>
      </c>
      <c r="P67" s="13">
        <f t="array" ref="P67">SUM(IF('AEO 2012 prdcrv'!$A$7:$A$2000='Agg prdcrv'!$A67,IF('AEO 2012 prdcrv'!$H$7:$H$2000="2020",IF('AEO 2012 prdcrv'!$I$7:$I$2000="Prices",'AEO 2012 prdcrv'!F$7:F$2000,0))))</f>
        <v>28.5</v>
      </c>
    </row>
    <row r="68" spans="1:16">
      <c r="A68" s="1" t="s">
        <v>30</v>
      </c>
      <c r="B68" s="13">
        <v>2020</v>
      </c>
      <c r="C68" s="13">
        <v>1</v>
      </c>
      <c r="D68" s="13">
        <f t="array" ref="D68">SUM(IF('AEO 2012 prdcrv'!$A$7:$A$2000='Agg prdcrv'!$A68,IF('AEO 2012 prdcrv'!$H$7:$H$2000="2020",IF('AEO 2012 prdcrv'!$I$7:$I$2000="Quantities",'AEO 2012 prdcrv'!B$7:B$2000,0))))</f>
        <v>4.22</v>
      </c>
      <c r="E68" s="13">
        <f t="array" ref="E68">SUM(IF('AEO 2012 prdcrv'!$A$7:$A$2000='Agg prdcrv'!$A68,IF('AEO 2012 prdcrv'!$H$7:$H$2000="2020",IF('AEO 2012 prdcrv'!$I$7:$I$2000="Quantities",'AEO 2012 prdcrv'!C$7:C$2000,0))))</f>
        <v>4.8600000000000003</v>
      </c>
      <c r="F68" s="13">
        <f t="array" ref="F68">SUM(IF('AEO 2012 prdcrv'!$A$7:$A$2000='Agg prdcrv'!$A68,IF('AEO 2012 prdcrv'!$H$7:$H$2000="2020",IF('AEO 2012 prdcrv'!$I$7:$I$2000="Quantities",'AEO 2012 prdcrv'!D$7:D$2000,0))))</f>
        <v>310.47000000000003</v>
      </c>
      <c r="G68" s="13">
        <f t="array" ref="G68">SUM(IF('AEO 2012 prdcrv'!$A$7:$A$2000='Agg prdcrv'!$A68,IF('AEO 2012 prdcrv'!$H$7:$H$2000="2020",IF('AEO 2012 prdcrv'!$I$7:$I$2000="Quantities",'AEO 2012 prdcrv'!E$7:E$2000,0))))</f>
        <v>0</v>
      </c>
      <c r="H68" s="13">
        <f t="array" ref="H68">SUM(IF('AEO 2012 prdcrv'!$A$7:$A$2000='Agg prdcrv'!$A68,IF('AEO 2012 prdcrv'!$H$7:$H$2000="2020",IF('AEO 2012 prdcrv'!$I$7:$I$2000="Quantities",'AEO 2012 prdcrv'!F$7:F$2000,0))))</f>
        <v>3.52</v>
      </c>
      <c r="J68" s="13">
        <v>2020</v>
      </c>
      <c r="K68" s="13">
        <v>1</v>
      </c>
      <c r="L68" s="13">
        <f t="array" ref="L68">SUM(IF('AEO 2012 prdcrv'!$A$7:$A$2000='Agg prdcrv'!$A68,IF('AEO 2012 prdcrv'!$H$7:$H$2000="2020",IF('AEO 2012 prdcrv'!$I$7:$I$2000="Prices",'AEO 2012 prdcrv'!B$7:B$2000,0))))</f>
        <v>22.5</v>
      </c>
      <c r="M68" s="13">
        <f t="array" ref="M68">SUM(IF('AEO 2012 prdcrv'!$A$7:$A$2000='Agg prdcrv'!$A68,IF('AEO 2012 prdcrv'!$H$7:$H$2000="2020",IF('AEO 2012 prdcrv'!$I$7:$I$2000="Prices",'AEO 2012 prdcrv'!C$7:C$2000,0))))</f>
        <v>24.85</v>
      </c>
      <c r="N68" s="13">
        <f t="array" ref="N68">SUM(IF('AEO 2012 prdcrv'!$A$7:$A$2000='Agg prdcrv'!$A68,IF('AEO 2012 prdcrv'!$H$7:$H$2000="2020",IF('AEO 2012 prdcrv'!$I$7:$I$2000="Prices",'AEO 2012 prdcrv'!D$7:D$2000,0))))</f>
        <v>24.91</v>
      </c>
      <c r="O68" s="13">
        <f t="array" ref="O68">SUM(IF('AEO 2012 prdcrv'!$A$7:$A$2000='Agg prdcrv'!$A68,IF('AEO 2012 prdcrv'!$H$7:$H$2000="2020",IF('AEO 2012 prdcrv'!$I$7:$I$2000="Prices",'AEO 2012 prdcrv'!E$7:E$2000,0))))</f>
        <v>24.09</v>
      </c>
      <c r="P68" s="13">
        <f t="array" ref="P68">SUM(IF('AEO 2012 prdcrv'!$A$7:$A$2000='Agg prdcrv'!$A68,IF('AEO 2012 prdcrv'!$H$7:$H$2000="2020",IF('AEO 2012 prdcrv'!$I$7:$I$2000="Prices",'AEO 2012 prdcrv'!F$7:F$2000,0))))</f>
        <v>11.24</v>
      </c>
    </row>
    <row r="69" spans="1:16">
      <c r="A69" s="1" t="s">
        <v>26</v>
      </c>
      <c r="B69" s="13">
        <v>2020</v>
      </c>
      <c r="C69" s="13">
        <v>1</v>
      </c>
      <c r="D69" s="13">
        <f t="array" ref="D69">SUM(IF('AEO 2012 prdcrv'!$A$7:$A$2000='Agg prdcrv'!$A69,IF('AEO 2012 prdcrv'!$H$7:$H$2000="2020",IF('AEO 2012 prdcrv'!$I$7:$I$2000="Quantities",'AEO 2012 prdcrv'!B$7:B$2000,0))))</f>
        <v>45.91</v>
      </c>
      <c r="E69" s="13">
        <f t="array" ref="E69">SUM(IF('AEO 2012 prdcrv'!$A$7:$A$2000='Agg prdcrv'!$A69,IF('AEO 2012 prdcrv'!$H$7:$H$2000="2020",IF('AEO 2012 prdcrv'!$I$7:$I$2000="Quantities",'AEO 2012 prdcrv'!C$7:C$2000,0))))</f>
        <v>7.09</v>
      </c>
      <c r="F69" s="13">
        <f t="array" ref="F69">SUM(IF('AEO 2012 prdcrv'!$A$7:$A$2000='Agg prdcrv'!$A69,IF('AEO 2012 prdcrv'!$H$7:$H$2000="2020",IF('AEO 2012 prdcrv'!$I$7:$I$2000="Quantities",'AEO 2012 prdcrv'!D$7:D$2000,0))))</f>
        <v>22.96</v>
      </c>
      <c r="G69" s="13">
        <f t="array" ref="G69">SUM(IF('AEO 2012 prdcrv'!$A$7:$A$2000='Agg prdcrv'!$A69,IF('AEO 2012 prdcrv'!$H$7:$H$2000="2020",IF('AEO 2012 prdcrv'!$I$7:$I$2000="Quantities",'AEO 2012 prdcrv'!E$7:E$2000,0))))</f>
        <v>1.01</v>
      </c>
      <c r="H69" s="13">
        <f t="array" ref="H69">SUM(IF('AEO 2012 prdcrv'!$A$7:$A$2000='Agg prdcrv'!$A69,IF('AEO 2012 prdcrv'!$H$7:$H$2000="2020",IF('AEO 2012 prdcrv'!$I$7:$I$2000="Quantities",'AEO 2012 prdcrv'!F$7:F$2000,0))))</f>
        <v>31.94</v>
      </c>
      <c r="J69" s="13">
        <v>2020</v>
      </c>
      <c r="K69" s="13">
        <v>1</v>
      </c>
      <c r="L69" s="13">
        <f t="array" ref="L69">SUM(IF('AEO 2012 prdcrv'!$A$7:$A$2000='Agg prdcrv'!$A69,IF('AEO 2012 prdcrv'!$H$7:$H$2000="2020",IF('AEO 2012 prdcrv'!$I$7:$I$2000="Prices",'AEO 2012 prdcrv'!B$7:B$2000,0))))</f>
        <v>41.16</v>
      </c>
      <c r="M69" s="13">
        <f t="array" ref="M69">SUM(IF('AEO 2012 prdcrv'!$A$7:$A$2000='Agg prdcrv'!$A69,IF('AEO 2012 prdcrv'!$H$7:$H$2000="2020",IF('AEO 2012 prdcrv'!$I$7:$I$2000="Prices",'AEO 2012 prdcrv'!C$7:C$2000,0))))</f>
        <v>41.16</v>
      </c>
      <c r="N69" s="13">
        <f t="array" ref="N69">SUM(IF('AEO 2012 prdcrv'!$A$7:$A$2000='Agg prdcrv'!$A69,IF('AEO 2012 prdcrv'!$H$7:$H$2000="2020",IF('AEO 2012 prdcrv'!$I$7:$I$2000="Prices",'AEO 2012 prdcrv'!D$7:D$2000,0))))</f>
        <v>41.76</v>
      </c>
      <c r="O69" s="13">
        <f t="array" ref="O69">SUM(IF('AEO 2012 prdcrv'!$A$7:$A$2000='Agg prdcrv'!$A69,IF('AEO 2012 prdcrv'!$H$7:$H$2000="2020",IF('AEO 2012 prdcrv'!$I$7:$I$2000="Prices",'AEO 2012 prdcrv'!E$7:E$2000,0))))</f>
        <v>41.27</v>
      </c>
      <c r="P69" s="13">
        <f t="array" ref="P69">SUM(IF('AEO 2012 prdcrv'!$A$7:$A$2000='Agg prdcrv'!$A69,IF('AEO 2012 prdcrv'!$H$7:$H$2000="2020",IF('AEO 2012 prdcrv'!$I$7:$I$2000="Prices",'AEO 2012 prdcrv'!F$7:F$2000,0))))</f>
        <v>41.27</v>
      </c>
    </row>
    <row r="70" spans="1:16">
      <c r="A70" s="1" t="s">
        <v>271</v>
      </c>
      <c r="B70" s="13">
        <v>2020</v>
      </c>
      <c r="C70" s="13">
        <v>1</v>
      </c>
      <c r="D70" s="13">
        <f t="array" ref="D70">SUM(IF('AEO 2012 prdcrv'!$A$7:$A$2000='Agg prdcrv'!$A70,IF('AEO 2012 prdcrv'!$H$7:$H$2000="2020",IF('AEO 2012 prdcrv'!$I$7:$I$2000="Quantities",'AEO 2012 prdcrv'!B$7:B$2000,0))))</f>
        <v>0.75</v>
      </c>
      <c r="E70" s="13">
        <f t="array" ref="E70">SUM(IF('AEO 2012 prdcrv'!$A$7:$A$2000='Agg prdcrv'!$A70,IF('AEO 2012 prdcrv'!$H$7:$H$2000="2020",IF('AEO 2012 prdcrv'!$I$7:$I$2000="Quantities",'AEO 2012 prdcrv'!C$7:C$2000,0))))</f>
        <v>0</v>
      </c>
      <c r="F70" s="13">
        <f t="array" ref="F70">SUM(IF('AEO 2012 prdcrv'!$A$7:$A$2000='Agg prdcrv'!$A70,IF('AEO 2012 prdcrv'!$H$7:$H$2000="2020",IF('AEO 2012 prdcrv'!$I$7:$I$2000="Quantities",'AEO 2012 prdcrv'!D$7:D$2000,0))))</f>
        <v>0</v>
      </c>
      <c r="G70" s="13">
        <f t="array" ref="G70">SUM(IF('AEO 2012 prdcrv'!$A$7:$A$2000='Agg prdcrv'!$A70,IF('AEO 2012 prdcrv'!$H$7:$H$2000="2020",IF('AEO 2012 prdcrv'!$I$7:$I$2000="Quantities",'AEO 2012 prdcrv'!E$7:E$2000,0))))</f>
        <v>0</v>
      </c>
      <c r="H70" s="13">
        <f t="array" ref="H70">SUM(IF('AEO 2012 prdcrv'!$A$7:$A$2000='Agg prdcrv'!$A70,IF('AEO 2012 prdcrv'!$H$7:$H$2000="2020",IF('AEO 2012 prdcrv'!$I$7:$I$2000="Quantities",'AEO 2012 prdcrv'!F$7:F$2000,0))))</f>
        <v>1.04</v>
      </c>
      <c r="J70" s="13">
        <v>2020</v>
      </c>
      <c r="K70" s="13">
        <v>1</v>
      </c>
      <c r="L70" s="13">
        <f t="array" ref="L70">SUM(IF('AEO 2012 prdcrv'!$A$7:$A$2000='Agg prdcrv'!$A70,IF('AEO 2012 prdcrv'!$H$7:$H$2000="2020",IF('AEO 2012 prdcrv'!$I$7:$I$2000="Prices",'AEO 2012 prdcrv'!B$7:B$2000,0))))</f>
        <v>47.76</v>
      </c>
      <c r="M70" s="13">
        <f t="array" ref="M70">SUM(IF('AEO 2012 prdcrv'!$A$7:$A$2000='Agg prdcrv'!$A70,IF('AEO 2012 prdcrv'!$H$7:$H$2000="2020",IF('AEO 2012 prdcrv'!$I$7:$I$2000="Prices",'AEO 2012 prdcrv'!C$7:C$2000,0))))</f>
        <v>46.94</v>
      </c>
      <c r="N70" s="13">
        <f t="array" ref="N70">SUM(IF('AEO 2012 prdcrv'!$A$7:$A$2000='Agg prdcrv'!$A70,IF('AEO 2012 prdcrv'!$H$7:$H$2000="2020",IF('AEO 2012 prdcrv'!$I$7:$I$2000="Prices",'AEO 2012 prdcrv'!D$7:D$2000,0))))</f>
        <v>46.48</v>
      </c>
      <c r="O70" s="13">
        <f t="array" ref="O70">SUM(IF('AEO 2012 prdcrv'!$A$7:$A$2000='Agg prdcrv'!$A70,IF('AEO 2012 prdcrv'!$H$7:$H$2000="2020",IF('AEO 2012 prdcrv'!$I$7:$I$2000="Prices",'AEO 2012 prdcrv'!E$7:E$2000,0))))</f>
        <v>48.44</v>
      </c>
      <c r="P70" s="13">
        <f t="array" ref="P70">SUM(IF('AEO 2012 prdcrv'!$A$7:$A$2000='Agg prdcrv'!$A70,IF('AEO 2012 prdcrv'!$H$7:$H$2000="2020",IF('AEO 2012 prdcrv'!$I$7:$I$2000="Prices",'AEO 2012 prdcrv'!F$7:F$2000,0))))</f>
        <v>46.06</v>
      </c>
    </row>
    <row r="71" spans="1:16">
      <c r="A71" s="1" t="s">
        <v>143</v>
      </c>
      <c r="B71" s="13">
        <v>2020</v>
      </c>
      <c r="C71" s="13">
        <v>1</v>
      </c>
      <c r="D71" s="13">
        <f t="array" ref="D71">SUM(IF('AEO 2012 prdcrv'!$A$7:$A$2000='Agg prdcrv'!$A71,IF('AEO 2012 prdcrv'!$H$7:$H$2000="2020",IF('AEO 2012 prdcrv'!$I$7:$I$2000="Quantities",'AEO 2012 prdcrv'!B$7:B$2000,0))))</f>
        <v>332.84</v>
      </c>
      <c r="E71" s="13">
        <f t="array" ref="E71">SUM(IF('AEO 2012 prdcrv'!$A$7:$A$2000='Agg prdcrv'!$A71,IF('AEO 2012 prdcrv'!$H$7:$H$2000="2020",IF('AEO 2012 prdcrv'!$I$7:$I$2000="Quantities",'AEO 2012 prdcrv'!C$7:C$2000,0))))</f>
        <v>1.07</v>
      </c>
      <c r="F71" s="13">
        <f t="array" ref="F71">SUM(IF('AEO 2012 prdcrv'!$A$7:$A$2000='Agg prdcrv'!$A71,IF('AEO 2012 prdcrv'!$H$7:$H$2000="2020",IF('AEO 2012 prdcrv'!$I$7:$I$2000="Quantities",'AEO 2012 prdcrv'!D$7:D$2000,0))))</f>
        <v>6.39</v>
      </c>
      <c r="G71" s="13">
        <f t="array" ref="G71">SUM(IF('AEO 2012 prdcrv'!$A$7:$A$2000='Agg prdcrv'!$A71,IF('AEO 2012 prdcrv'!$H$7:$H$2000="2020",IF('AEO 2012 prdcrv'!$I$7:$I$2000="Quantities",'AEO 2012 prdcrv'!E$7:E$2000,0))))</f>
        <v>1.07</v>
      </c>
      <c r="H71" s="13">
        <f t="array" ref="H71">SUM(IF('AEO 2012 prdcrv'!$A$7:$A$2000='Agg prdcrv'!$A71,IF('AEO 2012 prdcrv'!$H$7:$H$2000="2020",IF('AEO 2012 prdcrv'!$I$7:$I$2000="Quantities",'AEO 2012 prdcrv'!F$7:F$2000,0))))</f>
        <v>28.55</v>
      </c>
      <c r="J71" s="13">
        <v>2020</v>
      </c>
      <c r="K71" s="13">
        <v>1</v>
      </c>
      <c r="L71" s="13">
        <f t="array" ref="L71">SUM(IF('AEO 2012 prdcrv'!$A$7:$A$2000='Agg prdcrv'!$A71,IF('AEO 2012 prdcrv'!$H$7:$H$2000="2020",IF('AEO 2012 prdcrv'!$I$7:$I$2000="Prices",'AEO 2012 prdcrv'!B$7:B$2000,0))))</f>
        <v>59.99</v>
      </c>
      <c r="M71" s="13">
        <f t="array" ref="M71">SUM(IF('AEO 2012 prdcrv'!$A$7:$A$2000='Agg prdcrv'!$A71,IF('AEO 2012 prdcrv'!$H$7:$H$2000="2020",IF('AEO 2012 prdcrv'!$I$7:$I$2000="Prices",'AEO 2012 prdcrv'!C$7:C$2000,0))))</f>
        <v>57.94</v>
      </c>
      <c r="N71" s="13">
        <f t="array" ref="N71">SUM(IF('AEO 2012 prdcrv'!$A$7:$A$2000='Agg prdcrv'!$A71,IF('AEO 2012 prdcrv'!$H$7:$H$2000="2020",IF('AEO 2012 prdcrv'!$I$7:$I$2000="Prices",'AEO 2012 prdcrv'!D$7:D$2000,0))))</f>
        <v>57.53</v>
      </c>
      <c r="O71" s="13">
        <f t="array" ref="O71">SUM(IF('AEO 2012 prdcrv'!$A$7:$A$2000='Agg prdcrv'!$A71,IF('AEO 2012 prdcrv'!$H$7:$H$2000="2020",IF('AEO 2012 prdcrv'!$I$7:$I$2000="Prices",'AEO 2012 prdcrv'!E$7:E$2000,0))))</f>
        <v>60.17</v>
      </c>
      <c r="P71" s="13">
        <f t="array" ref="P71">SUM(IF('AEO 2012 prdcrv'!$A$7:$A$2000='Agg prdcrv'!$A71,IF('AEO 2012 prdcrv'!$H$7:$H$2000="2020",IF('AEO 2012 prdcrv'!$I$7:$I$2000="Prices",'AEO 2012 prdcrv'!F$7:F$2000,0))))</f>
        <v>57.56</v>
      </c>
    </row>
    <row r="72" spans="1:16">
      <c r="A72" s="1" t="s">
        <v>144</v>
      </c>
      <c r="B72" s="13">
        <v>2020</v>
      </c>
      <c r="C72" s="13">
        <v>1</v>
      </c>
      <c r="D72" s="13">
        <f t="array" ref="D72">SUM(IF('AEO 2012 prdcrv'!$A$7:$A$2000='Agg prdcrv'!$A72,IF('AEO 2012 prdcrv'!$H$7:$H$2000="2020",IF('AEO 2012 prdcrv'!$I$7:$I$2000="Quantities",'AEO 2012 prdcrv'!B$7:B$2000,0))))</f>
        <v>402.4</v>
      </c>
      <c r="E72" s="13">
        <f t="array" ref="E72">SUM(IF('AEO 2012 prdcrv'!$A$7:$A$2000='Agg prdcrv'!$A72,IF('AEO 2012 prdcrv'!$H$7:$H$2000="2020",IF('AEO 2012 prdcrv'!$I$7:$I$2000="Quantities",'AEO 2012 prdcrv'!C$7:C$2000,0))))</f>
        <v>1.29</v>
      </c>
      <c r="F72" s="13">
        <f t="array" ref="F72">SUM(IF('AEO 2012 prdcrv'!$A$7:$A$2000='Agg prdcrv'!$A72,IF('AEO 2012 prdcrv'!$H$7:$H$2000="2020",IF('AEO 2012 prdcrv'!$I$7:$I$2000="Quantities",'AEO 2012 prdcrv'!D$7:D$2000,0))))</f>
        <v>7.71</v>
      </c>
      <c r="G72" s="13">
        <f t="array" ref="G72">SUM(IF('AEO 2012 prdcrv'!$A$7:$A$2000='Agg prdcrv'!$A72,IF('AEO 2012 prdcrv'!$H$7:$H$2000="2020",IF('AEO 2012 prdcrv'!$I$7:$I$2000="Quantities",'AEO 2012 prdcrv'!E$7:E$2000,0))))</f>
        <v>1.29</v>
      </c>
      <c r="H72" s="13">
        <f t="array" ref="H72">SUM(IF('AEO 2012 prdcrv'!$A$7:$A$2000='Agg prdcrv'!$A72,IF('AEO 2012 prdcrv'!$H$7:$H$2000="2020",IF('AEO 2012 prdcrv'!$I$7:$I$2000="Quantities",'AEO 2012 prdcrv'!F$7:F$2000,0))))</f>
        <v>62.56</v>
      </c>
      <c r="J72" s="13">
        <v>2020</v>
      </c>
      <c r="K72" s="13">
        <v>1</v>
      </c>
      <c r="L72" s="13">
        <f t="array" ref="L72">SUM(IF('AEO 2012 prdcrv'!$A$7:$A$2000='Agg prdcrv'!$A72,IF('AEO 2012 prdcrv'!$H$7:$H$2000="2020",IF('AEO 2012 prdcrv'!$I$7:$I$2000="Prices",'AEO 2012 prdcrv'!B$7:B$2000,0))))</f>
        <v>31.91</v>
      </c>
      <c r="M72" s="13">
        <f t="array" ref="M72">SUM(IF('AEO 2012 prdcrv'!$A$7:$A$2000='Agg prdcrv'!$A72,IF('AEO 2012 prdcrv'!$H$7:$H$2000="2020",IF('AEO 2012 prdcrv'!$I$7:$I$2000="Prices",'AEO 2012 prdcrv'!C$7:C$2000,0))))</f>
        <v>30.8</v>
      </c>
      <c r="N72" s="13">
        <f t="array" ref="N72">SUM(IF('AEO 2012 prdcrv'!$A$7:$A$2000='Agg prdcrv'!$A72,IF('AEO 2012 prdcrv'!$H$7:$H$2000="2020",IF('AEO 2012 prdcrv'!$I$7:$I$2000="Prices",'AEO 2012 prdcrv'!D$7:D$2000,0))))</f>
        <v>31.21</v>
      </c>
      <c r="O72" s="13">
        <f t="array" ref="O72">SUM(IF('AEO 2012 prdcrv'!$A$7:$A$2000='Agg prdcrv'!$A72,IF('AEO 2012 prdcrv'!$H$7:$H$2000="2020",IF('AEO 2012 prdcrv'!$I$7:$I$2000="Prices",'AEO 2012 prdcrv'!E$7:E$2000,0))))</f>
        <v>30.4</v>
      </c>
      <c r="P72" s="13">
        <f t="array" ref="P72">SUM(IF('AEO 2012 prdcrv'!$A$7:$A$2000='Agg prdcrv'!$A72,IF('AEO 2012 prdcrv'!$H$7:$H$2000="2020",IF('AEO 2012 prdcrv'!$I$7:$I$2000="Prices",'AEO 2012 prdcrv'!F$7:F$2000,0))))</f>
        <v>31.55</v>
      </c>
    </row>
    <row r="73" spans="1:16">
      <c r="A73" s="1" t="s">
        <v>14</v>
      </c>
      <c r="B73" s="13">
        <v>2020</v>
      </c>
      <c r="C73" s="13">
        <v>1</v>
      </c>
      <c r="D73" s="13">
        <f t="array" ref="D73">SUM(IF('AEO 2012 prdcrv'!$A$7:$A$2000='Agg prdcrv'!$A73,IF('AEO 2012 prdcrv'!$H$7:$H$2000="2020",IF('AEO 2012 prdcrv'!$I$7:$I$2000="Quantities",'AEO 2012 prdcrv'!B$7:B$2000,0))))</f>
        <v>61.26</v>
      </c>
      <c r="E73" s="13">
        <f t="array" ref="E73">SUM(IF('AEO 2012 prdcrv'!$A$7:$A$2000='Agg prdcrv'!$A73,IF('AEO 2012 prdcrv'!$H$7:$H$2000="2020",IF('AEO 2012 prdcrv'!$I$7:$I$2000="Quantities",'AEO 2012 prdcrv'!C$7:C$2000,0))))</f>
        <v>0</v>
      </c>
      <c r="F73" s="13">
        <f t="array" ref="F73">SUM(IF('AEO 2012 prdcrv'!$A$7:$A$2000='Agg prdcrv'!$A73,IF('AEO 2012 prdcrv'!$H$7:$H$2000="2020",IF('AEO 2012 prdcrv'!$I$7:$I$2000="Quantities",'AEO 2012 prdcrv'!D$7:D$2000,0))))</f>
        <v>6.76</v>
      </c>
      <c r="G73" s="13">
        <f t="array" ref="G73">SUM(IF('AEO 2012 prdcrv'!$A$7:$A$2000='Agg prdcrv'!$A73,IF('AEO 2012 prdcrv'!$H$7:$H$2000="2020",IF('AEO 2012 prdcrv'!$I$7:$I$2000="Quantities",'AEO 2012 prdcrv'!E$7:E$2000,0))))</f>
        <v>0</v>
      </c>
      <c r="H73" s="13">
        <f t="array" ref="H73">SUM(IF('AEO 2012 prdcrv'!$A$7:$A$2000='Agg prdcrv'!$A73,IF('AEO 2012 prdcrv'!$H$7:$H$2000="2020",IF('AEO 2012 prdcrv'!$I$7:$I$2000="Quantities",'AEO 2012 prdcrv'!F$7:F$2000,0))))</f>
        <v>20.420000000000002</v>
      </c>
      <c r="J73" s="13">
        <v>2020</v>
      </c>
      <c r="K73" s="13">
        <v>1</v>
      </c>
      <c r="L73" s="13">
        <f t="array" ref="L73">SUM(IF('AEO 2012 prdcrv'!$A$7:$A$2000='Agg prdcrv'!$A73,IF('AEO 2012 prdcrv'!$H$7:$H$2000="2020",IF('AEO 2012 prdcrv'!$I$7:$I$2000="Prices",'AEO 2012 prdcrv'!B$7:B$2000,0))))</f>
        <v>44.81</v>
      </c>
      <c r="M73" s="13">
        <f t="array" ref="M73">SUM(IF('AEO 2012 prdcrv'!$A$7:$A$2000='Agg prdcrv'!$A73,IF('AEO 2012 prdcrv'!$H$7:$H$2000="2020",IF('AEO 2012 prdcrv'!$I$7:$I$2000="Prices",'AEO 2012 prdcrv'!C$7:C$2000,0))))</f>
        <v>44.71</v>
      </c>
      <c r="N73" s="13">
        <f t="array" ref="N73">SUM(IF('AEO 2012 prdcrv'!$A$7:$A$2000='Agg prdcrv'!$A73,IF('AEO 2012 prdcrv'!$H$7:$H$2000="2020",IF('AEO 2012 prdcrv'!$I$7:$I$2000="Prices",'AEO 2012 prdcrv'!D$7:D$2000,0))))</f>
        <v>43.75</v>
      </c>
      <c r="O73" s="13">
        <f t="array" ref="O73">SUM(IF('AEO 2012 prdcrv'!$A$7:$A$2000='Agg prdcrv'!$A73,IF('AEO 2012 prdcrv'!$H$7:$H$2000="2020",IF('AEO 2012 prdcrv'!$I$7:$I$2000="Prices",'AEO 2012 prdcrv'!E$7:E$2000,0))))</f>
        <v>44.76</v>
      </c>
      <c r="P73" s="13">
        <f t="array" ref="P73">SUM(IF('AEO 2012 prdcrv'!$A$7:$A$2000='Agg prdcrv'!$A73,IF('AEO 2012 prdcrv'!$H$7:$H$2000="2020",IF('AEO 2012 prdcrv'!$I$7:$I$2000="Prices",'AEO 2012 prdcrv'!F$7:F$2000,0))))</f>
        <v>44.43</v>
      </c>
    </row>
    <row r="74" spans="1:16">
      <c r="A74" s="1" t="s">
        <v>145</v>
      </c>
      <c r="B74" s="13">
        <v>2020</v>
      </c>
      <c r="C74" s="13">
        <v>1</v>
      </c>
      <c r="D74" s="13">
        <f t="array" ref="D74">SUM(IF('AEO 2012 prdcrv'!$A$7:$A$2000='Agg prdcrv'!$A74,IF('AEO 2012 prdcrv'!$H$7:$H$2000="2020",IF('AEO 2012 prdcrv'!$I$7:$I$2000="Quantities",'AEO 2012 prdcrv'!B$7:B$2000,0))))</f>
        <v>18.62</v>
      </c>
      <c r="E74" s="13">
        <f t="array" ref="E74">SUM(IF('AEO 2012 prdcrv'!$A$7:$A$2000='Agg prdcrv'!$A74,IF('AEO 2012 prdcrv'!$H$7:$H$2000="2020",IF('AEO 2012 prdcrv'!$I$7:$I$2000="Quantities",'AEO 2012 prdcrv'!C$7:C$2000,0))))</f>
        <v>0</v>
      </c>
      <c r="F74" s="13">
        <f t="array" ref="F74">SUM(IF('AEO 2012 prdcrv'!$A$7:$A$2000='Agg prdcrv'!$A74,IF('AEO 2012 prdcrv'!$H$7:$H$2000="2020",IF('AEO 2012 prdcrv'!$I$7:$I$2000="Quantities",'AEO 2012 prdcrv'!D$7:D$2000,0))))</f>
        <v>140.28</v>
      </c>
      <c r="G74" s="13">
        <f t="array" ref="G74">SUM(IF('AEO 2012 prdcrv'!$A$7:$A$2000='Agg prdcrv'!$A74,IF('AEO 2012 prdcrv'!$H$7:$H$2000="2020",IF('AEO 2012 prdcrv'!$I$7:$I$2000="Quantities",'AEO 2012 prdcrv'!E$7:E$2000,0))))</f>
        <v>0</v>
      </c>
      <c r="H74" s="13">
        <f t="array" ref="H74">SUM(IF('AEO 2012 prdcrv'!$A$7:$A$2000='Agg prdcrv'!$A74,IF('AEO 2012 prdcrv'!$H$7:$H$2000="2020",IF('AEO 2012 prdcrv'!$I$7:$I$2000="Quantities",'AEO 2012 prdcrv'!F$7:F$2000,0))))</f>
        <v>28.08</v>
      </c>
      <c r="J74" s="13">
        <v>2020</v>
      </c>
      <c r="K74" s="13">
        <v>1</v>
      </c>
      <c r="L74" s="13">
        <f t="array" ref="L74">SUM(IF('AEO 2012 prdcrv'!$A$7:$A$2000='Agg prdcrv'!$A74,IF('AEO 2012 prdcrv'!$H$7:$H$2000="2020",IF('AEO 2012 prdcrv'!$I$7:$I$2000="Prices",'AEO 2012 prdcrv'!B$7:B$2000,0))))</f>
        <v>20.37</v>
      </c>
      <c r="M74" s="13">
        <f t="array" ref="M74">SUM(IF('AEO 2012 prdcrv'!$A$7:$A$2000='Agg prdcrv'!$A74,IF('AEO 2012 prdcrv'!$H$7:$H$2000="2020",IF('AEO 2012 prdcrv'!$I$7:$I$2000="Prices",'AEO 2012 prdcrv'!C$7:C$2000,0))))</f>
        <v>20.32</v>
      </c>
      <c r="N74" s="13">
        <f t="array" ref="N74">SUM(IF('AEO 2012 prdcrv'!$A$7:$A$2000='Agg prdcrv'!$A74,IF('AEO 2012 prdcrv'!$H$7:$H$2000="2020",IF('AEO 2012 prdcrv'!$I$7:$I$2000="Prices",'AEO 2012 prdcrv'!D$7:D$2000,0))))</f>
        <v>19.88</v>
      </c>
      <c r="O74" s="13">
        <f t="array" ref="O74">SUM(IF('AEO 2012 prdcrv'!$A$7:$A$2000='Agg prdcrv'!$A74,IF('AEO 2012 prdcrv'!$H$7:$H$2000="2020",IF('AEO 2012 prdcrv'!$I$7:$I$2000="Prices",'AEO 2012 prdcrv'!E$7:E$2000,0))))</f>
        <v>20.350000000000001</v>
      </c>
      <c r="P74" s="13">
        <f t="array" ref="P74">SUM(IF('AEO 2012 prdcrv'!$A$7:$A$2000='Agg prdcrv'!$A74,IF('AEO 2012 prdcrv'!$H$7:$H$2000="2020",IF('AEO 2012 prdcrv'!$I$7:$I$2000="Prices",'AEO 2012 prdcrv'!F$7:F$2000,0))))</f>
        <v>20.2</v>
      </c>
    </row>
    <row r="75" spans="1:16">
      <c r="A75" s="1" t="s">
        <v>146</v>
      </c>
      <c r="B75" s="13">
        <v>2020</v>
      </c>
      <c r="C75" s="13">
        <v>1</v>
      </c>
      <c r="D75" s="13">
        <f t="array" ref="D75">SUM(IF('AEO 2012 prdcrv'!$A$7:$A$2000='Agg prdcrv'!$A75,IF('AEO 2012 prdcrv'!$H$7:$H$2000="2020",IF('AEO 2012 prdcrv'!$I$7:$I$2000="Quantities",'AEO 2012 prdcrv'!B$7:B$2000,0))))</f>
        <v>16.239999999999998</v>
      </c>
      <c r="E75" s="13">
        <f t="array" ref="E75">SUM(IF('AEO 2012 prdcrv'!$A$7:$A$2000='Agg prdcrv'!$A75,IF('AEO 2012 prdcrv'!$H$7:$H$2000="2020",IF('AEO 2012 prdcrv'!$I$7:$I$2000="Quantities",'AEO 2012 prdcrv'!C$7:C$2000,0))))</f>
        <v>1.39</v>
      </c>
      <c r="F75" s="13">
        <f t="array" ref="F75">SUM(IF('AEO 2012 prdcrv'!$A$7:$A$2000='Agg prdcrv'!$A75,IF('AEO 2012 prdcrv'!$H$7:$H$2000="2020",IF('AEO 2012 prdcrv'!$I$7:$I$2000="Quantities",'AEO 2012 prdcrv'!D$7:D$2000,0))))</f>
        <v>365.62</v>
      </c>
      <c r="G75" s="13">
        <f t="array" ref="G75">SUM(IF('AEO 2012 prdcrv'!$A$7:$A$2000='Agg prdcrv'!$A75,IF('AEO 2012 prdcrv'!$H$7:$H$2000="2020",IF('AEO 2012 prdcrv'!$I$7:$I$2000="Quantities",'AEO 2012 prdcrv'!E$7:E$2000,0))))</f>
        <v>0.9</v>
      </c>
      <c r="H75" s="13">
        <f t="array" ref="H75">SUM(IF('AEO 2012 prdcrv'!$A$7:$A$2000='Agg prdcrv'!$A75,IF('AEO 2012 prdcrv'!$H$7:$H$2000="2020",IF('AEO 2012 prdcrv'!$I$7:$I$2000="Quantities",'AEO 2012 prdcrv'!F$7:F$2000,0))))</f>
        <v>15.29</v>
      </c>
      <c r="J75" s="13">
        <v>2020</v>
      </c>
      <c r="K75" s="13">
        <v>1</v>
      </c>
      <c r="L75" s="13">
        <f t="array" ref="L75">SUM(IF('AEO 2012 prdcrv'!$A$7:$A$2000='Agg prdcrv'!$A75,IF('AEO 2012 prdcrv'!$H$7:$H$2000="2020",IF('AEO 2012 prdcrv'!$I$7:$I$2000="Prices",'AEO 2012 prdcrv'!B$7:B$2000,0))))</f>
        <v>24.9</v>
      </c>
      <c r="M75" s="13">
        <f t="array" ref="M75">SUM(IF('AEO 2012 prdcrv'!$A$7:$A$2000='Agg prdcrv'!$A75,IF('AEO 2012 prdcrv'!$H$7:$H$2000="2020",IF('AEO 2012 prdcrv'!$I$7:$I$2000="Prices",'AEO 2012 prdcrv'!C$7:C$2000,0))))</f>
        <v>24.84</v>
      </c>
      <c r="N75" s="13">
        <f t="array" ref="N75">SUM(IF('AEO 2012 prdcrv'!$A$7:$A$2000='Agg prdcrv'!$A75,IF('AEO 2012 prdcrv'!$H$7:$H$2000="2020",IF('AEO 2012 prdcrv'!$I$7:$I$2000="Prices",'AEO 2012 prdcrv'!D$7:D$2000,0))))</f>
        <v>24.3</v>
      </c>
      <c r="O75" s="13">
        <f t="array" ref="O75">SUM(IF('AEO 2012 prdcrv'!$A$7:$A$2000='Agg prdcrv'!$A75,IF('AEO 2012 prdcrv'!$H$7:$H$2000="2020",IF('AEO 2012 prdcrv'!$I$7:$I$2000="Prices",'AEO 2012 prdcrv'!E$7:E$2000,0))))</f>
        <v>24.87</v>
      </c>
      <c r="P75" s="13">
        <f t="array" ref="P75">SUM(IF('AEO 2012 prdcrv'!$A$7:$A$2000='Agg prdcrv'!$A75,IF('AEO 2012 prdcrv'!$H$7:$H$2000="2020",IF('AEO 2012 prdcrv'!$I$7:$I$2000="Prices",'AEO 2012 prdcrv'!F$7:F$2000,0))))</f>
        <v>24.68</v>
      </c>
    </row>
    <row r="76" spans="1:16">
      <c r="A76" s="1" t="s">
        <v>147</v>
      </c>
      <c r="B76" s="13">
        <v>2020</v>
      </c>
      <c r="C76" s="13">
        <v>1</v>
      </c>
      <c r="D76" s="13">
        <f t="array" ref="D76">SUM(IF('AEO 2012 prdcrv'!$A$7:$A$2000='Agg prdcrv'!$A76,IF('AEO 2012 prdcrv'!$H$7:$H$2000="2020",IF('AEO 2012 prdcrv'!$I$7:$I$2000="Quantities",'AEO 2012 prdcrv'!B$7:B$2000,0))))</f>
        <v>98.03</v>
      </c>
      <c r="E76" s="13">
        <f t="array" ref="E76">SUM(IF('AEO 2012 prdcrv'!$A$7:$A$2000='Agg prdcrv'!$A76,IF('AEO 2012 prdcrv'!$H$7:$H$2000="2020",IF('AEO 2012 prdcrv'!$I$7:$I$2000="Quantities",'AEO 2012 prdcrv'!C$7:C$2000,0))))</f>
        <v>0.92</v>
      </c>
      <c r="F76" s="13">
        <f t="array" ref="F76">SUM(IF('AEO 2012 prdcrv'!$A$7:$A$2000='Agg prdcrv'!$A76,IF('AEO 2012 prdcrv'!$H$7:$H$2000="2020",IF('AEO 2012 prdcrv'!$I$7:$I$2000="Quantities",'AEO 2012 prdcrv'!D$7:D$2000,0))))</f>
        <v>194.45</v>
      </c>
      <c r="G76" s="13">
        <f t="array" ref="G76">SUM(IF('AEO 2012 prdcrv'!$A$7:$A$2000='Agg prdcrv'!$A76,IF('AEO 2012 prdcrv'!$H$7:$H$2000="2020",IF('AEO 2012 prdcrv'!$I$7:$I$2000="Quantities",'AEO 2012 prdcrv'!E$7:E$2000,0))))</f>
        <v>0</v>
      </c>
      <c r="H76" s="13">
        <f t="array" ref="H76">SUM(IF('AEO 2012 prdcrv'!$A$7:$A$2000='Agg prdcrv'!$A76,IF('AEO 2012 prdcrv'!$H$7:$H$2000="2020",IF('AEO 2012 prdcrv'!$I$7:$I$2000="Quantities",'AEO 2012 prdcrv'!F$7:F$2000,0))))</f>
        <v>54.96</v>
      </c>
      <c r="J76" s="13">
        <v>2020</v>
      </c>
      <c r="K76" s="13">
        <v>1</v>
      </c>
      <c r="L76" s="13">
        <f t="array" ref="L76">SUM(IF('AEO 2012 prdcrv'!$A$7:$A$2000='Agg prdcrv'!$A76,IF('AEO 2012 prdcrv'!$H$7:$H$2000="2020",IF('AEO 2012 prdcrv'!$I$7:$I$2000="Prices",'AEO 2012 prdcrv'!B$7:B$2000,0))))</f>
        <v>18.670000000000002</v>
      </c>
      <c r="M76" s="13">
        <f t="array" ref="M76">SUM(IF('AEO 2012 prdcrv'!$A$7:$A$2000='Agg prdcrv'!$A76,IF('AEO 2012 prdcrv'!$H$7:$H$2000="2020",IF('AEO 2012 prdcrv'!$I$7:$I$2000="Prices",'AEO 2012 prdcrv'!C$7:C$2000,0))))</f>
        <v>18.63</v>
      </c>
      <c r="N76" s="13">
        <f t="array" ref="N76">SUM(IF('AEO 2012 prdcrv'!$A$7:$A$2000='Agg prdcrv'!$A76,IF('AEO 2012 prdcrv'!$H$7:$H$2000="2020",IF('AEO 2012 prdcrv'!$I$7:$I$2000="Prices",'AEO 2012 prdcrv'!D$7:D$2000,0))))</f>
        <v>18.23</v>
      </c>
      <c r="O76" s="13">
        <f t="array" ref="O76">SUM(IF('AEO 2012 prdcrv'!$A$7:$A$2000='Agg prdcrv'!$A76,IF('AEO 2012 prdcrv'!$H$7:$H$2000="2020",IF('AEO 2012 prdcrv'!$I$7:$I$2000="Prices",'AEO 2012 prdcrv'!E$7:E$2000,0))))</f>
        <v>18.649999999999999</v>
      </c>
      <c r="P76" s="13">
        <f t="array" ref="P76">SUM(IF('AEO 2012 prdcrv'!$A$7:$A$2000='Agg prdcrv'!$A76,IF('AEO 2012 prdcrv'!$H$7:$H$2000="2020",IF('AEO 2012 prdcrv'!$I$7:$I$2000="Prices",'AEO 2012 prdcrv'!F$7:F$2000,0))))</f>
        <v>18.510000000000002</v>
      </c>
    </row>
  </sheetData>
  <mergeCells count="3">
    <mergeCell ref="D2:H2"/>
    <mergeCell ref="L2:P2"/>
    <mergeCell ref="A1:P1"/>
  </mergeCells>
  <phoneticPr fontId="21" type="noConversion"/>
  <pageMargins left="0.75" right="0.75" top="1" bottom="1" header="0.5" footer="0.5"/>
  <pageSetup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X76"/>
  <sheetViews>
    <sheetView zoomScale="80" zoomScaleNormal="80" workbookViewId="0">
      <pane ySplit="5" topLeftCell="A6" activePane="bottomLeft" state="frozen"/>
      <selection pane="bottomLeft" sqref="A1:XFD1048576"/>
    </sheetView>
  </sheetViews>
  <sheetFormatPr defaultColWidth="9.140625" defaultRowHeight="12.75"/>
  <cols>
    <col min="1" max="1" width="21.5703125" style="9" bestFit="1" customWidth="1"/>
    <col min="2" max="16" width="10.7109375" style="37" customWidth="1"/>
    <col min="17" max="18" width="9.140625" style="9"/>
    <col min="19" max="19" width="26" style="9" customWidth="1"/>
    <col min="20" max="16384" width="9.140625" style="9"/>
  </cols>
  <sheetData>
    <row r="1" spans="1:24" ht="27" customHeight="1">
      <c r="A1" s="254" t="s">
        <v>1080</v>
      </c>
      <c r="B1" s="254"/>
      <c r="C1" s="254"/>
      <c r="D1" s="254"/>
      <c r="E1" s="254"/>
      <c r="F1" s="254"/>
      <c r="G1" s="254"/>
      <c r="H1" s="254"/>
      <c r="I1" s="254"/>
      <c r="J1" s="254"/>
      <c r="K1" s="254"/>
      <c r="L1" s="254"/>
      <c r="M1" s="254"/>
      <c r="N1" s="254"/>
      <c r="O1" s="254"/>
      <c r="P1" s="254"/>
    </row>
    <row r="2" spans="1:24" ht="13.5" customHeight="1">
      <c r="D2" s="252" t="s">
        <v>519</v>
      </c>
      <c r="E2" s="252"/>
      <c r="F2" s="252"/>
      <c r="G2" s="252"/>
      <c r="H2" s="252"/>
      <c r="L2" s="252" t="s">
        <v>148</v>
      </c>
      <c r="M2" s="252"/>
      <c r="N2" s="252"/>
      <c r="O2" s="252"/>
      <c r="P2" s="252"/>
      <c r="U2" s="70"/>
    </row>
    <row r="3" spans="1:24" s="37" customFormat="1">
      <c r="B3" s="22"/>
      <c r="C3" s="22"/>
      <c r="D3" s="22" t="s">
        <v>133</v>
      </c>
      <c r="E3" s="22" t="s">
        <v>124</v>
      </c>
      <c r="F3" s="22" t="s">
        <v>125</v>
      </c>
      <c r="G3" s="22" t="s">
        <v>126</v>
      </c>
      <c r="H3" s="22" t="s">
        <v>134</v>
      </c>
      <c r="I3" s="22"/>
      <c r="J3" s="22"/>
      <c r="K3" s="22"/>
      <c r="L3" s="22" t="s">
        <v>133</v>
      </c>
      <c r="M3" s="22" t="s">
        <v>124</v>
      </c>
      <c r="N3" s="22" t="s">
        <v>125</v>
      </c>
      <c r="O3" s="22" t="s">
        <v>126</v>
      </c>
      <c r="P3" s="22" t="s">
        <v>134</v>
      </c>
      <c r="S3" s="9"/>
      <c r="T3" s="9"/>
      <c r="U3" s="9"/>
      <c r="V3" s="9"/>
      <c r="W3" s="9"/>
      <c r="X3" s="9"/>
    </row>
    <row r="4" spans="1:24">
      <c r="B4" s="22"/>
      <c r="C4" s="22"/>
      <c r="D4" s="22"/>
      <c r="E4" s="22"/>
      <c r="F4" s="22"/>
      <c r="G4" s="22"/>
      <c r="H4" s="22"/>
      <c r="I4" s="22"/>
      <c r="J4" s="22"/>
      <c r="K4" s="22"/>
      <c r="L4" s="22"/>
      <c r="M4" s="22"/>
      <c r="N4" s="22"/>
      <c r="O4" s="22"/>
      <c r="P4" s="22"/>
    </row>
    <row r="5" spans="1:24" s="71" customFormat="1" ht="25.5">
      <c r="B5" s="6" t="s">
        <v>135</v>
      </c>
      <c r="C5" s="6" t="s">
        <v>136</v>
      </c>
      <c r="D5" s="6" t="s">
        <v>137</v>
      </c>
      <c r="E5" s="6" t="s">
        <v>137</v>
      </c>
      <c r="F5" s="6" t="s">
        <v>137</v>
      </c>
      <c r="G5" s="6" t="s">
        <v>137</v>
      </c>
      <c r="H5" s="6" t="s">
        <v>137</v>
      </c>
      <c r="I5" s="6"/>
      <c r="J5" s="6" t="s">
        <v>135</v>
      </c>
      <c r="K5" s="6" t="s">
        <v>136</v>
      </c>
      <c r="L5" s="6" t="s">
        <v>138</v>
      </c>
      <c r="M5" s="6" t="s">
        <v>138</v>
      </c>
      <c r="N5" s="6" t="s">
        <v>138</v>
      </c>
      <c r="O5" s="6" t="s">
        <v>138</v>
      </c>
      <c r="P5" s="6" t="s">
        <v>138</v>
      </c>
    </row>
    <row r="6" spans="1:24">
      <c r="A6" s="9" t="s">
        <v>20</v>
      </c>
      <c r="B6" s="37">
        <v>2005</v>
      </c>
      <c r="C6" s="37">
        <v>1</v>
      </c>
      <c r="D6" s="72">
        <v>999999</v>
      </c>
      <c r="E6" s="72">
        <v>999999</v>
      </c>
      <c r="F6" s="72">
        <v>999999</v>
      </c>
      <c r="G6" s="37">
        <f>'Agg prdcrv'!G6</f>
        <v>0</v>
      </c>
      <c r="H6" s="37">
        <f>'Agg prdcrv'!H6</f>
        <v>6.45</v>
      </c>
      <c r="J6" s="37">
        <v>2005</v>
      </c>
      <c r="K6" s="37">
        <v>1</v>
      </c>
      <c r="L6" s="37">
        <f>'Agg prdcrv'!L6</f>
        <v>61.74</v>
      </c>
      <c r="M6" s="37">
        <f>'Agg prdcrv'!M6</f>
        <v>63.01</v>
      </c>
      <c r="N6" s="37">
        <f>'Agg prdcrv'!N6</f>
        <v>62.03</v>
      </c>
      <c r="O6" s="37">
        <f>'Agg prdcrv'!O6</f>
        <v>61.84</v>
      </c>
      <c r="P6" s="37">
        <f>'Agg prdcrv'!P6</f>
        <v>35.89</v>
      </c>
    </row>
    <row r="7" spans="1:24">
      <c r="A7" s="9" t="s">
        <v>17</v>
      </c>
      <c r="B7" s="37">
        <v>2005</v>
      </c>
      <c r="C7" s="37">
        <v>1</v>
      </c>
      <c r="D7" s="72">
        <v>999999</v>
      </c>
      <c r="E7" s="72">
        <v>999999</v>
      </c>
      <c r="F7" s="72">
        <v>999999</v>
      </c>
      <c r="G7" s="37">
        <f>'Agg prdcrv'!G7</f>
        <v>0.55000000000000004</v>
      </c>
      <c r="H7" s="37">
        <f>'Agg prdcrv'!H7</f>
        <v>23.07</v>
      </c>
      <c r="J7" s="37">
        <v>2005</v>
      </c>
      <c r="K7" s="37">
        <v>1</v>
      </c>
      <c r="L7" s="37">
        <f>'Agg prdcrv'!L7</f>
        <v>59.78</v>
      </c>
      <c r="M7" s="37">
        <f>'Agg prdcrv'!M7</f>
        <v>61.05</v>
      </c>
      <c r="N7" s="37">
        <f>'Agg prdcrv'!N7</f>
        <v>60.07</v>
      </c>
      <c r="O7" s="37">
        <f>'Agg prdcrv'!O7</f>
        <v>59.88</v>
      </c>
      <c r="P7" s="37">
        <f>'Agg prdcrv'!P7</f>
        <v>33.93</v>
      </c>
    </row>
    <row r="8" spans="1:24">
      <c r="A8" s="9" t="s">
        <v>10</v>
      </c>
      <c r="B8" s="37">
        <v>2005</v>
      </c>
      <c r="C8" s="37">
        <v>1</v>
      </c>
      <c r="D8" s="72">
        <v>999999</v>
      </c>
      <c r="E8" s="72">
        <v>999999</v>
      </c>
      <c r="F8" s="72">
        <v>999999</v>
      </c>
      <c r="G8" s="37">
        <f>'Agg prdcrv'!G8</f>
        <v>1.34</v>
      </c>
      <c r="H8" s="37">
        <f>'Agg prdcrv'!H8</f>
        <v>5.07</v>
      </c>
      <c r="J8" s="37">
        <v>2005</v>
      </c>
      <c r="K8" s="37">
        <v>1</v>
      </c>
      <c r="L8" s="37">
        <f>'Agg prdcrv'!L8</f>
        <v>50.83</v>
      </c>
      <c r="M8" s="37">
        <f>'Agg prdcrv'!M8</f>
        <v>52.1</v>
      </c>
      <c r="N8" s="37">
        <f>'Agg prdcrv'!N8</f>
        <v>51.12</v>
      </c>
      <c r="O8" s="37">
        <f>'Agg prdcrv'!O8</f>
        <v>53.51</v>
      </c>
      <c r="P8" s="37">
        <f>'Agg prdcrv'!P8</f>
        <v>50.61</v>
      </c>
    </row>
    <row r="9" spans="1:24">
      <c r="A9" s="9" t="s">
        <v>11</v>
      </c>
      <c r="B9" s="37">
        <v>2005</v>
      </c>
      <c r="C9" s="37">
        <v>1</v>
      </c>
      <c r="D9" s="72">
        <v>999999</v>
      </c>
      <c r="E9" s="72">
        <v>999999</v>
      </c>
      <c r="F9" s="72">
        <v>999999</v>
      </c>
      <c r="G9" s="37">
        <f>'Agg prdcrv'!G9</f>
        <v>9.3699999999999992</v>
      </c>
      <c r="H9" s="37">
        <f>'Agg prdcrv'!H9</f>
        <v>13.73</v>
      </c>
      <c r="J9" s="37">
        <v>2005</v>
      </c>
      <c r="K9" s="37">
        <v>1</v>
      </c>
      <c r="L9" s="37">
        <f>'Agg prdcrv'!L9</f>
        <v>52.34</v>
      </c>
      <c r="M9" s="37">
        <f>'Agg prdcrv'!M9</f>
        <v>50.45</v>
      </c>
      <c r="N9" s="37">
        <f>'Agg prdcrv'!N9</f>
        <v>50.89</v>
      </c>
      <c r="O9" s="37">
        <f>'Agg prdcrv'!O9</f>
        <v>61.33</v>
      </c>
      <c r="P9" s="37">
        <f>'Agg prdcrv'!P9</f>
        <v>59.05</v>
      </c>
    </row>
    <row r="10" spans="1:24">
      <c r="A10" s="9" t="s">
        <v>32</v>
      </c>
      <c r="B10" s="37">
        <v>2005</v>
      </c>
      <c r="C10" s="37">
        <v>1</v>
      </c>
      <c r="D10" s="72">
        <v>999999</v>
      </c>
      <c r="E10" s="72">
        <v>999999</v>
      </c>
      <c r="F10" s="72">
        <v>999999</v>
      </c>
      <c r="G10" s="37">
        <f>'Agg prdcrv'!G10</f>
        <v>0</v>
      </c>
      <c r="H10" s="37">
        <f>'Agg prdcrv'!H10</f>
        <v>10.5</v>
      </c>
      <c r="J10" s="37">
        <v>2005</v>
      </c>
      <c r="K10" s="37">
        <v>1</v>
      </c>
      <c r="L10" s="37">
        <f>'Agg prdcrv'!L10</f>
        <v>36.299999999999997</v>
      </c>
      <c r="M10" s="37">
        <f>'Agg prdcrv'!M10</f>
        <v>39.200000000000003</v>
      </c>
      <c r="N10" s="37">
        <f>'Agg prdcrv'!N10</f>
        <v>39.200000000000003</v>
      </c>
      <c r="O10" s="37">
        <f>'Agg prdcrv'!O10</f>
        <v>38.43</v>
      </c>
      <c r="P10" s="37">
        <f>'Agg prdcrv'!P10</f>
        <v>32.56</v>
      </c>
    </row>
    <row r="11" spans="1:24">
      <c r="A11" s="9" t="s">
        <v>31</v>
      </c>
      <c r="B11" s="37">
        <v>2005</v>
      </c>
      <c r="C11" s="37">
        <v>1</v>
      </c>
      <c r="D11" s="72">
        <v>999999</v>
      </c>
      <c r="E11" s="72">
        <v>999999</v>
      </c>
      <c r="F11" s="72">
        <v>999999</v>
      </c>
      <c r="G11" s="37">
        <f>'Agg prdcrv'!G11</f>
        <v>0</v>
      </c>
      <c r="H11" s="37">
        <f>'Agg prdcrv'!H11</f>
        <v>31.98</v>
      </c>
      <c r="J11" s="37">
        <v>2005</v>
      </c>
      <c r="K11" s="37">
        <v>1</v>
      </c>
      <c r="L11" s="37">
        <f>'Agg prdcrv'!L11</f>
        <v>34.79</v>
      </c>
      <c r="M11" s="37">
        <f>'Agg prdcrv'!M11</f>
        <v>37.590000000000003</v>
      </c>
      <c r="N11" s="37">
        <f>'Agg prdcrv'!N11</f>
        <v>38.11</v>
      </c>
      <c r="O11" s="37">
        <f>'Agg prdcrv'!O11</f>
        <v>37.14</v>
      </c>
      <c r="P11" s="37">
        <f>'Agg prdcrv'!P11</f>
        <v>32.799999999999997</v>
      </c>
    </row>
    <row r="12" spans="1:24">
      <c r="A12" s="9" t="s">
        <v>266</v>
      </c>
      <c r="B12" s="37">
        <v>2005</v>
      </c>
      <c r="C12" s="37">
        <v>1</v>
      </c>
      <c r="D12" s="72">
        <v>999999</v>
      </c>
      <c r="E12" s="72">
        <v>999999</v>
      </c>
      <c r="F12" s="72">
        <v>999999</v>
      </c>
      <c r="G12" s="37">
        <f>'Agg prdcrv'!G12</f>
        <v>0.43</v>
      </c>
      <c r="H12" s="37">
        <f>'Agg prdcrv'!H12</f>
        <v>100.3</v>
      </c>
      <c r="J12" s="37">
        <v>2005</v>
      </c>
      <c r="K12" s="37">
        <v>1</v>
      </c>
      <c r="L12" s="37">
        <f>'Agg prdcrv'!L12</f>
        <v>44.02</v>
      </c>
      <c r="M12" s="37">
        <f>'Agg prdcrv'!M12</f>
        <v>43.72</v>
      </c>
      <c r="N12" s="37">
        <f>'Agg prdcrv'!N12</f>
        <v>43.27</v>
      </c>
      <c r="O12" s="37">
        <f>'Agg prdcrv'!O12</f>
        <v>55.7</v>
      </c>
      <c r="P12" s="37">
        <f>'Agg prdcrv'!P12</f>
        <v>51.43</v>
      </c>
    </row>
    <row r="13" spans="1:24">
      <c r="A13" s="9" t="s">
        <v>269</v>
      </c>
      <c r="B13" s="37">
        <v>2005</v>
      </c>
      <c r="C13" s="37">
        <v>1</v>
      </c>
      <c r="D13" s="72">
        <v>999999</v>
      </c>
      <c r="E13" s="72">
        <v>999999</v>
      </c>
      <c r="F13" s="72">
        <v>999999</v>
      </c>
      <c r="G13" s="37">
        <f>'Agg prdcrv'!G13</f>
        <v>18.350000000000001</v>
      </c>
      <c r="H13" s="37">
        <f>'Agg prdcrv'!H13</f>
        <v>7.33</v>
      </c>
      <c r="J13" s="37">
        <v>2005</v>
      </c>
      <c r="K13" s="37">
        <v>1</v>
      </c>
      <c r="L13" s="37">
        <f>'Agg prdcrv'!L13</f>
        <v>28.81</v>
      </c>
      <c r="M13" s="37">
        <f>'Agg prdcrv'!M13</f>
        <v>28.81</v>
      </c>
      <c r="N13" s="37">
        <f>'Agg prdcrv'!N13</f>
        <v>28.81</v>
      </c>
      <c r="O13" s="37">
        <f>'Agg prdcrv'!O13</f>
        <v>28.81</v>
      </c>
      <c r="P13" s="37">
        <f>'Agg prdcrv'!P13</f>
        <v>28.81</v>
      </c>
    </row>
    <row r="14" spans="1:24">
      <c r="A14" s="9" t="s">
        <v>30</v>
      </c>
      <c r="B14" s="37">
        <v>2005</v>
      </c>
      <c r="C14" s="37">
        <v>1</v>
      </c>
      <c r="D14" s="72">
        <v>999999</v>
      </c>
      <c r="E14" s="72">
        <v>999999</v>
      </c>
      <c r="F14" s="72">
        <v>999999</v>
      </c>
      <c r="G14" s="37">
        <f>'Agg prdcrv'!G14</f>
        <v>0</v>
      </c>
      <c r="H14" s="37">
        <f>'Agg prdcrv'!H14</f>
        <v>0</v>
      </c>
      <c r="J14" s="37">
        <v>2005</v>
      </c>
      <c r="K14" s="37">
        <v>1</v>
      </c>
      <c r="L14" s="37">
        <f>'Agg prdcrv'!L14</f>
        <v>37.479999999999997</v>
      </c>
      <c r="M14" s="37">
        <f>'Agg prdcrv'!M14</f>
        <v>37.119999999999997</v>
      </c>
      <c r="N14" s="37">
        <f>'Agg prdcrv'!N14</f>
        <v>36.340000000000003</v>
      </c>
      <c r="O14" s="37">
        <f>'Agg prdcrv'!O14</f>
        <v>36.28</v>
      </c>
      <c r="P14" s="37">
        <f>'Agg prdcrv'!P14</f>
        <v>28.81</v>
      </c>
    </row>
    <row r="15" spans="1:24">
      <c r="A15" s="9" t="s">
        <v>26</v>
      </c>
      <c r="B15" s="37">
        <v>2005</v>
      </c>
      <c r="C15" s="37">
        <v>1</v>
      </c>
      <c r="D15" s="72">
        <v>999999</v>
      </c>
      <c r="E15" s="72">
        <v>999999</v>
      </c>
      <c r="F15" s="72">
        <v>999999</v>
      </c>
      <c r="G15" s="37">
        <f>'Agg prdcrv'!G15</f>
        <v>1</v>
      </c>
      <c r="H15" s="37">
        <f>'Agg prdcrv'!H15</f>
        <v>42</v>
      </c>
      <c r="J15" s="37">
        <v>2005</v>
      </c>
      <c r="K15" s="37">
        <v>1</v>
      </c>
      <c r="L15" s="37">
        <f>'Agg prdcrv'!L15</f>
        <v>59.93</v>
      </c>
      <c r="M15" s="37">
        <f>'Agg prdcrv'!M15</f>
        <v>59.93</v>
      </c>
      <c r="N15" s="37">
        <f>'Agg prdcrv'!N15</f>
        <v>60.59</v>
      </c>
      <c r="O15" s="37">
        <f>'Agg prdcrv'!O15</f>
        <v>60.09</v>
      </c>
      <c r="P15" s="37">
        <f>'Agg prdcrv'!P15</f>
        <v>60.09</v>
      </c>
    </row>
    <row r="16" spans="1:24">
      <c r="A16" s="9" t="s">
        <v>271</v>
      </c>
      <c r="B16" s="37">
        <v>2005</v>
      </c>
      <c r="C16" s="37">
        <v>1</v>
      </c>
      <c r="D16" s="72">
        <v>999999</v>
      </c>
      <c r="E16" s="72">
        <v>999999</v>
      </c>
      <c r="F16" s="72">
        <v>999999</v>
      </c>
      <c r="G16" s="37">
        <f>'Agg prdcrv'!G16</f>
        <v>0</v>
      </c>
      <c r="H16" s="37">
        <f>'Agg prdcrv'!H16</f>
        <v>0.86</v>
      </c>
      <c r="J16" s="37">
        <v>2005</v>
      </c>
      <c r="K16" s="37">
        <v>1</v>
      </c>
      <c r="L16" s="37">
        <f>'Agg prdcrv'!L16</f>
        <v>48.28</v>
      </c>
      <c r="M16" s="37">
        <f>'Agg prdcrv'!M16</f>
        <v>47.45</v>
      </c>
      <c r="N16" s="37">
        <f>'Agg prdcrv'!N16</f>
        <v>46.99</v>
      </c>
      <c r="O16" s="37">
        <f>'Agg prdcrv'!O16</f>
        <v>48.97</v>
      </c>
      <c r="P16" s="37">
        <f>'Agg prdcrv'!P16</f>
        <v>46.56</v>
      </c>
    </row>
    <row r="17" spans="1:16">
      <c r="A17" s="9" t="s">
        <v>143</v>
      </c>
      <c r="B17" s="37">
        <v>2005</v>
      </c>
      <c r="C17" s="37">
        <v>1</v>
      </c>
      <c r="D17" s="72">
        <v>999999</v>
      </c>
      <c r="E17" s="72">
        <v>999999</v>
      </c>
      <c r="F17" s="72">
        <v>999999</v>
      </c>
      <c r="G17" s="37">
        <f>'Agg prdcrv'!G17</f>
        <v>0</v>
      </c>
      <c r="H17" s="37">
        <f>'Agg prdcrv'!H17</f>
        <v>65.25</v>
      </c>
      <c r="J17" s="37">
        <v>2005</v>
      </c>
      <c r="K17" s="37">
        <v>1</v>
      </c>
      <c r="L17" s="37">
        <f>'Agg prdcrv'!L17</f>
        <v>60.65</v>
      </c>
      <c r="M17" s="37">
        <f>'Agg prdcrv'!M17</f>
        <v>58.57</v>
      </c>
      <c r="N17" s="37">
        <f>'Agg prdcrv'!N17</f>
        <v>58.16</v>
      </c>
      <c r="O17" s="37">
        <f>'Agg prdcrv'!O17</f>
        <v>60.83</v>
      </c>
      <c r="P17" s="37">
        <f>'Agg prdcrv'!P17</f>
        <v>58.19</v>
      </c>
    </row>
    <row r="18" spans="1:16">
      <c r="A18" s="9" t="s">
        <v>144</v>
      </c>
      <c r="B18" s="37">
        <v>2005</v>
      </c>
      <c r="C18" s="37">
        <v>1</v>
      </c>
      <c r="D18" s="72">
        <v>999999</v>
      </c>
      <c r="E18" s="72">
        <v>999999</v>
      </c>
      <c r="F18" s="72">
        <v>999999</v>
      </c>
      <c r="G18" s="37">
        <f>'Agg prdcrv'!G18</f>
        <v>1</v>
      </c>
      <c r="H18" s="37">
        <f>'Agg prdcrv'!H18</f>
        <v>20.43</v>
      </c>
      <c r="J18" s="37">
        <v>2005</v>
      </c>
      <c r="K18" s="37">
        <v>1</v>
      </c>
      <c r="L18" s="37">
        <f>'Agg prdcrv'!L18</f>
        <v>52.75</v>
      </c>
      <c r="M18" s="37">
        <f>'Agg prdcrv'!M18</f>
        <v>52.07</v>
      </c>
      <c r="N18" s="37">
        <f>'Agg prdcrv'!N18</f>
        <v>51.76</v>
      </c>
      <c r="O18" s="37">
        <f>'Agg prdcrv'!O18</f>
        <v>56.99</v>
      </c>
      <c r="P18" s="37">
        <f>'Agg prdcrv'!P18</f>
        <v>55.34</v>
      </c>
    </row>
    <row r="19" spans="1:16">
      <c r="A19" s="9" t="s">
        <v>14</v>
      </c>
      <c r="B19" s="37">
        <v>2005</v>
      </c>
      <c r="C19" s="37">
        <v>1</v>
      </c>
      <c r="D19" s="72">
        <v>999999</v>
      </c>
      <c r="E19" s="72">
        <v>999999</v>
      </c>
      <c r="F19" s="72">
        <v>999999</v>
      </c>
      <c r="G19" s="37">
        <f>'Agg prdcrv'!G19</f>
        <v>0</v>
      </c>
      <c r="H19" s="37">
        <f>'Agg prdcrv'!H19</f>
        <v>4.3499999999999996</v>
      </c>
      <c r="J19" s="37">
        <v>2005</v>
      </c>
      <c r="K19" s="37">
        <v>1</v>
      </c>
      <c r="L19" s="37">
        <f>'Agg prdcrv'!L19</f>
        <v>57.53</v>
      </c>
      <c r="M19" s="37">
        <f>'Agg prdcrv'!M19</f>
        <v>57.76</v>
      </c>
      <c r="N19" s="37">
        <f>'Agg prdcrv'!N19</f>
        <v>56.78</v>
      </c>
      <c r="O19" s="37">
        <f>'Agg prdcrv'!O19</f>
        <v>68.39</v>
      </c>
      <c r="P19" s="37">
        <f>'Agg prdcrv'!P19</f>
        <v>64.040000000000006</v>
      </c>
    </row>
    <row r="20" spans="1:16">
      <c r="A20" s="9" t="s">
        <v>145</v>
      </c>
      <c r="B20" s="37">
        <v>2005</v>
      </c>
      <c r="C20" s="37">
        <v>1</v>
      </c>
      <c r="D20" s="72">
        <v>999999</v>
      </c>
      <c r="E20" s="72">
        <v>999999</v>
      </c>
      <c r="F20" s="72">
        <v>999999</v>
      </c>
      <c r="G20" s="37">
        <f>'Agg prdcrv'!G20</f>
        <v>0</v>
      </c>
      <c r="H20" s="37">
        <f>'Agg prdcrv'!H20</f>
        <v>28.07</v>
      </c>
      <c r="J20" s="37">
        <v>2005</v>
      </c>
      <c r="K20" s="37">
        <v>1</v>
      </c>
      <c r="L20" s="37">
        <f>'Agg prdcrv'!L20</f>
        <v>26.15</v>
      </c>
      <c r="M20" s="37">
        <f>'Agg prdcrv'!M20</f>
        <v>26.25</v>
      </c>
      <c r="N20" s="37">
        <f>'Agg prdcrv'!N20</f>
        <v>25.81</v>
      </c>
      <c r="O20" s="37">
        <f>'Agg prdcrv'!O20</f>
        <v>31.09</v>
      </c>
      <c r="P20" s="37">
        <f>'Agg prdcrv'!P20</f>
        <v>29.11</v>
      </c>
    </row>
    <row r="21" spans="1:16">
      <c r="A21" s="9" t="s">
        <v>146</v>
      </c>
      <c r="B21" s="37">
        <v>2005</v>
      </c>
      <c r="C21" s="37">
        <v>1</v>
      </c>
      <c r="D21" s="72">
        <v>999999</v>
      </c>
      <c r="E21" s="72">
        <v>999999</v>
      </c>
      <c r="F21" s="72">
        <v>999999</v>
      </c>
      <c r="G21" s="37">
        <f>'Agg prdcrv'!G21</f>
        <v>0.9</v>
      </c>
      <c r="H21" s="37">
        <f>'Agg prdcrv'!H21</f>
        <v>15.29</v>
      </c>
      <c r="J21" s="37">
        <v>2005</v>
      </c>
      <c r="K21" s="37">
        <v>1</v>
      </c>
      <c r="L21" s="37">
        <f>'Agg prdcrv'!L21</f>
        <v>31.96</v>
      </c>
      <c r="M21" s="37">
        <f>'Agg prdcrv'!M21</f>
        <v>32.090000000000003</v>
      </c>
      <c r="N21" s="37">
        <f>'Agg prdcrv'!N21</f>
        <v>31.55</v>
      </c>
      <c r="O21" s="37">
        <f>'Agg prdcrv'!O21</f>
        <v>38</v>
      </c>
      <c r="P21" s="37">
        <f>'Agg prdcrv'!P21</f>
        <v>35.58</v>
      </c>
    </row>
    <row r="22" spans="1:16">
      <c r="A22" s="9" t="s">
        <v>147</v>
      </c>
      <c r="B22" s="37">
        <v>2005</v>
      </c>
      <c r="C22" s="37">
        <v>1</v>
      </c>
      <c r="D22" s="72">
        <v>999999</v>
      </c>
      <c r="E22" s="72">
        <v>999999</v>
      </c>
      <c r="F22" s="72">
        <v>999999</v>
      </c>
      <c r="G22" s="37">
        <f>'Agg prdcrv'!G22</f>
        <v>0</v>
      </c>
      <c r="H22" s="37">
        <f>'Agg prdcrv'!H22</f>
        <v>54.95</v>
      </c>
      <c r="J22" s="37">
        <v>2005</v>
      </c>
      <c r="K22" s="37">
        <v>1</v>
      </c>
      <c r="L22" s="37">
        <f>'Agg prdcrv'!L22</f>
        <v>23.97</v>
      </c>
      <c r="M22" s="37">
        <f>'Agg prdcrv'!M22</f>
        <v>24.07</v>
      </c>
      <c r="N22" s="37">
        <f>'Agg prdcrv'!N22</f>
        <v>23.66</v>
      </c>
      <c r="O22" s="37">
        <f>'Agg prdcrv'!O22</f>
        <v>28.5</v>
      </c>
      <c r="P22" s="37">
        <f>'Agg prdcrv'!P22</f>
        <v>26.68</v>
      </c>
    </row>
    <row r="23" spans="1:16">
      <c r="A23" s="9" t="s">
        <v>398</v>
      </c>
      <c r="D23" s="72">
        <v>999999</v>
      </c>
      <c r="E23" s="72">
        <v>999999</v>
      </c>
      <c r="F23" s="72">
        <v>999999</v>
      </c>
    </row>
    <row r="24" spans="1:16">
      <c r="A24" s="9" t="s">
        <v>20</v>
      </c>
      <c r="B24" s="37">
        <v>2010</v>
      </c>
      <c r="C24" s="37">
        <v>1</v>
      </c>
      <c r="D24" s="72">
        <v>999999</v>
      </c>
      <c r="E24" s="72">
        <v>999999</v>
      </c>
      <c r="F24" s="72">
        <v>999999</v>
      </c>
      <c r="G24" s="37">
        <f>'Agg prdcrv'!G24</f>
        <v>0</v>
      </c>
      <c r="H24" s="37">
        <f>'Agg prdcrv'!H24</f>
        <v>0</v>
      </c>
      <c r="J24" s="37">
        <v>2010</v>
      </c>
      <c r="K24" s="37">
        <v>1</v>
      </c>
      <c r="L24" s="37">
        <f>'Agg prdcrv'!L24</f>
        <v>113.56</v>
      </c>
      <c r="M24" s="37">
        <f>'Agg prdcrv'!M24</f>
        <v>113.5</v>
      </c>
      <c r="N24" s="37">
        <f>'Agg prdcrv'!N24</f>
        <v>113.56</v>
      </c>
      <c r="O24" s="37">
        <f>'Agg prdcrv'!O24</f>
        <v>113.3</v>
      </c>
      <c r="P24" s="37">
        <f>'Agg prdcrv'!P24</f>
        <v>113.5</v>
      </c>
    </row>
    <row r="25" spans="1:16">
      <c r="A25" s="9" t="s">
        <v>17</v>
      </c>
      <c r="B25" s="37">
        <v>2010</v>
      </c>
      <c r="C25" s="37">
        <v>1</v>
      </c>
      <c r="D25" s="72">
        <v>999999</v>
      </c>
      <c r="E25" s="72">
        <v>999999</v>
      </c>
      <c r="F25" s="72">
        <v>999999</v>
      </c>
      <c r="G25" s="37">
        <f>'Agg prdcrv'!G25</f>
        <v>0</v>
      </c>
      <c r="H25" s="37">
        <f>'Agg prdcrv'!H25</f>
        <v>19.77</v>
      </c>
      <c r="J25" s="37">
        <v>2010</v>
      </c>
      <c r="K25" s="37">
        <v>1</v>
      </c>
      <c r="L25" s="37">
        <f>'Agg prdcrv'!L25</f>
        <v>49.74</v>
      </c>
      <c r="M25" s="37">
        <f>'Agg prdcrv'!M25</f>
        <v>50.63</v>
      </c>
      <c r="N25" s="37">
        <f>'Agg prdcrv'!N25</f>
        <v>49.8</v>
      </c>
      <c r="O25" s="37">
        <f>'Agg prdcrv'!O25</f>
        <v>49.61</v>
      </c>
      <c r="P25" s="37">
        <f>'Agg prdcrv'!P25</f>
        <v>34.799999999999997</v>
      </c>
    </row>
    <row r="26" spans="1:16">
      <c r="A26" s="9" t="s">
        <v>10</v>
      </c>
      <c r="B26" s="37">
        <v>2010</v>
      </c>
      <c r="C26" s="37">
        <v>1</v>
      </c>
      <c r="D26" s="72">
        <v>999999</v>
      </c>
      <c r="E26" s="72">
        <v>999999</v>
      </c>
      <c r="F26" s="72">
        <v>999999</v>
      </c>
      <c r="G26" s="37">
        <f>'Agg prdcrv'!G26</f>
        <v>0.87</v>
      </c>
      <c r="H26" s="37">
        <f>'Agg prdcrv'!H26</f>
        <v>4.91</v>
      </c>
      <c r="J26" s="37">
        <v>2010</v>
      </c>
      <c r="K26" s="37">
        <v>1</v>
      </c>
      <c r="L26" s="37">
        <f>'Agg prdcrv'!L26</f>
        <v>45.48</v>
      </c>
      <c r="M26" s="37">
        <f>'Agg prdcrv'!M26</f>
        <v>49.64</v>
      </c>
      <c r="N26" s="37">
        <f>'Agg prdcrv'!N26</f>
        <v>48.67</v>
      </c>
      <c r="O26" s="37">
        <f>'Agg prdcrv'!O26</f>
        <v>40.82</v>
      </c>
      <c r="P26" s="37">
        <f>'Agg prdcrv'!P26</f>
        <v>46.09</v>
      </c>
    </row>
    <row r="27" spans="1:16">
      <c r="A27" s="9" t="s">
        <v>11</v>
      </c>
      <c r="B27" s="37">
        <v>2010</v>
      </c>
      <c r="C27" s="37">
        <v>1</v>
      </c>
      <c r="D27" s="72">
        <v>999999</v>
      </c>
      <c r="E27" s="72">
        <v>999999</v>
      </c>
      <c r="F27" s="72">
        <v>999999</v>
      </c>
      <c r="G27" s="37">
        <f>'Agg prdcrv'!G27</f>
        <v>2.13</v>
      </c>
      <c r="H27" s="37">
        <f>'Agg prdcrv'!H27</f>
        <v>4.3</v>
      </c>
      <c r="J27" s="37">
        <v>2010</v>
      </c>
      <c r="K27" s="37">
        <v>1</v>
      </c>
      <c r="L27" s="37">
        <f>'Agg prdcrv'!L27</f>
        <v>46.26</v>
      </c>
      <c r="M27" s="37">
        <f>'Agg prdcrv'!M27</f>
        <v>44.59</v>
      </c>
      <c r="N27" s="37">
        <f>'Agg prdcrv'!N27</f>
        <v>44.91</v>
      </c>
      <c r="O27" s="37">
        <f>'Agg prdcrv'!O27</f>
        <v>46.14</v>
      </c>
      <c r="P27" s="37">
        <f>'Agg prdcrv'!P27</f>
        <v>46.25</v>
      </c>
    </row>
    <row r="28" spans="1:16">
      <c r="A28" s="9" t="s">
        <v>32</v>
      </c>
      <c r="B28" s="37">
        <v>2010</v>
      </c>
      <c r="C28" s="37">
        <v>1</v>
      </c>
      <c r="D28" s="72">
        <v>999999</v>
      </c>
      <c r="E28" s="72">
        <v>999999</v>
      </c>
      <c r="F28" s="72">
        <v>999999</v>
      </c>
      <c r="G28" s="37">
        <f>'Agg prdcrv'!G28</f>
        <v>0</v>
      </c>
      <c r="H28" s="37">
        <f>'Agg prdcrv'!H28</f>
        <v>8.66</v>
      </c>
      <c r="J28" s="37">
        <v>2010</v>
      </c>
      <c r="K28" s="37">
        <v>1</v>
      </c>
      <c r="L28" s="37">
        <f>'Agg prdcrv'!L28</f>
        <v>34.28</v>
      </c>
      <c r="M28" s="37">
        <f>'Agg prdcrv'!M28</f>
        <v>33.409999999999997</v>
      </c>
      <c r="N28" s="37">
        <f>'Agg prdcrv'!N28</f>
        <v>33.57</v>
      </c>
      <c r="O28" s="37">
        <f>'Agg prdcrv'!O28</f>
        <v>33.47</v>
      </c>
      <c r="P28" s="37">
        <f>'Agg prdcrv'!P28</f>
        <v>32.83</v>
      </c>
    </row>
    <row r="29" spans="1:16">
      <c r="A29" s="9" t="s">
        <v>31</v>
      </c>
      <c r="B29" s="37">
        <v>2010</v>
      </c>
      <c r="C29" s="37">
        <v>1</v>
      </c>
      <c r="D29" s="72">
        <v>999999</v>
      </c>
      <c r="E29" s="72">
        <v>999999</v>
      </c>
      <c r="F29" s="72">
        <v>999999</v>
      </c>
      <c r="G29" s="37">
        <f>'Agg prdcrv'!G29</f>
        <v>0</v>
      </c>
      <c r="H29" s="37">
        <f>'Agg prdcrv'!H29</f>
        <v>28.14</v>
      </c>
      <c r="J29" s="37">
        <v>2010</v>
      </c>
      <c r="K29" s="37">
        <v>1</v>
      </c>
      <c r="L29" s="37">
        <f>'Agg prdcrv'!L29</f>
        <v>28.5</v>
      </c>
      <c r="M29" s="37">
        <f>'Agg prdcrv'!M29</f>
        <v>32.93</v>
      </c>
      <c r="N29" s="37">
        <f>'Agg prdcrv'!N29</f>
        <v>33.409999999999997</v>
      </c>
      <c r="O29" s="37">
        <f>'Agg prdcrv'!O29</f>
        <v>32.81</v>
      </c>
      <c r="P29" s="37">
        <f>'Agg prdcrv'!P29</f>
        <v>33.299999999999997</v>
      </c>
    </row>
    <row r="30" spans="1:16">
      <c r="A30" s="9" t="s">
        <v>266</v>
      </c>
      <c r="B30" s="37">
        <v>2010</v>
      </c>
      <c r="C30" s="37">
        <v>1</v>
      </c>
      <c r="D30" s="72">
        <v>999999</v>
      </c>
      <c r="E30" s="72">
        <v>999999</v>
      </c>
      <c r="F30" s="72">
        <v>999999</v>
      </c>
      <c r="G30" s="37">
        <f>'Agg prdcrv'!G30</f>
        <v>0</v>
      </c>
      <c r="H30" s="37">
        <f>'Agg prdcrv'!H30</f>
        <v>55.38</v>
      </c>
      <c r="J30" s="37">
        <v>2010</v>
      </c>
      <c r="K30" s="37">
        <v>1</v>
      </c>
      <c r="L30" s="37">
        <f>'Agg prdcrv'!L30</f>
        <v>39.44</v>
      </c>
      <c r="M30" s="37">
        <f>'Agg prdcrv'!M30</f>
        <v>39.67</v>
      </c>
      <c r="N30" s="37">
        <f>'Agg prdcrv'!N30</f>
        <v>38.71</v>
      </c>
      <c r="O30" s="37">
        <f>'Agg prdcrv'!O30</f>
        <v>39.94</v>
      </c>
      <c r="P30" s="37">
        <f>'Agg prdcrv'!P30</f>
        <v>41.74</v>
      </c>
    </row>
    <row r="31" spans="1:16">
      <c r="A31" s="9" t="s">
        <v>269</v>
      </c>
      <c r="B31" s="37">
        <v>2010</v>
      </c>
      <c r="C31" s="37">
        <v>1</v>
      </c>
      <c r="D31" s="72">
        <v>999999</v>
      </c>
      <c r="E31" s="72">
        <v>999999</v>
      </c>
      <c r="F31" s="72">
        <v>999999</v>
      </c>
      <c r="G31" s="37">
        <f>'Agg prdcrv'!G31</f>
        <v>9.18</v>
      </c>
      <c r="H31" s="37">
        <f>'Agg prdcrv'!H31</f>
        <v>1.73</v>
      </c>
      <c r="J31" s="37">
        <v>2010</v>
      </c>
      <c r="K31" s="37">
        <v>1</v>
      </c>
      <c r="L31" s="37">
        <f>'Agg prdcrv'!L31</f>
        <v>28.5</v>
      </c>
      <c r="M31" s="37">
        <f>'Agg prdcrv'!M31</f>
        <v>28.5</v>
      </c>
      <c r="N31" s="37">
        <f>'Agg prdcrv'!N31</f>
        <v>28.5</v>
      </c>
      <c r="O31" s="37">
        <f>'Agg prdcrv'!O31</f>
        <v>28.5</v>
      </c>
      <c r="P31" s="37">
        <f>'Agg prdcrv'!P31</f>
        <v>28.5</v>
      </c>
    </row>
    <row r="32" spans="1:16">
      <c r="A32" s="9" t="s">
        <v>30</v>
      </c>
      <c r="B32" s="37">
        <v>2010</v>
      </c>
      <c r="C32" s="37">
        <v>1</v>
      </c>
      <c r="D32" s="72">
        <v>999999</v>
      </c>
      <c r="E32" s="72">
        <v>999999</v>
      </c>
      <c r="F32" s="72">
        <v>999999</v>
      </c>
      <c r="G32" s="37">
        <f>'Agg prdcrv'!G32</f>
        <v>0</v>
      </c>
      <c r="H32" s="37">
        <f>'Agg prdcrv'!H32</f>
        <v>2.89</v>
      </c>
      <c r="J32" s="37">
        <v>2010</v>
      </c>
      <c r="K32" s="37">
        <v>1</v>
      </c>
      <c r="L32" s="37">
        <f>'Agg prdcrv'!L32</f>
        <v>22.98</v>
      </c>
      <c r="M32" s="37">
        <f>'Agg prdcrv'!M32</f>
        <v>27.68</v>
      </c>
      <c r="N32" s="37">
        <f>'Agg prdcrv'!N32</f>
        <v>27.74</v>
      </c>
      <c r="O32" s="37">
        <f>'Agg prdcrv'!O32</f>
        <v>26.9</v>
      </c>
      <c r="P32" s="37">
        <f>'Agg prdcrv'!P32</f>
        <v>28.5</v>
      </c>
    </row>
    <row r="33" spans="1:16">
      <c r="A33" s="9" t="s">
        <v>26</v>
      </c>
      <c r="B33" s="37">
        <v>2010</v>
      </c>
      <c r="C33" s="37">
        <v>1</v>
      </c>
      <c r="D33" s="72">
        <v>999999</v>
      </c>
      <c r="E33" s="72">
        <v>999999</v>
      </c>
      <c r="F33" s="72">
        <v>999999</v>
      </c>
      <c r="G33" s="37">
        <f>'Agg prdcrv'!G33</f>
        <v>0.86</v>
      </c>
      <c r="H33" s="37">
        <f>'Agg prdcrv'!H33</f>
        <v>27.25</v>
      </c>
      <c r="J33" s="37">
        <v>2010</v>
      </c>
      <c r="K33" s="37">
        <v>1</v>
      </c>
      <c r="L33" s="37">
        <f>'Agg prdcrv'!L33</f>
        <v>36.42</v>
      </c>
      <c r="M33" s="37">
        <f>'Agg prdcrv'!M33</f>
        <v>36.42</v>
      </c>
      <c r="N33" s="37">
        <f>'Agg prdcrv'!N33</f>
        <v>37.04</v>
      </c>
      <c r="O33" s="37">
        <f>'Agg prdcrv'!O33</f>
        <v>36.549999999999997</v>
      </c>
      <c r="P33" s="37">
        <f>'Agg prdcrv'!P33</f>
        <v>36.549999999999997</v>
      </c>
    </row>
    <row r="34" spans="1:16">
      <c r="A34" s="9" t="s">
        <v>271</v>
      </c>
      <c r="B34" s="37">
        <v>2010</v>
      </c>
      <c r="C34" s="37">
        <v>1</v>
      </c>
      <c r="D34" s="72">
        <v>999999</v>
      </c>
      <c r="E34" s="72">
        <v>999999</v>
      </c>
      <c r="F34" s="72">
        <v>999999</v>
      </c>
      <c r="G34" s="37">
        <f>'Agg prdcrv'!G34</f>
        <v>0</v>
      </c>
      <c r="H34" s="37">
        <f>'Agg prdcrv'!H34</f>
        <v>0.77</v>
      </c>
      <c r="J34" s="37">
        <v>2010</v>
      </c>
      <c r="K34" s="37">
        <v>1</v>
      </c>
      <c r="L34" s="37">
        <f>'Agg prdcrv'!L34</f>
        <v>47.76</v>
      </c>
      <c r="M34" s="37">
        <f>'Agg prdcrv'!M34</f>
        <v>46.94</v>
      </c>
      <c r="N34" s="37">
        <f>'Agg prdcrv'!N34</f>
        <v>46.48</v>
      </c>
      <c r="O34" s="37">
        <f>'Agg prdcrv'!O34</f>
        <v>48.44</v>
      </c>
      <c r="P34" s="37">
        <f>'Agg prdcrv'!P34</f>
        <v>46.06</v>
      </c>
    </row>
    <row r="35" spans="1:16">
      <c r="A35" s="9" t="s">
        <v>143</v>
      </c>
      <c r="B35" s="37">
        <v>2010</v>
      </c>
      <c r="C35" s="37">
        <v>1</v>
      </c>
      <c r="D35" s="72">
        <v>999999</v>
      </c>
      <c r="E35" s="72">
        <v>999999</v>
      </c>
      <c r="F35" s="72">
        <v>999999</v>
      </c>
      <c r="G35" s="37">
        <f>'Agg prdcrv'!G35</f>
        <v>0.87</v>
      </c>
      <c r="H35" s="37">
        <f>'Agg prdcrv'!H35</f>
        <v>23.42</v>
      </c>
      <c r="J35" s="37">
        <v>2010</v>
      </c>
      <c r="K35" s="37">
        <v>1</v>
      </c>
      <c r="L35" s="37">
        <f>'Agg prdcrv'!L35</f>
        <v>59.99</v>
      </c>
      <c r="M35" s="37">
        <f>'Agg prdcrv'!M35</f>
        <v>57.94</v>
      </c>
      <c r="N35" s="37">
        <f>'Agg prdcrv'!N35</f>
        <v>57.53</v>
      </c>
      <c r="O35" s="37">
        <f>'Agg prdcrv'!O35</f>
        <v>60.17</v>
      </c>
      <c r="P35" s="37">
        <f>'Agg prdcrv'!P35</f>
        <v>57.56</v>
      </c>
    </row>
    <row r="36" spans="1:16">
      <c r="A36" s="9" t="s">
        <v>144</v>
      </c>
      <c r="B36" s="37">
        <v>2010</v>
      </c>
      <c r="C36" s="37">
        <v>1</v>
      </c>
      <c r="D36" s="72">
        <v>999999</v>
      </c>
      <c r="E36" s="72">
        <v>999999</v>
      </c>
      <c r="F36" s="72">
        <v>999999</v>
      </c>
      <c r="G36" s="37">
        <f>'Agg prdcrv'!G36</f>
        <v>0.92</v>
      </c>
      <c r="H36" s="37">
        <f>'Agg prdcrv'!H36</f>
        <v>44.35</v>
      </c>
      <c r="J36" s="37">
        <v>2010</v>
      </c>
      <c r="K36" s="37">
        <v>1</v>
      </c>
      <c r="L36" s="37">
        <f>'Agg prdcrv'!L36</f>
        <v>34.409999999999997</v>
      </c>
      <c r="M36" s="37">
        <f>'Agg prdcrv'!M36</f>
        <v>37.18</v>
      </c>
      <c r="N36" s="37">
        <f>'Agg prdcrv'!N36</f>
        <v>37.700000000000003</v>
      </c>
      <c r="O36" s="37">
        <f>'Agg prdcrv'!O36</f>
        <v>36.729999999999997</v>
      </c>
      <c r="P36" s="37">
        <f>'Agg prdcrv'!P36</f>
        <v>32.450000000000003</v>
      </c>
    </row>
    <row r="37" spans="1:16">
      <c r="A37" s="9" t="s">
        <v>14</v>
      </c>
      <c r="B37" s="37">
        <v>2010</v>
      </c>
      <c r="C37" s="37">
        <v>1</v>
      </c>
      <c r="D37" s="72">
        <v>999999</v>
      </c>
      <c r="E37" s="72">
        <v>999999</v>
      </c>
      <c r="F37" s="72">
        <v>999999</v>
      </c>
      <c r="G37" s="37">
        <f>'Agg prdcrv'!G37</f>
        <v>0</v>
      </c>
      <c r="H37" s="37">
        <f>'Agg prdcrv'!H37</f>
        <v>14.48</v>
      </c>
      <c r="J37" s="37">
        <v>2010</v>
      </c>
      <c r="K37" s="37">
        <v>1</v>
      </c>
      <c r="L37" s="37">
        <f>'Agg prdcrv'!L37</f>
        <v>49.38</v>
      </c>
      <c r="M37" s="37">
        <f>'Agg prdcrv'!M37</f>
        <v>48.41</v>
      </c>
      <c r="N37" s="37">
        <f>'Agg prdcrv'!N37</f>
        <v>48.64</v>
      </c>
      <c r="O37" s="37">
        <f>'Agg prdcrv'!O37</f>
        <v>49.87</v>
      </c>
      <c r="P37" s="37">
        <f>'Agg prdcrv'!P37</f>
        <v>49.6</v>
      </c>
    </row>
    <row r="38" spans="1:16">
      <c r="A38" s="9" t="s">
        <v>145</v>
      </c>
      <c r="B38" s="37">
        <v>2010</v>
      </c>
      <c r="C38" s="37">
        <v>1</v>
      </c>
      <c r="D38" s="72">
        <v>999999</v>
      </c>
      <c r="E38" s="72">
        <v>999999</v>
      </c>
      <c r="F38" s="72">
        <v>999999</v>
      </c>
      <c r="G38" s="37">
        <f>'Agg prdcrv'!G38</f>
        <v>0</v>
      </c>
      <c r="H38" s="37">
        <f>'Agg prdcrv'!H38</f>
        <v>24.19</v>
      </c>
      <c r="J38" s="37">
        <v>2010</v>
      </c>
      <c r="K38" s="37">
        <v>1</v>
      </c>
      <c r="L38" s="37">
        <f>'Agg prdcrv'!L38</f>
        <v>22.44</v>
      </c>
      <c r="M38" s="37">
        <f>'Agg prdcrv'!M38</f>
        <v>22</v>
      </c>
      <c r="N38" s="37">
        <f>'Agg prdcrv'!N38</f>
        <v>22.11</v>
      </c>
      <c r="O38" s="37">
        <f>'Agg prdcrv'!O38</f>
        <v>22.67</v>
      </c>
      <c r="P38" s="37">
        <f>'Agg prdcrv'!P38</f>
        <v>22.55</v>
      </c>
    </row>
    <row r="39" spans="1:16">
      <c r="A39" s="9" t="s">
        <v>146</v>
      </c>
      <c r="B39" s="37">
        <v>2010</v>
      </c>
      <c r="C39" s="37">
        <v>1</v>
      </c>
      <c r="D39" s="72">
        <v>999999</v>
      </c>
      <c r="E39" s="72">
        <v>999999</v>
      </c>
      <c r="F39" s="72">
        <v>999999</v>
      </c>
      <c r="G39" s="37">
        <f>'Agg prdcrv'!G39</f>
        <v>0.78</v>
      </c>
      <c r="H39" s="37">
        <f>'Agg prdcrv'!H39</f>
        <v>13.18</v>
      </c>
      <c r="J39" s="37">
        <v>2010</v>
      </c>
      <c r="K39" s="37">
        <v>1</v>
      </c>
      <c r="L39" s="37">
        <f>'Agg prdcrv'!L39</f>
        <v>27.43</v>
      </c>
      <c r="M39" s="37">
        <f>'Agg prdcrv'!M39</f>
        <v>26.89</v>
      </c>
      <c r="N39" s="37">
        <f>'Agg prdcrv'!N39</f>
        <v>27.02</v>
      </c>
      <c r="O39" s="37">
        <f>'Agg prdcrv'!O39</f>
        <v>27.71</v>
      </c>
      <c r="P39" s="37">
        <f>'Agg prdcrv'!P39</f>
        <v>27.56</v>
      </c>
    </row>
    <row r="40" spans="1:16">
      <c r="A40" s="9" t="s">
        <v>147</v>
      </c>
      <c r="B40" s="37">
        <v>2010</v>
      </c>
      <c r="C40" s="37">
        <v>1</v>
      </c>
      <c r="D40" s="72">
        <v>999999</v>
      </c>
      <c r="E40" s="72">
        <v>999999</v>
      </c>
      <c r="F40" s="72">
        <v>999999</v>
      </c>
      <c r="G40" s="37">
        <f>'Agg prdcrv'!G40</f>
        <v>0</v>
      </c>
      <c r="H40" s="37">
        <f>'Agg prdcrv'!H40</f>
        <v>47.36</v>
      </c>
      <c r="J40" s="37">
        <v>2010</v>
      </c>
      <c r="K40" s="37">
        <v>1</v>
      </c>
      <c r="L40" s="37">
        <f>'Agg prdcrv'!L40</f>
        <v>20.57</v>
      </c>
      <c r="M40" s="37">
        <f>'Agg prdcrv'!M40</f>
        <v>20.170000000000002</v>
      </c>
      <c r="N40" s="37">
        <f>'Agg prdcrv'!N40</f>
        <v>20.27</v>
      </c>
      <c r="O40" s="37">
        <f>'Agg prdcrv'!O40</f>
        <v>20.78</v>
      </c>
      <c r="P40" s="37">
        <f>'Agg prdcrv'!P40</f>
        <v>20.67</v>
      </c>
    </row>
    <row r="41" spans="1:16">
      <c r="A41" s="9" t="s">
        <v>398</v>
      </c>
      <c r="D41" s="72">
        <v>999999</v>
      </c>
      <c r="E41" s="72">
        <v>999999</v>
      </c>
      <c r="F41" s="72">
        <v>999999</v>
      </c>
    </row>
    <row r="42" spans="1:16">
      <c r="A42" s="9" t="s">
        <v>20</v>
      </c>
      <c r="B42" s="37">
        <v>2015</v>
      </c>
      <c r="C42" s="37">
        <v>1</v>
      </c>
      <c r="D42" s="72">
        <v>999999</v>
      </c>
      <c r="E42" s="72">
        <v>999999</v>
      </c>
      <c r="F42" s="72">
        <v>999999</v>
      </c>
      <c r="G42" s="37">
        <f>'Agg prdcrv'!G42</f>
        <v>0</v>
      </c>
      <c r="H42" s="37">
        <f>'Agg prdcrv'!H42</f>
        <v>0</v>
      </c>
      <c r="J42" s="37">
        <v>2015</v>
      </c>
      <c r="K42" s="37">
        <v>1</v>
      </c>
      <c r="L42" s="37">
        <f>'Agg prdcrv'!L42</f>
        <v>113.56</v>
      </c>
      <c r="M42" s="37">
        <f>'Agg prdcrv'!M42</f>
        <v>113.5</v>
      </c>
      <c r="N42" s="37">
        <f>'Agg prdcrv'!N42</f>
        <v>113.56</v>
      </c>
      <c r="O42" s="37">
        <f>'Agg prdcrv'!O42</f>
        <v>113.3</v>
      </c>
      <c r="P42" s="37">
        <f>'Agg prdcrv'!P42</f>
        <v>113.5</v>
      </c>
    </row>
    <row r="43" spans="1:16">
      <c r="A43" s="9" t="s">
        <v>17</v>
      </c>
      <c r="B43" s="37">
        <v>2015</v>
      </c>
      <c r="C43" s="37">
        <v>1</v>
      </c>
      <c r="D43" s="72">
        <v>999999</v>
      </c>
      <c r="E43" s="72">
        <v>999999</v>
      </c>
      <c r="F43" s="72">
        <v>999999</v>
      </c>
      <c r="G43" s="37">
        <f>'Agg prdcrv'!G43</f>
        <v>0</v>
      </c>
      <c r="H43" s="37">
        <f>'Agg prdcrv'!H43</f>
        <v>21.3</v>
      </c>
      <c r="J43" s="37">
        <v>2015</v>
      </c>
      <c r="K43" s="37">
        <v>1</v>
      </c>
      <c r="L43" s="37">
        <f>'Agg prdcrv'!L43</f>
        <v>43.2</v>
      </c>
      <c r="M43" s="37">
        <f>'Agg prdcrv'!M43</f>
        <v>43.66</v>
      </c>
      <c r="N43" s="37">
        <f>'Agg prdcrv'!N43</f>
        <v>43.07</v>
      </c>
      <c r="O43" s="37">
        <f>'Agg prdcrv'!O43</f>
        <v>42.88</v>
      </c>
      <c r="P43" s="37">
        <f>'Agg prdcrv'!P43</f>
        <v>30.68</v>
      </c>
    </row>
    <row r="44" spans="1:16">
      <c r="A44" s="9" t="s">
        <v>10</v>
      </c>
      <c r="B44" s="37">
        <v>2015</v>
      </c>
      <c r="C44" s="37">
        <v>1</v>
      </c>
      <c r="D44" s="72">
        <v>999999</v>
      </c>
      <c r="E44" s="72">
        <v>999999</v>
      </c>
      <c r="F44" s="72">
        <v>999999</v>
      </c>
      <c r="G44" s="37">
        <f>'Agg prdcrv'!G44</f>
        <v>0.96</v>
      </c>
      <c r="H44" s="37">
        <f>'Agg prdcrv'!H44</f>
        <v>5.42</v>
      </c>
      <c r="J44" s="37">
        <v>2015</v>
      </c>
      <c r="K44" s="37">
        <v>1</v>
      </c>
      <c r="L44" s="37">
        <f>'Agg prdcrv'!L44</f>
        <v>37.53</v>
      </c>
      <c r="M44" s="37">
        <f>'Agg prdcrv'!M44</f>
        <v>36.57</v>
      </c>
      <c r="N44" s="37">
        <f>'Agg prdcrv'!N44</f>
        <v>37.409999999999997</v>
      </c>
      <c r="O44" s="37">
        <f>'Agg prdcrv'!O44</f>
        <v>35.19</v>
      </c>
      <c r="P44" s="37">
        <f>'Agg prdcrv'!P44</f>
        <v>37.53</v>
      </c>
    </row>
    <row r="45" spans="1:16">
      <c r="A45" s="9" t="s">
        <v>11</v>
      </c>
      <c r="B45" s="37">
        <v>2015</v>
      </c>
      <c r="C45" s="37">
        <v>1</v>
      </c>
      <c r="D45" s="72">
        <v>999999</v>
      </c>
      <c r="E45" s="72">
        <v>999999</v>
      </c>
      <c r="F45" s="72">
        <v>999999</v>
      </c>
      <c r="G45" s="37">
        <f>'Agg prdcrv'!G45</f>
        <v>0.5</v>
      </c>
      <c r="H45" s="37">
        <f>'Agg prdcrv'!H45</f>
        <v>1.02</v>
      </c>
      <c r="J45" s="37">
        <v>2015</v>
      </c>
      <c r="K45" s="37">
        <v>1</v>
      </c>
      <c r="L45" s="37">
        <f>'Agg prdcrv'!L45</f>
        <v>113.56</v>
      </c>
      <c r="M45" s="37">
        <f>'Agg prdcrv'!M45</f>
        <v>113.5</v>
      </c>
      <c r="N45" s="37">
        <f>'Agg prdcrv'!N45</f>
        <v>113.56</v>
      </c>
      <c r="O45" s="37">
        <f>'Agg prdcrv'!O45</f>
        <v>113.5</v>
      </c>
      <c r="P45" s="37">
        <f>'Agg prdcrv'!P45</f>
        <v>113.5</v>
      </c>
    </row>
    <row r="46" spans="1:16">
      <c r="A46" s="9" t="s">
        <v>32</v>
      </c>
      <c r="B46" s="37">
        <v>2015</v>
      </c>
      <c r="C46" s="37">
        <v>1</v>
      </c>
      <c r="D46" s="72">
        <v>999999</v>
      </c>
      <c r="E46" s="72">
        <v>999999</v>
      </c>
      <c r="F46" s="72">
        <v>999999</v>
      </c>
      <c r="G46" s="37">
        <f>'Agg prdcrv'!G46</f>
        <v>0</v>
      </c>
      <c r="H46" s="37">
        <f>'Agg prdcrv'!H46</f>
        <v>9.56</v>
      </c>
      <c r="J46" s="37">
        <v>2015</v>
      </c>
      <c r="K46" s="37">
        <v>1</v>
      </c>
      <c r="L46" s="37">
        <f>'Agg prdcrv'!L46</f>
        <v>29.19</v>
      </c>
      <c r="M46" s="37">
        <f>'Agg prdcrv'!M46</f>
        <v>29.19</v>
      </c>
      <c r="N46" s="37">
        <f>'Agg prdcrv'!N46</f>
        <v>29.66</v>
      </c>
      <c r="O46" s="37">
        <f>'Agg prdcrv'!O46</f>
        <v>28.46</v>
      </c>
      <c r="P46" s="37">
        <f>'Agg prdcrv'!P46</f>
        <v>29.74</v>
      </c>
    </row>
    <row r="47" spans="1:16">
      <c r="A47" s="9" t="s">
        <v>31</v>
      </c>
      <c r="B47" s="37">
        <v>2015</v>
      </c>
      <c r="C47" s="37">
        <v>1</v>
      </c>
      <c r="D47" s="72">
        <v>999999</v>
      </c>
      <c r="E47" s="72">
        <v>999999</v>
      </c>
      <c r="F47" s="72">
        <v>999999</v>
      </c>
      <c r="G47" s="37">
        <f>'Agg prdcrv'!G47</f>
        <v>0</v>
      </c>
      <c r="H47" s="37">
        <f>'Agg prdcrv'!H47</f>
        <v>26.76</v>
      </c>
      <c r="J47" s="37">
        <v>2015</v>
      </c>
      <c r="K47" s="37">
        <v>1</v>
      </c>
      <c r="L47" s="37">
        <f>'Agg prdcrv'!L47</f>
        <v>28.79</v>
      </c>
      <c r="M47" s="37">
        <f>'Agg prdcrv'!M47</f>
        <v>28.79</v>
      </c>
      <c r="N47" s="37">
        <f>'Agg prdcrv'!N47</f>
        <v>29.26</v>
      </c>
      <c r="O47" s="37">
        <f>'Agg prdcrv'!O47</f>
        <v>28.39</v>
      </c>
      <c r="P47" s="37">
        <f>'Agg prdcrv'!P47</f>
        <v>29.74</v>
      </c>
    </row>
    <row r="48" spans="1:16">
      <c r="A48" s="9" t="s">
        <v>266</v>
      </c>
      <c r="B48" s="37">
        <v>2015</v>
      </c>
      <c r="C48" s="37">
        <v>1</v>
      </c>
      <c r="D48" s="72">
        <v>999999</v>
      </c>
      <c r="E48" s="72">
        <v>999999</v>
      </c>
      <c r="F48" s="72">
        <v>999999</v>
      </c>
      <c r="G48" s="37">
        <f>'Agg prdcrv'!G48</f>
        <v>0</v>
      </c>
      <c r="H48" s="37">
        <f>'Agg prdcrv'!H48</f>
        <v>50.1</v>
      </c>
      <c r="J48" s="37">
        <v>2015</v>
      </c>
      <c r="K48" s="37">
        <v>1</v>
      </c>
      <c r="L48" s="37">
        <f>'Agg prdcrv'!L48</f>
        <v>35.21</v>
      </c>
      <c r="M48" s="37">
        <f>'Agg prdcrv'!M48</f>
        <v>34.32</v>
      </c>
      <c r="N48" s="37">
        <f>'Agg prdcrv'!N48</f>
        <v>34.159999999999997</v>
      </c>
      <c r="O48" s="37">
        <f>'Agg prdcrv'!O48</f>
        <v>37.049999999999997</v>
      </c>
      <c r="P48" s="37">
        <f>'Agg prdcrv'!P48</f>
        <v>36.26</v>
      </c>
    </row>
    <row r="49" spans="1:16">
      <c r="A49" s="9" t="s">
        <v>269</v>
      </c>
      <c r="B49" s="37">
        <v>2015</v>
      </c>
      <c r="C49" s="37">
        <v>1</v>
      </c>
      <c r="D49" s="72">
        <v>999999</v>
      </c>
      <c r="E49" s="72">
        <v>999999</v>
      </c>
      <c r="F49" s="72">
        <v>999999</v>
      </c>
      <c r="G49" s="37">
        <f>'Agg prdcrv'!G49</f>
        <v>10.130000000000001</v>
      </c>
      <c r="H49" s="37">
        <f>'Agg prdcrv'!H49</f>
        <v>1.91</v>
      </c>
      <c r="J49" s="37">
        <v>2015</v>
      </c>
      <c r="K49" s="37">
        <v>1</v>
      </c>
      <c r="L49" s="37">
        <f>'Agg prdcrv'!L49</f>
        <v>28.5</v>
      </c>
      <c r="M49" s="37">
        <f>'Agg prdcrv'!M49</f>
        <v>28.5</v>
      </c>
      <c r="N49" s="37">
        <f>'Agg prdcrv'!N49</f>
        <v>28.5</v>
      </c>
      <c r="O49" s="37">
        <f>'Agg prdcrv'!O49</f>
        <v>28.5</v>
      </c>
      <c r="P49" s="37">
        <f>'Agg prdcrv'!P49</f>
        <v>28.5</v>
      </c>
    </row>
    <row r="50" spans="1:16">
      <c r="A50" s="9" t="s">
        <v>30</v>
      </c>
      <c r="B50" s="37">
        <v>2015</v>
      </c>
      <c r="C50" s="37">
        <v>1</v>
      </c>
      <c r="D50" s="72">
        <v>999999</v>
      </c>
      <c r="E50" s="72">
        <v>999999</v>
      </c>
      <c r="F50" s="72">
        <v>999999</v>
      </c>
      <c r="G50" s="37">
        <f>'Agg prdcrv'!G50</f>
        <v>0</v>
      </c>
      <c r="H50" s="37">
        <f>'Agg prdcrv'!H50</f>
        <v>3.19</v>
      </c>
      <c r="J50" s="37">
        <v>2015</v>
      </c>
      <c r="K50" s="37">
        <v>1</v>
      </c>
      <c r="L50" s="37">
        <f>'Agg prdcrv'!L50</f>
        <v>21.68</v>
      </c>
      <c r="M50" s="37">
        <f>'Agg prdcrv'!M50</f>
        <v>21.68</v>
      </c>
      <c r="N50" s="37">
        <f>'Agg prdcrv'!N50</f>
        <v>21.68</v>
      </c>
      <c r="O50" s="37">
        <f>'Agg prdcrv'!O50</f>
        <v>21.68</v>
      </c>
      <c r="P50" s="37">
        <f>'Agg prdcrv'!P50</f>
        <v>21.68</v>
      </c>
    </row>
    <row r="51" spans="1:16">
      <c r="A51" s="9" t="s">
        <v>26</v>
      </c>
      <c r="B51" s="37">
        <v>2015</v>
      </c>
      <c r="C51" s="37">
        <v>1</v>
      </c>
      <c r="D51" s="72">
        <v>999999</v>
      </c>
      <c r="E51" s="72">
        <v>999999</v>
      </c>
      <c r="F51" s="72">
        <v>999999</v>
      </c>
      <c r="G51" s="37">
        <f>'Agg prdcrv'!G51</f>
        <v>0.94</v>
      </c>
      <c r="H51" s="37">
        <f>'Agg prdcrv'!H51</f>
        <v>29.5</v>
      </c>
      <c r="J51" s="37">
        <v>2015</v>
      </c>
      <c r="K51" s="37">
        <v>1</v>
      </c>
      <c r="L51" s="37">
        <f>'Agg prdcrv'!L51</f>
        <v>32.450000000000003</v>
      </c>
      <c r="M51" s="37">
        <f>'Agg prdcrv'!M51</f>
        <v>32.450000000000003</v>
      </c>
      <c r="N51" s="37">
        <f>'Agg prdcrv'!N51</f>
        <v>33.04</v>
      </c>
      <c r="O51" s="37">
        <f>'Agg prdcrv'!O51</f>
        <v>32.549999999999997</v>
      </c>
      <c r="P51" s="37">
        <f>'Agg prdcrv'!P51</f>
        <v>32.549999999999997</v>
      </c>
    </row>
    <row r="52" spans="1:16">
      <c r="A52" s="9" t="s">
        <v>271</v>
      </c>
      <c r="B52" s="37">
        <v>2015</v>
      </c>
      <c r="C52" s="37">
        <v>1</v>
      </c>
      <c r="D52" s="72">
        <v>999999</v>
      </c>
      <c r="E52" s="72">
        <v>999999</v>
      </c>
      <c r="F52" s="72">
        <v>999999</v>
      </c>
      <c r="G52" s="37">
        <f>'Agg prdcrv'!G52</f>
        <v>0</v>
      </c>
      <c r="H52" s="37">
        <f>'Agg prdcrv'!H52</f>
        <v>0.9</v>
      </c>
      <c r="J52" s="37">
        <v>2015</v>
      </c>
      <c r="K52" s="37">
        <v>1</v>
      </c>
      <c r="L52" s="37">
        <f>'Agg prdcrv'!L52</f>
        <v>47.76</v>
      </c>
      <c r="M52" s="37">
        <f>'Agg prdcrv'!M52</f>
        <v>46.94</v>
      </c>
      <c r="N52" s="37">
        <f>'Agg prdcrv'!N52</f>
        <v>46.48</v>
      </c>
      <c r="O52" s="37">
        <f>'Agg prdcrv'!O52</f>
        <v>48.44</v>
      </c>
      <c r="P52" s="37">
        <f>'Agg prdcrv'!P52</f>
        <v>46.06</v>
      </c>
    </row>
    <row r="53" spans="1:16">
      <c r="A53" s="9" t="s">
        <v>143</v>
      </c>
      <c r="B53" s="37">
        <v>2015</v>
      </c>
      <c r="C53" s="37">
        <v>1</v>
      </c>
      <c r="D53" s="72">
        <v>999999</v>
      </c>
      <c r="E53" s="72">
        <v>999999</v>
      </c>
      <c r="F53" s="72">
        <v>999999</v>
      </c>
      <c r="G53" s="37">
        <f>'Agg prdcrv'!G53</f>
        <v>0.97</v>
      </c>
      <c r="H53" s="37">
        <f>'Agg prdcrv'!H53</f>
        <v>25.86</v>
      </c>
      <c r="J53" s="37">
        <v>2015</v>
      </c>
      <c r="K53" s="37">
        <v>1</v>
      </c>
      <c r="L53" s="37">
        <f>'Agg prdcrv'!L53</f>
        <v>59.99</v>
      </c>
      <c r="M53" s="37">
        <f>'Agg prdcrv'!M53</f>
        <v>57.94</v>
      </c>
      <c r="N53" s="37">
        <f>'Agg prdcrv'!N53</f>
        <v>57.53</v>
      </c>
      <c r="O53" s="37">
        <f>'Agg prdcrv'!O53</f>
        <v>60.17</v>
      </c>
      <c r="P53" s="37">
        <f>'Agg prdcrv'!P53</f>
        <v>57.56</v>
      </c>
    </row>
    <row r="54" spans="1:16">
      <c r="A54" s="9" t="s">
        <v>144</v>
      </c>
      <c r="B54" s="37">
        <v>2015</v>
      </c>
      <c r="C54" s="37">
        <v>1</v>
      </c>
      <c r="D54" s="72">
        <v>999999</v>
      </c>
      <c r="E54" s="72">
        <v>999999</v>
      </c>
      <c r="F54" s="72">
        <v>999999</v>
      </c>
      <c r="G54" s="37">
        <f>'Agg prdcrv'!G54</f>
        <v>1.0900000000000001</v>
      </c>
      <c r="H54" s="37">
        <f>'Agg prdcrv'!H54</f>
        <v>52.67</v>
      </c>
      <c r="J54" s="37">
        <v>2015</v>
      </c>
      <c r="K54" s="37">
        <v>1</v>
      </c>
      <c r="L54" s="37">
        <f>'Agg prdcrv'!L54</f>
        <v>31.91</v>
      </c>
      <c r="M54" s="37">
        <f>'Agg prdcrv'!M54</f>
        <v>30.8</v>
      </c>
      <c r="N54" s="37">
        <f>'Agg prdcrv'!N54</f>
        <v>31.21</v>
      </c>
      <c r="O54" s="37">
        <f>'Agg prdcrv'!O54</f>
        <v>30.4</v>
      </c>
      <c r="P54" s="37">
        <f>'Agg prdcrv'!P54</f>
        <v>31.55</v>
      </c>
    </row>
    <row r="55" spans="1:16">
      <c r="A55" s="9" t="s">
        <v>14</v>
      </c>
      <c r="B55" s="37">
        <v>2015</v>
      </c>
      <c r="C55" s="37">
        <v>1</v>
      </c>
      <c r="D55" s="72">
        <v>999999</v>
      </c>
      <c r="E55" s="72">
        <v>999999</v>
      </c>
      <c r="F55" s="72">
        <v>999999</v>
      </c>
      <c r="G55" s="37">
        <f>'Agg prdcrv'!G55</f>
        <v>0</v>
      </c>
      <c r="H55" s="37">
        <f>'Agg prdcrv'!H55</f>
        <v>17.190000000000001</v>
      </c>
      <c r="J55" s="37">
        <v>2015</v>
      </c>
      <c r="K55" s="37">
        <v>1</v>
      </c>
      <c r="L55" s="37">
        <f>'Agg prdcrv'!L55</f>
        <v>41.43</v>
      </c>
      <c r="M55" s="37">
        <f>'Agg prdcrv'!M55</f>
        <v>41.34</v>
      </c>
      <c r="N55" s="37">
        <f>'Agg prdcrv'!N55</f>
        <v>40.380000000000003</v>
      </c>
      <c r="O55" s="37">
        <f>'Agg prdcrv'!O55</f>
        <v>43.49</v>
      </c>
      <c r="P55" s="37">
        <f>'Agg prdcrv'!P55</f>
        <v>42.21</v>
      </c>
    </row>
    <row r="56" spans="1:16">
      <c r="A56" s="9" t="s">
        <v>145</v>
      </c>
      <c r="B56" s="37">
        <v>2015</v>
      </c>
      <c r="C56" s="37">
        <v>1</v>
      </c>
      <c r="D56" s="72">
        <v>999999</v>
      </c>
      <c r="E56" s="72">
        <v>999999</v>
      </c>
      <c r="F56" s="72">
        <v>999999</v>
      </c>
      <c r="G56" s="37">
        <f>'Agg prdcrv'!G56</f>
        <v>0</v>
      </c>
      <c r="H56" s="37">
        <f>'Agg prdcrv'!H56</f>
        <v>26.06</v>
      </c>
      <c r="J56" s="37">
        <v>2015</v>
      </c>
      <c r="K56" s="37">
        <v>1</v>
      </c>
      <c r="L56" s="37">
        <f>'Agg prdcrv'!L56</f>
        <v>18.829999999999998</v>
      </c>
      <c r="M56" s="37">
        <f>'Agg prdcrv'!M56</f>
        <v>18.79</v>
      </c>
      <c r="N56" s="37">
        <f>'Agg prdcrv'!N56</f>
        <v>18.350000000000001</v>
      </c>
      <c r="O56" s="37">
        <f>'Agg prdcrv'!O56</f>
        <v>19.77</v>
      </c>
      <c r="P56" s="37">
        <f>'Agg prdcrv'!P56</f>
        <v>19.190000000000001</v>
      </c>
    </row>
    <row r="57" spans="1:16">
      <c r="A57" s="9" t="s">
        <v>146</v>
      </c>
      <c r="B57" s="37">
        <v>2015</v>
      </c>
      <c r="C57" s="37">
        <v>1</v>
      </c>
      <c r="D57" s="72">
        <v>999999</v>
      </c>
      <c r="E57" s="72">
        <v>999999</v>
      </c>
      <c r="F57" s="72">
        <v>999999</v>
      </c>
      <c r="G57" s="37">
        <f>'Agg prdcrv'!G57</f>
        <v>0.84</v>
      </c>
      <c r="H57" s="37">
        <f>'Agg prdcrv'!H57</f>
        <v>14.19</v>
      </c>
      <c r="J57" s="37">
        <v>2015</v>
      </c>
      <c r="K57" s="37">
        <v>1</v>
      </c>
      <c r="L57" s="37">
        <f>'Agg prdcrv'!L57</f>
        <v>23.01</v>
      </c>
      <c r="M57" s="37">
        <f>'Agg prdcrv'!M57</f>
        <v>22.97</v>
      </c>
      <c r="N57" s="37">
        <f>'Agg prdcrv'!N57</f>
        <v>22.43</v>
      </c>
      <c r="O57" s="37">
        <f>'Agg prdcrv'!O57</f>
        <v>24.16</v>
      </c>
      <c r="P57" s="37">
        <f>'Agg prdcrv'!P57</f>
        <v>23.45</v>
      </c>
    </row>
    <row r="58" spans="1:16">
      <c r="A58" s="9" t="s">
        <v>147</v>
      </c>
      <c r="B58" s="37">
        <v>2015</v>
      </c>
      <c r="C58" s="37">
        <v>1</v>
      </c>
      <c r="D58" s="72">
        <v>999999</v>
      </c>
      <c r="E58" s="72">
        <v>999999</v>
      </c>
      <c r="F58" s="72">
        <v>999999</v>
      </c>
      <c r="G58" s="37">
        <f>'Agg prdcrv'!G58</f>
        <v>0</v>
      </c>
      <c r="H58" s="37">
        <f>'Agg prdcrv'!H58</f>
        <v>51.02</v>
      </c>
      <c r="J58" s="37">
        <v>2015</v>
      </c>
      <c r="K58" s="37">
        <v>1</v>
      </c>
      <c r="L58" s="37">
        <f>'Agg prdcrv'!L58</f>
        <v>17.260000000000002</v>
      </c>
      <c r="M58" s="37">
        <f>'Agg prdcrv'!M58</f>
        <v>17.23</v>
      </c>
      <c r="N58" s="37">
        <f>'Agg prdcrv'!N58</f>
        <v>16.82</v>
      </c>
      <c r="O58" s="37">
        <f>'Agg prdcrv'!O58</f>
        <v>18.12</v>
      </c>
      <c r="P58" s="37">
        <f>'Agg prdcrv'!P58</f>
        <v>17.59</v>
      </c>
    </row>
    <row r="59" spans="1:16">
      <c r="A59" s="9" t="s">
        <v>398</v>
      </c>
      <c r="D59" s="72">
        <v>999999</v>
      </c>
      <c r="E59" s="72">
        <v>999999</v>
      </c>
      <c r="F59" s="72">
        <v>999999</v>
      </c>
    </row>
    <row r="60" spans="1:16">
      <c r="A60" s="9" t="s">
        <v>20</v>
      </c>
      <c r="B60" s="37">
        <v>2020</v>
      </c>
      <c r="C60" s="37">
        <v>1</v>
      </c>
      <c r="D60" s="72">
        <v>999999</v>
      </c>
      <c r="E60" s="72">
        <v>999999</v>
      </c>
      <c r="F60" s="72">
        <v>999999</v>
      </c>
      <c r="G60" s="37">
        <f>'Agg prdcrv'!G60</f>
        <v>0</v>
      </c>
      <c r="H60" s="37">
        <f>'Agg prdcrv'!H60</f>
        <v>0</v>
      </c>
      <c r="J60" s="37">
        <v>2020</v>
      </c>
      <c r="K60" s="37">
        <v>1</v>
      </c>
      <c r="L60" s="37">
        <f>'Agg prdcrv'!L60</f>
        <v>113.56</v>
      </c>
      <c r="M60" s="37">
        <f>'Agg prdcrv'!M60</f>
        <v>113.5</v>
      </c>
      <c r="N60" s="37">
        <f>'Agg prdcrv'!N60</f>
        <v>113.56</v>
      </c>
      <c r="O60" s="37">
        <f>'Agg prdcrv'!O60</f>
        <v>113.3</v>
      </c>
      <c r="P60" s="37">
        <f>'Agg prdcrv'!P60</f>
        <v>113.5</v>
      </c>
    </row>
    <row r="61" spans="1:16">
      <c r="A61" s="9" t="s">
        <v>17</v>
      </c>
      <c r="B61" s="37">
        <v>2020</v>
      </c>
      <c r="C61" s="37">
        <v>1</v>
      </c>
      <c r="D61" s="72">
        <v>999999</v>
      </c>
      <c r="E61" s="72">
        <v>999999</v>
      </c>
      <c r="F61" s="72">
        <v>999999</v>
      </c>
      <c r="G61" s="37">
        <f>'Agg prdcrv'!G61</f>
        <v>0</v>
      </c>
      <c r="H61" s="37">
        <f>'Agg prdcrv'!H61</f>
        <v>22.94</v>
      </c>
      <c r="J61" s="37">
        <v>2020</v>
      </c>
      <c r="K61" s="37">
        <v>1</v>
      </c>
      <c r="L61" s="37">
        <f>'Agg prdcrv'!L61</f>
        <v>46.77</v>
      </c>
      <c r="M61" s="37">
        <f>'Agg prdcrv'!M61</f>
        <v>47.23</v>
      </c>
      <c r="N61" s="37">
        <f>'Agg prdcrv'!N61</f>
        <v>46.65</v>
      </c>
      <c r="O61" s="37">
        <f>'Agg prdcrv'!O61</f>
        <v>46.46</v>
      </c>
      <c r="P61" s="37">
        <f>'Agg prdcrv'!P61</f>
        <v>30.65</v>
      </c>
    </row>
    <row r="62" spans="1:16">
      <c r="A62" s="9" t="s">
        <v>10</v>
      </c>
      <c r="B62" s="37">
        <v>2020</v>
      </c>
      <c r="C62" s="37">
        <v>1</v>
      </c>
      <c r="D62" s="72">
        <v>999999</v>
      </c>
      <c r="E62" s="72">
        <v>999999</v>
      </c>
      <c r="F62" s="72">
        <v>999999</v>
      </c>
      <c r="G62" s="37">
        <f>'Agg prdcrv'!G62</f>
        <v>1.06</v>
      </c>
      <c r="H62" s="37">
        <f>'Agg prdcrv'!H62</f>
        <v>5.98</v>
      </c>
      <c r="J62" s="37">
        <v>2020</v>
      </c>
      <c r="K62" s="37">
        <v>1</v>
      </c>
      <c r="L62" s="37">
        <f>'Agg prdcrv'!L62</f>
        <v>40.57</v>
      </c>
      <c r="M62" s="37">
        <f>'Agg prdcrv'!M62</f>
        <v>39.6</v>
      </c>
      <c r="N62" s="37">
        <f>'Agg prdcrv'!N62</f>
        <v>41.05</v>
      </c>
      <c r="O62" s="37">
        <f>'Agg prdcrv'!O62</f>
        <v>37.42</v>
      </c>
      <c r="P62" s="37">
        <f>'Agg prdcrv'!P62</f>
        <v>40.35</v>
      </c>
    </row>
    <row r="63" spans="1:16">
      <c r="A63" s="9" t="s">
        <v>11</v>
      </c>
      <c r="B63" s="37">
        <v>2020</v>
      </c>
      <c r="C63" s="37">
        <v>1</v>
      </c>
      <c r="D63" s="72">
        <v>999999</v>
      </c>
      <c r="E63" s="72">
        <v>999999</v>
      </c>
      <c r="F63" s="72">
        <v>999999</v>
      </c>
      <c r="G63" s="37">
        <f>'Agg prdcrv'!G63</f>
        <v>0.12</v>
      </c>
      <c r="H63" s="37">
        <f>'Agg prdcrv'!H63</f>
        <v>0.24</v>
      </c>
      <c r="J63" s="37">
        <v>2020</v>
      </c>
      <c r="K63" s="37">
        <v>1</v>
      </c>
      <c r="L63" s="37">
        <f>'Agg prdcrv'!L63</f>
        <v>113.56</v>
      </c>
      <c r="M63" s="37">
        <f>'Agg prdcrv'!M63</f>
        <v>113.5</v>
      </c>
      <c r="N63" s="37">
        <f>'Agg prdcrv'!N63</f>
        <v>113.56</v>
      </c>
      <c r="O63" s="37">
        <f>'Agg prdcrv'!O63</f>
        <v>113.5</v>
      </c>
      <c r="P63" s="37">
        <f>'Agg prdcrv'!P63</f>
        <v>113.5</v>
      </c>
    </row>
    <row r="64" spans="1:16">
      <c r="A64" s="9" t="s">
        <v>32</v>
      </c>
      <c r="B64" s="37">
        <v>2020</v>
      </c>
      <c r="C64" s="37">
        <v>1</v>
      </c>
      <c r="D64" s="72">
        <v>999999</v>
      </c>
      <c r="E64" s="72">
        <v>999999</v>
      </c>
      <c r="F64" s="72">
        <v>999999</v>
      </c>
      <c r="G64" s="37">
        <f>'Agg prdcrv'!G64</f>
        <v>0</v>
      </c>
      <c r="H64" s="37">
        <f>'Agg prdcrv'!H64</f>
        <v>10.56</v>
      </c>
      <c r="J64" s="37">
        <v>2020</v>
      </c>
      <c r="K64" s="37">
        <v>1</v>
      </c>
      <c r="L64" s="37">
        <f>'Agg prdcrv'!L64</f>
        <v>32.119999999999997</v>
      </c>
      <c r="M64" s="37">
        <f>'Agg prdcrv'!M64</f>
        <v>32.119999999999997</v>
      </c>
      <c r="N64" s="37">
        <f>'Agg prdcrv'!N64</f>
        <v>32.6</v>
      </c>
      <c r="O64" s="37">
        <f>'Agg prdcrv'!O64</f>
        <v>31.37</v>
      </c>
      <c r="P64" s="37">
        <f>'Agg prdcrv'!P64</f>
        <v>30.83</v>
      </c>
    </row>
    <row r="65" spans="1:16">
      <c r="A65" s="9" t="s">
        <v>31</v>
      </c>
      <c r="B65" s="37">
        <v>2020</v>
      </c>
      <c r="C65" s="37">
        <v>1</v>
      </c>
      <c r="D65" s="72">
        <v>999999</v>
      </c>
      <c r="E65" s="72">
        <v>999999</v>
      </c>
      <c r="F65" s="72">
        <v>999999</v>
      </c>
      <c r="G65" s="37">
        <f>'Agg prdcrv'!G65</f>
        <v>0</v>
      </c>
      <c r="H65" s="37">
        <f>'Agg prdcrv'!H65</f>
        <v>25.45</v>
      </c>
      <c r="J65" s="37">
        <v>2020</v>
      </c>
      <c r="K65" s="37">
        <v>1</v>
      </c>
      <c r="L65" s="37">
        <f>'Agg prdcrv'!L65</f>
        <v>31.8</v>
      </c>
      <c r="M65" s="37">
        <f>'Agg prdcrv'!M65</f>
        <v>31.8</v>
      </c>
      <c r="N65" s="37">
        <f>'Agg prdcrv'!N65</f>
        <v>32.28</v>
      </c>
      <c r="O65" s="37">
        <f>'Agg prdcrv'!O65</f>
        <v>31.39</v>
      </c>
      <c r="P65" s="37">
        <f>'Agg prdcrv'!P65</f>
        <v>30.96</v>
      </c>
    </row>
    <row r="66" spans="1:16">
      <c r="A66" s="9" t="s">
        <v>266</v>
      </c>
      <c r="B66" s="37">
        <v>2020</v>
      </c>
      <c r="C66" s="37">
        <v>1</v>
      </c>
      <c r="D66" s="72">
        <v>999999</v>
      </c>
      <c r="E66" s="72">
        <v>999999</v>
      </c>
      <c r="F66" s="72">
        <v>999999</v>
      </c>
      <c r="G66" s="37">
        <f>'Agg prdcrv'!G66</f>
        <v>0</v>
      </c>
      <c r="H66" s="37">
        <f>'Agg prdcrv'!H66</f>
        <v>55.32</v>
      </c>
      <c r="J66" s="37">
        <v>2020</v>
      </c>
      <c r="K66" s="37">
        <v>1</v>
      </c>
      <c r="L66" s="37">
        <f>'Agg prdcrv'!L66</f>
        <v>38.340000000000003</v>
      </c>
      <c r="M66" s="37">
        <f>'Agg prdcrv'!M66</f>
        <v>37.68</v>
      </c>
      <c r="N66" s="37">
        <f>'Agg prdcrv'!N66</f>
        <v>37.28</v>
      </c>
      <c r="O66" s="37">
        <f>'Agg prdcrv'!O66</f>
        <v>38.42</v>
      </c>
      <c r="P66" s="37">
        <f>'Agg prdcrv'!P66</f>
        <v>38.729999999999997</v>
      </c>
    </row>
    <row r="67" spans="1:16">
      <c r="A67" s="9" t="s">
        <v>269</v>
      </c>
      <c r="B67" s="37">
        <v>2020</v>
      </c>
      <c r="C67" s="37">
        <v>1</v>
      </c>
      <c r="D67" s="72">
        <v>999999</v>
      </c>
      <c r="E67" s="72">
        <v>999999</v>
      </c>
      <c r="F67" s="72">
        <v>999999</v>
      </c>
      <c r="G67" s="37">
        <f>'Agg prdcrv'!G67</f>
        <v>11.19</v>
      </c>
      <c r="H67" s="37">
        <f>'Agg prdcrv'!H67</f>
        <v>2.11</v>
      </c>
      <c r="J67" s="37">
        <v>2020</v>
      </c>
      <c r="K67" s="37">
        <v>1</v>
      </c>
      <c r="L67" s="37">
        <f>'Agg prdcrv'!L67</f>
        <v>28.5</v>
      </c>
      <c r="M67" s="37">
        <f>'Agg prdcrv'!M67</f>
        <v>28.5</v>
      </c>
      <c r="N67" s="37">
        <f>'Agg prdcrv'!N67</f>
        <v>28.5</v>
      </c>
      <c r="O67" s="37">
        <f>'Agg prdcrv'!O67</f>
        <v>28.5</v>
      </c>
      <c r="P67" s="37">
        <f>'Agg prdcrv'!P67</f>
        <v>28.5</v>
      </c>
    </row>
    <row r="68" spans="1:16">
      <c r="A68" s="9" t="s">
        <v>30</v>
      </c>
      <c r="B68" s="37">
        <v>2020</v>
      </c>
      <c r="C68" s="37">
        <v>1</v>
      </c>
      <c r="D68" s="72">
        <v>999999</v>
      </c>
      <c r="E68" s="72">
        <v>999999</v>
      </c>
      <c r="F68" s="72">
        <v>999999</v>
      </c>
      <c r="G68" s="37">
        <f>'Agg prdcrv'!G68</f>
        <v>0</v>
      </c>
      <c r="H68" s="37">
        <f>'Agg prdcrv'!H68</f>
        <v>3.52</v>
      </c>
      <c r="J68" s="37">
        <v>2020</v>
      </c>
      <c r="K68" s="37">
        <v>1</v>
      </c>
      <c r="L68" s="37">
        <f>'Agg prdcrv'!L68</f>
        <v>22.5</v>
      </c>
      <c r="M68" s="37">
        <f>'Agg prdcrv'!M68</f>
        <v>24.85</v>
      </c>
      <c r="N68" s="37">
        <f>'Agg prdcrv'!N68</f>
        <v>24.91</v>
      </c>
      <c r="O68" s="37">
        <f>'Agg prdcrv'!O68</f>
        <v>24.09</v>
      </c>
      <c r="P68" s="37">
        <f>'Agg prdcrv'!P68</f>
        <v>11.24</v>
      </c>
    </row>
    <row r="69" spans="1:16">
      <c r="A69" s="9" t="s">
        <v>26</v>
      </c>
      <c r="B69" s="37">
        <v>2020</v>
      </c>
      <c r="C69" s="37">
        <v>1</v>
      </c>
      <c r="D69" s="72">
        <v>999999</v>
      </c>
      <c r="E69" s="72">
        <v>999999</v>
      </c>
      <c r="F69" s="72">
        <v>999999</v>
      </c>
      <c r="G69" s="37">
        <f>'Agg prdcrv'!G69</f>
        <v>1.01</v>
      </c>
      <c r="H69" s="37">
        <f>'Agg prdcrv'!H69</f>
        <v>31.94</v>
      </c>
      <c r="J69" s="37">
        <v>2020</v>
      </c>
      <c r="K69" s="37">
        <v>1</v>
      </c>
      <c r="L69" s="37">
        <f>'Agg prdcrv'!L69</f>
        <v>41.16</v>
      </c>
      <c r="M69" s="37">
        <f>'Agg prdcrv'!M69</f>
        <v>41.16</v>
      </c>
      <c r="N69" s="37">
        <f>'Agg prdcrv'!N69</f>
        <v>41.76</v>
      </c>
      <c r="O69" s="37">
        <f>'Agg prdcrv'!O69</f>
        <v>41.27</v>
      </c>
      <c r="P69" s="37">
        <f>'Agg prdcrv'!P69</f>
        <v>41.27</v>
      </c>
    </row>
    <row r="70" spans="1:16">
      <c r="A70" s="9" t="s">
        <v>271</v>
      </c>
      <c r="B70" s="37">
        <v>2020</v>
      </c>
      <c r="C70" s="37">
        <v>1</v>
      </c>
      <c r="D70" s="72">
        <v>999999</v>
      </c>
      <c r="E70" s="72">
        <v>999999</v>
      </c>
      <c r="F70" s="72">
        <v>999999</v>
      </c>
      <c r="G70" s="37">
        <f>'Agg prdcrv'!G70</f>
        <v>0</v>
      </c>
      <c r="H70" s="37">
        <f>'Agg prdcrv'!H70</f>
        <v>1.04</v>
      </c>
      <c r="J70" s="37">
        <v>2020</v>
      </c>
      <c r="K70" s="37">
        <v>1</v>
      </c>
      <c r="L70" s="37">
        <f>'Agg prdcrv'!L70</f>
        <v>47.76</v>
      </c>
      <c r="M70" s="37">
        <f>'Agg prdcrv'!M70</f>
        <v>46.94</v>
      </c>
      <c r="N70" s="37">
        <f>'Agg prdcrv'!N70</f>
        <v>46.48</v>
      </c>
      <c r="O70" s="37">
        <f>'Agg prdcrv'!O70</f>
        <v>48.44</v>
      </c>
      <c r="P70" s="37">
        <f>'Agg prdcrv'!P70</f>
        <v>46.06</v>
      </c>
    </row>
    <row r="71" spans="1:16">
      <c r="A71" s="9" t="s">
        <v>143</v>
      </c>
      <c r="B71" s="37">
        <v>2020</v>
      </c>
      <c r="C71" s="37">
        <v>1</v>
      </c>
      <c r="D71" s="72">
        <v>999999</v>
      </c>
      <c r="E71" s="72">
        <v>999999</v>
      </c>
      <c r="F71" s="72">
        <v>999999</v>
      </c>
      <c r="G71" s="37">
        <f>'Agg prdcrv'!G71</f>
        <v>1.07</v>
      </c>
      <c r="H71" s="37">
        <f>'Agg prdcrv'!H71</f>
        <v>28.55</v>
      </c>
      <c r="J71" s="37">
        <v>2020</v>
      </c>
      <c r="K71" s="37">
        <v>1</v>
      </c>
      <c r="L71" s="37">
        <f>'Agg prdcrv'!L71</f>
        <v>59.99</v>
      </c>
      <c r="M71" s="37">
        <f>'Agg prdcrv'!M71</f>
        <v>57.94</v>
      </c>
      <c r="N71" s="37">
        <f>'Agg prdcrv'!N71</f>
        <v>57.53</v>
      </c>
      <c r="O71" s="37">
        <f>'Agg prdcrv'!O71</f>
        <v>60.17</v>
      </c>
      <c r="P71" s="37">
        <f>'Agg prdcrv'!P71</f>
        <v>57.56</v>
      </c>
    </row>
    <row r="72" spans="1:16">
      <c r="A72" s="9" t="s">
        <v>144</v>
      </c>
      <c r="B72" s="37">
        <v>2020</v>
      </c>
      <c r="C72" s="37">
        <v>1</v>
      </c>
      <c r="D72" s="72">
        <v>999999</v>
      </c>
      <c r="E72" s="72">
        <v>999999</v>
      </c>
      <c r="F72" s="72">
        <v>999999</v>
      </c>
      <c r="G72" s="37">
        <f>'Agg prdcrv'!G72</f>
        <v>1.29</v>
      </c>
      <c r="H72" s="37">
        <f>'Agg prdcrv'!H72</f>
        <v>62.56</v>
      </c>
      <c r="J72" s="37">
        <v>2020</v>
      </c>
      <c r="K72" s="37">
        <v>1</v>
      </c>
      <c r="L72" s="37">
        <f>'Agg prdcrv'!L72</f>
        <v>31.91</v>
      </c>
      <c r="M72" s="37">
        <f>'Agg prdcrv'!M72</f>
        <v>30.8</v>
      </c>
      <c r="N72" s="37">
        <f>'Agg prdcrv'!N72</f>
        <v>31.21</v>
      </c>
      <c r="O72" s="37">
        <f>'Agg prdcrv'!O72</f>
        <v>30.4</v>
      </c>
      <c r="P72" s="37">
        <f>'Agg prdcrv'!P72</f>
        <v>31.55</v>
      </c>
    </row>
    <row r="73" spans="1:16">
      <c r="A73" s="9" t="s">
        <v>14</v>
      </c>
      <c r="B73" s="37">
        <v>2020</v>
      </c>
      <c r="C73" s="37">
        <v>1</v>
      </c>
      <c r="D73" s="72">
        <v>999999</v>
      </c>
      <c r="E73" s="72">
        <v>999999</v>
      </c>
      <c r="F73" s="72">
        <v>999999</v>
      </c>
      <c r="G73" s="37">
        <f>'Agg prdcrv'!G73</f>
        <v>0</v>
      </c>
      <c r="H73" s="37">
        <f>'Agg prdcrv'!H73</f>
        <v>20.420000000000002</v>
      </c>
      <c r="J73" s="37">
        <v>2020</v>
      </c>
      <c r="K73" s="37">
        <v>1</v>
      </c>
      <c r="L73" s="37">
        <f>'Agg prdcrv'!L73</f>
        <v>44.81</v>
      </c>
      <c r="M73" s="37">
        <f>'Agg prdcrv'!M73</f>
        <v>44.71</v>
      </c>
      <c r="N73" s="37">
        <f>'Agg prdcrv'!N73</f>
        <v>43.75</v>
      </c>
      <c r="O73" s="37">
        <f>'Agg prdcrv'!O73</f>
        <v>44.76</v>
      </c>
      <c r="P73" s="37">
        <f>'Agg prdcrv'!P73</f>
        <v>44.43</v>
      </c>
    </row>
    <row r="74" spans="1:16">
      <c r="A74" s="9" t="s">
        <v>145</v>
      </c>
      <c r="B74" s="37">
        <v>2020</v>
      </c>
      <c r="C74" s="37">
        <v>1</v>
      </c>
      <c r="D74" s="72">
        <v>999999</v>
      </c>
      <c r="E74" s="72">
        <v>999999</v>
      </c>
      <c r="F74" s="72">
        <v>999999</v>
      </c>
      <c r="G74" s="37">
        <f>'Agg prdcrv'!G74</f>
        <v>0</v>
      </c>
      <c r="H74" s="37">
        <f>'Agg prdcrv'!H74</f>
        <v>28.08</v>
      </c>
      <c r="J74" s="37">
        <v>2020</v>
      </c>
      <c r="K74" s="37">
        <v>1</v>
      </c>
      <c r="L74" s="37">
        <f>'Agg prdcrv'!L74</f>
        <v>20.37</v>
      </c>
      <c r="M74" s="37">
        <f>'Agg prdcrv'!M74</f>
        <v>20.32</v>
      </c>
      <c r="N74" s="37">
        <f>'Agg prdcrv'!N74</f>
        <v>19.88</v>
      </c>
      <c r="O74" s="37">
        <f>'Agg prdcrv'!O74</f>
        <v>20.350000000000001</v>
      </c>
      <c r="P74" s="37">
        <f>'Agg prdcrv'!P74</f>
        <v>20.2</v>
      </c>
    </row>
    <row r="75" spans="1:16">
      <c r="A75" s="9" t="s">
        <v>146</v>
      </c>
      <c r="B75" s="37">
        <v>2020</v>
      </c>
      <c r="C75" s="37">
        <v>1</v>
      </c>
      <c r="D75" s="72">
        <v>999999</v>
      </c>
      <c r="E75" s="72">
        <v>999999</v>
      </c>
      <c r="F75" s="72">
        <v>999999</v>
      </c>
      <c r="G75" s="37">
        <f>'Agg prdcrv'!G75</f>
        <v>0.9</v>
      </c>
      <c r="H75" s="37">
        <f>'Agg prdcrv'!H75</f>
        <v>15.29</v>
      </c>
      <c r="J75" s="37">
        <v>2020</v>
      </c>
      <c r="K75" s="37">
        <v>1</v>
      </c>
      <c r="L75" s="37">
        <f>'Agg prdcrv'!L75</f>
        <v>24.9</v>
      </c>
      <c r="M75" s="37">
        <f>'Agg prdcrv'!M75</f>
        <v>24.84</v>
      </c>
      <c r="N75" s="37">
        <f>'Agg prdcrv'!N75</f>
        <v>24.3</v>
      </c>
      <c r="O75" s="37">
        <f>'Agg prdcrv'!O75</f>
        <v>24.87</v>
      </c>
      <c r="P75" s="37">
        <f>'Agg prdcrv'!P75</f>
        <v>24.68</v>
      </c>
    </row>
    <row r="76" spans="1:16">
      <c r="A76" s="9" t="s">
        <v>147</v>
      </c>
      <c r="B76" s="37">
        <v>2020</v>
      </c>
      <c r="C76" s="37">
        <v>1</v>
      </c>
      <c r="D76" s="72">
        <v>999999</v>
      </c>
      <c r="E76" s="72">
        <v>999999</v>
      </c>
      <c r="F76" s="72">
        <v>999999</v>
      </c>
      <c r="G76" s="37">
        <f>'Agg prdcrv'!G76</f>
        <v>0</v>
      </c>
      <c r="H76" s="37">
        <f>'Agg prdcrv'!H76</f>
        <v>54.96</v>
      </c>
      <c r="J76" s="37">
        <v>2020</v>
      </c>
      <c r="K76" s="37">
        <v>1</v>
      </c>
      <c r="L76" s="37">
        <f>'Agg prdcrv'!L76</f>
        <v>18.670000000000002</v>
      </c>
      <c r="M76" s="37">
        <f>'Agg prdcrv'!M76</f>
        <v>18.63</v>
      </c>
      <c r="N76" s="37">
        <f>'Agg prdcrv'!N76</f>
        <v>18.23</v>
      </c>
      <c r="O76" s="37">
        <f>'Agg prdcrv'!O76</f>
        <v>18.649999999999999</v>
      </c>
      <c r="P76" s="37">
        <f>'Agg prdcrv'!P76</f>
        <v>18.510000000000002</v>
      </c>
    </row>
  </sheetData>
  <mergeCells count="3">
    <mergeCell ref="A1:P1"/>
    <mergeCell ref="D2:H2"/>
    <mergeCell ref="L2:P2"/>
  </mergeCells>
  <pageMargins left="0.75" right="0.75" top="1" bottom="1" header="0.5" footer="0.5"/>
  <pageSetup orientation="portrait" r:id="rId1"/>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A1:AL1264"/>
  <sheetViews>
    <sheetView showFormulas="1" zoomScale="80" workbookViewId="0">
      <pane ySplit="11" topLeftCell="A78" activePane="bottomLeft" state="frozen"/>
      <selection activeCell="K53" sqref="K53"/>
      <selection pane="bottomLeft" activeCell="S26" sqref="S26"/>
    </sheetView>
  </sheetViews>
  <sheetFormatPr defaultColWidth="9.140625" defaultRowHeight="12.75"/>
  <cols>
    <col min="1" max="1" width="20.85546875" style="1" customWidth="1"/>
    <col min="2" max="2" width="6.85546875" style="1" customWidth="1"/>
    <col min="3" max="3" width="11.42578125" style="1" customWidth="1"/>
    <col min="4" max="4" width="6.42578125" style="1" bestFit="1" customWidth="1"/>
    <col min="5" max="5" width="12.5703125" style="1" customWidth="1"/>
    <col min="6" max="6" width="67.28515625" style="1" customWidth="1"/>
    <col min="7" max="7" width="9.140625" style="1"/>
    <col min="8" max="8" width="10.7109375" style="1" bestFit="1" customWidth="1"/>
    <col min="9" max="9" width="9.7109375" style="1" customWidth="1"/>
    <col min="10" max="10" width="11.140625" style="1" customWidth="1"/>
    <col min="11" max="11" width="10.7109375" style="1" customWidth="1"/>
    <col min="12" max="12" width="7.7109375" style="1" customWidth="1"/>
    <col min="13" max="22" width="10.85546875" style="1" customWidth="1"/>
    <col min="23" max="23" width="2.7109375" style="1" customWidth="1"/>
    <col min="24" max="27" width="7.140625" style="1" customWidth="1"/>
    <col min="28" max="31" width="10.140625" style="1" customWidth="1"/>
    <col min="32" max="32" width="14.85546875" style="1" bestFit="1" customWidth="1"/>
    <col min="33" max="38" width="10.140625" style="1" customWidth="1"/>
    <col min="39" max="16384" width="9.140625" style="1"/>
  </cols>
  <sheetData>
    <row r="1" spans="1:38" ht="15.75">
      <c r="A1" s="59" t="s">
        <v>1081</v>
      </c>
    </row>
    <row r="2" spans="1:38">
      <c r="A2" s="10"/>
    </row>
    <row r="3" spans="1:38">
      <c r="A3" s="10" t="s">
        <v>524</v>
      </c>
    </row>
    <row r="4" spans="1:38">
      <c r="A4" s="10"/>
      <c r="C4" s="13" t="s">
        <v>148</v>
      </c>
      <c r="E4" s="13" t="s">
        <v>519</v>
      </c>
      <c r="G4" s="1" t="s">
        <v>938</v>
      </c>
      <c r="J4" s="1">
        <v>1.05</v>
      </c>
      <c r="K4" s="1">
        <v>1.1000000000000001</v>
      </c>
    </row>
    <row r="5" spans="1:38">
      <c r="A5" s="60" t="s">
        <v>525</v>
      </c>
      <c r="B5" s="1">
        <v>1</v>
      </c>
      <c r="C5" s="34">
        <v>0.95</v>
      </c>
      <c r="D5" s="1">
        <v>1</v>
      </c>
      <c r="E5" s="32">
        <v>0.8</v>
      </c>
      <c r="J5" s="9" t="s">
        <v>939</v>
      </c>
    </row>
    <row r="6" spans="1:38">
      <c r="A6" s="10"/>
      <c r="B6" s="1">
        <v>2</v>
      </c>
      <c r="C6" s="34">
        <v>0.98</v>
      </c>
      <c r="D6" s="1">
        <v>2</v>
      </c>
      <c r="E6" s="32">
        <v>0.9</v>
      </c>
    </row>
    <row r="7" spans="1:38">
      <c r="A7" s="10"/>
      <c r="B7" s="1">
        <v>3</v>
      </c>
      <c r="C7" s="34">
        <v>1</v>
      </c>
      <c r="D7" s="1">
        <v>3</v>
      </c>
      <c r="E7" s="32">
        <v>1</v>
      </c>
      <c r="AB7" s="34">
        <f>SUM(AB13:AB347)</f>
        <v>434785944.92819041</v>
      </c>
      <c r="AC7" s="34">
        <f t="shared" ref="AC7:AF7" si="0">SUM(AC13:AC347)</f>
        <v>434784788.86869693</v>
      </c>
      <c r="AD7" s="34">
        <f t="shared" si="0"/>
        <v>434784754.91640419</v>
      </c>
      <c r="AE7" s="34">
        <f t="shared" si="0"/>
        <v>434784921.09896559</v>
      </c>
      <c r="AF7" s="34">
        <f t="shared" si="0"/>
        <v>147385066.07735282</v>
      </c>
    </row>
    <row r="8" spans="1:38">
      <c r="A8" s="10"/>
      <c r="B8" s="1">
        <v>4</v>
      </c>
      <c r="C8" s="34">
        <v>1.0900000000000001</v>
      </c>
      <c r="D8" s="1">
        <v>4</v>
      </c>
      <c r="E8" s="32">
        <v>1.2</v>
      </c>
    </row>
    <row r="9" spans="1:38">
      <c r="A9" s="10"/>
      <c r="B9" s="1">
        <v>5</v>
      </c>
      <c r="C9" s="34">
        <v>1.3</v>
      </c>
      <c r="D9" s="1">
        <v>5</v>
      </c>
      <c r="E9" s="34">
        <v>2</v>
      </c>
    </row>
    <row r="10" spans="1:38">
      <c r="A10" s="10"/>
      <c r="H10" s="252" t="s">
        <v>526</v>
      </c>
      <c r="I10" s="252"/>
      <c r="J10" s="252"/>
      <c r="K10" s="252"/>
      <c r="L10" s="252" t="s">
        <v>520</v>
      </c>
      <c r="M10" s="252"/>
      <c r="N10" s="252"/>
      <c r="O10" s="252"/>
      <c r="P10" s="252"/>
      <c r="Q10" s="252"/>
      <c r="R10" s="252"/>
      <c r="S10" s="252"/>
      <c r="T10" s="252"/>
      <c r="U10" s="252"/>
      <c r="V10" s="252"/>
      <c r="X10" s="252" t="s">
        <v>521</v>
      </c>
      <c r="Y10" s="252"/>
      <c r="Z10" s="252"/>
      <c r="AA10" s="252"/>
      <c r="AB10" s="252" t="s">
        <v>132</v>
      </c>
      <c r="AC10" s="252"/>
      <c r="AD10" s="252"/>
      <c r="AE10" s="252"/>
      <c r="AF10" s="252"/>
      <c r="AG10" s="252"/>
      <c r="AH10" s="252"/>
      <c r="AI10" s="252"/>
      <c r="AJ10" s="252"/>
      <c r="AK10" s="252"/>
      <c r="AL10" s="252"/>
    </row>
    <row r="11" spans="1:38" s="10" customFormat="1">
      <c r="A11" s="10" t="s">
        <v>398</v>
      </c>
      <c r="B11" s="10" t="s">
        <v>128</v>
      </c>
      <c r="C11" s="10" t="s">
        <v>129</v>
      </c>
      <c r="D11" s="10" t="s">
        <v>51</v>
      </c>
      <c r="E11" s="10" t="s">
        <v>130</v>
      </c>
      <c r="F11" s="10" t="s">
        <v>8</v>
      </c>
      <c r="G11" s="10" t="s">
        <v>128</v>
      </c>
      <c r="H11" s="10">
        <v>2005</v>
      </c>
      <c r="I11" s="10">
        <v>2010</v>
      </c>
      <c r="J11" s="10">
        <v>2015</v>
      </c>
      <c r="K11" s="10">
        <v>2020</v>
      </c>
      <c r="L11" s="10">
        <v>2005</v>
      </c>
      <c r="M11" s="10">
        <v>2010</v>
      </c>
      <c r="N11" s="10">
        <v>2015</v>
      </c>
      <c r="O11" s="10">
        <v>2020</v>
      </c>
      <c r="P11" s="10">
        <v>2025</v>
      </c>
      <c r="Q11" s="10">
        <v>2030</v>
      </c>
      <c r="R11" s="10">
        <v>2035</v>
      </c>
      <c r="S11" s="10">
        <v>2040</v>
      </c>
      <c r="T11" s="10">
        <v>2045</v>
      </c>
      <c r="U11" s="10">
        <v>2050</v>
      </c>
      <c r="V11" s="10">
        <v>2055</v>
      </c>
      <c r="X11" s="10">
        <v>2005</v>
      </c>
      <c r="Y11" s="10">
        <v>2010</v>
      </c>
      <c r="Z11" s="10">
        <v>2015</v>
      </c>
      <c r="AA11" s="10">
        <v>2020</v>
      </c>
      <c r="AB11" s="10">
        <v>2005</v>
      </c>
      <c r="AC11" s="10">
        <v>2010</v>
      </c>
      <c r="AD11" s="10">
        <v>2015</v>
      </c>
      <c r="AE11" s="10">
        <v>2020</v>
      </c>
      <c r="AF11" s="10">
        <v>2005</v>
      </c>
      <c r="AG11" s="10">
        <v>2010</v>
      </c>
      <c r="AH11" s="10">
        <v>2015</v>
      </c>
      <c r="AI11" s="10">
        <v>2020</v>
      </c>
    </row>
    <row r="12" spans="1:38" s="10" customFormat="1">
      <c r="A12" s="10" t="s">
        <v>522</v>
      </c>
    </row>
    <row r="13" spans="1:38">
      <c r="A13" s="1" t="str">
        <f>'Agg prdcrv'!$A$6</f>
        <v>Reformulated Mogas</v>
      </c>
      <c r="B13" s="1" t="str">
        <f>VLOOKUP($A13,Types!$A$2:$C$13,2,FALSE)</f>
        <v>GSR</v>
      </c>
      <c r="C13" s="1">
        <v>3</v>
      </c>
      <c r="D13" s="1">
        <v>1</v>
      </c>
      <c r="E13" s="1" t="str">
        <f t="shared" ref="E13:E72" si="1">CONCATENATE("IMP",G13,RIGHT(C13,1))</f>
        <v>IMPGSRP13</v>
      </c>
      <c r="F13" s="1" t="str">
        <f>CONCATENATE("Imported ",VLOOKUP($A13,Types!$A$2:$C$13,3,FALSE),", PADD ",D13,", Step ",RIGHT(C13,1))</f>
        <v>Imported Reformulated Gasoline, PADD 1, Step 3</v>
      </c>
      <c r="G13" s="1" t="str">
        <f>CONCATENATE(VLOOKUP($A13,Types!$A$2:$C$13,2,FALSE),"P",D13)</f>
        <v>GSRP1</v>
      </c>
      <c r="H13" s="61">
        <f>SUMIFS('Agg prdcrv NYC'!$L$6:$L$100,'Agg prdcrv NYC'!$A$6:$A$100,'Imp Refined NYC'!$A13,'Agg prdcrv NYC'!$B$6:$B$100,H$11)*K4</f>
        <v>67.914000000000001</v>
      </c>
      <c r="I13" s="61">
        <f>SUMIFS('Agg prdcrv NYC'!$L$6:$L$100,'Agg prdcrv NYC'!$A$6:$A$100,'Imp Refined NYC'!$A13,'Agg prdcrv NYC'!$B$6:$B$100,I$11)*K4</f>
        <v>124.91600000000001</v>
      </c>
      <c r="J13" s="61">
        <f t="array" ref="J13">SUMIFS('Agg prdcrv NYC'!$L$6:$L$100,'Agg prdcrv NYC'!$A$6:$A$100,'Imp Refined NYC'!$A13,'Agg prdcrv NYC'!$B$6:$B$100,J$11)</f>
        <v>113.56</v>
      </c>
      <c r="K13" s="61">
        <f t="array" ref="K13">SUMIFS('Agg prdcrv NYC'!$L$6:$L$100,'Agg prdcrv NYC'!$A$6:$A$100,'Imp Refined NYC'!$A13,'Agg prdcrv NYC'!$B$6:$B$100,K$11)</f>
        <v>113.56</v>
      </c>
      <c r="L13" s="62">
        <f>H13*Conv!$J$20/10^6/VLOOKUP($B13,Types!$B$2:$D$13,3,FALSE)/Conv!$I$5</f>
        <v>19.179618591634092</v>
      </c>
      <c r="M13" s="62">
        <f>I13*Conv!$J$20/10^6/VLOOKUP($B13,Types!$B$2:$D$13,3,FALSE)/Conv!$I$5</f>
        <v>35.277575109588071</v>
      </c>
      <c r="N13" s="62" t="e">
        <f>M13*#REF!</f>
        <v>#REF!</v>
      </c>
      <c r="O13" s="62" t="e">
        <f>N13*#REF!</f>
        <v>#REF!</v>
      </c>
      <c r="P13" s="62" t="e">
        <f>O13*#REF!</f>
        <v>#REF!</v>
      </c>
      <c r="Q13" s="62" t="e">
        <f>P13*#REF!</f>
        <v>#REF!</v>
      </c>
      <c r="R13" s="62" t="e">
        <f>Q13*#REF!</f>
        <v>#REF!</v>
      </c>
      <c r="S13" s="62" t="e">
        <f>R13*#REF!</f>
        <v>#REF!</v>
      </c>
      <c r="T13" s="62" t="e">
        <f>S13*#REF!</f>
        <v>#REF!</v>
      </c>
      <c r="U13" s="62" t="e">
        <f>T13*#REF!</f>
        <v>#REF!</v>
      </c>
      <c r="V13" s="62" t="e">
        <f>U13*#REF!</f>
        <v>#REF!</v>
      </c>
      <c r="W13" s="34"/>
      <c r="X13" s="1">
        <f t="array" ref="X13">SUMIFS('Agg prdcrv NYC'!$D$6:$D$100,'Agg prdcrv NYC'!$A$6:$A$100,'Imp Refined NYC'!$A13,'Agg prdcrv NYC'!$B$6:$B$100,X$11)</f>
        <v>999999</v>
      </c>
      <c r="Y13" s="1">
        <f t="array" ref="Y13">SUMIFS('Agg prdcrv NYC'!$D$6:$D$100,'Agg prdcrv NYC'!$A$6:$A$100,'Imp Refined NYC'!$A13,'Agg prdcrv NYC'!$B$6:$B$100,Y$11)</f>
        <v>999999</v>
      </c>
      <c r="Z13" s="1">
        <f t="array" ref="Z13">SUMIFS('Agg prdcrv NYC'!$D$6:$D$100,'Agg prdcrv NYC'!$A$6:$A$100,'Imp Refined NYC'!$A13,'Agg prdcrv NYC'!$B$6:$B$100,Z$11)</f>
        <v>999999</v>
      </c>
      <c r="AA13" s="1">
        <f t="array" ref="AA13">SUMIFS('Agg prdcrv NYC'!$D$6:$D$100,'Agg prdcrv NYC'!$A$6:$A$100,'Imp Refined NYC'!$A13,'Agg prdcrv NYC'!$B$6:$B$100,AA$11)</f>
        <v>999999</v>
      </c>
      <c r="AB13" s="34">
        <f>X13*VLOOKUP($B13,Types!$B$2:$D$13,3,FALSE)*Conv!$I$5*1000*365</f>
        <v>1983239.5327584841</v>
      </c>
      <c r="AC13" s="34">
        <f>Y13*VLOOKUP($B13,Types!$B$2:$D$13,3,FALSE)*Conv!$I$5*1000*365</f>
        <v>1983239.5327584841</v>
      </c>
      <c r="AD13" s="34">
        <f>Z13*VLOOKUP($B13,Types!$B$2:$D$13,3,FALSE)*Conv!$I$5*1000*365</f>
        <v>1983239.5327584841</v>
      </c>
      <c r="AE13" s="34">
        <f>AA13*VLOOKUP($B13,Types!$B$2:$D$13,3,FALSE)*Conv!$I$5*1000*365</f>
        <v>1983239.5327584841</v>
      </c>
      <c r="AF13" s="34">
        <f>AB13-AB15</f>
        <v>198323.95327584841</v>
      </c>
      <c r="AG13" s="34">
        <f t="shared" ref="AG13:AI13" si="2">AC13-AC15</f>
        <v>198323.95327584841</v>
      </c>
      <c r="AH13" s="34">
        <f t="shared" si="2"/>
        <v>198323.95327584841</v>
      </c>
      <c r="AI13" s="34">
        <f t="shared" si="2"/>
        <v>198323.95327584841</v>
      </c>
      <c r="AJ13" s="34"/>
      <c r="AK13" s="34"/>
      <c r="AL13" s="34"/>
    </row>
    <row r="14" spans="1:38">
      <c r="A14" s="1" t="str">
        <f>A13</f>
        <v>Reformulated Mogas</v>
      </c>
      <c r="B14" s="1" t="str">
        <f>VLOOKUP($A14,Types!$A$2:$C$13,2,FALSE)</f>
        <v>GSR</v>
      </c>
      <c r="C14" s="1">
        <v>1</v>
      </c>
      <c r="D14" s="1">
        <v>1</v>
      </c>
      <c r="E14" s="1" t="str">
        <f t="shared" si="1"/>
        <v>IMPGSRP11</v>
      </c>
      <c r="F14" s="1" t="str">
        <f>CONCATENATE("Imported ",VLOOKUP($A14,Types!$A$2:$C$13,3,FALSE),", PADD ",D14,", Step ",RIGHT(C14,1))</f>
        <v>Imported Reformulated Gasoline, PADD 1, Step 1</v>
      </c>
      <c r="G14" s="1" t="str">
        <f>CONCATENATE(VLOOKUP($A14,Types!$A$2:$C$13,2,FALSE),"P",D14)</f>
        <v>GSRP1</v>
      </c>
      <c r="H14" s="61">
        <f>H13*$C$5</f>
        <v>64.518299999999996</v>
      </c>
      <c r="I14" s="61">
        <f t="shared" ref="I14:K14" si="3">I13*$C$5</f>
        <v>118.67020000000001</v>
      </c>
      <c r="J14" s="61">
        <f t="shared" si="3"/>
        <v>107.88199999999999</v>
      </c>
      <c r="K14" s="61">
        <f t="shared" si="3"/>
        <v>107.88199999999999</v>
      </c>
      <c r="L14" s="62">
        <f>H14*Conv!$J$20/10^6/VLOOKUP($B14,Types!$B$2:$D$13,3,FALSE)/Conv!$I$5</f>
        <v>18.220637662052386</v>
      </c>
      <c r="M14" s="62">
        <f>I14*Conv!$J$20/10^6/VLOOKUP($B14,Types!$B$2:$D$13,3,FALSE)/Conv!$I$5</f>
        <v>33.51369635410866</v>
      </c>
      <c r="N14" s="62" t="e">
        <f>M14*#REF!</f>
        <v>#REF!</v>
      </c>
      <c r="O14" s="62" t="e">
        <f>N14*#REF!</f>
        <v>#REF!</v>
      </c>
      <c r="P14" s="62" t="e">
        <f>O14*#REF!</f>
        <v>#REF!</v>
      </c>
      <c r="Q14" s="62" t="e">
        <f>P14*#REF!</f>
        <v>#REF!</v>
      </c>
      <c r="R14" s="62" t="e">
        <f>Q14*#REF!</f>
        <v>#REF!</v>
      </c>
      <c r="S14" s="62" t="e">
        <f>R14*#REF!</f>
        <v>#REF!</v>
      </c>
      <c r="T14" s="62" t="e">
        <f>S14*#REF!</f>
        <v>#REF!</v>
      </c>
      <c r="U14" s="62" t="e">
        <f>T14*#REF!</f>
        <v>#REF!</v>
      </c>
      <c r="V14" s="62" t="e">
        <f>U14*#REF!</f>
        <v>#REF!</v>
      </c>
      <c r="W14" s="34"/>
      <c r="X14" s="1">
        <f>X13*$E$5</f>
        <v>799999.20000000007</v>
      </c>
      <c r="Y14" s="1">
        <f t="shared" ref="Y14:AA14" si="4">Y13*$E$5</f>
        <v>799999.20000000007</v>
      </c>
      <c r="Z14" s="1">
        <f t="shared" si="4"/>
        <v>799999.20000000007</v>
      </c>
      <c r="AA14" s="1">
        <f t="shared" si="4"/>
        <v>799999.20000000007</v>
      </c>
      <c r="AB14" s="34">
        <f>X14*VLOOKUP($B14,Types!$B$2:$D$13,3,FALSE)*Conv!$I$5*1000*365</f>
        <v>1586591.6262067873</v>
      </c>
      <c r="AC14" s="34">
        <f>Y14*VLOOKUP($B14,Types!$B$2:$D$13,3,FALSE)*Conv!$I$5*1000*365</f>
        <v>1586591.6262067873</v>
      </c>
      <c r="AD14" s="34">
        <f>Z14*VLOOKUP($B14,Types!$B$2:$D$13,3,FALSE)*Conv!$I$5*1000*365</f>
        <v>1586591.6262067873</v>
      </c>
      <c r="AE14" s="34">
        <f>AA14*VLOOKUP($B14,Types!$B$2:$D$13,3,FALSE)*Conv!$I$5*1000*365</f>
        <v>1586591.6262067873</v>
      </c>
      <c r="AF14" s="34">
        <f>AB14</f>
        <v>1586591.6262067873</v>
      </c>
      <c r="AG14" s="34">
        <f t="shared" ref="AG14:AI14" si="5">AC14</f>
        <v>1586591.6262067873</v>
      </c>
      <c r="AH14" s="34">
        <f t="shared" si="5"/>
        <v>1586591.6262067873</v>
      </c>
      <c r="AI14" s="34">
        <f t="shared" si="5"/>
        <v>1586591.6262067873</v>
      </c>
      <c r="AJ14" s="34"/>
      <c r="AK14" s="34"/>
      <c r="AL14" s="34"/>
    </row>
    <row r="15" spans="1:38">
      <c r="A15" s="1" t="str">
        <f>A14</f>
        <v>Reformulated Mogas</v>
      </c>
      <c r="B15" s="1" t="str">
        <f>VLOOKUP($A15,Types!$A$2:$C$13,2,FALSE)</f>
        <v>GSR</v>
      </c>
      <c r="C15" s="1">
        <v>2</v>
      </c>
      <c r="D15" s="1">
        <v>1</v>
      </c>
      <c r="E15" s="1" t="str">
        <f t="shared" si="1"/>
        <v>IMPGSRP12</v>
      </c>
      <c r="F15" s="1" t="str">
        <f>CONCATENATE("Imported ",VLOOKUP($A15,Types!$A$2:$C$13,3,FALSE),", PADD ",D15,", Step ",RIGHT(C15,1))</f>
        <v>Imported Reformulated Gasoline, PADD 1, Step 2</v>
      </c>
      <c r="G15" s="1" t="str">
        <f>CONCATENATE(VLOOKUP($A15,Types!$A$2:$C$13,2,FALSE),"P",D15)</f>
        <v>GSRP1</v>
      </c>
      <c r="H15" s="61">
        <f>H13*$C$6</f>
        <v>66.555719999999994</v>
      </c>
      <c r="I15" s="61">
        <f t="shared" ref="I15:K15" si="6">I13*$C$6</f>
        <v>122.41768</v>
      </c>
      <c r="J15" s="61">
        <f t="shared" si="6"/>
        <v>111.28879999999999</v>
      </c>
      <c r="K15" s="61">
        <f t="shared" si="6"/>
        <v>111.28879999999999</v>
      </c>
      <c r="L15" s="62">
        <f>H15*Conv!$J$20/10^6/VLOOKUP($B15,Types!$B$2:$D$13,3,FALSE)/Conv!$I$5</f>
        <v>18.796026219801405</v>
      </c>
      <c r="M15" s="62">
        <f>I15*Conv!$J$20/10^6/VLOOKUP($B15,Types!$B$2:$D$13,3,FALSE)/Conv!$I$5</f>
        <v>34.572023607396304</v>
      </c>
      <c r="N15" s="62" t="e">
        <f>M15*#REF!</f>
        <v>#REF!</v>
      </c>
      <c r="O15" s="62" t="e">
        <f>N15*#REF!</f>
        <v>#REF!</v>
      </c>
      <c r="P15" s="62" t="e">
        <f>O15*#REF!</f>
        <v>#REF!</v>
      </c>
      <c r="Q15" s="62" t="e">
        <f>P15*#REF!</f>
        <v>#REF!</v>
      </c>
      <c r="R15" s="62" t="e">
        <f>Q15*#REF!</f>
        <v>#REF!</v>
      </c>
      <c r="S15" s="62" t="e">
        <f>R15*#REF!</f>
        <v>#REF!</v>
      </c>
      <c r="T15" s="62" t="e">
        <f>S15*#REF!</f>
        <v>#REF!</v>
      </c>
      <c r="U15" s="62" t="e">
        <f>T15*#REF!</f>
        <v>#REF!</v>
      </c>
      <c r="V15" s="62" t="e">
        <f>U15*#REF!</f>
        <v>#REF!</v>
      </c>
      <c r="W15" s="34"/>
      <c r="X15" s="1">
        <f>X13*$E$6</f>
        <v>899999.1</v>
      </c>
      <c r="Y15" s="1">
        <f t="shared" ref="Y15:AA15" si="7">Y13*$E$6</f>
        <v>899999.1</v>
      </c>
      <c r="Z15" s="1">
        <f t="shared" si="7"/>
        <v>899999.1</v>
      </c>
      <c r="AA15" s="1">
        <f t="shared" si="7"/>
        <v>899999.1</v>
      </c>
      <c r="AB15" s="34">
        <f>X15*VLOOKUP($B15,Types!$B$2:$D$13,3,FALSE)*Conv!$I$5*1000*365</f>
        <v>1784915.5794826357</v>
      </c>
      <c r="AC15" s="34">
        <f>Y15*VLOOKUP($B15,Types!$B$2:$D$13,3,FALSE)*Conv!$I$5*1000*365</f>
        <v>1784915.5794826357</v>
      </c>
      <c r="AD15" s="34">
        <f>Z15*VLOOKUP($B15,Types!$B$2:$D$13,3,FALSE)*Conv!$I$5*1000*365</f>
        <v>1784915.5794826357</v>
      </c>
      <c r="AE15" s="34">
        <f>AA15*VLOOKUP($B15,Types!$B$2:$D$13,3,FALSE)*Conv!$I$5*1000*365</f>
        <v>1784915.5794826357</v>
      </c>
      <c r="AF15" s="34">
        <f>AB15-AF14</f>
        <v>198323.95327584841</v>
      </c>
      <c r="AG15" s="34">
        <f t="shared" ref="AG15:AI15" si="8">AC15-AG14</f>
        <v>198323.95327584841</v>
      </c>
      <c r="AH15" s="34">
        <f t="shared" si="8"/>
        <v>198323.95327584841</v>
      </c>
      <c r="AI15" s="34">
        <f t="shared" si="8"/>
        <v>198323.95327584841</v>
      </c>
      <c r="AJ15" s="34"/>
      <c r="AK15" s="34"/>
      <c r="AL15" s="34"/>
    </row>
    <row r="16" spans="1:38">
      <c r="A16" s="1" t="str">
        <f>A15</f>
        <v>Reformulated Mogas</v>
      </c>
      <c r="B16" s="1" t="str">
        <f>VLOOKUP($A16,Types!$A$2:$C$13,2,FALSE)</f>
        <v>GSR</v>
      </c>
      <c r="C16" s="1">
        <v>4</v>
      </c>
      <c r="D16" s="1">
        <v>1</v>
      </c>
      <c r="E16" s="1" t="str">
        <f t="shared" si="1"/>
        <v>IMPGSRP14</v>
      </c>
      <c r="F16" s="1" t="str">
        <f>CONCATENATE("Imported ",VLOOKUP($A16,Types!$A$2:$C$13,3,FALSE),", PADD ",D16,", Step ",RIGHT(C16,1))</f>
        <v>Imported Reformulated Gasoline, PADD 1, Step 4</v>
      </c>
      <c r="G16" s="1" t="str">
        <f>CONCATENATE(VLOOKUP($A16,Types!$A$2:$C$13,2,FALSE),"P",D16)</f>
        <v>GSRP1</v>
      </c>
      <c r="H16" s="61">
        <f>H13*$C$8</f>
        <v>74.026260000000008</v>
      </c>
      <c r="I16" s="61">
        <f t="shared" ref="I16:K16" si="9">I13*$C$8</f>
        <v>136.15844000000001</v>
      </c>
      <c r="J16" s="61">
        <f t="shared" si="9"/>
        <v>123.78040000000001</v>
      </c>
      <c r="K16" s="61">
        <f t="shared" si="9"/>
        <v>123.78040000000001</v>
      </c>
      <c r="L16" s="62">
        <f>H16*Conv!$J$20/10^6/VLOOKUP($B16,Types!$B$2:$D$13,3,FALSE)/Conv!$I$5</f>
        <v>20.905784264881159</v>
      </c>
      <c r="M16" s="62">
        <f>I16*Conv!$J$20/10^6/VLOOKUP($B16,Types!$B$2:$D$13,3,FALSE)/Conv!$I$5</f>
        <v>38.452556869451001</v>
      </c>
      <c r="N16" s="62" t="e">
        <f>M16*#REF!</f>
        <v>#REF!</v>
      </c>
      <c r="O16" s="62" t="e">
        <f>N16*#REF!</f>
        <v>#REF!</v>
      </c>
      <c r="P16" s="62" t="e">
        <f>O16*#REF!</f>
        <v>#REF!</v>
      </c>
      <c r="Q16" s="62" t="e">
        <f>P16*#REF!</f>
        <v>#REF!</v>
      </c>
      <c r="R16" s="62" t="e">
        <f>Q16*#REF!</f>
        <v>#REF!</v>
      </c>
      <c r="S16" s="62" t="e">
        <f>R16*#REF!</f>
        <v>#REF!</v>
      </c>
      <c r="T16" s="62" t="e">
        <f>S16*#REF!</f>
        <v>#REF!</v>
      </c>
      <c r="U16" s="62" t="e">
        <f>T16*#REF!</f>
        <v>#REF!</v>
      </c>
      <c r="V16" s="62" t="e">
        <f>U16*#REF!</f>
        <v>#REF!</v>
      </c>
      <c r="W16" s="34"/>
      <c r="X16" s="1">
        <f>X13*$E$8</f>
        <v>1199998.8</v>
      </c>
      <c r="Y16" s="1">
        <f t="shared" ref="Y16:AA16" si="10">Y13*$E$8</f>
        <v>1199998.8</v>
      </c>
      <c r="Z16" s="1">
        <f t="shared" si="10"/>
        <v>1199998.8</v>
      </c>
      <c r="AA16" s="1">
        <f t="shared" si="10"/>
        <v>1199998.8</v>
      </c>
      <c r="AB16" s="34">
        <f>X16*VLOOKUP($B16,Types!$B$2:$D$13,3,FALSE)*Conv!$I$5*1000*365</f>
        <v>2379887.439310181</v>
      </c>
      <c r="AC16" s="34">
        <f>Y16*VLOOKUP($B16,Types!$B$2:$D$13,3,FALSE)*Conv!$I$5*1000*365</f>
        <v>2379887.439310181</v>
      </c>
      <c r="AD16" s="34">
        <f>Z16*VLOOKUP($B16,Types!$B$2:$D$13,3,FALSE)*Conv!$I$5*1000*365</f>
        <v>2379887.439310181</v>
      </c>
      <c r="AE16" s="34">
        <f>AA16*VLOOKUP($B16,Types!$B$2:$D$13,3,FALSE)*Conv!$I$5*1000*365</f>
        <v>2379887.439310181</v>
      </c>
      <c r="AF16" s="34">
        <f>AB16-AB13</f>
        <v>396647.90655169683</v>
      </c>
      <c r="AG16" s="34">
        <f t="shared" ref="AG16:AI16" si="11">AC16-AC13</f>
        <v>396647.90655169683</v>
      </c>
      <c r="AH16" s="34">
        <f t="shared" si="11"/>
        <v>396647.90655169683</v>
      </c>
      <c r="AI16" s="34">
        <f t="shared" si="11"/>
        <v>396647.90655169683</v>
      </c>
      <c r="AJ16" s="34"/>
      <c r="AK16" s="34"/>
      <c r="AL16" s="34"/>
    </row>
    <row r="17" spans="1:38">
      <c r="A17" s="1" t="str">
        <f>A16</f>
        <v>Reformulated Mogas</v>
      </c>
      <c r="B17" s="1" t="str">
        <f>VLOOKUP($A17,Types!$A$2:$C$13,2,FALSE)</f>
        <v>GSR</v>
      </c>
      <c r="C17" s="1">
        <v>5</v>
      </c>
      <c r="D17" s="1">
        <v>1</v>
      </c>
      <c r="E17" s="1" t="str">
        <f t="shared" si="1"/>
        <v>IMPGSRP15</v>
      </c>
      <c r="F17" s="1" t="str">
        <f>CONCATENATE("Imported ",VLOOKUP($A17,Types!$A$2:$C$13,3,FALSE),", PADD ",D17,", Step ",RIGHT(C17,1))</f>
        <v>Imported Reformulated Gasoline, PADD 1, Step 5</v>
      </c>
      <c r="G17" s="1" t="str">
        <f>CONCATENATE(VLOOKUP($A17,Types!$A$2:$C$13,2,FALSE),"P",D17)</f>
        <v>GSRP1</v>
      </c>
      <c r="H17" s="61">
        <f>H13*$C$9</f>
        <v>88.288200000000003</v>
      </c>
      <c r="I17" s="61">
        <f t="shared" ref="I17:K17" si="12">I13*$C$9</f>
        <v>162.39080000000001</v>
      </c>
      <c r="J17" s="61">
        <f t="shared" si="12"/>
        <v>147.62800000000001</v>
      </c>
      <c r="K17" s="61">
        <f t="shared" si="12"/>
        <v>147.62800000000001</v>
      </c>
      <c r="L17" s="62">
        <f>H17*Conv!$J$20/10^6/VLOOKUP($B17,Types!$B$2:$D$13,3,FALSE)/Conv!$I$5</f>
        <v>24.933504169124316</v>
      </c>
      <c r="M17" s="62">
        <f>I17*Conv!$J$20/10^6/VLOOKUP($B17,Types!$B$2:$D$13,3,FALSE)/Conv!$I$5</f>
        <v>45.860847642464492</v>
      </c>
      <c r="N17" s="62" t="e">
        <f>M17*#REF!</f>
        <v>#REF!</v>
      </c>
      <c r="O17" s="62" t="e">
        <f>N17*#REF!</f>
        <v>#REF!</v>
      </c>
      <c r="P17" s="62" t="e">
        <f>O17*#REF!</f>
        <v>#REF!</v>
      </c>
      <c r="Q17" s="62" t="e">
        <f>P17*#REF!</f>
        <v>#REF!</v>
      </c>
      <c r="R17" s="62" t="e">
        <f>Q17*#REF!</f>
        <v>#REF!</v>
      </c>
      <c r="S17" s="62" t="e">
        <f>R17*#REF!</f>
        <v>#REF!</v>
      </c>
      <c r="T17" s="62" t="e">
        <f>S17*#REF!</f>
        <v>#REF!</v>
      </c>
      <c r="U17" s="62" t="e">
        <f>T17*#REF!</f>
        <v>#REF!</v>
      </c>
      <c r="V17" s="62" t="e">
        <f>U17*#REF!</f>
        <v>#REF!</v>
      </c>
      <c r="W17" s="34"/>
      <c r="X17" s="1">
        <f>X13*$E$9</f>
        <v>1999998</v>
      </c>
      <c r="Y17" s="1">
        <f t="shared" ref="Y17:AA17" si="13">Y13*$E$9</f>
        <v>1999998</v>
      </c>
      <c r="Z17" s="1">
        <f t="shared" si="13"/>
        <v>1999998</v>
      </c>
      <c r="AA17" s="1">
        <f t="shared" si="13"/>
        <v>1999998</v>
      </c>
      <c r="AB17" s="34">
        <f>X17*VLOOKUP($B17,Types!$B$2:$D$13,3,FALSE)*Conv!$I$5*1000*365</f>
        <v>3966479.0655169683</v>
      </c>
      <c r="AC17" s="34">
        <f>Y17*VLOOKUP($B17,Types!$B$2:$D$13,3,FALSE)*Conv!$I$5*1000*365</f>
        <v>3966479.0655169683</v>
      </c>
      <c r="AD17" s="34">
        <f>Z17*VLOOKUP($B17,Types!$B$2:$D$13,3,FALSE)*Conv!$I$5*1000*365</f>
        <v>3966479.0655169683</v>
      </c>
      <c r="AE17" s="34">
        <f>AA17*VLOOKUP($B17,Types!$B$2:$D$13,3,FALSE)*Conv!$I$5*1000*365</f>
        <v>3966479.0655169683</v>
      </c>
      <c r="AF17" s="34">
        <f>AB17-AB16</f>
        <v>1586591.6262067873</v>
      </c>
      <c r="AG17" s="34">
        <f t="shared" ref="AG17:AI17" si="14">AC17-AC16</f>
        <v>1586591.6262067873</v>
      </c>
      <c r="AH17" s="34">
        <f t="shared" si="14"/>
        <v>1586591.6262067873</v>
      </c>
      <c r="AI17" s="34">
        <f t="shared" si="14"/>
        <v>1586591.6262067873</v>
      </c>
      <c r="AJ17" s="34"/>
      <c r="AK17" s="34"/>
      <c r="AL17" s="34"/>
    </row>
    <row r="18" spans="1:38">
      <c r="A18" s="1" t="str">
        <f>'Agg prdcrv'!$A$7</f>
        <v>Conventional Mogas</v>
      </c>
      <c r="B18" s="1" t="str">
        <f>VLOOKUP($A18,Types!$A$2:$C$13,2,FALSE)</f>
        <v>GSC</v>
      </c>
      <c r="C18" s="1">
        <v>3</v>
      </c>
      <c r="D18" s="1">
        <v>1</v>
      </c>
      <c r="E18" s="1" t="str">
        <f t="shared" si="1"/>
        <v>IMPGSCP13</v>
      </c>
      <c r="F18" s="1" t="str">
        <f>CONCATENATE("Imported ",VLOOKUP($A18,Types!$A$2:$C$13,3,FALSE),", PADD ",D18,", Step ",RIGHT(C18,1))</f>
        <v>Imported Conventional Gasoline, PADD 1, Step 3</v>
      </c>
      <c r="G18" s="1" t="str">
        <f>CONCATENATE(VLOOKUP($A18,Types!$A$2:$C$13,2,FALSE),"P",D18)</f>
        <v>GSCP1</v>
      </c>
      <c r="H18" s="61">
        <f>SUMIFS('Agg prdcrv NYC'!$L$6:$L$100,'Agg prdcrv NYC'!$A$6:$A$100,'Imp Refined NYC'!$A18,'Agg prdcrv NYC'!$B$6:$B$100,H$11)*K4</f>
        <v>65.75800000000001</v>
      </c>
      <c r="I18" s="61">
        <f>SUMIFS('Agg prdcrv NYC'!$L$6:$L$100,'Agg prdcrv NYC'!$A$6:$A$100,'Imp Refined NYC'!$A18,'Agg prdcrv NYC'!$B$6:$B$100,I$11)*K4</f>
        <v>54.714000000000006</v>
      </c>
      <c r="J18" s="61">
        <f t="array" ref="J18">SUMIFS('Agg prdcrv NYC'!$L$6:$L$100,'Agg prdcrv NYC'!$A$6:$A$100,'Imp Refined NYC'!$A18,'Agg prdcrv NYC'!$B$6:$B$100,J$11)</f>
        <v>43.2</v>
      </c>
      <c r="K18" s="61">
        <f t="array" ref="K18">SUMIFS('Agg prdcrv NYC'!$L$6:$L$100,'Agg prdcrv NYC'!$A$6:$A$100,'Imp Refined NYC'!$A18,'Agg prdcrv NYC'!$B$6:$B$100,K$11)</f>
        <v>46.77</v>
      </c>
      <c r="L18" s="62">
        <f>H18*Conv!$J$20/10^6/VLOOKUP($B18,Types!$B$2:$D$13,3,FALSE)/Conv!$I$5</f>
        <v>18.206609618575779</v>
      </c>
      <c r="M18" s="62">
        <f>I18*Conv!$J$20/10^6/VLOOKUP($B18,Types!$B$2:$D$13,3,FALSE)/Conv!$I$5</f>
        <v>15.148825065706914</v>
      </c>
      <c r="N18" s="62" t="e">
        <f>M18*#REF!</f>
        <v>#REF!</v>
      </c>
      <c r="O18" s="62" t="e">
        <f>N18*#REF!</f>
        <v>#REF!</v>
      </c>
      <c r="P18" s="62" t="e">
        <f>O18*#REF!</f>
        <v>#REF!</v>
      </c>
      <c r="Q18" s="62" t="e">
        <f>P18*#REF!</f>
        <v>#REF!</v>
      </c>
      <c r="R18" s="62" t="e">
        <f>Q18*#REF!</f>
        <v>#REF!</v>
      </c>
      <c r="S18" s="62" t="e">
        <f>R18*#REF!</f>
        <v>#REF!</v>
      </c>
      <c r="T18" s="62" t="e">
        <f>S18*#REF!</f>
        <v>#REF!</v>
      </c>
      <c r="U18" s="62" t="e">
        <f>T18*#REF!</f>
        <v>#REF!</v>
      </c>
      <c r="V18" s="62" t="e">
        <f>U18*#REF!</f>
        <v>#REF!</v>
      </c>
      <c r="W18" s="34"/>
      <c r="X18" s="1">
        <f t="array" ref="X18">SUMIFS('Agg prdcrv NYC'!$D$6:$D$100,'Agg prdcrv NYC'!$A$6:$A$100,'Imp Refined NYC'!$A18,'Agg prdcrv NYC'!$B$6:$B$100,X$11)</f>
        <v>999999</v>
      </c>
      <c r="Y18" s="1">
        <f t="array" ref="Y18">SUMIFS('Agg prdcrv NYC'!$D$6:$D$100,'Agg prdcrv NYC'!$A$6:$A$100,'Imp Refined NYC'!$A18,'Agg prdcrv NYC'!$B$6:$B$100,Y$11)</f>
        <v>999999</v>
      </c>
      <c r="Z18" s="1">
        <f t="array" ref="Z18">SUMIFS('Agg prdcrv NYC'!$D$6:$D$100,'Agg prdcrv NYC'!$A$6:$A$100,'Imp Refined NYC'!$A18,'Agg prdcrv NYC'!$B$6:$B$100,Z$11)</f>
        <v>999999</v>
      </c>
      <c r="AA18" s="1">
        <f t="array" ref="AA18">SUMIFS('Agg prdcrv NYC'!$D$6:$D$100,'Agg prdcrv NYC'!$A$6:$A$100,'Imp Refined NYC'!$A18,'Agg prdcrv NYC'!$B$6:$B$100,AA$11)</f>
        <v>999999</v>
      </c>
      <c r="AB18" s="34">
        <f>X18*VLOOKUP($B18,Types!$B$2:$D$13,3,FALSE)*Conv!$I$5*1000*365</f>
        <v>2022904.3234136538</v>
      </c>
      <c r="AC18" s="34">
        <f>Y18*VLOOKUP($B18,Types!$B$2:$D$13,3,FALSE)*Conv!$I$5*1000*365</f>
        <v>2022904.3234136538</v>
      </c>
      <c r="AD18" s="34">
        <f>Z18*VLOOKUP($B18,Types!$B$2:$D$13,3,FALSE)*Conv!$I$5*1000*365</f>
        <v>2022904.3234136538</v>
      </c>
      <c r="AE18" s="34">
        <f>AA18*VLOOKUP($B18,Types!$B$2:$D$13,3,FALSE)*Conv!$I$5*1000*365</f>
        <v>2022904.3234136538</v>
      </c>
      <c r="AF18" s="34">
        <f>AB18-AB20</f>
        <v>202290.43234136514</v>
      </c>
      <c r="AG18" s="34">
        <f t="shared" ref="AG18:AI18" si="15">AC18-AC20</f>
        <v>202290.43234136514</v>
      </c>
      <c r="AH18" s="34">
        <f t="shared" si="15"/>
        <v>202290.43234136514</v>
      </c>
      <c r="AI18" s="34">
        <f t="shared" si="15"/>
        <v>202290.43234136514</v>
      </c>
      <c r="AJ18" s="34"/>
      <c r="AK18" s="34"/>
      <c r="AL18" s="34"/>
    </row>
    <row r="19" spans="1:38">
      <c r="A19" s="1" t="str">
        <f>A18</f>
        <v>Conventional Mogas</v>
      </c>
      <c r="B19" s="1" t="str">
        <f>VLOOKUP($A19,Types!$A$2:$C$13,2,FALSE)</f>
        <v>GSC</v>
      </c>
      <c r="C19" s="1">
        <v>1</v>
      </c>
      <c r="D19" s="1">
        <v>1</v>
      </c>
      <c r="E19" s="1" t="str">
        <f t="shared" si="1"/>
        <v>IMPGSCP11</v>
      </c>
      <c r="F19" s="1" t="str">
        <f>CONCATENATE("Imported ",VLOOKUP($A19,Types!$A$2:$C$13,3,FALSE),", PADD ",D19,", Step ",RIGHT(C19,1))</f>
        <v>Imported Conventional Gasoline, PADD 1, Step 1</v>
      </c>
      <c r="G19" s="1" t="str">
        <f>CONCATENATE(VLOOKUP($A19,Types!$A$2:$C$13,2,FALSE),"P",D19)</f>
        <v>GSCP1</v>
      </c>
      <c r="H19" s="61">
        <f>H18*$C$5</f>
        <v>62.470100000000009</v>
      </c>
      <c r="I19" s="61">
        <f t="shared" ref="I19:K19" si="16">I18*$C$5</f>
        <v>51.978300000000004</v>
      </c>
      <c r="J19" s="61">
        <f t="shared" si="16"/>
        <v>41.04</v>
      </c>
      <c r="K19" s="61">
        <f t="shared" si="16"/>
        <v>44.4315</v>
      </c>
      <c r="L19" s="62">
        <f>H19*Conv!$J$20/10^6/VLOOKUP($B19,Types!$B$2:$D$13,3,FALSE)/Conv!$I$5</f>
        <v>17.296279137646994</v>
      </c>
      <c r="M19" s="62">
        <f>I19*Conv!$J$20/10^6/VLOOKUP($B19,Types!$B$2:$D$13,3,FALSE)/Conv!$I$5</f>
        <v>14.391383812421568</v>
      </c>
      <c r="N19" s="62" t="e">
        <f>M19*#REF!</f>
        <v>#REF!</v>
      </c>
      <c r="O19" s="62" t="e">
        <f>N19*#REF!</f>
        <v>#REF!</v>
      </c>
      <c r="P19" s="62" t="e">
        <f>O19*#REF!</f>
        <v>#REF!</v>
      </c>
      <c r="Q19" s="62" t="e">
        <f>P19*#REF!</f>
        <v>#REF!</v>
      </c>
      <c r="R19" s="62" t="e">
        <f>Q19*#REF!</f>
        <v>#REF!</v>
      </c>
      <c r="S19" s="62" t="e">
        <f>R19*#REF!</f>
        <v>#REF!</v>
      </c>
      <c r="T19" s="62" t="e">
        <f>S19*#REF!</f>
        <v>#REF!</v>
      </c>
      <c r="U19" s="62" t="e">
        <f>T19*#REF!</f>
        <v>#REF!</v>
      </c>
      <c r="V19" s="62" t="e">
        <f>U19*#REF!</f>
        <v>#REF!</v>
      </c>
      <c r="W19" s="34"/>
      <c r="X19" s="1">
        <f>X18*$E$5</f>
        <v>799999.20000000007</v>
      </c>
      <c r="Y19" s="1">
        <f t="shared" ref="Y19:AA19" si="17">Y18*$E$5</f>
        <v>799999.20000000007</v>
      </c>
      <c r="Z19" s="1">
        <f t="shared" si="17"/>
        <v>799999.20000000007</v>
      </c>
      <c r="AA19" s="1">
        <f t="shared" si="17"/>
        <v>799999.20000000007</v>
      </c>
      <c r="AB19" s="34">
        <f>X19*VLOOKUP($B19,Types!$B$2:$D$13,3,FALSE)*Conv!$I$5*1000*365</f>
        <v>1618323.4587309228</v>
      </c>
      <c r="AC19" s="34">
        <f>Y19*VLOOKUP($B19,Types!$B$2:$D$13,3,FALSE)*Conv!$I$5*1000*365</f>
        <v>1618323.4587309228</v>
      </c>
      <c r="AD19" s="34">
        <f>Z19*VLOOKUP($B19,Types!$B$2:$D$13,3,FALSE)*Conv!$I$5*1000*365</f>
        <v>1618323.4587309228</v>
      </c>
      <c r="AE19" s="34">
        <f>AA19*VLOOKUP($B19,Types!$B$2:$D$13,3,FALSE)*Conv!$I$5*1000*365</f>
        <v>1618323.4587309228</v>
      </c>
      <c r="AF19" s="34">
        <f>AB19</f>
        <v>1618323.4587309228</v>
      </c>
      <c r="AG19" s="34">
        <f t="shared" ref="AG19:AI19" si="18">AC19</f>
        <v>1618323.4587309228</v>
      </c>
      <c r="AH19" s="34">
        <f t="shared" si="18"/>
        <v>1618323.4587309228</v>
      </c>
      <c r="AI19" s="34">
        <f t="shared" si="18"/>
        <v>1618323.4587309228</v>
      </c>
      <c r="AJ19" s="34"/>
      <c r="AK19" s="34"/>
      <c r="AL19" s="34"/>
    </row>
    <row r="20" spans="1:38">
      <c r="A20" s="1" t="str">
        <f>A19</f>
        <v>Conventional Mogas</v>
      </c>
      <c r="B20" s="1" t="str">
        <f>VLOOKUP($A20,Types!$A$2:$C$13,2,FALSE)</f>
        <v>GSC</v>
      </c>
      <c r="C20" s="1">
        <v>2</v>
      </c>
      <c r="D20" s="1">
        <v>1</v>
      </c>
      <c r="E20" s="1" t="str">
        <f t="shared" si="1"/>
        <v>IMPGSCP12</v>
      </c>
      <c r="F20" s="1" t="str">
        <f>CONCATENATE("Imported ",VLOOKUP($A20,Types!$A$2:$C$13,3,FALSE),", PADD ",D20,", Step ",RIGHT(C20,1))</f>
        <v>Imported Conventional Gasoline, PADD 1, Step 2</v>
      </c>
      <c r="G20" s="1" t="str">
        <f>CONCATENATE(VLOOKUP($A20,Types!$A$2:$C$13,2,FALSE),"P",D20)</f>
        <v>GSCP1</v>
      </c>
      <c r="H20" s="61">
        <f>H18*$C$6</f>
        <v>64.442840000000004</v>
      </c>
      <c r="I20" s="61">
        <f t="shared" ref="I20:K20" si="19">I18*$C$6</f>
        <v>53.619720000000008</v>
      </c>
      <c r="J20" s="61">
        <f t="shared" si="19"/>
        <v>42.335999999999999</v>
      </c>
      <c r="K20" s="61">
        <f t="shared" si="19"/>
        <v>45.834600000000002</v>
      </c>
      <c r="L20" s="62">
        <f>H20*Conv!$J$20/10^6/VLOOKUP($B20,Types!$B$2:$D$13,3,FALSE)/Conv!$I$5</f>
        <v>17.842477426204262</v>
      </c>
      <c r="M20" s="62">
        <f>I20*Conv!$J$20/10^6/VLOOKUP($B20,Types!$B$2:$D$13,3,FALSE)/Conv!$I$5</f>
        <v>14.845848564392778</v>
      </c>
      <c r="N20" s="62" t="e">
        <f>M20*#REF!</f>
        <v>#REF!</v>
      </c>
      <c r="O20" s="62" t="e">
        <f>N20*#REF!</f>
        <v>#REF!</v>
      </c>
      <c r="P20" s="62" t="e">
        <f>O20*#REF!</f>
        <v>#REF!</v>
      </c>
      <c r="Q20" s="62" t="e">
        <f>P20*#REF!</f>
        <v>#REF!</v>
      </c>
      <c r="R20" s="62" t="e">
        <f>Q20*#REF!</f>
        <v>#REF!</v>
      </c>
      <c r="S20" s="62" t="e">
        <f>R20*#REF!</f>
        <v>#REF!</v>
      </c>
      <c r="T20" s="62" t="e">
        <f>S20*#REF!</f>
        <v>#REF!</v>
      </c>
      <c r="U20" s="62" t="e">
        <f>T20*#REF!</f>
        <v>#REF!</v>
      </c>
      <c r="V20" s="62" t="e">
        <f>U20*#REF!</f>
        <v>#REF!</v>
      </c>
      <c r="W20" s="34"/>
      <c r="X20" s="1">
        <f>X18*$E$6</f>
        <v>899999.1</v>
      </c>
      <c r="Y20" s="1">
        <f t="shared" ref="Y20:AA20" si="20">Y18*$E$6</f>
        <v>899999.1</v>
      </c>
      <c r="Z20" s="1">
        <f t="shared" si="20"/>
        <v>899999.1</v>
      </c>
      <c r="AA20" s="1">
        <f t="shared" si="20"/>
        <v>899999.1</v>
      </c>
      <c r="AB20" s="34">
        <f>X20*VLOOKUP($B20,Types!$B$2:$D$13,3,FALSE)*Conv!$I$5*1000*365</f>
        <v>1820613.8910722886</v>
      </c>
      <c r="AC20" s="34">
        <f>Y20*VLOOKUP($B20,Types!$B$2:$D$13,3,FALSE)*Conv!$I$5*1000*365</f>
        <v>1820613.8910722886</v>
      </c>
      <c r="AD20" s="34">
        <f>Z20*VLOOKUP($B20,Types!$B$2:$D$13,3,FALSE)*Conv!$I$5*1000*365</f>
        <v>1820613.8910722886</v>
      </c>
      <c r="AE20" s="34">
        <f>AA20*VLOOKUP($B20,Types!$B$2:$D$13,3,FALSE)*Conv!$I$5*1000*365</f>
        <v>1820613.8910722886</v>
      </c>
      <c r="AF20" s="34">
        <f>AB20-AF19</f>
        <v>202290.43234136584</v>
      </c>
      <c r="AG20" s="34">
        <f t="shared" ref="AG20:AI20" si="21">AC20-AG19</f>
        <v>202290.43234136584</v>
      </c>
      <c r="AH20" s="34">
        <f t="shared" si="21"/>
        <v>202290.43234136584</v>
      </c>
      <c r="AI20" s="34">
        <f t="shared" si="21"/>
        <v>202290.43234136584</v>
      </c>
      <c r="AJ20" s="34"/>
      <c r="AK20" s="34"/>
      <c r="AL20" s="34"/>
    </row>
    <row r="21" spans="1:38">
      <c r="A21" s="1" t="str">
        <f>A20</f>
        <v>Conventional Mogas</v>
      </c>
      <c r="B21" s="1" t="str">
        <f>VLOOKUP($A21,Types!$A$2:$C$13,2,FALSE)</f>
        <v>GSC</v>
      </c>
      <c r="C21" s="1">
        <v>4</v>
      </c>
      <c r="D21" s="1">
        <v>1</v>
      </c>
      <c r="E21" s="1" t="str">
        <f t="shared" si="1"/>
        <v>IMPGSCP14</v>
      </c>
      <c r="F21" s="1" t="str">
        <f>CONCATENATE("Imported ",VLOOKUP($A21,Types!$A$2:$C$13,3,FALSE),", PADD ",D21,", Step ",RIGHT(C21,1))</f>
        <v>Imported Conventional Gasoline, PADD 1, Step 4</v>
      </c>
      <c r="G21" s="1" t="str">
        <f>CONCATENATE(VLOOKUP($A21,Types!$A$2:$C$13,2,FALSE),"P",D21)</f>
        <v>GSCP1</v>
      </c>
      <c r="H21" s="61">
        <f>H18*$C$8</f>
        <v>71.676220000000015</v>
      </c>
      <c r="I21" s="61">
        <f t="shared" ref="I21:K21" si="22">I18*$C$8</f>
        <v>59.63826000000001</v>
      </c>
      <c r="J21" s="61">
        <f t="shared" si="22"/>
        <v>47.088000000000008</v>
      </c>
      <c r="K21" s="61">
        <f t="shared" si="22"/>
        <v>50.979300000000009</v>
      </c>
      <c r="L21" s="62">
        <f>H21*Conv!$J$20/10^6/VLOOKUP($B21,Types!$B$2:$D$13,3,FALSE)/Conv!$I$5</f>
        <v>19.845204484247603</v>
      </c>
      <c r="M21" s="62">
        <f>I21*Conv!$J$20/10^6/VLOOKUP($B21,Types!$B$2:$D$13,3,FALSE)/Conv!$I$5</f>
        <v>16.512219321620538</v>
      </c>
      <c r="N21" s="62" t="e">
        <f>M21*#REF!</f>
        <v>#REF!</v>
      </c>
      <c r="O21" s="62" t="e">
        <f>N21*#REF!</f>
        <v>#REF!</v>
      </c>
      <c r="P21" s="62" t="e">
        <f>O21*#REF!</f>
        <v>#REF!</v>
      </c>
      <c r="Q21" s="62" t="e">
        <f>P21*#REF!</f>
        <v>#REF!</v>
      </c>
      <c r="R21" s="62" t="e">
        <f>Q21*#REF!</f>
        <v>#REF!</v>
      </c>
      <c r="S21" s="62" t="e">
        <f>R21*#REF!</f>
        <v>#REF!</v>
      </c>
      <c r="T21" s="62" t="e">
        <f>S21*#REF!</f>
        <v>#REF!</v>
      </c>
      <c r="U21" s="62" t="e">
        <f>T21*#REF!</f>
        <v>#REF!</v>
      </c>
      <c r="V21" s="62" t="e">
        <f>U21*#REF!</f>
        <v>#REF!</v>
      </c>
      <c r="W21" s="34"/>
      <c r="X21" s="1">
        <f>X18*$E$8</f>
        <v>1199998.8</v>
      </c>
      <c r="Y21" s="1">
        <f t="shared" ref="Y21:AA21" si="23">Y18*$E$8</f>
        <v>1199998.8</v>
      </c>
      <c r="Z21" s="1">
        <f t="shared" si="23"/>
        <v>1199998.8</v>
      </c>
      <c r="AA21" s="1">
        <f t="shared" si="23"/>
        <v>1199998.8</v>
      </c>
      <c r="AB21" s="34">
        <f>X21*VLOOKUP($B21,Types!$B$2:$D$13,3,FALSE)*Conv!$I$5*1000*365</f>
        <v>2427485.1880963845</v>
      </c>
      <c r="AC21" s="34">
        <f>Y21*VLOOKUP($B21,Types!$B$2:$D$13,3,FALSE)*Conv!$I$5*1000*365</f>
        <v>2427485.1880963845</v>
      </c>
      <c r="AD21" s="34">
        <f>Z21*VLOOKUP($B21,Types!$B$2:$D$13,3,FALSE)*Conv!$I$5*1000*365</f>
        <v>2427485.1880963845</v>
      </c>
      <c r="AE21" s="34">
        <f>AA21*VLOOKUP($B21,Types!$B$2:$D$13,3,FALSE)*Conv!$I$5*1000*365</f>
        <v>2427485.1880963845</v>
      </c>
      <c r="AF21" s="34">
        <f>AB21-AB18</f>
        <v>404580.86468273075</v>
      </c>
      <c r="AG21" s="34">
        <f t="shared" ref="AG21:AI21" si="24">AC21-AC18</f>
        <v>404580.86468273075</v>
      </c>
      <c r="AH21" s="34">
        <f t="shared" si="24"/>
        <v>404580.86468273075</v>
      </c>
      <c r="AI21" s="34">
        <f t="shared" si="24"/>
        <v>404580.86468273075</v>
      </c>
      <c r="AJ21" s="34"/>
      <c r="AK21" s="34"/>
      <c r="AL21" s="34"/>
    </row>
    <row r="22" spans="1:38">
      <c r="A22" s="1" t="str">
        <f>A21</f>
        <v>Conventional Mogas</v>
      </c>
      <c r="B22" s="1" t="str">
        <f>VLOOKUP($A22,Types!$A$2:$C$13,2,FALSE)</f>
        <v>GSC</v>
      </c>
      <c r="C22" s="1">
        <v>5</v>
      </c>
      <c r="D22" s="1">
        <v>1</v>
      </c>
      <c r="E22" s="1" t="str">
        <f t="shared" si="1"/>
        <v>IMPGSCP15</v>
      </c>
      <c r="F22" s="1" t="str">
        <f>CONCATENATE("Imported ",VLOOKUP($A22,Types!$A$2:$C$13,3,FALSE),", PADD ",D22,", Step ",RIGHT(C22,1))</f>
        <v>Imported Conventional Gasoline, PADD 1, Step 5</v>
      </c>
      <c r="G22" s="1" t="str">
        <f>CONCATENATE(VLOOKUP($A22,Types!$A$2:$C$13,2,FALSE),"P",D22)</f>
        <v>GSCP1</v>
      </c>
      <c r="H22" s="61">
        <f>H18*$C$9</f>
        <v>85.485400000000013</v>
      </c>
      <c r="I22" s="61">
        <f t="shared" ref="I22:K22" si="25">I18*$C$9</f>
        <v>71.128200000000007</v>
      </c>
      <c r="J22" s="61">
        <f t="shared" si="25"/>
        <v>56.160000000000004</v>
      </c>
      <c r="K22" s="61">
        <f t="shared" si="25"/>
        <v>60.801000000000009</v>
      </c>
      <c r="L22" s="62">
        <f>H22*Conv!$J$20/10^6/VLOOKUP($B22,Types!$B$2:$D$13,3,FALSE)/Conv!$I$5</f>
        <v>23.668592504148517</v>
      </c>
      <c r="M22" s="62">
        <f>I22*Conv!$J$20/10^6/VLOOKUP($B22,Types!$B$2:$D$13,3,FALSE)/Conv!$I$5</f>
        <v>19.693472585418988</v>
      </c>
      <c r="N22" s="62" t="e">
        <f>M22*#REF!</f>
        <v>#REF!</v>
      </c>
      <c r="O22" s="62" t="e">
        <f>N22*#REF!</f>
        <v>#REF!</v>
      </c>
      <c r="P22" s="62" t="e">
        <f>O22*#REF!</f>
        <v>#REF!</v>
      </c>
      <c r="Q22" s="62" t="e">
        <f>P22*#REF!</f>
        <v>#REF!</v>
      </c>
      <c r="R22" s="62" t="e">
        <f>Q22*#REF!</f>
        <v>#REF!</v>
      </c>
      <c r="S22" s="62" t="e">
        <f>R22*#REF!</f>
        <v>#REF!</v>
      </c>
      <c r="T22" s="62" t="e">
        <f>S22*#REF!</f>
        <v>#REF!</v>
      </c>
      <c r="U22" s="62" t="e">
        <f>T22*#REF!</f>
        <v>#REF!</v>
      </c>
      <c r="V22" s="62" t="e">
        <f>U22*#REF!</f>
        <v>#REF!</v>
      </c>
      <c r="W22" s="34"/>
      <c r="X22" s="1">
        <f>X18*$E$9</f>
        <v>1999998</v>
      </c>
      <c r="Y22" s="1">
        <f t="shared" ref="Y22:AA22" si="26">Y18*$E$9</f>
        <v>1999998</v>
      </c>
      <c r="Z22" s="1">
        <f t="shared" si="26"/>
        <v>1999998</v>
      </c>
      <c r="AA22" s="1">
        <f t="shared" si="26"/>
        <v>1999998</v>
      </c>
      <c r="AB22" s="34">
        <f>X22*VLOOKUP($B22,Types!$B$2:$D$13,3,FALSE)*Conv!$I$5*1000*365</f>
        <v>4045808.6468273075</v>
      </c>
      <c r="AC22" s="34">
        <f>Y22*VLOOKUP($B22,Types!$B$2:$D$13,3,FALSE)*Conv!$I$5*1000*365</f>
        <v>4045808.6468273075</v>
      </c>
      <c r="AD22" s="34">
        <f>Z22*VLOOKUP($B22,Types!$B$2:$D$13,3,FALSE)*Conv!$I$5*1000*365</f>
        <v>4045808.6468273075</v>
      </c>
      <c r="AE22" s="34">
        <f>AA22*VLOOKUP($B22,Types!$B$2:$D$13,3,FALSE)*Conv!$I$5*1000*365</f>
        <v>4045808.6468273075</v>
      </c>
      <c r="AF22" s="34">
        <f>AB22-AB21</f>
        <v>1618323.458730923</v>
      </c>
      <c r="AG22" s="34">
        <f t="shared" ref="AG22:AI22" si="27">AC22-AC21</f>
        <v>1618323.458730923</v>
      </c>
      <c r="AH22" s="34">
        <f t="shared" si="27"/>
        <v>1618323.458730923</v>
      </c>
      <c r="AI22" s="34">
        <f t="shared" si="27"/>
        <v>1618323.458730923</v>
      </c>
      <c r="AJ22" s="34"/>
      <c r="AK22" s="34"/>
      <c r="AL22" s="34"/>
    </row>
    <row r="23" spans="1:38">
      <c r="A23" s="1" t="str">
        <f>'Agg prdcrv'!$A$8</f>
        <v>Heating No. 2</v>
      </c>
      <c r="B23" s="1" t="str">
        <f>VLOOKUP($A23,Types!$A$2:$C$13,2,FALSE)</f>
        <v>DSH</v>
      </c>
      <c r="C23" s="1">
        <v>3</v>
      </c>
      <c r="D23" s="1">
        <v>1</v>
      </c>
      <c r="E23" s="1" t="str">
        <f t="shared" si="1"/>
        <v>IMPDSHP13</v>
      </c>
      <c r="F23" s="1" t="str">
        <f>CONCATENATE("Imported ",VLOOKUP($A23,Types!$A$2:$C$13,3,FALSE),", PADD ",D23,", Step ",RIGHT(C23,1))</f>
        <v>Imported Distillate-Heating Oil No. 2, PADD 1, Step 3</v>
      </c>
      <c r="G23" s="1" t="str">
        <f>CONCATENATE(VLOOKUP($A23,Types!$A$2:$C$13,2,FALSE),"P",D23)</f>
        <v>DSHP1</v>
      </c>
      <c r="H23" s="61">
        <f>SUMIFS('Agg prdcrv NYC'!$L$6:$L$100,'Agg prdcrv NYC'!$A$6:$A$100,'Imp Refined NYC'!$A23,'Agg prdcrv NYC'!$B$6:$B$100,H$11)*K4</f>
        <v>55.913000000000004</v>
      </c>
      <c r="I23" s="61">
        <f>SUMIFS('Agg prdcrv NYC'!$L$6:$L$100,'Agg prdcrv NYC'!$A$6:$A$100,'Imp Refined NYC'!$A23,'Agg prdcrv NYC'!$B$6:$B$100,I$11)*K4</f>
        <v>50.027999999999999</v>
      </c>
      <c r="J23" s="61">
        <f t="array" ref="J23">SUMIFS('Agg prdcrv NYC'!$L$6:$L$100,'Agg prdcrv NYC'!$A$6:$A$100,'Imp Refined NYC'!$A23,'Agg prdcrv NYC'!$B$6:$B$100,J$11)</f>
        <v>37.53</v>
      </c>
      <c r="K23" s="61">
        <f t="array" ref="K23">SUMIFS('Agg prdcrv NYC'!$L$6:$L$100,'Agg prdcrv NYC'!$A$6:$A$100,'Imp Refined NYC'!$A23,'Agg prdcrv NYC'!$B$6:$B$100,K$11)</f>
        <v>40.57</v>
      </c>
      <c r="L23" s="62">
        <f>H23*Conv!$J$20/10^6/VLOOKUP($B23,Types!$B$2:$D$13,3,FALSE)/Conv!$I$5</f>
        <v>13.960621426460175</v>
      </c>
      <c r="M23" s="62">
        <f>I23*Conv!$J$20/10^6/VLOOKUP($B23,Types!$B$2:$D$13,3,FALSE)/Conv!$I$5</f>
        <v>12.491226883246286</v>
      </c>
      <c r="N23" s="62" t="e">
        <f>M23*#REF!</f>
        <v>#REF!</v>
      </c>
      <c r="O23" s="62" t="e">
        <f>N23*#REF!</f>
        <v>#REF!</v>
      </c>
      <c r="P23" s="62" t="e">
        <f>O23*#REF!</f>
        <v>#REF!</v>
      </c>
      <c r="Q23" s="62" t="e">
        <f>P23*#REF!</f>
        <v>#REF!</v>
      </c>
      <c r="R23" s="62" t="e">
        <f>Q23*#REF!</f>
        <v>#REF!</v>
      </c>
      <c r="S23" s="62" t="e">
        <f>R23*#REF!</f>
        <v>#REF!</v>
      </c>
      <c r="T23" s="62" t="e">
        <f>S23*#REF!</f>
        <v>#REF!</v>
      </c>
      <c r="U23" s="62" t="e">
        <f>T23*#REF!</f>
        <v>#REF!</v>
      </c>
      <c r="V23" s="62" t="e">
        <f>U23*#REF!</f>
        <v>#REF!</v>
      </c>
      <c r="W23" s="34"/>
      <c r="X23" s="1">
        <f t="array" ref="X23">SUMIFS('Agg prdcrv NYC'!$D$6:$D$100,'Agg prdcrv NYC'!$A$6:$A$100,'Imp Refined NYC'!$A23,'Agg prdcrv NYC'!$B$6:$B$100,X$11)</f>
        <v>999999</v>
      </c>
      <c r="Y23" s="1">
        <f t="array" ref="Y23">SUMIFS('Agg prdcrv NYC'!$D$6:$D$100,'Agg prdcrv NYC'!$A$6:$A$100,'Imp Refined NYC'!$A23,'Agg prdcrv NYC'!$B$6:$B$100,Y$11)</f>
        <v>999999</v>
      </c>
      <c r="Z23" s="1">
        <f t="array" ref="Z23">SUMIFS('Agg prdcrv NYC'!$D$6:$D$100,'Agg prdcrv NYC'!$A$6:$A$100,'Imp Refined NYC'!$A23,'Agg prdcrv NYC'!$B$6:$B$100,Z$11)</f>
        <v>999999</v>
      </c>
      <c r="AA23" s="1">
        <f t="array" ref="AA23">SUMIFS('Agg prdcrv NYC'!$D$6:$D$100,'Agg prdcrv NYC'!$A$6:$A$100,'Imp Refined NYC'!$A23,'Agg prdcrv NYC'!$B$6:$B$100,AA$11)</f>
        <v>999999</v>
      </c>
      <c r="AB23" s="34">
        <f>X23*VLOOKUP($B23,Types!$B$2:$D$13,3,FALSE)*Conv!$I$5*1000*365</f>
        <v>2243178.6948190616</v>
      </c>
      <c r="AC23" s="34">
        <f>Y23*VLOOKUP($B23,Types!$B$2:$D$13,3,FALSE)*Conv!$I$5*1000*365</f>
        <v>2243178.6948190616</v>
      </c>
      <c r="AD23" s="34">
        <f>Z23*VLOOKUP($B23,Types!$B$2:$D$13,3,FALSE)*Conv!$I$5*1000*365</f>
        <v>2243178.6948190616</v>
      </c>
      <c r="AE23" s="34">
        <f>AA23*VLOOKUP($B23,Types!$B$2:$D$13,3,FALSE)*Conv!$I$5*1000*365</f>
        <v>2243178.6948190616</v>
      </c>
      <c r="AF23" s="34">
        <f>AB23-AB25</f>
        <v>224317.86948190606</v>
      </c>
      <c r="AG23" s="34">
        <f t="shared" ref="AG23:AI23" si="28">AC23-AC25</f>
        <v>224317.86948190606</v>
      </c>
      <c r="AH23" s="34">
        <f t="shared" si="28"/>
        <v>224317.86948190606</v>
      </c>
      <c r="AI23" s="34">
        <f t="shared" si="28"/>
        <v>224317.86948190606</v>
      </c>
      <c r="AJ23" s="34"/>
      <c r="AK23" s="34"/>
      <c r="AL23" s="34"/>
    </row>
    <row r="24" spans="1:38">
      <c r="A24" s="1" t="str">
        <f>A23</f>
        <v>Heating No. 2</v>
      </c>
      <c r="B24" s="1" t="str">
        <f>VLOOKUP($A24,Types!$A$2:$C$13,2,FALSE)</f>
        <v>DSH</v>
      </c>
      <c r="C24" s="1">
        <v>1</v>
      </c>
      <c r="D24" s="1">
        <v>1</v>
      </c>
      <c r="E24" s="1" t="str">
        <f t="shared" si="1"/>
        <v>IMPDSHP11</v>
      </c>
      <c r="F24" s="1" t="str">
        <f>CONCATENATE("Imported ",VLOOKUP($A24,Types!$A$2:$C$13,3,FALSE),", PADD ",D24,", Step ",RIGHT(C24,1))</f>
        <v>Imported Distillate-Heating Oil No. 2, PADD 1, Step 1</v>
      </c>
      <c r="G24" s="1" t="str">
        <f>CONCATENATE(VLOOKUP($A24,Types!$A$2:$C$13,2,FALSE),"P",D24)</f>
        <v>DSHP1</v>
      </c>
      <c r="H24" s="61">
        <f>H23*$C$5</f>
        <v>53.117350000000002</v>
      </c>
      <c r="I24" s="61">
        <f t="shared" ref="I24:K24" si="29">I23*$C$5</f>
        <v>47.526599999999995</v>
      </c>
      <c r="J24" s="61">
        <f t="shared" si="29"/>
        <v>35.653500000000001</v>
      </c>
      <c r="K24" s="61">
        <f t="shared" si="29"/>
        <v>38.541499999999999</v>
      </c>
      <c r="L24" s="62">
        <f>H24*Conv!$J$20/10^6/VLOOKUP($B24,Types!$B$2:$D$13,3,FALSE)/Conv!$I$5</f>
        <v>13.262590355137165</v>
      </c>
      <c r="M24" s="62">
        <f>I24*Conv!$J$20/10^6/VLOOKUP($B24,Types!$B$2:$D$13,3,FALSE)/Conv!$I$5</f>
        <v>11.86666553908397</v>
      </c>
      <c r="N24" s="62" t="e">
        <f>M24*#REF!</f>
        <v>#REF!</v>
      </c>
      <c r="O24" s="62" t="e">
        <f>N24*#REF!</f>
        <v>#REF!</v>
      </c>
      <c r="P24" s="62" t="e">
        <f>O24*#REF!</f>
        <v>#REF!</v>
      </c>
      <c r="Q24" s="62" t="e">
        <f>P24*#REF!</f>
        <v>#REF!</v>
      </c>
      <c r="R24" s="62" t="e">
        <f>Q24*#REF!</f>
        <v>#REF!</v>
      </c>
      <c r="S24" s="62" t="e">
        <f>R24*#REF!</f>
        <v>#REF!</v>
      </c>
      <c r="T24" s="62" t="e">
        <f>S24*#REF!</f>
        <v>#REF!</v>
      </c>
      <c r="U24" s="62" t="e">
        <f>T24*#REF!</f>
        <v>#REF!</v>
      </c>
      <c r="V24" s="62" t="e">
        <f>U24*#REF!</f>
        <v>#REF!</v>
      </c>
      <c r="W24" s="34"/>
      <c r="X24" s="1">
        <f>X23*$E$5</f>
        <v>799999.20000000007</v>
      </c>
      <c r="Y24" s="1">
        <f t="shared" ref="Y24:AA24" si="30">Y23*$E$5</f>
        <v>799999.20000000007</v>
      </c>
      <c r="Z24" s="1">
        <f t="shared" si="30"/>
        <v>799999.20000000007</v>
      </c>
      <c r="AA24" s="1">
        <f t="shared" si="30"/>
        <v>799999.20000000007</v>
      </c>
      <c r="AB24" s="34">
        <f>X24*VLOOKUP($B24,Types!$B$2:$D$13,3,FALSE)*Conv!$I$5*1000*365</f>
        <v>1794542.9558552499</v>
      </c>
      <c r="AC24" s="34">
        <f>Y24*VLOOKUP($B24,Types!$B$2:$D$13,3,FALSE)*Conv!$I$5*1000*365</f>
        <v>1794542.9558552499</v>
      </c>
      <c r="AD24" s="34">
        <f>Z24*VLOOKUP($B24,Types!$B$2:$D$13,3,FALSE)*Conv!$I$5*1000*365</f>
        <v>1794542.9558552499</v>
      </c>
      <c r="AE24" s="34">
        <f>AA24*VLOOKUP($B24,Types!$B$2:$D$13,3,FALSE)*Conv!$I$5*1000*365</f>
        <v>1794542.9558552499</v>
      </c>
      <c r="AF24" s="34">
        <f>AB24</f>
        <v>1794542.9558552499</v>
      </c>
      <c r="AG24" s="34">
        <f t="shared" ref="AG24:AI24" si="31">AC24</f>
        <v>1794542.9558552499</v>
      </c>
      <c r="AH24" s="34">
        <f t="shared" si="31"/>
        <v>1794542.9558552499</v>
      </c>
      <c r="AI24" s="34">
        <f t="shared" si="31"/>
        <v>1794542.9558552499</v>
      </c>
      <c r="AJ24" s="34"/>
      <c r="AK24" s="34"/>
      <c r="AL24" s="34"/>
    </row>
    <row r="25" spans="1:38">
      <c r="A25" s="1" t="str">
        <f>A24</f>
        <v>Heating No. 2</v>
      </c>
      <c r="B25" s="1" t="str">
        <f>VLOOKUP($A25,Types!$A$2:$C$13,2,FALSE)</f>
        <v>DSH</v>
      </c>
      <c r="C25" s="1">
        <v>2</v>
      </c>
      <c r="D25" s="1">
        <v>1</v>
      </c>
      <c r="E25" s="1" t="str">
        <f t="shared" si="1"/>
        <v>IMPDSHP12</v>
      </c>
      <c r="F25" s="1" t="str">
        <f>CONCATENATE("Imported ",VLOOKUP($A25,Types!$A$2:$C$13,3,FALSE),", PADD ",D25,", Step ",RIGHT(C25,1))</f>
        <v>Imported Distillate-Heating Oil No. 2, PADD 1, Step 2</v>
      </c>
      <c r="G25" s="1" t="str">
        <f>CONCATENATE(VLOOKUP($A25,Types!$A$2:$C$13,2,FALSE),"P",D25)</f>
        <v>DSHP1</v>
      </c>
      <c r="H25" s="61">
        <f>H23*$C$6</f>
        <v>54.794740000000004</v>
      </c>
      <c r="I25" s="61">
        <f t="shared" ref="I25:K25" si="32">I23*$C$6</f>
        <v>49.027439999999999</v>
      </c>
      <c r="J25" s="61">
        <f t="shared" si="32"/>
        <v>36.779400000000003</v>
      </c>
      <c r="K25" s="61">
        <f t="shared" si="32"/>
        <v>39.758600000000001</v>
      </c>
      <c r="L25" s="62">
        <f>H25*Conv!$J$20/10^6/VLOOKUP($B25,Types!$B$2:$D$13,3,FALSE)/Conv!$I$5</f>
        <v>13.681408997930971</v>
      </c>
      <c r="M25" s="62">
        <f>I25*Conv!$J$20/10^6/VLOOKUP($B25,Types!$B$2:$D$13,3,FALSE)/Conv!$I$5</f>
        <v>12.24140234558136</v>
      </c>
      <c r="N25" s="62" t="e">
        <f>M25*#REF!</f>
        <v>#REF!</v>
      </c>
      <c r="O25" s="62" t="e">
        <f>N25*#REF!</f>
        <v>#REF!</v>
      </c>
      <c r="P25" s="62" t="e">
        <f>O25*#REF!</f>
        <v>#REF!</v>
      </c>
      <c r="Q25" s="62" t="e">
        <f>P25*#REF!</f>
        <v>#REF!</v>
      </c>
      <c r="R25" s="62" t="e">
        <f>Q25*#REF!</f>
        <v>#REF!</v>
      </c>
      <c r="S25" s="62" t="e">
        <f>R25*#REF!</f>
        <v>#REF!</v>
      </c>
      <c r="T25" s="62" t="e">
        <f>S25*#REF!</f>
        <v>#REF!</v>
      </c>
      <c r="U25" s="62" t="e">
        <f>T25*#REF!</f>
        <v>#REF!</v>
      </c>
      <c r="V25" s="62" t="e">
        <f>U25*#REF!</f>
        <v>#REF!</v>
      </c>
      <c r="W25" s="34"/>
      <c r="X25" s="1">
        <f>X23*$E$6</f>
        <v>899999.1</v>
      </c>
      <c r="Y25" s="1">
        <f t="shared" ref="Y25:AA25" si="33">Y23*$E$6</f>
        <v>899999.1</v>
      </c>
      <c r="Z25" s="1">
        <f t="shared" si="33"/>
        <v>899999.1</v>
      </c>
      <c r="AA25" s="1">
        <f t="shared" si="33"/>
        <v>899999.1</v>
      </c>
      <c r="AB25" s="34">
        <f>X25*VLOOKUP($B25,Types!$B$2:$D$13,3,FALSE)*Conv!$I$5*1000*365</f>
        <v>2018860.8253371555</v>
      </c>
      <c r="AC25" s="34">
        <f>Y25*VLOOKUP($B25,Types!$B$2:$D$13,3,FALSE)*Conv!$I$5*1000*365</f>
        <v>2018860.8253371555</v>
      </c>
      <c r="AD25" s="34">
        <f>Z25*VLOOKUP($B25,Types!$B$2:$D$13,3,FALSE)*Conv!$I$5*1000*365</f>
        <v>2018860.8253371555</v>
      </c>
      <c r="AE25" s="34">
        <f>AA25*VLOOKUP($B25,Types!$B$2:$D$13,3,FALSE)*Conv!$I$5*1000*365</f>
        <v>2018860.8253371555</v>
      </c>
      <c r="AF25" s="34">
        <f>AB25-AF24</f>
        <v>224317.8694819056</v>
      </c>
      <c r="AG25" s="34">
        <f t="shared" ref="AG25:AI25" si="34">AC25-AG24</f>
        <v>224317.8694819056</v>
      </c>
      <c r="AH25" s="34">
        <f t="shared" si="34"/>
        <v>224317.8694819056</v>
      </c>
      <c r="AI25" s="34">
        <f t="shared" si="34"/>
        <v>224317.8694819056</v>
      </c>
      <c r="AJ25" s="34"/>
      <c r="AK25" s="34"/>
      <c r="AL25" s="34"/>
    </row>
    <row r="26" spans="1:38">
      <c r="A26" s="1" t="str">
        <f>A25</f>
        <v>Heating No. 2</v>
      </c>
      <c r="B26" s="1" t="str">
        <f>VLOOKUP($A26,Types!$A$2:$C$13,2,FALSE)</f>
        <v>DSH</v>
      </c>
      <c r="C26" s="1">
        <v>4</v>
      </c>
      <c r="D26" s="1">
        <v>1</v>
      </c>
      <c r="E26" s="1" t="str">
        <f t="shared" si="1"/>
        <v>IMPDSHP14</v>
      </c>
      <c r="F26" s="1" t="str">
        <f>CONCATENATE("Imported ",VLOOKUP($A26,Types!$A$2:$C$13,3,FALSE),", PADD ",D26,", Step ",RIGHT(C26,1))</f>
        <v>Imported Distillate-Heating Oil No. 2, PADD 1, Step 4</v>
      </c>
      <c r="G26" s="1" t="str">
        <f>CONCATENATE(VLOOKUP($A26,Types!$A$2:$C$13,2,FALSE),"P",D26)</f>
        <v>DSHP1</v>
      </c>
      <c r="H26" s="61">
        <f>H23*$C$8</f>
        <v>60.945170000000012</v>
      </c>
      <c r="I26" s="61">
        <f t="shared" ref="I26:K26" si="35">I23*$C$8</f>
        <v>54.530520000000003</v>
      </c>
      <c r="J26" s="61">
        <f t="shared" si="35"/>
        <v>40.907700000000006</v>
      </c>
      <c r="K26" s="61">
        <f t="shared" si="35"/>
        <v>44.221300000000006</v>
      </c>
      <c r="L26" s="62">
        <f>H26*Conv!$J$20/10^6/VLOOKUP($B26,Types!$B$2:$D$13,3,FALSE)/Conv!$I$5</f>
        <v>15.217077354841594</v>
      </c>
      <c r="M26" s="62">
        <f>I26*Conv!$J$20/10^6/VLOOKUP($B26,Types!$B$2:$D$13,3,FALSE)/Conv!$I$5</f>
        <v>13.615437302738453</v>
      </c>
      <c r="N26" s="62" t="e">
        <f>M26*#REF!</f>
        <v>#REF!</v>
      </c>
      <c r="O26" s="62" t="e">
        <f>N26*#REF!</f>
        <v>#REF!</v>
      </c>
      <c r="P26" s="62" t="e">
        <f>O26*#REF!</f>
        <v>#REF!</v>
      </c>
      <c r="Q26" s="62" t="e">
        <f>P26*#REF!</f>
        <v>#REF!</v>
      </c>
      <c r="R26" s="62" t="e">
        <f>Q26*#REF!</f>
        <v>#REF!</v>
      </c>
      <c r="S26" s="62" t="e">
        <f>R26*#REF!</f>
        <v>#REF!</v>
      </c>
      <c r="T26" s="62" t="e">
        <f>S26*#REF!</f>
        <v>#REF!</v>
      </c>
      <c r="U26" s="62" t="e">
        <f>T26*#REF!</f>
        <v>#REF!</v>
      </c>
      <c r="V26" s="62" t="e">
        <f>U26*#REF!</f>
        <v>#REF!</v>
      </c>
      <c r="W26" s="34"/>
      <c r="X26" s="1">
        <f>X23*$E$8</f>
        <v>1199998.8</v>
      </c>
      <c r="Y26" s="1">
        <f t="shared" ref="Y26:AA26" si="36">Y23*$E$8</f>
        <v>1199998.8</v>
      </c>
      <c r="Z26" s="1">
        <f t="shared" si="36"/>
        <v>1199998.8</v>
      </c>
      <c r="AA26" s="1">
        <f t="shared" si="36"/>
        <v>1199998.8</v>
      </c>
      <c r="AB26" s="34">
        <f>X26*VLOOKUP($B26,Types!$B$2:$D$13,3,FALSE)*Conv!$I$5*1000*365</f>
        <v>2691814.4337828746</v>
      </c>
      <c r="AC26" s="34">
        <f>Y26*VLOOKUP($B26,Types!$B$2:$D$13,3,FALSE)*Conv!$I$5*1000*365</f>
        <v>2691814.4337828746</v>
      </c>
      <c r="AD26" s="34">
        <f>Z26*VLOOKUP($B26,Types!$B$2:$D$13,3,FALSE)*Conv!$I$5*1000*365</f>
        <v>2691814.4337828746</v>
      </c>
      <c r="AE26" s="34">
        <f>AA26*VLOOKUP($B26,Types!$B$2:$D$13,3,FALSE)*Conv!$I$5*1000*365</f>
        <v>2691814.4337828746</v>
      </c>
      <c r="AF26" s="34">
        <f>AB26-AB23</f>
        <v>448635.73896381306</v>
      </c>
      <c r="AG26" s="34">
        <f t="shared" ref="AG26:AI26" si="37">AC26-AC23</f>
        <v>448635.73896381306</v>
      </c>
      <c r="AH26" s="34">
        <f t="shared" si="37"/>
        <v>448635.73896381306</v>
      </c>
      <c r="AI26" s="34">
        <f t="shared" si="37"/>
        <v>448635.73896381306</v>
      </c>
      <c r="AJ26" s="34"/>
      <c r="AK26" s="34"/>
      <c r="AL26" s="34"/>
    </row>
    <row r="27" spans="1:38">
      <c r="A27" s="1" t="str">
        <f>A26</f>
        <v>Heating No. 2</v>
      </c>
      <c r="B27" s="1" t="str">
        <f>VLOOKUP($A27,Types!$A$2:$C$13,2,FALSE)</f>
        <v>DSH</v>
      </c>
      <c r="C27" s="1">
        <v>5</v>
      </c>
      <c r="D27" s="1">
        <v>1</v>
      </c>
      <c r="E27" s="1" t="str">
        <f t="shared" si="1"/>
        <v>IMPDSHP15</v>
      </c>
      <c r="F27" s="1" t="str">
        <f>CONCATENATE("Imported ",VLOOKUP($A27,Types!$A$2:$C$13,3,FALSE),", PADD ",D27,", Step ",RIGHT(C27,1))</f>
        <v>Imported Distillate-Heating Oil No. 2, PADD 1, Step 5</v>
      </c>
      <c r="G27" s="1" t="str">
        <f>CONCATENATE(VLOOKUP($A27,Types!$A$2:$C$13,2,FALSE),"P",D27)</f>
        <v>DSHP1</v>
      </c>
      <c r="H27" s="61">
        <f>H23*$C$9</f>
        <v>72.686900000000009</v>
      </c>
      <c r="I27" s="61">
        <f t="shared" ref="I27:K27" si="38">I23*$C$9</f>
        <v>65.0364</v>
      </c>
      <c r="J27" s="61">
        <f t="shared" si="38"/>
        <v>48.789000000000001</v>
      </c>
      <c r="K27" s="61">
        <f t="shared" si="38"/>
        <v>52.741</v>
      </c>
      <c r="L27" s="62">
        <f>H27*Conv!$J$20/10^6/VLOOKUP($B27,Types!$B$2:$D$13,3,FALSE)/Conv!$I$5</f>
        <v>18.148807854398228</v>
      </c>
      <c r="M27" s="62">
        <f>I27*Conv!$J$20/10^6/VLOOKUP($B27,Types!$B$2:$D$13,3,FALSE)/Conv!$I$5</f>
        <v>16.238594948220172</v>
      </c>
      <c r="N27" s="62" t="e">
        <f>M27*#REF!</f>
        <v>#REF!</v>
      </c>
      <c r="O27" s="62" t="e">
        <f>N27*#REF!</f>
        <v>#REF!</v>
      </c>
      <c r="P27" s="62" t="e">
        <f>O27*#REF!</f>
        <v>#REF!</v>
      </c>
      <c r="Q27" s="62" t="e">
        <f>P27*#REF!</f>
        <v>#REF!</v>
      </c>
      <c r="R27" s="62" t="e">
        <f>Q27*#REF!</f>
        <v>#REF!</v>
      </c>
      <c r="S27" s="62" t="e">
        <f>R27*#REF!</f>
        <v>#REF!</v>
      </c>
      <c r="T27" s="62" t="e">
        <f>S27*#REF!</f>
        <v>#REF!</v>
      </c>
      <c r="U27" s="62" t="e">
        <f>T27*#REF!</f>
        <v>#REF!</v>
      </c>
      <c r="V27" s="62" t="e">
        <f>U27*#REF!</f>
        <v>#REF!</v>
      </c>
      <c r="W27" s="34"/>
      <c r="X27" s="1">
        <f>X23*$E$9</f>
        <v>1999998</v>
      </c>
      <c r="Y27" s="1">
        <f t="shared" ref="Y27:AA27" si="39">Y23*$E$9</f>
        <v>1999998</v>
      </c>
      <c r="Z27" s="1">
        <f t="shared" si="39"/>
        <v>1999998</v>
      </c>
      <c r="AA27" s="1">
        <f t="shared" si="39"/>
        <v>1999998</v>
      </c>
      <c r="AB27" s="34">
        <f>X27*VLOOKUP($B27,Types!$B$2:$D$13,3,FALSE)*Conv!$I$5*1000*365</f>
        <v>4486357.3896381231</v>
      </c>
      <c r="AC27" s="34">
        <f>Y27*VLOOKUP($B27,Types!$B$2:$D$13,3,FALSE)*Conv!$I$5*1000*365</f>
        <v>4486357.3896381231</v>
      </c>
      <c r="AD27" s="34">
        <f>Z27*VLOOKUP($B27,Types!$B$2:$D$13,3,FALSE)*Conv!$I$5*1000*365</f>
        <v>4486357.3896381231</v>
      </c>
      <c r="AE27" s="34">
        <f>AA27*VLOOKUP($B27,Types!$B$2:$D$13,3,FALSE)*Conv!$I$5*1000*365</f>
        <v>4486357.3896381231</v>
      </c>
      <c r="AF27" s="34">
        <f>AB27-AB26</f>
        <v>1794542.9558552485</v>
      </c>
      <c r="AG27" s="34">
        <f t="shared" ref="AG27:AI27" si="40">AC27-AC26</f>
        <v>1794542.9558552485</v>
      </c>
      <c r="AH27" s="34">
        <f t="shared" si="40"/>
        <v>1794542.9558552485</v>
      </c>
      <c r="AI27" s="34">
        <f t="shared" si="40"/>
        <v>1794542.9558552485</v>
      </c>
      <c r="AJ27" s="34"/>
      <c r="AK27" s="34"/>
      <c r="AL27" s="34"/>
    </row>
    <row r="28" spans="1:38">
      <c r="A28" s="1" t="str">
        <f>'Agg prdcrv'!$A$9</f>
        <v>LS Diesel (500 ppm)</v>
      </c>
      <c r="B28" s="1" t="str">
        <f>VLOOKUP($A28,Types!$A$2:$C$13,2,FALSE)</f>
        <v>DSL</v>
      </c>
      <c r="C28" s="1">
        <v>3</v>
      </c>
      <c r="D28" s="1">
        <v>1</v>
      </c>
      <c r="E28" s="1" t="str">
        <f t="shared" si="1"/>
        <v>IMPDSLP13</v>
      </c>
      <c r="F28" s="1" t="str">
        <f>CONCATENATE("Imported ",VLOOKUP($A28,Types!$A$2:$C$13,3,FALSE),", PADD ",D28,", Step ",RIGHT(C28,1))</f>
        <v>Imported Distillate-Low Sulfur Highway Diesel (500 ppm), PADD 1, Step 3</v>
      </c>
      <c r="G28" s="1" t="str">
        <f>CONCATENATE(VLOOKUP($A28,Types!$A$2:$C$13,2,FALSE),"P",D28)</f>
        <v>DSLP1</v>
      </c>
      <c r="H28" s="61">
        <f>SUMIFS('Agg prdcrv NYC'!$L$6:$L$100,'Agg prdcrv NYC'!$A$6:$A$100,'Imp Refined NYC'!$A28,'Agg prdcrv NYC'!$B$6:$B$100,H$11)*K4</f>
        <v>57.574000000000005</v>
      </c>
      <c r="I28" s="61">
        <f>SUMIFS('Agg prdcrv NYC'!$L$6:$L$100,'Agg prdcrv NYC'!$A$6:$A$100,'Imp Refined NYC'!$A28,'Agg prdcrv NYC'!$B$6:$B$100,I$11)*K4</f>
        <v>50.886000000000003</v>
      </c>
      <c r="J28" s="61">
        <f t="array" ref="J28">SUMIFS('Agg prdcrv NYC'!$L$6:$L$100,'Agg prdcrv NYC'!$A$6:$A$100,'Imp Refined NYC'!$A28,'Agg prdcrv NYC'!$B$6:$B$100,J$11)</f>
        <v>113.56</v>
      </c>
      <c r="K28" s="61">
        <f t="array" ref="K28">SUMIFS('Agg prdcrv NYC'!$L$6:$L$100,'Agg prdcrv NYC'!$A$6:$A$100,'Imp Refined NYC'!$A28,'Agg prdcrv NYC'!$B$6:$B$100,K$11)</f>
        <v>113.56</v>
      </c>
      <c r="L28" s="62">
        <f>H28*Conv!$J$20/10^6/VLOOKUP($B28,Types!$B$2:$D$13,3,FALSE)/Conv!$I$5</f>
        <v>14.375347736787832</v>
      </c>
      <c r="M28" s="62">
        <f>I28*Conv!$J$20/10^6/VLOOKUP($B28,Types!$B$2:$D$13,3,FALSE)/Conv!$I$5</f>
        <v>12.705456368051301</v>
      </c>
      <c r="N28" s="62" t="e">
        <f>M28*#REF!</f>
        <v>#REF!</v>
      </c>
      <c r="O28" s="62" t="e">
        <f>N28*#REF!</f>
        <v>#REF!</v>
      </c>
      <c r="P28" s="62" t="e">
        <f>O28*#REF!</f>
        <v>#REF!</v>
      </c>
      <c r="Q28" s="62" t="e">
        <f>P28*#REF!</f>
        <v>#REF!</v>
      </c>
      <c r="R28" s="62" t="e">
        <f>Q28*#REF!</f>
        <v>#REF!</v>
      </c>
      <c r="S28" s="62" t="e">
        <f>R28*#REF!</f>
        <v>#REF!</v>
      </c>
      <c r="T28" s="62" t="e">
        <f>S28*#REF!</f>
        <v>#REF!</v>
      </c>
      <c r="U28" s="62" t="e">
        <f>T28*#REF!</f>
        <v>#REF!</v>
      </c>
      <c r="V28" s="62" t="e">
        <f>U28*#REF!</f>
        <v>#REF!</v>
      </c>
      <c r="W28" s="34"/>
      <c r="X28" s="1">
        <f t="array" ref="X28">SUMIFS('Agg prdcrv NYC'!$D$6:$D$100,'Agg prdcrv NYC'!$A$6:$A$100,'Imp Refined NYC'!$A28,'Agg prdcrv NYC'!$B$6:$B$100,X$11)</f>
        <v>999999</v>
      </c>
      <c r="Y28" s="1">
        <f t="array" ref="Y28">SUMIFS('Agg prdcrv NYC'!$D$6:$D$100,'Agg prdcrv NYC'!$A$6:$A$100,'Imp Refined NYC'!$A28,'Agg prdcrv NYC'!$B$6:$B$100,Y$11)</f>
        <v>999999</v>
      </c>
      <c r="Z28" s="1">
        <f t="array" ref="Z28">SUMIFS('Agg prdcrv NYC'!$D$6:$D$100,'Agg prdcrv NYC'!$A$6:$A$100,'Imp Refined NYC'!$A28,'Agg prdcrv NYC'!$B$6:$B$100,Z$11)</f>
        <v>999999</v>
      </c>
      <c r="AA28" s="1">
        <f t="array" ref="AA28">SUMIFS('Agg prdcrv NYC'!$D$6:$D$100,'Agg prdcrv NYC'!$A$6:$A$100,'Imp Refined NYC'!$A28,'Agg prdcrv NYC'!$B$6:$B$100,AA$11)</f>
        <v>999999</v>
      </c>
      <c r="AB28" s="34">
        <f>X28*VLOOKUP($B28,Types!$B$2:$D$13,3,FALSE)*Conv!$I$5*1000*365</f>
        <v>2243178.6948190616</v>
      </c>
      <c r="AC28" s="34">
        <f>Y28*VLOOKUP($B28,Types!$B$2:$D$13,3,FALSE)*Conv!$I$5*1000*365</f>
        <v>2243178.6948190616</v>
      </c>
      <c r="AD28" s="34">
        <f>Z28*VLOOKUP($B28,Types!$B$2:$D$13,3,FALSE)*Conv!$I$5*1000*365</f>
        <v>2243178.6948190616</v>
      </c>
      <c r="AE28" s="34">
        <f>AA28*VLOOKUP($B28,Types!$B$2:$D$13,3,FALSE)*Conv!$I$5*1000*365</f>
        <v>2243178.6948190616</v>
      </c>
      <c r="AF28" s="34">
        <f>AB28-AB30</f>
        <v>224317.86948190606</v>
      </c>
      <c r="AG28" s="34">
        <f t="shared" ref="AG28:AI28" si="41">AC28-AC30</f>
        <v>224317.86948190606</v>
      </c>
      <c r="AH28" s="34">
        <f t="shared" si="41"/>
        <v>224317.86948190606</v>
      </c>
      <c r="AI28" s="34">
        <f t="shared" si="41"/>
        <v>224317.86948190606</v>
      </c>
      <c r="AJ28" s="34"/>
      <c r="AK28" s="34"/>
      <c r="AL28" s="34"/>
    </row>
    <row r="29" spans="1:38">
      <c r="A29" s="1" t="str">
        <f>A28</f>
        <v>LS Diesel (500 ppm)</v>
      </c>
      <c r="B29" s="1" t="str">
        <f>VLOOKUP($A29,Types!$A$2:$C$13,2,FALSE)</f>
        <v>DSL</v>
      </c>
      <c r="C29" s="1">
        <v>1</v>
      </c>
      <c r="D29" s="1">
        <v>1</v>
      </c>
      <c r="E29" s="1" t="str">
        <f t="shared" si="1"/>
        <v>IMPDSLP11</v>
      </c>
      <c r="F29" s="1" t="str">
        <f>CONCATENATE("Imported ",VLOOKUP($A29,Types!$A$2:$C$13,3,FALSE),", PADD ",D29,", Step ",RIGHT(C29,1))</f>
        <v>Imported Distillate-Low Sulfur Highway Diesel (500 ppm), PADD 1, Step 1</v>
      </c>
      <c r="G29" s="1" t="str">
        <f>CONCATENATE(VLOOKUP($A29,Types!$A$2:$C$13,2,FALSE),"P",D29)</f>
        <v>DSLP1</v>
      </c>
      <c r="H29" s="61">
        <f>H28*$C$5</f>
        <v>54.695300000000003</v>
      </c>
      <c r="I29" s="61">
        <f t="shared" ref="I29:K29" si="42">I28*$C$5</f>
        <v>48.341700000000003</v>
      </c>
      <c r="J29" s="61">
        <f t="shared" si="42"/>
        <v>107.88199999999999</v>
      </c>
      <c r="K29" s="61">
        <f t="shared" si="42"/>
        <v>107.88199999999999</v>
      </c>
      <c r="L29" s="62">
        <f>H29*Conv!$J$20/10^6/VLOOKUP($B29,Types!$B$2:$D$13,3,FALSE)/Conv!$I$5</f>
        <v>13.656580349948442</v>
      </c>
      <c r="M29" s="62">
        <f>I29*Conv!$J$20/10^6/VLOOKUP($B29,Types!$B$2:$D$13,3,FALSE)/Conv!$I$5</f>
        <v>12.070183549648739</v>
      </c>
      <c r="N29" s="62" t="e">
        <f>M29*#REF!</f>
        <v>#REF!</v>
      </c>
      <c r="O29" s="62" t="e">
        <f>N29*#REF!</f>
        <v>#REF!</v>
      </c>
      <c r="P29" s="62" t="e">
        <f>O29*#REF!</f>
        <v>#REF!</v>
      </c>
      <c r="Q29" s="62" t="e">
        <f>P29*#REF!</f>
        <v>#REF!</v>
      </c>
      <c r="R29" s="62" t="e">
        <f>Q29*#REF!</f>
        <v>#REF!</v>
      </c>
      <c r="S29" s="62" t="e">
        <f>R29*#REF!</f>
        <v>#REF!</v>
      </c>
      <c r="T29" s="62" t="e">
        <f>S29*#REF!</f>
        <v>#REF!</v>
      </c>
      <c r="U29" s="62" t="e">
        <f>T29*#REF!</f>
        <v>#REF!</v>
      </c>
      <c r="V29" s="62" t="e">
        <f>U29*#REF!</f>
        <v>#REF!</v>
      </c>
      <c r="W29" s="34"/>
      <c r="X29" s="1">
        <f>X28*$E$5</f>
        <v>799999.20000000007</v>
      </c>
      <c r="Y29" s="1">
        <f t="shared" ref="Y29:AA29" si="43">Y28*$E$5</f>
        <v>799999.20000000007</v>
      </c>
      <c r="Z29" s="1">
        <f t="shared" si="43"/>
        <v>799999.20000000007</v>
      </c>
      <c r="AA29" s="1">
        <f t="shared" si="43"/>
        <v>799999.20000000007</v>
      </c>
      <c r="AB29" s="34">
        <f>X29*VLOOKUP($B29,Types!$B$2:$D$13,3,FALSE)*Conv!$I$5*1000*365</f>
        <v>1794542.9558552499</v>
      </c>
      <c r="AC29" s="34">
        <f>Y29*VLOOKUP($B29,Types!$B$2:$D$13,3,FALSE)*Conv!$I$5*1000*365</f>
        <v>1794542.9558552499</v>
      </c>
      <c r="AD29" s="34">
        <f>Z29*VLOOKUP($B29,Types!$B$2:$D$13,3,FALSE)*Conv!$I$5*1000*365</f>
        <v>1794542.9558552499</v>
      </c>
      <c r="AE29" s="34">
        <f>AA29*VLOOKUP($B29,Types!$B$2:$D$13,3,FALSE)*Conv!$I$5*1000*365</f>
        <v>1794542.9558552499</v>
      </c>
      <c r="AF29" s="34">
        <f>AB29</f>
        <v>1794542.9558552499</v>
      </c>
      <c r="AG29" s="34">
        <f t="shared" ref="AG29:AI29" si="44">AC29</f>
        <v>1794542.9558552499</v>
      </c>
      <c r="AH29" s="34">
        <f t="shared" si="44"/>
        <v>1794542.9558552499</v>
      </c>
      <c r="AI29" s="34">
        <f t="shared" si="44"/>
        <v>1794542.9558552499</v>
      </c>
      <c r="AJ29" s="34"/>
      <c r="AK29" s="34"/>
      <c r="AL29" s="34"/>
    </row>
    <row r="30" spans="1:38">
      <c r="A30" s="1" t="str">
        <f>A29</f>
        <v>LS Diesel (500 ppm)</v>
      </c>
      <c r="B30" s="1" t="str">
        <f>VLOOKUP($A30,Types!$A$2:$C$13,2,FALSE)</f>
        <v>DSL</v>
      </c>
      <c r="C30" s="1">
        <v>2</v>
      </c>
      <c r="D30" s="1">
        <v>1</v>
      </c>
      <c r="E30" s="1" t="str">
        <f t="shared" si="1"/>
        <v>IMPDSLP12</v>
      </c>
      <c r="F30" s="1" t="str">
        <f>CONCATENATE("Imported ",VLOOKUP($A30,Types!$A$2:$C$13,3,FALSE),", PADD ",D30,", Step ",RIGHT(C30,1))</f>
        <v>Imported Distillate-Low Sulfur Highway Diesel (500 ppm), PADD 1, Step 2</v>
      </c>
      <c r="G30" s="1" t="str">
        <f>CONCATENATE(VLOOKUP($A30,Types!$A$2:$C$13,2,FALSE),"P",D30)</f>
        <v>DSLP1</v>
      </c>
      <c r="H30" s="61">
        <f>H28*$C$6</f>
        <v>56.422520000000006</v>
      </c>
      <c r="I30" s="61">
        <f t="shared" ref="I30:K30" si="45">I28*$C$6</f>
        <v>49.868279999999999</v>
      </c>
      <c r="J30" s="61">
        <f t="shared" si="45"/>
        <v>111.28879999999999</v>
      </c>
      <c r="K30" s="61">
        <f t="shared" si="45"/>
        <v>111.28879999999999</v>
      </c>
      <c r="L30" s="62">
        <f>H30*Conv!$J$20/10^6/VLOOKUP($B30,Types!$B$2:$D$13,3,FALSE)/Conv!$I$5</f>
        <v>14.08784078205208</v>
      </c>
      <c r="M30" s="62">
        <f>I30*Conv!$J$20/10^6/VLOOKUP($B30,Types!$B$2:$D$13,3,FALSE)/Conv!$I$5</f>
        <v>12.451347240690277</v>
      </c>
      <c r="N30" s="62" t="e">
        <f>M30*#REF!</f>
        <v>#REF!</v>
      </c>
      <c r="O30" s="62" t="e">
        <f>N30*#REF!</f>
        <v>#REF!</v>
      </c>
      <c r="P30" s="62" t="e">
        <f>O30*#REF!</f>
        <v>#REF!</v>
      </c>
      <c r="Q30" s="62" t="e">
        <f>P30*#REF!</f>
        <v>#REF!</v>
      </c>
      <c r="R30" s="62" t="e">
        <f>Q30*#REF!</f>
        <v>#REF!</v>
      </c>
      <c r="S30" s="62" t="e">
        <f>R30*#REF!</f>
        <v>#REF!</v>
      </c>
      <c r="T30" s="62" t="e">
        <f>S30*#REF!</f>
        <v>#REF!</v>
      </c>
      <c r="U30" s="62" t="e">
        <f>T30*#REF!</f>
        <v>#REF!</v>
      </c>
      <c r="V30" s="62" t="e">
        <f>U30*#REF!</f>
        <v>#REF!</v>
      </c>
      <c r="W30" s="34"/>
      <c r="X30" s="1">
        <f>X28*$E$6</f>
        <v>899999.1</v>
      </c>
      <c r="Y30" s="1">
        <f t="shared" ref="Y30:AA30" si="46">Y28*$E$6</f>
        <v>899999.1</v>
      </c>
      <c r="Z30" s="1">
        <f t="shared" si="46"/>
        <v>899999.1</v>
      </c>
      <c r="AA30" s="1">
        <f t="shared" si="46"/>
        <v>899999.1</v>
      </c>
      <c r="AB30" s="34">
        <f>X30*VLOOKUP($B30,Types!$B$2:$D$13,3,FALSE)*Conv!$I$5*1000*365</f>
        <v>2018860.8253371555</v>
      </c>
      <c r="AC30" s="34">
        <f>Y30*VLOOKUP($B30,Types!$B$2:$D$13,3,FALSE)*Conv!$I$5*1000*365</f>
        <v>2018860.8253371555</v>
      </c>
      <c r="AD30" s="34">
        <f>Z30*VLOOKUP($B30,Types!$B$2:$D$13,3,FALSE)*Conv!$I$5*1000*365</f>
        <v>2018860.8253371555</v>
      </c>
      <c r="AE30" s="34">
        <f>AA30*VLOOKUP($B30,Types!$B$2:$D$13,3,FALSE)*Conv!$I$5*1000*365</f>
        <v>2018860.8253371555</v>
      </c>
      <c r="AF30" s="34">
        <f>AB30-AF29</f>
        <v>224317.8694819056</v>
      </c>
      <c r="AG30" s="34">
        <f t="shared" ref="AG30:AI30" si="47">AC30-AG29</f>
        <v>224317.8694819056</v>
      </c>
      <c r="AH30" s="34">
        <f t="shared" si="47"/>
        <v>224317.8694819056</v>
      </c>
      <c r="AI30" s="34">
        <f t="shared" si="47"/>
        <v>224317.8694819056</v>
      </c>
      <c r="AJ30" s="34"/>
      <c r="AK30" s="34"/>
      <c r="AL30" s="34"/>
    </row>
    <row r="31" spans="1:38">
      <c r="A31" s="1" t="str">
        <f>A30</f>
        <v>LS Diesel (500 ppm)</v>
      </c>
      <c r="B31" s="1" t="str">
        <f>VLOOKUP($A31,Types!$A$2:$C$13,2,FALSE)</f>
        <v>DSL</v>
      </c>
      <c r="C31" s="1">
        <v>4</v>
      </c>
      <c r="D31" s="1">
        <v>1</v>
      </c>
      <c r="E31" s="1" t="str">
        <f t="shared" si="1"/>
        <v>IMPDSLP14</v>
      </c>
      <c r="F31" s="1" t="str">
        <f>CONCATENATE("Imported ",VLOOKUP($A31,Types!$A$2:$C$13,3,FALSE),", PADD ",D31,", Step ",RIGHT(C31,1))</f>
        <v>Imported Distillate-Low Sulfur Highway Diesel (500 ppm), PADD 1, Step 4</v>
      </c>
      <c r="G31" s="1" t="str">
        <f>CONCATENATE(VLOOKUP($A31,Types!$A$2:$C$13,2,FALSE),"P",D31)</f>
        <v>DSLP1</v>
      </c>
      <c r="H31" s="61">
        <f>H28*$C$8</f>
        <v>62.755660000000013</v>
      </c>
      <c r="I31" s="61">
        <f t="shared" ref="I31:K31" si="48">I28*$C$8</f>
        <v>55.465740000000004</v>
      </c>
      <c r="J31" s="61">
        <f t="shared" si="48"/>
        <v>123.78040000000001</v>
      </c>
      <c r="K31" s="61">
        <f t="shared" si="48"/>
        <v>123.78040000000001</v>
      </c>
      <c r="L31" s="62">
        <f>H31*Conv!$J$20/10^6/VLOOKUP($B31,Types!$B$2:$D$13,3,FALSE)/Conv!$I$5</f>
        <v>15.669129033098741</v>
      </c>
      <c r="M31" s="62">
        <f>I31*Conv!$J$20/10^6/VLOOKUP($B31,Types!$B$2:$D$13,3,FALSE)/Conv!$I$5</f>
        <v>13.848947441175921</v>
      </c>
      <c r="N31" s="62" t="e">
        <f>M31*#REF!</f>
        <v>#REF!</v>
      </c>
      <c r="O31" s="62" t="e">
        <f>N31*#REF!</f>
        <v>#REF!</v>
      </c>
      <c r="P31" s="62" t="e">
        <f>O31*#REF!</f>
        <v>#REF!</v>
      </c>
      <c r="Q31" s="62" t="e">
        <f>P31*#REF!</f>
        <v>#REF!</v>
      </c>
      <c r="R31" s="62" t="e">
        <f>Q31*#REF!</f>
        <v>#REF!</v>
      </c>
      <c r="S31" s="62" t="e">
        <f>R31*#REF!</f>
        <v>#REF!</v>
      </c>
      <c r="T31" s="62" t="e">
        <f>S31*#REF!</f>
        <v>#REF!</v>
      </c>
      <c r="U31" s="62" t="e">
        <f>T31*#REF!</f>
        <v>#REF!</v>
      </c>
      <c r="V31" s="62" t="e">
        <f>U31*#REF!</f>
        <v>#REF!</v>
      </c>
      <c r="W31" s="34"/>
      <c r="X31" s="1">
        <f>X28*$E$8</f>
        <v>1199998.8</v>
      </c>
      <c r="Y31" s="1">
        <f t="shared" ref="Y31:AA31" si="49">Y28*$E$8</f>
        <v>1199998.8</v>
      </c>
      <c r="Z31" s="1">
        <f t="shared" si="49"/>
        <v>1199998.8</v>
      </c>
      <c r="AA31" s="1">
        <f t="shared" si="49"/>
        <v>1199998.8</v>
      </c>
      <c r="AB31" s="34">
        <f>X31*VLOOKUP($B31,Types!$B$2:$D$13,3,FALSE)*Conv!$I$5*1000*365</f>
        <v>2691814.4337828746</v>
      </c>
      <c r="AC31" s="34">
        <f>Y31*VLOOKUP($B31,Types!$B$2:$D$13,3,FALSE)*Conv!$I$5*1000*365</f>
        <v>2691814.4337828746</v>
      </c>
      <c r="AD31" s="34">
        <f>Z31*VLOOKUP($B31,Types!$B$2:$D$13,3,FALSE)*Conv!$I$5*1000*365</f>
        <v>2691814.4337828746</v>
      </c>
      <c r="AE31" s="34">
        <f>AA31*VLOOKUP($B31,Types!$B$2:$D$13,3,FALSE)*Conv!$I$5*1000*365</f>
        <v>2691814.4337828746</v>
      </c>
      <c r="AF31" s="34">
        <f>AB31-AB28</f>
        <v>448635.73896381306</v>
      </c>
      <c r="AG31" s="34">
        <f t="shared" ref="AG31:AI31" si="50">AC31-AC28</f>
        <v>448635.73896381306</v>
      </c>
      <c r="AH31" s="34">
        <f t="shared" si="50"/>
        <v>448635.73896381306</v>
      </c>
      <c r="AI31" s="34">
        <f t="shared" si="50"/>
        <v>448635.73896381306</v>
      </c>
      <c r="AJ31" s="34"/>
      <c r="AK31" s="34"/>
      <c r="AL31" s="34"/>
    </row>
    <row r="32" spans="1:38">
      <c r="A32" s="1" t="str">
        <f>A31</f>
        <v>LS Diesel (500 ppm)</v>
      </c>
      <c r="B32" s="1" t="str">
        <f>VLOOKUP($A32,Types!$A$2:$C$13,2,FALSE)</f>
        <v>DSL</v>
      </c>
      <c r="C32" s="1">
        <v>5</v>
      </c>
      <c r="D32" s="1">
        <v>1</v>
      </c>
      <c r="E32" s="1" t="str">
        <f t="shared" si="1"/>
        <v>IMPDSLP15</v>
      </c>
      <c r="F32" s="1" t="str">
        <f>CONCATENATE("Imported ",VLOOKUP($A32,Types!$A$2:$C$13,3,FALSE),", PADD ",D32,", Step ",RIGHT(C32,1))</f>
        <v>Imported Distillate-Low Sulfur Highway Diesel (500 ppm), PADD 1, Step 5</v>
      </c>
      <c r="G32" s="1" t="str">
        <f>CONCATENATE(VLOOKUP($A32,Types!$A$2:$C$13,2,FALSE),"P",D32)</f>
        <v>DSLP1</v>
      </c>
      <c r="H32" s="61">
        <f>H28*$C$9</f>
        <v>74.84620000000001</v>
      </c>
      <c r="I32" s="61">
        <f t="shared" ref="I32:K32" si="51">I28*$C$9</f>
        <v>66.151800000000009</v>
      </c>
      <c r="J32" s="61">
        <f t="shared" si="51"/>
        <v>147.62800000000001</v>
      </c>
      <c r="K32" s="61">
        <f t="shared" si="51"/>
        <v>147.62800000000001</v>
      </c>
      <c r="L32" s="62">
        <f>H32*Conv!$J$20/10^6/VLOOKUP($B32,Types!$B$2:$D$13,3,FALSE)/Conv!$I$5</f>
        <v>18.687952057824187</v>
      </c>
      <c r="M32" s="62">
        <f>I32*Conv!$J$20/10^6/VLOOKUP($B32,Types!$B$2:$D$13,3,FALSE)/Conv!$I$5</f>
        <v>16.517093278466696</v>
      </c>
      <c r="N32" s="62" t="e">
        <f>M32*#REF!</f>
        <v>#REF!</v>
      </c>
      <c r="O32" s="62" t="e">
        <f>N32*#REF!</f>
        <v>#REF!</v>
      </c>
      <c r="P32" s="62" t="e">
        <f>O32*#REF!</f>
        <v>#REF!</v>
      </c>
      <c r="Q32" s="62" t="e">
        <f>P32*#REF!</f>
        <v>#REF!</v>
      </c>
      <c r="R32" s="62" t="e">
        <f>Q32*#REF!</f>
        <v>#REF!</v>
      </c>
      <c r="S32" s="62" t="e">
        <f>R32*#REF!</f>
        <v>#REF!</v>
      </c>
      <c r="T32" s="62" t="e">
        <f>S32*#REF!</f>
        <v>#REF!</v>
      </c>
      <c r="U32" s="62" t="e">
        <f>T32*#REF!</f>
        <v>#REF!</v>
      </c>
      <c r="V32" s="62" t="e">
        <f>U32*#REF!</f>
        <v>#REF!</v>
      </c>
      <c r="W32" s="34"/>
      <c r="X32" s="1">
        <f>X28*$E$9</f>
        <v>1999998</v>
      </c>
      <c r="Y32" s="1">
        <f t="shared" ref="Y32:AA32" si="52">Y28*$E$9</f>
        <v>1999998</v>
      </c>
      <c r="Z32" s="1">
        <f t="shared" si="52"/>
        <v>1999998</v>
      </c>
      <c r="AA32" s="1">
        <f t="shared" si="52"/>
        <v>1999998</v>
      </c>
      <c r="AB32" s="34">
        <f>X32*VLOOKUP($B32,Types!$B$2:$D$13,3,FALSE)*Conv!$I$5*1000*365</f>
        <v>4486357.3896381231</v>
      </c>
      <c r="AC32" s="34">
        <f>Y32*VLOOKUP($B32,Types!$B$2:$D$13,3,FALSE)*Conv!$I$5*1000*365</f>
        <v>4486357.3896381231</v>
      </c>
      <c r="AD32" s="34">
        <f>Z32*VLOOKUP($B32,Types!$B$2:$D$13,3,FALSE)*Conv!$I$5*1000*365</f>
        <v>4486357.3896381231</v>
      </c>
      <c r="AE32" s="34">
        <f>AA32*VLOOKUP($B32,Types!$B$2:$D$13,3,FALSE)*Conv!$I$5*1000*365</f>
        <v>4486357.3896381231</v>
      </c>
      <c r="AF32" s="34">
        <f>AB32-AB31</f>
        <v>1794542.9558552485</v>
      </c>
      <c r="AG32" s="34">
        <f t="shared" ref="AG32:AI32" si="53">AC32-AC31</f>
        <v>1794542.9558552485</v>
      </c>
      <c r="AH32" s="34">
        <f t="shared" si="53"/>
        <v>1794542.9558552485</v>
      </c>
      <c r="AI32" s="34">
        <f t="shared" si="53"/>
        <v>1794542.9558552485</v>
      </c>
      <c r="AJ32" s="34"/>
      <c r="AK32" s="34"/>
      <c r="AL32" s="34"/>
    </row>
    <row r="33" spans="1:38">
      <c r="A33" s="1" t="str">
        <f>'Agg prdcrv'!$A$10</f>
        <v>Low Sulfur Fuel Oil</v>
      </c>
      <c r="B33" s="1" t="str">
        <f>VLOOKUP($A33,Types!$A$2:$C$13,2,FALSE)</f>
        <v>RFL</v>
      </c>
      <c r="C33" s="1">
        <v>3</v>
      </c>
      <c r="D33" s="1">
        <v>1</v>
      </c>
      <c r="E33" s="1" t="str">
        <f t="shared" si="1"/>
        <v>IMPRFLP13</v>
      </c>
      <c r="F33" s="1" t="str">
        <f>CONCATENATE("Imported ",VLOOKUP($A33,Types!$A$2:$C$13,3,FALSE),", PADD ",D33,", Step ",RIGHT(C33,1))</f>
        <v>Imported Low Sulfur Residual Fuel Oil, PADD 1, Step 3</v>
      </c>
      <c r="G33" s="1" t="str">
        <f>CONCATENATE(VLOOKUP($A33,Types!$A$2:$C$13,2,FALSE),"P",D33)</f>
        <v>RFLP1</v>
      </c>
      <c r="H33" s="61">
        <f>SUMIFS('Agg prdcrv NYC'!$L$6:$L$100,'Agg prdcrv NYC'!$A$6:$A$100,'Imp Refined NYC'!$A33,'Agg prdcrv NYC'!$B$6:$B$100,H$11)*K4</f>
        <v>39.93</v>
      </c>
      <c r="I33" s="61">
        <f>SUMIFS('Agg prdcrv NYC'!$L$6:$L$100,'Agg prdcrv NYC'!$A$6:$A$100,'Imp Refined NYC'!$A33,'Agg prdcrv NYC'!$B$6:$B$100,I$11)*K4</f>
        <v>37.708000000000006</v>
      </c>
      <c r="J33" s="61">
        <f t="array" ref="J33">SUMIFS('Agg prdcrv NYC'!$L$6:$L$100,'Agg prdcrv NYC'!$A$6:$A$100,'Imp Refined NYC'!$A33,'Agg prdcrv NYC'!$B$6:$B$100,J$11)</f>
        <v>29.19</v>
      </c>
      <c r="K33" s="61">
        <f t="array" ref="K33">SUMIFS('Agg prdcrv NYC'!$L$6:$L$100,'Agg prdcrv NYC'!$A$6:$A$100,'Imp Refined NYC'!$A33,'Agg prdcrv NYC'!$B$6:$B$100,K$11)</f>
        <v>32.119999999999997</v>
      </c>
      <c r="L33" s="62">
        <f>H33*Conv!$J$20/10^6/VLOOKUP($B33,Types!$B$2:$D$13,3,FALSE)/Conv!$I$5</f>
        <v>9.2372720649261009</v>
      </c>
      <c r="M33" s="62">
        <f>I33*Conv!$J$20/10^6/VLOOKUP($B33,Types!$B$2:$D$13,3,FALSE)/Conv!$I$5</f>
        <v>8.7232420491919225</v>
      </c>
      <c r="N33" s="62" t="e">
        <f>M33*#REF!</f>
        <v>#REF!</v>
      </c>
      <c r="O33" s="62" t="e">
        <f>N33*#REF!</f>
        <v>#REF!</v>
      </c>
      <c r="P33" s="62" t="e">
        <f>O33*#REF!</f>
        <v>#REF!</v>
      </c>
      <c r="Q33" s="62" t="e">
        <f>P33*#REF!</f>
        <v>#REF!</v>
      </c>
      <c r="R33" s="62" t="e">
        <f>Q33*#REF!</f>
        <v>#REF!</v>
      </c>
      <c r="S33" s="62" t="e">
        <f>R33*#REF!</f>
        <v>#REF!</v>
      </c>
      <c r="T33" s="62" t="e">
        <f>S33*#REF!</f>
        <v>#REF!</v>
      </c>
      <c r="U33" s="62" t="e">
        <f>T33*#REF!</f>
        <v>#REF!</v>
      </c>
      <c r="V33" s="62" t="e">
        <f>U33*#REF!</f>
        <v>#REF!</v>
      </c>
      <c r="W33" s="34"/>
      <c r="X33" s="1">
        <f t="array" ref="X33">SUMIFS('Agg prdcrv NYC'!$D$6:$D$100,'Agg prdcrv NYC'!$A$6:$A$100,'Imp Refined NYC'!$A33,'Agg prdcrv NYC'!$B$6:$B$100,X$11)</f>
        <v>999999</v>
      </c>
      <c r="Y33" s="1">
        <f t="array" ref="Y33">SUMIFS('Agg prdcrv NYC'!$D$6:$D$100,'Agg prdcrv NYC'!$A$6:$A$100,'Imp Refined NYC'!$A33,'Agg prdcrv NYC'!$B$6:$B$100,Y$11)</f>
        <v>999999</v>
      </c>
      <c r="Z33" s="1">
        <f t="array" ref="Z33">SUMIFS('Agg prdcrv NYC'!$D$6:$D$100,'Agg prdcrv NYC'!$A$6:$A$100,'Imp Refined NYC'!$A33,'Agg prdcrv NYC'!$B$6:$B$100,Z$11)</f>
        <v>999999</v>
      </c>
      <c r="AA33" s="1">
        <f t="array" ref="AA33">SUMIFS('Agg prdcrv NYC'!$D$6:$D$100,'Agg prdcrv NYC'!$A$6:$A$100,'Imp Refined NYC'!$A33,'Agg prdcrv NYC'!$B$6:$B$100,AA$11)</f>
        <v>999999</v>
      </c>
      <c r="AB33" s="34">
        <f>X33*VLOOKUP($B33,Types!$B$2:$D$13,3,FALSE)*Conv!$I$5*1000*365</f>
        <v>2421092.6101849684</v>
      </c>
      <c r="AC33" s="34">
        <f>Y33*VLOOKUP($B33,Types!$B$2:$D$13,3,FALSE)*Conv!$I$5*1000*365</f>
        <v>2421092.6101849684</v>
      </c>
      <c r="AD33" s="34">
        <f>Z33*VLOOKUP($B33,Types!$B$2:$D$13,3,FALSE)*Conv!$I$5*1000*365</f>
        <v>2421092.6101849684</v>
      </c>
      <c r="AE33" s="34">
        <f>AA33*VLOOKUP($B33,Types!$B$2:$D$13,3,FALSE)*Conv!$I$5*1000*365</f>
        <v>2421092.6101849684</v>
      </c>
      <c r="AF33" s="34">
        <f>AB33-AB35</f>
        <v>242109.26101849694</v>
      </c>
      <c r="AG33" s="34">
        <f t="shared" ref="AG33:AI33" si="54">AC33-AC35</f>
        <v>242109.26101849694</v>
      </c>
      <c r="AH33" s="34">
        <f t="shared" si="54"/>
        <v>242109.26101849694</v>
      </c>
      <c r="AI33" s="34">
        <f t="shared" si="54"/>
        <v>242109.26101849694</v>
      </c>
      <c r="AJ33" s="34"/>
      <c r="AK33" s="34"/>
      <c r="AL33" s="34"/>
    </row>
    <row r="34" spans="1:38">
      <c r="A34" s="1" t="str">
        <f>A33</f>
        <v>Low Sulfur Fuel Oil</v>
      </c>
      <c r="B34" s="1" t="str">
        <f>VLOOKUP($A34,Types!$A$2:$C$13,2,FALSE)</f>
        <v>RFL</v>
      </c>
      <c r="C34" s="1">
        <v>1</v>
      </c>
      <c r="D34" s="1">
        <v>1</v>
      </c>
      <c r="E34" s="1" t="str">
        <f t="shared" si="1"/>
        <v>IMPRFLP11</v>
      </c>
      <c r="F34" s="1" t="str">
        <f>CONCATENATE("Imported ",VLOOKUP($A34,Types!$A$2:$C$13,3,FALSE),", PADD ",D34,", Step ",RIGHT(C34,1))</f>
        <v>Imported Low Sulfur Residual Fuel Oil, PADD 1, Step 1</v>
      </c>
      <c r="G34" s="1" t="str">
        <f>CONCATENATE(VLOOKUP($A34,Types!$A$2:$C$13,2,FALSE),"P",D34)</f>
        <v>RFLP1</v>
      </c>
      <c r="H34" s="61">
        <f>H33*$C$5</f>
        <v>37.933499999999995</v>
      </c>
      <c r="I34" s="61">
        <f t="shared" ref="I34:K34" si="55">I33*$C$5</f>
        <v>35.822600000000001</v>
      </c>
      <c r="J34" s="61">
        <f t="shared" si="55"/>
        <v>27.730499999999999</v>
      </c>
      <c r="K34" s="61">
        <f t="shared" si="55"/>
        <v>30.513999999999996</v>
      </c>
      <c r="L34" s="62">
        <f>H34*Conv!$J$20/10^6/VLOOKUP($B34,Types!$B$2:$D$13,3,FALSE)/Conv!$I$5</f>
        <v>8.7754084616797936</v>
      </c>
      <c r="M34" s="62">
        <f>I34*Conv!$J$20/10^6/VLOOKUP($B34,Types!$B$2:$D$13,3,FALSE)/Conv!$I$5</f>
        <v>8.2870799467323266</v>
      </c>
      <c r="N34" s="62" t="e">
        <f>M34*#REF!</f>
        <v>#REF!</v>
      </c>
      <c r="O34" s="62" t="e">
        <f>N34*#REF!</f>
        <v>#REF!</v>
      </c>
      <c r="P34" s="62" t="e">
        <f>O34*#REF!</f>
        <v>#REF!</v>
      </c>
      <c r="Q34" s="62" t="e">
        <f>P34*#REF!</f>
        <v>#REF!</v>
      </c>
      <c r="R34" s="62" t="e">
        <f>Q34*#REF!</f>
        <v>#REF!</v>
      </c>
      <c r="S34" s="62" t="e">
        <f>R34*#REF!</f>
        <v>#REF!</v>
      </c>
      <c r="T34" s="62" t="e">
        <f>S34*#REF!</f>
        <v>#REF!</v>
      </c>
      <c r="U34" s="62" t="e">
        <f>T34*#REF!</f>
        <v>#REF!</v>
      </c>
      <c r="V34" s="62" t="e">
        <f>U34*#REF!</f>
        <v>#REF!</v>
      </c>
      <c r="W34" s="34"/>
      <c r="X34" s="1">
        <f>X33*$E$5</f>
        <v>799999.20000000007</v>
      </c>
      <c r="Y34" s="1">
        <f t="shared" ref="Y34:AA34" si="56">Y33*$E$5</f>
        <v>799999.20000000007</v>
      </c>
      <c r="Z34" s="1">
        <f t="shared" si="56"/>
        <v>799999.20000000007</v>
      </c>
      <c r="AA34" s="1">
        <f t="shared" si="56"/>
        <v>799999.20000000007</v>
      </c>
      <c r="AB34" s="34">
        <f>X34*VLOOKUP($B34,Types!$B$2:$D$13,3,FALSE)*Conv!$I$5*1000*365</f>
        <v>1936874.088147975</v>
      </c>
      <c r="AC34" s="34">
        <f>Y34*VLOOKUP($B34,Types!$B$2:$D$13,3,FALSE)*Conv!$I$5*1000*365</f>
        <v>1936874.088147975</v>
      </c>
      <c r="AD34" s="34">
        <f>Z34*VLOOKUP($B34,Types!$B$2:$D$13,3,FALSE)*Conv!$I$5*1000*365</f>
        <v>1936874.088147975</v>
      </c>
      <c r="AE34" s="34">
        <f>AA34*VLOOKUP($B34,Types!$B$2:$D$13,3,FALSE)*Conv!$I$5*1000*365</f>
        <v>1936874.088147975</v>
      </c>
      <c r="AF34" s="34">
        <f>AB34</f>
        <v>1936874.088147975</v>
      </c>
      <c r="AG34" s="34">
        <f t="shared" ref="AG34:AI34" si="57">AC34</f>
        <v>1936874.088147975</v>
      </c>
      <c r="AH34" s="34">
        <f t="shared" si="57"/>
        <v>1936874.088147975</v>
      </c>
      <c r="AI34" s="34">
        <f t="shared" si="57"/>
        <v>1936874.088147975</v>
      </c>
      <c r="AJ34" s="34"/>
      <c r="AK34" s="34"/>
      <c r="AL34" s="34"/>
    </row>
    <row r="35" spans="1:38">
      <c r="A35" s="1" t="str">
        <f>A34</f>
        <v>Low Sulfur Fuel Oil</v>
      </c>
      <c r="B35" s="1" t="str">
        <f>VLOOKUP($A35,Types!$A$2:$C$13,2,FALSE)</f>
        <v>RFL</v>
      </c>
      <c r="C35" s="1">
        <v>2</v>
      </c>
      <c r="D35" s="1">
        <v>1</v>
      </c>
      <c r="E35" s="1" t="str">
        <f t="shared" si="1"/>
        <v>IMPRFLP12</v>
      </c>
      <c r="F35" s="1" t="str">
        <f>CONCATENATE("Imported ",VLOOKUP($A35,Types!$A$2:$C$13,3,FALSE),", PADD ",D35,", Step ",RIGHT(C35,1))</f>
        <v>Imported Low Sulfur Residual Fuel Oil, PADD 1, Step 2</v>
      </c>
      <c r="G35" s="1" t="str">
        <f>CONCATENATE(VLOOKUP($A35,Types!$A$2:$C$13,2,FALSE),"P",D35)</f>
        <v>RFLP1</v>
      </c>
      <c r="H35" s="61">
        <f>H33*$C$6</f>
        <v>39.131399999999999</v>
      </c>
      <c r="I35" s="61">
        <f t="shared" ref="I35:K35" si="58">I33*$C$6</f>
        <v>36.953840000000007</v>
      </c>
      <c r="J35" s="61">
        <f t="shared" si="58"/>
        <v>28.606200000000001</v>
      </c>
      <c r="K35" s="61">
        <f t="shared" si="58"/>
        <v>31.477599999999995</v>
      </c>
      <c r="L35" s="62">
        <f>H35*Conv!$J$20/10^6/VLOOKUP($B35,Types!$B$2:$D$13,3,FALSE)/Conv!$I$5</f>
        <v>9.0525266236275801</v>
      </c>
      <c r="M35" s="62">
        <f>I35*Conv!$J$20/10^6/VLOOKUP($B35,Types!$B$2:$D$13,3,FALSE)/Conv!$I$5</f>
        <v>8.5487772082080831</v>
      </c>
      <c r="N35" s="62" t="e">
        <f>M35*#REF!</f>
        <v>#REF!</v>
      </c>
      <c r="O35" s="62" t="e">
        <f>N35*#REF!</f>
        <v>#REF!</v>
      </c>
      <c r="P35" s="62" t="e">
        <f>O35*#REF!</f>
        <v>#REF!</v>
      </c>
      <c r="Q35" s="62" t="e">
        <f>P35*#REF!</f>
        <v>#REF!</v>
      </c>
      <c r="R35" s="62" t="e">
        <f>Q35*#REF!</f>
        <v>#REF!</v>
      </c>
      <c r="S35" s="62" t="e">
        <f>R35*#REF!</f>
        <v>#REF!</v>
      </c>
      <c r="T35" s="62" t="e">
        <f>S35*#REF!</f>
        <v>#REF!</v>
      </c>
      <c r="U35" s="62" t="e">
        <f>T35*#REF!</f>
        <v>#REF!</v>
      </c>
      <c r="V35" s="62" t="e">
        <f>U35*#REF!</f>
        <v>#REF!</v>
      </c>
      <c r="W35" s="34"/>
      <c r="X35" s="1">
        <f>X33*$E$6</f>
        <v>899999.1</v>
      </c>
      <c r="Y35" s="1">
        <f t="shared" ref="Y35:AA35" si="59">Y33*$E$6</f>
        <v>899999.1</v>
      </c>
      <c r="Z35" s="1">
        <f t="shared" si="59"/>
        <v>899999.1</v>
      </c>
      <c r="AA35" s="1">
        <f t="shared" si="59"/>
        <v>899999.1</v>
      </c>
      <c r="AB35" s="34">
        <f>X35*VLOOKUP($B35,Types!$B$2:$D$13,3,FALSE)*Conv!$I$5*1000*365</f>
        <v>2178983.3491664715</v>
      </c>
      <c r="AC35" s="34">
        <f>Y35*VLOOKUP($B35,Types!$B$2:$D$13,3,FALSE)*Conv!$I$5*1000*365</f>
        <v>2178983.3491664715</v>
      </c>
      <c r="AD35" s="34">
        <f>Z35*VLOOKUP($B35,Types!$B$2:$D$13,3,FALSE)*Conv!$I$5*1000*365</f>
        <v>2178983.3491664715</v>
      </c>
      <c r="AE35" s="34">
        <f>AA35*VLOOKUP($B35,Types!$B$2:$D$13,3,FALSE)*Conv!$I$5*1000*365</f>
        <v>2178983.3491664715</v>
      </c>
      <c r="AF35" s="34">
        <f>AB35-AF34</f>
        <v>242109.26101849647</v>
      </c>
      <c r="AG35" s="34">
        <f t="shared" ref="AG35:AI35" si="60">AC35-AG34</f>
        <v>242109.26101849647</v>
      </c>
      <c r="AH35" s="34">
        <f t="shared" si="60"/>
        <v>242109.26101849647</v>
      </c>
      <c r="AI35" s="34">
        <f t="shared" si="60"/>
        <v>242109.26101849647</v>
      </c>
      <c r="AJ35" s="34"/>
      <c r="AK35" s="34"/>
      <c r="AL35" s="34"/>
    </row>
    <row r="36" spans="1:38">
      <c r="A36" s="1" t="str">
        <f>A35</f>
        <v>Low Sulfur Fuel Oil</v>
      </c>
      <c r="B36" s="1" t="str">
        <f>VLOOKUP($A36,Types!$A$2:$C$13,2,FALSE)</f>
        <v>RFL</v>
      </c>
      <c r="C36" s="1">
        <v>4</v>
      </c>
      <c r="D36" s="1">
        <v>1</v>
      </c>
      <c r="E36" s="1" t="str">
        <f t="shared" si="1"/>
        <v>IMPRFLP14</v>
      </c>
      <c r="F36" s="1" t="str">
        <f>CONCATENATE("Imported ",VLOOKUP($A36,Types!$A$2:$C$13,3,FALSE),", PADD ",D36,", Step ",RIGHT(C36,1))</f>
        <v>Imported Low Sulfur Residual Fuel Oil, PADD 1, Step 4</v>
      </c>
      <c r="G36" s="1" t="str">
        <f>CONCATENATE(VLOOKUP($A36,Types!$A$2:$C$13,2,FALSE),"P",D36)</f>
        <v>RFLP1</v>
      </c>
      <c r="H36" s="61">
        <f>H33*$C$8</f>
        <v>43.523700000000005</v>
      </c>
      <c r="I36" s="61">
        <f t="shared" ref="I36:K36" si="61">I33*$C$8</f>
        <v>41.101720000000007</v>
      </c>
      <c r="J36" s="61">
        <f t="shared" si="61"/>
        <v>31.817100000000003</v>
      </c>
      <c r="K36" s="61">
        <f t="shared" si="61"/>
        <v>35.010800000000003</v>
      </c>
      <c r="L36" s="62">
        <f>H36*Conv!$J$20/10^6/VLOOKUP($B36,Types!$B$2:$D$13,3,FALSE)/Conv!$I$5</f>
        <v>10.068626550769451</v>
      </c>
      <c r="M36" s="62">
        <f>I36*Conv!$J$20/10^6/VLOOKUP($B36,Types!$B$2:$D$13,3,FALSE)/Conv!$I$5</f>
        <v>9.5083338336191972</v>
      </c>
      <c r="N36" s="62" t="e">
        <f>M36*#REF!</f>
        <v>#REF!</v>
      </c>
      <c r="O36" s="62" t="e">
        <f>N36*#REF!</f>
        <v>#REF!</v>
      </c>
      <c r="P36" s="62" t="e">
        <f>O36*#REF!</f>
        <v>#REF!</v>
      </c>
      <c r="Q36" s="62" t="e">
        <f>P36*#REF!</f>
        <v>#REF!</v>
      </c>
      <c r="R36" s="62" t="e">
        <f>Q36*#REF!</f>
        <v>#REF!</v>
      </c>
      <c r="S36" s="62" t="e">
        <f>R36*#REF!</f>
        <v>#REF!</v>
      </c>
      <c r="T36" s="62" t="e">
        <f>S36*#REF!</f>
        <v>#REF!</v>
      </c>
      <c r="U36" s="62" t="e">
        <f>T36*#REF!</f>
        <v>#REF!</v>
      </c>
      <c r="V36" s="62" t="e">
        <f>U36*#REF!</f>
        <v>#REF!</v>
      </c>
      <c r="W36" s="34"/>
      <c r="X36" s="1">
        <f>X33*$E$8</f>
        <v>1199998.8</v>
      </c>
      <c r="Y36" s="1">
        <f t="shared" ref="Y36:AA36" si="62">Y33*$E$8</f>
        <v>1199998.8</v>
      </c>
      <c r="Z36" s="1">
        <f t="shared" si="62"/>
        <v>1199998.8</v>
      </c>
      <c r="AA36" s="1">
        <f t="shared" si="62"/>
        <v>1199998.8</v>
      </c>
      <c r="AB36" s="34">
        <f>X36*VLOOKUP($B36,Types!$B$2:$D$13,3,FALSE)*Conv!$I$5*1000*365</f>
        <v>2905311.1322219619</v>
      </c>
      <c r="AC36" s="34">
        <f>Y36*VLOOKUP($B36,Types!$B$2:$D$13,3,FALSE)*Conv!$I$5*1000*365</f>
        <v>2905311.1322219619</v>
      </c>
      <c r="AD36" s="34">
        <f>Z36*VLOOKUP($B36,Types!$B$2:$D$13,3,FALSE)*Conv!$I$5*1000*365</f>
        <v>2905311.1322219619</v>
      </c>
      <c r="AE36" s="34">
        <f>AA36*VLOOKUP($B36,Types!$B$2:$D$13,3,FALSE)*Conv!$I$5*1000*365</f>
        <v>2905311.1322219619</v>
      </c>
      <c r="AF36" s="34">
        <f>AB36-AB33</f>
        <v>484218.52203699341</v>
      </c>
      <c r="AG36" s="34">
        <f t="shared" ref="AG36:AI36" si="63">AC36-AC33</f>
        <v>484218.52203699341</v>
      </c>
      <c r="AH36" s="34">
        <f t="shared" si="63"/>
        <v>484218.52203699341</v>
      </c>
      <c r="AI36" s="34">
        <f t="shared" si="63"/>
        <v>484218.52203699341</v>
      </c>
      <c r="AJ36" s="34"/>
      <c r="AK36" s="34"/>
      <c r="AL36" s="34"/>
    </row>
    <row r="37" spans="1:38">
      <c r="A37" s="1" t="str">
        <f>A36</f>
        <v>Low Sulfur Fuel Oil</v>
      </c>
      <c r="B37" s="1" t="str">
        <f>VLOOKUP($A37,Types!$A$2:$C$13,2,FALSE)</f>
        <v>RFL</v>
      </c>
      <c r="C37" s="1">
        <v>5</v>
      </c>
      <c r="D37" s="1">
        <v>1</v>
      </c>
      <c r="E37" s="1" t="str">
        <f t="shared" si="1"/>
        <v>IMPRFLP15</v>
      </c>
      <c r="F37" s="1" t="str">
        <f>CONCATENATE("Imported ",VLOOKUP($A37,Types!$A$2:$C$13,3,FALSE),", PADD ",D37,", Step ",RIGHT(C37,1))</f>
        <v>Imported Low Sulfur Residual Fuel Oil, PADD 1, Step 5</v>
      </c>
      <c r="G37" s="1" t="str">
        <f>CONCATENATE(VLOOKUP($A37,Types!$A$2:$C$13,2,FALSE),"P",D37)</f>
        <v>RFLP1</v>
      </c>
      <c r="H37" s="61">
        <f>H33*$C$9</f>
        <v>51.908999999999999</v>
      </c>
      <c r="I37" s="61">
        <f t="shared" ref="I37:K37" si="64">I33*$C$9</f>
        <v>49.020400000000009</v>
      </c>
      <c r="J37" s="61">
        <f t="shared" si="64"/>
        <v>37.947000000000003</v>
      </c>
      <c r="K37" s="61">
        <f t="shared" si="64"/>
        <v>41.756</v>
      </c>
      <c r="L37" s="62">
        <f>H37*Conv!$J$20/10^6/VLOOKUP($B37,Types!$B$2:$D$13,3,FALSE)/Conv!$I$5</f>
        <v>12.008453684403932</v>
      </c>
      <c r="M37" s="62">
        <f>I37*Conv!$J$20/10^6/VLOOKUP($B37,Types!$B$2:$D$13,3,FALSE)/Conv!$I$5</f>
        <v>11.340214663949503</v>
      </c>
      <c r="N37" s="62" t="e">
        <f>M37*#REF!</f>
        <v>#REF!</v>
      </c>
      <c r="O37" s="62" t="e">
        <f>N37*#REF!</f>
        <v>#REF!</v>
      </c>
      <c r="P37" s="62" t="e">
        <f>O37*#REF!</f>
        <v>#REF!</v>
      </c>
      <c r="Q37" s="62" t="e">
        <f>P37*#REF!</f>
        <v>#REF!</v>
      </c>
      <c r="R37" s="62" t="e">
        <f>Q37*#REF!</f>
        <v>#REF!</v>
      </c>
      <c r="S37" s="62" t="e">
        <f>R37*#REF!</f>
        <v>#REF!</v>
      </c>
      <c r="T37" s="62" t="e">
        <f>S37*#REF!</f>
        <v>#REF!</v>
      </c>
      <c r="U37" s="62" t="e">
        <f>T37*#REF!</f>
        <v>#REF!</v>
      </c>
      <c r="V37" s="62" t="e">
        <f>U37*#REF!</f>
        <v>#REF!</v>
      </c>
      <c r="W37" s="34"/>
      <c r="X37" s="1">
        <f>X33*$E$9</f>
        <v>1999998</v>
      </c>
      <c r="Y37" s="1">
        <f t="shared" ref="Y37:AA37" si="65">Y33*$E$9</f>
        <v>1999998</v>
      </c>
      <c r="Z37" s="1">
        <f t="shared" si="65"/>
        <v>1999998</v>
      </c>
      <c r="AA37" s="1">
        <f t="shared" si="65"/>
        <v>1999998</v>
      </c>
      <c r="AB37" s="34">
        <f>X37*VLOOKUP($B37,Types!$B$2:$D$13,3,FALSE)*Conv!$I$5*1000*365</f>
        <v>4842185.2203699369</v>
      </c>
      <c r="AC37" s="34">
        <f>Y37*VLOOKUP($B37,Types!$B$2:$D$13,3,FALSE)*Conv!$I$5*1000*365</f>
        <v>4842185.2203699369</v>
      </c>
      <c r="AD37" s="34">
        <f>Z37*VLOOKUP($B37,Types!$B$2:$D$13,3,FALSE)*Conv!$I$5*1000*365</f>
        <v>4842185.2203699369</v>
      </c>
      <c r="AE37" s="34">
        <f>AA37*VLOOKUP($B37,Types!$B$2:$D$13,3,FALSE)*Conv!$I$5*1000*365</f>
        <v>4842185.2203699369</v>
      </c>
      <c r="AF37" s="34">
        <f>AB37-AB36</f>
        <v>1936874.088147975</v>
      </c>
      <c r="AG37" s="34">
        <f t="shared" ref="AG37:AI37" si="66">AC37-AC36</f>
        <v>1936874.088147975</v>
      </c>
      <c r="AH37" s="34">
        <f t="shared" si="66"/>
        <v>1936874.088147975</v>
      </c>
      <c r="AI37" s="34">
        <f t="shared" si="66"/>
        <v>1936874.088147975</v>
      </c>
      <c r="AJ37" s="34"/>
      <c r="AK37" s="34"/>
      <c r="AL37" s="34"/>
    </row>
    <row r="38" spans="1:38">
      <c r="A38" s="1" t="str">
        <f>'Agg prdcrv'!$A$11</f>
        <v>High Sulfur Fuel Oil</v>
      </c>
      <c r="B38" s="1" t="str">
        <f>VLOOKUP($A38,Types!$A$2:$C$13,2,FALSE)</f>
        <v>RFH</v>
      </c>
      <c r="C38" s="1">
        <v>3</v>
      </c>
      <c r="D38" s="1">
        <v>1</v>
      </c>
      <c r="E38" s="1" t="str">
        <f t="shared" si="1"/>
        <v>IMPRFHP13</v>
      </c>
      <c r="F38" s="1" t="str">
        <f>CONCATENATE("Imported ",VLOOKUP($A38,Types!$A$2:$C$13,3,FALSE),", PADD ",D38,", Step ",RIGHT(C38,1))</f>
        <v>Imported High Sulfur Residual Fuel Oil, PADD 1, Step 3</v>
      </c>
      <c r="G38" s="1" t="str">
        <f>CONCATENATE(VLOOKUP($A38,Types!$A$2:$C$13,2,FALSE),"P",D38)</f>
        <v>RFHP1</v>
      </c>
      <c r="H38" s="61">
        <f>SUMIFS('Agg prdcrv NYC'!$L$6:$L$100,'Agg prdcrv NYC'!$A$6:$A$100,'Imp Refined NYC'!$A38,'Agg prdcrv NYC'!$B$6:$B$100,H$11)*K4</f>
        <v>38.269000000000005</v>
      </c>
      <c r="I38" s="61">
        <f>SUMIFS('Agg prdcrv NYC'!$L$6:$L$100,'Agg prdcrv NYC'!$A$6:$A$100,'Imp Refined NYC'!$A38,'Agg prdcrv NYC'!$B$6:$B$100,I$11)*K4</f>
        <v>31.35</v>
      </c>
      <c r="J38" s="61">
        <f t="array" ref="J38">SUMIFS('Agg prdcrv NYC'!$L$6:$L$100,'Agg prdcrv NYC'!$A$6:$A$100,'Imp Refined NYC'!$A38,'Agg prdcrv NYC'!$B$6:$B$100,J$11)</f>
        <v>28.79</v>
      </c>
      <c r="K38" s="61">
        <f t="array" ref="K38">SUMIFS('Agg prdcrv NYC'!$L$6:$L$100,'Agg prdcrv NYC'!$A$6:$A$100,'Imp Refined NYC'!$A38,'Agg prdcrv NYC'!$B$6:$B$100,K$11)</f>
        <v>31.8</v>
      </c>
      <c r="L38" s="62">
        <f>H38*Conv!$J$20/10^6/VLOOKUP($B38,Types!$B$2:$D$13,3,FALSE)/Conv!$I$5</f>
        <v>8.8530219046495624</v>
      </c>
      <c r="M38" s="62">
        <f>I38*Conv!$J$20/10^6/VLOOKUP($B38,Types!$B$2:$D$13,3,FALSE)/Conv!$I$5</f>
        <v>7.2524036873386741</v>
      </c>
      <c r="N38" s="62" t="e">
        <f>M38*#REF!</f>
        <v>#REF!</v>
      </c>
      <c r="O38" s="62" t="e">
        <f>N38*#REF!</f>
        <v>#REF!</v>
      </c>
      <c r="P38" s="62" t="e">
        <f>O38*#REF!</f>
        <v>#REF!</v>
      </c>
      <c r="Q38" s="62" t="e">
        <f>P38*#REF!</f>
        <v>#REF!</v>
      </c>
      <c r="R38" s="62" t="e">
        <f>Q38*#REF!</f>
        <v>#REF!</v>
      </c>
      <c r="S38" s="62" t="e">
        <f>R38*#REF!</f>
        <v>#REF!</v>
      </c>
      <c r="T38" s="62" t="e">
        <f>S38*#REF!</f>
        <v>#REF!</v>
      </c>
      <c r="U38" s="62" t="e">
        <f>T38*#REF!</f>
        <v>#REF!</v>
      </c>
      <c r="V38" s="62" t="e">
        <f>U38*#REF!</f>
        <v>#REF!</v>
      </c>
      <c r="W38" s="34"/>
      <c r="X38" s="1">
        <f t="array" ref="X38">SUMIFS('Agg prdcrv NYC'!$D$6:$D$100,'Agg prdcrv NYC'!$A$6:$A$100,'Imp Refined NYC'!$A38,'Agg prdcrv NYC'!$B$6:$B$100,X$11)</f>
        <v>999999</v>
      </c>
      <c r="Y38" s="1">
        <f t="array" ref="Y38">SUMIFS('Agg prdcrv NYC'!$D$6:$D$100,'Agg prdcrv NYC'!$A$6:$A$100,'Imp Refined NYC'!$A38,'Agg prdcrv NYC'!$B$6:$B$100,Y$11)</f>
        <v>999999</v>
      </c>
      <c r="Z38" s="1">
        <f t="array" ref="Z38">SUMIFS('Agg prdcrv NYC'!$D$6:$D$100,'Agg prdcrv NYC'!$A$6:$A$100,'Imp Refined NYC'!$A38,'Agg prdcrv NYC'!$B$6:$B$100,Z$11)</f>
        <v>999999</v>
      </c>
      <c r="AA38" s="1">
        <f t="array" ref="AA38">SUMIFS('Agg prdcrv NYC'!$D$6:$D$100,'Agg prdcrv NYC'!$A$6:$A$100,'Imp Refined NYC'!$A38,'Agg prdcrv NYC'!$B$6:$B$100,AA$11)</f>
        <v>999999</v>
      </c>
      <c r="AB38" s="34">
        <f>X38*VLOOKUP($B38,Types!$B$2:$D$13,3,FALSE)*Conv!$I$5*1000*365</f>
        <v>2421092.6101849684</v>
      </c>
      <c r="AC38" s="34">
        <f>Y38*VLOOKUP($B38,Types!$B$2:$D$13,3,FALSE)*Conv!$I$5*1000*365</f>
        <v>2421092.6101849684</v>
      </c>
      <c r="AD38" s="34">
        <f>Z38*VLOOKUP($B38,Types!$B$2:$D$13,3,FALSE)*Conv!$I$5*1000*365</f>
        <v>2421092.6101849684</v>
      </c>
      <c r="AE38" s="34">
        <f>AA38*VLOOKUP($B38,Types!$B$2:$D$13,3,FALSE)*Conv!$I$5*1000*365</f>
        <v>2421092.6101849684</v>
      </c>
      <c r="AF38" s="34">
        <f>AB38-AB40</f>
        <v>242109.26101849694</v>
      </c>
      <c r="AG38" s="34">
        <f t="shared" ref="AG38:AI38" si="67">AC38-AC40</f>
        <v>242109.26101849694</v>
      </c>
      <c r="AH38" s="34">
        <f t="shared" si="67"/>
        <v>242109.26101849694</v>
      </c>
      <c r="AI38" s="34">
        <f t="shared" si="67"/>
        <v>242109.26101849694</v>
      </c>
      <c r="AJ38" s="34"/>
      <c r="AK38" s="34"/>
      <c r="AL38" s="34"/>
    </row>
    <row r="39" spans="1:38">
      <c r="A39" s="1" t="str">
        <f>A38</f>
        <v>High Sulfur Fuel Oil</v>
      </c>
      <c r="B39" s="1" t="str">
        <f>VLOOKUP($A39,Types!$A$2:$C$13,2,FALSE)</f>
        <v>RFH</v>
      </c>
      <c r="C39" s="1">
        <v>1</v>
      </c>
      <c r="D39" s="1">
        <v>1</v>
      </c>
      <c r="E39" s="1" t="str">
        <f t="shared" si="1"/>
        <v>IMPRFHP11</v>
      </c>
      <c r="F39" s="1" t="str">
        <f>CONCATENATE("Imported ",VLOOKUP($A39,Types!$A$2:$C$13,3,FALSE),", PADD ",D39,", Step ",RIGHT(C39,1))</f>
        <v>Imported High Sulfur Residual Fuel Oil, PADD 1, Step 1</v>
      </c>
      <c r="G39" s="1" t="str">
        <f>CONCATENATE(VLOOKUP($A39,Types!$A$2:$C$13,2,FALSE),"P",D39)</f>
        <v>RFHP1</v>
      </c>
      <c r="H39" s="61">
        <f>H38*$C$5</f>
        <v>36.355550000000001</v>
      </c>
      <c r="I39" s="61">
        <f t="shared" ref="I39:K39" si="68">I38*$C$5</f>
        <v>29.782499999999999</v>
      </c>
      <c r="J39" s="61">
        <f t="shared" si="68"/>
        <v>27.350499999999997</v>
      </c>
      <c r="K39" s="61">
        <f t="shared" si="68"/>
        <v>30.21</v>
      </c>
      <c r="L39" s="62">
        <f>H39*Conv!$J$20/10^6/VLOOKUP($B39,Types!$B$2:$D$13,3,FALSE)/Conv!$I$5</f>
        <v>8.410370809417083</v>
      </c>
      <c r="M39" s="62">
        <f>I39*Conv!$J$20/10^6/VLOOKUP($B39,Types!$B$2:$D$13,3,FALSE)/Conv!$I$5</f>
        <v>6.8897835029717411</v>
      </c>
      <c r="N39" s="62" t="e">
        <f>M39*#REF!</f>
        <v>#REF!</v>
      </c>
      <c r="O39" s="62" t="e">
        <f>N39*#REF!</f>
        <v>#REF!</v>
      </c>
      <c r="P39" s="62" t="e">
        <f>O39*#REF!</f>
        <v>#REF!</v>
      </c>
      <c r="Q39" s="62" t="e">
        <f>P39*#REF!</f>
        <v>#REF!</v>
      </c>
      <c r="R39" s="62" t="e">
        <f>Q39*#REF!</f>
        <v>#REF!</v>
      </c>
      <c r="S39" s="62" t="e">
        <f>R39*#REF!</f>
        <v>#REF!</v>
      </c>
      <c r="T39" s="62" t="e">
        <f>S39*#REF!</f>
        <v>#REF!</v>
      </c>
      <c r="U39" s="62" t="e">
        <f>T39*#REF!</f>
        <v>#REF!</v>
      </c>
      <c r="V39" s="62" t="e">
        <f>U39*#REF!</f>
        <v>#REF!</v>
      </c>
      <c r="W39" s="34"/>
      <c r="X39" s="1">
        <f>X38*$E$5</f>
        <v>799999.20000000007</v>
      </c>
      <c r="Y39" s="1">
        <f t="shared" ref="Y39:AA39" si="69">Y38*$E$5</f>
        <v>799999.20000000007</v>
      </c>
      <c r="Z39" s="1">
        <f t="shared" si="69"/>
        <v>799999.20000000007</v>
      </c>
      <c r="AA39" s="1">
        <f t="shared" si="69"/>
        <v>799999.20000000007</v>
      </c>
      <c r="AB39" s="34">
        <f>X39*VLOOKUP($B39,Types!$B$2:$D$13,3,FALSE)*Conv!$I$5*1000*365</f>
        <v>1936874.088147975</v>
      </c>
      <c r="AC39" s="34">
        <f>Y39*VLOOKUP($B39,Types!$B$2:$D$13,3,FALSE)*Conv!$I$5*1000*365</f>
        <v>1936874.088147975</v>
      </c>
      <c r="AD39" s="34">
        <f>Z39*VLOOKUP($B39,Types!$B$2:$D$13,3,FALSE)*Conv!$I$5*1000*365</f>
        <v>1936874.088147975</v>
      </c>
      <c r="AE39" s="34">
        <f>AA39*VLOOKUP($B39,Types!$B$2:$D$13,3,FALSE)*Conv!$I$5*1000*365</f>
        <v>1936874.088147975</v>
      </c>
      <c r="AF39" s="34">
        <f>AB39</f>
        <v>1936874.088147975</v>
      </c>
      <c r="AG39" s="34">
        <f t="shared" ref="AG39:AI39" si="70">AC39</f>
        <v>1936874.088147975</v>
      </c>
      <c r="AH39" s="34">
        <f t="shared" si="70"/>
        <v>1936874.088147975</v>
      </c>
      <c r="AI39" s="34">
        <f t="shared" si="70"/>
        <v>1936874.088147975</v>
      </c>
      <c r="AJ39" s="34"/>
      <c r="AK39" s="34"/>
      <c r="AL39" s="34"/>
    </row>
    <row r="40" spans="1:38">
      <c r="A40" s="1" t="str">
        <f>A39</f>
        <v>High Sulfur Fuel Oil</v>
      </c>
      <c r="B40" s="1" t="str">
        <f>VLOOKUP($A40,Types!$A$2:$C$13,2,FALSE)</f>
        <v>RFH</v>
      </c>
      <c r="C40" s="1">
        <v>2</v>
      </c>
      <c r="D40" s="1">
        <v>1</v>
      </c>
      <c r="E40" s="1" t="str">
        <f t="shared" si="1"/>
        <v>IMPRFHP12</v>
      </c>
      <c r="F40" s="1" t="str">
        <f>CONCATENATE("Imported ",VLOOKUP($A40,Types!$A$2:$C$13,3,FALSE),", PADD ",D40,", Step ",RIGHT(C40,1))</f>
        <v>Imported High Sulfur Residual Fuel Oil, PADD 1, Step 2</v>
      </c>
      <c r="G40" s="1" t="str">
        <f>CONCATENATE(VLOOKUP($A40,Types!$A$2:$C$13,2,FALSE),"P",D40)</f>
        <v>RFHP1</v>
      </c>
      <c r="H40" s="61">
        <f>H38*$C$6</f>
        <v>37.503620000000005</v>
      </c>
      <c r="I40" s="61">
        <f t="shared" ref="I40:K40" si="71">I38*$C$6</f>
        <v>30.723000000000003</v>
      </c>
      <c r="J40" s="61">
        <f t="shared" si="71"/>
        <v>28.214199999999998</v>
      </c>
      <c r="K40" s="61">
        <f t="shared" si="71"/>
        <v>31.164000000000001</v>
      </c>
      <c r="L40" s="62">
        <f>H40*Conv!$J$20/10^6/VLOOKUP($B40,Types!$B$2:$D$13,3,FALSE)/Conv!$I$5</f>
        <v>8.6759614665565721</v>
      </c>
      <c r="M40" s="62">
        <f>I40*Conv!$J$20/10^6/VLOOKUP($B40,Types!$B$2:$D$13,3,FALSE)/Conv!$I$5</f>
        <v>7.1073556135919027</v>
      </c>
      <c r="N40" s="62" t="e">
        <f>M40*#REF!</f>
        <v>#REF!</v>
      </c>
      <c r="O40" s="62" t="e">
        <f>N40*#REF!</f>
        <v>#REF!</v>
      </c>
      <c r="P40" s="62" t="e">
        <f>O40*#REF!</f>
        <v>#REF!</v>
      </c>
      <c r="Q40" s="62" t="e">
        <f>P40*#REF!</f>
        <v>#REF!</v>
      </c>
      <c r="R40" s="62" t="e">
        <f>Q40*#REF!</f>
        <v>#REF!</v>
      </c>
      <c r="S40" s="62" t="e">
        <f>R40*#REF!</f>
        <v>#REF!</v>
      </c>
      <c r="T40" s="62" t="e">
        <f>S40*#REF!</f>
        <v>#REF!</v>
      </c>
      <c r="U40" s="62" t="e">
        <f>T40*#REF!</f>
        <v>#REF!</v>
      </c>
      <c r="V40" s="62" t="e">
        <f>U40*#REF!</f>
        <v>#REF!</v>
      </c>
      <c r="W40" s="34"/>
      <c r="X40" s="1">
        <f>X38*$E$6</f>
        <v>899999.1</v>
      </c>
      <c r="Y40" s="1">
        <f t="shared" ref="Y40:AA40" si="72">Y38*$E$6</f>
        <v>899999.1</v>
      </c>
      <c r="Z40" s="1">
        <f t="shared" si="72"/>
        <v>899999.1</v>
      </c>
      <c r="AA40" s="1">
        <f t="shared" si="72"/>
        <v>899999.1</v>
      </c>
      <c r="AB40" s="34">
        <f>X40*VLOOKUP($B40,Types!$B$2:$D$13,3,FALSE)*Conv!$I$5*1000*365</f>
        <v>2178983.3491664715</v>
      </c>
      <c r="AC40" s="34">
        <f>Y40*VLOOKUP($B40,Types!$B$2:$D$13,3,FALSE)*Conv!$I$5*1000*365</f>
        <v>2178983.3491664715</v>
      </c>
      <c r="AD40" s="34">
        <f>Z40*VLOOKUP($B40,Types!$B$2:$D$13,3,FALSE)*Conv!$I$5*1000*365</f>
        <v>2178983.3491664715</v>
      </c>
      <c r="AE40" s="34">
        <f>AA40*VLOOKUP($B40,Types!$B$2:$D$13,3,FALSE)*Conv!$I$5*1000*365</f>
        <v>2178983.3491664715</v>
      </c>
      <c r="AF40" s="34">
        <f>AB40-AF39</f>
        <v>242109.26101849647</v>
      </c>
      <c r="AG40" s="34">
        <f t="shared" ref="AG40:AI40" si="73">AC40-AG39</f>
        <v>242109.26101849647</v>
      </c>
      <c r="AH40" s="34">
        <f t="shared" si="73"/>
        <v>242109.26101849647</v>
      </c>
      <c r="AI40" s="34">
        <f t="shared" si="73"/>
        <v>242109.26101849647</v>
      </c>
      <c r="AJ40" s="34"/>
      <c r="AK40" s="34"/>
      <c r="AL40" s="34"/>
    </row>
    <row r="41" spans="1:38">
      <c r="A41" s="1" t="str">
        <f>A40</f>
        <v>High Sulfur Fuel Oil</v>
      </c>
      <c r="B41" s="1" t="str">
        <f>VLOOKUP($A41,Types!$A$2:$C$13,2,FALSE)</f>
        <v>RFH</v>
      </c>
      <c r="C41" s="1">
        <v>4</v>
      </c>
      <c r="D41" s="1">
        <v>1</v>
      </c>
      <c r="E41" s="1" t="str">
        <f t="shared" si="1"/>
        <v>IMPRFHP14</v>
      </c>
      <c r="F41" s="1" t="str">
        <f>CONCATENATE("Imported ",VLOOKUP($A41,Types!$A$2:$C$13,3,FALSE),", PADD ",D41,", Step ",RIGHT(C41,1))</f>
        <v>Imported High Sulfur Residual Fuel Oil, PADD 1, Step 4</v>
      </c>
      <c r="G41" s="1" t="str">
        <f>CONCATENATE(VLOOKUP($A41,Types!$A$2:$C$13,2,FALSE),"P",D41)</f>
        <v>RFHP1</v>
      </c>
      <c r="H41" s="61">
        <f>H38*$C$8</f>
        <v>41.713210000000011</v>
      </c>
      <c r="I41" s="61">
        <f t="shared" ref="I41:K41" si="74">I38*$C$8</f>
        <v>34.171500000000002</v>
      </c>
      <c r="J41" s="61">
        <f t="shared" si="74"/>
        <v>31.3811</v>
      </c>
      <c r="K41" s="61">
        <f t="shared" si="74"/>
        <v>34.662000000000006</v>
      </c>
      <c r="L41" s="62">
        <f>H41*Conv!$J$20/10^6/VLOOKUP($B41,Types!$B$2:$D$13,3,FALSE)/Conv!$I$5</f>
        <v>9.6497938760680242</v>
      </c>
      <c r="M41" s="62">
        <f>I41*Conv!$J$20/10^6/VLOOKUP($B41,Types!$B$2:$D$13,3,FALSE)/Conv!$I$5</f>
        <v>7.9051200191991562</v>
      </c>
      <c r="N41" s="62" t="e">
        <f>M41*#REF!</f>
        <v>#REF!</v>
      </c>
      <c r="O41" s="62" t="e">
        <f>N41*#REF!</f>
        <v>#REF!</v>
      </c>
      <c r="P41" s="62" t="e">
        <f>O41*#REF!</f>
        <v>#REF!</v>
      </c>
      <c r="Q41" s="62" t="e">
        <f>P41*#REF!</f>
        <v>#REF!</v>
      </c>
      <c r="R41" s="62" t="e">
        <f>Q41*#REF!</f>
        <v>#REF!</v>
      </c>
      <c r="S41" s="62" t="e">
        <f>R41*#REF!</f>
        <v>#REF!</v>
      </c>
      <c r="T41" s="62" t="e">
        <f>S41*#REF!</f>
        <v>#REF!</v>
      </c>
      <c r="U41" s="62" t="e">
        <f>T41*#REF!</f>
        <v>#REF!</v>
      </c>
      <c r="V41" s="62" t="e">
        <f>U41*#REF!</f>
        <v>#REF!</v>
      </c>
      <c r="W41" s="34"/>
      <c r="X41" s="1">
        <f>X38*$E$8</f>
        <v>1199998.8</v>
      </c>
      <c r="Y41" s="1">
        <f t="shared" ref="Y41:AA41" si="75">Y38*$E$8</f>
        <v>1199998.8</v>
      </c>
      <c r="Z41" s="1">
        <f t="shared" si="75"/>
        <v>1199998.8</v>
      </c>
      <c r="AA41" s="1">
        <f t="shared" si="75"/>
        <v>1199998.8</v>
      </c>
      <c r="AB41" s="34">
        <f>X41*VLOOKUP($B41,Types!$B$2:$D$13,3,FALSE)*Conv!$I$5*1000*365</f>
        <v>2905311.1322219619</v>
      </c>
      <c r="AC41" s="34">
        <f>Y41*VLOOKUP($B41,Types!$B$2:$D$13,3,FALSE)*Conv!$I$5*1000*365</f>
        <v>2905311.1322219619</v>
      </c>
      <c r="AD41" s="34">
        <f>Z41*VLOOKUP($B41,Types!$B$2:$D$13,3,FALSE)*Conv!$I$5*1000*365</f>
        <v>2905311.1322219619</v>
      </c>
      <c r="AE41" s="34">
        <f>AA41*VLOOKUP($B41,Types!$B$2:$D$13,3,FALSE)*Conv!$I$5*1000*365</f>
        <v>2905311.1322219619</v>
      </c>
      <c r="AF41" s="34">
        <f>AB41-AB38</f>
        <v>484218.52203699341</v>
      </c>
      <c r="AG41" s="34">
        <f t="shared" ref="AG41:AI41" si="76">AC41-AC38</f>
        <v>484218.52203699341</v>
      </c>
      <c r="AH41" s="34">
        <f t="shared" si="76"/>
        <v>484218.52203699341</v>
      </c>
      <c r="AI41" s="34">
        <f t="shared" si="76"/>
        <v>484218.52203699341</v>
      </c>
      <c r="AJ41" s="34"/>
      <c r="AK41" s="34"/>
      <c r="AL41" s="34"/>
    </row>
    <row r="42" spans="1:38">
      <c r="A42" s="1" t="str">
        <f>A41</f>
        <v>High Sulfur Fuel Oil</v>
      </c>
      <c r="B42" s="1" t="str">
        <f>VLOOKUP($A42,Types!$A$2:$C$13,2,FALSE)</f>
        <v>RFH</v>
      </c>
      <c r="C42" s="1">
        <v>5</v>
      </c>
      <c r="D42" s="1">
        <v>1</v>
      </c>
      <c r="E42" s="1" t="str">
        <f t="shared" si="1"/>
        <v>IMPRFHP15</v>
      </c>
      <c r="F42" s="1" t="str">
        <f>CONCATENATE("Imported ",VLOOKUP($A42,Types!$A$2:$C$13,3,FALSE),", PADD ",D42,", Step ",RIGHT(C42,1))</f>
        <v>Imported High Sulfur Residual Fuel Oil, PADD 1, Step 5</v>
      </c>
      <c r="G42" s="1" t="str">
        <f>CONCATENATE(VLOOKUP($A42,Types!$A$2:$C$13,2,FALSE),"P",D42)</f>
        <v>RFHP1</v>
      </c>
      <c r="H42" s="61">
        <f>H38*$C$9</f>
        <v>49.749700000000011</v>
      </c>
      <c r="I42" s="61">
        <f t="shared" ref="I42:K42" si="77">I38*$C$9</f>
        <v>40.755000000000003</v>
      </c>
      <c r="J42" s="61">
        <f t="shared" si="77"/>
        <v>37.427</v>
      </c>
      <c r="K42" s="61">
        <f t="shared" si="77"/>
        <v>41.34</v>
      </c>
      <c r="L42" s="62">
        <f>H42*Conv!$J$20/10^6/VLOOKUP($B42,Types!$B$2:$D$13,3,FALSE)/Conv!$I$5</f>
        <v>11.508928476044431</v>
      </c>
      <c r="M42" s="62">
        <f>I42*Conv!$J$20/10^6/VLOOKUP($B42,Types!$B$2:$D$13,3,FALSE)/Conv!$I$5</f>
        <v>9.4281247935402774</v>
      </c>
      <c r="N42" s="62" t="e">
        <f>M42*#REF!</f>
        <v>#REF!</v>
      </c>
      <c r="O42" s="62" t="e">
        <f>N42*#REF!</f>
        <v>#REF!</v>
      </c>
      <c r="P42" s="62" t="e">
        <f>O42*#REF!</f>
        <v>#REF!</v>
      </c>
      <c r="Q42" s="62" t="e">
        <f>P42*#REF!</f>
        <v>#REF!</v>
      </c>
      <c r="R42" s="62" t="e">
        <f>Q42*#REF!</f>
        <v>#REF!</v>
      </c>
      <c r="S42" s="62" t="e">
        <f>R42*#REF!</f>
        <v>#REF!</v>
      </c>
      <c r="T42" s="62" t="e">
        <f>S42*#REF!</f>
        <v>#REF!</v>
      </c>
      <c r="U42" s="62" t="e">
        <f>T42*#REF!</f>
        <v>#REF!</v>
      </c>
      <c r="V42" s="62" t="e">
        <f>U42*#REF!</f>
        <v>#REF!</v>
      </c>
      <c r="W42" s="34"/>
      <c r="X42" s="1">
        <f>X38*$E$9</f>
        <v>1999998</v>
      </c>
      <c r="Y42" s="1">
        <f t="shared" ref="Y42:AA42" si="78">Y38*$E$9</f>
        <v>1999998</v>
      </c>
      <c r="Z42" s="1">
        <f t="shared" si="78"/>
        <v>1999998</v>
      </c>
      <c r="AA42" s="1">
        <f t="shared" si="78"/>
        <v>1999998</v>
      </c>
      <c r="AB42" s="34">
        <f>X42*VLOOKUP($B42,Types!$B$2:$D$13,3,FALSE)*Conv!$I$5*1000*365</f>
        <v>4842185.2203699369</v>
      </c>
      <c r="AC42" s="34">
        <f>Y42*VLOOKUP($B42,Types!$B$2:$D$13,3,FALSE)*Conv!$I$5*1000*365</f>
        <v>4842185.2203699369</v>
      </c>
      <c r="AD42" s="34">
        <f>Z42*VLOOKUP($B42,Types!$B$2:$D$13,3,FALSE)*Conv!$I$5*1000*365</f>
        <v>4842185.2203699369</v>
      </c>
      <c r="AE42" s="34">
        <f>AA42*VLOOKUP($B42,Types!$B$2:$D$13,3,FALSE)*Conv!$I$5*1000*365</f>
        <v>4842185.2203699369</v>
      </c>
      <c r="AF42" s="34">
        <f>AB42-AB41</f>
        <v>1936874.088147975</v>
      </c>
      <c r="AG42" s="34">
        <f t="shared" ref="AG42:AI42" si="79">AC42-AC41</f>
        <v>1936874.088147975</v>
      </c>
      <c r="AH42" s="34">
        <f t="shared" si="79"/>
        <v>1936874.088147975</v>
      </c>
      <c r="AI42" s="34">
        <f t="shared" si="79"/>
        <v>1936874.088147975</v>
      </c>
      <c r="AJ42" s="34"/>
      <c r="AK42" s="34"/>
      <c r="AL42" s="34"/>
    </row>
    <row r="43" spans="1:38">
      <c r="A43" s="1" t="str">
        <f>'Agg prdcrv'!$A$12</f>
        <v>Jet Fuel</v>
      </c>
      <c r="B43" s="1" t="str">
        <f>VLOOKUP($A43,Types!$A$2:$C$13,2,FALSE)</f>
        <v>JTF</v>
      </c>
      <c r="C43" s="1">
        <v>3</v>
      </c>
      <c r="D43" s="1">
        <v>1</v>
      </c>
      <c r="E43" s="1" t="str">
        <f t="shared" si="1"/>
        <v>IMPJTFP13</v>
      </c>
      <c r="F43" s="1" t="str">
        <f>CONCATENATE("Imported ",VLOOKUP($A43,Types!$A$2:$C$13,3,FALSE),", PADD ",D43,", Step ",RIGHT(C43,1))</f>
        <v>Imported Jet Fuel, PADD 1, Step 3</v>
      </c>
      <c r="G43" s="1" t="str">
        <f>CONCATENATE(VLOOKUP($A43,Types!$A$2:$C$13,2,FALSE),"P",D43)</f>
        <v>JTFP1</v>
      </c>
      <c r="H43" s="61">
        <f>SUMIFS('Agg prdcrv NYC'!$L$6:$L$100,'Agg prdcrv NYC'!$A$6:$A$100,'Imp Refined NYC'!$A43,'Agg prdcrv NYC'!$B$6:$B$100,H$11)*K4</f>
        <v>48.422000000000004</v>
      </c>
      <c r="I43" s="61">
        <f>SUMIFS('Agg prdcrv NYC'!$L$6:$L$100,'Agg prdcrv NYC'!$A$6:$A$100,'Imp Refined NYC'!$A43,'Agg prdcrv NYC'!$B$6:$B$100,I$11)*K4</f>
        <v>43.384</v>
      </c>
      <c r="J43" s="61">
        <f t="array" ref="J43">SUMIFS('Agg prdcrv NYC'!$L$6:$L$100,'Agg prdcrv NYC'!$A$6:$A$100,'Imp Refined NYC'!$A43,'Agg prdcrv NYC'!$B$6:$B$100,J$11)</f>
        <v>35.21</v>
      </c>
      <c r="K43" s="61">
        <f t="array" ref="K43">SUMIFS('Agg prdcrv NYC'!$L$6:$L$100,'Agg prdcrv NYC'!$A$6:$A$100,'Imp Refined NYC'!$A43,'Agg prdcrv NYC'!$B$6:$B$100,K$11)</f>
        <v>38.340000000000003</v>
      </c>
      <c r="L43" s="62">
        <f>H43*Conv!$J$20/10^6/VLOOKUP($B43,Types!$B$2:$D$13,3,FALSE)/Conv!$I$5</f>
        <v>12.420742253539832</v>
      </c>
      <c r="M43" s="62">
        <f>I43*Conv!$J$20/10^6/VLOOKUP($B43,Types!$B$2:$D$13,3,FALSE)/Conv!$I$5</f>
        <v>11.128443309395978</v>
      </c>
      <c r="N43" s="62" t="e">
        <f>M43*#REF!</f>
        <v>#REF!</v>
      </c>
      <c r="O43" s="62" t="e">
        <f>N43*#REF!</f>
        <v>#REF!</v>
      </c>
      <c r="P43" s="62" t="e">
        <f>O43*#REF!</f>
        <v>#REF!</v>
      </c>
      <c r="Q43" s="62" t="e">
        <f>P43*#REF!</f>
        <v>#REF!</v>
      </c>
      <c r="R43" s="62" t="e">
        <f>Q43*#REF!</f>
        <v>#REF!</v>
      </c>
      <c r="S43" s="62" t="e">
        <f>R43*#REF!</f>
        <v>#REF!</v>
      </c>
      <c r="T43" s="62" t="e">
        <f>S43*#REF!</f>
        <v>#REF!</v>
      </c>
      <c r="U43" s="62" t="e">
        <f>T43*#REF!</f>
        <v>#REF!</v>
      </c>
      <c r="V43" s="62" t="e">
        <f>U43*#REF!</f>
        <v>#REF!</v>
      </c>
      <c r="W43" s="34"/>
      <c r="X43" s="1">
        <f t="array" ref="X43">SUMIFS('Agg prdcrv NYC'!$D$6:$D$100,'Agg prdcrv NYC'!$A$6:$A$100,'Imp Refined NYC'!$A43,'Agg prdcrv NYC'!$B$6:$B$100,X$11)</f>
        <v>999999</v>
      </c>
      <c r="Y43" s="1">
        <f t="array" ref="Y43">SUMIFS('Agg prdcrv NYC'!$D$6:$D$100,'Agg prdcrv NYC'!$A$6:$A$100,'Imp Refined NYC'!$A43,'Agg prdcrv NYC'!$B$6:$B$100,Y$11)</f>
        <v>999999</v>
      </c>
      <c r="Z43" s="1">
        <f t="array" ref="Z43">SUMIFS('Agg prdcrv NYC'!$D$6:$D$100,'Agg prdcrv NYC'!$A$6:$A$100,'Imp Refined NYC'!$A43,'Agg prdcrv NYC'!$B$6:$B$100,Z$11)</f>
        <v>999999</v>
      </c>
      <c r="AA43" s="1">
        <f t="array" ref="AA43">SUMIFS('Agg prdcrv NYC'!$D$6:$D$100,'Agg prdcrv NYC'!$A$6:$A$100,'Imp Refined NYC'!$A43,'Agg prdcrv NYC'!$B$6:$B$100,AA$11)</f>
        <v>999999</v>
      </c>
      <c r="AB43" s="34">
        <f>X43*VLOOKUP($B43,Types!$B$2:$D$13,3,FALSE)*Conv!$I$5*1000*365</f>
        <v>2183488.9613088551</v>
      </c>
      <c r="AC43" s="34">
        <f>Y43*VLOOKUP($B43,Types!$B$2:$D$13,3,FALSE)*Conv!$I$5*1000*365</f>
        <v>2183488.9613088551</v>
      </c>
      <c r="AD43" s="34">
        <f>Z43*VLOOKUP($B43,Types!$B$2:$D$13,3,FALSE)*Conv!$I$5*1000*365</f>
        <v>2183488.9613088551</v>
      </c>
      <c r="AE43" s="34">
        <f>AA43*VLOOKUP($B43,Types!$B$2:$D$13,3,FALSE)*Conv!$I$5*1000*365</f>
        <v>2183488.9613088551</v>
      </c>
      <c r="AF43" s="34">
        <f>AB43-AB45</f>
        <v>218348.8961308857</v>
      </c>
      <c r="AG43" s="34">
        <f t="shared" ref="AG43:AI43" si="80">AC43-AC45</f>
        <v>218348.8961308857</v>
      </c>
      <c r="AH43" s="34">
        <f t="shared" si="80"/>
        <v>218348.8961308857</v>
      </c>
      <c r="AI43" s="34">
        <f t="shared" si="80"/>
        <v>218348.8961308857</v>
      </c>
      <c r="AJ43" s="34"/>
      <c r="AK43" s="34"/>
      <c r="AL43" s="34"/>
    </row>
    <row r="44" spans="1:38">
      <c r="A44" s="1" t="str">
        <f>A43</f>
        <v>Jet Fuel</v>
      </c>
      <c r="B44" s="1" t="str">
        <f>VLOOKUP($A44,Types!$A$2:$C$13,2,FALSE)</f>
        <v>JTF</v>
      </c>
      <c r="C44" s="1">
        <v>1</v>
      </c>
      <c r="D44" s="1">
        <v>1</v>
      </c>
      <c r="E44" s="1" t="str">
        <f t="shared" si="1"/>
        <v>IMPJTFP11</v>
      </c>
      <c r="F44" s="1" t="str">
        <f>CONCATENATE("Imported ",VLOOKUP($A44,Types!$A$2:$C$13,3,FALSE),", PADD ",D44,", Step ",RIGHT(C44,1))</f>
        <v>Imported Jet Fuel, PADD 1, Step 1</v>
      </c>
      <c r="G44" s="1" t="str">
        <f>CONCATENATE(VLOOKUP($A44,Types!$A$2:$C$13,2,FALSE),"P",D44)</f>
        <v>JTFP1</v>
      </c>
      <c r="H44" s="61">
        <f>H43*$C$5</f>
        <v>46.000900000000001</v>
      </c>
      <c r="I44" s="61">
        <f t="shared" ref="I44:K44" si="81">I43*$C$5</f>
        <v>41.214799999999997</v>
      </c>
      <c r="J44" s="61">
        <f t="shared" si="81"/>
        <v>33.4495</v>
      </c>
      <c r="K44" s="61">
        <f t="shared" si="81"/>
        <v>36.423000000000002</v>
      </c>
      <c r="L44" s="62">
        <f>H44*Conv!$J$20/10^6/VLOOKUP($B44,Types!$B$2:$D$13,3,FALSE)/Conv!$I$5</f>
        <v>11.799705140862839</v>
      </c>
      <c r="M44" s="62">
        <f>I44*Conv!$J$20/10^6/VLOOKUP($B44,Types!$B$2:$D$13,3,FALSE)/Conv!$I$5</f>
        <v>10.572021143926175</v>
      </c>
      <c r="N44" s="62" t="e">
        <f>M44*#REF!</f>
        <v>#REF!</v>
      </c>
      <c r="O44" s="62" t="e">
        <f>N44*#REF!</f>
        <v>#REF!</v>
      </c>
      <c r="P44" s="62" t="e">
        <f>O44*#REF!</f>
        <v>#REF!</v>
      </c>
      <c r="Q44" s="62" t="e">
        <f>P44*#REF!</f>
        <v>#REF!</v>
      </c>
      <c r="R44" s="62" t="e">
        <f>Q44*#REF!</f>
        <v>#REF!</v>
      </c>
      <c r="S44" s="62" t="e">
        <f>R44*#REF!</f>
        <v>#REF!</v>
      </c>
      <c r="T44" s="62" t="e">
        <f>S44*#REF!</f>
        <v>#REF!</v>
      </c>
      <c r="U44" s="62" t="e">
        <f>T44*#REF!</f>
        <v>#REF!</v>
      </c>
      <c r="V44" s="62" t="e">
        <f>U44*#REF!</f>
        <v>#REF!</v>
      </c>
      <c r="W44" s="34"/>
      <c r="X44" s="1">
        <f>X43*$E$5</f>
        <v>799999.20000000007</v>
      </c>
      <c r="Y44" s="1">
        <f t="shared" ref="Y44:AA44" si="82">Y43*$E$5</f>
        <v>799999.20000000007</v>
      </c>
      <c r="Z44" s="1">
        <f t="shared" si="82"/>
        <v>799999.20000000007</v>
      </c>
      <c r="AA44" s="1">
        <f t="shared" si="82"/>
        <v>799999.20000000007</v>
      </c>
      <c r="AB44" s="34">
        <f>X44*VLOOKUP($B44,Types!$B$2:$D$13,3,FALSE)*Conv!$I$5*1000*365</f>
        <v>1746791.1690470844</v>
      </c>
      <c r="AC44" s="34">
        <f>Y44*VLOOKUP($B44,Types!$B$2:$D$13,3,FALSE)*Conv!$I$5*1000*365</f>
        <v>1746791.1690470844</v>
      </c>
      <c r="AD44" s="34">
        <f>Z44*VLOOKUP($B44,Types!$B$2:$D$13,3,FALSE)*Conv!$I$5*1000*365</f>
        <v>1746791.1690470844</v>
      </c>
      <c r="AE44" s="34">
        <f>AA44*VLOOKUP($B44,Types!$B$2:$D$13,3,FALSE)*Conv!$I$5*1000*365</f>
        <v>1746791.1690470844</v>
      </c>
      <c r="AF44" s="34">
        <f>AB44</f>
        <v>1746791.1690470844</v>
      </c>
      <c r="AG44" s="34">
        <f t="shared" ref="AG44:AI44" si="83">AC44</f>
        <v>1746791.1690470844</v>
      </c>
      <c r="AH44" s="34">
        <f t="shared" si="83"/>
        <v>1746791.1690470844</v>
      </c>
      <c r="AI44" s="34">
        <f t="shared" si="83"/>
        <v>1746791.1690470844</v>
      </c>
      <c r="AJ44" s="34"/>
      <c r="AK44" s="34"/>
      <c r="AL44" s="34"/>
    </row>
    <row r="45" spans="1:38">
      <c r="A45" s="1" t="str">
        <f>A44</f>
        <v>Jet Fuel</v>
      </c>
      <c r="B45" s="1" t="str">
        <f>VLOOKUP($A45,Types!$A$2:$C$13,2,FALSE)</f>
        <v>JTF</v>
      </c>
      <c r="C45" s="1">
        <v>2</v>
      </c>
      <c r="D45" s="1">
        <v>1</v>
      </c>
      <c r="E45" s="1" t="str">
        <f t="shared" si="1"/>
        <v>IMPJTFP12</v>
      </c>
      <c r="F45" s="1" t="str">
        <f>CONCATENATE("Imported ",VLOOKUP($A45,Types!$A$2:$C$13,3,FALSE),", PADD ",D45,", Step ",RIGHT(C45,1))</f>
        <v>Imported Jet Fuel, PADD 1, Step 2</v>
      </c>
      <c r="G45" s="1" t="str">
        <f>CONCATENATE(VLOOKUP($A45,Types!$A$2:$C$13,2,FALSE),"P",D45)</f>
        <v>JTFP1</v>
      </c>
      <c r="H45" s="61">
        <f>H43*$C$6</f>
        <v>47.453560000000003</v>
      </c>
      <c r="I45" s="61">
        <f t="shared" ref="I45:K45" si="84">I43*$C$6</f>
        <v>42.51632</v>
      </c>
      <c r="J45" s="61">
        <f t="shared" si="84"/>
        <v>34.505800000000001</v>
      </c>
      <c r="K45" s="61">
        <f t="shared" si="84"/>
        <v>37.5732</v>
      </c>
      <c r="L45" s="62">
        <f>H45*Conv!$J$20/10^6/VLOOKUP($B45,Types!$B$2:$D$13,3,FALSE)/Conv!$I$5</f>
        <v>12.172327408469036</v>
      </c>
      <c r="M45" s="62">
        <f>I45*Conv!$J$20/10^6/VLOOKUP($B45,Types!$B$2:$D$13,3,FALSE)/Conv!$I$5</f>
        <v>10.905874443208058</v>
      </c>
      <c r="N45" s="62" t="e">
        <f>M45*#REF!</f>
        <v>#REF!</v>
      </c>
      <c r="O45" s="62" t="e">
        <f>N45*#REF!</f>
        <v>#REF!</v>
      </c>
      <c r="P45" s="62" t="e">
        <f>O45*#REF!</f>
        <v>#REF!</v>
      </c>
      <c r="Q45" s="62" t="e">
        <f>P45*#REF!</f>
        <v>#REF!</v>
      </c>
      <c r="R45" s="62" t="e">
        <f>Q45*#REF!</f>
        <v>#REF!</v>
      </c>
      <c r="S45" s="62" t="e">
        <f>R45*#REF!</f>
        <v>#REF!</v>
      </c>
      <c r="T45" s="62" t="e">
        <f>S45*#REF!</f>
        <v>#REF!</v>
      </c>
      <c r="U45" s="62" t="e">
        <f>T45*#REF!</f>
        <v>#REF!</v>
      </c>
      <c r="V45" s="62" t="e">
        <f>U45*#REF!</f>
        <v>#REF!</v>
      </c>
      <c r="W45" s="34"/>
      <c r="X45" s="1">
        <f>X43*$E$6</f>
        <v>899999.1</v>
      </c>
      <c r="Y45" s="1">
        <f t="shared" ref="Y45:AA45" si="85">Y43*$E$6</f>
        <v>899999.1</v>
      </c>
      <c r="Z45" s="1">
        <f t="shared" si="85"/>
        <v>899999.1</v>
      </c>
      <c r="AA45" s="1">
        <f t="shared" si="85"/>
        <v>899999.1</v>
      </c>
      <c r="AB45" s="34">
        <f>X45*VLOOKUP($B45,Types!$B$2:$D$13,3,FALSE)*Conv!$I$5*1000*365</f>
        <v>1965140.0651779694</v>
      </c>
      <c r="AC45" s="34">
        <f>Y45*VLOOKUP($B45,Types!$B$2:$D$13,3,FALSE)*Conv!$I$5*1000*365</f>
        <v>1965140.0651779694</v>
      </c>
      <c r="AD45" s="34">
        <f>Z45*VLOOKUP($B45,Types!$B$2:$D$13,3,FALSE)*Conv!$I$5*1000*365</f>
        <v>1965140.0651779694</v>
      </c>
      <c r="AE45" s="34">
        <f>AA45*VLOOKUP($B45,Types!$B$2:$D$13,3,FALSE)*Conv!$I$5*1000*365</f>
        <v>1965140.0651779694</v>
      </c>
      <c r="AF45" s="34">
        <f>AB45-AF44</f>
        <v>218348.896130885</v>
      </c>
      <c r="AG45" s="34">
        <f t="shared" ref="AG45:AI45" si="86">AC45-AG44</f>
        <v>218348.896130885</v>
      </c>
      <c r="AH45" s="34">
        <f t="shared" si="86"/>
        <v>218348.896130885</v>
      </c>
      <c r="AI45" s="34">
        <f t="shared" si="86"/>
        <v>218348.896130885</v>
      </c>
      <c r="AJ45" s="34"/>
      <c r="AK45" s="34"/>
      <c r="AL45" s="34"/>
    </row>
    <row r="46" spans="1:38">
      <c r="A46" s="1" t="str">
        <f>A45</f>
        <v>Jet Fuel</v>
      </c>
      <c r="B46" s="1" t="str">
        <f>VLOOKUP($A46,Types!$A$2:$C$13,2,FALSE)</f>
        <v>JTF</v>
      </c>
      <c r="C46" s="1">
        <v>4</v>
      </c>
      <c r="D46" s="1">
        <v>1</v>
      </c>
      <c r="E46" s="1" t="str">
        <f t="shared" si="1"/>
        <v>IMPJTFP14</v>
      </c>
      <c r="F46" s="1" t="str">
        <f>CONCATENATE("Imported ",VLOOKUP($A46,Types!$A$2:$C$13,3,FALSE),", PADD ",D46,", Step ",RIGHT(C46,1))</f>
        <v>Imported Jet Fuel, PADD 1, Step 4</v>
      </c>
      <c r="G46" s="1" t="str">
        <f>CONCATENATE(VLOOKUP($A46,Types!$A$2:$C$13,2,FALSE),"P",D46)</f>
        <v>JTFP1</v>
      </c>
      <c r="H46" s="61">
        <f>H43*$C$8</f>
        <v>52.779980000000009</v>
      </c>
      <c r="I46" s="61">
        <f t="shared" ref="I46:K46" si="87">I43*$C$8</f>
        <v>47.288560000000004</v>
      </c>
      <c r="J46" s="61">
        <f t="shared" si="87"/>
        <v>38.378900000000002</v>
      </c>
      <c r="K46" s="61">
        <f t="shared" si="87"/>
        <v>41.790600000000005</v>
      </c>
      <c r="L46" s="62">
        <f>H46*Conv!$J$20/10^6/VLOOKUP($B46,Types!$B$2:$D$13,3,FALSE)/Conv!$I$5</f>
        <v>13.538609056358418</v>
      </c>
      <c r="M46" s="62">
        <f>I46*Conv!$J$20/10^6/VLOOKUP($B46,Types!$B$2:$D$13,3,FALSE)/Conv!$I$5</f>
        <v>12.130003207241614</v>
      </c>
      <c r="N46" s="62" t="e">
        <f>M46*#REF!</f>
        <v>#REF!</v>
      </c>
      <c r="O46" s="62" t="e">
        <f>N46*#REF!</f>
        <v>#REF!</v>
      </c>
      <c r="P46" s="62" t="e">
        <f>O46*#REF!</f>
        <v>#REF!</v>
      </c>
      <c r="Q46" s="62" t="e">
        <f>P46*#REF!</f>
        <v>#REF!</v>
      </c>
      <c r="R46" s="62" t="e">
        <f>Q46*#REF!</f>
        <v>#REF!</v>
      </c>
      <c r="S46" s="62" t="e">
        <f>R46*#REF!</f>
        <v>#REF!</v>
      </c>
      <c r="T46" s="62" t="e">
        <f>S46*#REF!</f>
        <v>#REF!</v>
      </c>
      <c r="U46" s="62" t="e">
        <f>T46*#REF!</f>
        <v>#REF!</v>
      </c>
      <c r="V46" s="62" t="e">
        <f>U46*#REF!</f>
        <v>#REF!</v>
      </c>
      <c r="W46" s="34"/>
      <c r="X46" s="1">
        <f>X43*$E$8</f>
        <v>1199998.8</v>
      </c>
      <c r="Y46" s="1">
        <f t="shared" ref="Y46:AA46" si="88">Y43*$E$8</f>
        <v>1199998.8</v>
      </c>
      <c r="Z46" s="1">
        <f t="shared" si="88"/>
        <v>1199998.8</v>
      </c>
      <c r="AA46" s="1">
        <f t="shared" si="88"/>
        <v>1199998.8</v>
      </c>
      <c r="AB46" s="34">
        <f>X46*VLOOKUP($B46,Types!$B$2:$D$13,3,FALSE)*Conv!$I$5*1000*365</f>
        <v>2620186.753570626</v>
      </c>
      <c r="AC46" s="34">
        <f>Y46*VLOOKUP($B46,Types!$B$2:$D$13,3,FALSE)*Conv!$I$5*1000*365</f>
        <v>2620186.753570626</v>
      </c>
      <c r="AD46" s="34">
        <f>Z46*VLOOKUP($B46,Types!$B$2:$D$13,3,FALSE)*Conv!$I$5*1000*365</f>
        <v>2620186.753570626</v>
      </c>
      <c r="AE46" s="34">
        <f>AA46*VLOOKUP($B46,Types!$B$2:$D$13,3,FALSE)*Conv!$I$5*1000*365</f>
        <v>2620186.753570626</v>
      </c>
      <c r="AF46" s="34">
        <f>AB46-AB43</f>
        <v>436697.79226177093</v>
      </c>
      <c r="AG46" s="34">
        <f t="shared" ref="AG46:AI46" si="89">AC46-AC43</f>
        <v>436697.79226177093</v>
      </c>
      <c r="AH46" s="34">
        <f t="shared" si="89"/>
        <v>436697.79226177093</v>
      </c>
      <c r="AI46" s="34">
        <f t="shared" si="89"/>
        <v>436697.79226177093</v>
      </c>
      <c r="AJ46" s="34"/>
      <c r="AK46" s="34"/>
      <c r="AL46" s="34"/>
    </row>
    <row r="47" spans="1:38">
      <c r="A47" s="1" t="str">
        <f>A46</f>
        <v>Jet Fuel</v>
      </c>
      <c r="B47" s="1" t="str">
        <f>VLOOKUP($A47,Types!$A$2:$C$13,2,FALSE)</f>
        <v>JTF</v>
      </c>
      <c r="C47" s="1">
        <v>5</v>
      </c>
      <c r="D47" s="1">
        <v>1</v>
      </c>
      <c r="E47" s="1" t="str">
        <f t="shared" si="1"/>
        <v>IMPJTFP15</v>
      </c>
      <c r="F47" s="1" t="str">
        <f>CONCATENATE("Imported ",VLOOKUP($A47,Types!$A$2:$C$13,3,FALSE),", PADD ",D47,", Step ",RIGHT(C47,1))</f>
        <v>Imported Jet Fuel, PADD 1, Step 5</v>
      </c>
      <c r="G47" s="1" t="str">
        <f>CONCATENATE(VLOOKUP($A47,Types!$A$2:$C$13,2,FALSE),"P",D47)</f>
        <v>JTFP1</v>
      </c>
      <c r="H47" s="61">
        <f>H43*$C$9</f>
        <v>62.948600000000006</v>
      </c>
      <c r="I47" s="61">
        <f t="shared" ref="I47:K47" si="90">I43*$C$9</f>
        <v>56.3992</v>
      </c>
      <c r="J47" s="61">
        <f t="shared" si="90"/>
        <v>45.773000000000003</v>
      </c>
      <c r="K47" s="61">
        <f t="shared" si="90"/>
        <v>49.842000000000006</v>
      </c>
      <c r="L47" s="62">
        <f>H47*Conv!$J$20/10^6/VLOOKUP($B47,Types!$B$2:$D$13,3,FALSE)/Conv!$I$5</f>
        <v>16.146964929601779</v>
      </c>
      <c r="M47" s="62">
        <f>I47*Conv!$J$20/10^6/VLOOKUP($B47,Types!$B$2:$D$13,3,FALSE)/Conv!$I$5</f>
        <v>14.466976302214771</v>
      </c>
      <c r="N47" s="62" t="e">
        <f>M47*#REF!</f>
        <v>#REF!</v>
      </c>
      <c r="O47" s="62" t="e">
        <f>N47*#REF!</f>
        <v>#REF!</v>
      </c>
      <c r="P47" s="62" t="e">
        <f>O47*#REF!</f>
        <v>#REF!</v>
      </c>
      <c r="Q47" s="62" t="e">
        <f>P47*#REF!</f>
        <v>#REF!</v>
      </c>
      <c r="R47" s="62" t="e">
        <f>Q47*#REF!</f>
        <v>#REF!</v>
      </c>
      <c r="S47" s="62" t="e">
        <f>R47*#REF!</f>
        <v>#REF!</v>
      </c>
      <c r="T47" s="62" t="e">
        <f>S47*#REF!</f>
        <v>#REF!</v>
      </c>
      <c r="U47" s="62" t="e">
        <f>T47*#REF!</f>
        <v>#REF!</v>
      </c>
      <c r="V47" s="62" t="e">
        <f>U47*#REF!</f>
        <v>#REF!</v>
      </c>
      <c r="W47" s="34"/>
      <c r="X47" s="1">
        <f>X43*$E$9</f>
        <v>1999998</v>
      </c>
      <c r="Y47" s="1">
        <f t="shared" ref="Y47:AA47" si="91">Y43*$E$9</f>
        <v>1999998</v>
      </c>
      <c r="Z47" s="1">
        <f t="shared" si="91"/>
        <v>1999998</v>
      </c>
      <c r="AA47" s="1">
        <f t="shared" si="91"/>
        <v>1999998</v>
      </c>
      <c r="AB47" s="34">
        <f>X47*VLOOKUP($B47,Types!$B$2:$D$13,3,FALSE)*Conv!$I$5*1000*365</f>
        <v>4366977.9226177102</v>
      </c>
      <c r="AC47" s="34">
        <f>Y47*VLOOKUP($B47,Types!$B$2:$D$13,3,FALSE)*Conv!$I$5*1000*365</f>
        <v>4366977.9226177102</v>
      </c>
      <c r="AD47" s="34">
        <f>Z47*VLOOKUP($B47,Types!$B$2:$D$13,3,FALSE)*Conv!$I$5*1000*365</f>
        <v>4366977.9226177102</v>
      </c>
      <c r="AE47" s="34">
        <f>AA47*VLOOKUP($B47,Types!$B$2:$D$13,3,FALSE)*Conv!$I$5*1000*365</f>
        <v>4366977.9226177102</v>
      </c>
      <c r="AF47" s="34">
        <f>AB47-AB46</f>
        <v>1746791.1690470842</v>
      </c>
      <c r="AG47" s="34">
        <f t="shared" ref="AG47:AI47" si="92">AC47-AC46</f>
        <v>1746791.1690470842</v>
      </c>
      <c r="AH47" s="34">
        <f t="shared" si="92"/>
        <v>1746791.1690470842</v>
      </c>
      <c r="AI47" s="34">
        <f t="shared" si="92"/>
        <v>1746791.1690470842</v>
      </c>
      <c r="AJ47" s="34"/>
      <c r="AK47" s="34"/>
      <c r="AL47" s="34"/>
    </row>
    <row r="48" spans="1:38">
      <c r="A48" s="1" t="str">
        <f>'Agg prdcrv'!$A$13</f>
        <v>LPG</v>
      </c>
      <c r="B48" s="1" t="str">
        <f>VLOOKUP($A48,Types!$A$2:$C$13,2,FALSE)</f>
        <v>LPG</v>
      </c>
      <c r="C48" s="1">
        <v>3</v>
      </c>
      <c r="D48" s="1">
        <v>1</v>
      </c>
      <c r="E48" s="1" t="str">
        <f t="shared" si="1"/>
        <v>IMPLPGP13</v>
      </c>
      <c r="F48" s="1" t="str">
        <f>CONCATENATE("Imported ",VLOOKUP($A48,Types!$A$2:$C$13,3,FALSE),", PADD ",D48,", Step ",RIGHT(C48,1))</f>
        <v>Imported LPG, PADD 1, Step 3</v>
      </c>
      <c r="G48" s="1" t="str">
        <f>CONCATENATE(VLOOKUP($A48,Types!$A$2:$C$13,2,FALSE),"P",D48)</f>
        <v>LPGP1</v>
      </c>
      <c r="H48" s="61">
        <f>SUMIFS('Agg prdcrv NYC'!$L$6:$L$100,'Agg prdcrv NYC'!$A$6:$A$100,'Imp Refined NYC'!$A48,'Agg prdcrv NYC'!$B$6:$B$100,H$11)*K4</f>
        <v>31.691000000000003</v>
      </c>
      <c r="I48" s="61">
        <f>SUMIFS('Agg prdcrv NYC'!$L$6:$L$100,'Agg prdcrv NYC'!$A$6:$A$100,'Imp Refined NYC'!$A48,'Agg prdcrv NYC'!$B$6:$B$100,I$11)*K4</f>
        <v>31.35</v>
      </c>
      <c r="J48" s="61">
        <f t="array" ref="J48">SUMIFS('Agg prdcrv NYC'!$L$6:$L$100,'Agg prdcrv NYC'!$A$6:$A$100,'Imp Refined NYC'!$A48,'Agg prdcrv NYC'!$B$6:$B$100,J$11)</f>
        <v>28.5</v>
      </c>
      <c r="K48" s="61">
        <f t="array" ref="K48">SUMIFS('Agg prdcrv NYC'!$L$6:$L$100,'Agg prdcrv NYC'!$A$6:$A$100,'Imp Refined NYC'!$A48,'Agg prdcrv NYC'!$B$6:$B$100,K$11)</f>
        <v>28.5</v>
      </c>
      <c r="L48" s="62">
        <f>H48*Conv!$J$20/10^6/VLOOKUP($B48,Types!$B$2:$D$13,3,FALSE)/Conv!$I$5</f>
        <v>12.958059311858628</v>
      </c>
      <c r="M48" s="62">
        <f>I48*Conv!$J$20/10^6/VLOOKUP($B48,Types!$B$2:$D$13,3,FALSE)/Conv!$I$5</f>
        <v>12.818628614646682</v>
      </c>
      <c r="N48" s="62" t="e">
        <f>M48*#REF!</f>
        <v>#REF!</v>
      </c>
      <c r="O48" s="62" t="e">
        <f>N48*#REF!</f>
        <v>#REF!</v>
      </c>
      <c r="P48" s="62" t="e">
        <f>O48*#REF!</f>
        <v>#REF!</v>
      </c>
      <c r="Q48" s="62" t="e">
        <f>P48*#REF!</f>
        <v>#REF!</v>
      </c>
      <c r="R48" s="62" t="e">
        <f>Q48*#REF!</f>
        <v>#REF!</v>
      </c>
      <c r="S48" s="62" t="e">
        <f>R48*#REF!</f>
        <v>#REF!</v>
      </c>
      <c r="T48" s="62" t="e">
        <f>S48*#REF!</f>
        <v>#REF!</v>
      </c>
      <c r="U48" s="62" t="e">
        <f>T48*#REF!</f>
        <v>#REF!</v>
      </c>
      <c r="V48" s="62" t="e">
        <f>U48*#REF!</f>
        <v>#REF!</v>
      </c>
      <c r="W48" s="34"/>
      <c r="X48" s="1">
        <f t="array" ref="X48">SUMIFS('Agg prdcrv NYC'!$D$6:$D$100,'Agg prdcrv NYC'!$A$6:$A$100,'Imp Refined NYC'!$A48,'Agg prdcrv NYC'!$B$6:$B$100,X$11)</f>
        <v>999999</v>
      </c>
      <c r="Y48" s="1">
        <f t="array" ref="Y48">SUMIFS('Agg prdcrv NYC'!$D$6:$D$100,'Agg prdcrv NYC'!$A$6:$A$100,'Imp Refined NYC'!$A48,'Agg prdcrv NYC'!$B$6:$B$100,Y$11)</f>
        <v>999999</v>
      </c>
      <c r="Z48" s="1">
        <f t="array" ref="Z48">SUMIFS('Agg prdcrv NYC'!$D$6:$D$100,'Agg prdcrv NYC'!$A$6:$A$100,'Imp Refined NYC'!$A48,'Agg prdcrv NYC'!$B$6:$B$100,Z$11)</f>
        <v>999999</v>
      </c>
      <c r="AA48" s="1">
        <f t="array" ref="AA48">SUMIFS('Agg prdcrv NYC'!$D$6:$D$100,'Agg prdcrv NYC'!$A$6:$A$100,'Imp Refined NYC'!$A48,'Agg prdcrv NYC'!$B$6:$B$100,AA$11)</f>
        <v>999999</v>
      </c>
      <c r="AB48" s="34">
        <f>X48*VLOOKUP($B48,Types!$B$2:$D$13,3,FALSE)*Conv!$I$5*1000*365</f>
        <v>1369783.1102955197</v>
      </c>
      <c r="AC48" s="34">
        <f>Y48*VLOOKUP($B48,Types!$B$2:$D$13,3,FALSE)*Conv!$I$5*1000*365</f>
        <v>1369783.1102955197</v>
      </c>
      <c r="AD48" s="34">
        <f>Z48*VLOOKUP($B48,Types!$B$2:$D$13,3,FALSE)*Conv!$I$5*1000*365</f>
        <v>1369783.1102955197</v>
      </c>
      <c r="AE48" s="34">
        <f>AA48*VLOOKUP($B48,Types!$B$2:$D$13,3,FALSE)*Conv!$I$5*1000*365</f>
        <v>1369783.1102955197</v>
      </c>
      <c r="AF48" s="34">
        <f>AB48-AB50</f>
        <v>136978.31102955202</v>
      </c>
      <c r="AG48" s="34">
        <f t="shared" ref="AG48:AI48" si="93">AC48-AC50</f>
        <v>136978.31102955202</v>
      </c>
      <c r="AH48" s="34">
        <f t="shared" si="93"/>
        <v>136978.31102955202</v>
      </c>
      <c r="AI48" s="34">
        <f t="shared" si="93"/>
        <v>136978.31102955202</v>
      </c>
      <c r="AJ48" s="34"/>
      <c r="AK48" s="34"/>
      <c r="AL48" s="34"/>
    </row>
    <row r="49" spans="1:38">
      <c r="A49" s="1" t="str">
        <f>A48</f>
        <v>LPG</v>
      </c>
      <c r="B49" s="1" t="str">
        <f>VLOOKUP($A49,Types!$A$2:$C$13,2,FALSE)</f>
        <v>LPG</v>
      </c>
      <c r="C49" s="1">
        <v>1</v>
      </c>
      <c r="D49" s="1">
        <v>1</v>
      </c>
      <c r="E49" s="1" t="str">
        <f t="shared" si="1"/>
        <v>IMPLPGP11</v>
      </c>
      <c r="F49" s="1" t="str">
        <f>CONCATENATE("Imported ",VLOOKUP($A49,Types!$A$2:$C$13,3,FALSE),", PADD ",D49,", Step ",RIGHT(C49,1))</f>
        <v>Imported LPG, PADD 1, Step 1</v>
      </c>
      <c r="G49" s="1" t="str">
        <f>CONCATENATE(VLOOKUP($A49,Types!$A$2:$C$13,2,FALSE),"P",D49)</f>
        <v>LPGP1</v>
      </c>
      <c r="H49" s="61">
        <f>H48*$C$5</f>
        <v>30.106450000000002</v>
      </c>
      <c r="I49" s="61">
        <f t="shared" ref="I49:K49" si="94">I48*$C$5</f>
        <v>29.782499999999999</v>
      </c>
      <c r="J49" s="61">
        <f t="shared" si="94"/>
        <v>27.074999999999999</v>
      </c>
      <c r="K49" s="61">
        <f t="shared" si="94"/>
        <v>27.074999999999999</v>
      </c>
      <c r="L49" s="62">
        <f>H49*Conv!$J$20/10^6/VLOOKUP($B49,Types!$B$2:$D$13,3,FALSE)/Conv!$I$5</f>
        <v>12.310156346265698</v>
      </c>
      <c r="M49" s="62">
        <f>I49*Conv!$J$20/10^6/VLOOKUP($B49,Types!$B$2:$D$13,3,FALSE)/Conv!$I$5</f>
        <v>12.177697183914349</v>
      </c>
      <c r="N49" s="62" t="e">
        <f>M49*#REF!</f>
        <v>#REF!</v>
      </c>
      <c r="O49" s="62" t="e">
        <f>N49*#REF!</f>
        <v>#REF!</v>
      </c>
      <c r="P49" s="62" t="e">
        <f>O49*#REF!</f>
        <v>#REF!</v>
      </c>
      <c r="Q49" s="62" t="e">
        <f>P49*#REF!</f>
        <v>#REF!</v>
      </c>
      <c r="R49" s="62" t="e">
        <f>Q49*#REF!</f>
        <v>#REF!</v>
      </c>
      <c r="S49" s="62" t="e">
        <f>R49*#REF!</f>
        <v>#REF!</v>
      </c>
      <c r="T49" s="62" t="e">
        <f>S49*#REF!</f>
        <v>#REF!</v>
      </c>
      <c r="U49" s="62" t="e">
        <f>T49*#REF!</f>
        <v>#REF!</v>
      </c>
      <c r="V49" s="62" t="e">
        <f>U49*#REF!</f>
        <v>#REF!</v>
      </c>
      <c r="W49" s="34"/>
      <c r="X49" s="1">
        <f>X48*$E$5</f>
        <v>799999.20000000007</v>
      </c>
      <c r="Y49" s="1">
        <f t="shared" ref="Y49:AA49" si="95">Y48*$E$5</f>
        <v>799999.20000000007</v>
      </c>
      <c r="Z49" s="1">
        <f t="shared" si="95"/>
        <v>799999.20000000007</v>
      </c>
      <c r="AA49" s="1">
        <f t="shared" si="95"/>
        <v>799999.20000000007</v>
      </c>
      <c r="AB49" s="34">
        <f>X49*VLOOKUP($B49,Types!$B$2:$D$13,3,FALSE)*Conv!$I$5*1000*365</f>
        <v>1095826.4882364159</v>
      </c>
      <c r="AC49" s="34">
        <f>Y49*VLOOKUP($B49,Types!$B$2:$D$13,3,FALSE)*Conv!$I$5*1000*365</f>
        <v>1095826.4882364159</v>
      </c>
      <c r="AD49" s="34">
        <f>Z49*VLOOKUP($B49,Types!$B$2:$D$13,3,FALSE)*Conv!$I$5*1000*365</f>
        <v>1095826.4882364159</v>
      </c>
      <c r="AE49" s="34">
        <f>AA49*VLOOKUP($B49,Types!$B$2:$D$13,3,FALSE)*Conv!$I$5*1000*365</f>
        <v>1095826.4882364159</v>
      </c>
      <c r="AF49" s="34">
        <f>AB49</f>
        <v>1095826.4882364159</v>
      </c>
      <c r="AG49" s="34">
        <f t="shared" ref="AG49:AI49" si="96">AC49</f>
        <v>1095826.4882364159</v>
      </c>
      <c r="AH49" s="34">
        <f t="shared" si="96"/>
        <v>1095826.4882364159</v>
      </c>
      <c r="AI49" s="34">
        <f t="shared" si="96"/>
        <v>1095826.4882364159</v>
      </c>
      <c r="AJ49" s="34"/>
      <c r="AK49" s="34"/>
      <c r="AL49" s="34"/>
    </row>
    <row r="50" spans="1:38">
      <c r="A50" s="1" t="str">
        <f>A49</f>
        <v>LPG</v>
      </c>
      <c r="B50" s="1" t="str">
        <f>VLOOKUP($A50,Types!$A$2:$C$13,2,FALSE)</f>
        <v>LPG</v>
      </c>
      <c r="C50" s="1">
        <v>2</v>
      </c>
      <c r="D50" s="1">
        <v>1</v>
      </c>
      <c r="E50" s="1" t="str">
        <f t="shared" si="1"/>
        <v>IMPLPGP12</v>
      </c>
      <c r="F50" s="1" t="str">
        <f>CONCATENATE("Imported ",VLOOKUP($A50,Types!$A$2:$C$13,3,FALSE),", PADD ",D50,", Step ",RIGHT(C50,1))</f>
        <v>Imported LPG, PADD 1, Step 2</v>
      </c>
      <c r="G50" s="1" t="str">
        <f>CONCATENATE(VLOOKUP($A50,Types!$A$2:$C$13,2,FALSE),"P",D50)</f>
        <v>LPGP1</v>
      </c>
      <c r="H50" s="61">
        <f>H48*$C$6</f>
        <v>31.057180000000002</v>
      </c>
      <c r="I50" s="61">
        <f t="shared" ref="I50:K50" si="97">I48*$C$6</f>
        <v>30.723000000000003</v>
      </c>
      <c r="J50" s="61">
        <f t="shared" si="97"/>
        <v>27.93</v>
      </c>
      <c r="K50" s="61">
        <f t="shared" si="97"/>
        <v>27.93</v>
      </c>
      <c r="L50" s="62">
        <f>H50*Conv!$J$20/10^6/VLOOKUP($B50,Types!$B$2:$D$13,3,FALSE)/Conv!$I$5</f>
        <v>12.698898125621454</v>
      </c>
      <c r="M50" s="62">
        <f>I50*Conv!$J$20/10^6/VLOOKUP($B50,Types!$B$2:$D$13,3,FALSE)/Conv!$I$5</f>
        <v>12.56225604235375</v>
      </c>
      <c r="N50" s="62" t="e">
        <f>M50*#REF!</f>
        <v>#REF!</v>
      </c>
      <c r="O50" s="62" t="e">
        <f>N50*#REF!</f>
        <v>#REF!</v>
      </c>
      <c r="P50" s="62" t="e">
        <f>O50*#REF!</f>
        <v>#REF!</v>
      </c>
      <c r="Q50" s="62" t="e">
        <f>P50*#REF!</f>
        <v>#REF!</v>
      </c>
      <c r="R50" s="62" t="e">
        <f>Q50*#REF!</f>
        <v>#REF!</v>
      </c>
      <c r="S50" s="62" t="e">
        <f>R50*#REF!</f>
        <v>#REF!</v>
      </c>
      <c r="T50" s="62" t="e">
        <f>S50*#REF!</f>
        <v>#REF!</v>
      </c>
      <c r="U50" s="62" t="e">
        <f>T50*#REF!</f>
        <v>#REF!</v>
      </c>
      <c r="V50" s="62" t="e">
        <f>U50*#REF!</f>
        <v>#REF!</v>
      </c>
      <c r="W50" s="34"/>
      <c r="X50" s="1">
        <f>X48*$E$6</f>
        <v>899999.1</v>
      </c>
      <c r="Y50" s="1">
        <f t="shared" ref="Y50:AA50" si="98">Y48*$E$6</f>
        <v>899999.1</v>
      </c>
      <c r="Z50" s="1">
        <f t="shared" si="98"/>
        <v>899999.1</v>
      </c>
      <c r="AA50" s="1">
        <f t="shared" si="98"/>
        <v>899999.1</v>
      </c>
      <c r="AB50" s="34">
        <f>X50*VLOOKUP($B50,Types!$B$2:$D$13,3,FALSE)*Conv!$I$5*1000*365</f>
        <v>1232804.7992659677</v>
      </c>
      <c r="AC50" s="34">
        <f>Y50*VLOOKUP($B50,Types!$B$2:$D$13,3,FALSE)*Conv!$I$5*1000*365</f>
        <v>1232804.7992659677</v>
      </c>
      <c r="AD50" s="34">
        <f>Z50*VLOOKUP($B50,Types!$B$2:$D$13,3,FALSE)*Conv!$I$5*1000*365</f>
        <v>1232804.7992659677</v>
      </c>
      <c r="AE50" s="34">
        <f>AA50*VLOOKUP($B50,Types!$B$2:$D$13,3,FALSE)*Conv!$I$5*1000*365</f>
        <v>1232804.7992659677</v>
      </c>
      <c r="AF50" s="34">
        <f>AB50-AF49</f>
        <v>136978.31102955178</v>
      </c>
      <c r="AG50" s="34">
        <f t="shared" ref="AG50:AI50" si="99">AC50-AG49</f>
        <v>136978.31102955178</v>
      </c>
      <c r="AH50" s="34">
        <f t="shared" si="99"/>
        <v>136978.31102955178</v>
      </c>
      <c r="AI50" s="34">
        <f t="shared" si="99"/>
        <v>136978.31102955178</v>
      </c>
      <c r="AJ50" s="34"/>
      <c r="AK50" s="34"/>
      <c r="AL50" s="34"/>
    </row>
    <row r="51" spans="1:38">
      <c r="A51" s="1" t="str">
        <f>A50</f>
        <v>LPG</v>
      </c>
      <c r="B51" s="1" t="str">
        <f>VLOOKUP($A51,Types!$A$2:$C$13,2,FALSE)</f>
        <v>LPG</v>
      </c>
      <c r="C51" s="1">
        <v>4</v>
      </c>
      <c r="D51" s="1">
        <v>1</v>
      </c>
      <c r="E51" s="1" t="str">
        <f t="shared" si="1"/>
        <v>IMPLPGP14</v>
      </c>
      <c r="F51" s="1" t="str">
        <f>CONCATENATE("Imported ",VLOOKUP($A51,Types!$A$2:$C$13,3,FALSE),", PADD ",D51,", Step ",RIGHT(C51,1))</f>
        <v>Imported LPG, PADD 1, Step 4</v>
      </c>
      <c r="G51" s="1" t="str">
        <f>CONCATENATE(VLOOKUP($A51,Types!$A$2:$C$13,2,FALSE),"P",D51)</f>
        <v>LPGP1</v>
      </c>
      <c r="H51" s="61">
        <f>H48*$C$8</f>
        <v>34.543190000000003</v>
      </c>
      <c r="I51" s="61">
        <f t="shared" ref="I51:K51" si="100">I48*$C$8</f>
        <v>34.171500000000002</v>
      </c>
      <c r="J51" s="61">
        <f t="shared" si="100"/>
        <v>31.065000000000001</v>
      </c>
      <c r="K51" s="61">
        <f t="shared" si="100"/>
        <v>31.065000000000001</v>
      </c>
      <c r="L51" s="62">
        <f>H51*Conv!$J$20/10^6/VLOOKUP($B51,Types!$B$2:$D$13,3,FALSE)/Conv!$I$5</f>
        <v>14.124284649925904</v>
      </c>
      <c r="M51" s="62">
        <f>I51*Conv!$J$20/10^6/VLOOKUP($B51,Types!$B$2:$D$13,3,FALSE)/Conv!$I$5</f>
        <v>13.972305189964885</v>
      </c>
      <c r="N51" s="62" t="e">
        <f>M51*#REF!</f>
        <v>#REF!</v>
      </c>
      <c r="O51" s="62" t="e">
        <f>N51*#REF!</f>
        <v>#REF!</v>
      </c>
      <c r="P51" s="62" t="e">
        <f>O51*#REF!</f>
        <v>#REF!</v>
      </c>
      <c r="Q51" s="62" t="e">
        <f>P51*#REF!</f>
        <v>#REF!</v>
      </c>
      <c r="R51" s="62" t="e">
        <f>Q51*#REF!</f>
        <v>#REF!</v>
      </c>
      <c r="S51" s="62" t="e">
        <f>R51*#REF!</f>
        <v>#REF!</v>
      </c>
      <c r="T51" s="62" t="e">
        <f>S51*#REF!</f>
        <v>#REF!</v>
      </c>
      <c r="U51" s="62" t="e">
        <f>T51*#REF!</f>
        <v>#REF!</v>
      </c>
      <c r="V51" s="62" t="e">
        <f>U51*#REF!</f>
        <v>#REF!</v>
      </c>
      <c r="W51" s="34"/>
      <c r="X51" s="1">
        <f>X48*$E$8</f>
        <v>1199998.8</v>
      </c>
      <c r="Y51" s="1">
        <f t="shared" ref="Y51:AA51" si="101">Y48*$E$8</f>
        <v>1199998.8</v>
      </c>
      <c r="Z51" s="1">
        <f t="shared" si="101"/>
        <v>1199998.8</v>
      </c>
      <c r="AA51" s="1">
        <f t="shared" si="101"/>
        <v>1199998.8</v>
      </c>
      <c r="AB51" s="34">
        <f>X51*VLOOKUP($B51,Types!$B$2:$D$13,3,FALSE)*Conv!$I$5*1000*365</f>
        <v>1643739.7323546242</v>
      </c>
      <c r="AC51" s="34">
        <f>Y51*VLOOKUP($B51,Types!$B$2:$D$13,3,FALSE)*Conv!$I$5*1000*365</f>
        <v>1643739.7323546242</v>
      </c>
      <c r="AD51" s="34">
        <f>Z51*VLOOKUP($B51,Types!$B$2:$D$13,3,FALSE)*Conv!$I$5*1000*365</f>
        <v>1643739.7323546242</v>
      </c>
      <c r="AE51" s="34">
        <f>AA51*VLOOKUP($B51,Types!$B$2:$D$13,3,FALSE)*Conv!$I$5*1000*365</f>
        <v>1643739.7323546242</v>
      </c>
      <c r="AF51" s="34">
        <f>AB51-AB48</f>
        <v>273956.6220591045</v>
      </c>
      <c r="AG51" s="34">
        <f t="shared" ref="AG51:AI51" si="102">AC51-AC48</f>
        <v>273956.6220591045</v>
      </c>
      <c r="AH51" s="34">
        <f t="shared" si="102"/>
        <v>273956.6220591045</v>
      </c>
      <c r="AI51" s="34">
        <f t="shared" si="102"/>
        <v>273956.6220591045</v>
      </c>
      <c r="AJ51" s="34"/>
      <c r="AK51" s="34"/>
      <c r="AL51" s="34"/>
    </row>
    <row r="52" spans="1:38">
      <c r="A52" s="1" t="str">
        <f>A51</f>
        <v>LPG</v>
      </c>
      <c r="B52" s="1" t="str">
        <f>VLOOKUP($A52,Types!$A$2:$C$13,2,FALSE)</f>
        <v>LPG</v>
      </c>
      <c r="C52" s="1">
        <v>5</v>
      </c>
      <c r="D52" s="1">
        <v>1</v>
      </c>
      <c r="E52" s="1" t="str">
        <f t="shared" si="1"/>
        <v>IMPLPGP15</v>
      </c>
      <c r="F52" s="1" t="str">
        <f>CONCATENATE("Imported ",VLOOKUP($A52,Types!$A$2:$C$13,3,FALSE),", PADD ",D52,", Step ",RIGHT(C52,1))</f>
        <v>Imported LPG, PADD 1, Step 5</v>
      </c>
      <c r="G52" s="1" t="str">
        <f>CONCATENATE(VLOOKUP($A52,Types!$A$2:$C$13,2,FALSE),"P",D52)</f>
        <v>LPGP1</v>
      </c>
      <c r="H52" s="61">
        <f>H48*$C$9</f>
        <v>41.198300000000003</v>
      </c>
      <c r="I52" s="61">
        <f t="shared" ref="I52:K52" si="103">I48*$C$9</f>
        <v>40.755000000000003</v>
      </c>
      <c r="J52" s="61">
        <f t="shared" si="103"/>
        <v>37.050000000000004</v>
      </c>
      <c r="K52" s="61">
        <f t="shared" si="103"/>
        <v>37.050000000000004</v>
      </c>
      <c r="L52" s="62">
        <f>H52*Conv!$J$20/10^6/VLOOKUP($B52,Types!$B$2:$D$13,3,FALSE)/Conv!$I$5</f>
        <v>16.845477105416219</v>
      </c>
      <c r="M52" s="62">
        <f>I52*Conv!$J$20/10^6/VLOOKUP($B52,Types!$B$2:$D$13,3,FALSE)/Conv!$I$5</f>
        <v>16.664217199040689</v>
      </c>
      <c r="N52" s="62" t="e">
        <f>M52*#REF!</f>
        <v>#REF!</v>
      </c>
      <c r="O52" s="62" t="e">
        <f>N52*#REF!</f>
        <v>#REF!</v>
      </c>
      <c r="P52" s="62" t="e">
        <f>O52*#REF!</f>
        <v>#REF!</v>
      </c>
      <c r="Q52" s="62" t="e">
        <f>P52*#REF!</f>
        <v>#REF!</v>
      </c>
      <c r="R52" s="62" t="e">
        <f>Q52*#REF!</f>
        <v>#REF!</v>
      </c>
      <c r="S52" s="62" t="e">
        <f>R52*#REF!</f>
        <v>#REF!</v>
      </c>
      <c r="T52" s="62" t="e">
        <f>S52*#REF!</f>
        <v>#REF!</v>
      </c>
      <c r="U52" s="62" t="e">
        <f>T52*#REF!</f>
        <v>#REF!</v>
      </c>
      <c r="V52" s="62" t="e">
        <f>U52*#REF!</f>
        <v>#REF!</v>
      </c>
      <c r="W52" s="34"/>
      <c r="X52" s="1">
        <f>X48*$E$9</f>
        <v>1999998</v>
      </c>
      <c r="Y52" s="1">
        <f t="shared" ref="Y52:AA52" si="104">Y48*$E$9</f>
        <v>1999998</v>
      </c>
      <c r="Z52" s="1">
        <f t="shared" si="104"/>
        <v>1999998</v>
      </c>
      <c r="AA52" s="1">
        <f t="shared" si="104"/>
        <v>1999998</v>
      </c>
      <c r="AB52" s="34">
        <f>X52*VLOOKUP($B52,Types!$B$2:$D$13,3,FALSE)*Conv!$I$5*1000*365</f>
        <v>2739566.2205910394</v>
      </c>
      <c r="AC52" s="34">
        <f>Y52*VLOOKUP($B52,Types!$B$2:$D$13,3,FALSE)*Conv!$I$5*1000*365</f>
        <v>2739566.2205910394</v>
      </c>
      <c r="AD52" s="34">
        <f>Z52*VLOOKUP($B52,Types!$B$2:$D$13,3,FALSE)*Conv!$I$5*1000*365</f>
        <v>2739566.2205910394</v>
      </c>
      <c r="AE52" s="34">
        <f>AA52*VLOOKUP($B52,Types!$B$2:$D$13,3,FALSE)*Conv!$I$5*1000*365</f>
        <v>2739566.2205910394</v>
      </c>
      <c r="AF52" s="34">
        <f>AB52-AB51</f>
        <v>1095826.4882364152</v>
      </c>
      <c r="AG52" s="34">
        <f t="shared" ref="AG52:AI52" si="105">AC52-AC51</f>
        <v>1095826.4882364152</v>
      </c>
      <c r="AH52" s="34">
        <f t="shared" si="105"/>
        <v>1095826.4882364152</v>
      </c>
      <c r="AI52" s="34">
        <f t="shared" si="105"/>
        <v>1095826.4882364152</v>
      </c>
      <c r="AJ52" s="34"/>
      <c r="AK52" s="34"/>
      <c r="AL52" s="34"/>
    </row>
    <row r="53" spans="1:38">
      <c r="A53" s="1" t="str">
        <f>'Agg prdcrv'!$A$14</f>
        <v>Petchem. Feedstocks</v>
      </c>
      <c r="B53" s="1" t="str">
        <f>VLOOKUP($A53,Types!$A$2:$C$13,2,FALSE)</f>
        <v>PFS</v>
      </c>
      <c r="C53" s="1">
        <v>3</v>
      </c>
      <c r="D53" s="1">
        <v>1</v>
      </c>
      <c r="E53" s="1" t="str">
        <f t="shared" si="1"/>
        <v>IMPPFSP13</v>
      </c>
      <c r="F53" s="1" t="str">
        <f>CONCATENATE("Imported ",VLOOKUP($A53,Types!$A$2:$C$13,3,FALSE),", PADD ",D53,", Step ",RIGHT(C53,1))</f>
        <v>Imported Petrochemical Feedstocks, PADD 1, Step 3</v>
      </c>
      <c r="G53" s="1" t="str">
        <f>CONCATENATE(VLOOKUP($A53,Types!$A$2:$C$13,2,FALSE),"P",D53)</f>
        <v>PFSP1</v>
      </c>
      <c r="H53" s="61">
        <f>SUMIFS('Agg prdcrv NYC'!$L$6:$L$100,'Agg prdcrv NYC'!$A$6:$A$100,'Imp Refined NYC'!$A53,'Agg prdcrv NYC'!$B$6:$B$100,H$11)*K4</f>
        <v>41.228000000000002</v>
      </c>
      <c r="I53" s="61">
        <f>SUMIFS('Agg prdcrv NYC'!$L$6:$L$100,'Agg prdcrv NYC'!$A$6:$A$100,'Imp Refined NYC'!$A53,'Agg prdcrv NYC'!$B$6:$B$100,I$11)*K4</f>
        <v>25.278000000000002</v>
      </c>
      <c r="J53" s="61">
        <f t="array" ref="J53">SUMIFS('Agg prdcrv NYC'!$L$6:$L$100,'Agg prdcrv NYC'!$A$6:$A$100,'Imp Refined NYC'!$A53,'Agg prdcrv NYC'!$B$6:$B$100,J$11)</f>
        <v>21.68</v>
      </c>
      <c r="K53" s="61">
        <f t="array" ref="K53">SUMIFS('Agg prdcrv NYC'!$L$6:$L$100,'Agg prdcrv NYC'!$A$6:$A$100,'Imp Refined NYC'!$A53,'Agg prdcrv NYC'!$B$6:$B$100,K$11)</f>
        <v>22.5</v>
      </c>
      <c r="L53" s="62">
        <f>H53*Conv!$J$20/10^6/VLOOKUP($B53,Types!$B$2:$D$13,3,FALSE)/Conv!$I$5</f>
        <v>10.536383437662659</v>
      </c>
      <c r="M53" s="62">
        <f>I53*Conv!$J$20/10^6/VLOOKUP($B53,Types!$B$2:$D$13,3,FALSE)/Conv!$I$5</f>
        <v>6.4601411792285983</v>
      </c>
      <c r="N53" s="62" t="e">
        <f>M53*#REF!</f>
        <v>#REF!</v>
      </c>
      <c r="O53" s="62" t="e">
        <f>N53*#REF!</f>
        <v>#REF!</v>
      </c>
      <c r="P53" s="62" t="e">
        <f>O53*#REF!</f>
        <v>#REF!</v>
      </c>
      <c r="Q53" s="62" t="e">
        <f>P53*#REF!</f>
        <v>#REF!</v>
      </c>
      <c r="R53" s="62" t="e">
        <f>Q53*#REF!</f>
        <v>#REF!</v>
      </c>
      <c r="S53" s="62" t="e">
        <f>R53*#REF!</f>
        <v>#REF!</v>
      </c>
      <c r="T53" s="62" t="e">
        <f>S53*#REF!</f>
        <v>#REF!</v>
      </c>
      <c r="U53" s="62" t="e">
        <f>T53*#REF!</f>
        <v>#REF!</v>
      </c>
      <c r="V53" s="62" t="e">
        <f>U53*#REF!</f>
        <v>#REF!</v>
      </c>
      <c r="W53" s="34"/>
      <c r="X53" s="1">
        <f t="array" ref="X53">SUMIFS('Agg prdcrv NYC'!$D$6:$D$100,'Agg prdcrv NYC'!$A$6:$A$100,'Imp Refined NYC'!$A53,'Agg prdcrv NYC'!$B$6:$B$100,X$11)</f>
        <v>999999</v>
      </c>
      <c r="Y53" s="1">
        <f t="array" ref="Y53">SUMIFS('Agg prdcrv NYC'!$D$6:$D$100,'Agg prdcrv NYC'!$A$6:$A$100,'Imp Refined NYC'!$A53,'Agg prdcrv NYC'!$B$6:$B$100,Y$11)</f>
        <v>999999</v>
      </c>
      <c r="Z53" s="1">
        <f t="array" ref="Z53">SUMIFS('Agg prdcrv NYC'!$D$6:$D$100,'Agg prdcrv NYC'!$A$6:$A$100,'Imp Refined NYC'!$A53,'Agg prdcrv NYC'!$B$6:$B$100,Z$11)</f>
        <v>999999</v>
      </c>
      <c r="AA53" s="1">
        <f t="array" ref="AA53">SUMIFS('Agg prdcrv NYC'!$D$6:$D$100,'Agg prdcrv NYC'!$A$6:$A$100,'Imp Refined NYC'!$A53,'Agg prdcrv NYC'!$B$6:$B$100,AA$11)</f>
        <v>999999</v>
      </c>
      <c r="AB53" s="34">
        <f>X53*VLOOKUP($B53,Types!$B$2:$D$13,3,FALSE)*Conv!$I$5*1000*365</f>
        <v>2191575.9574618507</v>
      </c>
      <c r="AC53" s="34">
        <f>Y53*VLOOKUP($B53,Types!$B$2:$D$13,3,FALSE)*Conv!$I$5*1000*365</f>
        <v>2191575.9574618507</v>
      </c>
      <c r="AD53" s="34">
        <f>Z53*VLOOKUP($B53,Types!$B$2:$D$13,3,FALSE)*Conv!$I$5*1000*365</f>
        <v>2191575.9574618507</v>
      </c>
      <c r="AE53" s="34">
        <f>AA53*VLOOKUP($B53,Types!$B$2:$D$13,3,FALSE)*Conv!$I$5*1000*365</f>
        <v>2191575.9574618507</v>
      </c>
      <c r="AF53" s="34">
        <f>AB53-AB55</f>
        <v>219157.59574618516</v>
      </c>
      <c r="AG53" s="34">
        <f t="shared" ref="AG53:AI53" si="106">AC53-AC55</f>
        <v>219157.59574618516</v>
      </c>
      <c r="AH53" s="34">
        <f t="shared" si="106"/>
        <v>219157.59574618516</v>
      </c>
      <c r="AI53" s="34">
        <f t="shared" si="106"/>
        <v>219157.59574618516</v>
      </c>
      <c r="AJ53" s="34"/>
      <c r="AK53" s="34"/>
      <c r="AL53" s="34"/>
    </row>
    <row r="54" spans="1:38">
      <c r="A54" s="1" t="str">
        <f>A53</f>
        <v>Petchem. Feedstocks</v>
      </c>
      <c r="B54" s="1" t="str">
        <f>VLOOKUP($A54,Types!$A$2:$C$13,2,FALSE)</f>
        <v>PFS</v>
      </c>
      <c r="C54" s="1">
        <v>1</v>
      </c>
      <c r="D54" s="1">
        <v>1</v>
      </c>
      <c r="E54" s="1" t="str">
        <f t="shared" si="1"/>
        <v>IMPPFSP11</v>
      </c>
      <c r="F54" s="1" t="str">
        <f>CONCATENATE("Imported ",VLOOKUP($A54,Types!$A$2:$C$13,3,FALSE),", PADD ",D54,", Step ",RIGHT(C54,1))</f>
        <v>Imported Petrochemical Feedstocks, PADD 1, Step 1</v>
      </c>
      <c r="G54" s="1" t="str">
        <f>CONCATENATE(VLOOKUP($A54,Types!$A$2:$C$13,2,FALSE),"P",D54)</f>
        <v>PFSP1</v>
      </c>
      <c r="H54" s="61">
        <f>H53*$C$5</f>
        <v>39.166600000000003</v>
      </c>
      <c r="I54" s="61">
        <f t="shared" ref="I54:K54" si="107">I53*$C$5</f>
        <v>24.014100000000003</v>
      </c>
      <c r="J54" s="61">
        <f t="shared" si="107"/>
        <v>20.596</v>
      </c>
      <c r="K54" s="61">
        <f t="shared" si="107"/>
        <v>21.375</v>
      </c>
      <c r="L54" s="62">
        <f>H54*Conv!$J$20/10^6/VLOOKUP($B54,Types!$B$2:$D$13,3,FALSE)/Conv!$I$5</f>
        <v>10.009564265779526</v>
      </c>
      <c r="M54" s="62">
        <f>I54*Conv!$J$20/10^6/VLOOKUP($B54,Types!$B$2:$D$13,3,FALSE)/Conv!$I$5</f>
        <v>6.1371341202671683</v>
      </c>
      <c r="N54" s="62" t="e">
        <f>M54*#REF!</f>
        <v>#REF!</v>
      </c>
      <c r="O54" s="62" t="e">
        <f>N54*#REF!</f>
        <v>#REF!</v>
      </c>
      <c r="P54" s="62" t="e">
        <f>O54*#REF!</f>
        <v>#REF!</v>
      </c>
      <c r="Q54" s="62" t="e">
        <f>P54*#REF!</f>
        <v>#REF!</v>
      </c>
      <c r="R54" s="62" t="e">
        <f>Q54*#REF!</f>
        <v>#REF!</v>
      </c>
      <c r="S54" s="62" t="e">
        <f>R54*#REF!</f>
        <v>#REF!</v>
      </c>
      <c r="T54" s="62" t="e">
        <f>S54*#REF!</f>
        <v>#REF!</v>
      </c>
      <c r="U54" s="62" t="e">
        <f>T54*#REF!</f>
        <v>#REF!</v>
      </c>
      <c r="V54" s="62" t="e">
        <f>U54*#REF!</f>
        <v>#REF!</v>
      </c>
      <c r="W54" s="34"/>
      <c r="X54" s="1">
        <f>X53*$E$5</f>
        <v>799999.20000000007</v>
      </c>
      <c r="Y54" s="1">
        <f t="shared" ref="Y54:AA54" si="108">Y53*$E$5</f>
        <v>799999.20000000007</v>
      </c>
      <c r="Z54" s="1">
        <f t="shared" si="108"/>
        <v>799999.20000000007</v>
      </c>
      <c r="AA54" s="1">
        <f t="shared" si="108"/>
        <v>799999.20000000007</v>
      </c>
      <c r="AB54" s="34">
        <f>X54*VLOOKUP($B54,Types!$B$2:$D$13,3,FALSE)*Conv!$I$5*1000*365</f>
        <v>1753260.7659694806</v>
      </c>
      <c r="AC54" s="34">
        <f>Y54*VLOOKUP($B54,Types!$B$2:$D$13,3,FALSE)*Conv!$I$5*1000*365</f>
        <v>1753260.7659694806</v>
      </c>
      <c r="AD54" s="34">
        <f>Z54*VLOOKUP($B54,Types!$B$2:$D$13,3,FALSE)*Conv!$I$5*1000*365</f>
        <v>1753260.7659694806</v>
      </c>
      <c r="AE54" s="34">
        <f>AA54*VLOOKUP($B54,Types!$B$2:$D$13,3,FALSE)*Conv!$I$5*1000*365</f>
        <v>1753260.7659694806</v>
      </c>
      <c r="AF54" s="34">
        <f>AB54</f>
        <v>1753260.7659694806</v>
      </c>
      <c r="AG54" s="34">
        <f t="shared" ref="AG54:AI54" si="109">AC54</f>
        <v>1753260.7659694806</v>
      </c>
      <c r="AH54" s="34">
        <f t="shared" si="109"/>
        <v>1753260.7659694806</v>
      </c>
      <c r="AI54" s="34">
        <f t="shared" si="109"/>
        <v>1753260.7659694806</v>
      </c>
      <c r="AJ54" s="34"/>
      <c r="AK54" s="34"/>
      <c r="AL54" s="34"/>
    </row>
    <row r="55" spans="1:38">
      <c r="A55" s="1" t="str">
        <f>A54</f>
        <v>Petchem. Feedstocks</v>
      </c>
      <c r="B55" s="1" t="str">
        <f>VLOOKUP($A55,Types!$A$2:$C$13,2,FALSE)</f>
        <v>PFS</v>
      </c>
      <c r="C55" s="1">
        <v>2</v>
      </c>
      <c r="D55" s="1">
        <v>1</v>
      </c>
      <c r="E55" s="1" t="str">
        <f t="shared" si="1"/>
        <v>IMPPFSP12</v>
      </c>
      <c r="F55" s="1" t="str">
        <f>CONCATENATE("Imported ",VLOOKUP($A55,Types!$A$2:$C$13,3,FALSE),", PADD ",D55,", Step ",RIGHT(C55,1))</f>
        <v>Imported Petrochemical Feedstocks, PADD 1, Step 2</v>
      </c>
      <c r="G55" s="1" t="str">
        <f>CONCATENATE(VLOOKUP($A55,Types!$A$2:$C$13,2,FALSE),"P",D55)</f>
        <v>PFSP1</v>
      </c>
      <c r="H55" s="61">
        <f>H53*$C$6</f>
        <v>40.403440000000003</v>
      </c>
      <c r="I55" s="61">
        <f t="shared" ref="I55:K55" si="110">I53*$C$6</f>
        <v>24.772440000000003</v>
      </c>
      <c r="J55" s="61">
        <f t="shared" si="110"/>
        <v>21.246399999999998</v>
      </c>
      <c r="K55" s="61">
        <f t="shared" si="110"/>
        <v>22.05</v>
      </c>
      <c r="L55" s="62">
        <f>H55*Conv!$J$20/10^6/VLOOKUP($B55,Types!$B$2:$D$13,3,FALSE)/Conv!$I$5</f>
        <v>10.325655768909405</v>
      </c>
      <c r="M55" s="62">
        <f>I55*Conv!$J$20/10^6/VLOOKUP($B55,Types!$B$2:$D$13,3,FALSE)/Conv!$I$5</f>
        <v>6.3309383556440268</v>
      </c>
      <c r="N55" s="62" t="e">
        <f>M55*#REF!</f>
        <v>#REF!</v>
      </c>
      <c r="O55" s="62" t="e">
        <f>N55*#REF!</f>
        <v>#REF!</v>
      </c>
      <c r="P55" s="62" t="e">
        <f>O55*#REF!</f>
        <v>#REF!</v>
      </c>
      <c r="Q55" s="62" t="e">
        <f>P55*#REF!</f>
        <v>#REF!</v>
      </c>
      <c r="R55" s="62" t="e">
        <f>Q55*#REF!</f>
        <v>#REF!</v>
      </c>
      <c r="S55" s="62" t="e">
        <f>R55*#REF!</f>
        <v>#REF!</v>
      </c>
      <c r="T55" s="62" t="e">
        <f>S55*#REF!</f>
        <v>#REF!</v>
      </c>
      <c r="U55" s="62" t="e">
        <f>T55*#REF!</f>
        <v>#REF!</v>
      </c>
      <c r="V55" s="62" t="e">
        <f>U55*#REF!</f>
        <v>#REF!</v>
      </c>
      <c r="W55" s="34"/>
      <c r="X55" s="1">
        <f>X53*$E$6</f>
        <v>899999.1</v>
      </c>
      <c r="Y55" s="1">
        <f t="shared" ref="Y55:AA55" si="111">Y53*$E$6</f>
        <v>899999.1</v>
      </c>
      <c r="Z55" s="1">
        <f t="shared" si="111"/>
        <v>899999.1</v>
      </c>
      <c r="AA55" s="1">
        <f t="shared" si="111"/>
        <v>899999.1</v>
      </c>
      <c r="AB55" s="34">
        <f>X55*VLOOKUP($B55,Types!$B$2:$D$13,3,FALSE)*Conv!$I$5*1000*365</f>
        <v>1972418.3617156656</v>
      </c>
      <c r="AC55" s="34">
        <f>Y55*VLOOKUP($B55,Types!$B$2:$D$13,3,FALSE)*Conv!$I$5*1000*365</f>
        <v>1972418.3617156656</v>
      </c>
      <c r="AD55" s="34">
        <f>Z55*VLOOKUP($B55,Types!$B$2:$D$13,3,FALSE)*Conv!$I$5*1000*365</f>
        <v>1972418.3617156656</v>
      </c>
      <c r="AE55" s="34">
        <f>AA55*VLOOKUP($B55,Types!$B$2:$D$13,3,FALSE)*Conv!$I$5*1000*365</f>
        <v>1972418.3617156656</v>
      </c>
      <c r="AF55" s="34">
        <f>AB55-AF54</f>
        <v>219157.59574618493</v>
      </c>
      <c r="AG55" s="34">
        <f t="shared" ref="AG55:AI55" si="112">AC55-AG54</f>
        <v>219157.59574618493</v>
      </c>
      <c r="AH55" s="34">
        <f t="shared" si="112"/>
        <v>219157.59574618493</v>
      </c>
      <c r="AI55" s="34">
        <f t="shared" si="112"/>
        <v>219157.59574618493</v>
      </c>
      <c r="AJ55" s="34"/>
      <c r="AK55" s="34"/>
      <c r="AL55" s="34"/>
    </row>
    <row r="56" spans="1:38">
      <c r="A56" s="1" t="str">
        <f>A55</f>
        <v>Petchem. Feedstocks</v>
      </c>
      <c r="B56" s="1" t="str">
        <f>VLOOKUP($A56,Types!$A$2:$C$13,2,FALSE)</f>
        <v>PFS</v>
      </c>
      <c r="C56" s="1">
        <v>4</v>
      </c>
      <c r="D56" s="1">
        <v>1</v>
      </c>
      <c r="E56" s="1" t="str">
        <f t="shared" si="1"/>
        <v>IMPPFSP14</v>
      </c>
      <c r="F56" s="1" t="str">
        <f>CONCATENATE("Imported ",VLOOKUP($A56,Types!$A$2:$C$13,3,FALSE),", PADD ",D56,", Step ",RIGHT(C56,1))</f>
        <v>Imported Petrochemical Feedstocks, PADD 1, Step 4</v>
      </c>
      <c r="G56" s="1" t="str">
        <f>CONCATENATE(VLOOKUP($A56,Types!$A$2:$C$13,2,FALSE),"P",D56)</f>
        <v>PFSP1</v>
      </c>
      <c r="H56" s="61">
        <f>H53*$C$8</f>
        <v>44.938520000000004</v>
      </c>
      <c r="I56" s="61">
        <f t="shared" ref="I56:K56" si="113">I53*$C$8</f>
        <v>27.553020000000004</v>
      </c>
      <c r="J56" s="61">
        <f t="shared" si="113"/>
        <v>23.6312</v>
      </c>
      <c r="K56" s="61">
        <f t="shared" si="113"/>
        <v>24.525000000000002</v>
      </c>
      <c r="L56" s="62">
        <f>H56*Conv!$J$20/10^6/VLOOKUP($B56,Types!$B$2:$D$13,3,FALSE)/Conv!$I$5</f>
        <v>11.484657947052298</v>
      </c>
      <c r="M56" s="62">
        <f>I56*Conv!$J$20/10^6/VLOOKUP($B56,Types!$B$2:$D$13,3,FALSE)/Conv!$I$5</f>
        <v>7.041553885359173</v>
      </c>
      <c r="N56" s="62" t="e">
        <f>M56*#REF!</f>
        <v>#REF!</v>
      </c>
      <c r="O56" s="62" t="e">
        <f>N56*#REF!</f>
        <v>#REF!</v>
      </c>
      <c r="P56" s="62" t="e">
        <f>O56*#REF!</f>
        <v>#REF!</v>
      </c>
      <c r="Q56" s="62" t="e">
        <f>P56*#REF!</f>
        <v>#REF!</v>
      </c>
      <c r="R56" s="62" t="e">
        <f>Q56*#REF!</f>
        <v>#REF!</v>
      </c>
      <c r="S56" s="62" t="e">
        <f>R56*#REF!</f>
        <v>#REF!</v>
      </c>
      <c r="T56" s="62" t="e">
        <f>S56*#REF!</f>
        <v>#REF!</v>
      </c>
      <c r="U56" s="62" t="e">
        <f>T56*#REF!</f>
        <v>#REF!</v>
      </c>
      <c r="V56" s="62" t="e">
        <f>U56*#REF!</f>
        <v>#REF!</v>
      </c>
      <c r="W56" s="34"/>
      <c r="X56" s="1">
        <f>X53*$E$8</f>
        <v>1199998.8</v>
      </c>
      <c r="Y56" s="1">
        <f t="shared" ref="Y56:AA56" si="114">Y53*$E$8</f>
        <v>1199998.8</v>
      </c>
      <c r="Z56" s="1">
        <f t="shared" si="114"/>
        <v>1199998.8</v>
      </c>
      <c r="AA56" s="1">
        <f t="shared" si="114"/>
        <v>1199998.8</v>
      </c>
      <c r="AB56" s="34">
        <f>X56*VLOOKUP($B56,Types!$B$2:$D$13,3,FALSE)*Conv!$I$5*1000*365</f>
        <v>2629891.1489542215</v>
      </c>
      <c r="AC56" s="34">
        <f>Y56*VLOOKUP($B56,Types!$B$2:$D$13,3,FALSE)*Conv!$I$5*1000*365</f>
        <v>2629891.1489542215</v>
      </c>
      <c r="AD56" s="34">
        <f>Z56*VLOOKUP($B56,Types!$B$2:$D$13,3,FALSE)*Conv!$I$5*1000*365</f>
        <v>2629891.1489542215</v>
      </c>
      <c r="AE56" s="34">
        <f>AA56*VLOOKUP($B56,Types!$B$2:$D$13,3,FALSE)*Conv!$I$5*1000*365</f>
        <v>2629891.1489542215</v>
      </c>
      <c r="AF56" s="34">
        <f>AB56-AB53</f>
        <v>438315.1914923708</v>
      </c>
      <c r="AG56" s="34">
        <f t="shared" ref="AG56:AI56" si="115">AC56-AC53</f>
        <v>438315.1914923708</v>
      </c>
      <c r="AH56" s="34">
        <f t="shared" si="115"/>
        <v>438315.1914923708</v>
      </c>
      <c r="AI56" s="34">
        <f t="shared" si="115"/>
        <v>438315.1914923708</v>
      </c>
      <c r="AJ56" s="34"/>
      <c r="AK56" s="34"/>
      <c r="AL56" s="34"/>
    </row>
    <row r="57" spans="1:38">
      <c r="A57" s="1" t="str">
        <f>A56</f>
        <v>Petchem. Feedstocks</v>
      </c>
      <c r="B57" s="1" t="str">
        <f>VLOOKUP($A57,Types!$A$2:$C$13,2,FALSE)</f>
        <v>PFS</v>
      </c>
      <c r="C57" s="1">
        <v>5</v>
      </c>
      <c r="D57" s="1">
        <v>1</v>
      </c>
      <c r="E57" s="1" t="str">
        <f t="shared" si="1"/>
        <v>IMPPFSP15</v>
      </c>
      <c r="F57" s="1" t="str">
        <f>CONCATENATE("Imported ",VLOOKUP($A57,Types!$A$2:$C$13,3,FALSE),", PADD ",D57,", Step ",RIGHT(C57,1))</f>
        <v>Imported Petrochemical Feedstocks, PADD 1, Step 5</v>
      </c>
      <c r="G57" s="1" t="str">
        <f>CONCATENATE(VLOOKUP($A57,Types!$A$2:$C$13,2,FALSE),"P",D57)</f>
        <v>PFSP1</v>
      </c>
      <c r="H57" s="61">
        <f>H53*$C$9</f>
        <v>53.596400000000003</v>
      </c>
      <c r="I57" s="61">
        <f t="shared" ref="I57:K57" si="116">I53*$C$9</f>
        <v>32.861400000000003</v>
      </c>
      <c r="J57" s="61">
        <f t="shared" si="116"/>
        <v>28.184000000000001</v>
      </c>
      <c r="K57" s="61">
        <f t="shared" si="116"/>
        <v>29.25</v>
      </c>
      <c r="L57" s="62">
        <f>H57*Conv!$J$20/10^6/VLOOKUP($B57,Types!$B$2:$D$13,3,FALSE)/Conv!$I$5</f>
        <v>13.697298468961455</v>
      </c>
      <c r="M57" s="62">
        <f>I57*Conv!$J$20/10^6/VLOOKUP($B57,Types!$B$2:$D$13,3,FALSE)/Conv!$I$5</f>
        <v>8.3981835329971783</v>
      </c>
      <c r="N57" s="62" t="e">
        <f>M57*#REF!</f>
        <v>#REF!</v>
      </c>
      <c r="O57" s="62" t="e">
        <f>N57*#REF!</f>
        <v>#REF!</v>
      </c>
      <c r="P57" s="62" t="e">
        <f>O57*#REF!</f>
        <v>#REF!</v>
      </c>
      <c r="Q57" s="62" t="e">
        <f>P57*#REF!</f>
        <v>#REF!</v>
      </c>
      <c r="R57" s="62" t="e">
        <f>Q57*#REF!</f>
        <v>#REF!</v>
      </c>
      <c r="S57" s="62" t="e">
        <f>R57*#REF!</f>
        <v>#REF!</v>
      </c>
      <c r="T57" s="62" t="e">
        <f>S57*#REF!</f>
        <v>#REF!</v>
      </c>
      <c r="U57" s="62" t="e">
        <f>T57*#REF!</f>
        <v>#REF!</v>
      </c>
      <c r="V57" s="62" t="e">
        <f>U57*#REF!</f>
        <v>#REF!</v>
      </c>
      <c r="W57" s="34"/>
      <c r="X57" s="1">
        <f>X53*$E$9</f>
        <v>1999998</v>
      </c>
      <c r="Y57" s="1">
        <f t="shared" ref="Y57:AA57" si="117">Y53*$E$9</f>
        <v>1999998</v>
      </c>
      <c r="Z57" s="1">
        <f t="shared" si="117"/>
        <v>1999998</v>
      </c>
      <c r="AA57" s="1">
        <f t="shared" si="117"/>
        <v>1999998</v>
      </c>
      <c r="AB57" s="34">
        <f>X57*VLOOKUP($B57,Types!$B$2:$D$13,3,FALSE)*Conv!$I$5*1000*365</f>
        <v>4383151.9149237014</v>
      </c>
      <c r="AC57" s="34">
        <f>Y57*VLOOKUP($B57,Types!$B$2:$D$13,3,FALSE)*Conv!$I$5*1000*365</f>
        <v>4383151.9149237014</v>
      </c>
      <c r="AD57" s="34">
        <f>Z57*VLOOKUP($B57,Types!$B$2:$D$13,3,FALSE)*Conv!$I$5*1000*365</f>
        <v>4383151.9149237014</v>
      </c>
      <c r="AE57" s="34">
        <f>AA57*VLOOKUP($B57,Types!$B$2:$D$13,3,FALSE)*Conv!$I$5*1000*365</f>
        <v>4383151.9149237014</v>
      </c>
      <c r="AF57" s="34">
        <f>AB57-AB56</f>
        <v>1753260.7659694799</v>
      </c>
      <c r="AG57" s="34">
        <f t="shared" ref="AG57:AI57" si="118">AC57-AC56</f>
        <v>1753260.7659694799</v>
      </c>
      <c r="AH57" s="34">
        <f t="shared" si="118"/>
        <v>1753260.7659694799</v>
      </c>
      <c r="AI57" s="34">
        <f t="shared" si="118"/>
        <v>1753260.7659694799</v>
      </c>
      <c r="AJ57" s="34"/>
      <c r="AK57" s="34"/>
      <c r="AL57" s="34"/>
    </row>
    <row r="58" spans="1:38">
      <c r="A58" s="1" t="str">
        <f>'Agg prdcrv'!$A$15</f>
        <v>Other Refined Prod.</v>
      </c>
      <c r="B58" s="1" t="str">
        <f>VLOOKUP($A58,Types!$A$2:$C$13,2,FALSE)</f>
        <v>KER</v>
      </c>
      <c r="C58" s="1">
        <v>3</v>
      </c>
      <c r="D58" s="1">
        <v>1</v>
      </c>
      <c r="E58" s="1" t="str">
        <f t="shared" si="1"/>
        <v>IMPKERP13</v>
      </c>
      <c r="F58" s="1" t="str">
        <f>CONCATENATE("Imported ",VLOOKUP($A58,Types!$A$2:$C$13,3,FALSE),", PADD ",D58,", Step ",RIGHT(C58,1))</f>
        <v>Imported Kerosene and Other Refined Products, PADD 1, Step 3</v>
      </c>
      <c r="G58" s="1" t="str">
        <f>CONCATENATE(VLOOKUP($A58,Types!$A$2:$C$13,2,FALSE),"P",D58)</f>
        <v>KERP1</v>
      </c>
      <c r="H58" s="61">
        <f>SUMIFS('Agg prdcrv NYC'!$L$6:$L$100,'Agg prdcrv NYC'!$A$6:$A$100,'Imp Refined NYC'!$A58,'Agg prdcrv NYC'!$B$6:$B$100,H$11)*K4</f>
        <v>65.923000000000002</v>
      </c>
      <c r="I58" s="61">
        <f>SUMIFS('Agg prdcrv NYC'!$L$6:$L$100,'Agg prdcrv NYC'!$A$6:$A$100,'Imp Refined NYC'!$A58,'Agg prdcrv NYC'!$B$6:$B$100,I$11)*K4</f>
        <v>40.062000000000005</v>
      </c>
      <c r="J58" s="61">
        <f t="array" ref="J58">SUMIFS('Agg prdcrv NYC'!$L$6:$L$100,'Agg prdcrv NYC'!$A$6:$A$100,'Imp Refined NYC'!$A58,'Agg prdcrv NYC'!$B$6:$B$100,J$11)</f>
        <v>32.450000000000003</v>
      </c>
      <c r="K58" s="61">
        <f t="array" ref="K58">SUMIFS('Agg prdcrv NYC'!$L$6:$L$100,'Agg prdcrv NYC'!$A$6:$A$100,'Imp Refined NYC'!$A58,'Agg prdcrv NYC'!$B$6:$B$100,K$11)</f>
        <v>41.16</v>
      </c>
      <c r="L58" s="62">
        <f>H58*Conv!$J$20/10^6/VLOOKUP($B58,Types!$B$2:$D$13,3,FALSE)/Conv!$I$5</f>
        <v>16.909929197061381</v>
      </c>
      <c r="M58" s="62">
        <f>I58*Conv!$J$20/10^6/VLOOKUP($B58,Types!$B$2:$D$13,3,FALSE)/Conv!$I$5</f>
        <v>10.276316058017279</v>
      </c>
      <c r="N58" s="62" t="e">
        <f>M58*#REF!</f>
        <v>#REF!</v>
      </c>
      <c r="O58" s="62" t="e">
        <f>N58*#REF!</f>
        <v>#REF!</v>
      </c>
      <c r="P58" s="62" t="e">
        <f>O58*#REF!</f>
        <v>#REF!</v>
      </c>
      <c r="Q58" s="62" t="e">
        <f>P58*#REF!</f>
        <v>#REF!</v>
      </c>
      <c r="R58" s="62" t="e">
        <f>Q58*#REF!</f>
        <v>#REF!</v>
      </c>
      <c r="S58" s="62" t="e">
        <f>R58*#REF!</f>
        <v>#REF!</v>
      </c>
      <c r="T58" s="62" t="e">
        <f>S58*#REF!</f>
        <v>#REF!</v>
      </c>
      <c r="U58" s="62" t="e">
        <f>T58*#REF!</f>
        <v>#REF!</v>
      </c>
      <c r="V58" s="62" t="e">
        <f>U58*#REF!</f>
        <v>#REF!</v>
      </c>
      <c r="W58" s="34"/>
      <c r="X58" s="1">
        <f t="array" ref="X58">SUMIFS('Agg prdcrv NYC'!$D$6:$D$100,'Agg prdcrv NYC'!$A$6:$A$100,'Imp Refined NYC'!$A58,'Agg prdcrv NYC'!$B$6:$B$100,X$11)</f>
        <v>999999</v>
      </c>
      <c r="Y58" s="1">
        <f t="array" ref="Y58">SUMIFS('Agg prdcrv NYC'!$D$6:$D$100,'Agg prdcrv NYC'!$A$6:$A$100,'Imp Refined NYC'!$A58,'Agg prdcrv NYC'!$B$6:$B$100,Y$11)</f>
        <v>999999</v>
      </c>
      <c r="Z58" s="1">
        <f t="array" ref="Z58">SUMIFS('Agg prdcrv NYC'!$D$6:$D$100,'Agg prdcrv NYC'!$A$6:$A$100,'Imp Refined NYC'!$A58,'Agg prdcrv NYC'!$B$6:$B$100,Z$11)</f>
        <v>999999</v>
      </c>
      <c r="AA58" s="1">
        <f t="array" ref="AA58">SUMIFS('Agg prdcrv NYC'!$D$6:$D$100,'Agg prdcrv NYC'!$A$6:$A$100,'Imp Refined NYC'!$A58,'Agg prdcrv NYC'!$B$6:$B$100,AA$11)</f>
        <v>999999</v>
      </c>
      <c r="AB58" s="34">
        <f>X58*VLOOKUP($B58,Types!$B$2:$D$13,3,FALSE)*Conv!$I$5*1000*365</f>
        <v>2183488.9613088551</v>
      </c>
      <c r="AC58" s="34">
        <f>Y58*VLOOKUP($B58,Types!$B$2:$D$13,3,FALSE)*Conv!$I$5*1000*365</f>
        <v>2183488.9613088551</v>
      </c>
      <c r="AD58" s="34">
        <f>Z58*VLOOKUP($B58,Types!$B$2:$D$13,3,FALSE)*Conv!$I$5*1000*365</f>
        <v>2183488.9613088551</v>
      </c>
      <c r="AE58" s="34">
        <f>AA58*VLOOKUP($B58,Types!$B$2:$D$13,3,FALSE)*Conv!$I$5*1000*365</f>
        <v>2183488.9613088551</v>
      </c>
      <c r="AF58" s="34">
        <f>AB58-AB60</f>
        <v>218348.8961308857</v>
      </c>
      <c r="AG58" s="34">
        <f t="shared" ref="AG58:AI58" si="119">AC58-AC60</f>
        <v>218348.8961308857</v>
      </c>
      <c r="AH58" s="34">
        <f t="shared" si="119"/>
        <v>218348.8961308857</v>
      </c>
      <c r="AI58" s="34">
        <f t="shared" si="119"/>
        <v>218348.8961308857</v>
      </c>
      <c r="AJ58" s="34"/>
      <c r="AK58" s="34"/>
      <c r="AL58" s="34"/>
    </row>
    <row r="59" spans="1:38">
      <c r="A59" s="1" t="str">
        <f>A58</f>
        <v>Other Refined Prod.</v>
      </c>
      <c r="B59" s="1" t="str">
        <f>VLOOKUP($A59,Types!$A$2:$C$13,2,FALSE)</f>
        <v>KER</v>
      </c>
      <c r="C59" s="1">
        <v>1</v>
      </c>
      <c r="D59" s="1">
        <v>1</v>
      </c>
      <c r="E59" s="1" t="str">
        <f t="shared" si="1"/>
        <v>IMPKERP11</v>
      </c>
      <c r="F59" s="1" t="str">
        <f>CONCATENATE("Imported ",VLOOKUP($A59,Types!$A$2:$C$13,3,FALSE),", PADD ",D59,", Step ",RIGHT(C59,1))</f>
        <v>Imported Kerosene and Other Refined Products, PADD 1, Step 1</v>
      </c>
      <c r="G59" s="1" t="str">
        <f>CONCATENATE(VLOOKUP($A59,Types!$A$2:$C$13,2,FALSE),"P",D59)</f>
        <v>KERP1</v>
      </c>
      <c r="H59" s="61">
        <f>H58*$C$5</f>
        <v>62.626849999999997</v>
      </c>
      <c r="I59" s="61">
        <f t="shared" ref="I59:K59" si="120">I58*$C$5</f>
        <v>38.058900000000001</v>
      </c>
      <c r="J59" s="61">
        <f t="shared" si="120"/>
        <v>30.827500000000001</v>
      </c>
      <c r="K59" s="61">
        <f t="shared" si="120"/>
        <v>39.101999999999997</v>
      </c>
      <c r="L59" s="62">
        <f>H59*Conv!$J$20/10^6/VLOOKUP($B59,Types!$B$2:$D$13,3,FALSE)/Conv!$I$5</f>
        <v>16.064432737208314</v>
      </c>
      <c r="M59" s="62">
        <f>I59*Conv!$J$20/10^6/VLOOKUP($B59,Types!$B$2:$D$13,3,FALSE)/Conv!$I$5</f>
        <v>9.7625002551164162</v>
      </c>
      <c r="N59" s="62" t="e">
        <f>M59*#REF!</f>
        <v>#REF!</v>
      </c>
      <c r="O59" s="62" t="e">
        <f>N59*#REF!</f>
        <v>#REF!</v>
      </c>
      <c r="P59" s="62" t="e">
        <f>O59*#REF!</f>
        <v>#REF!</v>
      </c>
      <c r="Q59" s="62" t="e">
        <f>P59*#REF!</f>
        <v>#REF!</v>
      </c>
      <c r="R59" s="62" t="e">
        <f>Q59*#REF!</f>
        <v>#REF!</v>
      </c>
      <c r="S59" s="62" t="e">
        <f>R59*#REF!</f>
        <v>#REF!</v>
      </c>
      <c r="T59" s="62" t="e">
        <f>S59*#REF!</f>
        <v>#REF!</v>
      </c>
      <c r="U59" s="62" t="e">
        <f>T59*#REF!</f>
        <v>#REF!</v>
      </c>
      <c r="V59" s="62" t="e">
        <f>U59*#REF!</f>
        <v>#REF!</v>
      </c>
      <c r="W59" s="34"/>
      <c r="X59" s="1">
        <f>X58*$E$5</f>
        <v>799999.20000000007</v>
      </c>
      <c r="Y59" s="1">
        <f t="shared" ref="Y59:AA59" si="121">Y58*$E$5</f>
        <v>799999.20000000007</v>
      </c>
      <c r="Z59" s="1">
        <f t="shared" si="121"/>
        <v>799999.20000000007</v>
      </c>
      <c r="AA59" s="1">
        <f t="shared" si="121"/>
        <v>799999.20000000007</v>
      </c>
      <c r="AB59" s="34">
        <f>X59*VLOOKUP($B59,Types!$B$2:$D$13,3,FALSE)*Conv!$I$5*1000*365</f>
        <v>1746791.1690470844</v>
      </c>
      <c r="AC59" s="34">
        <f>Y59*VLOOKUP($B59,Types!$B$2:$D$13,3,FALSE)*Conv!$I$5*1000*365</f>
        <v>1746791.1690470844</v>
      </c>
      <c r="AD59" s="34">
        <f>Z59*VLOOKUP($B59,Types!$B$2:$D$13,3,FALSE)*Conv!$I$5*1000*365</f>
        <v>1746791.1690470844</v>
      </c>
      <c r="AE59" s="34">
        <f>AA59*VLOOKUP($B59,Types!$B$2:$D$13,3,FALSE)*Conv!$I$5*1000*365</f>
        <v>1746791.1690470844</v>
      </c>
      <c r="AF59" s="34">
        <f>AB59</f>
        <v>1746791.1690470844</v>
      </c>
      <c r="AG59" s="34">
        <f t="shared" ref="AG59:AI59" si="122">AC59</f>
        <v>1746791.1690470844</v>
      </c>
      <c r="AH59" s="34">
        <f t="shared" si="122"/>
        <v>1746791.1690470844</v>
      </c>
      <c r="AI59" s="34">
        <f t="shared" si="122"/>
        <v>1746791.1690470844</v>
      </c>
      <c r="AJ59" s="34"/>
      <c r="AK59" s="34"/>
      <c r="AL59" s="34"/>
    </row>
    <row r="60" spans="1:38">
      <c r="A60" s="1" t="str">
        <f>A59</f>
        <v>Other Refined Prod.</v>
      </c>
      <c r="B60" s="1" t="str">
        <f>VLOOKUP($A60,Types!$A$2:$C$13,2,FALSE)</f>
        <v>KER</v>
      </c>
      <c r="C60" s="1">
        <v>2</v>
      </c>
      <c r="D60" s="1">
        <v>1</v>
      </c>
      <c r="E60" s="1" t="str">
        <f t="shared" si="1"/>
        <v>IMPKERP12</v>
      </c>
      <c r="F60" s="1" t="str">
        <f>CONCATENATE("Imported ",VLOOKUP($A60,Types!$A$2:$C$13,3,FALSE),", PADD ",D60,", Step ",RIGHT(C60,1))</f>
        <v>Imported Kerosene and Other Refined Products, PADD 1, Step 2</v>
      </c>
      <c r="G60" s="1" t="str">
        <f>CONCATENATE(VLOOKUP($A60,Types!$A$2:$C$13,2,FALSE),"P",D60)</f>
        <v>KERP1</v>
      </c>
      <c r="H60" s="61">
        <f>H58*$C$6</f>
        <v>64.60454</v>
      </c>
      <c r="I60" s="61">
        <f t="shared" ref="I60:K60" si="123">I58*$C$6</f>
        <v>39.260760000000005</v>
      </c>
      <c r="J60" s="61">
        <f t="shared" si="123"/>
        <v>31.801000000000002</v>
      </c>
      <c r="K60" s="61">
        <f t="shared" si="123"/>
        <v>40.336799999999997</v>
      </c>
      <c r="L60" s="62">
        <f>H60*Conv!$J$20/10^6/VLOOKUP($B60,Types!$B$2:$D$13,3,FALSE)/Conv!$I$5</f>
        <v>16.571730613120152</v>
      </c>
      <c r="M60" s="62">
        <f>I60*Conv!$J$20/10^6/VLOOKUP($B60,Types!$B$2:$D$13,3,FALSE)/Conv!$I$5</f>
        <v>10.070789736856934</v>
      </c>
      <c r="N60" s="62" t="e">
        <f>M60*#REF!</f>
        <v>#REF!</v>
      </c>
      <c r="O60" s="62" t="e">
        <f>N60*#REF!</f>
        <v>#REF!</v>
      </c>
      <c r="P60" s="62" t="e">
        <f>O60*#REF!</f>
        <v>#REF!</v>
      </c>
      <c r="Q60" s="62" t="e">
        <f>P60*#REF!</f>
        <v>#REF!</v>
      </c>
      <c r="R60" s="62" t="e">
        <f>Q60*#REF!</f>
        <v>#REF!</v>
      </c>
      <c r="S60" s="62" t="e">
        <f>R60*#REF!</f>
        <v>#REF!</v>
      </c>
      <c r="T60" s="62" t="e">
        <f>S60*#REF!</f>
        <v>#REF!</v>
      </c>
      <c r="U60" s="62" t="e">
        <f>T60*#REF!</f>
        <v>#REF!</v>
      </c>
      <c r="V60" s="62" t="e">
        <f>U60*#REF!</f>
        <v>#REF!</v>
      </c>
      <c r="W60" s="34"/>
      <c r="X60" s="1">
        <f>X58*$E$6</f>
        <v>899999.1</v>
      </c>
      <c r="Y60" s="1">
        <f t="shared" ref="Y60:AA60" si="124">Y58*$E$6</f>
        <v>899999.1</v>
      </c>
      <c r="Z60" s="1">
        <f t="shared" si="124"/>
        <v>899999.1</v>
      </c>
      <c r="AA60" s="1">
        <f t="shared" si="124"/>
        <v>899999.1</v>
      </c>
      <c r="AB60" s="34">
        <f>X60*VLOOKUP($B60,Types!$B$2:$D$13,3,FALSE)*Conv!$I$5*1000*365</f>
        <v>1965140.0651779694</v>
      </c>
      <c r="AC60" s="34">
        <f>Y60*VLOOKUP($B60,Types!$B$2:$D$13,3,FALSE)*Conv!$I$5*1000*365</f>
        <v>1965140.0651779694</v>
      </c>
      <c r="AD60" s="34">
        <f>Z60*VLOOKUP($B60,Types!$B$2:$D$13,3,FALSE)*Conv!$I$5*1000*365</f>
        <v>1965140.0651779694</v>
      </c>
      <c r="AE60" s="34">
        <f>AA60*VLOOKUP($B60,Types!$B$2:$D$13,3,FALSE)*Conv!$I$5*1000*365</f>
        <v>1965140.0651779694</v>
      </c>
      <c r="AF60" s="34">
        <f>AB60-AF59</f>
        <v>218348.896130885</v>
      </c>
      <c r="AG60" s="34">
        <f t="shared" ref="AG60:AI60" si="125">AC60-AG59</f>
        <v>218348.896130885</v>
      </c>
      <c r="AH60" s="34">
        <f t="shared" si="125"/>
        <v>218348.896130885</v>
      </c>
      <c r="AI60" s="34">
        <f t="shared" si="125"/>
        <v>218348.896130885</v>
      </c>
      <c r="AJ60" s="34"/>
      <c r="AK60" s="34"/>
      <c r="AL60" s="34"/>
    </row>
    <row r="61" spans="1:38">
      <c r="A61" s="1" t="str">
        <f>A60</f>
        <v>Other Refined Prod.</v>
      </c>
      <c r="B61" s="1" t="str">
        <f>VLOOKUP($A61,Types!$A$2:$C$13,2,FALSE)</f>
        <v>KER</v>
      </c>
      <c r="C61" s="1">
        <v>4</v>
      </c>
      <c r="D61" s="1">
        <v>1</v>
      </c>
      <c r="E61" s="1" t="str">
        <f t="shared" si="1"/>
        <v>IMPKERP14</v>
      </c>
      <c r="F61" s="1" t="str">
        <f>CONCATENATE("Imported ",VLOOKUP($A61,Types!$A$2:$C$13,3,FALSE),", PADD ",D61,", Step ",RIGHT(C61,1))</f>
        <v>Imported Kerosene and Other Refined Products, PADD 1, Step 4</v>
      </c>
      <c r="G61" s="1" t="str">
        <f>CONCATENATE(VLOOKUP($A61,Types!$A$2:$C$13,2,FALSE),"P",D61)</f>
        <v>KERP1</v>
      </c>
      <c r="H61" s="61">
        <f>H58*$C$8</f>
        <v>71.856070000000003</v>
      </c>
      <c r="I61" s="61">
        <f t="shared" ref="I61:K61" si="126">I58*$C$8</f>
        <v>43.667580000000008</v>
      </c>
      <c r="J61" s="61">
        <f t="shared" si="126"/>
        <v>35.370500000000007</v>
      </c>
      <c r="K61" s="61">
        <f t="shared" si="126"/>
        <v>44.864399999999996</v>
      </c>
      <c r="L61" s="62">
        <f>H61*Conv!$J$20/10^6/VLOOKUP($B61,Types!$B$2:$D$13,3,FALSE)/Conv!$I$5</f>
        <v>18.431822824796907</v>
      </c>
      <c r="M61" s="62">
        <f>I61*Conv!$J$20/10^6/VLOOKUP($B61,Types!$B$2:$D$13,3,FALSE)/Conv!$I$5</f>
        <v>11.201184503238837</v>
      </c>
      <c r="N61" s="62" t="e">
        <f>M61*#REF!</f>
        <v>#REF!</v>
      </c>
      <c r="O61" s="62" t="e">
        <f>N61*#REF!</f>
        <v>#REF!</v>
      </c>
      <c r="P61" s="62" t="e">
        <f>O61*#REF!</f>
        <v>#REF!</v>
      </c>
      <c r="Q61" s="62" t="e">
        <f>P61*#REF!</f>
        <v>#REF!</v>
      </c>
      <c r="R61" s="62" t="e">
        <f>Q61*#REF!</f>
        <v>#REF!</v>
      </c>
      <c r="S61" s="62" t="e">
        <f>R61*#REF!</f>
        <v>#REF!</v>
      </c>
      <c r="T61" s="62" t="e">
        <f>S61*#REF!</f>
        <v>#REF!</v>
      </c>
      <c r="U61" s="62" t="e">
        <f>T61*#REF!</f>
        <v>#REF!</v>
      </c>
      <c r="V61" s="62" t="e">
        <f>U61*#REF!</f>
        <v>#REF!</v>
      </c>
      <c r="W61" s="34"/>
      <c r="X61" s="1">
        <f>X58*$E$8</f>
        <v>1199998.8</v>
      </c>
      <c r="Y61" s="1">
        <f t="shared" ref="Y61:AA61" si="127">Y58*$E$8</f>
        <v>1199998.8</v>
      </c>
      <c r="Z61" s="1">
        <f t="shared" si="127"/>
        <v>1199998.8</v>
      </c>
      <c r="AA61" s="1">
        <f t="shared" si="127"/>
        <v>1199998.8</v>
      </c>
      <c r="AB61" s="34">
        <f>X61*VLOOKUP($B61,Types!$B$2:$D$13,3,FALSE)*Conv!$I$5*1000*365</f>
        <v>2620186.753570626</v>
      </c>
      <c r="AC61" s="34">
        <f>Y61*VLOOKUP($B61,Types!$B$2:$D$13,3,FALSE)*Conv!$I$5*1000*365</f>
        <v>2620186.753570626</v>
      </c>
      <c r="AD61" s="34">
        <f>Z61*VLOOKUP($B61,Types!$B$2:$D$13,3,FALSE)*Conv!$I$5*1000*365</f>
        <v>2620186.753570626</v>
      </c>
      <c r="AE61" s="34">
        <f>AA61*VLOOKUP($B61,Types!$B$2:$D$13,3,FALSE)*Conv!$I$5*1000*365</f>
        <v>2620186.753570626</v>
      </c>
      <c r="AF61" s="34">
        <f>AB61-AB58</f>
        <v>436697.79226177093</v>
      </c>
      <c r="AG61" s="34">
        <f t="shared" ref="AG61:AI61" si="128">AC61-AC58</f>
        <v>436697.79226177093</v>
      </c>
      <c r="AH61" s="34">
        <f t="shared" si="128"/>
        <v>436697.79226177093</v>
      </c>
      <c r="AI61" s="34">
        <f t="shared" si="128"/>
        <v>436697.79226177093</v>
      </c>
      <c r="AJ61" s="34"/>
      <c r="AK61" s="34"/>
      <c r="AL61" s="34"/>
    </row>
    <row r="62" spans="1:38">
      <c r="A62" s="1" t="str">
        <f>A61</f>
        <v>Other Refined Prod.</v>
      </c>
      <c r="B62" s="1" t="str">
        <f>VLOOKUP($A62,Types!$A$2:$C$13,2,FALSE)</f>
        <v>KER</v>
      </c>
      <c r="C62" s="1">
        <v>5</v>
      </c>
      <c r="D62" s="1">
        <v>1</v>
      </c>
      <c r="E62" s="1" t="str">
        <f t="shared" si="1"/>
        <v>IMPKERP15</v>
      </c>
      <c r="F62" s="1" t="str">
        <f>CONCATENATE("Imported ",VLOOKUP($A62,Types!$A$2:$C$13,3,FALSE),", PADD ",D62,", Step ",RIGHT(C62,1))</f>
        <v>Imported Kerosene and Other Refined Products, PADD 1, Step 5</v>
      </c>
      <c r="G62" s="1" t="str">
        <f>CONCATENATE(VLOOKUP($A62,Types!$A$2:$C$13,2,FALSE),"P",D62)</f>
        <v>KERP1</v>
      </c>
      <c r="H62" s="61">
        <f>H58*$C$9</f>
        <v>85.6999</v>
      </c>
      <c r="I62" s="61">
        <f t="shared" ref="I62:K62" si="129">I58*$C$9</f>
        <v>52.080600000000011</v>
      </c>
      <c r="J62" s="61">
        <f t="shared" si="129"/>
        <v>42.185000000000002</v>
      </c>
      <c r="K62" s="61">
        <f t="shared" si="129"/>
        <v>53.507999999999996</v>
      </c>
      <c r="L62" s="62">
        <f>H62*Conv!$J$20/10^6/VLOOKUP($B62,Types!$B$2:$D$13,3,FALSE)/Conv!$I$5</f>
        <v>21.982907956179794</v>
      </c>
      <c r="M62" s="62">
        <f>I62*Conv!$J$20/10^6/VLOOKUP($B62,Types!$B$2:$D$13,3,FALSE)/Conv!$I$5</f>
        <v>13.359210875422464</v>
      </c>
      <c r="N62" s="62" t="e">
        <f>M62*#REF!</f>
        <v>#REF!</v>
      </c>
      <c r="O62" s="62" t="e">
        <f>N62*#REF!</f>
        <v>#REF!</v>
      </c>
      <c r="P62" s="62" t="e">
        <f>O62*#REF!</f>
        <v>#REF!</v>
      </c>
      <c r="Q62" s="62" t="e">
        <f>P62*#REF!</f>
        <v>#REF!</v>
      </c>
      <c r="R62" s="62" t="e">
        <f>Q62*#REF!</f>
        <v>#REF!</v>
      </c>
      <c r="S62" s="62" t="e">
        <f>R62*#REF!</f>
        <v>#REF!</v>
      </c>
      <c r="T62" s="62" t="e">
        <f>S62*#REF!</f>
        <v>#REF!</v>
      </c>
      <c r="U62" s="62" t="e">
        <f>T62*#REF!</f>
        <v>#REF!</v>
      </c>
      <c r="V62" s="62" t="e">
        <f>U62*#REF!</f>
        <v>#REF!</v>
      </c>
      <c r="W62" s="34"/>
      <c r="X62" s="1">
        <f>X58*$E$9</f>
        <v>1999998</v>
      </c>
      <c r="Y62" s="1">
        <f t="shared" ref="Y62:AA62" si="130">Y58*$E$9</f>
        <v>1999998</v>
      </c>
      <c r="Z62" s="1">
        <f t="shared" si="130"/>
        <v>1999998</v>
      </c>
      <c r="AA62" s="1">
        <f t="shared" si="130"/>
        <v>1999998</v>
      </c>
      <c r="AB62" s="34">
        <f>X62*VLOOKUP($B62,Types!$B$2:$D$13,3,FALSE)*Conv!$I$5*1000*365</f>
        <v>4366977.9226177102</v>
      </c>
      <c r="AC62" s="34">
        <f>Y62*VLOOKUP($B62,Types!$B$2:$D$13,3,FALSE)*Conv!$I$5*1000*365</f>
        <v>4366977.9226177102</v>
      </c>
      <c r="AD62" s="34">
        <f>Z62*VLOOKUP($B62,Types!$B$2:$D$13,3,FALSE)*Conv!$I$5*1000*365</f>
        <v>4366977.9226177102</v>
      </c>
      <c r="AE62" s="34">
        <f>AA62*VLOOKUP($B62,Types!$B$2:$D$13,3,FALSE)*Conv!$I$5*1000*365</f>
        <v>4366977.9226177102</v>
      </c>
      <c r="AF62" s="34">
        <f>AB62-AB61</f>
        <v>1746791.1690470842</v>
      </c>
      <c r="AG62" s="34">
        <f t="shared" ref="AG62:AI62" si="131">AC62-AC61</f>
        <v>1746791.1690470842</v>
      </c>
      <c r="AH62" s="34">
        <f t="shared" si="131"/>
        <v>1746791.1690470842</v>
      </c>
      <c r="AI62" s="34">
        <f t="shared" si="131"/>
        <v>1746791.1690470842</v>
      </c>
      <c r="AJ62" s="34"/>
      <c r="AK62" s="34"/>
      <c r="AL62" s="34"/>
    </row>
    <row r="63" spans="1:38">
      <c r="A63" s="1" t="str">
        <f>'Agg prdcrv'!$A$16</f>
        <v>Methanol</v>
      </c>
      <c r="B63" s="1" t="str">
        <f>VLOOKUP($A63,Types!$A$2:$C$13,2,FALSE)</f>
        <v>MTH</v>
      </c>
      <c r="C63" s="1">
        <v>3</v>
      </c>
      <c r="D63" s="1">
        <v>1</v>
      </c>
      <c r="E63" s="1" t="str">
        <f t="shared" si="1"/>
        <v>IMPMTHP13</v>
      </c>
      <c r="F63" s="1" t="str">
        <f>CONCATENATE("Imported ",VLOOKUP($A63,Types!$A$2:$C$13,3,FALSE),", PADD ",D63,", Step ",RIGHT(C63,1))</f>
        <v>Imported Methanol, PADD 1, Step 3</v>
      </c>
      <c r="G63" s="1" t="str">
        <f>CONCATENATE(VLOOKUP($A63,Types!$A$2:$C$13,2,FALSE),"P",D63)</f>
        <v>MTHP1</v>
      </c>
      <c r="H63" s="61">
        <f>SUMIFS('Agg prdcrv NYC'!$L$6:$L$100,'Agg prdcrv NYC'!$A$6:$A$100,'Imp Refined NYC'!$A63,'Agg prdcrv NYC'!$B$6:$B$100,H$11)*K4</f>
        <v>53.108000000000004</v>
      </c>
      <c r="I63" s="61">
        <f>SUMIFS('Agg prdcrv NYC'!$L$6:$L$100,'Agg prdcrv NYC'!$A$6:$A$100,'Imp Refined NYC'!$A63,'Agg prdcrv NYC'!$B$6:$B$100,I$11)*K4</f>
        <v>52.536000000000001</v>
      </c>
      <c r="J63" s="61">
        <f t="array" ref="J63">SUMIFS('Agg prdcrv NYC'!$L$6:$L$100,'Agg prdcrv NYC'!$A$6:$A$100,'Imp Refined NYC'!$A63,'Agg prdcrv NYC'!$B$6:$B$100,J$11)</f>
        <v>47.76</v>
      </c>
      <c r="K63" s="61">
        <f t="array" ref="K63">SUMIFS('Agg prdcrv NYC'!$L$6:$L$100,'Agg prdcrv NYC'!$A$6:$A$100,'Imp Refined NYC'!$A63,'Agg prdcrv NYC'!$B$6:$B$100,K$11)</f>
        <v>47.76</v>
      </c>
      <c r="L63" s="62">
        <f>H63*Conv!$J$20/10^6/VLOOKUP($B63,Types!$B$2:$D$13,3,FALSE)/Conv!$I$5</f>
        <v>28.120354613666684</v>
      </c>
      <c r="M63" s="62">
        <f>I63*Conv!$J$20/10^6/VLOOKUP($B63,Types!$B$2:$D$13,3,FALSE)/Conv!$I$5</f>
        <v>27.817484182864966</v>
      </c>
      <c r="N63" s="62" t="e">
        <f>M63*#REF!</f>
        <v>#REF!</v>
      </c>
      <c r="O63" s="62" t="e">
        <f>N63*#REF!</f>
        <v>#REF!</v>
      </c>
      <c r="P63" s="62" t="e">
        <f>O63*#REF!</f>
        <v>#REF!</v>
      </c>
      <c r="Q63" s="62" t="e">
        <f>P63*#REF!</f>
        <v>#REF!</v>
      </c>
      <c r="R63" s="62" t="e">
        <f>Q63*#REF!</f>
        <v>#REF!</v>
      </c>
      <c r="S63" s="62" t="e">
        <f>R63*#REF!</f>
        <v>#REF!</v>
      </c>
      <c r="T63" s="62" t="e">
        <f>S63*#REF!</f>
        <v>#REF!</v>
      </c>
      <c r="U63" s="62" t="e">
        <f>T63*#REF!</f>
        <v>#REF!</v>
      </c>
      <c r="V63" s="62" t="e">
        <f>U63*#REF!</f>
        <v>#REF!</v>
      </c>
      <c r="W63" s="34"/>
      <c r="X63" s="1">
        <f t="array" ref="X63">SUMIFS('Agg prdcrv NYC'!$D$6:$D$100,'Agg prdcrv NYC'!$A$6:$A$100,'Imp Refined NYC'!$A63,'Agg prdcrv NYC'!$B$6:$B$100,X$11)</f>
        <v>999999</v>
      </c>
      <c r="Y63" s="1">
        <f t="array" ref="Y63">SUMIFS('Agg prdcrv NYC'!$D$6:$D$100,'Agg prdcrv NYC'!$A$6:$A$100,'Imp Refined NYC'!$A63,'Agg prdcrv NYC'!$B$6:$B$100,Y$11)</f>
        <v>999999</v>
      </c>
      <c r="Z63" s="1">
        <f t="array" ref="Z63">SUMIFS('Agg prdcrv NYC'!$D$6:$D$100,'Agg prdcrv NYC'!$A$6:$A$100,'Imp Refined NYC'!$A63,'Agg prdcrv NYC'!$B$6:$B$100,Z$11)</f>
        <v>999999</v>
      </c>
      <c r="AA63" s="1">
        <f t="array" ref="AA63">SUMIFS('Agg prdcrv NYC'!$D$6:$D$100,'Agg prdcrv NYC'!$A$6:$A$100,'Imp Refined NYC'!$A63,'Agg prdcrv NYC'!$B$6:$B$100,AA$11)</f>
        <v>999999</v>
      </c>
      <c r="AB63" s="34">
        <f>X63*VLOOKUP($B63,Types!$B$2:$D$13,3,FALSE)*Conv!$I$5*1000*365</f>
        <v>1057779.0968118452</v>
      </c>
      <c r="AC63" s="34">
        <f>Y63*VLOOKUP($B63,Types!$B$2:$D$13,3,FALSE)*Conv!$I$5*1000*365</f>
        <v>1057779.0968118452</v>
      </c>
      <c r="AD63" s="34">
        <f>Z63*VLOOKUP($B63,Types!$B$2:$D$13,3,FALSE)*Conv!$I$5*1000*365</f>
        <v>1057779.0968118452</v>
      </c>
      <c r="AE63" s="34">
        <f>AA63*VLOOKUP($B63,Types!$B$2:$D$13,3,FALSE)*Conv!$I$5*1000*365</f>
        <v>1057779.0968118452</v>
      </c>
      <c r="AF63" s="34">
        <f>AB63-AB65</f>
        <v>105777.90968118445</v>
      </c>
      <c r="AG63" s="34">
        <f t="shared" ref="AG63:AI63" si="132">AC63-AC65</f>
        <v>105777.90968118445</v>
      </c>
      <c r="AH63" s="34">
        <f t="shared" si="132"/>
        <v>105777.90968118445</v>
      </c>
      <c r="AI63" s="34">
        <f t="shared" si="132"/>
        <v>105777.90968118445</v>
      </c>
      <c r="AJ63" s="34"/>
      <c r="AK63" s="34"/>
      <c r="AL63" s="34"/>
    </row>
    <row r="64" spans="1:38">
      <c r="A64" s="1" t="str">
        <f>A63</f>
        <v>Methanol</v>
      </c>
      <c r="B64" s="1" t="str">
        <f>VLOOKUP($A64,Types!$A$2:$C$13,2,FALSE)</f>
        <v>MTH</v>
      </c>
      <c r="C64" s="1">
        <v>1</v>
      </c>
      <c r="D64" s="1">
        <v>1</v>
      </c>
      <c r="E64" s="1" t="str">
        <f t="shared" si="1"/>
        <v>IMPMTHP11</v>
      </c>
      <c r="F64" s="1" t="str">
        <f>CONCATENATE("Imported ",VLOOKUP($A64,Types!$A$2:$C$13,3,FALSE),", PADD ",D64,", Step ",RIGHT(C64,1))</f>
        <v>Imported Methanol, PADD 1, Step 1</v>
      </c>
      <c r="G64" s="1" t="str">
        <f>CONCATENATE(VLOOKUP($A64,Types!$A$2:$C$13,2,FALSE),"P",D64)</f>
        <v>MTHP1</v>
      </c>
      <c r="H64" s="61">
        <f>H63*$C$5</f>
        <v>50.452600000000004</v>
      </c>
      <c r="I64" s="61">
        <f t="shared" ref="I64:K64" si="133">I63*$C$5</f>
        <v>49.909199999999998</v>
      </c>
      <c r="J64" s="61">
        <f t="shared" si="133"/>
        <v>45.371999999999993</v>
      </c>
      <c r="K64" s="61">
        <f t="shared" si="133"/>
        <v>45.371999999999993</v>
      </c>
      <c r="L64" s="62">
        <f>H64*Conv!$J$20/10^6/VLOOKUP($B64,Types!$B$2:$D$13,3,FALSE)/Conv!$I$5</f>
        <v>26.714336882983346</v>
      </c>
      <c r="M64" s="62">
        <f>I64*Conv!$J$20/10^6/VLOOKUP($B64,Types!$B$2:$D$13,3,FALSE)/Conv!$I$5</f>
        <v>26.426609973721717</v>
      </c>
      <c r="N64" s="62" t="e">
        <f>M64*#REF!</f>
        <v>#REF!</v>
      </c>
      <c r="O64" s="62" t="e">
        <f>N64*#REF!</f>
        <v>#REF!</v>
      </c>
      <c r="P64" s="62" t="e">
        <f>O64*#REF!</f>
        <v>#REF!</v>
      </c>
      <c r="Q64" s="62" t="e">
        <f>P64*#REF!</f>
        <v>#REF!</v>
      </c>
      <c r="R64" s="62" t="e">
        <f>Q64*#REF!</f>
        <v>#REF!</v>
      </c>
      <c r="S64" s="62" t="e">
        <f>R64*#REF!</f>
        <v>#REF!</v>
      </c>
      <c r="T64" s="62" t="e">
        <f>S64*#REF!</f>
        <v>#REF!</v>
      </c>
      <c r="U64" s="62" t="e">
        <f>T64*#REF!</f>
        <v>#REF!</v>
      </c>
      <c r="V64" s="62" t="e">
        <f>U64*#REF!</f>
        <v>#REF!</v>
      </c>
      <c r="W64" s="34"/>
      <c r="X64" s="1">
        <f>X63*$E$5</f>
        <v>799999.20000000007</v>
      </c>
      <c r="Y64" s="1">
        <f t="shared" ref="Y64:AA64" si="134">Y63*$E$5</f>
        <v>799999.20000000007</v>
      </c>
      <c r="Z64" s="1">
        <f t="shared" si="134"/>
        <v>799999.20000000007</v>
      </c>
      <c r="AA64" s="1">
        <f t="shared" si="134"/>
        <v>799999.20000000007</v>
      </c>
      <c r="AB64" s="34">
        <f>X64*VLOOKUP($B64,Types!$B$2:$D$13,3,FALSE)*Conv!$I$5*1000*365</f>
        <v>846223.27744947642</v>
      </c>
      <c r="AC64" s="34">
        <f>Y64*VLOOKUP($B64,Types!$B$2:$D$13,3,FALSE)*Conv!$I$5*1000*365</f>
        <v>846223.27744947642</v>
      </c>
      <c r="AD64" s="34">
        <f>Z64*VLOOKUP($B64,Types!$B$2:$D$13,3,FALSE)*Conv!$I$5*1000*365</f>
        <v>846223.27744947642</v>
      </c>
      <c r="AE64" s="34">
        <f>AA64*VLOOKUP($B64,Types!$B$2:$D$13,3,FALSE)*Conv!$I$5*1000*365</f>
        <v>846223.27744947642</v>
      </c>
      <c r="AF64" s="34">
        <f>AB64</f>
        <v>846223.27744947642</v>
      </c>
      <c r="AG64" s="34">
        <f t="shared" ref="AG64:AI64" si="135">AC64</f>
        <v>846223.27744947642</v>
      </c>
      <c r="AH64" s="34">
        <f t="shared" si="135"/>
        <v>846223.27744947642</v>
      </c>
      <c r="AI64" s="34">
        <f t="shared" si="135"/>
        <v>846223.27744947642</v>
      </c>
      <c r="AJ64" s="34"/>
      <c r="AK64" s="34"/>
      <c r="AL64" s="34"/>
    </row>
    <row r="65" spans="1:38">
      <c r="A65" s="1" t="str">
        <f>A64</f>
        <v>Methanol</v>
      </c>
      <c r="B65" s="1" t="str">
        <f>VLOOKUP($A65,Types!$A$2:$C$13,2,FALSE)</f>
        <v>MTH</v>
      </c>
      <c r="C65" s="1">
        <v>2</v>
      </c>
      <c r="D65" s="1">
        <v>1</v>
      </c>
      <c r="E65" s="1" t="str">
        <f t="shared" si="1"/>
        <v>IMPMTHP12</v>
      </c>
      <c r="F65" s="1" t="str">
        <f>CONCATENATE("Imported ",VLOOKUP($A65,Types!$A$2:$C$13,3,FALSE),", PADD ",D65,", Step ",RIGHT(C65,1))</f>
        <v>Imported Methanol, PADD 1, Step 2</v>
      </c>
      <c r="G65" s="1" t="str">
        <f>CONCATENATE(VLOOKUP($A65,Types!$A$2:$C$13,2,FALSE),"P",D65)</f>
        <v>MTHP1</v>
      </c>
      <c r="H65" s="61">
        <f>H63*$C$6</f>
        <v>52.045840000000005</v>
      </c>
      <c r="I65" s="61">
        <f t="shared" ref="I65:K65" si="136">I63*$C$6</f>
        <v>51.485280000000003</v>
      </c>
      <c r="J65" s="61">
        <f t="shared" si="136"/>
        <v>46.8048</v>
      </c>
      <c r="K65" s="61">
        <f t="shared" si="136"/>
        <v>46.8048</v>
      </c>
      <c r="L65" s="62">
        <f>H65*Conv!$J$20/10^6/VLOOKUP($B65,Types!$B$2:$D$13,3,FALSE)/Conv!$I$5</f>
        <v>27.557947521393341</v>
      </c>
      <c r="M65" s="62">
        <f>I65*Conv!$J$20/10^6/VLOOKUP($B65,Types!$B$2:$D$13,3,FALSE)/Conv!$I$5</f>
        <v>27.261134499207664</v>
      </c>
      <c r="N65" s="62" t="e">
        <f>M65*#REF!</f>
        <v>#REF!</v>
      </c>
      <c r="O65" s="62" t="e">
        <f>N65*#REF!</f>
        <v>#REF!</v>
      </c>
      <c r="P65" s="62" t="e">
        <f>O65*#REF!</f>
        <v>#REF!</v>
      </c>
      <c r="Q65" s="62" t="e">
        <f>P65*#REF!</f>
        <v>#REF!</v>
      </c>
      <c r="R65" s="62" t="e">
        <f>Q65*#REF!</f>
        <v>#REF!</v>
      </c>
      <c r="S65" s="62" t="e">
        <f>R65*#REF!</f>
        <v>#REF!</v>
      </c>
      <c r="T65" s="62" t="e">
        <f>S65*#REF!</f>
        <v>#REF!</v>
      </c>
      <c r="U65" s="62" t="e">
        <f>T65*#REF!</f>
        <v>#REF!</v>
      </c>
      <c r="V65" s="62" t="e">
        <f>U65*#REF!</f>
        <v>#REF!</v>
      </c>
      <c r="W65" s="34"/>
      <c r="X65" s="1">
        <f>X63*$E$6</f>
        <v>899999.1</v>
      </c>
      <c r="Y65" s="1">
        <f t="shared" ref="Y65:AA65" si="137">Y63*$E$6</f>
        <v>899999.1</v>
      </c>
      <c r="Z65" s="1">
        <f t="shared" si="137"/>
        <v>899999.1</v>
      </c>
      <c r="AA65" s="1">
        <f t="shared" si="137"/>
        <v>899999.1</v>
      </c>
      <c r="AB65" s="34">
        <f>X65*VLOOKUP($B65,Types!$B$2:$D$13,3,FALSE)*Conv!$I$5*1000*365</f>
        <v>952001.18713066075</v>
      </c>
      <c r="AC65" s="34">
        <f>Y65*VLOOKUP($B65,Types!$B$2:$D$13,3,FALSE)*Conv!$I$5*1000*365</f>
        <v>952001.18713066075</v>
      </c>
      <c r="AD65" s="34">
        <f>Z65*VLOOKUP($B65,Types!$B$2:$D$13,3,FALSE)*Conv!$I$5*1000*365</f>
        <v>952001.18713066075</v>
      </c>
      <c r="AE65" s="34">
        <f>AA65*VLOOKUP($B65,Types!$B$2:$D$13,3,FALSE)*Conv!$I$5*1000*365</f>
        <v>952001.18713066075</v>
      </c>
      <c r="AF65" s="34">
        <f>AB65-AF64</f>
        <v>105777.90968118433</v>
      </c>
      <c r="AG65" s="34">
        <f t="shared" ref="AG65:AI65" si="138">AC65-AG64</f>
        <v>105777.90968118433</v>
      </c>
      <c r="AH65" s="34">
        <f t="shared" si="138"/>
        <v>105777.90968118433</v>
      </c>
      <c r="AI65" s="34">
        <f t="shared" si="138"/>
        <v>105777.90968118433</v>
      </c>
      <c r="AJ65" s="34"/>
      <c r="AK65" s="34"/>
      <c r="AL65" s="34"/>
    </row>
    <row r="66" spans="1:38">
      <c r="A66" s="1" t="str">
        <f>A65</f>
        <v>Methanol</v>
      </c>
      <c r="B66" s="1" t="str">
        <f>VLOOKUP($A66,Types!$A$2:$C$13,2,FALSE)</f>
        <v>MTH</v>
      </c>
      <c r="C66" s="1">
        <v>4</v>
      </c>
      <c r="D66" s="1">
        <v>1</v>
      </c>
      <c r="E66" s="1" t="str">
        <f t="shared" si="1"/>
        <v>IMPMTHP14</v>
      </c>
      <c r="F66" s="1" t="str">
        <f>CONCATENATE("Imported ",VLOOKUP($A66,Types!$A$2:$C$13,3,FALSE),", PADD ",D66,", Step ",RIGHT(C66,1))</f>
        <v>Imported Methanol, PADD 1, Step 4</v>
      </c>
      <c r="G66" s="1" t="str">
        <f>CONCATENATE(VLOOKUP($A66,Types!$A$2:$C$13,2,FALSE),"P",D66)</f>
        <v>MTHP1</v>
      </c>
      <c r="H66" s="61">
        <f>H63*$C$8</f>
        <v>57.887720000000009</v>
      </c>
      <c r="I66" s="61">
        <f t="shared" ref="I66:K66" si="139">I63*$C$8</f>
        <v>57.264240000000008</v>
      </c>
      <c r="J66" s="61">
        <f t="shared" si="139"/>
        <v>52.058399999999999</v>
      </c>
      <c r="K66" s="61">
        <f t="shared" si="139"/>
        <v>52.058399999999999</v>
      </c>
      <c r="L66" s="62">
        <f>H66*Conv!$J$20/10^6/VLOOKUP($B66,Types!$B$2:$D$13,3,FALSE)/Conv!$I$5</f>
        <v>30.651186528896687</v>
      </c>
      <c r="M66" s="62">
        <f>I66*Conv!$J$20/10^6/VLOOKUP($B66,Types!$B$2:$D$13,3,FALSE)/Conv!$I$5</f>
        <v>30.321057759322819</v>
      </c>
      <c r="N66" s="62" t="e">
        <f>M66*#REF!</f>
        <v>#REF!</v>
      </c>
      <c r="O66" s="62" t="e">
        <f>N66*#REF!</f>
        <v>#REF!</v>
      </c>
      <c r="P66" s="62" t="e">
        <f>O66*#REF!</f>
        <v>#REF!</v>
      </c>
      <c r="Q66" s="62" t="e">
        <f>P66*#REF!</f>
        <v>#REF!</v>
      </c>
      <c r="R66" s="62" t="e">
        <f>Q66*#REF!</f>
        <v>#REF!</v>
      </c>
      <c r="S66" s="62" t="e">
        <f>R66*#REF!</f>
        <v>#REF!</v>
      </c>
      <c r="T66" s="62" t="e">
        <f>S66*#REF!</f>
        <v>#REF!</v>
      </c>
      <c r="U66" s="62" t="e">
        <f>T66*#REF!</f>
        <v>#REF!</v>
      </c>
      <c r="V66" s="62" t="e">
        <f>U66*#REF!</f>
        <v>#REF!</v>
      </c>
      <c r="W66" s="34"/>
      <c r="X66" s="1">
        <f>X63*$E$8</f>
        <v>1199998.8</v>
      </c>
      <c r="Y66" s="1">
        <f t="shared" ref="Y66:AA66" si="140">Y63*$E$8</f>
        <v>1199998.8</v>
      </c>
      <c r="Z66" s="1">
        <f t="shared" si="140"/>
        <v>1199998.8</v>
      </c>
      <c r="AA66" s="1">
        <f t="shared" si="140"/>
        <v>1199998.8</v>
      </c>
      <c r="AB66" s="34">
        <f>X66*VLOOKUP($B66,Types!$B$2:$D$13,3,FALSE)*Conv!$I$5*1000*365</f>
        <v>1269334.9161742146</v>
      </c>
      <c r="AC66" s="34">
        <f>Y66*VLOOKUP($B66,Types!$B$2:$D$13,3,FALSE)*Conv!$I$5*1000*365</f>
        <v>1269334.9161742146</v>
      </c>
      <c r="AD66" s="34">
        <f>Z66*VLOOKUP($B66,Types!$B$2:$D$13,3,FALSE)*Conv!$I$5*1000*365</f>
        <v>1269334.9161742146</v>
      </c>
      <c r="AE66" s="34">
        <f>AA66*VLOOKUP($B66,Types!$B$2:$D$13,3,FALSE)*Conv!$I$5*1000*365</f>
        <v>1269334.9161742146</v>
      </c>
      <c r="AF66" s="34">
        <f>AB66-AB63</f>
        <v>211555.81936236937</v>
      </c>
      <c r="AG66" s="34">
        <f t="shared" ref="AG66:AI66" si="141">AC66-AC63</f>
        <v>211555.81936236937</v>
      </c>
      <c r="AH66" s="34">
        <f t="shared" si="141"/>
        <v>211555.81936236937</v>
      </c>
      <c r="AI66" s="34">
        <f t="shared" si="141"/>
        <v>211555.81936236937</v>
      </c>
      <c r="AJ66" s="34"/>
      <c r="AK66" s="34"/>
      <c r="AL66" s="34"/>
    </row>
    <row r="67" spans="1:38">
      <c r="A67" s="1" t="str">
        <f>A66</f>
        <v>Methanol</v>
      </c>
      <c r="B67" s="1" t="str">
        <f>VLOOKUP($A67,Types!$A$2:$C$13,2,FALSE)</f>
        <v>MTH</v>
      </c>
      <c r="C67" s="1">
        <v>5</v>
      </c>
      <c r="D67" s="1">
        <v>1</v>
      </c>
      <c r="E67" s="1" t="str">
        <f t="shared" si="1"/>
        <v>IMPMTHP15</v>
      </c>
      <c r="F67" s="1" t="str">
        <f>CONCATENATE("Imported ",VLOOKUP($A67,Types!$A$2:$C$13,3,FALSE),", PADD ",D67,", Step ",RIGHT(C67,1))</f>
        <v>Imported Methanol, PADD 1, Step 5</v>
      </c>
      <c r="G67" s="1" t="str">
        <f>CONCATENATE(VLOOKUP($A67,Types!$A$2:$C$13,2,FALSE),"P",D67)</f>
        <v>MTHP1</v>
      </c>
      <c r="H67" s="61">
        <f>H63*$C$9</f>
        <v>69.040400000000005</v>
      </c>
      <c r="I67" s="61">
        <f t="shared" ref="I67:K67" si="142">I63*$C$9</f>
        <v>68.296800000000005</v>
      </c>
      <c r="J67" s="61">
        <f t="shared" si="142"/>
        <v>62.088000000000001</v>
      </c>
      <c r="K67" s="61">
        <f t="shared" si="142"/>
        <v>62.088000000000001</v>
      </c>
      <c r="L67" s="62">
        <f>H67*Conv!$J$20/10^6/VLOOKUP($B67,Types!$B$2:$D$13,3,FALSE)/Conv!$I$5</f>
        <v>36.556460997766685</v>
      </c>
      <c r="M67" s="62">
        <f>I67*Conv!$J$20/10^6/VLOOKUP($B67,Types!$B$2:$D$13,3,FALSE)/Conv!$I$5</f>
        <v>36.162729437724451</v>
      </c>
      <c r="N67" s="62" t="e">
        <f>M67*#REF!</f>
        <v>#REF!</v>
      </c>
      <c r="O67" s="62" t="e">
        <f>N67*#REF!</f>
        <v>#REF!</v>
      </c>
      <c r="P67" s="62" t="e">
        <f>O67*#REF!</f>
        <v>#REF!</v>
      </c>
      <c r="Q67" s="62" t="e">
        <f>P67*#REF!</f>
        <v>#REF!</v>
      </c>
      <c r="R67" s="62" t="e">
        <f>Q67*#REF!</f>
        <v>#REF!</v>
      </c>
      <c r="S67" s="62" t="e">
        <f>R67*#REF!</f>
        <v>#REF!</v>
      </c>
      <c r="T67" s="62" t="e">
        <f>S67*#REF!</f>
        <v>#REF!</v>
      </c>
      <c r="U67" s="62" t="e">
        <f>T67*#REF!</f>
        <v>#REF!</v>
      </c>
      <c r="V67" s="62" t="e">
        <f>U67*#REF!</f>
        <v>#REF!</v>
      </c>
      <c r="W67" s="34"/>
      <c r="X67" s="1">
        <f>X63*$E$9</f>
        <v>1999998</v>
      </c>
      <c r="Y67" s="1">
        <f t="shared" ref="Y67:AA67" si="143">Y63*$E$9</f>
        <v>1999998</v>
      </c>
      <c r="Z67" s="1">
        <f t="shared" si="143"/>
        <v>1999998</v>
      </c>
      <c r="AA67" s="1">
        <f t="shared" si="143"/>
        <v>1999998</v>
      </c>
      <c r="AB67" s="34">
        <f>X67*VLOOKUP($B67,Types!$B$2:$D$13,3,FALSE)*Conv!$I$5*1000*365</f>
        <v>2115558.1936236904</v>
      </c>
      <c r="AC67" s="34">
        <f>Y67*VLOOKUP($B67,Types!$B$2:$D$13,3,FALSE)*Conv!$I$5*1000*365</f>
        <v>2115558.1936236904</v>
      </c>
      <c r="AD67" s="34">
        <f>Z67*VLOOKUP($B67,Types!$B$2:$D$13,3,FALSE)*Conv!$I$5*1000*365</f>
        <v>2115558.1936236904</v>
      </c>
      <c r="AE67" s="34">
        <f>AA67*VLOOKUP($B67,Types!$B$2:$D$13,3,FALSE)*Conv!$I$5*1000*365</f>
        <v>2115558.1936236904</v>
      </c>
      <c r="AF67" s="34">
        <f>AB67-AB66</f>
        <v>846223.27744947583</v>
      </c>
      <c r="AG67" s="34">
        <f t="shared" ref="AG67:AI67" si="144">AC67-AC66</f>
        <v>846223.27744947583</v>
      </c>
      <c r="AH67" s="34">
        <f t="shared" si="144"/>
        <v>846223.27744947583</v>
      </c>
      <c r="AI67" s="34">
        <f t="shared" si="144"/>
        <v>846223.27744947583</v>
      </c>
      <c r="AJ67" s="34"/>
      <c r="AK67" s="34"/>
      <c r="AL67" s="34"/>
    </row>
    <row r="68" spans="1:38">
      <c r="A68" s="1" t="str">
        <f>'Agg prdcrv'!$A$19</f>
        <v>ULS Diesel (15 ppm)</v>
      </c>
      <c r="B68" s="1" t="str">
        <f>VLOOKUP($A68,Types!$A$2:$C$13,2,FALSE)</f>
        <v>DSU</v>
      </c>
      <c r="C68" s="1">
        <v>3</v>
      </c>
      <c r="D68" s="1">
        <v>1</v>
      </c>
      <c r="E68" s="1" t="str">
        <f t="shared" si="1"/>
        <v>IMPDSUP13</v>
      </c>
      <c r="F68" s="1" t="str">
        <f>CONCATENATE("Imported ",VLOOKUP($A68,Types!$A$2:$C$13,3,FALSE),", PADD ",D68,", Step ",RIGHT(C68,1))</f>
        <v>Imported Distillate-Ultralow Sulfur Highway Diesel (15 ppm), PADD 1, Step 3</v>
      </c>
      <c r="G68" s="1" t="str">
        <f>CONCATENATE(VLOOKUP($A68,Types!$A$2:$C$13,2,FALSE),"P",D68)</f>
        <v>DSUP1</v>
      </c>
      <c r="H68" s="61">
        <f>SUMIFS('Agg prdcrv NYC'!$L$6:$L$100,'Agg prdcrv NYC'!$A$6:$A$100,'Imp Refined NYC'!$A68,'Agg prdcrv NYC'!$B$6:$B$100,H$11)*K4</f>
        <v>63.283000000000008</v>
      </c>
      <c r="I68" s="61">
        <f>SUMIFS('Agg prdcrv NYC'!$L$6:$L$100,'Agg prdcrv NYC'!$A$6:$A$100,'Imp Refined NYC'!$A68,'Agg prdcrv NYC'!$B$6:$B$100,I$11)*K4</f>
        <v>54.318000000000005</v>
      </c>
      <c r="J68" s="61">
        <f t="array" ref="J68">SUMIFS('Agg prdcrv NYC'!$L$6:$L$100,'Agg prdcrv NYC'!$A$6:$A$100,'Imp Refined NYC'!$A68,'Agg prdcrv NYC'!$B$6:$B$100,J$11)</f>
        <v>41.43</v>
      </c>
      <c r="K68" s="61">
        <f t="array" ref="K68">SUMIFS('Agg prdcrv NYC'!$L$6:$L$100,'Agg prdcrv NYC'!$A$6:$A$100,'Imp Refined NYC'!$A68,'Agg prdcrv NYC'!$B$6:$B$100,K$11)</f>
        <v>44.81</v>
      </c>
      <c r="L68" s="62">
        <f>H68*Conv!$J$20/10^6/VLOOKUP($B68,Types!$B$2:$D$13,3,FALSE)/Conv!$I$5</f>
        <v>15.80079777029813</v>
      </c>
      <c r="M68" s="62">
        <f>I68*Conv!$J$20/10^6/VLOOKUP($B68,Types!$B$2:$D$13,3,FALSE)/Conv!$I$5</f>
        <v>13.562374307271364</v>
      </c>
      <c r="N68" s="62" t="e">
        <f>M68*#REF!</f>
        <v>#REF!</v>
      </c>
      <c r="O68" s="62" t="e">
        <f>N68*#REF!</f>
        <v>#REF!</v>
      </c>
      <c r="P68" s="62" t="e">
        <f>O68*#REF!</f>
        <v>#REF!</v>
      </c>
      <c r="Q68" s="62" t="e">
        <f>P68*#REF!</f>
        <v>#REF!</v>
      </c>
      <c r="R68" s="62" t="e">
        <f>Q68*#REF!</f>
        <v>#REF!</v>
      </c>
      <c r="S68" s="62" t="e">
        <f>R68*#REF!</f>
        <v>#REF!</v>
      </c>
      <c r="T68" s="62" t="e">
        <f>S68*#REF!</f>
        <v>#REF!</v>
      </c>
      <c r="U68" s="62" t="e">
        <f>T68*#REF!</f>
        <v>#REF!</v>
      </c>
      <c r="V68" s="62" t="e">
        <f>U68*#REF!</f>
        <v>#REF!</v>
      </c>
      <c r="W68" s="34"/>
      <c r="X68" s="1">
        <f t="array" ref="X68">SUMIFS('Agg prdcrv NYC'!$D$6:$D$100,'Agg prdcrv NYC'!$A$6:$A$100,'Imp Refined NYC'!$A68,'Agg prdcrv NYC'!$B$6:$B$100,X$11)</f>
        <v>999999</v>
      </c>
      <c r="Y68" s="1">
        <f t="array" ref="Y68">SUMIFS('Agg prdcrv NYC'!$D$6:$D$100,'Agg prdcrv NYC'!$A$6:$A$100,'Imp Refined NYC'!$A68,'Agg prdcrv NYC'!$B$6:$B$100,Y$11)</f>
        <v>999999</v>
      </c>
      <c r="Z68" s="1">
        <f t="array" ref="Z68">SUMIFS('Agg prdcrv NYC'!$D$6:$D$100,'Agg prdcrv NYC'!$A$6:$A$100,'Imp Refined NYC'!$A68,'Agg prdcrv NYC'!$B$6:$B$100,Z$11)</f>
        <v>999999</v>
      </c>
      <c r="AA68" s="1">
        <f t="array" ref="AA68">SUMIFS('Agg prdcrv NYC'!$D$6:$D$100,'Agg prdcrv NYC'!$A$6:$A$100,'Imp Refined NYC'!$A68,'Agg prdcrv NYC'!$B$6:$B$100,AA$11)</f>
        <v>999999</v>
      </c>
      <c r="AB68" s="34">
        <f>X68*VLOOKUP($B68,Types!$B$2:$D$13,3,FALSE)*Conv!$I$5*1000*365</f>
        <v>2243178.6948190616</v>
      </c>
      <c r="AC68" s="34">
        <f>Y68*VLOOKUP($B68,Types!$B$2:$D$13,3,FALSE)*Conv!$I$5*1000*365</f>
        <v>2243178.6948190616</v>
      </c>
      <c r="AD68" s="34">
        <f>Z68*VLOOKUP($B68,Types!$B$2:$D$13,3,FALSE)*Conv!$I$5*1000*365</f>
        <v>2243178.6948190616</v>
      </c>
      <c r="AE68" s="34">
        <f>AA68*VLOOKUP($B68,Types!$B$2:$D$13,3,FALSE)*Conv!$I$5*1000*365</f>
        <v>2243178.6948190616</v>
      </c>
      <c r="AF68" s="34">
        <f>AB68-AB70</f>
        <v>224317.86948190606</v>
      </c>
      <c r="AG68" s="34">
        <f t="shared" ref="AG68:AI68" si="145">AC68-AC70</f>
        <v>224317.86948190606</v>
      </c>
      <c r="AH68" s="34">
        <f t="shared" si="145"/>
        <v>224317.86948190606</v>
      </c>
      <c r="AI68" s="34">
        <f t="shared" si="145"/>
        <v>224317.86948190606</v>
      </c>
      <c r="AJ68" s="34"/>
      <c r="AK68" s="34"/>
      <c r="AL68" s="34"/>
    </row>
    <row r="69" spans="1:38">
      <c r="A69" s="1" t="str">
        <f>A68</f>
        <v>ULS Diesel (15 ppm)</v>
      </c>
      <c r="B69" s="1" t="str">
        <f>VLOOKUP($A69,Types!$A$2:$C$13,2,FALSE)</f>
        <v>DSU</v>
      </c>
      <c r="C69" s="1">
        <v>1</v>
      </c>
      <c r="D69" s="1">
        <v>1</v>
      </c>
      <c r="E69" s="1" t="str">
        <f t="shared" si="1"/>
        <v>IMPDSUP11</v>
      </c>
      <c r="F69" s="1" t="str">
        <f>CONCATENATE("Imported ",VLOOKUP($A69,Types!$A$2:$C$13,3,FALSE),", PADD ",D69,", Step ",RIGHT(C69,1))</f>
        <v>Imported Distillate-Ultralow Sulfur Highway Diesel (15 ppm), PADD 1, Step 1</v>
      </c>
      <c r="G69" s="1" t="str">
        <f>CONCATENATE(VLOOKUP($A69,Types!$A$2:$C$13,2,FALSE),"P",D69)</f>
        <v>DSUP1</v>
      </c>
      <c r="H69" s="61">
        <f>H68*$C$5</f>
        <v>60.118850000000002</v>
      </c>
      <c r="I69" s="61">
        <f t="shared" ref="I69:K69" si="146">I68*$C$5</f>
        <v>51.6021</v>
      </c>
      <c r="J69" s="61">
        <f t="shared" si="146"/>
        <v>39.358499999999999</v>
      </c>
      <c r="K69" s="61">
        <f t="shared" si="146"/>
        <v>42.569499999999998</v>
      </c>
      <c r="L69" s="62">
        <f>H69*Conv!$J$20/10^6/VLOOKUP($B69,Types!$B$2:$D$13,3,FALSE)/Conv!$I$5</f>
        <v>15.010757881783222</v>
      </c>
      <c r="M69" s="62">
        <f>I69*Conv!$J$20/10^6/VLOOKUP($B69,Types!$B$2:$D$13,3,FALSE)/Conv!$I$5</f>
        <v>12.884255591907797</v>
      </c>
      <c r="N69" s="62" t="e">
        <f>M69*#REF!</f>
        <v>#REF!</v>
      </c>
      <c r="O69" s="62" t="e">
        <f>N69*#REF!</f>
        <v>#REF!</v>
      </c>
      <c r="P69" s="62" t="e">
        <f>O69*#REF!</f>
        <v>#REF!</v>
      </c>
      <c r="Q69" s="62" t="e">
        <f>P69*#REF!</f>
        <v>#REF!</v>
      </c>
      <c r="R69" s="62" t="e">
        <f>Q69*#REF!</f>
        <v>#REF!</v>
      </c>
      <c r="S69" s="62" t="e">
        <f>R69*#REF!</f>
        <v>#REF!</v>
      </c>
      <c r="T69" s="62" t="e">
        <f>S69*#REF!</f>
        <v>#REF!</v>
      </c>
      <c r="U69" s="62" t="e">
        <f>T69*#REF!</f>
        <v>#REF!</v>
      </c>
      <c r="V69" s="62" t="e">
        <f>U69*#REF!</f>
        <v>#REF!</v>
      </c>
      <c r="W69" s="34"/>
      <c r="X69" s="1">
        <f>X68*$E$5</f>
        <v>799999.20000000007</v>
      </c>
      <c r="Y69" s="1">
        <f t="shared" ref="Y69:AA69" si="147">Y68*$E$5</f>
        <v>799999.20000000007</v>
      </c>
      <c r="Z69" s="1">
        <f t="shared" si="147"/>
        <v>799999.20000000007</v>
      </c>
      <c r="AA69" s="1">
        <f t="shared" si="147"/>
        <v>799999.20000000007</v>
      </c>
      <c r="AB69" s="34">
        <f>X69*VLOOKUP($B69,Types!$B$2:$D$13,3,FALSE)*Conv!$I$5*1000*365</f>
        <v>1794542.9558552499</v>
      </c>
      <c r="AC69" s="34">
        <f>Y69*VLOOKUP($B69,Types!$B$2:$D$13,3,FALSE)*Conv!$I$5*1000*365</f>
        <v>1794542.9558552499</v>
      </c>
      <c r="AD69" s="34">
        <f>Z69*VLOOKUP($B69,Types!$B$2:$D$13,3,FALSE)*Conv!$I$5*1000*365</f>
        <v>1794542.9558552499</v>
      </c>
      <c r="AE69" s="34">
        <f>AA69*VLOOKUP($B69,Types!$B$2:$D$13,3,FALSE)*Conv!$I$5*1000*365</f>
        <v>1794542.9558552499</v>
      </c>
      <c r="AF69" s="34">
        <f>AB69</f>
        <v>1794542.9558552499</v>
      </c>
      <c r="AG69" s="34">
        <f t="shared" ref="AG69:AI69" si="148">AC69</f>
        <v>1794542.9558552499</v>
      </c>
      <c r="AH69" s="34">
        <f t="shared" si="148"/>
        <v>1794542.9558552499</v>
      </c>
      <c r="AI69" s="34">
        <f t="shared" si="148"/>
        <v>1794542.9558552499</v>
      </c>
      <c r="AJ69" s="34"/>
      <c r="AK69" s="34"/>
      <c r="AL69" s="34"/>
    </row>
    <row r="70" spans="1:38">
      <c r="A70" s="1" t="str">
        <f>A69</f>
        <v>ULS Diesel (15 ppm)</v>
      </c>
      <c r="B70" s="1" t="str">
        <f>VLOOKUP($A70,Types!$A$2:$C$13,2,FALSE)</f>
        <v>DSU</v>
      </c>
      <c r="C70" s="1">
        <v>2</v>
      </c>
      <c r="D70" s="1">
        <v>1</v>
      </c>
      <c r="E70" s="1" t="str">
        <f t="shared" si="1"/>
        <v>IMPDSUP12</v>
      </c>
      <c r="F70" s="1" t="str">
        <f>CONCATENATE("Imported ",VLOOKUP($A70,Types!$A$2:$C$13,3,FALSE),", PADD ",D70,", Step ",RIGHT(C70,1))</f>
        <v>Imported Distillate-Ultralow Sulfur Highway Diesel (15 ppm), PADD 1, Step 2</v>
      </c>
      <c r="G70" s="1" t="str">
        <f>CONCATENATE(VLOOKUP($A70,Types!$A$2:$C$13,2,FALSE),"P",D70)</f>
        <v>DSUP1</v>
      </c>
      <c r="H70" s="61">
        <f>H68*$C$6</f>
        <v>62.017340000000004</v>
      </c>
      <c r="I70" s="61">
        <f t="shared" ref="I70:K70" si="149">I68*$C$6</f>
        <v>53.231640000000006</v>
      </c>
      <c r="J70" s="61">
        <f t="shared" si="149"/>
        <v>40.601399999999998</v>
      </c>
      <c r="K70" s="61">
        <f t="shared" si="149"/>
        <v>43.913800000000002</v>
      </c>
      <c r="L70" s="62">
        <f>H70*Conv!$J$20/10^6/VLOOKUP($B70,Types!$B$2:$D$13,3,FALSE)/Conv!$I$5</f>
        <v>15.484781814892168</v>
      </c>
      <c r="M70" s="62">
        <f>I70*Conv!$J$20/10^6/VLOOKUP($B70,Types!$B$2:$D$13,3,FALSE)/Conv!$I$5</f>
        <v>13.291126821125939</v>
      </c>
      <c r="N70" s="62" t="e">
        <f>M70*#REF!</f>
        <v>#REF!</v>
      </c>
      <c r="O70" s="62" t="e">
        <f>N70*#REF!</f>
        <v>#REF!</v>
      </c>
      <c r="P70" s="62" t="e">
        <f>O70*#REF!</f>
        <v>#REF!</v>
      </c>
      <c r="Q70" s="62" t="e">
        <f>P70*#REF!</f>
        <v>#REF!</v>
      </c>
      <c r="R70" s="62" t="e">
        <f>Q70*#REF!</f>
        <v>#REF!</v>
      </c>
      <c r="S70" s="62" t="e">
        <f>R70*#REF!</f>
        <v>#REF!</v>
      </c>
      <c r="T70" s="62" t="e">
        <f>S70*#REF!</f>
        <v>#REF!</v>
      </c>
      <c r="U70" s="62" t="e">
        <f>T70*#REF!</f>
        <v>#REF!</v>
      </c>
      <c r="V70" s="62" t="e">
        <f>U70*#REF!</f>
        <v>#REF!</v>
      </c>
      <c r="W70" s="34"/>
      <c r="X70" s="1">
        <f>X68*$E$6</f>
        <v>899999.1</v>
      </c>
      <c r="Y70" s="1">
        <f t="shared" ref="Y70:AA70" si="150">Y68*$E$6</f>
        <v>899999.1</v>
      </c>
      <c r="Z70" s="1">
        <f t="shared" si="150"/>
        <v>899999.1</v>
      </c>
      <c r="AA70" s="1">
        <f t="shared" si="150"/>
        <v>899999.1</v>
      </c>
      <c r="AB70" s="34">
        <f>X70*VLOOKUP($B70,Types!$B$2:$D$13,3,FALSE)*Conv!$I$5*1000*365</f>
        <v>2018860.8253371555</v>
      </c>
      <c r="AC70" s="34">
        <f>Y70*VLOOKUP($B70,Types!$B$2:$D$13,3,FALSE)*Conv!$I$5*1000*365</f>
        <v>2018860.8253371555</v>
      </c>
      <c r="AD70" s="34">
        <f>Z70*VLOOKUP($B70,Types!$B$2:$D$13,3,FALSE)*Conv!$I$5*1000*365</f>
        <v>2018860.8253371555</v>
      </c>
      <c r="AE70" s="34">
        <f>AA70*VLOOKUP($B70,Types!$B$2:$D$13,3,FALSE)*Conv!$I$5*1000*365</f>
        <v>2018860.8253371555</v>
      </c>
      <c r="AF70" s="34">
        <f>AB70-AF69</f>
        <v>224317.8694819056</v>
      </c>
      <c r="AG70" s="34">
        <f t="shared" ref="AG70:AI70" si="151">AC70-AG69</f>
        <v>224317.8694819056</v>
      </c>
      <c r="AH70" s="34">
        <f t="shared" si="151"/>
        <v>224317.8694819056</v>
      </c>
      <c r="AI70" s="34">
        <f t="shared" si="151"/>
        <v>224317.8694819056</v>
      </c>
      <c r="AJ70" s="34"/>
      <c r="AK70" s="34"/>
      <c r="AL70" s="34"/>
    </row>
    <row r="71" spans="1:38">
      <c r="A71" s="1" t="str">
        <f>A70</f>
        <v>ULS Diesel (15 ppm)</v>
      </c>
      <c r="B71" s="1" t="str">
        <f>VLOOKUP($A71,Types!$A$2:$C$13,2,FALSE)</f>
        <v>DSU</v>
      </c>
      <c r="C71" s="1">
        <v>4</v>
      </c>
      <c r="D71" s="1">
        <v>1</v>
      </c>
      <c r="E71" s="1" t="str">
        <f t="shared" si="1"/>
        <v>IMPDSUP14</v>
      </c>
      <c r="F71" s="1" t="str">
        <f>CONCATENATE("Imported ",VLOOKUP($A71,Types!$A$2:$C$13,3,FALSE),", PADD ",D71,", Step ",RIGHT(C71,1))</f>
        <v>Imported Distillate-Ultralow Sulfur Highway Diesel (15 ppm), PADD 1, Step 4</v>
      </c>
      <c r="G71" s="1" t="str">
        <f>CONCATENATE(VLOOKUP($A71,Types!$A$2:$C$13,2,FALSE),"P",D71)</f>
        <v>DSUP1</v>
      </c>
      <c r="H71" s="61">
        <f>H68*$C$8</f>
        <v>68.978470000000016</v>
      </c>
      <c r="I71" s="61">
        <f t="shared" ref="I71:K71" si="152">I68*$C$8</f>
        <v>59.206620000000008</v>
      </c>
      <c r="J71" s="61">
        <f t="shared" si="152"/>
        <v>45.158700000000003</v>
      </c>
      <c r="K71" s="61">
        <f t="shared" si="152"/>
        <v>48.842900000000007</v>
      </c>
      <c r="L71" s="62">
        <f>H71*Conv!$J$20/10^6/VLOOKUP($B71,Types!$B$2:$D$13,3,FALSE)/Conv!$I$5</f>
        <v>17.222869569624965</v>
      </c>
      <c r="M71" s="62">
        <f>I71*Conv!$J$20/10^6/VLOOKUP($B71,Types!$B$2:$D$13,3,FALSE)/Conv!$I$5</f>
        <v>14.782987994925788</v>
      </c>
      <c r="N71" s="62" t="e">
        <f>M71*#REF!</f>
        <v>#REF!</v>
      </c>
      <c r="O71" s="62" t="e">
        <f>N71*#REF!</f>
        <v>#REF!</v>
      </c>
      <c r="P71" s="62" t="e">
        <f>O71*#REF!</f>
        <v>#REF!</v>
      </c>
      <c r="Q71" s="62" t="e">
        <f>P71*#REF!</f>
        <v>#REF!</v>
      </c>
      <c r="R71" s="62" t="e">
        <f>Q71*#REF!</f>
        <v>#REF!</v>
      </c>
      <c r="S71" s="62" t="e">
        <f>R71*#REF!</f>
        <v>#REF!</v>
      </c>
      <c r="T71" s="62" t="e">
        <f>S71*#REF!</f>
        <v>#REF!</v>
      </c>
      <c r="U71" s="62" t="e">
        <f>T71*#REF!</f>
        <v>#REF!</v>
      </c>
      <c r="V71" s="62" t="e">
        <f>U71*#REF!</f>
        <v>#REF!</v>
      </c>
      <c r="W71" s="34"/>
      <c r="X71" s="1">
        <f>X68*$E$8</f>
        <v>1199998.8</v>
      </c>
      <c r="Y71" s="1">
        <f t="shared" ref="Y71:AA71" si="153">Y68*$E$8</f>
        <v>1199998.8</v>
      </c>
      <c r="Z71" s="1">
        <f t="shared" si="153"/>
        <v>1199998.8</v>
      </c>
      <c r="AA71" s="1">
        <f t="shared" si="153"/>
        <v>1199998.8</v>
      </c>
      <c r="AB71" s="34">
        <f>X71*VLOOKUP($B71,Types!$B$2:$D$13,3,FALSE)*Conv!$I$5*1000*365</f>
        <v>2691814.4337828746</v>
      </c>
      <c r="AC71" s="34">
        <f>Y71*VLOOKUP($B71,Types!$B$2:$D$13,3,FALSE)*Conv!$I$5*1000*365</f>
        <v>2691814.4337828746</v>
      </c>
      <c r="AD71" s="34">
        <f>Z71*VLOOKUP($B71,Types!$B$2:$D$13,3,FALSE)*Conv!$I$5*1000*365</f>
        <v>2691814.4337828746</v>
      </c>
      <c r="AE71" s="34">
        <f>AA71*VLOOKUP($B71,Types!$B$2:$D$13,3,FALSE)*Conv!$I$5*1000*365</f>
        <v>2691814.4337828746</v>
      </c>
      <c r="AF71" s="34">
        <f>AB71-AB68</f>
        <v>448635.73896381306</v>
      </c>
      <c r="AG71" s="34">
        <f t="shared" ref="AG71:AI71" si="154">AC71-AC68</f>
        <v>448635.73896381306</v>
      </c>
      <c r="AH71" s="34">
        <f t="shared" si="154"/>
        <v>448635.73896381306</v>
      </c>
      <c r="AI71" s="34">
        <f t="shared" si="154"/>
        <v>448635.73896381306</v>
      </c>
      <c r="AJ71" s="34"/>
      <c r="AK71" s="34"/>
      <c r="AL71" s="34"/>
    </row>
    <row r="72" spans="1:38">
      <c r="A72" s="1" t="str">
        <f>A71</f>
        <v>ULS Diesel (15 ppm)</v>
      </c>
      <c r="B72" s="1" t="str">
        <f>VLOOKUP($A72,Types!$A$2:$C$13,2,FALSE)</f>
        <v>DSU</v>
      </c>
      <c r="C72" s="1">
        <v>5</v>
      </c>
      <c r="D72" s="1">
        <v>1</v>
      </c>
      <c r="E72" s="1" t="str">
        <f t="shared" si="1"/>
        <v>IMPDSUP15</v>
      </c>
      <c r="F72" s="1" t="str">
        <f>CONCATENATE("Imported ",VLOOKUP($A72,Types!$A$2:$C$13,3,FALSE),", PADD ",D72,", Step ",RIGHT(C72,1))</f>
        <v>Imported Distillate-Ultralow Sulfur Highway Diesel (15 ppm), PADD 1, Step 5</v>
      </c>
      <c r="G72" s="1" t="str">
        <f>CONCATENATE(VLOOKUP($A72,Types!$A$2:$C$13,2,FALSE),"P",D72)</f>
        <v>DSUP1</v>
      </c>
      <c r="H72" s="61">
        <f>H68*$C$9</f>
        <v>82.267900000000012</v>
      </c>
      <c r="I72" s="61">
        <f t="shared" ref="I72:K72" si="155">I68*$C$9</f>
        <v>70.613400000000013</v>
      </c>
      <c r="J72" s="61">
        <f t="shared" si="155"/>
        <v>53.859000000000002</v>
      </c>
      <c r="K72" s="61">
        <f t="shared" si="155"/>
        <v>58.253000000000007</v>
      </c>
      <c r="L72" s="62">
        <f>H72*Conv!$J$20/10^6/VLOOKUP($B72,Types!$B$2:$D$13,3,FALSE)/Conv!$I$5</f>
        <v>20.54103710138757</v>
      </c>
      <c r="M72" s="62">
        <f>I72*Conv!$J$20/10^6/VLOOKUP($B72,Types!$B$2:$D$13,3,FALSE)/Conv!$I$5</f>
        <v>17.631086599452779</v>
      </c>
      <c r="N72" s="62" t="e">
        <f>M72*#REF!</f>
        <v>#REF!</v>
      </c>
      <c r="O72" s="62" t="e">
        <f>N72*#REF!</f>
        <v>#REF!</v>
      </c>
      <c r="P72" s="62" t="e">
        <f>O72*#REF!</f>
        <v>#REF!</v>
      </c>
      <c r="Q72" s="62" t="e">
        <f>P72*#REF!</f>
        <v>#REF!</v>
      </c>
      <c r="R72" s="62" t="e">
        <f>Q72*#REF!</f>
        <v>#REF!</v>
      </c>
      <c r="S72" s="62" t="e">
        <f>R72*#REF!</f>
        <v>#REF!</v>
      </c>
      <c r="T72" s="62" t="e">
        <f>S72*#REF!</f>
        <v>#REF!</v>
      </c>
      <c r="U72" s="62" t="e">
        <f>T72*#REF!</f>
        <v>#REF!</v>
      </c>
      <c r="V72" s="62" t="e">
        <f>U72*#REF!</f>
        <v>#REF!</v>
      </c>
      <c r="W72" s="34"/>
      <c r="X72" s="1">
        <f>X68*$E$9</f>
        <v>1999998</v>
      </c>
      <c r="Y72" s="1">
        <f t="shared" ref="Y72:AA72" si="156">Y68*$E$9</f>
        <v>1999998</v>
      </c>
      <c r="Z72" s="1">
        <f t="shared" si="156"/>
        <v>1999998</v>
      </c>
      <c r="AA72" s="1">
        <f t="shared" si="156"/>
        <v>1999998</v>
      </c>
      <c r="AB72" s="34">
        <f>X72*VLOOKUP($B72,Types!$B$2:$D$13,3,FALSE)*Conv!$I$5*1000*365</f>
        <v>4486357.3896381231</v>
      </c>
      <c r="AC72" s="34">
        <f>Y72*VLOOKUP($B72,Types!$B$2:$D$13,3,FALSE)*Conv!$I$5*1000*365</f>
        <v>4486357.3896381231</v>
      </c>
      <c r="AD72" s="34">
        <f>Z72*VLOOKUP($B72,Types!$B$2:$D$13,3,FALSE)*Conv!$I$5*1000*365</f>
        <v>4486357.3896381231</v>
      </c>
      <c r="AE72" s="34">
        <f>AA72*VLOOKUP($B72,Types!$B$2:$D$13,3,FALSE)*Conv!$I$5*1000*365</f>
        <v>4486357.3896381231</v>
      </c>
      <c r="AF72" s="34">
        <f>AB72-AB71</f>
        <v>1794542.9558552485</v>
      </c>
      <c r="AG72" s="34">
        <f t="shared" ref="AG72:AI72" si="157">AC72-AC71</f>
        <v>1794542.9558552485</v>
      </c>
      <c r="AH72" s="34">
        <f t="shared" si="157"/>
        <v>1794542.9558552485</v>
      </c>
      <c r="AI72" s="34">
        <f t="shared" si="157"/>
        <v>1794542.9558552485</v>
      </c>
      <c r="AJ72" s="34"/>
      <c r="AK72" s="34"/>
      <c r="AL72" s="34"/>
    </row>
    <row r="73" spans="1:38">
      <c r="A73" s="1" t="s">
        <v>398</v>
      </c>
      <c r="H73" s="61"/>
      <c r="I73" s="61"/>
      <c r="J73" s="61"/>
      <c r="K73" s="61"/>
      <c r="L73" s="62"/>
      <c r="M73" s="62"/>
      <c r="N73" s="62"/>
      <c r="O73" s="62"/>
      <c r="P73" s="62"/>
      <c r="Q73" s="62"/>
      <c r="R73" s="62"/>
      <c r="S73" s="62"/>
      <c r="T73" s="62"/>
      <c r="U73" s="62"/>
      <c r="V73" s="62"/>
      <c r="W73" s="34"/>
      <c r="AB73" s="34"/>
      <c r="AC73" s="34"/>
      <c r="AD73" s="34"/>
      <c r="AE73" s="34"/>
      <c r="AF73" s="34"/>
      <c r="AG73" s="34"/>
      <c r="AH73" s="34"/>
      <c r="AI73" s="34"/>
      <c r="AJ73" s="34"/>
      <c r="AK73" s="34"/>
      <c r="AL73" s="34"/>
    </row>
    <row r="74" spans="1:38" s="10" customFormat="1">
      <c r="A74" s="10" t="s">
        <v>527</v>
      </c>
      <c r="H74" s="63"/>
      <c r="I74" s="63"/>
      <c r="J74" s="63"/>
      <c r="K74" s="63"/>
      <c r="L74" s="64"/>
      <c r="M74" s="64"/>
      <c r="N74" s="64"/>
      <c r="O74" s="64"/>
      <c r="P74" s="64"/>
      <c r="Q74" s="64"/>
      <c r="R74" s="64"/>
      <c r="S74" s="64"/>
      <c r="T74" s="64"/>
      <c r="U74" s="64"/>
      <c r="V74" s="64"/>
    </row>
    <row r="75" spans="1:38">
      <c r="A75" s="1" t="str">
        <f>'Agg prdcrv'!$A$6</f>
        <v>Reformulated Mogas</v>
      </c>
      <c r="B75" s="1" t="str">
        <f>VLOOKUP($A75,Types!$A$2:$C$13,2,FALSE)</f>
        <v>GSR</v>
      </c>
      <c r="C75" s="1">
        <v>3</v>
      </c>
      <c r="D75" s="1">
        <v>2</v>
      </c>
      <c r="E75" s="1" t="str">
        <f t="shared" ref="E75:E118" si="158">CONCATENATE("IMP",G75,RIGHT(C75,1))</f>
        <v>IMPGSRP23</v>
      </c>
      <c r="F75" s="1" t="str">
        <f>CONCATENATE("Imported ",VLOOKUP($A75,Types!$A$2:$C$13,3,FALSE),", PADD ",D75,", Step ",RIGHT(C75,1))</f>
        <v>Imported Reformulated Gasoline, PADD 2, Step 3</v>
      </c>
      <c r="G75" s="1" t="str">
        <f>CONCATENATE(VLOOKUP($A75,Types!$A$2:$C$13,2,FALSE),"P",D75)</f>
        <v>GSRP2</v>
      </c>
      <c r="H75" s="61">
        <f>SUMIFS('Agg prdcrv NYC'!$M$6:$M$100,'Agg prdcrv NYC'!$A$6:$A$100,'Imp Refined NYC'!$A75,'Agg prdcrv NYC'!$B$6:$B$100,H$11)*K4</f>
        <v>69.311000000000007</v>
      </c>
      <c r="I75" s="61">
        <f>SUMIFS('Agg prdcrv NYC'!$M$6:$M$100,'Agg prdcrv NYC'!$A$6:$A$100,'Imp Refined NYC'!$A75,'Agg prdcrv NYC'!$B$6:$B$100,I$11)*K4</f>
        <v>124.85000000000001</v>
      </c>
      <c r="J75" s="61">
        <f t="array" ref="J75">SUMIFS('Agg prdcrv NYC'!$M$6:$M$100,'Agg prdcrv NYC'!$A$6:$A$100,'Imp Refined NYC'!$A75,'Agg prdcrv NYC'!$B$6:$B$100,J$11)</f>
        <v>113.5</v>
      </c>
      <c r="K75" s="61">
        <f t="array" ref="K75">SUMIFS('Agg prdcrv NYC'!$M$6:$M$100,'Agg prdcrv NYC'!$A$6:$A$100,'Imp Refined NYC'!$A75,'Agg prdcrv NYC'!$B$6:$B$100,K$11)</f>
        <v>113.5</v>
      </c>
      <c r="L75" s="62">
        <f>H75*Conv!$J$20/10^6/VLOOKUP($B75,Types!$B$2:$D$13,3,FALSE)/Conv!$I$5</f>
        <v>19.574145893405639</v>
      </c>
      <c r="M75" s="62">
        <f>I75*Conv!$J$20/10^6/VLOOKUP($B75,Types!$B$2:$D$13,3,FALSE)/Conv!$I$5</f>
        <v>35.258936024465008</v>
      </c>
      <c r="N75" s="62" t="e">
        <f>M75*#REF!</f>
        <v>#REF!</v>
      </c>
      <c r="O75" s="62" t="e">
        <f>N75*#REF!</f>
        <v>#REF!</v>
      </c>
      <c r="P75" s="62" t="e">
        <f>O75*#REF!</f>
        <v>#REF!</v>
      </c>
      <c r="Q75" s="62" t="e">
        <f>P75*#REF!</f>
        <v>#REF!</v>
      </c>
      <c r="R75" s="62" t="e">
        <f>Q75*#REF!</f>
        <v>#REF!</v>
      </c>
      <c r="S75" s="62" t="e">
        <f>R75*#REF!</f>
        <v>#REF!</v>
      </c>
      <c r="T75" s="62" t="e">
        <f>S75*#REF!</f>
        <v>#REF!</v>
      </c>
      <c r="U75" s="62" t="e">
        <f>T75*#REF!</f>
        <v>#REF!</v>
      </c>
      <c r="V75" s="62" t="e">
        <f>U75*#REF!</f>
        <v>#REF!</v>
      </c>
      <c r="W75" s="34"/>
      <c r="X75" s="1">
        <f t="array" ref="X75">SUMIFS('Agg prdcrv NYC'!$E$6:$E$100,'Agg prdcrv NYC'!$A$6:$A$100,'Imp Refined NYC'!$A75,'Agg prdcrv NYC'!$B$6:$B$100,X$11)</f>
        <v>999999</v>
      </c>
      <c r="Y75" s="1">
        <f t="array" ref="Y75">SUMIFS('Agg prdcrv NYC'!$E$6:$E$100,'Agg prdcrv NYC'!$A$6:$A$100,'Imp Refined NYC'!$A75,'Agg prdcrv NYC'!$B$6:$B$100,Y$11)</f>
        <v>999999</v>
      </c>
      <c r="Z75" s="1">
        <f t="array" ref="Z75">SUMIFS('Agg prdcrv NYC'!$E$6:$E$100,'Agg prdcrv NYC'!$A$6:$A$100,'Imp Refined NYC'!$A75,'Agg prdcrv NYC'!$B$6:$B$100,Z$11)</f>
        <v>999999</v>
      </c>
      <c r="AA75" s="1">
        <f t="array" ref="AA75">SUMIFS('Agg prdcrv NYC'!$E$6:$E$100,'Agg prdcrv NYC'!$A$6:$A$100,'Imp Refined NYC'!$A75,'Agg prdcrv NYC'!$B$6:$B$100,AA$11)</f>
        <v>999999</v>
      </c>
      <c r="AB75" s="34">
        <f>X75*VLOOKUP($B75,Types!$B$2:$D$13,3,FALSE)*Conv!$I$5*1000*365</f>
        <v>1983239.5327584841</v>
      </c>
      <c r="AC75" s="34">
        <f>Y75*VLOOKUP($B75,Types!$B$2:$D$13,3,FALSE)*Conv!$I$5*1000*365</f>
        <v>1983239.5327584841</v>
      </c>
      <c r="AD75" s="34">
        <f>Z75*VLOOKUP($B75,Types!$B$2:$D$13,3,FALSE)*Conv!$I$5*1000*365</f>
        <v>1983239.5327584841</v>
      </c>
      <c r="AE75" s="34">
        <f>AA75*VLOOKUP($B75,Types!$B$2:$D$13,3,FALSE)*Conv!$I$5*1000*365</f>
        <v>1983239.5327584841</v>
      </c>
      <c r="AF75" s="34">
        <f>AB75-AB77</f>
        <v>198323.95327584841</v>
      </c>
      <c r="AG75" s="34">
        <f t="shared" ref="AG75:AI75" si="159">AC75-AC77</f>
        <v>198323.95327584841</v>
      </c>
      <c r="AH75" s="34">
        <f t="shared" si="159"/>
        <v>198323.95327584841</v>
      </c>
      <c r="AI75" s="34">
        <f t="shared" si="159"/>
        <v>198323.95327584841</v>
      </c>
      <c r="AJ75" s="34"/>
      <c r="AK75" s="34"/>
      <c r="AL75" s="34"/>
    </row>
    <row r="76" spans="1:38">
      <c r="A76" s="1" t="str">
        <f>A75</f>
        <v>Reformulated Mogas</v>
      </c>
      <c r="B76" s="1" t="str">
        <f>VLOOKUP($A76,Types!$A$2:$C$13,2,FALSE)</f>
        <v>GSR</v>
      </c>
      <c r="C76" s="1">
        <v>1</v>
      </c>
      <c r="D76" s="1">
        <v>2</v>
      </c>
      <c r="E76" s="1" t="str">
        <f t="shared" si="158"/>
        <v>IMPGSRP21</v>
      </c>
      <c r="F76" s="1" t="str">
        <f>CONCATENATE("Imported ",VLOOKUP($A76,Types!$A$2:$C$13,3,FALSE),", PADD ",D76,", Step ",RIGHT(C76,1))</f>
        <v>Imported Reformulated Gasoline, PADD 2, Step 1</v>
      </c>
      <c r="G76" s="1" t="str">
        <f>CONCATENATE(VLOOKUP($A76,Types!$A$2:$C$13,2,FALSE),"P",D76)</f>
        <v>GSRP2</v>
      </c>
      <c r="H76" s="61">
        <f>H75*$C$5</f>
        <v>65.84545</v>
      </c>
      <c r="I76" s="61">
        <f t="shared" ref="I76:K76" si="160">I75*$C$5</f>
        <v>118.6075</v>
      </c>
      <c r="J76" s="61">
        <f t="shared" si="160"/>
        <v>107.82499999999999</v>
      </c>
      <c r="K76" s="61">
        <f t="shared" si="160"/>
        <v>107.82499999999999</v>
      </c>
      <c r="L76" s="62">
        <f>H76*Conv!$J$20/10^6/VLOOKUP($B76,Types!$B$2:$D$13,3,FALSE)/Conv!$I$5</f>
        <v>18.595438598735356</v>
      </c>
      <c r="M76" s="62">
        <f>I76*Conv!$J$20/10^6/VLOOKUP($B76,Types!$B$2:$D$13,3,FALSE)/Conv!$I$5</f>
        <v>33.495989223241757</v>
      </c>
      <c r="N76" s="62" t="e">
        <f>M76*#REF!</f>
        <v>#REF!</v>
      </c>
      <c r="O76" s="62" t="e">
        <f>N76*#REF!</f>
        <v>#REF!</v>
      </c>
      <c r="P76" s="62" t="e">
        <f>O76*#REF!</f>
        <v>#REF!</v>
      </c>
      <c r="Q76" s="62" t="e">
        <f>P76*#REF!</f>
        <v>#REF!</v>
      </c>
      <c r="R76" s="62" t="e">
        <f>Q76*#REF!</f>
        <v>#REF!</v>
      </c>
      <c r="S76" s="62" t="e">
        <f>R76*#REF!</f>
        <v>#REF!</v>
      </c>
      <c r="T76" s="62" t="e">
        <f>S76*#REF!</f>
        <v>#REF!</v>
      </c>
      <c r="U76" s="62" t="e">
        <f>T76*#REF!</f>
        <v>#REF!</v>
      </c>
      <c r="V76" s="62" t="e">
        <f>U76*#REF!</f>
        <v>#REF!</v>
      </c>
      <c r="W76" s="34"/>
      <c r="X76" s="1">
        <f>X75*$E$5</f>
        <v>799999.20000000007</v>
      </c>
      <c r="Y76" s="1">
        <f t="shared" ref="Y76:AA76" si="161">Y75*$E$5</f>
        <v>799999.20000000007</v>
      </c>
      <c r="Z76" s="1">
        <f t="shared" si="161"/>
        <v>799999.20000000007</v>
      </c>
      <c r="AA76" s="1">
        <f t="shared" si="161"/>
        <v>799999.20000000007</v>
      </c>
      <c r="AB76" s="34">
        <f>X76*VLOOKUP($B76,Types!$B$2:$D$13,3,FALSE)*Conv!$I$5*1000*365</f>
        <v>1586591.6262067873</v>
      </c>
      <c r="AC76" s="34">
        <f>Y76*VLOOKUP($B76,Types!$B$2:$D$13,3,FALSE)*Conv!$I$5*1000*365</f>
        <v>1586591.6262067873</v>
      </c>
      <c r="AD76" s="34">
        <f>Z76*VLOOKUP($B76,Types!$B$2:$D$13,3,FALSE)*Conv!$I$5*1000*365</f>
        <v>1586591.6262067873</v>
      </c>
      <c r="AE76" s="34">
        <f>AA76*VLOOKUP($B76,Types!$B$2:$D$13,3,FALSE)*Conv!$I$5*1000*365</f>
        <v>1586591.6262067873</v>
      </c>
      <c r="AF76" s="34">
        <f>AB76</f>
        <v>1586591.6262067873</v>
      </c>
      <c r="AG76" s="34">
        <f t="shared" ref="AG76:AI76" si="162">AC76</f>
        <v>1586591.6262067873</v>
      </c>
      <c r="AH76" s="34">
        <f t="shared" si="162"/>
        <v>1586591.6262067873</v>
      </c>
      <c r="AI76" s="34">
        <f t="shared" si="162"/>
        <v>1586591.6262067873</v>
      </c>
      <c r="AJ76" s="34"/>
      <c r="AK76" s="34"/>
      <c r="AL76" s="34"/>
    </row>
    <row r="77" spans="1:38">
      <c r="A77" s="1" t="str">
        <f t="shared" ref="A77:A79" si="163">A76</f>
        <v>Reformulated Mogas</v>
      </c>
      <c r="B77" s="1" t="str">
        <f>VLOOKUP($A77,Types!$A$2:$C$13,2,FALSE)</f>
        <v>GSR</v>
      </c>
      <c r="C77" s="1">
        <v>2</v>
      </c>
      <c r="D77" s="1">
        <v>2</v>
      </c>
      <c r="E77" s="1" t="str">
        <f t="shared" si="158"/>
        <v>IMPGSRP22</v>
      </c>
      <c r="F77" s="1" t="str">
        <f>CONCATENATE("Imported ",VLOOKUP($A77,Types!$A$2:$C$13,3,FALSE),", PADD ",D77,", Step ",RIGHT(C77,1))</f>
        <v>Imported Reformulated Gasoline, PADD 2, Step 2</v>
      </c>
      <c r="G77" s="1" t="str">
        <f>CONCATENATE(VLOOKUP($A77,Types!$A$2:$C$13,2,FALSE),"P",D77)</f>
        <v>GSRP2</v>
      </c>
      <c r="H77" s="61">
        <f>H75*$C$6</f>
        <v>67.924780000000013</v>
      </c>
      <c r="I77" s="61">
        <f t="shared" ref="I77:K77" si="164">I75*$C$6</f>
        <v>122.35300000000001</v>
      </c>
      <c r="J77" s="61">
        <f t="shared" si="164"/>
        <v>111.23</v>
      </c>
      <c r="K77" s="61">
        <f t="shared" si="164"/>
        <v>111.23</v>
      </c>
      <c r="L77" s="62">
        <f>H77*Conv!$J$20/10^6/VLOOKUP($B77,Types!$B$2:$D$13,3,FALSE)/Conv!$I$5</f>
        <v>19.182662975537529</v>
      </c>
      <c r="M77" s="62">
        <f>I77*Conv!$J$20/10^6/VLOOKUP($B77,Types!$B$2:$D$13,3,FALSE)/Conv!$I$5</f>
        <v>34.553757303975701</v>
      </c>
      <c r="N77" s="62" t="e">
        <f>M77*#REF!</f>
        <v>#REF!</v>
      </c>
      <c r="O77" s="62" t="e">
        <f>N77*#REF!</f>
        <v>#REF!</v>
      </c>
      <c r="P77" s="62" t="e">
        <f>O77*#REF!</f>
        <v>#REF!</v>
      </c>
      <c r="Q77" s="62" t="e">
        <f>P77*#REF!</f>
        <v>#REF!</v>
      </c>
      <c r="R77" s="62" t="e">
        <f>Q77*#REF!</f>
        <v>#REF!</v>
      </c>
      <c r="S77" s="62" t="e">
        <f>R77*#REF!</f>
        <v>#REF!</v>
      </c>
      <c r="T77" s="62" t="e">
        <f>S77*#REF!</f>
        <v>#REF!</v>
      </c>
      <c r="U77" s="62" t="e">
        <f>T77*#REF!</f>
        <v>#REF!</v>
      </c>
      <c r="V77" s="62" t="e">
        <f>U77*#REF!</f>
        <v>#REF!</v>
      </c>
      <c r="W77" s="34"/>
      <c r="X77" s="1">
        <f>X75*$E$6</f>
        <v>899999.1</v>
      </c>
      <c r="Y77" s="1">
        <f t="shared" ref="Y77:AA77" si="165">Y75*$E$6</f>
        <v>899999.1</v>
      </c>
      <c r="Z77" s="1">
        <f t="shared" si="165"/>
        <v>899999.1</v>
      </c>
      <c r="AA77" s="1">
        <f t="shared" si="165"/>
        <v>899999.1</v>
      </c>
      <c r="AB77" s="34">
        <f>X77*VLOOKUP($B77,Types!$B$2:$D$13,3,FALSE)*Conv!$I$5*1000*365</f>
        <v>1784915.5794826357</v>
      </c>
      <c r="AC77" s="34">
        <f>Y77*VLOOKUP($B77,Types!$B$2:$D$13,3,FALSE)*Conv!$I$5*1000*365</f>
        <v>1784915.5794826357</v>
      </c>
      <c r="AD77" s="34">
        <f>Z77*VLOOKUP($B77,Types!$B$2:$D$13,3,FALSE)*Conv!$I$5*1000*365</f>
        <v>1784915.5794826357</v>
      </c>
      <c r="AE77" s="34">
        <f>AA77*VLOOKUP($B77,Types!$B$2:$D$13,3,FALSE)*Conv!$I$5*1000*365</f>
        <v>1784915.5794826357</v>
      </c>
      <c r="AF77" s="34">
        <f>AB77-AF76</f>
        <v>198323.95327584841</v>
      </c>
      <c r="AG77" s="34">
        <f t="shared" ref="AG77:AI77" si="166">AC77-AG76</f>
        <v>198323.95327584841</v>
      </c>
      <c r="AH77" s="34">
        <f t="shared" si="166"/>
        <v>198323.95327584841</v>
      </c>
      <c r="AI77" s="34">
        <f t="shared" si="166"/>
        <v>198323.95327584841</v>
      </c>
      <c r="AJ77" s="34"/>
      <c r="AK77" s="34"/>
      <c r="AL77" s="34"/>
    </row>
    <row r="78" spans="1:38">
      <c r="A78" s="1" t="str">
        <f t="shared" si="163"/>
        <v>Reformulated Mogas</v>
      </c>
      <c r="B78" s="1" t="str">
        <f>VLOOKUP($A78,Types!$A$2:$C$13,2,FALSE)</f>
        <v>GSR</v>
      </c>
      <c r="C78" s="1">
        <v>4</v>
      </c>
      <c r="D78" s="1">
        <v>2</v>
      </c>
      <c r="E78" s="1" t="str">
        <f t="shared" si="158"/>
        <v>IMPGSRP24</v>
      </c>
      <c r="F78" s="1" t="str">
        <f>CONCATENATE("Imported ",VLOOKUP($A78,Types!$A$2:$C$13,3,FALSE),", PADD ",D78,", Step ",RIGHT(C78,1))</f>
        <v>Imported Reformulated Gasoline, PADD 2, Step 4</v>
      </c>
      <c r="G78" s="1" t="str">
        <f>CONCATENATE(VLOOKUP($A78,Types!$A$2:$C$13,2,FALSE),"P",D78)</f>
        <v>GSRP2</v>
      </c>
      <c r="H78" s="61">
        <f>H75*$C$8</f>
        <v>75.548990000000018</v>
      </c>
      <c r="I78" s="61">
        <f t="shared" ref="I78:K78" si="167">I75*$C$8</f>
        <v>136.08650000000003</v>
      </c>
      <c r="J78" s="61">
        <f t="shared" si="167"/>
        <v>123.715</v>
      </c>
      <c r="K78" s="61">
        <f t="shared" si="167"/>
        <v>123.715</v>
      </c>
      <c r="L78" s="62">
        <f>H78*Conv!$J$20/10^6/VLOOKUP($B78,Types!$B$2:$D$13,3,FALSE)/Conv!$I$5</f>
        <v>21.335819023812149</v>
      </c>
      <c r="M78" s="62">
        <f>I78*Conv!$J$20/10^6/VLOOKUP($B78,Types!$B$2:$D$13,3,FALSE)/Conv!$I$5</f>
        <v>38.432240266666867</v>
      </c>
      <c r="N78" s="62" t="e">
        <f>M78*#REF!</f>
        <v>#REF!</v>
      </c>
      <c r="O78" s="62" t="e">
        <f>N78*#REF!</f>
        <v>#REF!</v>
      </c>
      <c r="P78" s="62" t="e">
        <f>O78*#REF!</f>
        <v>#REF!</v>
      </c>
      <c r="Q78" s="62" t="e">
        <f>P78*#REF!</f>
        <v>#REF!</v>
      </c>
      <c r="R78" s="62" t="e">
        <f>Q78*#REF!</f>
        <v>#REF!</v>
      </c>
      <c r="S78" s="62" t="e">
        <f>R78*#REF!</f>
        <v>#REF!</v>
      </c>
      <c r="T78" s="62" t="e">
        <f>S78*#REF!</f>
        <v>#REF!</v>
      </c>
      <c r="U78" s="62" t="e">
        <f>T78*#REF!</f>
        <v>#REF!</v>
      </c>
      <c r="V78" s="62" t="e">
        <f>U78*#REF!</f>
        <v>#REF!</v>
      </c>
      <c r="W78" s="34"/>
      <c r="X78" s="1">
        <f>X75*$E$8</f>
        <v>1199998.8</v>
      </c>
      <c r="Y78" s="1">
        <f t="shared" ref="Y78:AA78" si="168">Y75*$E$8</f>
        <v>1199998.8</v>
      </c>
      <c r="Z78" s="1">
        <f t="shared" si="168"/>
        <v>1199998.8</v>
      </c>
      <c r="AA78" s="1">
        <f t="shared" si="168"/>
        <v>1199998.8</v>
      </c>
      <c r="AB78" s="34">
        <f>X78*VLOOKUP($B78,Types!$B$2:$D$13,3,FALSE)*Conv!$I$5*1000*365</f>
        <v>2379887.439310181</v>
      </c>
      <c r="AC78" s="34">
        <f>Y78*VLOOKUP($B78,Types!$B$2:$D$13,3,FALSE)*Conv!$I$5*1000*365</f>
        <v>2379887.439310181</v>
      </c>
      <c r="AD78" s="34">
        <f>Z78*VLOOKUP($B78,Types!$B$2:$D$13,3,FALSE)*Conv!$I$5*1000*365</f>
        <v>2379887.439310181</v>
      </c>
      <c r="AE78" s="34">
        <f>AA78*VLOOKUP($B78,Types!$B$2:$D$13,3,FALSE)*Conv!$I$5*1000*365</f>
        <v>2379887.439310181</v>
      </c>
      <c r="AF78" s="34">
        <f>AB78-AB75</f>
        <v>396647.90655169683</v>
      </c>
      <c r="AG78" s="34">
        <f t="shared" ref="AG78:AI78" si="169">AC78-AC75</f>
        <v>396647.90655169683</v>
      </c>
      <c r="AH78" s="34">
        <f t="shared" si="169"/>
        <v>396647.90655169683</v>
      </c>
      <c r="AI78" s="34">
        <f t="shared" si="169"/>
        <v>396647.90655169683</v>
      </c>
      <c r="AJ78" s="34"/>
      <c r="AK78" s="34"/>
      <c r="AL78" s="34"/>
    </row>
    <row r="79" spans="1:38">
      <c r="A79" s="1" t="str">
        <f t="shared" si="163"/>
        <v>Reformulated Mogas</v>
      </c>
      <c r="B79" s="1" t="str">
        <f>VLOOKUP($A79,Types!$A$2:$C$13,2,FALSE)</f>
        <v>GSR</v>
      </c>
      <c r="C79" s="1">
        <v>5</v>
      </c>
      <c r="D79" s="1">
        <v>2</v>
      </c>
      <c r="E79" s="1" t="str">
        <f t="shared" si="158"/>
        <v>IMPGSRP25</v>
      </c>
      <c r="F79" s="1" t="str">
        <f>CONCATENATE("Imported ",VLOOKUP($A79,Types!$A$2:$C$13,3,FALSE),", PADD ",D79,", Step ",RIGHT(C79,1))</f>
        <v>Imported Reformulated Gasoline, PADD 2, Step 5</v>
      </c>
      <c r="G79" s="1" t="str">
        <f>CONCATENATE(VLOOKUP($A79,Types!$A$2:$C$13,2,FALSE),"P",D79)</f>
        <v>GSRP2</v>
      </c>
      <c r="H79" s="61">
        <f>H75*$C$9</f>
        <v>90.104300000000009</v>
      </c>
      <c r="I79" s="61">
        <f t="shared" ref="I79:K79" si="170">I75*$C$9</f>
        <v>162.30500000000001</v>
      </c>
      <c r="J79" s="61">
        <f t="shared" si="170"/>
        <v>147.55000000000001</v>
      </c>
      <c r="K79" s="61">
        <f t="shared" si="170"/>
        <v>147.55000000000001</v>
      </c>
      <c r="L79" s="62">
        <f>H79*Conv!$J$20/10^6/VLOOKUP($B79,Types!$B$2:$D$13,3,FALSE)/Conv!$I$5</f>
        <v>25.446389661427329</v>
      </c>
      <c r="M79" s="62">
        <f>I79*Conv!$J$20/10^6/VLOOKUP($B79,Types!$B$2:$D$13,3,FALSE)/Conv!$I$5</f>
        <v>45.836616831804506</v>
      </c>
      <c r="N79" s="62" t="e">
        <f>M79*#REF!</f>
        <v>#REF!</v>
      </c>
      <c r="O79" s="62" t="e">
        <f>N79*#REF!</f>
        <v>#REF!</v>
      </c>
      <c r="P79" s="62" t="e">
        <f>O79*#REF!</f>
        <v>#REF!</v>
      </c>
      <c r="Q79" s="62" t="e">
        <f>P79*#REF!</f>
        <v>#REF!</v>
      </c>
      <c r="R79" s="62" t="e">
        <f>Q79*#REF!</f>
        <v>#REF!</v>
      </c>
      <c r="S79" s="62" t="e">
        <f>R79*#REF!</f>
        <v>#REF!</v>
      </c>
      <c r="T79" s="62" t="e">
        <f>S79*#REF!</f>
        <v>#REF!</v>
      </c>
      <c r="U79" s="62" t="e">
        <f>T79*#REF!</f>
        <v>#REF!</v>
      </c>
      <c r="V79" s="62" t="e">
        <f>U79*#REF!</f>
        <v>#REF!</v>
      </c>
      <c r="W79" s="34"/>
      <c r="X79" s="1">
        <f>X75*$E$9</f>
        <v>1999998</v>
      </c>
      <c r="Y79" s="1">
        <f t="shared" ref="Y79:AA79" si="171">Y75*$E$9</f>
        <v>1999998</v>
      </c>
      <c r="Z79" s="1">
        <f t="shared" si="171"/>
        <v>1999998</v>
      </c>
      <c r="AA79" s="1">
        <f t="shared" si="171"/>
        <v>1999998</v>
      </c>
      <c r="AB79" s="34">
        <f>X79*VLOOKUP($B79,Types!$B$2:$D$13,3,FALSE)*Conv!$I$5*1000*365</f>
        <v>3966479.0655169683</v>
      </c>
      <c r="AC79" s="34">
        <f>Y79*VLOOKUP($B79,Types!$B$2:$D$13,3,FALSE)*Conv!$I$5*1000*365</f>
        <v>3966479.0655169683</v>
      </c>
      <c r="AD79" s="34">
        <f>Z79*VLOOKUP($B79,Types!$B$2:$D$13,3,FALSE)*Conv!$I$5*1000*365</f>
        <v>3966479.0655169683</v>
      </c>
      <c r="AE79" s="34">
        <f>AA79*VLOOKUP($B79,Types!$B$2:$D$13,3,FALSE)*Conv!$I$5*1000*365</f>
        <v>3966479.0655169683</v>
      </c>
      <c r="AF79" s="34">
        <f>AB79-AB78</f>
        <v>1586591.6262067873</v>
      </c>
      <c r="AG79" s="34">
        <f t="shared" ref="AG79:AI79" si="172">AC79-AC78</f>
        <v>1586591.6262067873</v>
      </c>
      <c r="AH79" s="34">
        <f t="shared" si="172"/>
        <v>1586591.6262067873</v>
      </c>
      <c r="AI79" s="34">
        <f t="shared" si="172"/>
        <v>1586591.6262067873</v>
      </c>
      <c r="AJ79" s="34"/>
      <c r="AK79" s="34"/>
      <c r="AL79" s="34"/>
    </row>
    <row r="80" spans="1:38">
      <c r="A80" s="1" t="str">
        <f>'Agg prdcrv'!$A$7</f>
        <v>Conventional Mogas</v>
      </c>
      <c r="B80" s="1" t="str">
        <f>VLOOKUP($A80,Types!$A$2:$C$13,2,FALSE)</f>
        <v>GSC</v>
      </c>
      <c r="C80" s="1">
        <v>3</v>
      </c>
      <c r="D80" s="1">
        <v>2</v>
      </c>
      <c r="E80" s="1" t="str">
        <f t="shared" si="158"/>
        <v>IMPGSCP23</v>
      </c>
      <c r="F80" s="1" t="str">
        <f>CONCATENATE("Imported ",VLOOKUP($A80,Types!$A$2:$C$13,3,FALSE),", PADD ",D80,", Step ",RIGHT(C80,1))</f>
        <v>Imported Conventional Gasoline, PADD 2, Step 3</v>
      </c>
      <c r="G80" s="1" t="str">
        <f>CONCATENATE(VLOOKUP($A80,Types!$A$2:$C$13,2,FALSE),"P",D80)</f>
        <v>GSCP2</v>
      </c>
      <c r="H80" s="61">
        <f>SUMIFS('Agg prdcrv NYC'!$M$6:$M$100,'Agg prdcrv NYC'!$A$6:$A$100,'Imp Refined NYC'!$A80,'Agg prdcrv NYC'!$B$6:$B$100,H$11)*K4</f>
        <v>67.155000000000001</v>
      </c>
      <c r="I80" s="61">
        <f>SUMIFS('Agg prdcrv NYC'!$M$6:$M$100,'Agg prdcrv NYC'!$A$6:$A$100,'Imp Refined NYC'!$A80,'Agg prdcrv NYC'!$B$6:$B$100,I$11)*K4</f>
        <v>55.693000000000005</v>
      </c>
      <c r="J80" s="61">
        <f t="array" ref="J80">SUMIFS('Agg prdcrv NYC'!$M$6:$M$100,'Agg prdcrv NYC'!$A$6:$A$100,'Imp Refined NYC'!$A80,'Agg prdcrv NYC'!$B$6:$B$100,J$11)</f>
        <v>43.66</v>
      </c>
      <c r="K80" s="61">
        <f t="array" ref="K80">SUMIFS('Agg prdcrv NYC'!$M$6:$M$100,'Agg prdcrv NYC'!$A$6:$A$100,'Imp Refined NYC'!$A80,'Agg prdcrv NYC'!$B$6:$B$100,K$11)</f>
        <v>47.23</v>
      </c>
      <c r="L80" s="62">
        <f>H80*Conv!$J$20/10^6/VLOOKUP($B80,Types!$B$2:$D$13,3,FALSE)/Conv!$I$5</f>
        <v>18.593401090900823</v>
      </c>
      <c r="M80" s="62">
        <f>I80*Conv!$J$20/10^6/VLOOKUP($B80,Types!$B$2:$D$13,3,FALSE)/Conv!$I$5</f>
        <v>15.419883656548874</v>
      </c>
      <c r="N80" s="62" t="e">
        <f>M80*#REF!</f>
        <v>#REF!</v>
      </c>
      <c r="O80" s="62" t="e">
        <f>N80*#REF!</f>
        <v>#REF!</v>
      </c>
      <c r="P80" s="62" t="e">
        <f>O80*#REF!</f>
        <v>#REF!</v>
      </c>
      <c r="Q80" s="62" t="e">
        <f>P80*#REF!</f>
        <v>#REF!</v>
      </c>
      <c r="R80" s="62" t="e">
        <f>Q80*#REF!</f>
        <v>#REF!</v>
      </c>
      <c r="S80" s="62" t="e">
        <f>R80*#REF!</f>
        <v>#REF!</v>
      </c>
      <c r="T80" s="62" t="e">
        <f>S80*#REF!</f>
        <v>#REF!</v>
      </c>
      <c r="U80" s="62" t="e">
        <f>T80*#REF!</f>
        <v>#REF!</v>
      </c>
      <c r="V80" s="62" t="e">
        <f>U80*#REF!</f>
        <v>#REF!</v>
      </c>
      <c r="W80" s="34"/>
      <c r="X80" s="1">
        <f t="array" ref="X80">SUMIFS('Agg prdcrv NYC'!$E$6:$E$100,'Agg prdcrv NYC'!$A$6:$A$100,'Imp Refined NYC'!$A80,'Agg prdcrv NYC'!$B$6:$B$100,X$11)</f>
        <v>999999</v>
      </c>
      <c r="Y80" s="1">
        <f t="array" ref="Y80">SUMIFS('Agg prdcrv NYC'!$E$6:$E$100,'Agg prdcrv NYC'!$A$6:$A$100,'Imp Refined NYC'!$A80,'Agg prdcrv NYC'!$B$6:$B$100,Y$11)</f>
        <v>999999</v>
      </c>
      <c r="Z80" s="1">
        <f t="array" ref="Z80">SUMIFS('Agg prdcrv NYC'!$E$6:$E$100,'Agg prdcrv NYC'!$A$6:$A$100,'Imp Refined NYC'!$A80,'Agg prdcrv NYC'!$B$6:$B$100,Z$11)</f>
        <v>999999</v>
      </c>
      <c r="AA80" s="1">
        <f t="array" ref="AA80">SUMIFS('Agg prdcrv NYC'!$E$6:$E$100,'Agg prdcrv NYC'!$A$6:$A$100,'Imp Refined NYC'!$A80,'Agg prdcrv NYC'!$B$6:$B$100,AA$11)</f>
        <v>999999</v>
      </c>
      <c r="AB80" s="34">
        <f>X80*VLOOKUP($B80,Types!$B$2:$D$13,3,FALSE)*Conv!$I$5*1000*365</f>
        <v>2022904.3234136538</v>
      </c>
      <c r="AC80" s="34">
        <f>Y80*VLOOKUP($B80,Types!$B$2:$D$13,3,FALSE)*Conv!$I$5*1000*365</f>
        <v>2022904.3234136538</v>
      </c>
      <c r="AD80" s="34">
        <f>Z80*VLOOKUP($B80,Types!$B$2:$D$13,3,FALSE)*Conv!$I$5*1000*365</f>
        <v>2022904.3234136538</v>
      </c>
      <c r="AE80" s="34">
        <f>AA80*VLOOKUP($B80,Types!$B$2:$D$13,3,FALSE)*Conv!$I$5*1000*365</f>
        <v>2022904.3234136538</v>
      </c>
      <c r="AF80" s="34">
        <f>AB80-AB82</f>
        <v>202290.43234136514</v>
      </c>
      <c r="AG80" s="34">
        <f t="shared" ref="AG80:AI80" si="173">AC80-AC82</f>
        <v>202290.43234136514</v>
      </c>
      <c r="AH80" s="34">
        <f t="shared" si="173"/>
        <v>202290.43234136514</v>
      </c>
      <c r="AI80" s="34">
        <f t="shared" si="173"/>
        <v>202290.43234136514</v>
      </c>
      <c r="AJ80" s="34"/>
      <c r="AK80" s="34"/>
      <c r="AL80" s="34"/>
    </row>
    <row r="81" spans="1:38">
      <c r="A81" s="1" t="str">
        <f>A80</f>
        <v>Conventional Mogas</v>
      </c>
      <c r="B81" s="1" t="str">
        <f>VLOOKUP($A81,Types!$A$2:$C$13,2,FALSE)</f>
        <v>GSC</v>
      </c>
      <c r="C81" s="1">
        <v>1</v>
      </c>
      <c r="D81" s="1">
        <v>2</v>
      </c>
      <c r="E81" s="1" t="str">
        <f t="shared" si="158"/>
        <v>IMPGSCP21</v>
      </c>
      <c r="F81" s="1" t="str">
        <f>CONCATENATE("Imported ",VLOOKUP($A81,Types!$A$2:$C$13,3,FALSE),", PADD ",D81,", Step ",RIGHT(C81,1))</f>
        <v>Imported Conventional Gasoline, PADD 2, Step 1</v>
      </c>
      <c r="G81" s="1" t="str">
        <f>CONCATENATE(VLOOKUP($A81,Types!$A$2:$C$13,2,FALSE),"P",D81)</f>
        <v>GSCP2</v>
      </c>
      <c r="H81" s="61">
        <f>H80*$C$5</f>
        <v>63.797249999999998</v>
      </c>
      <c r="I81" s="61">
        <f t="shared" ref="I81:K81" si="174">I80*$C$5</f>
        <v>52.908350000000006</v>
      </c>
      <c r="J81" s="61">
        <f t="shared" si="174"/>
        <v>41.476999999999997</v>
      </c>
      <c r="K81" s="61">
        <f t="shared" si="174"/>
        <v>44.868499999999997</v>
      </c>
      <c r="L81" s="62">
        <f>H81*Conv!$J$20/10^6/VLOOKUP($B81,Types!$B$2:$D$13,3,FALSE)/Conv!$I$5</f>
        <v>17.663731036355784</v>
      </c>
      <c r="M81" s="62">
        <f>I81*Conv!$J$20/10^6/VLOOKUP($B81,Types!$B$2:$D$13,3,FALSE)/Conv!$I$5</f>
        <v>14.648889473721432</v>
      </c>
      <c r="N81" s="62" t="e">
        <f>M81*#REF!</f>
        <v>#REF!</v>
      </c>
      <c r="O81" s="62" t="e">
        <f>N81*#REF!</f>
        <v>#REF!</v>
      </c>
      <c r="P81" s="62" t="e">
        <f>O81*#REF!</f>
        <v>#REF!</v>
      </c>
      <c r="Q81" s="62" t="e">
        <f>P81*#REF!</f>
        <v>#REF!</v>
      </c>
      <c r="R81" s="62" t="e">
        <f>Q81*#REF!</f>
        <v>#REF!</v>
      </c>
      <c r="S81" s="62" t="e">
        <f>R81*#REF!</f>
        <v>#REF!</v>
      </c>
      <c r="T81" s="62" t="e">
        <f>S81*#REF!</f>
        <v>#REF!</v>
      </c>
      <c r="U81" s="62" t="e">
        <f>T81*#REF!</f>
        <v>#REF!</v>
      </c>
      <c r="V81" s="62" t="e">
        <f>U81*#REF!</f>
        <v>#REF!</v>
      </c>
      <c r="W81" s="34"/>
      <c r="X81" s="1">
        <f>X80*$E$5</f>
        <v>799999.20000000007</v>
      </c>
      <c r="Y81" s="1">
        <f t="shared" ref="Y81:AA81" si="175">Y80*$E$5</f>
        <v>799999.20000000007</v>
      </c>
      <c r="Z81" s="1">
        <f t="shared" si="175"/>
        <v>799999.20000000007</v>
      </c>
      <c r="AA81" s="1">
        <f t="shared" si="175"/>
        <v>799999.20000000007</v>
      </c>
      <c r="AB81" s="34">
        <f>X81*VLOOKUP($B81,Types!$B$2:$D$13,3,FALSE)*Conv!$I$5*1000*365</f>
        <v>1618323.4587309228</v>
      </c>
      <c r="AC81" s="34">
        <f>Y81*VLOOKUP($B81,Types!$B$2:$D$13,3,FALSE)*Conv!$I$5*1000*365</f>
        <v>1618323.4587309228</v>
      </c>
      <c r="AD81" s="34">
        <f>Z81*VLOOKUP($B81,Types!$B$2:$D$13,3,FALSE)*Conv!$I$5*1000*365</f>
        <v>1618323.4587309228</v>
      </c>
      <c r="AE81" s="34">
        <f>AA81*VLOOKUP($B81,Types!$B$2:$D$13,3,FALSE)*Conv!$I$5*1000*365</f>
        <v>1618323.4587309228</v>
      </c>
      <c r="AF81" s="34">
        <f>AB81</f>
        <v>1618323.4587309228</v>
      </c>
      <c r="AG81" s="34">
        <f t="shared" ref="AG81:AI81" si="176">AC81</f>
        <v>1618323.4587309228</v>
      </c>
      <c r="AH81" s="34">
        <f t="shared" si="176"/>
        <v>1618323.4587309228</v>
      </c>
      <c r="AI81" s="34">
        <f t="shared" si="176"/>
        <v>1618323.4587309228</v>
      </c>
      <c r="AJ81" s="34"/>
      <c r="AK81" s="34"/>
      <c r="AL81" s="34"/>
    </row>
    <row r="82" spans="1:38">
      <c r="A82" s="1" t="str">
        <f t="shared" ref="A82:A84" si="177">A81</f>
        <v>Conventional Mogas</v>
      </c>
      <c r="B82" s="1" t="str">
        <f>VLOOKUP($A82,Types!$A$2:$C$13,2,FALSE)</f>
        <v>GSC</v>
      </c>
      <c r="C82" s="1">
        <v>2</v>
      </c>
      <c r="D82" s="1">
        <v>2</v>
      </c>
      <c r="E82" s="1" t="str">
        <f t="shared" si="158"/>
        <v>IMPGSCP22</v>
      </c>
      <c r="F82" s="1" t="str">
        <f>CONCATENATE("Imported ",VLOOKUP($A82,Types!$A$2:$C$13,3,FALSE),", PADD ",D82,", Step ",RIGHT(C82,1))</f>
        <v>Imported Conventional Gasoline, PADD 2, Step 2</v>
      </c>
      <c r="G82" s="1" t="str">
        <f>CONCATENATE(VLOOKUP($A82,Types!$A$2:$C$13,2,FALSE),"P",D82)</f>
        <v>GSCP2</v>
      </c>
      <c r="H82" s="61">
        <f>H80*$C$6</f>
        <v>65.811899999999994</v>
      </c>
      <c r="I82" s="61">
        <f t="shared" ref="I82:K82" si="178">I80*$C$6</f>
        <v>54.579140000000002</v>
      </c>
      <c r="J82" s="61">
        <f t="shared" si="178"/>
        <v>42.786799999999992</v>
      </c>
      <c r="K82" s="61">
        <f t="shared" si="178"/>
        <v>46.285399999999996</v>
      </c>
      <c r="L82" s="62">
        <f>H82*Conv!$J$20/10^6/VLOOKUP($B82,Types!$B$2:$D$13,3,FALSE)/Conv!$I$5</f>
        <v>18.22153306908281</v>
      </c>
      <c r="M82" s="62">
        <f>I82*Conv!$J$20/10^6/VLOOKUP($B82,Types!$B$2:$D$13,3,FALSE)/Conv!$I$5</f>
        <v>15.111485983417895</v>
      </c>
      <c r="N82" s="62" t="e">
        <f>M82*#REF!</f>
        <v>#REF!</v>
      </c>
      <c r="O82" s="62" t="e">
        <f>N82*#REF!</f>
        <v>#REF!</v>
      </c>
      <c r="P82" s="62" t="e">
        <f>O82*#REF!</f>
        <v>#REF!</v>
      </c>
      <c r="Q82" s="62" t="e">
        <f>P82*#REF!</f>
        <v>#REF!</v>
      </c>
      <c r="R82" s="62" t="e">
        <f>Q82*#REF!</f>
        <v>#REF!</v>
      </c>
      <c r="S82" s="62" t="e">
        <f>R82*#REF!</f>
        <v>#REF!</v>
      </c>
      <c r="T82" s="62" t="e">
        <f>S82*#REF!</f>
        <v>#REF!</v>
      </c>
      <c r="U82" s="62" t="e">
        <f>T82*#REF!</f>
        <v>#REF!</v>
      </c>
      <c r="V82" s="62" t="e">
        <f>U82*#REF!</f>
        <v>#REF!</v>
      </c>
      <c r="W82" s="34"/>
      <c r="X82" s="1">
        <f>X80*$E$6</f>
        <v>899999.1</v>
      </c>
      <c r="Y82" s="1">
        <f t="shared" ref="Y82:AA82" si="179">Y80*$E$6</f>
        <v>899999.1</v>
      </c>
      <c r="Z82" s="1">
        <f t="shared" si="179"/>
        <v>899999.1</v>
      </c>
      <c r="AA82" s="1">
        <f t="shared" si="179"/>
        <v>899999.1</v>
      </c>
      <c r="AB82" s="34">
        <f>X82*VLOOKUP($B82,Types!$B$2:$D$13,3,FALSE)*Conv!$I$5*1000*365</f>
        <v>1820613.8910722886</v>
      </c>
      <c r="AC82" s="34">
        <f>Y82*VLOOKUP($B82,Types!$B$2:$D$13,3,FALSE)*Conv!$I$5*1000*365</f>
        <v>1820613.8910722886</v>
      </c>
      <c r="AD82" s="34">
        <f>Z82*VLOOKUP($B82,Types!$B$2:$D$13,3,FALSE)*Conv!$I$5*1000*365</f>
        <v>1820613.8910722886</v>
      </c>
      <c r="AE82" s="34">
        <f>AA82*VLOOKUP($B82,Types!$B$2:$D$13,3,FALSE)*Conv!$I$5*1000*365</f>
        <v>1820613.8910722886</v>
      </c>
      <c r="AF82" s="34">
        <f>AB82-AF81</f>
        <v>202290.43234136584</v>
      </c>
      <c r="AG82" s="34">
        <f t="shared" ref="AG82:AI82" si="180">AC82-AG81</f>
        <v>202290.43234136584</v>
      </c>
      <c r="AH82" s="34">
        <f t="shared" si="180"/>
        <v>202290.43234136584</v>
      </c>
      <c r="AI82" s="34">
        <f t="shared" si="180"/>
        <v>202290.43234136584</v>
      </c>
      <c r="AJ82" s="34"/>
      <c r="AK82" s="34"/>
      <c r="AL82" s="34"/>
    </row>
    <row r="83" spans="1:38">
      <c r="A83" s="1" t="str">
        <f t="shared" si="177"/>
        <v>Conventional Mogas</v>
      </c>
      <c r="B83" s="1" t="str">
        <f>VLOOKUP($A83,Types!$A$2:$C$13,2,FALSE)</f>
        <v>GSC</v>
      </c>
      <c r="C83" s="1">
        <v>4</v>
      </c>
      <c r="D83" s="1">
        <v>2</v>
      </c>
      <c r="E83" s="1" t="str">
        <f t="shared" si="158"/>
        <v>IMPGSCP24</v>
      </c>
      <c r="F83" s="1" t="str">
        <f>CONCATENATE("Imported ",VLOOKUP($A83,Types!$A$2:$C$13,3,FALSE),", PADD ",D83,", Step ",RIGHT(C83,1))</f>
        <v>Imported Conventional Gasoline, PADD 2, Step 4</v>
      </c>
      <c r="G83" s="1" t="str">
        <f>CONCATENATE(VLOOKUP($A83,Types!$A$2:$C$13,2,FALSE),"P",D83)</f>
        <v>GSCP2</v>
      </c>
      <c r="H83" s="61">
        <f>H80*$C$8</f>
        <v>73.198950000000011</v>
      </c>
      <c r="I83" s="61">
        <f t="shared" ref="I83:K83" si="181">I80*$C$8</f>
        <v>60.705370000000009</v>
      </c>
      <c r="J83" s="61">
        <f t="shared" si="181"/>
        <v>47.589399999999998</v>
      </c>
      <c r="K83" s="61">
        <f t="shared" si="181"/>
        <v>51.480699999999999</v>
      </c>
      <c r="L83" s="62">
        <f>H83*Conv!$J$20/10^6/VLOOKUP($B83,Types!$B$2:$D$13,3,FALSE)/Conv!$I$5</f>
        <v>20.266807189081902</v>
      </c>
      <c r="M83" s="62">
        <f>I83*Conv!$J$20/10^6/VLOOKUP($B83,Types!$B$2:$D$13,3,FALSE)/Conv!$I$5</f>
        <v>16.807673185638272</v>
      </c>
      <c r="N83" s="62" t="e">
        <f>M83*#REF!</f>
        <v>#REF!</v>
      </c>
      <c r="O83" s="62" t="e">
        <f>N83*#REF!</f>
        <v>#REF!</v>
      </c>
      <c r="P83" s="62" t="e">
        <f>O83*#REF!</f>
        <v>#REF!</v>
      </c>
      <c r="Q83" s="62" t="e">
        <f>P83*#REF!</f>
        <v>#REF!</v>
      </c>
      <c r="R83" s="62" t="e">
        <f>Q83*#REF!</f>
        <v>#REF!</v>
      </c>
      <c r="S83" s="62" t="e">
        <f>R83*#REF!</f>
        <v>#REF!</v>
      </c>
      <c r="T83" s="62" t="e">
        <f>S83*#REF!</f>
        <v>#REF!</v>
      </c>
      <c r="U83" s="62" t="e">
        <f>T83*#REF!</f>
        <v>#REF!</v>
      </c>
      <c r="V83" s="62" t="e">
        <f>U83*#REF!</f>
        <v>#REF!</v>
      </c>
      <c r="W83" s="34"/>
      <c r="X83" s="1">
        <f>X80*$E$8</f>
        <v>1199998.8</v>
      </c>
      <c r="Y83" s="1">
        <f t="shared" ref="Y83:AA83" si="182">Y80*$E$8</f>
        <v>1199998.8</v>
      </c>
      <c r="Z83" s="1">
        <f t="shared" si="182"/>
        <v>1199998.8</v>
      </c>
      <c r="AA83" s="1">
        <f t="shared" si="182"/>
        <v>1199998.8</v>
      </c>
      <c r="AB83" s="34">
        <f>X83*VLOOKUP($B83,Types!$B$2:$D$13,3,FALSE)*Conv!$I$5*1000*365</f>
        <v>2427485.1880963845</v>
      </c>
      <c r="AC83" s="34">
        <f>Y83*VLOOKUP($B83,Types!$B$2:$D$13,3,FALSE)*Conv!$I$5*1000*365</f>
        <v>2427485.1880963845</v>
      </c>
      <c r="AD83" s="34">
        <f>Z83*VLOOKUP($B83,Types!$B$2:$D$13,3,FALSE)*Conv!$I$5*1000*365</f>
        <v>2427485.1880963845</v>
      </c>
      <c r="AE83" s="34">
        <f>AA83*VLOOKUP($B83,Types!$B$2:$D$13,3,FALSE)*Conv!$I$5*1000*365</f>
        <v>2427485.1880963845</v>
      </c>
      <c r="AF83" s="34">
        <f>AB83-AB80</f>
        <v>404580.86468273075</v>
      </c>
      <c r="AG83" s="34">
        <f t="shared" ref="AG83:AI83" si="183">AC83-AC80</f>
        <v>404580.86468273075</v>
      </c>
      <c r="AH83" s="34">
        <f t="shared" si="183"/>
        <v>404580.86468273075</v>
      </c>
      <c r="AI83" s="34">
        <f t="shared" si="183"/>
        <v>404580.86468273075</v>
      </c>
      <c r="AJ83" s="34"/>
      <c r="AK83" s="34"/>
      <c r="AL83" s="34"/>
    </row>
    <row r="84" spans="1:38">
      <c r="A84" s="1" t="str">
        <f t="shared" si="177"/>
        <v>Conventional Mogas</v>
      </c>
      <c r="B84" s="1" t="str">
        <f>VLOOKUP($A84,Types!$A$2:$C$13,2,FALSE)</f>
        <v>GSC</v>
      </c>
      <c r="C84" s="1">
        <v>5</v>
      </c>
      <c r="D84" s="1">
        <v>2</v>
      </c>
      <c r="E84" s="1" t="str">
        <f t="shared" si="158"/>
        <v>IMPGSCP25</v>
      </c>
      <c r="F84" s="1" t="str">
        <f>CONCATENATE("Imported ",VLOOKUP($A84,Types!$A$2:$C$13,3,FALSE),", PADD ",D84,", Step ",RIGHT(C84,1))</f>
        <v>Imported Conventional Gasoline, PADD 2, Step 5</v>
      </c>
      <c r="G84" s="1" t="str">
        <f>CONCATENATE(VLOOKUP($A84,Types!$A$2:$C$13,2,FALSE),"P",D84)</f>
        <v>GSCP2</v>
      </c>
      <c r="H84" s="61">
        <f>H80*$C$9</f>
        <v>87.301500000000004</v>
      </c>
      <c r="I84" s="61">
        <f t="shared" ref="I84:K84" si="184">I80*$C$9</f>
        <v>72.400900000000007</v>
      </c>
      <c r="J84" s="61">
        <f t="shared" si="184"/>
        <v>56.757999999999996</v>
      </c>
      <c r="K84" s="61">
        <f t="shared" si="184"/>
        <v>61.399000000000001</v>
      </c>
      <c r="L84" s="62">
        <f>H84*Conv!$J$20/10^6/VLOOKUP($B84,Types!$B$2:$D$13,3,FALSE)/Conv!$I$5</f>
        <v>24.171421418171075</v>
      </c>
      <c r="M84" s="62">
        <f>I84*Conv!$J$20/10^6/VLOOKUP($B84,Types!$B$2:$D$13,3,FALSE)/Conv!$I$5</f>
        <v>20.045848753513535</v>
      </c>
      <c r="N84" s="62" t="e">
        <f>M84*#REF!</f>
        <v>#REF!</v>
      </c>
      <c r="O84" s="62" t="e">
        <f>N84*#REF!</f>
        <v>#REF!</v>
      </c>
      <c r="P84" s="62" t="e">
        <f>O84*#REF!</f>
        <v>#REF!</v>
      </c>
      <c r="Q84" s="62" t="e">
        <f>P84*#REF!</f>
        <v>#REF!</v>
      </c>
      <c r="R84" s="62" t="e">
        <f>Q84*#REF!</f>
        <v>#REF!</v>
      </c>
      <c r="S84" s="62" t="e">
        <f>R84*#REF!</f>
        <v>#REF!</v>
      </c>
      <c r="T84" s="62" t="e">
        <f>S84*#REF!</f>
        <v>#REF!</v>
      </c>
      <c r="U84" s="62" t="e">
        <f>T84*#REF!</f>
        <v>#REF!</v>
      </c>
      <c r="V84" s="62" t="e">
        <f>U84*#REF!</f>
        <v>#REF!</v>
      </c>
      <c r="W84" s="34"/>
      <c r="X84" s="1">
        <f>X80*$E$9</f>
        <v>1999998</v>
      </c>
      <c r="Y84" s="1">
        <f t="shared" ref="Y84:AA84" si="185">Y80*$E$9</f>
        <v>1999998</v>
      </c>
      <c r="Z84" s="1">
        <f t="shared" si="185"/>
        <v>1999998</v>
      </c>
      <c r="AA84" s="1">
        <f t="shared" si="185"/>
        <v>1999998</v>
      </c>
      <c r="AB84" s="34">
        <f>X84*VLOOKUP($B84,Types!$B$2:$D$13,3,FALSE)*Conv!$I$5*1000*365</f>
        <v>4045808.6468273075</v>
      </c>
      <c r="AC84" s="34">
        <f>Y84*VLOOKUP($B84,Types!$B$2:$D$13,3,FALSE)*Conv!$I$5*1000*365</f>
        <v>4045808.6468273075</v>
      </c>
      <c r="AD84" s="34">
        <f>Z84*VLOOKUP($B84,Types!$B$2:$D$13,3,FALSE)*Conv!$I$5*1000*365</f>
        <v>4045808.6468273075</v>
      </c>
      <c r="AE84" s="34">
        <f>AA84*VLOOKUP($B84,Types!$B$2:$D$13,3,FALSE)*Conv!$I$5*1000*365</f>
        <v>4045808.6468273075</v>
      </c>
      <c r="AF84" s="34">
        <f>AB84-AB83</f>
        <v>1618323.458730923</v>
      </c>
      <c r="AG84" s="34">
        <f t="shared" ref="AG84:AI84" si="186">AC84-AC83</f>
        <v>1618323.458730923</v>
      </c>
      <c r="AH84" s="34">
        <f t="shared" si="186"/>
        <v>1618323.458730923</v>
      </c>
      <c r="AI84" s="34">
        <f t="shared" si="186"/>
        <v>1618323.458730923</v>
      </c>
      <c r="AJ84" s="34"/>
      <c r="AK84" s="34"/>
      <c r="AL84" s="34"/>
    </row>
    <row r="85" spans="1:38">
      <c r="A85" s="1" t="str">
        <f>'Agg prdcrv'!$A$8</f>
        <v>Heating No. 2</v>
      </c>
      <c r="B85" s="1" t="str">
        <f>VLOOKUP($A85,Types!$A$2:$C$13,2,FALSE)</f>
        <v>DSH</v>
      </c>
      <c r="C85" s="1">
        <v>3</v>
      </c>
      <c r="D85" s="1">
        <v>2</v>
      </c>
      <c r="E85" s="1" t="str">
        <f t="shared" si="158"/>
        <v>IMPDSHP23</v>
      </c>
      <c r="F85" s="1" t="str">
        <f>CONCATENATE("Imported ",VLOOKUP($A85,Types!$A$2:$C$13,3,FALSE),", PADD ",D85,", Step ",RIGHT(C85,1))</f>
        <v>Imported Distillate-Heating Oil No. 2, PADD 2, Step 3</v>
      </c>
      <c r="G85" s="1" t="str">
        <f>CONCATENATE(VLOOKUP($A85,Types!$A$2:$C$13,2,FALSE),"P",D85)</f>
        <v>DSHP2</v>
      </c>
      <c r="H85" s="61">
        <f>SUMIFS('Agg prdcrv NYC'!$M$6:$M$100,'Agg prdcrv NYC'!$A$6:$A$100,'Imp Refined NYC'!$A85,'Agg prdcrv NYC'!$B$6:$B$100,H$11)*K4</f>
        <v>57.310000000000009</v>
      </c>
      <c r="I85" s="61">
        <f>SUMIFS('Agg prdcrv NYC'!$M$6:$M$100,'Agg prdcrv NYC'!$A$6:$A$100,'Imp Refined NYC'!$A85,'Agg prdcrv NYC'!$B$6:$B$100,I$11)*K4</f>
        <v>54.604000000000006</v>
      </c>
      <c r="J85" s="61">
        <f t="array" ref="J85">SUMIFS('Agg prdcrv NYC'!$M$6:$M$100,'Agg prdcrv NYC'!$A$6:$A$100,'Imp Refined NYC'!$A85,'Agg prdcrv NYC'!$B$6:$B$100,J$11)</f>
        <v>36.57</v>
      </c>
      <c r="K85" s="61">
        <f t="array" ref="K85">SUMIFS('Agg prdcrv NYC'!$M$6:$M$100,'Agg prdcrv NYC'!$A$6:$A$100,'Imp Refined NYC'!$A85,'Agg prdcrv NYC'!$B$6:$B$100,K$11)</f>
        <v>39.6</v>
      </c>
      <c r="L85" s="62">
        <f>H85*Conv!$J$20/10^6/VLOOKUP($B85,Types!$B$2:$D$13,3,FALSE)/Conv!$I$5</f>
        <v>14.309430972232446</v>
      </c>
      <c r="M85" s="62">
        <f>I85*Conv!$J$20/10^6/VLOOKUP($B85,Types!$B$2:$D$13,3,FALSE)/Conv!$I$5</f>
        <v>13.633784135539704</v>
      </c>
      <c r="N85" s="62" t="e">
        <f>M85*#REF!</f>
        <v>#REF!</v>
      </c>
      <c r="O85" s="62" t="e">
        <f>N85*#REF!</f>
        <v>#REF!</v>
      </c>
      <c r="P85" s="62" t="e">
        <f>O85*#REF!</f>
        <v>#REF!</v>
      </c>
      <c r="Q85" s="62" t="e">
        <f>P85*#REF!</f>
        <v>#REF!</v>
      </c>
      <c r="R85" s="62" t="e">
        <f>Q85*#REF!</f>
        <v>#REF!</v>
      </c>
      <c r="S85" s="62" t="e">
        <f>R85*#REF!</f>
        <v>#REF!</v>
      </c>
      <c r="T85" s="62" t="e">
        <f>S85*#REF!</f>
        <v>#REF!</v>
      </c>
      <c r="U85" s="62" t="e">
        <f>T85*#REF!</f>
        <v>#REF!</v>
      </c>
      <c r="V85" s="62" t="e">
        <f>U85*#REF!</f>
        <v>#REF!</v>
      </c>
      <c r="W85" s="34"/>
      <c r="X85" s="1">
        <f t="array" ref="X85">SUMIFS('Agg prdcrv NYC'!$E$6:$E$100,'Agg prdcrv NYC'!$A$6:$A$100,'Imp Refined NYC'!$A85,'Agg prdcrv NYC'!$B$6:$B$100,X$11)</f>
        <v>999999</v>
      </c>
      <c r="Y85" s="1">
        <f t="array" ref="Y85">SUMIFS('Agg prdcrv NYC'!$E$6:$E$100,'Agg prdcrv NYC'!$A$6:$A$100,'Imp Refined NYC'!$A85,'Agg prdcrv NYC'!$B$6:$B$100,Y$11)</f>
        <v>999999</v>
      </c>
      <c r="Z85" s="1">
        <f t="array" ref="Z85">SUMIFS('Agg prdcrv NYC'!$E$6:$E$100,'Agg prdcrv NYC'!$A$6:$A$100,'Imp Refined NYC'!$A85,'Agg prdcrv NYC'!$B$6:$B$100,Z$11)</f>
        <v>999999</v>
      </c>
      <c r="AA85" s="1">
        <f t="array" ref="AA85">SUMIFS('Agg prdcrv NYC'!$E$6:$E$100,'Agg prdcrv NYC'!$A$6:$A$100,'Imp Refined NYC'!$A85,'Agg prdcrv NYC'!$B$6:$B$100,AA$11)</f>
        <v>999999</v>
      </c>
      <c r="AB85" s="34">
        <f>X85*VLOOKUP($B85,Types!$B$2:$D$13,3,FALSE)*Conv!$I$5*1000*365</f>
        <v>2243178.6948190616</v>
      </c>
      <c r="AC85" s="34">
        <f>Y85*VLOOKUP($B85,Types!$B$2:$D$13,3,FALSE)*Conv!$I$5*1000*365</f>
        <v>2243178.6948190616</v>
      </c>
      <c r="AD85" s="34">
        <f>Z85*VLOOKUP($B85,Types!$B$2:$D$13,3,FALSE)*Conv!$I$5*1000*365</f>
        <v>2243178.6948190616</v>
      </c>
      <c r="AE85" s="34">
        <f>AA85*VLOOKUP($B85,Types!$B$2:$D$13,3,FALSE)*Conv!$I$5*1000*365</f>
        <v>2243178.6948190616</v>
      </c>
      <c r="AF85" s="34">
        <f>AB85-AB87</f>
        <v>224317.86948190606</v>
      </c>
      <c r="AG85" s="34">
        <f t="shared" ref="AG85:AI85" si="187">AC85-AC87</f>
        <v>224317.86948190606</v>
      </c>
      <c r="AH85" s="34">
        <f t="shared" si="187"/>
        <v>224317.86948190606</v>
      </c>
      <c r="AI85" s="34">
        <f t="shared" si="187"/>
        <v>224317.86948190606</v>
      </c>
      <c r="AJ85" s="34"/>
      <c r="AK85" s="34"/>
      <c r="AL85" s="34"/>
    </row>
    <row r="86" spans="1:38">
      <c r="A86" s="1" t="str">
        <f>A85</f>
        <v>Heating No. 2</v>
      </c>
      <c r="B86" s="1" t="str">
        <f>VLOOKUP($A86,Types!$A$2:$C$13,2,FALSE)</f>
        <v>DSH</v>
      </c>
      <c r="C86" s="1">
        <v>1</v>
      </c>
      <c r="D86" s="1">
        <v>2</v>
      </c>
      <c r="E86" s="1" t="str">
        <f t="shared" si="158"/>
        <v>IMPDSHP21</v>
      </c>
      <c r="F86" s="1" t="str">
        <f>CONCATENATE("Imported ",VLOOKUP($A86,Types!$A$2:$C$13,3,FALSE),", PADD ",D86,", Step ",RIGHT(C86,1))</f>
        <v>Imported Distillate-Heating Oil No. 2, PADD 2, Step 1</v>
      </c>
      <c r="G86" s="1" t="str">
        <f>CONCATENATE(VLOOKUP($A86,Types!$A$2:$C$13,2,FALSE),"P",D86)</f>
        <v>DSHP2</v>
      </c>
      <c r="H86" s="61">
        <f>H85*$C$5</f>
        <v>54.444500000000005</v>
      </c>
      <c r="I86" s="61">
        <f t="shared" ref="I86:K86" si="188">I85*$C$5</f>
        <v>51.873800000000003</v>
      </c>
      <c r="J86" s="61">
        <f t="shared" si="188"/>
        <v>34.741500000000002</v>
      </c>
      <c r="K86" s="61">
        <f t="shared" si="188"/>
        <v>37.619999999999997</v>
      </c>
      <c r="L86" s="62">
        <f>H86*Conv!$J$20/10^6/VLOOKUP($B86,Types!$B$2:$D$13,3,FALSE)/Conv!$I$5</f>
        <v>13.593959423620824</v>
      </c>
      <c r="M86" s="62">
        <f>I86*Conv!$J$20/10^6/VLOOKUP($B86,Types!$B$2:$D$13,3,FALSE)/Conv!$I$5</f>
        <v>12.952094928762721</v>
      </c>
      <c r="N86" s="62" t="e">
        <f>M86*#REF!</f>
        <v>#REF!</v>
      </c>
      <c r="O86" s="62" t="e">
        <f>N86*#REF!</f>
        <v>#REF!</v>
      </c>
      <c r="P86" s="62" t="e">
        <f>O86*#REF!</f>
        <v>#REF!</v>
      </c>
      <c r="Q86" s="62" t="e">
        <f>P86*#REF!</f>
        <v>#REF!</v>
      </c>
      <c r="R86" s="62" t="e">
        <f>Q86*#REF!</f>
        <v>#REF!</v>
      </c>
      <c r="S86" s="62" t="e">
        <f>R86*#REF!</f>
        <v>#REF!</v>
      </c>
      <c r="T86" s="62" t="e">
        <f>S86*#REF!</f>
        <v>#REF!</v>
      </c>
      <c r="U86" s="62" t="e">
        <f>T86*#REF!</f>
        <v>#REF!</v>
      </c>
      <c r="V86" s="62" t="e">
        <f>U86*#REF!</f>
        <v>#REF!</v>
      </c>
      <c r="W86" s="34"/>
      <c r="X86" s="1">
        <f>X85*$E$5</f>
        <v>799999.20000000007</v>
      </c>
      <c r="Y86" s="1">
        <f t="shared" ref="Y86:AA86" si="189">Y85*$E$5</f>
        <v>799999.20000000007</v>
      </c>
      <c r="Z86" s="1">
        <f t="shared" si="189"/>
        <v>799999.20000000007</v>
      </c>
      <c r="AA86" s="1">
        <f t="shared" si="189"/>
        <v>799999.20000000007</v>
      </c>
      <c r="AB86" s="34">
        <f>X86*VLOOKUP($B86,Types!$B$2:$D$13,3,FALSE)*Conv!$I$5*1000*365</f>
        <v>1794542.9558552499</v>
      </c>
      <c r="AC86" s="34">
        <f>Y86*VLOOKUP($B86,Types!$B$2:$D$13,3,FALSE)*Conv!$I$5*1000*365</f>
        <v>1794542.9558552499</v>
      </c>
      <c r="AD86" s="34">
        <f>Z86*VLOOKUP($B86,Types!$B$2:$D$13,3,FALSE)*Conv!$I$5*1000*365</f>
        <v>1794542.9558552499</v>
      </c>
      <c r="AE86" s="34">
        <f>AA86*VLOOKUP($B86,Types!$B$2:$D$13,3,FALSE)*Conv!$I$5*1000*365</f>
        <v>1794542.9558552499</v>
      </c>
      <c r="AF86" s="34">
        <f>AB86</f>
        <v>1794542.9558552499</v>
      </c>
      <c r="AG86" s="34">
        <f t="shared" ref="AG86:AI86" si="190">AC86</f>
        <v>1794542.9558552499</v>
      </c>
      <c r="AH86" s="34">
        <f t="shared" si="190"/>
        <v>1794542.9558552499</v>
      </c>
      <c r="AI86" s="34">
        <f t="shared" si="190"/>
        <v>1794542.9558552499</v>
      </c>
      <c r="AJ86" s="34"/>
      <c r="AK86" s="34"/>
      <c r="AL86" s="34"/>
    </row>
    <row r="87" spans="1:38">
      <c r="A87" s="1" t="str">
        <f t="shared" ref="A87:A89" si="191">A86</f>
        <v>Heating No. 2</v>
      </c>
      <c r="B87" s="1" t="str">
        <f>VLOOKUP($A87,Types!$A$2:$C$13,2,FALSE)</f>
        <v>DSH</v>
      </c>
      <c r="C87" s="1">
        <v>2</v>
      </c>
      <c r="D87" s="1">
        <v>2</v>
      </c>
      <c r="E87" s="1" t="str">
        <f t="shared" si="158"/>
        <v>IMPDSHP22</v>
      </c>
      <c r="F87" s="1" t="str">
        <f>CONCATENATE("Imported ",VLOOKUP($A87,Types!$A$2:$C$13,3,FALSE),", PADD ",D87,", Step ",RIGHT(C87,1))</f>
        <v>Imported Distillate-Heating Oil No. 2, PADD 2, Step 2</v>
      </c>
      <c r="G87" s="1" t="str">
        <f>CONCATENATE(VLOOKUP($A87,Types!$A$2:$C$13,2,FALSE),"P",D87)</f>
        <v>DSHP2</v>
      </c>
      <c r="H87" s="61">
        <f>H85*$C$6</f>
        <v>56.163800000000009</v>
      </c>
      <c r="I87" s="61">
        <f t="shared" ref="I87:K87" si="192">I85*$C$6</f>
        <v>53.511920000000003</v>
      </c>
      <c r="J87" s="61">
        <f t="shared" si="192"/>
        <v>35.8386</v>
      </c>
      <c r="K87" s="61">
        <f t="shared" si="192"/>
        <v>38.808</v>
      </c>
      <c r="L87" s="62">
        <f>H87*Conv!$J$20/10^6/VLOOKUP($B87,Types!$B$2:$D$13,3,FALSE)/Conv!$I$5</f>
        <v>14.023242352787797</v>
      </c>
      <c r="M87" s="62">
        <f>I87*Conv!$J$20/10^6/VLOOKUP($B87,Types!$B$2:$D$13,3,FALSE)/Conv!$I$5</f>
        <v>13.361108452828908</v>
      </c>
      <c r="N87" s="62" t="e">
        <f>M87*#REF!</f>
        <v>#REF!</v>
      </c>
      <c r="O87" s="62" t="e">
        <f>N87*#REF!</f>
        <v>#REF!</v>
      </c>
      <c r="P87" s="62" t="e">
        <f>O87*#REF!</f>
        <v>#REF!</v>
      </c>
      <c r="Q87" s="62" t="e">
        <f>P87*#REF!</f>
        <v>#REF!</v>
      </c>
      <c r="R87" s="62" t="e">
        <f>Q87*#REF!</f>
        <v>#REF!</v>
      </c>
      <c r="S87" s="62" t="e">
        <f>R87*#REF!</f>
        <v>#REF!</v>
      </c>
      <c r="T87" s="62" t="e">
        <f>S87*#REF!</f>
        <v>#REF!</v>
      </c>
      <c r="U87" s="62" t="e">
        <f>T87*#REF!</f>
        <v>#REF!</v>
      </c>
      <c r="V87" s="62" t="e">
        <f>U87*#REF!</f>
        <v>#REF!</v>
      </c>
      <c r="W87" s="34"/>
      <c r="X87" s="1">
        <f>X85*$E$6</f>
        <v>899999.1</v>
      </c>
      <c r="Y87" s="1">
        <f t="shared" ref="Y87:AA87" si="193">Y85*$E$6</f>
        <v>899999.1</v>
      </c>
      <c r="Z87" s="1">
        <f t="shared" si="193"/>
        <v>899999.1</v>
      </c>
      <c r="AA87" s="1">
        <f t="shared" si="193"/>
        <v>899999.1</v>
      </c>
      <c r="AB87" s="34">
        <f>X87*VLOOKUP($B87,Types!$B$2:$D$13,3,FALSE)*Conv!$I$5*1000*365</f>
        <v>2018860.8253371555</v>
      </c>
      <c r="AC87" s="34">
        <f>Y87*VLOOKUP($B87,Types!$B$2:$D$13,3,FALSE)*Conv!$I$5*1000*365</f>
        <v>2018860.8253371555</v>
      </c>
      <c r="AD87" s="34">
        <f>Z87*VLOOKUP($B87,Types!$B$2:$D$13,3,FALSE)*Conv!$I$5*1000*365</f>
        <v>2018860.8253371555</v>
      </c>
      <c r="AE87" s="34">
        <f>AA87*VLOOKUP($B87,Types!$B$2:$D$13,3,FALSE)*Conv!$I$5*1000*365</f>
        <v>2018860.8253371555</v>
      </c>
      <c r="AF87" s="34">
        <f>AB87-AF86</f>
        <v>224317.8694819056</v>
      </c>
      <c r="AG87" s="34">
        <f t="shared" ref="AG87:AI87" si="194">AC87-AG86</f>
        <v>224317.8694819056</v>
      </c>
      <c r="AH87" s="34">
        <f t="shared" si="194"/>
        <v>224317.8694819056</v>
      </c>
      <c r="AI87" s="34">
        <f t="shared" si="194"/>
        <v>224317.8694819056</v>
      </c>
      <c r="AJ87" s="34"/>
      <c r="AK87" s="34"/>
      <c r="AL87" s="34"/>
    </row>
    <row r="88" spans="1:38">
      <c r="A88" s="1" t="str">
        <f t="shared" si="191"/>
        <v>Heating No. 2</v>
      </c>
      <c r="B88" s="1" t="str">
        <f>VLOOKUP($A88,Types!$A$2:$C$13,2,FALSE)</f>
        <v>DSH</v>
      </c>
      <c r="C88" s="1">
        <v>4</v>
      </c>
      <c r="D88" s="1">
        <v>2</v>
      </c>
      <c r="E88" s="1" t="str">
        <f t="shared" si="158"/>
        <v>IMPDSHP24</v>
      </c>
      <c r="F88" s="1" t="str">
        <f>CONCATENATE("Imported ",VLOOKUP($A88,Types!$A$2:$C$13,3,FALSE),", PADD ",D88,", Step ",RIGHT(C88,1))</f>
        <v>Imported Distillate-Heating Oil No. 2, PADD 2, Step 4</v>
      </c>
      <c r="G88" s="1" t="str">
        <f>CONCATENATE(VLOOKUP($A88,Types!$A$2:$C$13,2,FALSE),"P",D88)</f>
        <v>DSHP2</v>
      </c>
      <c r="H88" s="61">
        <f>H85*$C$8</f>
        <v>62.467900000000014</v>
      </c>
      <c r="I88" s="61">
        <f t="shared" ref="I88:K88" si="195">I85*$C$8</f>
        <v>59.518360000000008</v>
      </c>
      <c r="J88" s="61">
        <f t="shared" si="195"/>
        <v>39.8613</v>
      </c>
      <c r="K88" s="61">
        <f t="shared" si="195"/>
        <v>43.164000000000001</v>
      </c>
      <c r="L88" s="62">
        <f>H88*Conv!$J$20/10^6/VLOOKUP($B88,Types!$B$2:$D$13,3,FALSE)/Conv!$I$5</f>
        <v>15.597279759733366</v>
      </c>
      <c r="M88" s="62">
        <f>I88*Conv!$J$20/10^6/VLOOKUP($B88,Types!$B$2:$D$13,3,FALSE)/Conv!$I$5</f>
        <v>14.860824707738278</v>
      </c>
      <c r="N88" s="62" t="e">
        <f>M88*#REF!</f>
        <v>#REF!</v>
      </c>
      <c r="O88" s="62" t="e">
        <f>N88*#REF!</f>
        <v>#REF!</v>
      </c>
      <c r="P88" s="62" t="e">
        <f>O88*#REF!</f>
        <v>#REF!</v>
      </c>
      <c r="Q88" s="62" t="e">
        <f>P88*#REF!</f>
        <v>#REF!</v>
      </c>
      <c r="R88" s="62" t="e">
        <f>Q88*#REF!</f>
        <v>#REF!</v>
      </c>
      <c r="S88" s="62" t="e">
        <f>R88*#REF!</f>
        <v>#REF!</v>
      </c>
      <c r="T88" s="62" t="e">
        <f>S88*#REF!</f>
        <v>#REF!</v>
      </c>
      <c r="U88" s="62" t="e">
        <f>T88*#REF!</f>
        <v>#REF!</v>
      </c>
      <c r="V88" s="62" t="e">
        <f>U88*#REF!</f>
        <v>#REF!</v>
      </c>
      <c r="W88" s="34"/>
      <c r="X88" s="1">
        <f>X85*$E$8</f>
        <v>1199998.8</v>
      </c>
      <c r="Y88" s="1">
        <f t="shared" ref="Y88:AA88" si="196">Y85*$E$8</f>
        <v>1199998.8</v>
      </c>
      <c r="Z88" s="1">
        <f t="shared" si="196"/>
        <v>1199998.8</v>
      </c>
      <c r="AA88" s="1">
        <f t="shared" si="196"/>
        <v>1199998.8</v>
      </c>
      <c r="AB88" s="34">
        <f>X88*VLOOKUP($B88,Types!$B$2:$D$13,3,FALSE)*Conv!$I$5*1000*365</f>
        <v>2691814.4337828746</v>
      </c>
      <c r="AC88" s="34">
        <f>Y88*VLOOKUP($B88,Types!$B$2:$D$13,3,FALSE)*Conv!$I$5*1000*365</f>
        <v>2691814.4337828746</v>
      </c>
      <c r="AD88" s="34">
        <f>Z88*VLOOKUP($B88,Types!$B$2:$D$13,3,FALSE)*Conv!$I$5*1000*365</f>
        <v>2691814.4337828746</v>
      </c>
      <c r="AE88" s="34">
        <f>AA88*VLOOKUP($B88,Types!$B$2:$D$13,3,FALSE)*Conv!$I$5*1000*365</f>
        <v>2691814.4337828746</v>
      </c>
      <c r="AF88" s="34">
        <f>AB88-AB85</f>
        <v>448635.73896381306</v>
      </c>
      <c r="AG88" s="34">
        <f t="shared" ref="AG88:AI88" si="197">AC88-AC85</f>
        <v>448635.73896381306</v>
      </c>
      <c r="AH88" s="34">
        <f t="shared" si="197"/>
        <v>448635.73896381306</v>
      </c>
      <c r="AI88" s="34">
        <f t="shared" si="197"/>
        <v>448635.73896381306</v>
      </c>
      <c r="AJ88" s="34"/>
      <c r="AK88" s="34"/>
      <c r="AL88" s="34"/>
    </row>
    <row r="89" spans="1:38">
      <c r="A89" s="1" t="str">
        <f t="shared" si="191"/>
        <v>Heating No. 2</v>
      </c>
      <c r="B89" s="1" t="str">
        <f>VLOOKUP($A89,Types!$A$2:$C$13,2,FALSE)</f>
        <v>DSH</v>
      </c>
      <c r="C89" s="1">
        <v>5</v>
      </c>
      <c r="D89" s="1">
        <v>2</v>
      </c>
      <c r="E89" s="1" t="str">
        <f t="shared" si="158"/>
        <v>IMPDSHP25</v>
      </c>
      <c r="F89" s="1" t="str">
        <f>CONCATENATE("Imported ",VLOOKUP($A89,Types!$A$2:$C$13,3,FALSE),", PADD ",D89,", Step ",RIGHT(C89,1))</f>
        <v>Imported Distillate-Heating Oil No. 2, PADD 2, Step 5</v>
      </c>
      <c r="G89" s="1" t="str">
        <f>CONCATENATE(VLOOKUP($A89,Types!$A$2:$C$13,2,FALSE),"P",D89)</f>
        <v>DSHP2</v>
      </c>
      <c r="H89" s="61">
        <f>H85*$C$9</f>
        <v>74.503000000000014</v>
      </c>
      <c r="I89" s="61">
        <f t="shared" ref="I89:K89" si="198">I85*$C$9</f>
        <v>70.985200000000006</v>
      </c>
      <c r="J89" s="61">
        <f t="shared" si="198"/>
        <v>47.541000000000004</v>
      </c>
      <c r="K89" s="61">
        <f t="shared" si="198"/>
        <v>51.480000000000004</v>
      </c>
      <c r="L89" s="62">
        <f>H89*Conv!$J$20/10^6/VLOOKUP($B89,Types!$B$2:$D$13,3,FALSE)/Conv!$I$5</f>
        <v>18.602260263902181</v>
      </c>
      <c r="M89" s="62">
        <f>I89*Conv!$J$20/10^6/VLOOKUP($B89,Types!$B$2:$D$13,3,FALSE)/Conv!$I$5</f>
        <v>17.723919376201614</v>
      </c>
      <c r="N89" s="62" t="e">
        <f>M89*#REF!</f>
        <v>#REF!</v>
      </c>
      <c r="O89" s="62" t="e">
        <f>N89*#REF!</f>
        <v>#REF!</v>
      </c>
      <c r="P89" s="62" t="e">
        <f>O89*#REF!</f>
        <v>#REF!</v>
      </c>
      <c r="Q89" s="62" t="e">
        <f>P89*#REF!</f>
        <v>#REF!</v>
      </c>
      <c r="R89" s="62" t="e">
        <f>Q89*#REF!</f>
        <v>#REF!</v>
      </c>
      <c r="S89" s="62" t="e">
        <f>R89*#REF!</f>
        <v>#REF!</v>
      </c>
      <c r="T89" s="62" t="e">
        <f>S89*#REF!</f>
        <v>#REF!</v>
      </c>
      <c r="U89" s="62" t="e">
        <f>T89*#REF!</f>
        <v>#REF!</v>
      </c>
      <c r="V89" s="62" t="e">
        <f>U89*#REF!</f>
        <v>#REF!</v>
      </c>
      <c r="W89" s="34"/>
      <c r="X89" s="1">
        <f>X85*$E$9</f>
        <v>1999998</v>
      </c>
      <c r="Y89" s="1">
        <f t="shared" ref="Y89:AA89" si="199">Y85*$E$9</f>
        <v>1999998</v>
      </c>
      <c r="Z89" s="1">
        <f t="shared" si="199"/>
        <v>1999998</v>
      </c>
      <c r="AA89" s="1">
        <f t="shared" si="199"/>
        <v>1999998</v>
      </c>
      <c r="AB89" s="34">
        <f>X89*VLOOKUP($B89,Types!$B$2:$D$13,3,FALSE)*Conv!$I$5*1000*365</f>
        <v>4486357.3896381231</v>
      </c>
      <c r="AC89" s="34">
        <f>Y89*VLOOKUP($B89,Types!$B$2:$D$13,3,FALSE)*Conv!$I$5*1000*365</f>
        <v>4486357.3896381231</v>
      </c>
      <c r="AD89" s="34">
        <f>Z89*VLOOKUP($B89,Types!$B$2:$D$13,3,FALSE)*Conv!$I$5*1000*365</f>
        <v>4486357.3896381231</v>
      </c>
      <c r="AE89" s="34">
        <f>AA89*VLOOKUP($B89,Types!$B$2:$D$13,3,FALSE)*Conv!$I$5*1000*365</f>
        <v>4486357.3896381231</v>
      </c>
      <c r="AF89" s="34">
        <f>AB89-AB88</f>
        <v>1794542.9558552485</v>
      </c>
      <c r="AG89" s="34">
        <f t="shared" ref="AG89:AI89" si="200">AC89-AC88</f>
        <v>1794542.9558552485</v>
      </c>
      <c r="AH89" s="34">
        <f t="shared" si="200"/>
        <v>1794542.9558552485</v>
      </c>
      <c r="AI89" s="34">
        <f t="shared" si="200"/>
        <v>1794542.9558552485</v>
      </c>
      <c r="AJ89" s="34"/>
      <c r="AK89" s="34"/>
      <c r="AL89" s="34"/>
    </row>
    <row r="90" spans="1:38">
      <c r="A90" s="1" t="str">
        <f>'Agg prdcrv'!$A$9</f>
        <v>LS Diesel (500 ppm)</v>
      </c>
      <c r="B90" s="1" t="str">
        <f>VLOOKUP($A90,Types!$A$2:$C$13,2,FALSE)</f>
        <v>DSL</v>
      </c>
      <c r="C90" s="1">
        <v>3</v>
      </c>
      <c r="D90" s="1">
        <v>2</v>
      </c>
      <c r="E90" s="1" t="str">
        <f t="shared" si="158"/>
        <v>IMPDSLP23</v>
      </c>
      <c r="F90" s="1" t="str">
        <f>CONCATENATE("Imported ",VLOOKUP($A90,Types!$A$2:$C$13,3,FALSE),", PADD ",D90,", Step ",RIGHT(C90,1))</f>
        <v>Imported Distillate-Low Sulfur Highway Diesel (500 ppm), PADD 2, Step 3</v>
      </c>
      <c r="G90" s="1" t="str">
        <f>CONCATENATE(VLOOKUP($A90,Types!$A$2:$C$13,2,FALSE),"P",D90)</f>
        <v>DSLP2</v>
      </c>
      <c r="H90" s="61">
        <f>SUMIFS('Agg prdcrv NYC'!$M$6:$M$100,'Agg prdcrv NYC'!$A$6:$A$100,'Imp Refined NYC'!$A90,'Agg prdcrv NYC'!$B$6:$B$100,H$11)*K4</f>
        <v>55.495000000000005</v>
      </c>
      <c r="I90" s="61">
        <f>SUMIFS('Agg prdcrv NYC'!$M$6:$M$100,'Agg prdcrv NYC'!$A$6:$A$100,'Imp Refined NYC'!$A90,'Agg prdcrv NYC'!$B$6:$B$100,I$11)*K4</f>
        <v>49.049000000000007</v>
      </c>
      <c r="J90" s="61">
        <f t="array" ref="J90">SUMIFS('Agg prdcrv NYC'!$M$6:$M$100,'Agg prdcrv NYC'!$A$6:$A$100,'Imp Refined NYC'!$A90,'Agg prdcrv NYC'!$B$6:$B$100,J$11)</f>
        <v>113.5</v>
      </c>
      <c r="K90" s="61">
        <f t="array" ref="K90">SUMIFS('Agg prdcrv NYC'!$M$6:$M$100,'Agg prdcrv NYC'!$A$6:$A$100,'Imp Refined NYC'!$A90,'Agg prdcrv NYC'!$B$6:$B$100,K$11)</f>
        <v>113.5</v>
      </c>
      <c r="L90" s="62">
        <f>H90*Conv!$J$20/10^6/VLOOKUP($B90,Types!$B$2:$D$13,3,FALSE)/Conv!$I$5</f>
        <v>13.856253215914144</v>
      </c>
      <c r="M90" s="62">
        <f>I90*Conv!$J$20/10^6/VLOOKUP($B90,Types!$B$2:$D$13,3,FALSE)/Conv!$I$5</f>
        <v>12.246785548020053</v>
      </c>
      <c r="N90" s="62" t="e">
        <f>M90*#REF!</f>
        <v>#REF!</v>
      </c>
      <c r="O90" s="62" t="e">
        <f>N90*#REF!</f>
        <v>#REF!</v>
      </c>
      <c r="P90" s="62" t="e">
        <f>O90*#REF!</f>
        <v>#REF!</v>
      </c>
      <c r="Q90" s="62" t="e">
        <f>P90*#REF!</f>
        <v>#REF!</v>
      </c>
      <c r="R90" s="62" t="e">
        <f>Q90*#REF!</f>
        <v>#REF!</v>
      </c>
      <c r="S90" s="62" t="e">
        <f>R90*#REF!</f>
        <v>#REF!</v>
      </c>
      <c r="T90" s="62" t="e">
        <f>S90*#REF!</f>
        <v>#REF!</v>
      </c>
      <c r="U90" s="62" t="e">
        <f>T90*#REF!</f>
        <v>#REF!</v>
      </c>
      <c r="V90" s="62" t="e">
        <f>U90*#REF!</f>
        <v>#REF!</v>
      </c>
      <c r="W90" s="34"/>
      <c r="X90" s="1">
        <f t="array" ref="X90">SUMIFS('Agg prdcrv NYC'!$E$6:$E$100,'Agg prdcrv NYC'!$A$6:$A$100,'Imp Refined NYC'!$A90,'Agg prdcrv NYC'!$B$6:$B$100,X$11)</f>
        <v>999999</v>
      </c>
      <c r="Y90" s="1">
        <f t="array" ref="Y90">SUMIFS('Agg prdcrv NYC'!$E$6:$E$100,'Agg prdcrv NYC'!$A$6:$A$100,'Imp Refined NYC'!$A90,'Agg prdcrv NYC'!$B$6:$B$100,Y$11)</f>
        <v>999999</v>
      </c>
      <c r="Z90" s="1">
        <f t="array" ref="Z90">SUMIFS('Agg prdcrv NYC'!$E$6:$E$100,'Agg prdcrv NYC'!$A$6:$A$100,'Imp Refined NYC'!$A90,'Agg prdcrv NYC'!$B$6:$B$100,Z$11)</f>
        <v>999999</v>
      </c>
      <c r="AA90" s="1">
        <f t="array" ref="AA90">SUMIFS('Agg prdcrv NYC'!$E$6:$E$100,'Agg prdcrv NYC'!$A$6:$A$100,'Imp Refined NYC'!$A90,'Agg prdcrv NYC'!$B$6:$B$100,AA$11)</f>
        <v>999999</v>
      </c>
      <c r="AB90" s="34">
        <f>X90*VLOOKUP($B90,Types!$B$2:$D$13,3,FALSE)*Conv!$I$5*1000*365</f>
        <v>2243178.6948190616</v>
      </c>
      <c r="AC90" s="34">
        <f>Y90*VLOOKUP($B90,Types!$B$2:$D$13,3,FALSE)*Conv!$I$5*1000*365</f>
        <v>2243178.6948190616</v>
      </c>
      <c r="AD90" s="34">
        <f>Z90*VLOOKUP($B90,Types!$B$2:$D$13,3,FALSE)*Conv!$I$5*1000*365</f>
        <v>2243178.6948190616</v>
      </c>
      <c r="AE90" s="34">
        <f>AA90*VLOOKUP($B90,Types!$B$2:$D$13,3,FALSE)*Conv!$I$5*1000*365</f>
        <v>2243178.6948190616</v>
      </c>
      <c r="AF90" s="34">
        <f>AB90-AB92</f>
        <v>224317.86948190606</v>
      </c>
      <c r="AG90" s="34">
        <f t="shared" ref="AG90:AI90" si="201">AC90-AC92</f>
        <v>224317.86948190606</v>
      </c>
      <c r="AH90" s="34">
        <f t="shared" si="201"/>
        <v>224317.86948190606</v>
      </c>
      <c r="AI90" s="34">
        <f t="shared" si="201"/>
        <v>224317.86948190606</v>
      </c>
      <c r="AJ90" s="34"/>
      <c r="AK90" s="34"/>
      <c r="AL90" s="34"/>
    </row>
    <row r="91" spans="1:38">
      <c r="A91" s="1" t="str">
        <f>A90</f>
        <v>LS Diesel (500 ppm)</v>
      </c>
      <c r="B91" s="1" t="str">
        <f>VLOOKUP($A91,Types!$A$2:$C$13,2,FALSE)</f>
        <v>DSL</v>
      </c>
      <c r="C91" s="1">
        <v>1</v>
      </c>
      <c r="D91" s="1">
        <v>2</v>
      </c>
      <c r="E91" s="1" t="str">
        <f t="shared" si="158"/>
        <v>IMPDSLP21</v>
      </c>
      <c r="F91" s="1" t="str">
        <f>CONCATENATE("Imported ",VLOOKUP($A91,Types!$A$2:$C$13,3,FALSE),", PADD ",D91,", Step ",RIGHT(C91,1))</f>
        <v>Imported Distillate-Low Sulfur Highway Diesel (500 ppm), PADD 2, Step 1</v>
      </c>
      <c r="G91" s="1" t="str">
        <f>CONCATENATE(VLOOKUP($A91,Types!$A$2:$C$13,2,FALSE),"P",D91)</f>
        <v>DSLP2</v>
      </c>
      <c r="H91" s="61">
        <f>H90*$C$5</f>
        <v>52.72025</v>
      </c>
      <c r="I91" s="61">
        <f t="shared" ref="I91:K91" si="202">I90*$C$5</f>
        <v>46.596550000000001</v>
      </c>
      <c r="J91" s="61">
        <f t="shared" si="202"/>
        <v>107.82499999999999</v>
      </c>
      <c r="K91" s="61">
        <f t="shared" si="202"/>
        <v>107.82499999999999</v>
      </c>
      <c r="L91" s="62">
        <f>H91*Conv!$J$20/10^6/VLOOKUP($B91,Types!$B$2:$D$13,3,FALSE)/Conv!$I$5</f>
        <v>13.163440555118434</v>
      </c>
      <c r="M91" s="62">
        <f>I91*Conv!$J$20/10^6/VLOOKUP($B91,Types!$B$2:$D$13,3,FALSE)/Conv!$I$5</f>
        <v>11.634446270619048</v>
      </c>
      <c r="N91" s="62" t="e">
        <f>M91*#REF!</f>
        <v>#REF!</v>
      </c>
      <c r="O91" s="62" t="e">
        <f>N91*#REF!</f>
        <v>#REF!</v>
      </c>
      <c r="P91" s="62" t="e">
        <f>O91*#REF!</f>
        <v>#REF!</v>
      </c>
      <c r="Q91" s="62" t="e">
        <f>P91*#REF!</f>
        <v>#REF!</v>
      </c>
      <c r="R91" s="62" t="e">
        <f>Q91*#REF!</f>
        <v>#REF!</v>
      </c>
      <c r="S91" s="62" t="e">
        <f>R91*#REF!</f>
        <v>#REF!</v>
      </c>
      <c r="T91" s="62" t="e">
        <f>S91*#REF!</f>
        <v>#REF!</v>
      </c>
      <c r="U91" s="62" t="e">
        <f>T91*#REF!</f>
        <v>#REF!</v>
      </c>
      <c r="V91" s="62" t="e">
        <f>U91*#REF!</f>
        <v>#REF!</v>
      </c>
      <c r="W91" s="34"/>
      <c r="X91" s="1">
        <f>X90*$E$5</f>
        <v>799999.20000000007</v>
      </c>
      <c r="Y91" s="1">
        <f t="shared" ref="Y91:AA91" si="203">Y90*$E$5</f>
        <v>799999.20000000007</v>
      </c>
      <c r="Z91" s="1">
        <f t="shared" si="203"/>
        <v>799999.20000000007</v>
      </c>
      <c r="AA91" s="1">
        <f t="shared" si="203"/>
        <v>799999.20000000007</v>
      </c>
      <c r="AB91" s="34">
        <f>X91*VLOOKUP($B91,Types!$B$2:$D$13,3,FALSE)*Conv!$I$5*1000*365</f>
        <v>1794542.9558552499</v>
      </c>
      <c r="AC91" s="34">
        <f>Y91*VLOOKUP($B91,Types!$B$2:$D$13,3,FALSE)*Conv!$I$5*1000*365</f>
        <v>1794542.9558552499</v>
      </c>
      <c r="AD91" s="34">
        <f>Z91*VLOOKUP($B91,Types!$B$2:$D$13,3,FALSE)*Conv!$I$5*1000*365</f>
        <v>1794542.9558552499</v>
      </c>
      <c r="AE91" s="34">
        <f>AA91*VLOOKUP($B91,Types!$B$2:$D$13,3,FALSE)*Conv!$I$5*1000*365</f>
        <v>1794542.9558552499</v>
      </c>
      <c r="AF91" s="34">
        <f>AB91</f>
        <v>1794542.9558552499</v>
      </c>
      <c r="AG91" s="34">
        <f t="shared" ref="AG91:AI91" si="204">AC91</f>
        <v>1794542.9558552499</v>
      </c>
      <c r="AH91" s="34">
        <f t="shared" si="204"/>
        <v>1794542.9558552499</v>
      </c>
      <c r="AI91" s="34">
        <f t="shared" si="204"/>
        <v>1794542.9558552499</v>
      </c>
      <c r="AJ91" s="34"/>
      <c r="AK91" s="34"/>
      <c r="AL91" s="34"/>
    </row>
    <row r="92" spans="1:38">
      <c r="A92" s="1" t="str">
        <f t="shared" ref="A92:A94" si="205">A91</f>
        <v>LS Diesel (500 ppm)</v>
      </c>
      <c r="B92" s="1" t="str">
        <f>VLOOKUP($A92,Types!$A$2:$C$13,2,FALSE)</f>
        <v>DSL</v>
      </c>
      <c r="C92" s="1">
        <v>2</v>
      </c>
      <c r="D92" s="1">
        <v>2</v>
      </c>
      <c r="E92" s="1" t="str">
        <f t="shared" si="158"/>
        <v>IMPDSLP22</v>
      </c>
      <c r="F92" s="1" t="str">
        <f>CONCATENATE("Imported ",VLOOKUP($A92,Types!$A$2:$C$13,3,FALSE),", PADD ",D92,", Step ",RIGHT(C92,1))</f>
        <v>Imported Distillate-Low Sulfur Highway Diesel (500 ppm), PADD 2, Step 2</v>
      </c>
      <c r="G92" s="1" t="str">
        <f>CONCATENATE(VLOOKUP($A92,Types!$A$2:$C$13,2,FALSE),"P",D92)</f>
        <v>DSLP2</v>
      </c>
      <c r="H92" s="61">
        <f>H90*$C$6</f>
        <v>54.385100000000001</v>
      </c>
      <c r="I92" s="61">
        <f t="shared" ref="I92:K92" si="206">I90*$C$6</f>
        <v>48.068020000000004</v>
      </c>
      <c r="J92" s="61">
        <f t="shared" si="206"/>
        <v>111.23</v>
      </c>
      <c r="K92" s="61">
        <f t="shared" si="206"/>
        <v>111.23</v>
      </c>
      <c r="L92" s="62">
        <f>H92*Conv!$J$20/10^6/VLOOKUP($B92,Types!$B$2:$D$13,3,FALSE)/Conv!$I$5</f>
        <v>13.57912815159586</v>
      </c>
      <c r="M92" s="62">
        <f>I92*Conv!$J$20/10^6/VLOOKUP($B92,Types!$B$2:$D$13,3,FALSE)/Conv!$I$5</f>
        <v>12.001849837059652</v>
      </c>
      <c r="N92" s="62" t="e">
        <f>M92*#REF!</f>
        <v>#REF!</v>
      </c>
      <c r="O92" s="62" t="e">
        <f>N92*#REF!</f>
        <v>#REF!</v>
      </c>
      <c r="P92" s="62" t="e">
        <f>O92*#REF!</f>
        <v>#REF!</v>
      </c>
      <c r="Q92" s="62" t="e">
        <f>P92*#REF!</f>
        <v>#REF!</v>
      </c>
      <c r="R92" s="62" t="e">
        <f>Q92*#REF!</f>
        <v>#REF!</v>
      </c>
      <c r="S92" s="62" t="e">
        <f>R92*#REF!</f>
        <v>#REF!</v>
      </c>
      <c r="T92" s="62" t="e">
        <f>S92*#REF!</f>
        <v>#REF!</v>
      </c>
      <c r="U92" s="62" t="e">
        <f>T92*#REF!</f>
        <v>#REF!</v>
      </c>
      <c r="V92" s="62" t="e">
        <f>U92*#REF!</f>
        <v>#REF!</v>
      </c>
      <c r="W92" s="34"/>
      <c r="X92" s="1">
        <f>X90*$E$6</f>
        <v>899999.1</v>
      </c>
      <c r="Y92" s="1">
        <f t="shared" ref="Y92:AA92" si="207">Y90*$E$6</f>
        <v>899999.1</v>
      </c>
      <c r="Z92" s="1">
        <f t="shared" si="207"/>
        <v>899999.1</v>
      </c>
      <c r="AA92" s="1">
        <f t="shared" si="207"/>
        <v>899999.1</v>
      </c>
      <c r="AB92" s="34">
        <f>X92*VLOOKUP($B92,Types!$B$2:$D$13,3,FALSE)*Conv!$I$5*1000*365</f>
        <v>2018860.8253371555</v>
      </c>
      <c r="AC92" s="34">
        <f>Y92*VLOOKUP($B92,Types!$B$2:$D$13,3,FALSE)*Conv!$I$5*1000*365</f>
        <v>2018860.8253371555</v>
      </c>
      <c r="AD92" s="34">
        <f>Z92*VLOOKUP($B92,Types!$B$2:$D$13,3,FALSE)*Conv!$I$5*1000*365</f>
        <v>2018860.8253371555</v>
      </c>
      <c r="AE92" s="34">
        <f>AA92*VLOOKUP($B92,Types!$B$2:$D$13,3,FALSE)*Conv!$I$5*1000*365</f>
        <v>2018860.8253371555</v>
      </c>
      <c r="AF92" s="34">
        <f>AB92-AF91</f>
        <v>224317.8694819056</v>
      </c>
      <c r="AG92" s="34">
        <f t="shared" ref="AG92:AI92" si="208">AC92-AG91</f>
        <v>224317.8694819056</v>
      </c>
      <c r="AH92" s="34">
        <f t="shared" si="208"/>
        <v>224317.8694819056</v>
      </c>
      <c r="AI92" s="34">
        <f t="shared" si="208"/>
        <v>224317.8694819056</v>
      </c>
      <c r="AJ92" s="34"/>
      <c r="AK92" s="34"/>
      <c r="AL92" s="34"/>
    </row>
    <row r="93" spans="1:38">
      <c r="A93" s="1" t="str">
        <f t="shared" si="205"/>
        <v>LS Diesel (500 ppm)</v>
      </c>
      <c r="B93" s="1" t="str">
        <f>VLOOKUP($A93,Types!$A$2:$C$13,2,FALSE)</f>
        <v>DSL</v>
      </c>
      <c r="C93" s="1">
        <v>4</v>
      </c>
      <c r="D93" s="1">
        <v>2</v>
      </c>
      <c r="E93" s="1" t="str">
        <f t="shared" si="158"/>
        <v>IMPDSLP24</v>
      </c>
      <c r="F93" s="1" t="str">
        <f>CONCATENATE("Imported ",VLOOKUP($A93,Types!$A$2:$C$13,3,FALSE),", PADD ",D93,", Step ",RIGHT(C93,1))</f>
        <v>Imported Distillate-Low Sulfur Highway Diesel (500 ppm), PADD 2, Step 4</v>
      </c>
      <c r="G93" s="1" t="str">
        <f>CONCATENATE(VLOOKUP($A93,Types!$A$2:$C$13,2,FALSE),"P",D93)</f>
        <v>DSLP2</v>
      </c>
      <c r="H93" s="61">
        <f>H90*$C$8</f>
        <v>60.489550000000008</v>
      </c>
      <c r="I93" s="61">
        <f t="shared" ref="I93:K93" si="209">I90*$C$8</f>
        <v>53.46341000000001</v>
      </c>
      <c r="J93" s="61">
        <f t="shared" si="209"/>
        <v>123.715</v>
      </c>
      <c r="K93" s="61">
        <f t="shared" si="209"/>
        <v>123.715</v>
      </c>
      <c r="L93" s="62">
        <f>H93*Conv!$J$20/10^6/VLOOKUP($B93,Types!$B$2:$D$13,3,FALSE)/Conv!$I$5</f>
        <v>15.103316005346416</v>
      </c>
      <c r="M93" s="62">
        <f>I93*Conv!$J$20/10^6/VLOOKUP($B93,Types!$B$2:$D$13,3,FALSE)/Conv!$I$5</f>
        <v>13.34899624734186</v>
      </c>
      <c r="N93" s="62" t="e">
        <f>M93*#REF!</f>
        <v>#REF!</v>
      </c>
      <c r="O93" s="62" t="e">
        <f>N93*#REF!</f>
        <v>#REF!</v>
      </c>
      <c r="P93" s="62" t="e">
        <f>O93*#REF!</f>
        <v>#REF!</v>
      </c>
      <c r="Q93" s="62" t="e">
        <f>P93*#REF!</f>
        <v>#REF!</v>
      </c>
      <c r="R93" s="62" t="e">
        <f>Q93*#REF!</f>
        <v>#REF!</v>
      </c>
      <c r="S93" s="62" t="e">
        <f>R93*#REF!</f>
        <v>#REF!</v>
      </c>
      <c r="T93" s="62" t="e">
        <f>S93*#REF!</f>
        <v>#REF!</v>
      </c>
      <c r="U93" s="62" t="e">
        <f>T93*#REF!</f>
        <v>#REF!</v>
      </c>
      <c r="V93" s="62" t="e">
        <f>U93*#REF!</f>
        <v>#REF!</v>
      </c>
      <c r="W93" s="34"/>
      <c r="X93" s="1">
        <f>X90*$E$8</f>
        <v>1199998.8</v>
      </c>
      <c r="Y93" s="1">
        <f t="shared" ref="Y93:AA93" si="210">Y90*$E$8</f>
        <v>1199998.8</v>
      </c>
      <c r="Z93" s="1">
        <f t="shared" si="210"/>
        <v>1199998.8</v>
      </c>
      <c r="AA93" s="1">
        <f t="shared" si="210"/>
        <v>1199998.8</v>
      </c>
      <c r="AB93" s="34">
        <f>X93*VLOOKUP($B93,Types!$B$2:$D$13,3,FALSE)*Conv!$I$5*1000*365</f>
        <v>2691814.4337828746</v>
      </c>
      <c r="AC93" s="34">
        <f>Y93*VLOOKUP($B93,Types!$B$2:$D$13,3,FALSE)*Conv!$I$5*1000*365</f>
        <v>2691814.4337828746</v>
      </c>
      <c r="AD93" s="34">
        <f>Z93*VLOOKUP($B93,Types!$B$2:$D$13,3,FALSE)*Conv!$I$5*1000*365</f>
        <v>2691814.4337828746</v>
      </c>
      <c r="AE93" s="34">
        <f>AA93*VLOOKUP($B93,Types!$B$2:$D$13,3,FALSE)*Conv!$I$5*1000*365</f>
        <v>2691814.4337828746</v>
      </c>
      <c r="AF93" s="34">
        <f>AB93-AB90</f>
        <v>448635.73896381306</v>
      </c>
      <c r="AG93" s="34">
        <f t="shared" ref="AG93:AI93" si="211">AC93-AC90</f>
        <v>448635.73896381306</v>
      </c>
      <c r="AH93" s="34">
        <f t="shared" si="211"/>
        <v>448635.73896381306</v>
      </c>
      <c r="AI93" s="34">
        <f t="shared" si="211"/>
        <v>448635.73896381306</v>
      </c>
      <c r="AJ93" s="34"/>
      <c r="AK93" s="34"/>
      <c r="AL93" s="34"/>
    </row>
    <row r="94" spans="1:38">
      <c r="A94" s="1" t="str">
        <f t="shared" si="205"/>
        <v>LS Diesel (500 ppm)</v>
      </c>
      <c r="B94" s="1" t="str">
        <f>VLOOKUP($A94,Types!$A$2:$C$13,2,FALSE)</f>
        <v>DSL</v>
      </c>
      <c r="C94" s="1">
        <v>5</v>
      </c>
      <c r="D94" s="1">
        <v>2</v>
      </c>
      <c r="E94" s="1" t="str">
        <f t="shared" si="158"/>
        <v>IMPDSLP25</v>
      </c>
      <c r="F94" s="1" t="str">
        <f>CONCATENATE("Imported ",VLOOKUP($A94,Types!$A$2:$C$13,3,FALSE),", PADD ",D94,", Step ",RIGHT(C94,1))</f>
        <v>Imported Distillate-Low Sulfur Highway Diesel (500 ppm), PADD 2, Step 5</v>
      </c>
      <c r="G94" s="1" t="str">
        <f>CONCATENATE(VLOOKUP($A94,Types!$A$2:$C$13,2,FALSE),"P",D94)</f>
        <v>DSLP2</v>
      </c>
      <c r="H94" s="61">
        <f>H90*$C$9</f>
        <v>72.143500000000003</v>
      </c>
      <c r="I94" s="61">
        <f t="shared" ref="I94:K94" si="212">I90*$C$9</f>
        <v>63.763700000000014</v>
      </c>
      <c r="J94" s="61">
        <f t="shared" si="212"/>
        <v>147.55000000000001</v>
      </c>
      <c r="K94" s="61">
        <f t="shared" si="212"/>
        <v>147.55000000000001</v>
      </c>
      <c r="L94" s="62">
        <f>H94*Conv!$J$20/10^6/VLOOKUP($B94,Types!$B$2:$D$13,3,FALSE)/Conv!$I$5</f>
        <v>18.013129180688384</v>
      </c>
      <c r="M94" s="62">
        <f>I94*Conv!$J$20/10^6/VLOOKUP($B94,Types!$B$2:$D$13,3,FALSE)/Conv!$I$5</f>
        <v>15.920821212426068</v>
      </c>
      <c r="N94" s="62" t="e">
        <f>M94*#REF!</f>
        <v>#REF!</v>
      </c>
      <c r="O94" s="62" t="e">
        <f>N94*#REF!</f>
        <v>#REF!</v>
      </c>
      <c r="P94" s="62" t="e">
        <f>O94*#REF!</f>
        <v>#REF!</v>
      </c>
      <c r="Q94" s="62" t="e">
        <f>P94*#REF!</f>
        <v>#REF!</v>
      </c>
      <c r="R94" s="62" t="e">
        <f>Q94*#REF!</f>
        <v>#REF!</v>
      </c>
      <c r="S94" s="62" t="e">
        <f>R94*#REF!</f>
        <v>#REF!</v>
      </c>
      <c r="T94" s="62" t="e">
        <f>S94*#REF!</f>
        <v>#REF!</v>
      </c>
      <c r="U94" s="62" t="e">
        <f>T94*#REF!</f>
        <v>#REF!</v>
      </c>
      <c r="V94" s="62" t="e">
        <f>U94*#REF!</f>
        <v>#REF!</v>
      </c>
      <c r="W94" s="34"/>
      <c r="X94" s="1">
        <f>X90*$E$9</f>
        <v>1999998</v>
      </c>
      <c r="Y94" s="1">
        <f t="shared" ref="Y94:AA94" si="213">Y90*$E$9</f>
        <v>1999998</v>
      </c>
      <c r="Z94" s="1">
        <f t="shared" si="213"/>
        <v>1999998</v>
      </c>
      <c r="AA94" s="1">
        <f t="shared" si="213"/>
        <v>1999998</v>
      </c>
      <c r="AB94" s="34">
        <f>X94*VLOOKUP($B94,Types!$B$2:$D$13,3,FALSE)*Conv!$I$5*1000*365</f>
        <v>4486357.3896381231</v>
      </c>
      <c r="AC94" s="34">
        <f>Y94*VLOOKUP($B94,Types!$B$2:$D$13,3,FALSE)*Conv!$I$5*1000*365</f>
        <v>4486357.3896381231</v>
      </c>
      <c r="AD94" s="34">
        <f>Z94*VLOOKUP($B94,Types!$B$2:$D$13,3,FALSE)*Conv!$I$5*1000*365</f>
        <v>4486357.3896381231</v>
      </c>
      <c r="AE94" s="34">
        <f>AA94*VLOOKUP($B94,Types!$B$2:$D$13,3,FALSE)*Conv!$I$5*1000*365</f>
        <v>4486357.3896381231</v>
      </c>
      <c r="AF94" s="34">
        <f>AB94-AB93</f>
        <v>1794542.9558552485</v>
      </c>
      <c r="AG94" s="34">
        <f t="shared" ref="AG94:AI94" si="214">AC94-AC93</f>
        <v>1794542.9558552485</v>
      </c>
      <c r="AH94" s="34">
        <f t="shared" si="214"/>
        <v>1794542.9558552485</v>
      </c>
      <c r="AI94" s="34">
        <f t="shared" si="214"/>
        <v>1794542.9558552485</v>
      </c>
      <c r="AJ94" s="34"/>
      <c r="AK94" s="34"/>
      <c r="AL94" s="34"/>
    </row>
    <row r="95" spans="1:38">
      <c r="A95" s="1" t="str">
        <f>'Agg prdcrv'!$A$10</f>
        <v>Low Sulfur Fuel Oil</v>
      </c>
      <c r="B95" s="1" t="str">
        <f>VLOOKUP($A95,Types!$A$2:$C$13,2,FALSE)</f>
        <v>RFL</v>
      </c>
      <c r="C95" s="1">
        <v>3</v>
      </c>
      <c r="D95" s="1">
        <v>2</v>
      </c>
      <c r="E95" s="1" t="str">
        <f t="shared" si="158"/>
        <v>IMPRFLP23</v>
      </c>
      <c r="F95" s="1" t="str">
        <f>CONCATENATE("Imported ",VLOOKUP($A95,Types!$A$2:$C$13,3,FALSE),", PADD ",D95,", Step ",RIGHT(C95,1))</f>
        <v>Imported Low Sulfur Residual Fuel Oil, PADD 2, Step 3</v>
      </c>
      <c r="G95" s="1" t="str">
        <f>CONCATENATE(VLOOKUP($A95,Types!$A$2:$C$13,2,FALSE),"P",D95)</f>
        <v>RFLP2</v>
      </c>
      <c r="H95" s="61">
        <f>SUMIFS('Agg prdcrv NYC'!$M$6:$M$100,'Agg prdcrv NYC'!$A$6:$A$100,'Imp Refined NYC'!$A95,'Agg prdcrv NYC'!$B$6:$B$100,H$11)*K4</f>
        <v>43.120000000000005</v>
      </c>
      <c r="I95" s="61">
        <f>SUMIFS('Agg prdcrv NYC'!$M$6:$M$100,'Agg prdcrv NYC'!$A$6:$A$100,'Imp Refined NYC'!$A95,'Agg prdcrv NYC'!$B$6:$B$100,I$11)*K4</f>
        <v>36.750999999999998</v>
      </c>
      <c r="J95" s="61">
        <f t="array" ref="J95">SUMIFS('Agg prdcrv NYC'!$M$6:$M$100,'Agg prdcrv NYC'!$A$6:$A$100,'Imp Refined NYC'!$A95,'Agg prdcrv NYC'!$B$6:$B$100,J$11)</f>
        <v>29.19</v>
      </c>
      <c r="K95" s="61">
        <f t="array" ref="K95">SUMIFS('Agg prdcrv NYC'!$M$6:$M$100,'Agg prdcrv NYC'!$A$6:$A$100,'Imp Refined NYC'!$A95,'Agg prdcrv NYC'!$B$6:$B$100,K$11)</f>
        <v>32.119999999999997</v>
      </c>
      <c r="L95" s="62">
        <f>H95*Conv!$J$20/10^6/VLOOKUP($B95,Types!$B$2:$D$13,3,FALSE)/Conv!$I$5</f>
        <v>9.9752359489009166</v>
      </c>
      <c r="M95" s="62">
        <f>I95*Conv!$J$20/10^6/VLOOKUP($B95,Types!$B$2:$D$13,3,FALSE)/Conv!$I$5</f>
        <v>8.5018528839994776</v>
      </c>
      <c r="N95" s="62" t="e">
        <f>M95*#REF!</f>
        <v>#REF!</v>
      </c>
      <c r="O95" s="62" t="e">
        <f>N95*#REF!</f>
        <v>#REF!</v>
      </c>
      <c r="P95" s="62" t="e">
        <f>O95*#REF!</f>
        <v>#REF!</v>
      </c>
      <c r="Q95" s="62" t="e">
        <f>P95*#REF!</f>
        <v>#REF!</v>
      </c>
      <c r="R95" s="62" t="e">
        <f>Q95*#REF!</f>
        <v>#REF!</v>
      </c>
      <c r="S95" s="62" t="e">
        <f>R95*#REF!</f>
        <v>#REF!</v>
      </c>
      <c r="T95" s="62" t="e">
        <f>S95*#REF!</f>
        <v>#REF!</v>
      </c>
      <c r="U95" s="62" t="e">
        <f>T95*#REF!</f>
        <v>#REF!</v>
      </c>
      <c r="V95" s="62" t="e">
        <f>U95*#REF!</f>
        <v>#REF!</v>
      </c>
      <c r="W95" s="34"/>
      <c r="X95" s="1">
        <f t="array" ref="X95">SUMIFS('Agg prdcrv NYC'!$E$6:$E$100,'Agg prdcrv NYC'!$A$6:$A$100,'Imp Refined NYC'!$A95,'Agg prdcrv NYC'!$B$6:$B$100,X$11)</f>
        <v>999999</v>
      </c>
      <c r="Y95" s="1">
        <f t="array" ref="Y95">SUMIFS('Agg prdcrv NYC'!$E$6:$E$100,'Agg prdcrv NYC'!$A$6:$A$100,'Imp Refined NYC'!$A95,'Agg prdcrv NYC'!$B$6:$B$100,Y$11)</f>
        <v>999999</v>
      </c>
      <c r="Z95" s="1">
        <f t="array" ref="Z95">SUMIFS('Agg prdcrv NYC'!$E$6:$E$100,'Agg prdcrv NYC'!$A$6:$A$100,'Imp Refined NYC'!$A95,'Agg prdcrv NYC'!$B$6:$B$100,Z$11)</f>
        <v>999999</v>
      </c>
      <c r="AA95" s="1">
        <f t="array" ref="AA95">SUMIFS('Agg prdcrv NYC'!$E$6:$E$100,'Agg prdcrv NYC'!$A$6:$A$100,'Imp Refined NYC'!$A95,'Agg prdcrv NYC'!$B$6:$B$100,AA$11)</f>
        <v>999999</v>
      </c>
      <c r="AB95" s="34">
        <f>X95*VLOOKUP($B95,Types!$B$2:$D$13,3,FALSE)*Conv!$I$5*1000*365</f>
        <v>2421092.6101849684</v>
      </c>
      <c r="AC95" s="34">
        <f>Y95*VLOOKUP($B95,Types!$B$2:$D$13,3,FALSE)*Conv!$I$5*1000*365</f>
        <v>2421092.6101849684</v>
      </c>
      <c r="AD95" s="34">
        <f>Z95*VLOOKUP($B95,Types!$B$2:$D$13,3,FALSE)*Conv!$I$5*1000*365</f>
        <v>2421092.6101849684</v>
      </c>
      <c r="AE95" s="34">
        <f>AA95*VLOOKUP($B95,Types!$B$2:$D$13,3,FALSE)*Conv!$I$5*1000*365</f>
        <v>2421092.6101849684</v>
      </c>
      <c r="AF95" s="34">
        <f>AB95-AB97</f>
        <v>242109.26101849694</v>
      </c>
      <c r="AG95" s="34">
        <f t="shared" ref="AG95:AI95" si="215">AC95-AC97</f>
        <v>242109.26101849694</v>
      </c>
      <c r="AH95" s="34">
        <f t="shared" si="215"/>
        <v>242109.26101849694</v>
      </c>
      <c r="AI95" s="34">
        <f t="shared" si="215"/>
        <v>242109.26101849694</v>
      </c>
      <c r="AJ95" s="34"/>
      <c r="AK95" s="34"/>
      <c r="AL95" s="34"/>
    </row>
    <row r="96" spans="1:38">
      <c r="A96" s="1" t="str">
        <f>A95</f>
        <v>Low Sulfur Fuel Oil</v>
      </c>
      <c r="B96" s="1" t="str">
        <f>VLOOKUP($A96,Types!$A$2:$C$13,2,FALSE)</f>
        <v>RFL</v>
      </c>
      <c r="C96" s="1">
        <v>1</v>
      </c>
      <c r="D96" s="1">
        <v>2</v>
      </c>
      <c r="E96" s="1" t="str">
        <f t="shared" si="158"/>
        <v>IMPRFLP21</v>
      </c>
      <c r="F96" s="1" t="str">
        <f>CONCATENATE("Imported ",VLOOKUP($A96,Types!$A$2:$C$13,3,FALSE),", PADD ",D96,", Step ",RIGHT(C96,1))</f>
        <v>Imported Low Sulfur Residual Fuel Oil, PADD 2, Step 1</v>
      </c>
      <c r="G96" s="1" t="str">
        <f>CONCATENATE(VLOOKUP($A96,Types!$A$2:$C$13,2,FALSE),"P",D96)</f>
        <v>RFLP2</v>
      </c>
      <c r="H96" s="61">
        <f>H95*$C$5</f>
        <v>40.964000000000006</v>
      </c>
      <c r="I96" s="61">
        <f t="shared" ref="I96:K96" si="216">I95*$C$5</f>
        <v>34.913449999999997</v>
      </c>
      <c r="J96" s="61">
        <f t="shared" si="216"/>
        <v>27.730499999999999</v>
      </c>
      <c r="K96" s="61">
        <f t="shared" si="216"/>
        <v>30.513999999999996</v>
      </c>
      <c r="L96" s="62">
        <f>H96*Conv!$J$20/10^6/VLOOKUP($B96,Types!$B$2:$D$13,3,FALSE)/Conv!$I$5</f>
        <v>9.4764741514558697</v>
      </c>
      <c r="M96" s="62">
        <f>I96*Conv!$J$20/10^6/VLOOKUP($B96,Types!$B$2:$D$13,3,FALSE)/Conv!$I$5</f>
        <v>8.0767602397995031</v>
      </c>
      <c r="N96" s="62" t="e">
        <f>M96*#REF!</f>
        <v>#REF!</v>
      </c>
      <c r="O96" s="62" t="e">
        <f>N96*#REF!</f>
        <v>#REF!</v>
      </c>
      <c r="P96" s="62" t="e">
        <f>O96*#REF!</f>
        <v>#REF!</v>
      </c>
      <c r="Q96" s="62" t="e">
        <f>P96*#REF!</f>
        <v>#REF!</v>
      </c>
      <c r="R96" s="62" t="e">
        <f>Q96*#REF!</f>
        <v>#REF!</v>
      </c>
      <c r="S96" s="62" t="e">
        <f>R96*#REF!</f>
        <v>#REF!</v>
      </c>
      <c r="T96" s="62" t="e">
        <f>S96*#REF!</f>
        <v>#REF!</v>
      </c>
      <c r="U96" s="62" t="e">
        <f>T96*#REF!</f>
        <v>#REF!</v>
      </c>
      <c r="V96" s="62" t="e">
        <f>U96*#REF!</f>
        <v>#REF!</v>
      </c>
      <c r="W96" s="34"/>
      <c r="X96" s="1">
        <f>X95*$E$5</f>
        <v>799999.20000000007</v>
      </c>
      <c r="Y96" s="1">
        <f t="shared" ref="Y96:AA96" si="217">Y95*$E$5</f>
        <v>799999.20000000007</v>
      </c>
      <c r="Z96" s="1">
        <f t="shared" si="217"/>
        <v>799999.20000000007</v>
      </c>
      <c r="AA96" s="1">
        <f t="shared" si="217"/>
        <v>799999.20000000007</v>
      </c>
      <c r="AB96" s="34">
        <f>X96*VLOOKUP($B96,Types!$B$2:$D$13,3,FALSE)*Conv!$I$5*1000*365</f>
        <v>1936874.088147975</v>
      </c>
      <c r="AC96" s="34">
        <f>Y96*VLOOKUP($B96,Types!$B$2:$D$13,3,FALSE)*Conv!$I$5*1000*365</f>
        <v>1936874.088147975</v>
      </c>
      <c r="AD96" s="34">
        <f>Z96*VLOOKUP($B96,Types!$B$2:$D$13,3,FALSE)*Conv!$I$5*1000*365</f>
        <v>1936874.088147975</v>
      </c>
      <c r="AE96" s="34">
        <f>AA96*VLOOKUP($B96,Types!$B$2:$D$13,3,FALSE)*Conv!$I$5*1000*365</f>
        <v>1936874.088147975</v>
      </c>
      <c r="AF96" s="34">
        <f>AB96</f>
        <v>1936874.088147975</v>
      </c>
      <c r="AG96" s="34">
        <f t="shared" ref="AG96:AI96" si="218">AC96</f>
        <v>1936874.088147975</v>
      </c>
      <c r="AH96" s="34">
        <f t="shared" si="218"/>
        <v>1936874.088147975</v>
      </c>
      <c r="AI96" s="34">
        <f t="shared" si="218"/>
        <v>1936874.088147975</v>
      </c>
      <c r="AJ96" s="34"/>
      <c r="AK96" s="34"/>
      <c r="AL96" s="34"/>
    </row>
    <row r="97" spans="1:38">
      <c r="A97" s="1" t="str">
        <f t="shared" ref="A97:A99" si="219">A96</f>
        <v>Low Sulfur Fuel Oil</v>
      </c>
      <c r="B97" s="1" t="str">
        <f>VLOOKUP($A97,Types!$A$2:$C$13,2,FALSE)</f>
        <v>RFL</v>
      </c>
      <c r="C97" s="1">
        <v>2</v>
      </c>
      <c r="D97" s="1">
        <v>2</v>
      </c>
      <c r="E97" s="1" t="str">
        <f t="shared" si="158"/>
        <v>IMPRFLP22</v>
      </c>
      <c r="F97" s="1" t="str">
        <f>CONCATENATE("Imported ",VLOOKUP($A97,Types!$A$2:$C$13,3,FALSE),", PADD ",D97,", Step ",RIGHT(C97,1))</f>
        <v>Imported Low Sulfur Residual Fuel Oil, PADD 2, Step 2</v>
      </c>
      <c r="G97" s="1" t="str">
        <f>CONCATENATE(VLOOKUP($A97,Types!$A$2:$C$13,2,FALSE),"P",D97)</f>
        <v>RFLP2</v>
      </c>
      <c r="H97" s="61">
        <f>H95*$C$6</f>
        <v>42.257600000000004</v>
      </c>
      <c r="I97" s="61">
        <f t="shared" ref="I97:K97" si="220">I95*$C$6</f>
        <v>36.015979999999999</v>
      </c>
      <c r="J97" s="61">
        <f t="shared" si="220"/>
        <v>28.606200000000001</v>
      </c>
      <c r="K97" s="61">
        <f t="shared" si="220"/>
        <v>31.477599999999995</v>
      </c>
      <c r="L97" s="62">
        <f>H97*Conv!$J$20/10^6/VLOOKUP($B97,Types!$B$2:$D$13,3,FALSE)/Conv!$I$5</f>
        <v>9.7757312299228953</v>
      </c>
      <c r="M97" s="62">
        <f>I97*Conv!$J$20/10^6/VLOOKUP($B97,Types!$B$2:$D$13,3,FALSE)/Conv!$I$5</f>
        <v>8.3318158263194881</v>
      </c>
      <c r="N97" s="62" t="e">
        <f>M97*#REF!</f>
        <v>#REF!</v>
      </c>
      <c r="O97" s="62" t="e">
        <f>N97*#REF!</f>
        <v>#REF!</v>
      </c>
      <c r="P97" s="62" t="e">
        <f>O97*#REF!</f>
        <v>#REF!</v>
      </c>
      <c r="Q97" s="62" t="e">
        <f>P97*#REF!</f>
        <v>#REF!</v>
      </c>
      <c r="R97" s="62" t="e">
        <f>Q97*#REF!</f>
        <v>#REF!</v>
      </c>
      <c r="S97" s="62" t="e">
        <f>R97*#REF!</f>
        <v>#REF!</v>
      </c>
      <c r="T97" s="62" t="e">
        <f>S97*#REF!</f>
        <v>#REF!</v>
      </c>
      <c r="U97" s="62" t="e">
        <f>T97*#REF!</f>
        <v>#REF!</v>
      </c>
      <c r="V97" s="62" t="e">
        <f>U97*#REF!</f>
        <v>#REF!</v>
      </c>
      <c r="W97" s="34"/>
      <c r="X97" s="1">
        <f>X95*$E$6</f>
        <v>899999.1</v>
      </c>
      <c r="Y97" s="1">
        <f t="shared" ref="Y97:AA97" si="221">Y95*$E$6</f>
        <v>899999.1</v>
      </c>
      <c r="Z97" s="1">
        <f t="shared" si="221"/>
        <v>899999.1</v>
      </c>
      <c r="AA97" s="1">
        <f t="shared" si="221"/>
        <v>899999.1</v>
      </c>
      <c r="AB97" s="34">
        <f>X97*VLOOKUP($B97,Types!$B$2:$D$13,3,FALSE)*Conv!$I$5*1000*365</f>
        <v>2178983.3491664715</v>
      </c>
      <c r="AC97" s="34">
        <f>Y97*VLOOKUP($B97,Types!$B$2:$D$13,3,FALSE)*Conv!$I$5*1000*365</f>
        <v>2178983.3491664715</v>
      </c>
      <c r="AD97" s="34">
        <f>Z97*VLOOKUP($B97,Types!$B$2:$D$13,3,FALSE)*Conv!$I$5*1000*365</f>
        <v>2178983.3491664715</v>
      </c>
      <c r="AE97" s="34">
        <f>AA97*VLOOKUP($B97,Types!$B$2:$D$13,3,FALSE)*Conv!$I$5*1000*365</f>
        <v>2178983.3491664715</v>
      </c>
      <c r="AF97" s="34">
        <f>AB97-AF96</f>
        <v>242109.26101849647</v>
      </c>
      <c r="AG97" s="34">
        <f t="shared" ref="AG97:AI97" si="222">AC97-AG96</f>
        <v>242109.26101849647</v>
      </c>
      <c r="AH97" s="34">
        <f t="shared" si="222"/>
        <v>242109.26101849647</v>
      </c>
      <c r="AI97" s="34">
        <f t="shared" si="222"/>
        <v>242109.26101849647</v>
      </c>
      <c r="AJ97" s="34"/>
      <c r="AK97" s="34"/>
      <c r="AL97" s="34"/>
    </row>
    <row r="98" spans="1:38">
      <c r="A98" s="1" t="str">
        <f t="shared" si="219"/>
        <v>Low Sulfur Fuel Oil</v>
      </c>
      <c r="B98" s="1" t="str">
        <f>VLOOKUP($A98,Types!$A$2:$C$13,2,FALSE)</f>
        <v>RFL</v>
      </c>
      <c r="C98" s="1">
        <v>4</v>
      </c>
      <c r="D98" s="1">
        <v>2</v>
      </c>
      <c r="E98" s="1" t="str">
        <f t="shared" si="158"/>
        <v>IMPRFLP24</v>
      </c>
      <c r="F98" s="1" t="str">
        <f>CONCATENATE("Imported ",VLOOKUP($A98,Types!$A$2:$C$13,3,FALSE),", PADD ",D98,", Step ",RIGHT(C98,1))</f>
        <v>Imported Low Sulfur Residual Fuel Oil, PADD 2, Step 4</v>
      </c>
      <c r="G98" s="1" t="str">
        <f>CONCATENATE(VLOOKUP($A98,Types!$A$2:$C$13,2,FALSE),"P",D98)</f>
        <v>RFLP2</v>
      </c>
      <c r="H98" s="61">
        <f>H95*$C$8</f>
        <v>47.000800000000005</v>
      </c>
      <c r="I98" s="61">
        <f t="shared" ref="I98:K98" si="223">I95*$C$8</f>
        <v>40.058590000000002</v>
      </c>
      <c r="J98" s="61">
        <f t="shared" si="223"/>
        <v>31.817100000000003</v>
      </c>
      <c r="K98" s="61">
        <f t="shared" si="223"/>
        <v>35.010800000000003</v>
      </c>
      <c r="L98" s="62">
        <f>H98*Conv!$J$20/10^6/VLOOKUP($B98,Types!$B$2:$D$13,3,FALSE)/Conv!$I$5</f>
        <v>10.873007184301995</v>
      </c>
      <c r="M98" s="62">
        <f>I98*Conv!$J$20/10^6/VLOOKUP($B98,Types!$B$2:$D$13,3,FALSE)/Conv!$I$5</f>
        <v>9.267019643559431</v>
      </c>
      <c r="N98" s="62" t="e">
        <f>M98*#REF!</f>
        <v>#REF!</v>
      </c>
      <c r="O98" s="62" t="e">
        <f>N98*#REF!</f>
        <v>#REF!</v>
      </c>
      <c r="P98" s="62" t="e">
        <f>O98*#REF!</f>
        <v>#REF!</v>
      </c>
      <c r="Q98" s="62" t="e">
        <f>P98*#REF!</f>
        <v>#REF!</v>
      </c>
      <c r="R98" s="62" t="e">
        <f>Q98*#REF!</f>
        <v>#REF!</v>
      </c>
      <c r="S98" s="62" t="e">
        <f>R98*#REF!</f>
        <v>#REF!</v>
      </c>
      <c r="T98" s="62" t="e">
        <f>S98*#REF!</f>
        <v>#REF!</v>
      </c>
      <c r="U98" s="62" t="e">
        <f>T98*#REF!</f>
        <v>#REF!</v>
      </c>
      <c r="V98" s="62" t="e">
        <f>U98*#REF!</f>
        <v>#REF!</v>
      </c>
      <c r="W98" s="34"/>
      <c r="X98" s="1">
        <f>X95*$E$8</f>
        <v>1199998.8</v>
      </c>
      <c r="Y98" s="1">
        <f t="shared" ref="Y98:AA98" si="224">Y95*$E$8</f>
        <v>1199998.8</v>
      </c>
      <c r="Z98" s="1">
        <f t="shared" si="224"/>
        <v>1199998.8</v>
      </c>
      <c r="AA98" s="1">
        <f t="shared" si="224"/>
        <v>1199998.8</v>
      </c>
      <c r="AB98" s="34">
        <f>X98*VLOOKUP($B98,Types!$B$2:$D$13,3,FALSE)*Conv!$I$5*1000*365</f>
        <v>2905311.1322219619</v>
      </c>
      <c r="AC98" s="34">
        <f>Y98*VLOOKUP($B98,Types!$B$2:$D$13,3,FALSE)*Conv!$I$5*1000*365</f>
        <v>2905311.1322219619</v>
      </c>
      <c r="AD98" s="34">
        <f>Z98*VLOOKUP($B98,Types!$B$2:$D$13,3,FALSE)*Conv!$I$5*1000*365</f>
        <v>2905311.1322219619</v>
      </c>
      <c r="AE98" s="34">
        <f>AA98*VLOOKUP($B98,Types!$B$2:$D$13,3,FALSE)*Conv!$I$5*1000*365</f>
        <v>2905311.1322219619</v>
      </c>
      <c r="AF98" s="34">
        <f>AB98-AB95</f>
        <v>484218.52203699341</v>
      </c>
      <c r="AG98" s="34">
        <f t="shared" ref="AG98:AI98" si="225">AC98-AC95</f>
        <v>484218.52203699341</v>
      </c>
      <c r="AH98" s="34">
        <f t="shared" si="225"/>
        <v>484218.52203699341</v>
      </c>
      <c r="AI98" s="34">
        <f t="shared" si="225"/>
        <v>484218.52203699341</v>
      </c>
      <c r="AJ98" s="34"/>
      <c r="AK98" s="34"/>
      <c r="AL98" s="34"/>
    </row>
    <row r="99" spans="1:38">
      <c r="A99" s="1" t="str">
        <f t="shared" si="219"/>
        <v>Low Sulfur Fuel Oil</v>
      </c>
      <c r="B99" s="1" t="str">
        <f>VLOOKUP($A99,Types!$A$2:$C$13,2,FALSE)</f>
        <v>RFL</v>
      </c>
      <c r="C99" s="1">
        <v>5</v>
      </c>
      <c r="D99" s="1">
        <v>2</v>
      </c>
      <c r="E99" s="1" t="str">
        <f t="shared" si="158"/>
        <v>IMPRFLP25</v>
      </c>
      <c r="F99" s="1" t="str">
        <f>CONCATENATE("Imported ",VLOOKUP($A99,Types!$A$2:$C$13,3,FALSE),", PADD ",D99,", Step ",RIGHT(C99,1))</f>
        <v>Imported Low Sulfur Residual Fuel Oil, PADD 2, Step 5</v>
      </c>
      <c r="G99" s="1" t="str">
        <f>CONCATENATE(VLOOKUP($A99,Types!$A$2:$C$13,2,FALSE),"P",D99)</f>
        <v>RFLP2</v>
      </c>
      <c r="H99" s="61">
        <f>H95*$C$9</f>
        <v>56.056000000000004</v>
      </c>
      <c r="I99" s="61">
        <f t="shared" ref="I99:K99" si="226">I95*$C$9</f>
        <v>47.776299999999999</v>
      </c>
      <c r="J99" s="61">
        <f t="shared" si="226"/>
        <v>37.947000000000003</v>
      </c>
      <c r="K99" s="61">
        <f t="shared" si="226"/>
        <v>41.756</v>
      </c>
      <c r="L99" s="62">
        <f>H99*Conv!$J$20/10^6/VLOOKUP($B99,Types!$B$2:$D$13,3,FALSE)/Conv!$I$5</f>
        <v>12.967806733571189</v>
      </c>
      <c r="M99" s="62">
        <f>I99*Conv!$J$20/10^6/VLOOKUP($B99,Types!$B$2:$D$13,3,FALSE)/Conv!$I$5</f>
        <v>11.052408749199319</v>
      </c>
      <c r="N99" s="62" t="e">
        <f>M99*#REF!</f>
        <v>#REF!</v>
      </c>
      <c r="O99" s="62" t="e">
        <f>N99*#REF!</f>
        <v>#REF!</v>
      </c>
      <c r="P99" s="62" t="e">
        <f>O99*#REF!</f>
        <v>#REF!</v>
      </c>
      <c r="Q99" s="62" t="e">
        <f>P99*#REF!</f>
        <v>#REF!</v>
      </c>
      <c r="R99" s="62" t="e">
        <f>Q99*#REF!</f>
        <v>#REF!</v>
      </c>
      <c r="S99" s="62" t="e">
        <f>R99*#REF!</f>
        <v>#REF!</v>
      </c>
      <c r="T99" s="62" t="e">
        <f>S99*#REF!</f>
        <v>#REF!</v>
      </c>
      <c r="U99" s="62" t="e">
        <f>T99*#REF!</f>
        <v>#REF!</v>
      </c>
      <c r="V99" s="62" t="e">
        <f>U99*#REF!</f>
        <v>#REF!</v>
      </c>
      <c r="W99" s="34"/>
      <c r="X99" s="1">
        <f>X95*$E$9</f>
        <v>1999998</v>
      </c>
      <c r="Y99" s="1">
        <f t="shared" ref="Y99:AA99" si="227">Y95*$E$9</f>
        <v>1999998</v>
      </c>
      <c r="Z99" s="1">
        <f t="shared" si="227"/>
        <v>1999998</v>
      </c>
      <c r="AA99" s="1">
        <f t="shared" si="227"/>
        <v>1999998</v>
      </c>
      <c r="AB99" s="34">
        <f>X99*VLOOKUP($B99,Types!$B$2:$D$13,3,FALSE)*Conv!$I$5*1000*365</f>
        <v>4842185.2203699369</v>
      </c>
      <c r="AC99" s="34">
        <f>Y99*VLOOKUP($B99,Types!$B$2:$D$13,3,FALSE)*Conv!$I$5*1000*365</f>
        <v>4842185.2203699369</v>
      </c>
      <c r="AD99" s="34">
        <f>Z99*VLOOKUP($B99,Types!$B$2:$D$13,3,FALSE)*Conv!$I$5*1000*365</f>
        <v>4842185.2203699369</v>
      </c>
      <c r="AE99" s="34">
        <f>AA99*VLOOKUP($B99,Types!$B$2:$D$13,3,FALSE)*Conv!$I$5*1000*365</f>
        <v>4842185.2203699369</v>
      </c>
      <c r="AF99" s="34">
        <f>AB99-AB98</f>
        <v>1936874.088147975</v>
      </c>
      <c r="AG99" s="34">
        <f t="shared" ref="AG99:AI99" si="228">AC99-AC98</f>
        <v>1936874.088147975</v>
      </c>
      <c r="AH99" s="34">
        <f t="shared" si="228"/>
        <v>1936874.088147975</v>
      </c>
      <c r="AI99" s="34">
        <f t="shared" si="228"/>
        <v>1936874.088147975</v>
      </c>
      <c r="AJ99" s="34"/>
      <c r="AK99" s="34"/>
      <c r="AL99" s="34"/>
    </row>
    <row r="100" spans="1:38">
      <c r="A100" s="1" t="str">
        <f>'Agg prdcrv'!$A$11</f>
        <v>High Sulfur Fuel Oil</v>
      </c>
      <c r="B100" s="1" t="str">
        <f>VLOOKUP($A100,Types!$A$2:$C$13,2,FALSE)</f>
        <v>RFH</v>
      </c>
      <c r="C100" s="1">
        <v>3</v>
      </c>
      <c r="D100" s="1">
        <v>2</v>
      </c>
      <c r="E100" s="1" t="str">
        <f t="shared" si="158"/>
        <v>IMPRFHP23</v>
      </c>
      <c r="F100" s="1" t="str">
        <f>CONCATENATE("Imported ",VLOOKUP($A100,Types!$A$2:$C$13,3,FALSE),", PADD ",D100,", Step ",RIGHT(C100,1))</f>
        <v>Imported High Sulfur Residual Fuel Oil, PADD 2, Step 3</v>
      </c>
      <c r="G100" s="1" t="str">
        <f>CONCATENATE(VLOOKUP($A100,Types!$A$2:$C$13,2,FALSE),"P",D100)</f>
        <v>RFHP2</v>
      </c>
      <c r="H100" s="61">
        <f>SUMIFS('Agg prdcrv NYC'!$M$6:$M$100,'Agg prdcrv NYC'!$A$6:$A$100,'Imp Refined NYC'!$A100,'Agg prdcrv NYC'!$B$6:$B$100,H$11)*K4</f>
        <v>41.349000000000004</v>
      </c>
      <c r="I100" s="61">
        <f>SUMIFS('Agg prdcrv NYC'!$M$6:$M$100,'Agg prdcrv NYC'!$A$6:$A$100,'Imp Refined NYC'!$A100,'Agg prdcrv NYC'!$B$6:$B$100,I$11)*K4</f>
        <v>36.223000000000006</v>
      </c>
      <c r="J100" s="61">
        <f t="array" ref="J100">SUMIFS('Agg prdcrv NYC'!$M$6:$M$100,'Agg prdcrv NYC'!$A$6:$A$100,'Imp Refined NYC'!$A100,'Agg prdcrv NYC'!$B$6:$B$100,J$11)</f>
        <v>28.79</v>
      </c>
      <c r="K100" s="61">
        <f t="array" ref="K100">SUMIFS('Agg prdcrv NYC'!$M$6:$M$100,'Agg prdcrv NYC'!$A$6:$A$100,'Imp Refined NYC'!$A100,'Agg prdcrv NYC'!$B$6:$B$100,K$11)</f>
        <v>31.8</v>
      </c>
      <c r="L100" s="62">
        <f>H100*Conv!$J$20/10^6/VLOOKUP($B100,Types!$B$2:$D$13,3,FALSE)/Conv!$I$5</f>
        <v>9.565538758142484</v>
      </c>
      <c r="M100" s="62">
        <f>I100*Conv!$J$20/10^6/VLOOKUP($B100,Types!$B$2:$D$13,3,FALSE)/Conv!$I$5</f>
        <v>8.3797071376864061</v>
      </c>
      <c r="N100" s="62" t="e">
        <f>M100*#REF!</f>
        <v>#REF!</v>
      </c>
      <c r="O100" s="62" t="e">
        <f>N100*#REF!</f>
        <v>#REF!</v>
      </c>
      <c r="P100" s="62" t="e">
        <f>O100*#REF!</f>
        <v>#REF!</v>
      </c>
      <c r="Q100" s="62" t="e">
        <f>P100*#REF!</f>
        <v>#REF!</v>
      </c>
      <c r="R100" s="62" t="e">
        <f>Q100*#REF!</f>
        <v>#REF!</v>
      </c>
      <c r="S100" s="62" t="e">
        <f>R100*#REF!</f>
        <v>#REF!</v>
      </c>
      <c r="T100" s="62" t="e">
        <f>S100*#REF!</f>
        <v>#REF!</v>
      </c>
      <c r="U100" s="62" t="e">
        <f>T100*#REF!</f>
        <v>#REF!</v>
      </c>
      <c r="V100" s="62" t="e">
        <f>U100*#REF!</f>
        <v>#REF!</v>
      </c>
      <c r="W100" s="34"/>
      <c r="X100" s="1">
        <f t="array" ref="X100">SUMIFS('Agg prdcrv NYC'!$E$6:$E$100,'Agg prdcrv NYC'!$A$6:$A$100,'Imp Refined NYC'!$A100,'Agg prdcrv NYC'!$B$6:$B$100,X$11)</f>
        <v>999999</v>
      </c>
      <c r="Y100" s="1">
        <f t="array" ref="Y100">SUMIFS('Agg prdcrv NYC'!$E$6:$E$100,'Agg prdcrv NYC'!$A$6:$A$100,'Imp Refined NYC'!$A100,'Agg prdcrv NYC'!$B$6:$B$100,Y$11)</f>
        <v>999999</v>
      </c>
      <c r="Z100" s="1">
        <f t="array" ref="Z100">SUMIFS('Agg prdcrv NYC'!$E$6:$E$100,'Agg prdcrv NYC'!$A$6:$A$100,'Imp Refined NYC'!$A100,'Agg prdcrv NYC'!$B$6:$B$100,Z$11)</f>
        <v>999999</v>
      </c>
      <c r="AA100" s="1">
        <f t="array" ref="AA100">SUMIFS('Agg prdcrv NYC'!$E$6:$E$100,'Agg prdcrv NYC'!$A$6:$A$100,'Imp Refined NYC'!$A100,'Agg prdcrv NYC'!$B$6:$B$100,AA$11)</f>
        <v>999999</v>
      </c>
      <c r="AB100" s="34">
        <f>X100*VLOOKUP($B100,Types!$B$2:$D$13,3,FALSE)*Conv!$I$5*1000*365</f>
        <v>2421092.6101849684</v>
      </c>
      <c r="AC100" s="34">
        <f>Y100*VLOOKUP($B100,Types!$B$2:$D$13,3,FALSE)*Conv!$I$5*1000*365</f>
        <v>2421092.6101849684</v>
      </c>
      <c r="AD100" s="34">
        <f>Z100*VLOOKUP($B100,Types!$B$2:$D$13,3,FALSE)*Conv!$I$5*1000*365</f>
        <v>2421092.6101849684</v>
      </c>
      <c r="AE100" s="34">
        <f>AA100*VLOOKUP($B100,Types!$B$2:$D$13,3,FALSE)*Conv!$I$5*1000*365</f>
        <v>2421092.6101849684</v>
      </c>
      <c r="AF100" s="34">
        <f>AB100-AB102</f>
        <v>242109.26101849694</v>
      </c>
      <c r="AG100" s="34">
        <f t="shared" ref="AG100:AI100" si="229">AC100-AC102</f>
        <v>242109.26101849694</v>
      </c>
      <c r="AH100" s="34">
        <f t="shared" si="229"/>
        <v>242109.26101849694</v>
      </c>
      <c r="AI100" s="34">
        <f t="shared" si="229"/>
        <v>242109.26101849694</v>
      </c>
      <c r="AJ100" s="34"/>
      <c r="AK100" s="34"/>
      <c r="AL100" s="34"/>
    </row>
    <row r="101" spans="1:38">
      <c r="A101" s="1" t="str">
        <f>A100</f>
        <v>High Sulfur Fuel Oil</v>
      </c>
      <c r="B101" s="1" t="str">
        <f>VLOOKUP($A101,Types!$A$2:$C$13,2,FALSE)</f>
        <v>RFH</v>
      </c>
      <c r="C101" s="1">
        <v>1</v>
      </c>
      <c r="D101" s="1">
        <v>2</v>
      </c>
      <c r="E101" s="1" t="str">
        <f t="shared" si="158"/>
        <v>IMPRFHP21</v>
      </c>
      <c r="F101" s="1" t="str">
        <f>CONCATENATE("Imported ",VLOOKUP($A101,Types!$A$2:$C$13,3,FALSE),", PADD ",D101,", Step ",RIGHT(C101,1))</f>
        <v>Imported High Sulfur Residual Fuel Oil, PADD 2, Step 1</v>
      </c>
      <c r="G101" s="1" t="str">
        <f>CONCATENATE(VLOOKUP($A101,Types!$A$2:$C$13,2,FALSE),"P",D101)</f>
        <v>RFHP2</v>
      </c>
      <c r="H101" s="61">
        <f>H100*$C$5</f>
        <v>39.281550000000003</v>
      </c>
      <c r="I101" s="61">
        <f t="shared" ref="I101:K101" si="230">I100*$C$5</f>
        <v>34.411850000000001</v>
      </c>
      <c r="J101" s="61">
        <f t="shared" si="230"/>
        <v>27.350499999999997</v>
      </c>
      <c r="K101" s="61">
        <f t="shared" si="230"/>
        <v>30.21</v>
      </c>
      <c r="L101" s="62">
        <f>H101*Conv!$J$20/10^6/VLOOKUP($B101,Types!$B$2:$D$13,3,FALSE)/Conv!$I$5</f>
        <v>9.0872618202353603</v>
      </c>
      <c r="M101" s="62">
        <f>I101*Conv!$J$20/10^6/VLOOKUP($B101,Types!$B$2:$D$13,3,FALSE)/Conv!$I$5</f>
        <v>7.9607217808020856</v>
      </c>
      <c r="N101" s="62" t="e">
        <f>M101*#REF!</f>
        <v>#REF!</v>
      </c>
      <c r="O101" s="62" t="e">
        <f>N101*#REF!</f>
        <v>#REF!</v>
      </c>
      <c r="P101" s="62" t="e">
        <f>O101*#REF!</f>
        <v>#REF!</v>
      </c>
      <c r="Q101" s="62" t="e">
        <f>P101*#REF!</f>
        <v>#REF!</v>
      </c>
      <c r="R101" s="62" t="e">
        <f>Q101*#REF!</f>
        <v>#REF!</v>
      </c>
      <c r="S101" s="62" t="e">
        <f>R101*#REF!</f>
        <v>#REF!</v>
      </c>
      <c r="T101" s="62" t="e">
        <f>S101*#REF!</f>
        <v>#REF!</v>
      </c>
      <c r="U101" s="62" t="e">
        <f>T101*#REF!</f>
        <v>#REF!</v>
      </c>
      <c r="V101" s="62" t="e">
        <f>U101*#REF!</f>
        <v>#REF!</v>
      </c>
      <c r="W101" s="34"/>
      <c r="X101" s="1">
        <f>X100*$E$5</f>
        <v>799999.20000000007</v>
      </c>
      <c r="Y101" s="1">
        <f t="shared" ref="Y101:AA101" si="231">Y100*$E$5</f>
        <v>799999.20000000007</v>
      </c>
      <c r="Z101" s="1">
        <f t="shared" si="231"/>
        <v>799999.20000000007</v>
      </c>
      <c r="AA101" s="1">
        <f t="shared" si="231"/>
        <v>799999.20000000007</v>
      </c>
      <c r="AB101" s="34">
        <f>X101*VLOOKUP($B101,Types!$B$2:$D$13,3,FALSE)*Conv!$I$5*1000*365</f>
        <v>1936874.088147975</v>
      </c>
      <c r="AC101" s="34">
        <f>Y101*VLOOKUP($B101,Types!$B$2:$D$13,3,FALSE)*Conv!$I$5*1000*365</f>
        <v>1936874.088147975</v>
      </c>
      <c r="AD101" s="34">
        <f>Z101*VLOOKUP($B101,Types!$B$2:$D$13,3,FALSE)*Conv!$I$5*1000*365</f>
        <v>1936874.088147975</v>
      </c>
      <c r="AE101" s="34">
        <f>AA101*VLOOKUP($B101,Types!$B$2:$D$13,3,FALSE)*Conv!$I$5*1000*365</f>
        <v>1936874.088147975</v>
      </c>
      <c r="AF101" s="34">
        <f>AB101</f>
        <v>1936874.088147975</v>
      </c>
      <c r="AG101" s="34">
        <f t="shared" ref="AG101:AI101" si="232">AC101</f>
        <v>1936874.088147975</v>
      </c>
      <c r="AH101" s="34">
        <f t="shared" si="232"/>
        <v>1936874.088147975</v>
      </c>
      <c r="AI101" s="34">
        <f t="shared" si="232"/>
        <v>1936874.088147975</v>
      </c>
      <c r="AJ101" s="34"/>
      <c r="AK101" s="34"/>
      <c r="AL101" s="34"/>
    </row>
    <row r="102" spans="1:38">
      <c r="A102" s="1" t="str">
        <f t="shared" ref="A102:A104" si="233">A101</f>
        <v>High Sulfur Fuel Oil</v>
      </c>
      <c r="B102" s="1" t="str">
        <f>VLOOKUP($A102,Types!$A$2:$C$13,2,FALSE)</f>
        <v>RFH</v>
      </c>
      <c r="C102" s="1">
        <v>2</v>
      </c>
      <c r="D102" s="1">
        <v>2</v>
      </c>
      <c r="E102" s="1" t="str">
        <f t="shared" si="158"/>
        <v>IMPRFHP22</v>
      </c>
      <c r="F102" s="1" t="str">
        <f>CONCATENATE("Imported ",VLOOKUP($A102,Types!$A$2:$C$13,3,FALSE),", PADD ",D102,", Step ",RIGHT(C102,1))</f>
        <v>Imported High Sulfur Residual Fuel Oil, PADD 2, Step 2</v>
      </c>
      <c r="G102" s="1" t="str">
        <f>CONCATENATE(VLOOKUP($A102,Types!$A$2:$C$13,2,FALSE),"P",D102)</f>
        <v>RFHP2</v>
      </c>
      <c r="H102" s="61">
        <f>H100*$C$6</f>
        <v>40.522020000000005</v>
      </c>
      <c r="I102" s="61">
        <f t="shared" ref="I102:K102" si="234">I100*$C$6</f>
        <v>35.498540000000006</v>
      </c>
      <c r="J102" s="61">
        <f t="shared" si="234"/>
        <v>28.214199999999998</v>
      </c>
      <c r="K102" s="61">
        <f t="shared" si="234"/>
        <v>31.164000000000001</v>
      </c>
      <c r="L102" s="62">
        <f>H102*Conv!$J$20/10^6/VLOOKUP($B102,Types!$B$2:$D$13,3,FALSE)/Conv!$I$5</f>
        <v>9.3742279829796331</v>
      </c>
      <c r="M102" s="62">
        <f>I102*Conv!$J$20/10^6/VLOOKUP($B102,Types!$B$2:$D$13,3,FALSE)/Conv!$I$5</f>
        <v>8.2121129949326779</v>
      </c>
      <c r="N102" s="62" t="e">
        <f>M102*#REF!</f>
        <v>#REF!</v>
      </c>
      <c r="O102" s="62" t="e">
        <f>N102*#REF!</f>
        <v>#REF!</v>
      </c>
      <c r="P102" s="62" t="e">
        <f>O102*#REF!</f>
        <v>#REF!</v>
      </c>
      <c r="Q102" s="62" t="e">
        <f>P102*#REF!</f>
        <v>#REF!</v>
      </c>
      <c r="R102" s="62" t="e">
        <f>Q102*#REF!</f>
        <v>#REF!</v>
      </c>
      <c r="S102" s="62" t="e">
        <f>R102*#REF!</f>
        <v>#REF!</v>
      </c>
      <c r="T102" s="62" t="e">
        <f>S102*#REF!</f>
        <v>#REF!</v>
      </c>
      <c r="U102" s="62" t="e">
        <f>T102*#REF!</f>
        <v>#REF!</v>
      </c>
      <c r="V102" s="62" t="e">
        <f>U102*#REF!</f>
        <v>#REF!</v>
      </c>
      <c r="W102" s="34"/>
      <c r="X102" s="1">
        <f>X100*$E$6</f>
        <v>899999.1</v>
      </c>
      <c r="Y102" s="1">
        <f t="shared" ref="Y102:AA102" si="235">Y100*$E$6</f>
        <v>899999.1</v>
      </c>
      <c r="Z102" s="1">
        <f t="shared" si="235"/>
        <v>899999.1</v>
      </c>
      <c r="AA102" s="1">
        <f t="shared" si="235"/>
        <v>899999.1</v>
      </c>
      <c r="AB102" s="34">
        <f>X102*VLOOKUP($B102,Types!$B$2:$D$13,3,FALSE)*Conv!$I$5*1000*365</f>
        <v>2178983.3491664715</v>
      </c>
      <c r="AC102" s="34">
        <f>Y102*VLOOKUP($B102,Types!$B$2:$D$13,3,FALSE)*Conv!$I$5*1000*365</f>
        <v>2178983.3491664715</v>
      </c>
      <c r="AD102" s="34">
        <f>Z102*VLOOKUP($B102,Types!$B$2:$D$13,3,FALSE)*Conv!$I$5*1000*365</f>
        <v>2178983.3491664715</v>
      </c>
      <c r="AE102" s="34">
        <f>AA102*VLOOKUP($B102,Types!$B$2:$D$13,3,FALSE)*Conv!$I$5*1000*365</f>
        <v>2178983.3491664715</v>
      </c>
      <c r="AF102" s="34">
        <f>AB102-AF101</f>
        <v>242109.26101849647</v>
      </c>
      <c r="AG102" s="34">
        <f t="shared" ref="AG102:AI102" si="236">AC102-AG101</f>
        <v>242109.26101849647</v>
      </c>
      <c r="AH102" s="34">
        <f t="shared" si="236"/>
        <v>242109.26101849647</v>
      </c>
      <c r="AI102" s="34">
        <f t="shared" si="236"/>
        <v>242109.26101849647</v>
      </c>
      <c r="AJ102" s="34"/>
      <c r="AK102" s="34"/>
      <c r="AL102" s="34"/>
    </row>
    <row r="103" spans="1:38">
      <c r="A103" s="1" t="str">
        <f t="shared" si="233"/>
        <v>High Sulfur Fuel Oil</v>
      </c>
      <c r="B103" s="1" t="str">
        <f>VLOOKUP($A103,Types!$A$2:$C$13,2,FALSE)</f>
        <v>RFH</v>
      </c>
      <c r="C103" s="1">
        <v>4</v>
      </c>
      <c r="D103" s="1">
        <v>2</v>
      </c>
      <c r="E103" s="1" t="str">
        <f t="shared" si="158"/>
        <v>IMPRFHP24</v>
      </c>
      <c r="F103" s="1" t="str">
        <f>CONCATENATE("Imported ",VLOOKUP($A103,Types!$A$2:$C$13,3,FALSE),", PADD ",D103,", Step ",RIGHT(C103,1))</f>
        <v>Imported High Sulfur Residual Fuel Oil, PADD 2, Step 4</v>
      </c>
      <c r="G103" s="1" t="str">
        <f>CONCATENATE(VLOOKUP($A103,Types!$A$2:$C$13,2,FALSE),"P",D103)</f>
        <v>RFHP2</v>
      </c>
      <c r="H103" s="61">
        <f>H100*$C$8</f>
        <v>45.07041000000001</v>
      </c>
      <c r="I103" s="61">
        <f t="shared" ref="I103:K103" si="237">I100*$C$8</f>
        <v>39.483070000000012</v>
      </c>
      <c r="J103" s="61">
        <f t="shared" si="237"/>
        <v>31.3811</v>
      </c>
      <c r="K103" s="61">
        <f t="shared" si="237"/>
        <v>34.662000000000006</v>
      </c>
      <c r="L103" s="62">
        <f>H103*Conv!$J$20/10^6/VLOOKUP($B103,Types!$B$2:$D$13,3,FALSE)/Conv!$I$5</f>
        <v>10.426437246375308</v>
      </c>
      <c r="M103" s="62">
        <f>I103*Conv!$J$20/10^6/VLOOKUP($B103,Types!$B$2:$D$13,3,FALSE)/Conv!$I$5</f>
        <v>9.1338807800781847</v>
      </c>
      <c r="N103" s="62" t="e">
        <f>M103*#REF!</f>
        <v>#REF!</v>
      </c>
      <c r="O103" s="62" t="e">
        <f>N103*#REF!</f>
        <v>#REF!</v>
      </c>
      <c r="P103" s="62" t="e">
        <f>O103*#REF!</f>
        <v>#REF!</v>
      </c>
      <c r="Q103" s="62" t="e">
        <f>P103*#REF!</f>
        <v>#REF!</v>
      </c>
      <c r="R103" s="62" t="e">
        <f>Q103*#REF!</f>
        <v>#REF!</v>
      </c>
      <c r="S103" s="62" t="e">
        <f>R103*#REF!</f>
        <v>#REF!</v>
      </c>
      <c r="T103" s="62" t="e">
        <f>S103*#REF!</f>
        <v>#REF!</v>
      </c>
      <c r="U103" s="62" t="e">
        <f>T103*#REF!</f>
        <v>#REF!</v>
      </c>
      <c r="V103" s="62" t="e">
        <f>U103*#REF!</f>
        <v>#REF!</v>
      </c>
      <c r="W103" s="34"/>
      <c r="X103" s="1">
        <f>X100*$E$8</f>
        <v>1199998.8</v>
      </c>
      <c r="Y103" s="1">
        <f t="shared" ref="Y103:AA103" si="238">Y100*$E$8</f>
        <v>1199998.8</v>
      </c>
      <c r="Z103" s="1">
        <f t="shared" si="238"/>
        <v>1199998.8</v>
      </c>
      <c r="AA103" s="1">
        <f t="shared" si="238"/>
        <v>1199998.8</v>
      </c>
      <c r="AB103" s="34">
        <f>X103*VLOOKUP($B103,Types!$B$2:$D$13,3,FALSE)*Conv!$I$5*1000*365</f>
        <v>2905311.1322219619</v>
      </c>
      <c r="AC103" s="34">
        <f>Y103*VLOOKUP($B103,Types!$B$2:$D$13,3,FALSE)*Conv!$I$5*1000*365</f>
        <v>2905311.1322219619</v>
      </c>
      <c r="AD103" s="34">
        <f>Z103*VLOOKUP($B103,Types!$B$2:$D$13,3,FALSE)*Conv!$I$5*1000*365</f>
        <v>2905311.1322219619</v>
      </c>
      <c r="AE103" s="34">
        <f>AA103*VLOOKUP($B103,Types!$B$2:$D$13,3,FALSE)*Conv!$I$5*1000*365</f>
        <v>2905311.1322219619</v>
      </c>
      <c r="AF103" s="34">
        <f>AB103-AB100</f>
        <v>484218.52203699341</v>
      </c>
      <c r="AG103" s="34">
        <f t="shared" ref="AG103:AI103" si="239">AC103-AC100</f>
        <v>484218.52203699341</v>
      </c>
      <c r="AH103" s="34">
        <f t="shared" si="239"/>
        <v>484218.52203699341</v>
      </c>
      <c r="AI103" s="34">
        <f t="shared" si="239"/>
        <v>484218.52203699341</v>
      </c>
      <c r="AJ103" s="34"/>
      <c r="AK103" s="34"/>
      <c r="AL103" s="34"/>
    </row>
    <row r="104" spans="1:38">
      <c r="A104" s="1" t="str">
        <f t="shared" si="233"/>
        <v>High Sulfur Fuel Oil</v>
      </c>
      <c r="B104" s="1" t="str">
        <f>VLOOKUP($A104,Types!$A$2:$C$13,2,FALSE)</f>
        <v>RFH</v>
      </c>
      <c r="C104" s="1">
        <v>5</v>
      </c>
      <c r="D104" s="1">
        <v>2</v>
      </c>
      <c r="E104" s="1" t="str">
        <f t="shared" si="158"/>
        <v>IMPRFHP25</v>
      </c>
      <c r="F104" s="1" t="str">
        <f>CONCATENATE("Imported ",VLOOKUP($A104,Types!$A$2:$C$13,3,FALSE),", PADD ",D104,", Step ",RIGHT(C104,1))</f>
        <v>Imported High Sulfur Residual Fuel Oil, PADD 2, Step 5</v>
      </c>
      <c r="G104" s="1" t="str">
        <f>CONCATENATE(VLOOKUP($A104,Types!$A$2:$C$13,2,FALSE),"P",D104)</f>
        <v>RFHP2</v>
      </c>
      <c r="H104" s="61">
        <f>H100*$C$9</f>
        <v>53.753700000000009</v>
      </c>
      <c r="I104" s="61">
        <f t="shared" ref="I104:K104" si="240">I100*$C$9</f>
        <v>47.089900000000007</v>
      </c>
      <c r="J104" s="61">
        <f t="shared" si="240"/>
        <v>37.427</v>
      </c>
      <c r="K104" s="61">
        <f t="shared" si="240"/>
        <v>41.34</v>
      </c>
      <c r="L104" s="62">
        <f>H104*Conv!$J$20/10^6/VLOOKUP($B104,Types!$B$2:$D$13,3,FALSE)/Conv!$I$5</f>
        <v>12.43520038558523</v>
      </c>
      <c r="M104" s="62">
        <f>I104*Conv!$J$20/10^6/VLOOKUP($B104,Types!$B$2:$D$13,3,FALSE)/Conv!$I$5</f>
        <v>10.893619278992327</v>
      </c>
      <c r="N104" s="62" t="e">
        <f>M104*#REF!</f>
        <v>#REF!</v>
      </c>
      <c r="O104" s="62" t="e">
        <f>N104*#REF!</f>
        <v>#REF!</v>
      </c>
      <c r="P104" s="62" t="e">
        <f>O104*#REF!</f>
        <v>#REF!</v>
      </c>
      <c r="Q104" s="62" t="e">
        <f>P104*#REF!</f>
        <v>#REF!</v>
      </c>
      <c r="R104" s="62" t="e">
        <f>Q104*#REF!</f>
        <v>#REF!</v>
      </c>
      <c r="S104" s="62" t="e">
        <f>R104*#REF!</f>
        <v>#REF!</v>
      </c>
      <c r="T104" s="62" t="e">
        <f>S104*#REF!</f>
        <v>#REF!</v>
      </c>
      <c r="U104" s="62" t="e">
        <f>T104*#REF!</f>
        <v>#REF!</v>
      </c>
      <c r="V104" s="62" t="e">
        <f>U104*#REF!</f>
        <v>#REF!</v>
      </c>
      <c r="W104" s="34"/>
      <c r="X104" s="1">
        <f>X100*$E$9</f>
        <v>1999998</v>
      </c>
      <c r="Y104" s="1">
        <f t="shared" ref="Y104:AA104" si="241">Y100*$E$9</f>
        <v>1999998</v>
      </c>
      <c r="Z104" s="1">
        <f t="shared" si="241"/>
        <v>1999998</v>
      </c>
      <c r="AA104" s="1">
        <f t="shared" si="241"/>
        <v>1999998</v>
      </c>
      <c r="AB104" s="34">
        <f>X104*VLOOKUP($B104,Types!$B$2:$D$13,3,FALSE)*Conv!$I$5*1000*365</f>
        <v>4842185.2203699369</v>
      </c>
      <c r="AC104" s="34">
        <f>Y104*VLOOKUP($B104,Types!$B$2:$D$13,3,FALSE)*Conv!$I$5*1000*365</f>
        <v>4842185.2203699369</v>
      </c>
      <c r="AD104" s="34">
        <f>Z104*VLOOKUP($B104,Types!$B$2:$D$13,3,FALSE)*Conv!$I$5*1000*365</f>
        <v>4842185.2203699369</v>
      </c>
      <c r="AE104" s="34">
        <f>AA104*VLOOKUP($B104,Types!$B$2:$D$13,3,FALSE)*Conv!$I$5*1000*365</f>
        <v>4842185.2203699369</v>
      </c>
      <c r="AF104" s="34">
        <f>AB104-AB103</f>
        <v>1936874.088147975</v>
      </c>
      <c r="AG104" s="34">
        <f t="shared" ref="AG104:AI104" si="242">AC104-AC103</f>
        <v>1936874.088147975</v>
      </c>
      <c r="AH104" s="34">
        <f t="shared" si="242"/>
        <v>1936874.088147975</v>
      </c>
      <c r="AI104" s="34">
        <f t="shared" si="242"/>
        <v>1936874.088147975</v>
      </c>
      <c r="AJ104" s="34"/>
      <c r="AK104" s="34"/>
      <c r="AL104" s="34"/>
    </row>
    <row r="105" spans="1:38">
      <c r="A105" s="1" t="str">
        <f>'Agg prdcrv'!$A$12</f>
        <v>Jet Fuel</v>
      </c>
      <c r="B105" s="1" t="str">
        <f>VLOOKUP($A105,Types!$A$2:$C$13,2,FALSE)</f>
        <v>JTF</v>
      </c>
      <c r="C105" s="1">
        <v>3</v>
      </c>
      <c r="D105" s="1">
        <v>2</v>
      </c>
      <c r="E105" s="1" t="str">
        <f t="shared" si="158"/>
        <v>IMPJTFP23</v>
      </c>
      <c r="F105" s="1" t="str">
        <f>CONCATENATE("Imported ",VLOOKUP($A105,Types!$A$2:$C$13,3,FALSE),", PADD ",D105,", Step ",RIGHT(C105,1))</f>
        <v>Imported Jet Fuel, PADD 2, Step 3</v>
      </c>
      <c r="G105" s="1" t="str">
        <f>CONCATENATE(VLOOKUP($A105,Types!$A$2:$C$13,2,FALSE),"P",D105)</f>
        <v>JTFP2</v>
      </c>
      <c r="H105" s="61">
        <f>SUMIFS('Agg prdcrv NYC'!$M$6:$M$100,'Agg prdcrv NYC'!$A$6:$A$100,'Imp Refined NYC'!$A105,'Agg prdcrv NYC'!$B$6:$B$100,H$11)*K4</f>
        <v>48.092000000000006</v>
      </c>
      <c r="I105" s="61">
        <f>SUMIFS('Agg prdcrv NYC'!$M$6:$M$100,'Agg prdcrv NYC'!$A$6:$A$100,'Imp Refined NYC'!$A105,'Agg prdcrv NYC'!$B$6:$B$100,I$11)*K4</f>
        <v>43.637000000000008</v>
      </c>
      <c r="J105" s="61">
        <f t="array" ref="J105">SUMIFS('Agg prdcrv NYC'!$M$6:$M$100,'Agg prdcrv NYC'!$A$6:$A$100,'Imp Refined NYC'!$A105,'Agg prdcrv NYC'!$B$6:$B$100,J$11)</f>
        <v>34.32</v>
      </c>
      <c r="K105" s="61">
        <f t="array" ref="K105">SUMIFS('Agg prdcrv NYC'!$M$6:$M$100,'Agg prdcrv NYC'!$A$6:$A$100,'Imp Refined NYC'!$A105,'Agg prdcrv NYC'!$B$6:$B$100,K$11)</f>
        <v>37.68</v>
      </c>
      <c r="L105" s="62">
        <f>H105*Conv!$J$20/10^6/VLOOKUP($B105,Types!$B$2:$D$13,3,FALSE)/Conv!$I$5</f>
        <v>12.336093851084993</v>
      </c>
      <c r="M105" s="62">
        <f>I105*Conv!$J$20/10^6/VLOOKUP($B105,Types!$B$2:$D$13,3,FALSE)/Conv!$I$5</f>
        <v>11.193340417944688</v>
      </c>
      <c r="N105" s="62" t="e">
        <f>M105*#REF!</f>
        <v>#REF!</v>
      </c>
      <c r="O105" s="62" t="e">
        <f>N105*#REF!</f>
        <v>#REF!</v>
      </c>
      <c r="P105" s="62" t="e">
        <f>O105*#REF!</f>
        <v>#REF!</v>
      </c>
      <c r="Q105" s="62" t="e">
        <f>P105*#REF!</f>
        <v>#REF!</v>
      </c>
      <c r="R105" s="62" t="e">
        <f>Q105*#REF!</f>
        <v>#REF!</v>
      </c>
      <c r="S105" s="62" t="e">
        <f>R105*#REF!</f>
        <v>#REF!</v>
      </c>
      <c r="T105" s="62" t="e">
        <f>S105*#REF!</f>
        <v>#REF!</v>
      </c>
      <c r="U105" s="62" t="e">
        <f>T105*#REF!</f>
        <v>#REF!</v>
      </c>
      <c r="V105" s="62" t="e">
        <f>U105*#REF!</f>
        <v>#REF!</v>
      </c>
      <c r="W105" s="34"/>
      <c r="X105" s="1">
        <f t="array" ref="X105">SUMIFS('Agg prdcrv NYC'!$E$6:$E$100,'Agg prdcrv NYC'!$A$6:$A$100,'Imp Refined NYC'!$A105,'Agg prdcrv NYC'!$B$6:$B$100,X$11)</f>
        <v>999999</v>
      </c>
      <c r="Y105" s="1">
        <f t="array" ref="Y105">SUMIFS('Agg prdcrv NYC'!$E$6:$E$100,'Agg prdcrv NYC'!$A$6:$A$100,'Imp Refined NYC'!$A105,'Agg prdcrv NYC'!$B$6:$B$100,Y$11)</f>
        <v>999999</v>
      </c>
      <c r="Z105" s="1">
        <f t="array" ref="Z105">SUMIFS('Agg prdcrv NYC'!$E$6:$E$100,'Agg prdcrv NYC'!$A$6:$A$100,'Imp Refined NYC'!$A105,'Agg prdcrv NYC'!$B$6:$B$100,Z$11)</f>
        <v>999999</v>
      </c>
      <c r="AA105" s="1">
        <f t="array" ref="AA105">SUMIFS('Agg prdcrv NYC'!$E$6:$E$100,'Agg prdcrv NYC'!$A$6:$A$100,'Imp Refined NYC'!$A105,'Agg prdcrv NYC'!$B$6:$B$100,AA$11)</f>
        <v>999999</v>
      </c>
      <c r="AB105" s="34">
        <f>X105*VLOOKUP($B105,Types!$B$2:$D$13,3,FALSE)*Conv!$I$5*1000*365</f>
        <v>2183488.9613088551</v>
      </c>
      <c r="AC105" s="34">
        <f>Y105*VLOOKUP($B105,Types!$B$2:$D$13,3,FALSE)*Conv!$I$5*1000*365</f>
        <v>2183488.9613088551</v>
      </c>
      <c r="AD105" s="34">
        <f>Z105*VLOOKUP($B105,Types!$B$2:$D$13,3,FALSE)*Conv!$I$5*1000*365</f>
        <v>2183488.9613088551</v>
      </c>
      <c r="AE105" s="34">
        <f>AA105*VLOOKUP($B105,Types!$B$2:$D$13,3,FALSE)*Conv!$I$5*1000*365</f>
        <v>2183488.9613088551</v>
      </c>
      <c r="AF105" s="34">
        <f>AB105-AB107</f>
        <v>218348.8961308857</v>
      </c>
      <c r="AG105" s="34">
        <f t="shared" ref="AG105:AI105" si="243">AC105-AC107</f>
        <v>218348.8961308857</v>
      </c>
      <c r="AH105" s="34">
        <f t="shared" si="243"/>
        <v>218348.8961308857</v>
      </c>
      <c r="AI105" s="34">
        <f t="shared" si="243"/>
        <v>218348.8961308857</v>
      </c>
      <c r="AJ105" s="34"/>
      <c r="AK105" s="34"/>
      <c r="AL105" s="34"/>
    </row>
    <row r="106" spans="1:38">
      <c r="A106" s="1" t="str">
        <f>A105</f>
        <v>Jet Fuel</v>
      </c>
      <c r="B106" s="1" t="str">
        <f>VLOOKUP($A106,Types!$A$2:$C$13,2,FALSE)</f>
        <v>JTF</v>
      </c>
      <c r="C106" s="1">
        <v>1</v>
      </c>
      <c r="D106" s="1">
        <v>2</v>
      </c>
      <c r="E106" s="1" t="str">
        <f t="shared" si="158"/>
        <v>IMPJTFP21</v>
      </c>
      <c r="F106" s="1" t="str">
        <f>CONCATENATE("Imported ",VLOOKUP($A106,Types!$A$2:$C$13,3,FALSE),", PADD ",D106,", Step ",RIGHT(C106,1))</f>
        <v>Imported Jet Fuel, PADD 2, Step 1</v>
      </c>
      <c r="G106" s="1" t="str">
        <f>CONCATENATE(VLOOKUP($A106,Types!$A$2:$C$13,2,FALSE),"P",D106)</f>
        <v>JTFP2</v>
      </c>
      <c r="H106" s="61">
        <f>H105*$C$5</f>
        <v>45.687400000000004</v>
      </c>
      <c r="I106" s="61">
        <f t="shared" ref="I106:K106" si="244">I105*$C$5</f>
        <v>41.455150000000003</v>
      </c>
      <c r="J106" s="61">
        <f t="shared" si="244"/>
        <v>32.603999999999999</v>
      </c>
      <c r="K106" s="61">
        <f t="shared" si="244"/>
        <v>35.795999999999999</v>
      </c>
      <c r="L106" s="62">
        <f>H106*Conv!$J$20/10^6/VLOOKUP($B106,Types!$B$2:$D$13,3,FALSE)/Conv!$I$5</f>
        <v>11.719289158530742</v>
      </c>
      <c r="M106" s="62">
        <f>I106*Conv!$J$20/10^6/VLOOKUP($B106,Types!$B$2:$D$13,3,FALSE)/Conv!$I$5</f>
        <v>10.633673397047451</v>
      </c>
      <c r="N106" s="62" t="e">
        <f>M106*#REF!</f>
        <v>#REF!</v>
      </c>
      <c r="O106" s="62" t="e">
        <f>N106*#REF!</f>
        <v>#REF!</v>
      </c>
      <c r="P106" s="62" t="e">
        <f>O106*#REF!</f>
        <v>#REF!</v>
      </c>
      <c r="Q106" s="62" t="e">
        <f>P106*#REF!</f>
        <v>#REF!</v>
      </c>
      <c r="R106" s="62" t="e">
        <f>Q106*#REF!</f>
        <v>#REF!</v>
      </c>
      <c r="S106" s="62" t="e">
        <f>R106*#REF!</f>
        <v>#REF!</v>
      </c>
      <c r="T106" s="62" t="e">
        <f>S106*#REF!</f>
        <v>#REF!</v>
      </c>
      <c r="U106" s="62" t="e">
        <f>T106*#REF!</f>
        <v>#REF!</v>
      </c>
      <c r="V106" s="62" t="e">
        <f>U106*#REF!</f>
        <v>#REF!</v>
      </c>
      <c r="W106" s="34"/>
      <c r="X106" s="1">
        <f>X105*$E$5</f>
        <v>799999.20000000007</v>
      </c>
      <c r="Y106" s="1">
        <f t="shared" ref="Y106:AA106" si="245">Y105*$E$5</f>
        <v>799999.20000000007</v>
      </c>
      <c r="Z106" s="1">
        <f t="shared" si="245"/>
        <v>799999.20000000007</v>
      </c>
      <c r="AA106" s="1">
        <f t="shared" si="245"/>
        <v>799999.20000000007</v>
      </c>
      <c r="AB106" s="34">
        <f>X106*VLOOKUP($B106,Types!$B$2:$D$13,3,FALSE)*Conv!$I$5*1000*365</f>
        <v>1746791.1690470844</v>
      </c>
      <c r="AC106" s="34">
        <f>Y106*VLOOKUP($B106,Types!$B$2:$D$13,3,FALSE)*Conv!$I$5*1000*365</f>
        <v>1746791.1690470844</v>
      </c>
      <c r="AD106" s="34">
        <f>Z106*VLOOKUP($B106,Types!$B$2:$D$13,3,FALSE)*Conv!$I$5*1000*365</f>
        <v>1746791.1690470844</v>
      </c>
      <c r="AE106" s="34">
        <f>AA106*VLOOKUP($B106,Types!$B$2:$D$13,3,FALSE)*Conv!$I$5*1000*365</f>
        <v>1746791.1690470844</v>
      </c>
      <c r="AF106" s="34">
        <f>AB106</f>
        <v>1746791.1690470844</v>
      </c>
      <c r="AG106" s="34">
        <f t="shared" ref="AG106:AI106" si="246">AC106</f>
        <v>1746791.1690470844</v>
      </c>
      <c r="AH106" s="34">
        <f t="shared" si="246"/>
        <v>1746791.1690470844</v>
      </c>
      <c r="AI106" s="34">
        <f t="shared" si="246"/>
        <v>1746791.1690470844</v>
      </c>
      <c r="AJ106" s="34"/>
      <c r="AK106" s="34"/>
      <c r="AL106" s="34"/>
    </row>
    <row r="107" spans="1:38">
      <c r="A107" s="1" t="str">
        <f t="shared" ref="A107:A109" si="247">A106</f>
        <v>Jet Fuel</v>
      </c>
      <c r="B107" s="1" t="str">
        <f>VLOOKUP($A107,Types!$A$2:$C$13,2,FALSE)</f>
        <v>JTF</v>
      </c>
      <c r="C107" s="1">
        <v>2</v>
      </c>
      <c r="D107" s="1">
        <v>2</v>
      </c>
      <c r="E107" s="1" t="str">
        <f t="shared" si="158"/>
        <v>IMPJTFP22</v>
      </c>
      <c r="F107" s="1" t="str">
        <f>CONCATENATE("Imported ",VLOOKUP($A107,Types!$A$2:$C$13,3,FALSE),", PADD ",D107,", Step ",RIGHT(C107,1))</f>
        <v>Imported Jet Fuel, PADD 2, Step 2</v>
      </c>
      <c r="G107" s="1" t="str">
        <f>CONCATENATE(VLOOKUP($A107,Types!$A$2:$C$13,2,FALSE),"P",D107)</f>
        <v>JTFP2</v>
      </c>
      <c r="H107" s="61">
        <f>H105*$C$6</f>
        <v>47.130160000000004</v>
      </c>
      <c r="I107" s="61">
        <f t="shared" ref="I107:K107" si="248">I105*$C$6</f>
        <v>42.764260000000007</v>
      </c>
      <c r="J107" s="61">
        <f t="shared" si="248"/>
        <v>33.633600000000001</v>
      </c>
      <c r="K107" s="61">
        <f t="shared" si="248"/>
        <v>36.926400000000001</v>
      </c>
      <c r="L107" s="62">
        <f>H107*Conv!$J$20/10^6/VLOOKUP($B107,Types!$B$2:$D$13,3,FALSE)/Conv!$I$5</f>
        <v>12.089371974063292</v>
      </c>
      <c r="M107" s="62">
        <f>I107*Conv!$J$20/10^6/VLOOKUP($B107,Types!$B$2:$D$13,3,FALSE)/Conv!$I$5</f>
        <v>10.969473609585794</v>
      </c>
      <c r="N107" s="62" t="e">
        <f>M107*#REF!</f>
        <v>#REF!</v>
      </c>
      <c r="O107" s="62" t="e">
        <f>N107*#REF!</f>
        <v>#REF!</v>
      </c>
      <c r="P107" s="62" t="e">
        <f>O107*#REF!</f>
        <v>#REF!</v>
      </c>
      <c r="Q107" s="62" t="e">
        <f>P107*#REF!</f>
        <v>#REF!</v>
      </c>
      <c r="R107" s="62" t="e">
        <f>Q107*#REF!</f>
        <v>#REF!</v>
      </c>
      <c r="S107" s="62" t="e">
        <f>R107*#REF!</f>
        <v>#REF!</v>
      </c>
      <c r="T107" s="62" t="e">
        <f>S107*#REF!</f>
        <v>#REF!</v>
      </c>
      <c r="U107" s="62" t="e">
        <f>T107*#REF!</f>
        <v>#REF!</v>
      </c>
      <c r="V107" s="62" t="e">
        <f>U107*#REF!</f>
        <v>#REF!</v>
      </c>
      <c r="W107" s="34"/>
      <c r="X107" s="1">
        <f>X105*$E$6</f>
        <v>899999.1</v>
      </c>
      <c r="Y107" s="1">
        <f t="shared" ref="Y107:AA107" si="249">Y105*$E$6</f>
        <v>899999.1</v>
      </c>
      <c r="Z107" s="1">
        <f t="shared" si="249"/>
        <v>899999.1</v>
      </c>
      <c r="AA107" s="1">
        <f t="shared" si="249"/>
        <v>899999.1</v>
      </c>
      <c r="AB107" s="34">
        <f>X107*VLOOKUP($B107,Types!$B$2:$D$13,3,FALSE)*Conv!$I$5*1000*365</f>
        <v>1965140.0651779694</v>
      </c>
      <c r="AC107" s="34">
        <f>Y107*VLOOKUP($B107,Types!$B$2:$D$13,3,FALSE)*Conv!$I$5*1000*365</f>
        <v>1965140.0651779694</v>
      </c>
      <c r="AD107" s="34">
        <f>Z107*VLOOKUP($B107,Types!$B$2:$D$13,3,FALSE)*Conv!$I$5*1000*365</f>
        <v>1965140.0651779694</v>
      </c>
      <c r="AE107" s="34">
        <f>AA107*VLOOKUP($B107,Types!$B$2:$D$13,3,FALSE)*Conv!$I$5*1000*365</f>
        <v>1965140.0651779694</v>
      </c>
      <c r="AF107" s="34">
        <f>AB107-AF106</f>
        <v>218348.896130885</v>
      </c>
      <c r="AG107" s="34">
        <f t="shared" ref="AG107:AI107" si="250">AC107-AG106</f>
        <v>218348.896130885</v>
      </c>
      <c r="AH107" s="34">
        <f t="shared" si="250"/>
        <v>218348.896130885</v>
      </c>
      <c r="AI107" s="34">
        <f t="shared" si="250"/>
        <v>218348.896130885</v>
      </c>
      <c r="AJ107" s="34"/>
      <c r="AK107" s="34"/>
      <c r="AL107" s="34"/>
    </row>
    <row r="108" spans="1:38">
      <c r="A108" s="1" t="str">
        <f t="shared" si="247"/>
        <v>Jet Fuel</v>
      </c>
      <c r="B108" s="1" t="str">
        <f>VLOOKUP($A108,Types!$A$2:$C$13,2,FALSE)</f>
        <v>JTF</v>
      </c>
      <c r="C108" s="1">
        <v>4</v>
      </c>
      <c r="D108" s="1">
        <v>2</v>
      </c>
      <c r="E108" s="1" t="str">
        <f t="shared" si="158"/>
        <v>IMPJTFP24</v>
      </c>
      <c r="F108" s="1" t="str">
        <f>CONCATENATE("Imported ",VLOOKUP($A108,Types!$A$2:$C$13,3,FALSE),", PADD ",D108,", Step ",RIGHT(C108,1))</f>
        <v>Imported Jet Fuel, PADD 2, Step 4</v>
      </c>
      <c r="G108" s="1" t="str">
        <f>CONCATENATE(VLOOKUP($A108,Types!$A$2:$C$13,2,FALSE),"P",D108)</f>
        <v>JTFP2</v>
      </c>
      <c r="H108" s="61">
        <f>H105*$C$8</f>
        <v>52.420280000000012</v>
      </c>
      <c r="I108" s="61">
        <f t="shared" ref="I108:K108" si="251">I105*$C$8</f>
        <v>47.564330000000012</v>
      </c>
      <c r="J108" s="61">
        <f t="shared" si="251"/>
        <v>37.408800000000006</v>
      </c>
      <c r="K108" s="61">
        <f t="shared" si="251"/>
        <v>41.071200000000005</v>
      </c>
      <c r="L108" s="62">
        <f>H108*Conv!$J$20/10^6/VLOOKUP($B108,Types!$B$2:$D$13,3,FALSE)/Conv!$I$5</f>
        <v>13.446342297682644</v>
      </c>
      <c r="M108" s="62">
        <f>I108*Conv!$J$20/10^6/VLOOKUP($B108,Types!$B$2:$D$13,3,FALSE)/Conv!$I$5</f>
        <v>12.200741055559712</v>
      </c>
      <c r="N108" s="62" t="e">
        <f>M108*#REF!</f>
        <v>#REF!</v>
      </c>
      <c r="O108" s="62" t="e">
        <f>N108*#REF!</f>
        <v>#REF!</v>
      </c>
      <c r="P108" s="62" t="e">
        <f>O108*#REF!</f>
        <v>#REF!</v>
      </c>
      <c r="Q108" s="62" t="e">
        <f>P108*#REF!</f>
        <v>#REF!</v>
      </c>
      <c r="R108" s="62" t="e">
        <f>Q108*#REF!</f>
        <v>#REF!</v>
      </c>
      <c r="S108" s="62" t="e">
        <f>R108*#REF!</f>
        <v>#REF!</v>
      </c>
      <c r="T108" s="62" t="e">
        <f>S108*#REF!</f>
        <v>#REF!</v>
      </c>
      <c r="U108" s="62" t="e">
        <f>T108*#REF!</f>
        <v>#REF!</v>
      </c>
      <c r="V108" s="62" t="e">
        <f>U108*#REF!</f>
        <v>#REF!</v>
      </c>
      <c r="W108" s="34"/>
      <c r="X108" s="1">
        <f>X105*$E$8</f>
        <v>1199998.8</v>
      </c>
      <c r="Y108" s="1">
        <f t="shared" ref="Y108:AA108" si="252">Y105*$E$8</f>
        <v>1199998.8</v>
      </c>
      <c r="Z108" s="1">
        <f t="shared" si="252"/>
        <v>1199998.8</v>
      </c>
      <c r="AA108" s="1">
        <f t="shared" si="252"/>
        <v>1199998.8</v>
      </c>
      <c r="AB108" s="34">
        <f>X108*VLOOKUP($B108,Types!$B$2:$D$13,3,FALSE)*Conv!$I$5*1000*365</f>
        <v>2620186.753570626</v>
      </c>
      <c r="AC108" s="34">
        <f>Y108*VLOOKUP($B108,Types!$B$2:$D$13,3,FALSE)*Conv!$I$5*1000*365</f>
        <v>2620186.753570626</v>
      </c>
      <c r="AD108" s="34">
        <f>Z108*VLOOKUP($B108,Types!$B$2:$D$13,3,FALSE)*Conv!$I$5*1000*365</f>
        <v>2620186.753570626</v>
      </c>
      <c r="AE108" s="34">
        <f>AA108*VLOOKUP($B108,Types!$B$2:$D$13,3,FALSE)*Conv!$I$5*1000*365</f>
        <v>2620186.753570626</v>
      </c>
      <c r="AF108" s="34">
        <f>AB108-AB105</f>
        <v>436697.79226177093</v>
      </c>
      <c r="AG108" s="34">
        <f t="shared" ref="AG108:AI108" si="253">AC108-AC105</f>
        <v>436697.79226177093</v>
      </c>
      <c r="AH108" s="34">
        <f t="shared" si="253"/>
        <v>436697.79226177093</v>
      </c>
      <c r="AI108" s="34">
        <f t="shared" si="253"/>
        <v>436697.79226177093</v>
      </c>
      <c r="AJ108" s="34"/>
      <c r="AK108" s="34"/>
      <c r="AL108" s="34"/>
    </row>
    <row r="109" spans="1:38">
      <c r="A109" s="1" t="str">
        <f t="shared" si="247"/>
        <v>Jet Fuel</v>
      </c>
      <c r="B109" s="1" t="str">
        <f>VLOOKUP($A109,Types!$A$2:$C$13,2,FALSE)</f>
        <v>JTF</v>
      </c>
      <c r="C109" s="1">
        <v>5</v>
      </c>
      <c r="D109" s="1">
        <v>2</v>
      </c>
      <c r="E109" s="1" t="str">
        <f t="shared" si="158"/>
        <v>IMPJTFP25</v>
      </c>
      <c r="F109" s="1" t="str">
        <f>CONCATENATE("Imported ",VLOOKUP($A109,Types!$A$2:$C$13,3,FALSE),", PADD ",D109,", Step ",RIGHT(C109,1))</f>
        <v>Imported Jet Fuel, PADD 2, Step 5</v>
      </c>
      <c r="G109" s="1" t="str">
        <f>CONCATENATE(VLOOKUP($A109,Types!$A$2:$C$13,2,FALSE),"P",D109)</f>
        <v>JTFP2</v>
      </c>
      <c r="H109" s="61">
        <f>H105*$C$9</f>
        <v>62.519600000000011</v>
      </c>
      <c r="I109" s="61">
        <f t="shared" ref="I109:K109" si="254">I105*$C$9</f>
        <v>56.728100000000012</v>
      </c>
      <c r="J109" s="61">
        <f t="shared" si="254"/>
        <v>44.616</v>
      </c>
      <c r="K109" s="61">
        <f t="shared" si="254"/>
        <v>48.984000000000002</v>
      </c>
      <c r="L109" s="62">
        <f>H109*Conv!$J$20/10^6/VLOOKUP($B109,Types!$B$2:$D$13,3,FALSE)/Conv!$I$5</f>
        <v>16.036922006410492</v>
      </c>
      <c r="M109" s="62">
        <f>I109*Conv!$J$20/10^6/VLOOKUP($B109,Types!$B$2:$D$13,3,FALSE)/Conv!$I$5</f>
        <v>14.551342543328094</v>
      </c>
      <c r="N109" s="62" t="e">
        <f>M109*#REF!</f>
        <v>#REF!</v>
      </c>
      <c r="O109" s="62" t="e">
        <f>N109*#REF!</f>
        <v>#REF!</v>
      </c>
      <c r="P109" s="62" t="e">
        <f>O109*#REF!</f>
        <v>#REF!</v>
      </c>
      <c r="Q109" s="62" t="e">
        <f>P109*#REF!</f>
        <v>#REF!</v>
      </c>
      <c r="R109" s="62" t="e">
        <f>Q109*#REF!</f>
        <v>#REF!</v>
      </c>
      <c r="S109" s="62" t="e">
        <f>R109*#REF!</f>
        <v>#REF!</v>
      </c>
      <c r="T109" s="62" t="e">
        <f>S109*#REF!</f>
        <v>#REF!</v>
      </c>
      <c r="U109" s="62" t="e">
        <f>T109*#REF!</f>
        <v>#REF!</v>
      </c>
      <c r="V109" s="62" t="e">
        <f>U109*#REF!</f>
        <v>#REF!</v>
      </c>
      <c r="W109" s="34"/>
      <c r="X109" s="1">
        <f>X105*$E$9</f>
        <v>1999998</v>
      </c>
      <c r="Y109" s="1">
        <f t="shared" ref="Y109:AA109" si="255">Y105*$E$9</f>
        <v>1999998</v>
      </c>
      <c r="Z109" s="1">
        <f t="shared" si="255"/>
        <v>1999998</v>
      </c>
      <c r="AA109" s="1">
        <f t="shared" si="255"/>
        <v>1999998</v>
      </c>
      <c r="AB109" s="34">
        <f>X109*VLOOKUP($B109,Types!$B$2:$D$13,3,FALSE)*Conv!$I$5*1000*365</f>
        <v>4366977.9226177102</v>
      </c>
      <c r="AC109" s="34">
        <f>Y109*VLOOKUP($B109,Types!$B$2:$D$13,3,FALSE)*Conv!$I$5*1000*365</f>
        <v>4366977.9226177102</v>
      </c>
      <c r="AD109" s="34">
        <f>Z109*VLOOKUP($B109,Types!$B$2:$D$13,3,FALSE)*Conv!$I$5*1000*365</f>
        <v>4366977.9226177102</v>
      </c>
      <c r="AE109" s="34">
        <f>AA109*VLOOKUP($B109,Types!$B$2:$D$13,3,FALSE)*Conv!$I$5*1000*365</f>
        <v>4366977.9226177102</v>
      </c>
      <c r="AF109" s="34">
        <f>AB109-AB108</f>
        <v>1746791.1690470842</v>
      </c>
      <c r="AG109" s="34">
        <f t="shared" ref="AG109:AI109" si="256">AC109-AC108</f>
        <v>1746791.1690470842</v>
      </c>
      <c r="AH109" s="34">
        <f t="shared" si="256"/>
        <v>1746791.1690470842</v>
      </c>
      <c r="AI109" s="34">
        <f t="shared" si="256"/>
        <v>1746791.1690470842</v>
      </c>
      <c r="AJ109" s="34"/>
      <c r="AK109" s="34"/>
      <c r="AL109" s="34"/>
    </row>
    <row r="110" spans="1:38">
      <c r="A110" s="1" t="str">
        <f>'Agg prdcrv'!$A$13</f>
        <v>LPG</v>
      </c>
      <c r="B110" s="1" t="str">
        <f>VLOOKUP($A110,Types!$A$2:$C$13,2,FALSE)</f>
        <v>LPG</v>
      </c>
      <c r="C110" s="1">
        <v>3</v>
      </c>
      <c r="D110" s="1">
        <v>2</v>
      </c>
      <c r="E110" s="1" t="str">
        <f t="shared" si="158"/>
        <v>IMPLPGP23</v>
      </c>
      <c r="F110" s="1" t="str">
        <f>CONCATENATE("Imported ",VLOOKUP($A110,Types!$A$2:$C$13,3,FALSE),", PADD ",D110,", Step ",RIGHT(C110,1))</f>
        <v>Imported LPG, PADD 2, Step 3</v>
      </c>
      <c r="G110" s="1" t="str">
        <f>CONCATENATE(VLOOKUP($A110,Types!$A$2:$C$13,2,FALSE),"P",D110)</f>
        <v>LPGP2</v>
      </c>
      <c r="H110" s="61">
        <f>SUMIFS('Agg prdcrv NYC'!$M$6:$M$100,'Agg prdcrv NYC'!$A$6:$A$100,'Imp Refined NYC'!$A110,'Agg prdcrv NYC'!$B$6:$B$100,H$11)*K4</f>
        <v>31.691000000000003</v>
      </c>
      <c r="I110" s="61">
        <f>SUMIFS('Agg prdcrv NYC'!$M$6:$M$100,'Agg prdcrv NYC'!$A$6:$A$100,'Imp Refined NYC'!$A110,'Agg prdcrv NYC'!$B$6:$B$100,I$11)*K4</f>
        <v>31.35</v>
      </c>
      <c r="J110" s="61">
        <f t="array" ref="J110">SUMIFS('Agg prdcrv NYC'!$M$6:$M$100,'Agg prdcrv NYC'!$A$6:$A$100,'Imp Refined NYC'!$A110,'Agg prdcrv NYC'!$B$6:$B$100,J$11)</f>
        <v>28.5</v>
      </c>
      <c r="K110" s="61">
        <f t="array" ref="K110">SUMIFS('Agg prdcrv NYC'!$M$6:$M$100,'Agg prdcrv NYC'!$A$6:$A$100,'Imp Refined NYC'!$A110,'Agg prdcrv NYC'!$B$6:$B$100,K$11)</f>
        <v>28.5</v>
      </c>
      <c r="L110" s="62">
        <f>H110*Conv!$J$20/10^6/VLOOKUP($B110,Types!$B$2:$D$13,3,FALSE)/Conv!$I$5</f>
        <v>12.958059311858628</v>
      </c>
      <c r="M110" s="62">
        <f>I110*Conv!$J$20/10^6/VLOOKUP($B110,Types!$B$2:$D$13,3,FALSE)/Conv!$I$5</f>
        <v>12.818628614646682</v>
      </c>
      <c r="N110" s="62" t="e">
        <f>M110*#REF!</f>
        <v>#REF!</v>
      </c>
      <c r="O110" s="62" t="e">
        <f>N110*#REF!</f>
        <v>#REF!</v>
      </c>
      <c r="P110" s="62" t="e">
        <f>O110*#REF!</f>
        <v>#REF!</v>
      </c>
      <c r="Q110" s="62" t="e">
        <f>P110*#REF!</f>
        <v>#REF!</v>
      </c>
      <c r="R110" s="62" t="e">
        <f>Q110*#REF!</f>
        <v>#REF!</v>
      </c>
      <c r="S110" s="62" t="e">
        <f>R110*#REF!</f>
        <v>#REF!</v>
      </c>
      <c r="T110" s="62" t="e">
        <f>S110*#REF!</f>
        <v>#REF!</v>
      </c>
      <c r="U110" s="62" t="e">
        <f>T110*#REF!</f>
        <v>#REF!</v>
      </c>
      <c r="V110" s="62" t="e">
        <f>U110*#REF!</f>
        <v>#REF!</v>
      </c>
      <c r="W110" s="34"/>
      <c r="X110" s="1">
        <f t="array" ref="X110">SUMIFS('Agg prdcrv NYC'!$E$6:$E$100,'Agg prdcrv NYC'!$A$6:$A$100,'Imp Refined NYC'!$A110,'Agg prdcrv NYC'!$B$6:$B$100,X$11)</f>
        <v>999999</v>
      </c>
      <c r="Y110" s="1">
        <f t="array" ref="Y110">SUMIFS('Agg prdcrv NYC'!$E$6:$E$100,'Agg prdcrv NYC'!$A$6:$A$100,'Imp Refined NYC'!$A110,'Agg prdcrv NYC'!$B$6:$B$100,Y$11)</f>
        <v>999999</v>
      </c>
      <c r="Z110" s="1">
        <f t="array" ref="Z110">SUMIFS('Agg prdcrv NYC'!$E$6:$E$100,'Agg prdcrv NYC'!$A$6:$A$100,'Imp Refined NYC'!$A110,'Agg prdcrv NYC'!$B$6:$B$100,Z$11)</f>
        <v>999999</v>
      </c>
      <c r="AA110" s="1">
        <f t="array" ref="AA110">SUMIFS('Agg prdcrv NYC'!$E$6:$E$100,'Agg prdcrv NYC'!$A$6:$A$100,'Imp Refined NYC'!$A110,'Agg prdcrv NYC'!$B$6:$B$100,AA$11)</f>
        <v>999999</v>
      </c>
      <c r="AB110" s="34">
        <f>X110*VLOOKUP($B110,Types!$B$2:$D$13,3,FALSE)*Conv!$I$5*1000*365</f>
        <v>1369783.1102955197</v>
      </c>
      <c r="AC110" s="34">
        <f>Y110*VLOOKUP($B110,Types!$B$2:$D$13,3,FALSE)*Conv!$I$5*1000*365</f>
        <v>1369783.1102955197</v>
      </c>
      <c r="AD110" s="34">
        <f>Z110*VLOOKUP($B110,Types!$B$2:$D$13,3,FALSE)*Conv!$I$5*1000*365</f>
        <v>1369783.1102955197</v>
      </c>
      <c r="AE110" s="34">
        <f>AA110*VLOOKUP($B110,Types!$B$2:$D$13,3,FALSE)*Conv!$I$5*1000*365</f>
        <v>1369783.1102955197</v>
      </c>
      <c r="AF110" s="34">
        <f>AB110-AB112</f>
        <v>136978.31102955202</v>
      </c>
      <c r="AG110" s="34">
        <f t="shared" ref="AG110:AI110" si="257">AC110-AC112</f>
        <v>136978.31102955202</v>
      </c>
      <c r="AH110" s="34">
        <f t="shared" si="257"/>
        <v>136978.31102955202</v>
      </c>
      <c r="AI110" s="34">
        <f t="shared" si="257"/>
        <v>136978.31102955202</v>
      </c>
      <c r="AJ110" s="34"/>
      <c r="AK110" s="34"/>
      <c r="AL110" s="34"/>
    </row>
    <row r="111" spans="1:38">
      <c r="A111" s="1" t="str">
        <f>A110</f>
        <v>LPG</v>
      </c>
      <c r="B111" s="1" t="str">
        <f>VLOOKUP($A111,Types!$A$2:$C$13,2,FALSE)</f>
        <v>LPG</v>
      </c>
      <c r="C111" s="1">
        <v>1</v>
      </c>
      <c r="D111" s="1">
        <v>2</v>
      </c>
      <c r="E111" s="1" t="str">
        <f t="shared" si="158"/>
        <v>IMPLPGP21</v>
      </c>
      <c r="F111" s="1" t="str">
        <f>CONCATENATE("Imported ",VLOOKUP($A111,Types!$A$2:$C$13,3,FALSE),", PADD ",D111,", Step ",RIGHT(C111,1))</f>
        <v>Imported LPG, PADD 2, Step 1</v>
      </c>
      <c r="G111" s="1" t="str">
        <f>CONCATENATE(VLOOKUP($A111,Types!$A$2:$C$13,2,FALSE),"P",D111)</f>
        <v>LPGP2</v>
      </c>
      <c r="H111" s="61">
        <f>H110*$C$5</f>
        <v>30.106450000000002</v>
      </c>
      <c r="I111" s="61">
        <f t="shared" ref="I111:K111" si="258">I110*$C$5</f>
        <v>29.782499999999999</v>
      </c>
      <c r="J111" s="61">
        <f t="shared" si="258"/>
        <v>27.074999999999999</v>
      </c>
      <c r="K111" s="61">
        <f t="shared" si="258"/>
        <v>27.074999999999999</v>
      </c>
      <c r="L111" s="62">
        <f>H111*Conv!$J$20/10^6/VLOOKUP($B111,Types!$B$2:$D$13,3,FALSE)/Conv!$I$5</f>
        <v>12.310156346265698</v>
      </c>
      <c r="M111" s="62">
        <f>I111*Conv!$J$20/10^6/VLOOKUP($B111,Types!$B$2:$D$13,3,FALSE)/Conv!$I$5</f>
        <v>12.177697183914349</v>
      </c>
      <c r="N111" s="62" t="e">
        <f>M111*#REF!</f>
        <v>#REF!</v>
      </c>
      <c r="O111" s="62" t="e">
        <f>N111*#REF!</f>
        <v>#REF!</v>
      </c>
      <c r="P111" s="62" t="e">
        <f>O111*#REF!</f>
        <v>#REF!</v>
      </c>
      <c r="Q111" s="62" t="e">
        <f>P111*#REF!</f>
        <v>#REF!</v>
      </c>
      <c r="R111" s="62" t="e">
        <f>Q111*#REF!</f>
        <v>#REF!</v>
      </c>
      <c r="S111" s="62" t="e">
        <f>R111*#REF!</f>
        <v>#REF!</v>
      </c>
      <c r="T111" s="62" t="e">
        <f>S111*#REF!</f>
        <v>#REF!</v>
      </c>
      <c r="U111" s="62" t="e">
        <f>T111*#REF!</f>
        <v>#REF!</v>
      </c>
      <c r="V111" s="62" t="e">
        <f>U111*#REF!</f>
        <v>#REF!</v>
      </c>
      <c r="W111" s="34"/>
      <c r="X111" s="1">
        <f>X110*$E$5</f>
        <v>799999.20000000007</v>
      </c>
      <c r="Y111" s="1">
        <f t="shared" ref="Y111:AA111" si="259">Y110*$E$5</f>
        <v>799999.20000000007</v>
      </c>
      <c r="Z111" s="1">
        <f t="shared" si="259"/>
        <v>799999.20000000007</v>
      </c>
      <c r="AA111" s="1">
        <f t="shared" si="259"/>
        <v>799999.20000000007</v>
      </c>
      <c r="AB111" s="34">
        <f>X111*VLOOKUP($B111,Types!$B$2:$D$13,3,FALSE)*Conv!$I$5*1000*365</f>
        <v>1095826.4882364159</v>
      </c>
      <c r="AC111" s="34">
        <f>Y111*VLOOKUP($B111,Types!$B$2:$D$13,3,FALSE)*Conv!$I$5*1000*365</f>
        <v>1095826.4882364159</v>
      </c>
      <c r="AD111" s="34">
        <f>Z111*VLOOKUP($B111,Types!$B$2:$D$13,3,FALSE)*Conv!$I$5*1000*365</f>
        <v>1095826.4882364159</v>
      </c>
      <c r="AE111" s="34">
        <f>AA111*VLOOKUP($B111,Types!$B$2:$D$13,3,FALSE)*Conv!$I$5*1000*365</f>
        <v>1095826.4882364159</v>
      </c>
      <c r="AF111" s="34">
        <f>AB111</f>
        <v>1095826.4882364159</v>
      </c>
      <c r="AG111" s="34">
        <f t="shared" ref="AG111:AI111" si="260">AC111</f>
        <v>1095826.4882364159</v>
      </c>
      <c r="AH111" s="34">
        <f t="shared" si="260"/>
        <v>1095826.4882364159</v>
      </c>
      <c r="AI111" s="34">
        <f t="shared" si="260"/>
        <v>1095826.4882364159</v>
      </c>
      <c r="AJ111" s="34"/>
      <c r="AK111" s="34"/>
      <c r="AL111" s="34"/>
    </row>
    <row r="112" spans="1:38">
      <c r="A112" s="1" t="str">
        <f t="shared" ref="A112:A114" si="261">A111</f>
        <v>LPG</v>
      </c>
      <c r="B112" s="1" t="str">
        <f>VLOOKUP($A112,Types!$A$2:$C$13,2,FALSE)</f>
        <v>LPG</v>
      </c>
      <c r="C112" s="1">
        <v>2</v>
      </c>
      <c r="D112" s="1">
        <v>2</v>
      </c>
      <c r="E112" s="1" t="str">
        <f t="shared" si="158"/>
        <v>IMPLPGP22</v>
      </c>
      <c r="F112" s="1" t="str">
        <f>CONCATENATE("Imported ",VLOOKUP($A112,Types!$A$2:$C$13,3,FALSE),", PADD ",D112,", Step ",RIGHT(C112,1))</f>
        <v>Imported LPG, PADD 2, Step 2</v>
      </c>
      <c r="G112" s="1" t="str">
        <f>CONCATENATE(VLOOKUP($A112,Types!$A$2:$C$13,2,FALSE),"P",D112)</f>
        <v>LPGP2</v>
      </c>
      <c r="H112" s="61">
        <f>H110*$C$6</f>
        <v>31.057180000000002</v>
      </c>
      <c r="I112" s="61">
        <f t="shared" ref="I112:K112" si="262">I110*$C$6</f>
        <v>30.723000000000003</v>
      </c>
      <c r="J112" s="61">
        <f t="shared" si="262"/>
        <v>27.93</v>
      </c>
      <c r="K112" s="61">
        <f t="shared" si="262"/>
        <v>27.93</v>
      </c>
      <c r="L112" s="62">
        <f>H112*Conv!$J$20/10^6/VLOOKUP($B112,Types!$B$2:$D$13,3,FALSE)/Conv!$I$5</f>
        <v>12.698898125621454</v>
      </c>
      <c r="M112" s="62">
        <f>I112*Conv!$J$20/10^6/VLOOKUP($B112,Types!$B$2:$D$13,3,FALSE)/Conv!$I$5</f>
        <v>12.56225604235375</v>
      </c>
      <c r="N112" s="62" t="e">
        <f>M112*#REF!</f>
        <v>#REF!</v>
      </c>
      <c r="O112" s="62" t="e">
        <f>N112*#REF!</f>
        <v>#REF!</v>
      </c>
      <c r="P112" s="62" t="e">
        <f>O112*#REF!</f>
        <v>#REF!</v>
      </c>
      <c r="Q112" s="62" t="e">
        <f>P112*#REF!</f>
        <v>#REF!</v>
      </c>
      <c r="R112" s="62" t="e">
        <f>Q112*#REF!</f>
        <v>#REF!</v>
      </c>
      <c r="S112" s="62" t="e">
        <f>R112*#REF!</f>
        <v>#REF!</v>
      </c>
      <c r="T112" s="62" t="e">
        <f>S112*#REF!</f>
        <v>#REF!</v>
      </c>
      <c r="U112" s="62" t="e">
        <f>T112*#REF!</f>
        <v>#REF!</v>
      </c>
      <c r="V112" s="62" t="e">
        <f>U112*#REF!</f>
        <v>#REF!</v>
      </c>
      <c r="W112" s="34"/>
      <c r="X112" s="1">
        <f>X110*$E$6</f>
        <v>899999.1</v>
      </c>
      <c r="Y112" s="1">
        <f t="shared" ref="Y112:AA112" si="263">Y110*$E$6</f>
        <v>899999.1</v>
      </c>
      <c r="Z112" s="1">
        <f t="shared" si="263"/>
        <v>899999.1</v>
      </c>
      <c r="AA112" s="1">
        <f t="shared" si="263"/>
        <v>899999.1</v>
      </c>
      <c r="AB112" s="34">
        <f>X112*VLOOKUP($B112,Types!$B$2:$D$13,3,FALSE)*Conv!$I$5*1000*365</f>
        <v>1232804.7992659677</v>
      </c>
      <c r="AC112" s="34">
        <f>Y112*VLOOKUP($B112,Types!$B$2:$D$13,3,FALSE)*Conv!$I$5*1000*365</f>
        <v>1232804.7992659677</v>
      </c>
      <c r="AD112" s="34">
        <f>Z112*VLOOKUP($B112,Types!$B$2:$D$13,3,FALSE)*Conv!$I$5*1000*365</f>
        <v>1232804.7992659677</v>
      </c>
      <c r="AE112" s="34">
        <f>AA112*VLOOKUP($B112,Types!$B$2:$D$13,3,FALSE)*Conv!$I$5*1000*365</f>
        <v>1232804.7992659677</v>
      </c>
      <c r="AF112" s="34">
        <f>AB112-AF111</f>
        <v>136978.31102955178</v>
      </c>
      <c r="AG112" s="34">
        <f t="shared" ref="AG112:AI112" si="264">AC112-AG111</f>
        <v>136978.31102955178</v>
      </c>
      <c r="AH112" s="34">
        <f t="shared" si="264"/>
        <v>136978.31102955178</v>
      </c>
      <c r="AI112" s="34">
        <f t="shared" si="264"/>
        <v>136978.31102955178</v>
      </c>
      <c r="AJ112" s="34"/>
      <c r="AK112" s="34"/>
      <c r="AL112" s="34"/>
    </row>
    <row r="113" spans="1:38">
      <c r="A113" s="1" t="str">
        <f t="shared" si="261"/>
        <v>LPG</v>
      </c>
      <c r="B113" s="1" t="str">
        <f>VLOOKUP($A113,Types!$A$2:$C$13,2,FALSE)</f>
        <v>LPG</v>
      </c>
      <c r="C113" s="1">
        <v>4</v>
      </c>
      <c r="D113" s="1">
        <v>2</v>
      </c>
      <c r="E113" s="1" t="str">
        <f t="shared" si="158"/>
        <v>IMPLPGP24</v>
      </c>
      <c r="F113" s="1" t="str">
        <f>CONCATENATE("Imported ",VLOOKUP($A113,Types!$A$2:$C$13,3,FALSE),", PADD ",D113,", Step ",RIGHT(C113,1))</f>
        <v>Imported LPG, PADD 2, Step 4</v>
      </c>
      <c r="G113" s="1" t="str">
        <f>CONCATENATE(VLOOKUP($A113,Types!$A$2:$C$13,2,FALSE),"P",D113)</f>
        <v>LPGP2</v>
      </c>
      <c r="H113" s="61">
        <f>H110*$C$8</f>
        <v>34.543190000000003</v>
      </c>
      <c r="I113" s="61">
        <f t="shared" ref="I113:K113" si="265">I110*$C$8</f>
        <v>34.171500000000002</v>
      </c>
      <c r="J113" s="61">
        <f t="shared" si="265"/>
        <v>31.065000000000001</v>
      </c>
      <c r="K113" s="61">
        <f t="shared" si="265"/>
        <v>31.065000000000001</v>
      </c>
      <c r="L113" s="62">
        <f>H113*Conv!$J$20/10^6/VLOOKUP($B113,Types!$B$2:$D$13,3,FALSE)/Conv!$I$5</f>
        <v>14.124284649925904</v>
      </c>
      <c r="M113" s="62">
        <f>I113*Conv!$J$20/10^6/VLOOKUP($B113,Types!$B$2:$D$13,3,FALSE)/Conv!$I$5</f>
        <v>13.972305189964885</v>
      </c>
      <c r="N113" s="62" t="e">
        <f>M113*#REF!</f>
        <v>#REF!</v>
      </c>
      <c r="O113" s="62" t="e">
        <f>N113*#REF!</f>
        <v>#REF!</v>
      </c>
      <c r="P113" s="62" t="e">
        <f>O113*#REF!</f>
        <v>#REF!</v>
      </c>
      <c r="Q113" s="62" t="e">
        <f>P113*#REF!</f>
        <v>#REF!</v>
      </c>
      <c r="R113" s="62" t="e">
        <f>Q113*#REF!</f>
        <v>#REF!</v>
      </c>
      <c r="S113" s="62" t="e">
        <f>R113*#REF!</f>
        <v>#REF!</v>
      </c>
      <c r="T113" s="62" t="e">
        <f>S113*#REF!</f>
        <v>#REF!</v>
      </c>
      <c r="U113" s="62" t="e">
        <f>T113*#REF!</f>
        <v>#REF!</v>
      </c>
      <c r="V113" s="62" t="e">
        <f>U113*#REF!</f>
        <v>#REF!</v>
      </c>
      <c r="W113" s="34"/>
      <c r="X113" s="1">
        <f>X110*$E$8</f>
        <v>1199998.8</v>
      </c>
      <c r="Y113" s="1">
        <f t="shared" ref="Y113:AA113" si="266">Y110*$E$8</f>
        <v>1199998.8</v>
      </c>
      <c r="Z113" s="1">
        <f t="shared" si="266"/>
        <v>1199998.8</v>
      </c>
      <c r="AA113" s="1">
        <f t="shared" si="266"/>
        <v>1199998.8</v>
      </c>
      <c r="AB113" s="34">
        <f>X113*VLOOKUP($B113,Types!$B$2:$D$13,3,FALSE)*Conv!$I$5*1000*365</f>
        <v>1643739.7323546242</v>
      </c>
      <c r="AC113" s="34">
        <f>Y113*VLOOKUP($B113,Types!$B$2:$D$13,3,FALSE)*Conv!$I$5*1000*365</f>
        <v>1643739.7323546242</v>
      </c>
      <c r="AD113" s="34">
        <f>Z113*VLOOKUP($B113,Types!$B$2:$D$13,3,FALSE)*Conv!$I$5*1000*365</f>
        <v>1643739.7323546242</v>
      </c>
      <c r="AE113" s="34">
        <f>AA113*VLOOKUP($B113,Types!$B$2:$D$13,3,FALSE)*Conv!$I$5*1000*365</f>
        <v>1643739.7323546242</v>
      </c>
      <c r="AF113" s="34">
        <f>AB113-AB110</f>
        <v>273956.6220591045</v>
      </c>
      <c r="AG113" s="34">
        <f t="shared" ref="AG113:AI113" si="267">AC113-AC110</f>
        <v>273956.6220591045</v>
      </c>
      <c r="AH113" s="34">
        <f t="shared" si="267"/>
        <v>273956.6220591045</v>
      </c>
      <c r="AI113" s="34">
        <f t="shared" si="267"/>
        <v>273956.6220591045</v>
      </c>
      <c r="AJ113" s="34"/>
      <c r="AK113" s="34"/>
      <c r="AL113" s="34"/>
    </row>
    <row r="114" spans="1:38">
      <c r="A114" s="1" t="str">
        <f t="shared" si="261"/>
        <v>LPG</v>
      </c>
      <c r="B114" s="1" t="str">
        <f>VLOOKUP($A114,Types!$A$2:$C$13,2,FALSE)</f>
        <v>LPG</v>
      </c>
      <c r="C114" s="1">
        <v>5</v>
      </c>
      <c r="D114" s="1">
        <v>2</v>
      </c>
      <c r="E114" s="1" t="str">
        <f t="shared" si="158"/>
        <v>IMPLPGP25</v>
      </c>
      <c r="F114" s="1" t="str">
        <f>CONCATENATE("Imported ",VLOOKUP($A114,Types!$A$2:$C$13,3,FALSE),", PADD ",D114,", Step ",RIGHT(C114,1))</f>
        <v>Imported LPG, PADD 2, Step 5</v>
      </c>
      <c r="G114" s="1" t="str">
        <f>CONCATENATE(VLOOKUP($A114,Types!$A$2:$C$13,2,FALSE),"P",D114)</f>
        <v>LPGP2</v>
      </c>
      <c r="H114" s="61">
        <f>H110*$C$9</f>
        <v>41.198300000000003</v>
      </c>
      <c r="I114" s="61">
        <f t="shared" ref="I114:K114" si="268">I110*$C$9</f>
        <v>40.755000000000003</v>
      </c>
      <c r="J114" s="61">
        <f t="shared" si="268"/>
        <v>37.050000000000004</v>
      </c>
      <c r="K114" s="61">
        <f t="shared" si="268"/>
        <v>37.050000000000004</v>
      </c>
      <c r="L114" s="62">
        <f>H114*Conv!$J$20/10^6/VLOOKUP($B114,Types!$B$2:$D$13,3,FALSE)/Conv!$I$5</f>
        <v>16.845477105416219</v>
      </c>
      <c r="M114" s="62">
        <f>I114*Conv!$J$20/10^6/VLOOKUP($B114,Types!$B$2:$D$13,3,FALSE)/Conv!$I$5</f>
        <v>16.664217199040689</v>
      </c>
      <c r="N114" s="62" t="e">
        <f>M114*#REF!</f>
        <v>#REF!</v>
      </c>
      <c r="O114" s="62" t="e">
        <f>N114*#REF!</f>
        <v>#REF!</v>
      </c>
      <c r="P114" s="62" t="e">
        <f>O114*#REF!</f>
        <v>#REF!</v>
      </c>
      <c r="Q114" s="62" t="e">
        <f>P114*#REF!</f>
        <v>#REF!</v>
      </c>
      <c r="R114" s="62" t="e">
        <f>Q114*#REF!</f>
        <v>#REF!</v>
      </c>
      <c r="S114" s="62" t="e">
        <f>R114*#REF!</f>
        <v>#REF!</v>
      </c>
      <c r="T114" s="62" t="e">
        <f>S114*#REF!</f>
        <v>#REF!</v>
      </c>
      <c r="U114" s="62" t="e">
        <f>T114*#REF!</f>
        <v>#REF!</v>
      </c>
      <c r="V114" s="62" t="e">
        <f>U114*#REF!</f>
        <v>#REF!</v>
      </c>
      <c r="W114" s="34"/>
      <c r="X114" s="1">
        <f>X110*$E$9</f>
        <v>1999998</v>
      </c>
      <c r="Y114" s="1">
        <f t="shared" ref="Y114:AA114" si="269">Y110*$E$9</f>
        <v>1999998</v>
      </c>
      <c r="Z114" s="1">
        <f t="shared" si="269"/>
        <v>1999998</v>
      </c>
      <c r="AA114" s="1">
        <f t="shared" si="269"/>
        <v>1999998</v>
      </c>
      <c r="AB114" s="34">
        <f>X114*VLOOKUP($B114,Types!$B$2:$D$13,3,FALSE)*Conv!$I$5*1000*365</f>
        <v>2739566.2205910394</v>
      </c>
      <c r="AC114" s="34">
        <f>Y114*VLOOKUP($B114,Types!$B$2:$D$13,3,FALSE)*Conv!$I$5*1000*365</f>
        <v>2739566.2205910394</v>
      </c>
      <c r="AD114" s="34">
        <f>Z114*VLOOKUP($B114,Types!$B$2:$D$13,3,FALSE)*Conv!$I$5*1000*365</f>
        <v>2739566.2205910394</v>
      </c>
      <c r="AE114" s="34">
        <f>AA114*VLOOKUP($B114,Types!$B$2:$D$13,3,FALSE)*Conv!$I$5*1000*365</f>
        <v>2739566.2205910394</v>
      </c>
      <c r="AF114" s="34">
        <f>AB114-AB113</f>
        <v>1095826.4882364152</v>
      </c>
      <c r="AG114" s="34">
        <f t="shared" ref="AG114:AI114" si="270">AC114-AC113</f>
        <v>1095826.4882364152</v>
      </c>
      <c r="AH114" s="34">
        <f t="shared" si="270"/>
        <v>1095826.4882364152</v>
      </c>
      <c r="AI114" s="34">
        <f t="shared" si="270"/>
        <v>1095826.4882364152</v>
      </c>
      <c r="AJ114" s="34"/>
      <c r="AK114" s="34"/>
      <c r="AL114" s="34"/>
    </row>
    <row r="115" spans="1:38">
      <c r="A115" s="1" t="str">
        <f>'Agg prdcrv'!$A$14</f>
        <v>Petchem. Feedstocks</v>
      </c>
      <c r="B115" s="1" t="str">
        <f>VLOOKUP($A115,Types!$A$2:$C$13,2,FALSE)</f>
        <v>PFS</v>
      </c>
      <c r="C115" s="1">
        <v>3</v>
      </c>
      <c r="D115" s="1">
        <v>2</v>
      </c>
      <c r="E115" s="1" t="str">
        <f t="shared" si="158"/>
        <v>IMPPFSP23</v>
      </c>
      <c r="F115" s="1" t="str">
        <f>CONCATENATE("Imported ",VLOOKUP($A115,Types!$A$2:$C$13,3,FALSE),", PADD ",D115,", Step ",RIGHT(C115,1))</f>
        <v>Imported Petrochemical Feedstocks, PADD 2, Step 3</v>
      </c>
      <c r="G115" s="1" t="str">
        <f>CONCATENATE(VLOOKUP($A115,Types!$A$2:$C$13,2,FALSE),"P",D115)</f>
        <v>PFSP2</v>
      </c>
      <c r="H115" s="61">
        <f>SUMIFS('Agg prdcrv NYC'!$M$6:$M$100,'Agg prdcrv NYC'!$A$6:$A$100,'Imp Refined NYC'!$A115,'Agg prdcrv NYC'!$B$6:$B$100,H$11)*K4</f>
        <v>40.832000000000001</v>
      </c>
      <c r="I115" s="61">
        <f>SUMIFS('Agg prdcrv NYC'!$M$6:$M$100,'Agg prdcrv NYC'!$A$6:$A$100,'Imp Refined NYC'!$A115,'Agg prdcrv NYC'!$B$6:$B$100,I$11)*K4</f>
        <v>30.448</v>
      </c>
      <c r="J115" s="61">
        <f t="array" ref="J115">SUMIFS('Agg prdcrv NYC'!$M$6:$M$100,'Agg prdcrv NYC'!$A$6:$A$100,'Imp Refined NYC'!$A115,'Agg prdcrv NYC'!$B$6:$B$100,J$11)</f>
        <v>21.68</v>
      </c>
      <c r="K115" s="61">
        <f t="array" ref="K115">SUMIFS('Agg prdcrv NYC'!$M$6:$M$100,'Agg prdcrv NYC'!$A$6:$A$100,'Imp Refined NYC'!$A115,'Agg prdcrv NYC'!$B$6:$B$100,K$11)</f>
        <v>24.85</v>
      </c>
      <c r="L115" s="62">
        <f>H115*Conv!$J$20/10^6/VLOOKUP($B115,Types!$B$2:$D$13,3,FALSE)/Conv!$I$5</f>
        <v>10.435180181591191</v>
      </c>
      <c r="M115" s="62">
        <f>I115*Conv!$J$20/10^6/VLOOKUP($B115,Types!$B$2:$D$13,3,FALSE)/Conv!$I$5</f>
        <v>7.7814059112727412</v>
      </c>
      <c r="N115" s="62" t="e">
        <f>M115*#REF!</f>
        <v>#REF!</v>
      </c>
      <c r="O115" s="62" t="e">
        <f>N115*#REF!</f>
        <v>#REF!</v>
      </c>
      <c r="P115" s="62" t="e">
        <f>O115*#REF!</f>
        <v>#REF!</v>
      </c>
      <c r="Q115" s="62" t="e">
        <f>P115*#REF!</f>
        <v>#REF!</v>
      </c>
      <c r="R115" s="62" t="e">
        <f>Q115*#REF!</f>
        <v>#REF!</v>
      </c>
      <c r="S115" s="62" t="e">
        <f>R115*#REF!</f>
        <v>#REF!</v>
      </c>
      <c r="T115" s="62" t="e">
        <f>S115*#REF!</f>
        <v>#REF!</v>
      </c>
      <c r="U115" s="62" t="e">
        <f>T115*#REF!</f>
        <v>#REF!</v>
      </c>
      <c r="V115" s="62" t="e">
        <f>U115*#REF!</f>
        <v>#REF!</v>
      </c>
      <c r="W115" s="34"/>
      <c r="X115" s="1">
        <f t="array" ref="X115">SUMIFS('Agg prdcrv NYC'!$E$6:$E$100,'Agg prdcrv NYC'!$A$6:$A$100,'Imp Refined NYC'!$A115,'Agg prdcrv NYC'!$B$6:$B$100,X$11)</f>
        <v>999999</v>
      </c>
      <c r="Y115" s="1">
        <f t="array" ref="Y115">SUMIFS('Agg prdcrv NYC'!$E$6:$E$100,'Agg prdcrv NYC'!$A$6:$A$100,'Imp Refined NYC'!$A115,'Agg prdcrv NYC'!$B$6:$B$100,Y$11)</f>
        <v>999999</v>
      </c>
      <c r="Z115" s="1">
        <f t="array" ref="Z115">SUMIFS('Agg prdcrv NYC'!$E$6:$E$100,'Agg prdcrv NYC'!$A$6:$A$100,'Imp Refined NYC'!$A115,'Agg prdcrv NYC'!$B$6:$B$100,Z$11)</f>
        <v>999999</v>
      </c>
      <c r="AA115" s="1">
        <f t="array" ref="AA115">SUMIFS('Agg prdcrv NYC'!$E$6:$E$100,'Agg prdcrv NYC'!$A$6:$A$100,'Imp Refined NYC'!$A115,'Agg prdcrv NYC'!$B$6:$B$100,AA$11)</f>
        <v>999999</v>
      </c>
      <c r="AB115" s="34">
        <f>X115*VLOOKUP($B115,Types!$B$2:$D$13,3,FALSE)*Conv!$I$5*1000*365</f>
        <v>2191575.9574618507</v>
      </c>
      <c r="AC115" s="34">
        <f>Y115*VLOOKUP($B115,Types!$B$2:$D$13,3,FALSE)*Conv!$I$5*1000*365</f>
        <v>2191575.9574618507</v>
      </c>
      <c r="AD115" s="34">
        <f>Z115*VLOOKUP($B115,Types!$B$2:$D$13,3,FALSE)*Conv!$I$5*1000*365</f>
        <v>2191575.9574618507</v>
      </c>
      <c r="AE115" s="34">
        <f>AA115*VLOOKUP($B115,Types!$B$2:$D$13,3,FALSE)*Conv!$I$5*1000*365</f>
        <v>2191575.9574618507</v>
      </c>
      <c r="AF115" s="34">
        <f>AB115-AB117</f>
        <v>219157.59574618516</v>
      </c>
      <c r="AG115" s="34">
        <f t="shared" ref="AG115:AI115" si="271">AC115-AC117</f>
        <v>219157.59574618516</v>
      </c>
      <c r="AH115" s="34">
        <f t="shared" si="271"/>
        <v>219157.59574618516</v>
      </c>
      <c r="AI115" s="34">
        <f t="shared" si="271"/>
        <v>219157.59574618516</v>
      </c>
      <c r="AJ115" s="34"/>
      <c r="AK115" s="34"/>
      <c r="AL115" s="34"/>
    </row>
    <row r="116" spans="1:38">
      <c r="A116" s="1" t="str">
        <f>A115</f>
        <v>Petchem. Feedstocks</v>
      </c>
      <c r="B116" s="1" t="str">
        <f>VLOOKUP($A116,Types!$A$2:$C$13,2,FALSE)</f>
        <v>PFS</v>
      </c>
      <c r="C116" s="1">
        <v>1</v>
      </c>
      <c r="D116" s="1">
        <v>2</v>
      </c>
      <c r="E116" s="1" t="str">
        <f t="shared" si="158"/>
        <v>IMPPFSP21</v>
      </c>
      <c r="F116" s="1" t="str">
        <f>CONCATENATE("Imported ",VLOOKUP($A116,Types!$A$2:$C$13,3,FALSE),", PADD ",D116,", Step ",RIGHT(C116,1))</f>
        <v>Imported Petrochemical Feedstocks, PADD 2, Step 1</v>
      </c>
      <c r="G116" s="1" t="str">
        <f>CONCATENATE(VLOOKUP($A116,Types!$A$2:$C$13,2,FALSE),"P",D116)</f>
        <v>PFSP2</v>
      </c>
      <c r="H116" s="61">
        <f>H115*$C$5</f>
        <v>38.790399999999998</v>
      </c>
      <c r="I116" s="61">
        <f t="shared" ref="I116:K116" si="272">I115*$C$5</f>
        <v>28.925599999999999</v>
      </c>
      <c r="J116" s="61">
        <f t="shared" si="272"/>
        <v>20.596</v>
      </c>
      <c r="K116" s="61">
        <f t="shared" si="272"/>
        <v>23.607500000000002</v>
      </c>
      <c r="L116" s="62">
        <f>H116*Conv!$J$20/10^6/VLOOKUP($B116,Types!$B$2:$D$13,3,FALSE)/Conv!$I$5</f>
        <v>9.9134211725116312</v>
      </c>
      <c r="M116" s="62">
        <f>I116*Conv!$J$20/10^6/VLOOKUP($B116,Types!$B$2:$D$13,3,FALSE)/Conv!$I$5</f>
        <v>7.3923356157091042</v>
      </c>
      <c r="N116" s="62" t="e">
        <f>M116*#REF!</f>
        <v>#REF!</v>
      </c>
      <c r="O116" s="62" t="e">
        <f>N116*#REF!</f>
        <v>#REF!</v>
      </c>
      <c r="P116" s="62" t="e">
        <f>O116*#REF!</f>
        <v>#REF!</v>
      </c>
      <c r="Q116" s="62" t="e">
        <f>P116*#REF!</f>
        <v>#REF!</v>
      </c>
      <c r="R116" s="62" t="e">
        <f>Q116*#REF!</f>
        <v>#REF!</v>
      </c>
      <c r="S116" s="62" t="e">
        <f>R116*#REF!</f>
        <v>#REF!</v>
      </c>
      <c r="T116" s="62" t="e">
        <f>S116*#REF!</f>
        <v>#REF!</v>
      </c>
      <c r="U116" s="62" t="e">
        <f>T116*#REF!</f>
        <v>#REF!</v>
      </c>
      <c r="V116" s="62" t="e">
        <f>U116*#REF!</f>
        <v>#REF!</v>
      </c>
      <c r="W116" s="34"/>
      <c r="X116" s="1">
        <f>X115*$E$5</f>
        <v>799999.20000000007</v>
      </c>
      <c r="Y116" s="1">
        <f t="shared" ref="Y116:AA116" si="273">Y115*$E$5</f>
        <v>799999.20000000007</v>
      </c>
      <c r="Z116" s="1">
        <f t="shared" si="273"/>
        <v>799999.20000000007</v>
      </c>
      <c r="AA116" s="1">
        <f t="shared" si="273"/>
        <v>799999.20000000007</v>
      </c>
      <c r="AB116" s="34">
        <f>X116*VLOOKUP($B116,Types!$B$2:$D$13,3,FALSE)*Conv!$I$5*1000*365</f>
        <v>1753260.7659694806</v>
      </c>
      <c r="AC116" s="34">
        <f>Y116*VLOOKUP($B116,Types!$B$2:$D$13,3,FALSE)*Conv!$I$5*1000*365</f>
        <v>1753260.7659694806</v>
      </c>
      <c r="AD116" s="34">
        <f>Z116*VLOOKUP($B116,Types!$B$2:$D$13,3,FALSE)*Conv!$I$5*1000*365</f>
        <v>1753260.7659694806</v>
      </c>
      <c r="AE116" s="34">
        <f>AA116*VLOOKUP($B116,Types!$B$2:$D$13,3,FALSE)*Conv!$I$5*1000*365</f>
        <v>1753260.7659694806</v>
      </c>
      <c r="AF116" s="34">
        <f>AB116</f>
        <v>1753260.7659694806</v>
      </c>
      <c r="AG116" s="34">
        <f t="shared" ref="AG116:AI116" si="274">AC116</f>
        <v>1753260.7659694806</v>
      </c>
      <c r="AH116" s="34">
        <f t="shared" si="274"/>
        <v>1753260.7659694806</v>
      </c>
      <c r="AI116" s="34">
        <f t="shared" si="274"/>
        <v>1753260.7659694806</v>
      </c>
      <c r="AJ116" s="34"/>
      <c r="AK116" s="34"/>
      <c r="AL116" s="34"/>
    </row>
    <row r="117" spans="1:38">
      <c r="A117" s="1" t="str">
        <f t="shared" ref="A117:A118" si="275">A116</f>
        <v>Petchem. Feedstocks</v>
      </c>
      <c r="B117" s="1" t="str">
        <f>VLOOKUP($A117,Types!$A$2:$C$13,2,FALSE)</f>
        <v>PFS</v>
      </c>
      <c r="C117" s="1">
        <v>2</v>
      </c>
      <c r="D117" s="1">
        <v>2</v>
      </c>
      <c r="E117" s="1" t="str">
        <f t="shared" si="158"/>
        <v>IMPPFSP22</v>
      </c>
      <c r="F117" s="1" t="str">
        <f>CONCATENATE("Imported ",VLOOKUP($A117,Types!$A$2:$C$13,3,FALSE),", PADD ",D117,", Step ",RIGHT(C117,1))</f>
        <v>Imported Petrochemical Feedstocks, PADD 2, Step 2</v>
      </c>
      <c r="G117" s="1" t="str">
        <f>CONCATENATE(VLOOKUP($A117,Types!$A$2:$C$13,2,FALSE),"P",D117)</f>
        <v>PFSP2</v>
      </c>
      <c r="H117" s="61">
        <f>H115*$C$6</f>
        <v>40.015360000000001</v>
      </c>
      <c r="I117" s="61">
        <f t="shared" ref="I117:K117" si="276">I115*$C$6</f>
        <v>29.839040000000001</v>
      </c>
      <c r="J117" s="61">
        <f t="shared" si="276"/>
        <v>21.246399999999998</v>
      </c>
      <c r="K117" s="61">
        <f t="shared" si="276"/>
        <v>24.353000000000002</v>
      </c>
      <c r="L117" s="62">
        <f>H117*Conv!$J$20/10^6/VLOOKUP($B117,Types!$B$2:$D$13,3,FALSE)/Conv!$I$5</f>
        <v>10.226476577959369</v>
      </c>
      <c r="M117" s="62">
        <f>I117*Conv!$J$20/10^6/VLOOKUP($B117,Types!$B$2:$D$13,3,FALSE)/Conv!$I$5</f>
        <v>7.6257777930472876</v>
      </c>
      <c r="N117" s="62" t="e">
        <f>M117*#REF!</f>
        <v>#REF!</v>
      </c>
      <c r="O117" s="62" t="e">
        <f>N117*#REF!</f>
        <v>#REF!</v>
      </c>
      <c r="P117" s="62" t="e">
        <f>O117*#REF!</f>
        <v>#REF!</v>
      </c>
      <c r="Q117" s="62" t="e">
        <f>P117*#REF!</f>
        <v>#REF!</v>
      </c>
      <c r="R117" s="62" t="e">
        <f>Q117*#REF!</f>
        <v>#REF!</v>
      </c>
      <c r="S117" s="62" t="e">
        <f>R117*#REF!</f>
        <v>#REF!</v>
      </c>
      <c r="T117" s="62" t="e">
        <f>S117*#REF!</f>
        <v>#REF!</v>
      </c>
      <c r="U117" s="62" t="e">
        <f>T117*#REF!</f>
        <v>#REF!</v>
      </c>
      <c r="V117" s="62" t="e">
        <f>U117*#REF!</f>
        <v>#REF!</v>
      </c>
      <c r="W117" s="34"/>
      <c r="X117" s="1">
        <f>X115*$E$6</f>
        <v>899999.1</v>
      </c>
      <c r="Y117" s="1">
        <f t="shared" ref="Y117:AA117" si="277">Y115*$E$6</f>
        <v>899999.1</v>
      </c>
      <c r="Z117" s="1">
        <f t="shared" si="277"/>
        <v>899999.1</v>
      </c>
      <c r="AA117" s="1">
        <f t="shared" si="277"/>
        <v>899999.1</v>
      </c>
      <c r="AB117" s="34">
        <f>X117*VLOOKUP($B117,Types!$B$2:$D$13,3,FALSE)*Conv!$I$5*1000*365</f>
        <v>1972418.3617156656</v>
      </c>
      <c r="AC117" s="34">
        <f>Y117*VLOOKUP($B117,Types!$B$2:$D$13,3,FALSE)*Conv!$I$5*1000*365</f>
        <v>1972418.3617156656</v>
      </c>
      <c r="AD117" s="34">
        <f>Z117*VLOOKUP($B117,Types!$B$2:$D$13,3,FALSE)*Conv!$I$5*1000*365</f>
        <v>1972418.3617156656</v>
      </c>
      <c r="AE117" s="34">
        <f>AA117*VLOOKUP($B117,Types!$B$2:$D$13,3,FALSE)*Conv!$I$5*1000*365</f>
        <v>1972418.3617156656</v>
      </c>
      <c r="AF117" s="34">
        <f>AB117-AF116</f>
        <v>219157.59574618493</v>
      </c>
      <c r="AG117" s="34">
        <f t="shared" ref="AG117:AI117" si="278">AC117-AG116</f>
        <v>219157.59574618493</v>
      </c>
      <c r="AH117" s="34">
        <f t="shared" si="278"/>
        <v>219157.59574618493</v>
      </c>
      <c r="AI117" s="34">
        <f t="shared" si="278"/>
        <v>219157.59574618493</v>
      </c>
      <c r="AJ117" s="34"/>
      <c r="AK117" s="34"/>
      <c r="AL117" s="34"/>
    </row>
    <row r="118" spans="1:38">
      <c r="A118" s="1" t="str">
        <f t="shared" si="275"/>
        <v>Petchem. Feedstocks</v>
      </c>
      <c r="B118" s="1" t="str">
        <f>VLOOKUP($A118,Types!$A$2:$C$13,2,FALSE)</f>
        <v>PFS</v>
      </c>
      <c r="C118" s="1">
        <v>4</v>
      </c>
      <c r="D118" s="1">
        <v>2</v>
      </c>
      <c r="E118" s="1" t="str">
        <f t="shared" si="158"/>
        <v>IMPPFSP24</v>
      </c>
      <c r="F118" s="1" t="str">
        <f>CONCATENATE("Imported ",VLOOKUP($A118,Types!$A$2:$C$13,3,FALSE),", PADD ",D118,", Step ",RIGHT(C118,1))</f>
        <v>Imported Petrochemical Feedstocks, PADD 2, Step 4</v>
      </c>
      <c r="G118" s="1" t="str">
        <f>CONCATENATE(VLOOKUP($A118,Types!$A$2:$C$13,2,FALSE),"P",D118)</f>
        <v>PFSP2</v>
      </c>
      <c r="H118" s="61">
        <f>H115*$C$8</f>
        <v>44.506880000000002</v>
      </c>
      <c r="I118" s="61">
        <f t="shared" ref="I118:K118" si="279">I115*$C$8</f>
        <v>33.188320000000004</v>
      </c>
      <c r="J118" s="61">
        <f t="shared" si="279"/>
        <v>23.6312</v>
      </c>
      <c r="K118" s="61">
        <f t="shared" si="279"/>
        <v>27.086500000000004</v>
      </c>
      <c r="L118" s="62">
        <f>H118*Conv!$J$20/10^6/VLOOKUP($B118,Types!$B$2:$D$13,3,FALSE)/Conv!$I$5</f>
        <v>11.374346397934399</v>
      </c>
      <c r="M118" s="62">
        <f>I118*Conv!$J$20/10^6/VLOOKUP($B118,Types!$B$2:$D$13,3,FALSE)/Conv!$I$5</f>
        <v>8.4817324432872905</v>
      </c>
      <c r="N118" s="62" t="e">
        <f>M118*#REF!</f>
        <v>#REF!</v>
      </c>
      <c r="O118" s="62" t="e">
        <f>N118*#REF!</f>
        <v>#REF!</v>
      </c>
      <c r="P118" s="62" t="e">
        <f>O118*#REF!</f>
        <v>#REF!</v>
      </c>
      <c r="Q118" s="62" t="e">
        <f>P118*#REF!</f>
        <v>#REF!</v>
      </c>
      <c r="R118" s="62" t="e">
        <f>Q118*#REF!</f>
        <v>#REF!</v>
      </c>
      <c r="S118" s="62" t="e">
        <f>R118*#REF!</f>
        <v>#REF!</v>
      </c>
      <c r="T118" s="62" t="e">
        <f>S118*#REF!</f>
        <v>#REF!</v>
      </c>
      <c r="U118" s="62" t="e">
        <f>T118*#REF!</f>
        <v>#REF!</v>
      </c>
      <c r="V118" s="62" t="e">
        <f>U118*#REF!</f>
        <v>#REF!</v>
      </c>
      <c r="W118" s="34"/>
      <c r="X118" s="1">
        <f>X115*$E$8</f>
        <v>1199998.8</v>
      </c>
      <c r="Y118" s="1">
        <f t="shared" ref="Y118:AA118" si="280">Y115*$E$8</f>
        <v>1199998.8</v>
      </c>
      <c r="Z118" s="1">
        <f t="shared" si="280"/>
        <v>1199998.8</v>
      </c>
      <c r="AA118" s="1">
        <f t="shared" si="280"/>
        <v>1199998.8</v>
      </c>
      <c r="AB118" s="34">
        <f>X118*VLOOKUP($B118,Types!$B$2:$D$13,3,FALSE)*Conv!$I$5*1000*365</f>
        <v>2629891.1489542215</v>
      </c>
      <c r="AC118" s="34">
        <f>Y118*VLOOKUP($B118,Types!$B$2:$D$13,3,FALSE)*Conv!$I$5*1000*365</f>
        <v>2629891.1489542215</v>
      </c>
      <c r="AD118" s="34">
        <f>Z118*VLOOKUP($B118,Types!$B$2:$D$13,3,FALSE)*Conv!$I$5*1000*365</f>
        <v>2629891.1489542215</v>
      </c>
      <c r="AE118" s="34">
        <f>AA118*VLOOKUP($B118,Types!$B$2:$D$13,3,FALSE)*Conv!$I$5*1000*365</f>
        <v>2629891.1489542215</v>
      </c>
      <c r="AF118" s="34">
        <f>AB118-AB115</f>
        <v>438315.1914923708</v>
      </c>
      <c r="AG118" s="34">
        <f t="shared" ref="AG118:AI118" si="281">AC118-AC115</f>
        <v>438315.1914923708</v>
      </c>
      <c r="AH118" s="34">
        <f t="shared" si="281"/>
        <v>438315.1914923708</v>
      </c>
      <c r="AI118" s="34">
        <f t="shared" si="281"/>
        <v>438315.1914923708</v>
      </c>
      <c r="AJ118" s="34"/>
      <c r="AK118" s="34"/>
      <c r="AL118" s="34"/>
    </row>
    <row r="119" spans="1:38">
      <c r="A119" s="1" t="str">
        <f>A118</f>
        <v>Petchem. Feedstocks</v>
      </c>
      <c r="B119" s="1" t="str">
        <f>VLOOKUP($A119,Types!$A$2:$C$13,2,FALSE)</f>
        <v>PFS</v>
      </c>
      <c r="C119" s="1">
        <v>5</v>
      </c>
      <c r="D119" s="1">
        <v>2</v>
      </c>
      <c r="E119" s="1" t="str">
        <f>CONCATENATE("IMP",G119,RIGHT(C119,1))</f>
        <v>IMPPFSP25</v>
      </c>
      <c r="F119" s="1" t="str">
        <f>CONCATENATE("Imported ",VLOOKUP($A119,Types!$A$2:$C$13,3,FALSE),", PADD ",D119,", Step ",RIGHT(C119,1))</f>
        <v>Imported Petrochemical Feedstocks, PADD 2, Step 5</v>
      </c>
      <c r="G119" s="1" t="str">
        <f>CONCATENATE(VLOOKUP($A119,Types!$A$2:$C$13,2,FALSE),"P",D119)</f>
        <v>PFSP2</v>
      </c>
      <c r="H119" s="61">
        <f>H115*$C$9</f>
        <v>53.081600000000002</v>
      </c>
      <c r="I119" s="61">
        <f t="shared" ref="I119:K119" si="282">I115*$C$9</f>
        <v>39.5824</v>
      </c>
      <c r="J119" s="61">
        <f t="shared" si="282"/>
        <v>28.184000000000001</v>
      </c>
      <c r="K119" s="61">
        <f t="shared" si="282"/>
        <v>32.305</v>
      </c>
      <c r="L119" s="62">
        <f>H119*Conv!$J$20/10^6/VLOOKUP($B119,Types!$B$2:$D$13,3,FALSE)/Conv!$I$5</f>
        <v>13.565734236068549</v>
      </c>
      <c r="M119" s="62">
        <f>I119*Conv!$J$20/10^6/VLOOKUP($B119,Types!$B$2:$D$13,3,FALSE)/Conv!$I$5</f>
        <v>10.115827684654564</v>
      </c>
      <c r="N119" s="62" t="e">
        <f>M119*#REF!</f>
        <v>#REF!</v>
      </c>
      <c r="O119" s="62" t="e">
        <f>N119*#REF!</f>
        <v>#REF!</v>
      </c>
      <c r="P119" s="62" t="e">
        <f>O119*#REF!</f>
        <v>#REF!</v>
      </c>
      <c r="Q119" s="62" t="e">
        <f>P119*#REF!</f>
        <v>#REF!</v>
      </c>
      <c r="R119" s="62" t="e">
        <f>Q119*#REF!</f>
        <v>#REF!</v>
      </c>
      <c r="S119" s="62" t="e">
        <f>R119*#REF!</f>
        <v>#REF!</v>
      </c>
      <c r="T119" s="62" t="e">
        <f>S119*#REF!</f>
        <v>#REF!</v>
      </c>
      <c r="U119" s="62" t="e">
        <f>T119*#REF!</f>
        <v>#REF!</v>
      </c>
      <c r="V119" s="62" t="e">
        <f>U119*#REF!</f>
        <v>#REF!</v>
      </c>
      <c r="W119" s="34"/>
      <c r="X119" s="1">
        <f>X115*$E$9</f>
        <v>1999998</v>
      </c>
      <c r="Y119" s="1">
        <f t="shared" ref="Y119:AA119" si="283">Y115*$E$9</f>
        <v>1999998</v>
      </c>
      <c r="Z119" s="1">
        <f t="shared" si="283"/>
        <v>1999998</v>
      </c>
      <c r="AA119" s="1">
        <f t="shared" si="283"/>
        <v>1999998</v>
      </c>
      <c r="AB119" s="34">
        <f>X119*VLOOKUP($B119,Types!$B$2:$D$13,3,FALSE)*Conv!$I$5*1000*365</f>
        <v>4383151.9149237014</v>
      </c>
      <c r="AC119" s="34">
        <f>Y119*VLOOKUP($B119,Types!$B$2:$D$13,3,FALSE)*Conv!$I$5*1000*365</f>
        <v>4383151.9149237014</v>
      </c>
      <c r="AD119" s="34">
        <f>Z119*VLOOKUP($B119,Types!$B$2:$D$13,3,FALSE)*Conv!$I$5*1000*365</f>
        <v>4383151.9149237014</v>
      </c>
      <c r="AE119" s="34">
        <f>AA119*VLOOKUP($B119,Types!$B$2:$D$13,3,FALSE)*Conv!$I$5*1000*365</f>
        <v>4383151.9149237014</v>
      </c>
      <c r="AF119" s="34">
        <f>AB119-AB118</f>
        <v>1753260.7659694799</v>
      </c>
      <c r="AG119" s="34">
        <f t="shared" ref="AG119:AI119" si="284">AC119-AC118</f>
        <v>1753260.7659694799</v>
      </c>
      <c r="AH119" s="34">
        <f t="shared" si="284"/>
        <v>1753260.7659694799</v>
      </c>
      <c r="AI119" s="34">
        <f t="shared" si="284"/>
        <v>1753260.7659694799</v>
      </c>
      <c r="AJ119" s="34"/>
      <c r="AK119" s="34"/>
      <c r="AL119" s="34"/>
    </row>
    <row r="120" spans="1:38">
      <c r="A120" s="1" t="str">
        <f>'Agg prdcrv'!$A$15</f>
        <v>Other Refined Prod.</v>
      </c>
      <c r="B120" s="1" t="str">
        <f>VLOOKUP($A120,Types!$A$2:$C$13,2,FALSE)</f>
        <v>KER</v>
      </c>
      <c r="C120" s="1">
        <v>3</v>
      </c>
      <c r="D120" s="1">
        <v>2</v>
      </c>
      <c r="E120" s="1" t="str">
        <f>CONCATENATE("IMP",G120,RIGHT(C120,1))</f>
        <v>IMPKERP23</v>
      </c>
      <c r="F120" s="1" t="str">
        <f>CONCATENATE("Imported ",VLOOKUP($A120,Types!$A$2:$C$13,3,FALSE),", PADD ",D120,", Step ",RIGHT(C120,1))</f>
        <v>Imported Kerosene and Other Refined Products, PADD 2, Step 3</v>
      </c>
      <c r="G120" s="1" t="str">
        <f>CONCATENATE(VLOOKUP($A120,Types!$A$2:$C$13,2,FALSE),"P",D120)</f>
        <v>KERP2</v>
      </c>
      <c r="H120" s="61">
        <f>SUMIFS('Agg prdcrv NYC'!$M$6:$M$100,'Agg prdcrv NYC'!$A$6:$A$100,'Imp Refined NYC'!$A120,'Agg prdcrv NYC'!$B$6:$B$100,H$11)*K4</f>
        <v>65.923000000000002</v>
      </c>
      <c r="I120" s="61">
        <f>SUMIFS('Agg prdcrv NYC'!$M$6:$M$100,'Agg prdcrv NYC'!$A$6:$A$100,'Imp Refined NYC'!$A120,'Agg prdcrv NYC'!$B$6:$B$100,I$11)*K4</f>
        <v>40.062000000000005</v>
      </c>
      <c r="J120" s="61">
        <f t="array" ref="J120">SUMIFS('Agg prdcrv NYC'!$M$6:$M$100,'Agg prdcrv NYC'!$A$6:$A$100,'Imp Refined NYC'!$A120,'Agg prdcrv NYC'!$B$6:$B$100,J$11)</f>
        <v>32.450000000000003</v>
      </c>
      <c r="K120" s="61">
        <f t="array" ref="K120">SUMIFS('Agg prdcrv NYC'!$M$6:$M$100,'Agg prdcrv NYC'!$A$6:$A$100,'Imp Refined NYC'!$A120,'Agg prdcrv NYC'!$B$6:$B$100,K$11)</f>
        <v>41.16</v>
      </c>
      <c r="L120" s="62">
        <f>H120*Conv!$J$20/10^6/VLOOKUP($B120,Types!$B$2:$D$13,3,FALSE)/Conv!$I$5</f>
        <v>16.909929197061381</v>
      </c>
      <c r="M120" s="62">
        <f>I120*Conv!$J$20/10^6/VLOOKUP($B120,Types!$B$2:$D$13,3,FALSE)/Conv!$I$5</f>
        <v>10.276316058017279</v>
      </c>
      <c r="N120" s="62" t="e">
        <f>M120*#REF!</f>
        <v>#REF!</v>
      </c>
      <c r="O120" s="62" t="e">
        <f>N120*#REF!</f>
        <v>#REF!</v>
      </c>
      <c r="P120" s="62" t="e">
        <f>O120*#REF!</f>
        <v>#REF!</v>
      </c>
      <c r="Q120" s="62" t="e">
        <f>P120*#REF!</f>
        <v>#REF!</v>
      </c>
      <c r="R120" s="62" t="e">
        <f>Q120*#REF!</f>
        <v>#REF!</v>
      </c>
      <c r="S120" s="62" t="e">
        <f>R120*#REF!</f>
        <v>#REF!</v>
      </c>
      <c r="T120" s="62" t="e">
        <f>S120*#REF!</f>
        <v>#REF!</v>
      </c>
      <c r="U120" s="62" t="e">
        <f>T120*#REF!</f>
        <v>#REF!</v>
      </c>
      <c r="V120" s="62" t="e">
        <f>U120*#REF!</f>
        <v>#REF!</v>
      </c>
      <c r="W120" s="34"/>
      <c r="X120" s="1">
        <f t="array" ref="X120">SUMIFS('Agg prdcrv NYC'!$E$6:$E$100,'Agg prdcrv NYC'!$A$6:$A$100,'Imp Refined NYC'!$A120,'Agg prdcrv NYC'!$B$6:$B$100,X$11)</f>
        <v>999999</v>
      </c>
      <c r="Y120" s="1">
        <f t="array" ref="Y120">SUMIFS('Agg prdcrv NYC'!$E$6:$E$100,'Agg prdcrv NYC'!$A$6:$A$100,'Imp Refined NYC'!$A120,'Agg prdcrv NYC'!$B$6:$B$100,Y$11)</f>
        <v>999999</v>
      </c>
      <c r="Z120" s="1">
        <f t="array" ref="Z120">SUMIFS('Agg prdcrv NYC'!$E$6:$E$100,'Agg prdcrv NYC'!$A$6:$A$100,'Imp Refined NYC'!$A120,'Agg prdcrv NYC'!$B$6:$B$100,Z$11)</f>
        <v>999999</v>
      </c>
      <c r="AA120" s="1">
        <f t="array" ref="AA120">SUMIFS('Agg prdcrv NYC'!$E$6:$E$100,'Agg prdcrv NYC'!$A$6:$A$100,'Imp Refined NYC'!$A120,'Agg prdcrv NYC'!$B$6:$B$100,AA$11)</f>
        <v>999999</v>
      </c>
      <c r="AB120" s="34">
        <f>X120*VLOOKUP($B120,Types!$B$2:$D$13,3,FALSE)*Conv!$I$5*1000*365</f>
        <v>2183488.9613088551</v>
      </c>
      <c r="AC120" s="34">
        <f>Y120*VLOOKUP($B120,Types!$B$2:$D$13,3,FALSE)*Conv!$I$5*1000*365</f>
        <v>2183488.9613088551</v>
      </c>
      <c r="AD120" s="34">
        <f>Z120*VLOOKUP($B120,Types!$B$2:$D$13,3,FALSE)*Conv!$I$5*1000*365</f>
        <v>2183488.9613088551</v>
      </c>
      <c r="AE120" s="34">
        <f>AA120*VLOOKUP($B120,Types!$B$2:$D$13,3,FALSE)*Conv!$I$5*1000*365</f>
        <v>2183488.9613088551</v>
      </c>
      <c r="AF120" s="34">
        <f>AB120-AB122</f>
        <v>218348.8961308857</v>
      </c>
      <c r="AG120" s="34">
        <f t="shared" ref="AG120:AI120" si="285">AC120-AC122</f>
        <v>218348.8961308857</v>
      </c>
      <c r="AH120" s="34">
        <f t="shared" si="285"/>
        <v>218348.8961308857</v>
      </c>
      <c r="AI120" s="34">
        <f t="shared" si="285"/>
        <v>218348.8961308857</v>
      </c>
      <c r="AJ120" s="34"/>
      <c r="AK120" s="34"/>
      <c r="AL120" s="34"/>
    </row>
    <row r="121" spans="1:38">
      <c r="A121" s="1" t="str">
        <f>A120</f>
        <v>Other Refined Prod.</v>
      </c>
      <c r="B121" s="1" t="str">
        <f>VLOOKUP($A121,Types!$A$2:$C$13,2,FALSE)</f>
        <v>KER</v>
      </c>
      <c r="C121" s="1">
        <v>1</v>
      </c>
      <c r="D121" s="1">
        <v>2</v>
      </c>
      <c r="E121" s="1" t="str">
        <f t="shared" ref="E121:E134" si="286">CONCATENATE("IMP",G121,RIGHT(C121,1))</f>
        <v>IMPKERP21</v>
      </c>
      <c r="F121" s="1" t="str">
        <f>CONCATENATE("Imported ",VLOOKUP($A121,Types!$A$2:$C$13,3,FALSE),", PADD ",D121,", Step ",RIGHT(C121,1))</f>
        <v>Imported Kerosene and Other Refined Products, PADD 2, Step 1</v>
      </c>
      <c r="G121" s="1" t="str">
        <f>CONCATENATE(VLOOKUP($A121,Types!$A$2:$C$13,2,FALSE),"P",D121)</f>
        <v>KERP2</v>
      </c>
      <c r="H121" s="61">
        <f>H120*$C$5</f>
        <v>62.626849999999997</v>
      </c>
      <c r="I121" s="61">
        <f t="shared" ref="I121:K121" si="287">I120*$C$5</f>
        <v>38.058900000000001</v>
      </c>
      <c r="J121" s="61">
        <f t="shared" si="287"/>
        <v>30.827500000000001</v>
      </c>
      <c r="K121" s="61">
        <f t="shared" si="287"/>
        <v>39.101999999999997</v>
      </c>
      <c r="L121" s="62">
        <f>H121*Conv!$J$20/10^6/VLOOKUP($B121,Types!$B$2:$D$13,3,FALSE)/Conv!$I$5</f>
        <v>16.064432737208314</v>
      </c>
      <c r="M121" s="62">
        <f>I121*Conv!$J$20/10^6/VLOOKUP($B121,Types!$B$2:$D$13,3,FALSE)/Conv!$I$5</f>
        <v>9.7625002551164162</v>
      </c>
      <c r="N121" s="62" t="e">
        <f>M121*#REF!</f>
        <v>#REF!</v>
      </c>
      <c r="O121" s="62" t="e">
        <f>N121*#REF!</f>
        <v>#REF!</v>
      </c>
      <c r="P121" s="62" t="e">
        <f>O121*#REF!</f>
        <v>#REF!</v>
      </c>
      <c r="Q121" s="62" t="e">
        <f>P121*#REF!</f>
        <v>#REF!</v>
      </c>
      <c r="R121" s="62" t="e">
        <f>Q121*#REF!</f>
        <v>#REF!</v>
      </c>
      <c r="S121" s="62" t="e">
        <f>R121*#REF!</f>
        <v>#REF!</v>
      </c>
      <c r="T121" s="62" t="e">
        <f>S121*#REF!</f>
        <v>#REF!</v>
      </c>
      <c r="U121" s="62" t="e">
        <f>T121*#REF!</f>
        <v>#REF!</v>
      </c>
      <c r="V121" s="62" t="e">
        <f>U121*#REF!</f>
        <v>#REF!</v>
      </c>
      <c r="W121" s="34"/>
      <c r="X121" s="1">
        <f>X120*$E$5</f>
        <v>799999.20000000007</v>
      </c>
      <c r="Y121" s="1">
        <f t="shared" ref="Y121:AA121" si="288">Y120*$E$5</f>
        <v>799999.20000000007</v>
      </c>
      <c r="Z121" s="1">
        <f t="shared" si="288"/>
        <v>799999.20000000007</v>
      </c>
      <c r="AA121" s="1">
        <f t="shared" si="288"/>
        <v>799999.20000000007</v>
      </c>
      <c r="AB121" s="34">
        <f>X121*VLOOKUP($B121,Types!$B$2:$D$13,3,FALSE)*Conv!$I$5*1000*365</f>
        <v>1746791.1690470844</v>
      </c>
      <c r="AC121" s="34">
        <f>Y121*VLOOKUP($B121,Types!$B$2:$D$13,3,FALSE)*Conv!$I$5*1000*365</f>
        <v>1746791.1690470844</v>
      </c>
      <c r="AD121" s="34">
        <f>Z121*VLOOKUP($B121,Types!$B$2:$D$13,3,FALSE)*Conv!$I$5*1000*365</f>
        <v>1746791.1690470844</v>
      </c>
      <c r="AE121" s="34">
        <f>AA121*VLOOKUP($B121,Types!$B$2:$D$13,3,FALSE)*Conv!$I$5*1000*365</f>
        <v>1746791.1690470844</v>
      </c>
      <c r="AF121" s="34">
        <f>AB121</f>
        <v>1746791.1690470844</v>
      </c>
      <c r="AG121" s="34">
        <f t="shared" ref="AG121:AI121" si="289">AC121</f>
        <v>1746791.1690470844</v>
      </c>
      <c r="AH121" s="34">
        <f t="shared" si="289"/>
        <v>1746791.1690470844</v>
      </c>
      <c r="AI121" s="34">
        <f t="shared" si="289"/>
        <v>1746791.1690470844</v>
      </c>
      <c r="AJ121" s="34"/>
      <c r="AK121" s="34"/>
      <c r="AL121" s="34"/>
    </row>
    <row r="122" spans="1:38">
      <c r="A122" s="1" t="str">
        <f t="shared" ref="A122:A124" si="290">A121</f>
        <v>Other Refined Prod.</v>
      </c>
      <c r="B122" s="1" t="str">
        <f>VLOOKUP($A122,Types!$A$2:$C$13,2,FALSE)</f>
        <v>KER</v>
      </c>
      <c r="C122" s="1">
        <v>2</v>
      </c>
      <c r="D122" s="1">
        <v>2</v>
      </c>
      <c r="E122" s="1" t="str">
        <f t="shared" si="286"/>
        <v>IMPKERP22</v>
      </c>
      <c r="F122" s="1" t="str">
        <f>CONCATENATE("Imported ",VLOOKUP($A122,Types!$A$2:$C$13,3,FALSE),", PADD ",D122,", Step ",RIGHT(C122,1))</f>
        <v>Imported Kerosene and Other Refined Products, PADD 2, Step 2</v>
      </c>
      <c r="G122" s="1" t="str">
        <f>CONCATENATE(VLOOKUP($A122,Types!$A$2:$C$13,2,FALSE),"P",D122)</f>
        <v>KERP2</v>
      </c>
      <c r="H122" s="61">
        <f>H120*$C$6</f>
        <v>64.60454</v>
      </c>
      <c r="I122" s="61">
        <f t="shared" ref="I122:K122" si="291">I120*$C$6</f>
        <v>39.260760000000005</v>
      </c>
      <c r="J122" s="61">
        <f t="shared" si="291"/>
        <v>31.801000000000002</v>
      </c>
      <c r="K122" s="61">
        <f t="shared" si="291"/>
        <v>40.336799999999997</v>
      </c>
      <c r="L122" s="62">
        <f>H122*Conv!$J$20/10^6/VLOOKUP($B122,Types!$B$2:$D$13,3,FALSE)/Conv!$I$5</f>
        <v>16.571730613120152</v>
      </c>
      <c r="M122" s="62">
        <f>I122*Conv!$J$20/10^6/VLOOKUP($B122,Types!$B$2:$D$13,3,FALSE)/Conv!$I$5</f>
        <v>10.070789736856934</v>
      </c>
      <c r="N122" s="62" t="e">
        <f>M122*#REF!</f>
        <v>#REF!</v>
      </c>
      <c r="O122" s="62" t="e">
        <f>N122*#REF!</f>
        <v>#REF!</v>
      </c>
      <c r="P122" s="62" t="e">
        <f>O122*#REF!</f>
        <v>#REF!</v>
      </c>
      <c r="Q122" s="62" t="e">
        <f>P122*#REF!</f>
        <v>#REF!</v>
      </c>
      <c r="R122" s="62" t="e">
        <f>Q122*#REF!</f>
        <v>#REF!</v>
      </c>
      <c r="S122" s="62" t="e">
        <f>R122*#REF!</f>
        <v>#REF!</v>
      </c>
      <c r="T122" s="62" t="e">
        <f>S122*#REF!</f>
        <v>#REF!</v>
      </c>
      <c r="U122" s="62" t="e">
        <f>T122*#REF!</f>
        <v>#REF!</v>
      </c>
      <c r="V122" s="62" t="e">
        <f>U122*#REF!</f>
        <v>#REF!</v>
      </c>
      <c r="W122" s="34"/>
      <c r="X122" s="1">
        <f>X120*$E$6</f>
        <v>899999.1</v>
      </c>
      <c r="Y122" s="1">
        <f t="shared" ref="Y122:AA122" si="292">Y120*$E$6</f>
        <v>899999.1</v>
      </c>
      <c r="Z122" s="1">
        <f t="shared" si="292"/>
        <v>899999.1</v>
      </c>
      <c r="AA122" s="1">
        <f t="shared" si="292"/>
        <v>899999.1</v>
      </c>
      <c r="AB122" s="34">
        <f>X122*VLOOKUP($B122,Types!$B$2:$D$13,3,FALSE)*Conv!$I$5*1000*365</f>
        <v>1965140.0651779694</v>
      </c>
      <c r="AC122" s="34">
        <f>Y122*VLOOKUP($B122,Types!$B$2:$D$13,3,FALSE)*Conv!$I$5*1000*365</f>
        <v>1965140.0651779694</v>
      </c>
      <c r="AD122" s="34">
        <f>Z122*VLOOKUP($B122,Types!$B$2:$D$13,3,FALSE)*Conv!$I$5*1000*365</f>
        <v>1965140.0651779694</v>
      </c>
      <c r="AE122" s="34">
        <f>AA122*VLOOKUP($B122,Types!$B$2:$D$13,3,FALSE)*Conv!$I$5*1000*365</f>
        <v>1965140.0651779694</v>
      </c>
      <c r="AF122" s="34">
        <f>AB122-AF121</f>
        <v>218348.896130885</v>
      </c>
      <c r="AG122" s="34">
        <f t="shared" ref="AG122:AI122" si="293">AC122-AG121</f>
        <v>218348.896130885</v>
      </c>
      <c r="AH122" s="34">
        <f t="shared" si="293"/>
        <v>218348.896130885</v>
      </c>
      <c r="AI122" s="34">
        <f t="shared" si="293"/>
        <v>218348.896130885</v>
      </c>
      <c r="AJ122" s="34"/>
      <c r="AK122" s="34"/>
      <c r="AL122" s="34"/>
    </row>
    <row r="123" spans="1:38">
      <c r="A123" s="1" t="str">
        <f t="shared" si="290"/>
        <v>Other Refined Prod.</v>
      </c>
      <c r="B123" s="1" t="str">
        <f>VLOOKUP($A123,Types!$A$2:$C$13,2,FALSE)</f>
        <v>KER</v>
      </c>
      <c r="C123" s="1">
        <v>4</v>
      </c>
      <c r="D123" s="1">
        <v>2</v>
      </c>
      <c r="E123" s="1" t="str">
        <f t="shared" si="286"/>
        <v>IMPKERP24</v>
      </c>
      <c r="F123" s="1" t="str">
        <f>CONCATENATE("Imported ",VLOOKUP($A123,Types!$A$2:$C$13,3,FALSE),", PADD ",D123,", Step ",RIGHT(C123,1))</f>
        <v>Imported Kerosene and Other Refined Products, PADD 2, Step 4</v>
      </c>
      <c r="G123" s="1" t="str">
        <f>CONCATENATE(VLOOKUP($A123,Types!$A$2:$C$13,2,FALSE),"P",D123)</f>
        <v>KERP2</v>
      </c>
      <c r="H123" s="61">
        <f>H120*$C$8</f>
        <v>71.856070000000003</v>
      </c>
      <c r="I123" s="61">
        <f t="shared" ref="I123:K123" si="294">I120*$C$8</f>
        <v>43.667580000000008</v>
      </c>
      <c r="J123" s="61">
        <f t="shared" si="294"/>
        <v>35.370500000000007</v>
      </c>
      <c r="K123" s="61">
        <f t="shared" si="294"/>
        <v>44.864399999999996</v>
      </c>
      <c r="L123" s="62">
        <f>H123*Conv!$J$20/10^6/VLOOKUP($B123,Types!$B$2:$D$13,3,FALSE)/Conv!$I$5</f>
        <v>18.431822824796907</v>
      </c>
      <c r="M123" s="62">
        <f>I123*Conv!$J$20/10^6/VLOOKUP($B123,Types!$B$2:$D$13,3,FALSE)/Conv!$I$5</f>
        <v>11.201184503238837</v>
      </c>
      <c r="N123" s="62" t="e">
        <f>M123*#REF!</f>
        <v>#REF!</v>
      </c>
      <c r="O123" s="62" t="e">
        <f>N123*#REF!</f>
        <v>#REF!</v>
      </c>
      <c r="P123" s="62" t="e">
        <f>O123*#REF!</f>
        <v>#REF!</v>
      </c>
      <c r="Q123" s="62" t="e">
        <f>P123*#REF!</f>
        <v>#REF!</v>
      </c>
      <c r="R123" s="62" t="e">
        <f>Q123*#REF!</f>
        <v>#REF!</v>
      </c>
      <c r="S123" s="62" t="e">
        <f>R123*#REF!</f>
        <v>#REF!</v>
      </c>
      <c r="T123" s="62" t="e">
        <f>S123*#REF!</f>
        <v>#REF!</v>
      </c>
      <c r="U123" s="62" t="e">
        <f>T123*#REF!</f>
        <v>#REF!</v>
      </c>
      <c r="V123" s="62" t="e">
        <f>U123*#REF!</f>
        <v>#REF!</v>
      </c>
      <c r="W123" s="34"/>
      <c r="X123" s="1">
        <f>X120*$E$8</f>
        <v>1199998.8</v>
      </c>
      <c r="Y123" s="1">
        <f t="shared" ref="Y123:AA123" si="295">Y120*$E$8</f>
        <v>1199998.8</v>
      </c>
      <c r="Z123" s="1">
        <f t="shared" si="295"/>
        <v>1199998.8</v>
      </c>
      <c r="AA123" s="1">
        <f t="shared" si="295"/>
        <v>1199998.8</v>
      </c>
      <c r="AB123" s="34">
        <f>X123*VLOOKUP($B123,Types!$B$2:$D$13,3,FALSE)*Conv!$I$5*1000*365</f>
        <v>2620186.753570626</v>
      </c>
      <c r="AC123" s="34">
        <f>Y123*VLOOKUP($B123,Types!$B$2:$D$13,3,FALSE)*Conv!$I$5*1000*365</f>
        <v>2620186.753570626</v>
      </c>
      <c r="AD123" s="34">
        <f>Z123*VLOOKUP($B123,Types!$B$2:$D$13,3,FALSE)*Conv!$I$5*1000*365</f>
        <v>2620186.753570626</v>
      </c>
      <c r="AE123" s="34">
        <f>AA123*VLOOKUP($B123,Types!$B$2:$D$13,3,FALSE)*Conv!$I$5*1000*365</f>
        <v>2620186.753570626</v>
      </c>
      <c r="AF123" s="34">
        <f>AB123-AB120</f>
        <v>436697.79226177093</v>
      </c>
      <c r="AG123" s="34">
        <f t="shared" ref="AG123:AI123" si="296">AC123-AC120</f>
        <v>436697.79226177093</v>
      </c>
      <c r="AH123" s="34">
        <f t="shared" si="296"/>
        <v>436697.79226177093</v>
      </c>
      <c r="AI123" s="34">
        <f t="shared" si="296"/>
        <v>436697.79226177093</v>
      </c>
      <c r="AJ123" s="34"/>
      <c r="AK123" s="34"/>
      <c r="AL123" s="34"/>
    </row>
    <row r="124" spans="1:38">
      <c r="A124" s="1" t="str">
        <f t="shared" si="290"/>
        <v>Other Refined Prod.</v>
      </c>
      <c r="B124" s="1" t="str">
        <f>VLOOKUP($A124,Types!$A$2:$C$13,2,FALSE)</f>
        <v>KER</v>
      </c>
      <c r="C124" s="1">
        <v>5</v>
      </c>
      <c r="D124" s="1">
        <v>2</v>
      </c>
      <c r="E124" s="1" t="str">
        <f t="shared" si="286"/>
        <v>IMPKERP25</v>
      </c>
      <c r="F124" s="1" t="str">
        <f>CONCATENATE("Imported ",VLOOKUP($A124,Types!$A$2:$C$13,3,FALSE),", PADD ",D124,", Step ",RIGHT(C124,1))</f>
        <v>Imported Kerosene and Other Refined Products, PADD 2, Step 5</v>
      </c>
      <c r="G124" s="1" t="str">
        <f>CONCATENATE(VLOOKUP($A124,Types!$A$2:$C$13,2,FALSE),"P",D124)</f>
        <v>KERP2</v>
      </c>
      <c r="H124" s="61">
        <f>H120*$C$9</f>
        <v>85.6999</v>
      </c>
      <c r="I124" s="61">
        <f t="shared" ref="I124:K124" si="297">I120*$C$9</f>
        <v>52.080600000000011</v>
      </c>
      <c r="J124" s="61">
        <f t="shared" si="297"/>
        <v>42.185000000000002</v>
      </c>
      <c r="K124" s="61">
        <f t="shared" si="297"/>
        <v>53.507999999999996</v>
      </c>
      <c r="L124" s="62">
        <f>H124*Conv!$J$20/10^6/VLOOKUP($B124,Types!$B$2:$D$13,3,FALSE)/Conv!$I$5</f>
        <v>21.982907956179794</v>
      </c>
      <c r="M124" s="62">
        <f>I124*Conv!$J$20/10^6/VLOOKUP($B124,Types!$B$2:$D$13,3,FALSE)/Conv!$I$5</f>
        <v>13.359210875422464</v>
      </c>
      <c r="N124" s="62" t="e">
        <f>M124*#REF!</f>
        <v>#REF!</v>
      </c>
      <c r="O124" s="62" t="e">
        <f>N124*#REF!</f>
        <v>#REF!</v>
      </c>
      <c r="P124" s="62" t="e">
        <f>O124*#REF!</f>
        <v>#REF!</v>
      </c>
      <c r="Q124" s="62" t="e">
        <f>P124*#REF!</f>
        <v>#REF!</v>
      </c>
      <c r="R124" s="62" t="e">
        <f>Q124*#REF!</f>
        <v>#REF!</v>
      </c>
      <c r="S124" s="62" t="e">
        <f>R124*#REF!</f>
        <v>#REF!</v>
      </c>
      <c r="T124" s="62" t="e">
        <f>S124*#REF!</f>
        <v>#REF!</v>
      </c>
      <c r="U124" s="62" t="e">
        <f>T124*#REF!</f>
        <v>#REF!</v>
      </c>
      <c r="V124" s="62" t="e">
        <f>U124*#REF!</f>
        <v>#REF!</v>
      </c>
      <c r="W124" s="34"/>
      <c r="X124" s="1">
        <f>X120*$E$9</f>
        <v>1999998</v>
      </c>
      <c r="Y124" s="1">
        <f t="shared" ref="Y124:AA124" si="298">Y120*$E$9</f>
        <v>1999998</v>
      </c>
      <c r="Z124" s="1">
        <f t="shared" si="298"/>
        <v>1999998</v>
      </c>
      <c r="AA124" s="1">
        <f t="shared" si="298"/>
        <v>1999998</v>
      </c>
      <c r="AB124" s="34">
        <f>X124*VLOOKUP($B124,Types!$B$2:$D$13,3,FALSE)*Conv!$I$5*1000*365</f>
        <v>4366977.9226177102</v>
      </c>
      <c r="AC124" s="34">
        <f>Y124*VLOOKUP($B124,Types!$B$2:$D$13,3,FALSE)*Conv!$I$5*1000*365</f>
        <v>4366977.9226177102</v>
      </c>
      <c r="AD124" s="34">
        <f>Z124*VLOOKUP($B124,Types!$B$2:$D$13,3,FALSE)*Conv!$I$5*1000*365</f>
        <v>4366977.9226177102</v>
      </c>
      <c r="AE124" s="34">
        <f>AA124*VLOOKUP($B124,Types!$B$2:$D$13,3,FALSE)*Conv!$I$5*1000*365</f>
        <v>4366977.9226177102</v>
      </c>
      <c r="AF124" s="34">
        <f>AB124-AB123</f>
        <v>1746791.1690470842</v>
      </c>
      <c r="AG124" s="34">
        <f t="shared" ref="AG124:AI124" si="299">AC124-AC123</f>
        <v>1746791.1690470842</v>
      </c>
      <c r="AH124" s="34">
        <f t="shared" si="299"/>
        <v>1746791.1690470842</v>
      </c>
      <c r="AI124" s="34">
        <f t="shared" si="299"/>
        <v>1746791.1690470842</v>
      </c>
      <c r="AJ124" s="34"/>
      <c r="AK124" s="34"/>
      <c r="AL124" s="34"/>
    </row>
    <row r="125" spans="1:38">
      <c r="A125" s="1" t="str">
        <f>'Agg prdcrv'!$A$16</f>
        <v>Methanol</v>
      </c>
      <c r="B125" s="1" t="str">
        <f>VLOOKUP($A125,Types!$A$2:$C$13,2,FALSE)</f>
        <v>MTH</v>
      </c>
      <c r="C125" s="1">
        <v>3</v>
      </c>
      <c r="D125" s="1">
        <v>2</v>
      </c>
      <c r="E125" s="1" t="str">
        <f t="shared" si="286"/>
        <v>IMPMTHP23</v>
      </c>
      <c r="F125" s="1" t="str">
        <f>CONCATENATE("Imported ",VLOOKUP($A125,Types!$A$2:$C$13,3,FALSE),", PADD ",D125,", Step ",RIGHT(C125,1))</f>
        <v>Imported Methanol, PADD 2, Step 3</v>
      </c>
      <c r="G125" s="1" t="str">
        <f>CONCATENATE(VLOOKUP($A125,Types!$A$2:$C$13,2,FALSE),"P",D125)</f>
        <v>MTHP2</v>
      </c>
      <c r="H125" s="61">
        <f>SUMIFS('Agg prdcrv NYC'!$M$6:$M$100,'Agg prdcrv NYC'!$A$6:$A$100,'Imp Refined NYC'!$A125,'Agg prdcrv NYC'!$B$6:$B$100,H$11)*K4</f>
        <v>52.195000000000007</v>
      </c>
      <c r="I125" s="61">
        <f>SUMIFS('Agg prdcrv NYC'!$M$6:$M$100,'Agg prdcrv NYC'!$A$6:$A$100,'Imp Refined NYC'!$A125,'Agg prdcrv NYC'!$B$6:$B$100,I$11)*K4</f>
        <v>51.634</v>
      </c>
      <c r="J125" s="61">
        <f t="array" ref="J125">SUMIFS('Agg prdcrv NYC'!$M$6:$M$100,'Agg prdcrv NYC'!$A$6:$A$100,'Imp Refined NYC'!$A125,'Agg prdcrv NYC'!$B$6:$B$100,J$11)</f>
        <v>46.94</v>
      </c>
      <c r="K125" s="61">
        <f t="array" ref="K125">SUMIFS('Agg prdcrv NYC'!$M$6:$M$100,'Agg prdcrv NYC'!$A$6:$A$100,'Imp Refined NYC'!$A125,'Agg prdcrv NYC'!$B$6:$B$100,K$11)</f>
        <v>46.94</v>
      </c>
      <c r="L125" s="62">
        <f>H125*Conv!$J$20/10^6/VLOOKUP($B125,Types!$B$2:$D$13,3,FALSE)/Conv!$I$5</f>
        <v>27.636926810656256</v>
      </c>
      <c r="M125" s="62">
        <f>I125*Conv!$J$20/10^6/VLOOKUP($B125,Types!$B$2:$D$13,3,FALSE)/Conv!$I$5</f>
        <v>27.339880811216108</v>
      </c>
      <c r="N125" s="62" t="e">
        <f>M125*#REF!</f>
        <v>#REF!</v>
      </c>
      <c r="O125" s="62" t="e">
        <f>N125*#REF!</f>
        <v>#REF!</v>
      </c>
      <c r="P125" s="62" t="e">
        <f>O125*#REF!</f>
        <v>#REF!</v>
      </c>
      <c r="Q125" s="62" t="e">
        <f>P125*#REF!</f>
        <v>#REF!</v>
      </c>
      <c r="R125" s="62" t="e">
        <f>Q125*#REF!</f>
        <v>#REF!</v>
      </c>
      <c r="S125" s="62" t="e">
        <f>R125*#REF!</f>
        <v>#REF!</v>
      </c>
      <c r="T125" s="62" t="e">
        <f>S125*#REF!</f>
        <v>#REF!</v>
      </c>
      <c r="U125" s="62" t="e">
        <f>T125*#REF!</f>
        <v>#REF!</v>
      </c>
      <c r="V125" s="62" t="e">
        <f>U125*#REF!</f>
        <v>#REF!</v>
      </c>
      <c r="W125" s="34"/>
      <c r="X125" s="1">
        <f t="array" ref="X125">SUMIFS('Agg prdcrv NYC'!$E$6:$E$100,'Agg prdcrv NYC'!$A$6:$A$100,'Imp Refined NYC'!$A125,'Agg prdcrv NYC'!$B$6:$B$100,X$11)</f>
        <v>999999</v>
      </c>
      <c r="Y125" s="1">
        <f t="array" ref="Y125">SUMIFS('Agg prdcrv NYC'!$E$6:$E$100,'Agg prdcrv NYC'!$A$6:$A$100,'Imp Refined NYC'!$A125,'Agg prdcrv NYC'!$B$6:$B$100,Y$11)</f>
        <v>999999</v>
      </c>
      <c r="Z125" s="1">
        <f t="array" ref="Z125">SUMIFS('Agg prdcrv NYC'!$E$6:$E$100,'Agg prdcrv NYC'!$A$6:$A$100,'Imp Refined NYC'!$A125,'Agg prdcrv NYC'!$B$6:$B$100,Z$11)</f>
        <v>999999</v>
      </c>
      <c r="AA125" s="1">
        <f t="array" ref="AA125">SUMIFS('Agg prdcrv NYC'!$E$6:$E$100,'Agg prdcrv NYC'!$A$6:$A$100,'Imp Refined NYC'!$A125,'Agg prdcrv NYC'!$B$6:$B$100,AA$11)</f>
        <v>999999</v>
      </c>
      <c r="AB125" s="34">
        <f>X125*VLOOKUP($B125,Types!$B$2:$D$13,3,FALSE)*Conv!$I$5*1000*365</f>
        <v>1057779.0968118452</v>
      </c>
      <c r="AC125" s="34">
        <f>Y125*VLOOKUP($B125,Types!$B$2:$D$13,3,FALSE)*Conv!$I$5*1000*365</f>
        <v>1057779.0968118452</v>
      </c>
      <c r="AD125" s="34">
        <f>Z125*VLOOKUP($B125,Types!$B$2:$D$13,3,FALSE)*Conv!$I$5*1000*365</f>
        <v>1057779.0968118452</v>
      </c>
      <c r="AE125" s="34">
        <f>AA125*VLOOKUP($B125,Types!$B$2:$D$13,3,FALSE)*Conv!$I$5*1000*365</f>
        <v>1057779.0968118452</v>
      </c>
      <c r="AF125" s="34">
        <f>AB125-AB127</f>
        <v>105777.90968118445</v>
      </c>
      <c r="AG125" s="34">
        <f t="shared" ref="AG125:AI125" si="300">AC125-AC127</f>
        <v>105777.90968118445</v>
      </c>
      <c r="AH125" s="34">
        <f t="shared" si="300"/>
        <v>105777.90968118445</v>
      </c>
      <c r="AI125" s="34">
        <f t="shared" si="300"/>
        <v>105777.90968118445</v>
      </c>
      <c r="AJ125" s="34"/>
      <c r="AK125" s="34"/>
      <c r="AL125" s="34"/>
    </row>
    <row r="126" spans="1:38">
      <c r="A126" s="1" t="str">
        <f>A125</f>
        <v>Methanol</v>
      </c>
      <c r="B126" s="1" t="str">
        <f>VLOOKUP($A126,Types!$A$2:$C$13,2,FALSE)</f>
        <v>MTH</v>
      </c>
      <c r="C126" s="1">
        <v>1</v>
      </c>
      <c r="D126" s="1">
        <v>2</v>
      </c>
      <c r="E126" s="1" t="str">
        <f t="shared" si="286"/>
        <v>IMPMTHP21</v>
      </c>
      <c r="F126" s="1" t="str">
        <f>CONCATENATE("Imported ",VLOOKUP($A126,Types!$A$2:$C$13,3,FALSE),", PADD ",D126,", Step ",RIGHT(C126,1))</f>
        <v>Imported Methanol, PADD 2, Step 1</v>
      </c>
      <c r="G126" s="1" t="str">
        <f>CONCATENATE(VLOOKUP($A126,Types!$A$2:$C$13,2,FALSE),"P",D126)</f>
        <v>MTHP2</v>
      </c>
      <c r="H126" s="61">
        <f>H125*$C$5</f>
        <v>49.585250000000002</v>
      </c>
      <c r="I126" s="61">
        <f t="shared" ref="I126:K126" si="301">I125*$C$5</f>
        <v>49.052299999999995</v>
      </c>
      <c r="J126" s="61">
        <f t="shared" si="301"/>
        <v>44.592999999999996</v>
      </c>
      <c r="K126" s="61">
        <f t="shared" si="301"/>
        <v>44.592999999999996</v>
      </c>
      <c r="L126" s="62">
        <f>H126*Conv!$J$20/10^6/VLOOKUP($B126,Types!$B$2:$D$13,3,FALSE)/Conv!$I$5</f>
        <v>26.255080470123435</v>
      </c>
      <c r="M126" s="62">
        <f>I126*Conv!$J$20/10^6/VLOOKUP($B126,Types!$B$2:$D$13,3,FALSE)/Conv!$I$5</f>
        <v>25.972886770655304</v>
      </c>
      <c r="N126" s="62" t="e">
        <f>M126*#REF!</f>
        <v>#REF!</v>
      </c>
      <c r="O126" s="62" t="e">
        <f>N126*#REF!</f>
        <v>#REF!</v>
      </c>
      <c r="P126" s="62" t="e">
        <f>O126*#REF!</f>
        <v>#REF!</v>
      </c>
      <c r="Q126" s="62" t="e">
        <f>P126*#REF!</f>
        <v>#REF!</v>
      </c>
      <c r="R126" s="62" t="e">
        <f>Q126*#REF!</f>
        <v>#REF!</v>
      </c>
      <c r="S126" s="62" t="e">
        <f>R126*#REF!</f>
        <v>#REF!</v>
      </c>
      <c r="T126" s="62" t="e">
        <f>S126*#REF!</f>
        <v>#REF!</v>
      </c>
      <c r="U126" s="62" t="e">
        <f>T126*#REF!</f>
        <v>#REF!</v>
      </c>
      <c r="V126" s="62" t="e">
        <f>U126*#REF!</f>
        <v>#REF!</v>
      </c>
      <c r="W126" s="34"/>
      <c r="X126" s="1">
        <f>X125*$E$5</f>
        <v>799999.20000000007</v>
      </c>
      <c r="Y126" s="1">
        <f t="shared" ref="Y126:AA126" si="302">Y125*$E$5</f>
        <v>799999.20000000007</v>
      </c>
      <c r="Z126" s="1">
        <f t="shared" si="302"/>
        <v>799999.20000000007</v>
      </c>
      <c r="AA126" s="1">
        <f t="shared" si="302"/>
        <v>799999.20000000007</v>
      </c>
      <c r="AB126" s="34">
        <f>X126*VLOOKUP($B126,Types!$B$2:$D$13,3,FALSE)*Conv!$I$5*1000*365</f>
        <v>846223.27744947642</v>
      </c>
      <c r="AC126" s="34">
        <f>Y126*VLOOKUP($B126,Types!$B$2:$D$13,3,FALSE)*Conv!$I$5*1000*365</f>
        <v>846223.27744947642</v>
      </c>
      <c r="AD126" s="34">
        <f>Z126*VLOOKUP($B126,Types!$B$2:$D$13,3,FALSE)*Conv!$I$5*1000*365</f>
        <v>846223.27744947642</v>
      </c>
      <c r="AE126" s="34">
        <f>AA126*VLOOKUP($B126,Types!$B$2:$D$13,3,FALSE)*Conv!$I$5*1000*365</f>
        <v>846223.27744947642</v>
      </c>
      <c r="AF126" s="34">
        <f>AB126</f>
        <v>846223.27744947642</v>
      </c>
      <c r="AG126" s="34">
        <f t="shared" ref="AG126:AI126" si="303">AC126</f>
        <v>846223.27744947642</v>
      </c>
      <c r="AH126" s="34">
        <f t="shared" si="303"/>
        <v>846223.27744947642</v>
      </c>
      <c r="AI126" s="34">
        <f t="shared" si="303"/>
        <v>846223.27744947642</v>
      </c>
      <c r="AJ126" s="34"/>
      <c r="AK126" s="34"/>
      <c r="AL126" s="34"/>
    </row>
    <row r="127" spans="1:38">
      <c r="A127" s="1" t="str">
        <f t="shared" ref="A127:A129" si="304">A126</f>
        <v>Methanol</v>
      </c>
      <c r="B127" s="1" t="str">
        <f>VLOOKUP($A127,Types!$A$2:$C$13,2,FALSE)</f>
        <v>MTH</v>
      </c>
      <c r="C127" s="1">
        <v>2</v>
      </c>
      <c r="D127" s="1">
        <v>2</v>
      </c>
      <c r="E127" s="1" t="str">
        <f t="shared" si="286"/>
        <v>IMPMTHP22</v>
      </c>
      <c r="F127" s="1" t="str">
        <f>CONCATENATE("Imported ",VLOOKUP($A127,Types!$A$2:$C$13,3,FALSE),", PADD ",D127,", Step ",RIGHT(C127,1))</f>
        <v>Imported Methanol, PADD 2, Step 2</v>
      </c>
      <c r="G127" s="1" t="str">
        <f>CONCATENATE(VLOOKUP($A127,Types!$A$2:$C$13,2,FALSE),"P",D127)</f>
        <v>MTHP2</v>
      </c>
      <c r="H127" s="61">
        <f>H125*$C$6</f>
        <v>51.151100000000007</v>
      </c>
      <c r="I127" s="61">
        <f t="shared" ref="I127:K127" si="305">I125*$C$6</f>
        <v>50.601320000000001</v>
      </c>
      <c r="J127" s="61">
        <f t="shared" si="305"/>
        <v>46.001199999999997</v>
      </c>
      <c r="K127" s="61">
        <f t="shared" si="305"/>
        <v>46.001199999999997</v>
      </c>
      <c r="L127" s="62">
        <f>H127*Conv!$J$20/10^6/VLOOKUP($B127,Types!$B$2:$D$13,3,FALSE)/Conv!$I$5</f>
        <v>27.084188274443125</v>
      </c>
      <c r="M127" s="62">
        <f>I127*Conv!$J$20/10^6/VLOOKUP($B127,Types!$B$2:$D$13,3,FALSE)/Conv!$I$5</f>
        <v>26.793083194991791</v>
      </c>
      <c r="N127" s="62" t="e">
        <f>M127*#REF!</f>
        <v>#REF!</v>
      </c>
      <c r="O127" s="62" t="e">
        <f>N127*#REF!</f>
        <v>#REF!</v>
      </c>
      <c r="P127" s="62" t="e">
        <f>O127*#REF!</f>
        <v>#REF!</v>
      </c>
      <c r="Q127" s="62" t="e">
        <f>P127*#REF!</f>
        <v>#REF!</v>
      </c>
      <c r="R127" s="62" t="e">
        <f>Q127*#REF!</f>
        <v>#REF!</v>
      </c>
      <c r="S127" s="62" t="e">
        <f>R127*#REF!</f>
        <v>#REF!</v>
      </c>
      <c r="T127" s="62" t="e">
        <f>S127*#REF!</f>
        <v>#REF!</v>
      </c>
      <c r="U127" s="62" t="e">
        <f>T127*#REF!</f>
        <v>#REF!</v>
      </c>
      <c r="V127" s="62" t="e">
        <f>U127*#REF!</f>
        <v>#REF!</v>
      </c>
      <c r="W127" s="34"/>
      <c r="X127" s="1">
        <f>X125*$E$6</f>
        <v>899999.1</v>
      </c>
      <c r="Y127" s="1">
        <f t="shared" ref="Y127:AA127" si="306">Y125*$E$6</f>
        <v>899999.1</v>
      </c>
      <c r="Z127" s="1">
        <f t="shared" si="306"/>
        <v>899999.1</v>
      </c>
      <c r="AA127" s="1">
        <f t="shared" si="306"/>
        <v>899999.1</v>
      </c>
      <c r="AB127" s="34">
        <f>X127*VLOOKUP($B127,Types!$B$2:$D$13,3,FALSE)*Conv!$I$5*1000*365</f>
        <v>952001.18713066075</v>
      </c>
      <c r="AC127" s="34">
        <f>Y127*VLOOKUP($B127,Types!$B$2:$D$13,3,FALSE)*Conv!$I$5*1000*365</f>
        <v>952001.18713066075</v>
      </c>
      <c r="AD127" s="34">
        <f>Z127*VLOOKUP($B127,Types!$B$2:$D$13,3,FALSE)*Conv!$I$5*1000*365</f>
        <v>952001.18713066075</v>
      </c>
      <c r="AE127" s="34">
        <f>AA127*VLOOKUP($B127,Types!$B$2:$D$13,3,FALSE)*Conv!$I$5*1000*365</f>
        <v>952001.18713066075</v>
      </c>
      <c r="AF127" s="34">
        <f>AB127-AF126</f>
        <v>105777.90968118433</v>
      </c>
      <c r="AG127" s="34">
        <f t="shared" ref="AG127:AI127" si="307">AC127-AG126</f>
        <v>105777.90968118433</v>
      </c>
      <c r="AH127" s="34">
        <f t="shared" si="307"/>
        <v>105777.90968118433</v>
      </c>
      <c r="AI127" s="34">
        <f t="shared" si="307"/>
        <v>105777.90968118433</v>
      </c>
      <c r="AJ127" s="34"/>
      <c r="AK127" s="34"/>
      <c r="AL127" s="34"/>
    </row>
    <row r="128" spans="1:38">
      <c r="A128" s="1" t="str">
        <f t="shared" si="304"/>
        <v>Methanol</v>
      </c>
      <c r="B128" s="1" t="str">
        <f>VLOOKUP($A128,Types!$A$2:$C$13,2,FALSE)</f>
        <v>MTH</v>
      </c>
      <c r="C128" s="1">
        <v>4</v>
      </c>
      <c r="D128" s="1">
        <v>2</v>
      </c>
      <c r="E128" s="1" t="str">
        <f t="shared" si="286"/>
        <v>IMPMTHP24</v>
      </c>
      <c r="F128" s="1" t="str">
        <f>CONCATENATE("Imported ",VLOOKUP($A128,Types!$A$2:$C$13,3,FALSE),", PADD ",D128,", Step ",RIGHT(C128,1))</f>
        <v>Imported Methanol, PADD 2, Step 4</v>
      </c>
      <c r="G128" s="1" t="str">
        <f>CONCATENATE(VLOOKUP($A128,Types!$A$2:$C$13,2,FALSE),"P",D128)</f>
        <v>MTHP2</v>
      </c>
      <c r="H128" s="61">
        <f>H125*$C$8</f>
        <v>56.892550000000014</v>
      </c>
      <c r="I128" s="61">
        <f t="shared" ref="I128:K128" si="308">I125*$C$8</f>
        <v>56.281060000000004</v>
      </c>
      <c r="J128" s="61">
        <f t="shared" si="308"/>
        <v>51.1646</v>
      </c>
      <c r="K128" s="61">
        <f t="shared" si="308"/>
        <v>51.1646</v>
      </c>
      <c r="L128" s="62">
        <f>H128*Conv!$J$20/10^6/VLOOKUP($B128,Types!$B$2:$D$13,3,FALSE)/Conv!$I$5</f>
        <v>30.124250223615316</v>
      </c>
      <c r="M128" s="62">
        <f>I128*Conv!$J$20/10^6/VLOOKUP($B128,Types!$B$2:$D$13,3,FALSE)/Conv!$I$5</f>
        <v>29.800470084225566</v>
      </c>
      <c r="N128" s="62" t="e">
        <f>M128*#REF!</f>
        <v>#REF!</v>
      </c>
      <c r="O128" s="62" t="e">
        <f>N128*#REF!</f>
        <v>#REF!</v>
      </c>
      <c r="P128" s="62" t="e">
        <f>O128*#REF!</f>
        <v>#REF!</v>
      </c>
      <c r="Q128" s="62" t="e">
        <f>P128*#REF!</f>
        <v>#REF!</v>
      </c>
      <c r="R128" s="62" t="e">
        <f>Q128*#REF!</f>
        <v>#REF!</v>
      </c>
      <c r="S128" s="62" t="e">
        <f>R128*#REF!</f>
        <v>#REF!</v>
      </c>
      <c r="T128" s="62" t="e">
        <f>S128*#REF!</f>
        <v>#REF!</v>
      </c>
      <c r="U128" s="62" t="e">
        <f>T128*#REF!</f>
        <v>#REF!</v>
      </c>
      <c r="V128" s="62" t="e">
        <f>U128*#REF!</f>
        <v>#REF!</v>
      </c>
      <c r="W128" s="34"/>
      <c r="X128" s="1">
        <f>X125*$E$8</f>
        <v>1199998.8</v>
      </c>
      <c r="Y128" s="1">
        <f t="shared" ref="Y128:AA128" si="309">Y125*$E$8</f>
        <v>1199998.8</v>
      </c>
      <c r="Z128" s="1">
        <f t="shared" si="309"/>
        <v>1199998.8</v>
      </c>
      <c r="AA128" s="1">
        <f t="shared" si="309"/>
        <v>1199998.8</v>
      </c>
      <c r="AB128" s="34">
        <f>X128*VLOOKUP($B128,Types!$B$2:$D$13,3,FALSE)*Conv!$I$5*1000*365</f>
        <v>1269334.9161742146</v>
      </c>
      <c r="AC128" s="34">
        <f>Y128*VLOOKUP($B128,Types!$B$2:$D$13,3,FALSE)*Conv!$I$5*1000*365</f>
        <v>1269334.9161742146</v>
      </c>
      <c r="AD128" s="34">
        <f>Z128*VLOOKUP($B128,Types!$B$2:$D$13,3,FALSE)*Conv!$I$5*1000*365</f>
        <v>1269334.9161742146</v>
      </c>
      <c r="AE128" s="34">
        <f>AA128*VLOOKUP($B128,Types!$B$2:$D$13,3,FALSE)*Conv!$I$5*1000*365</f>
        <v>1269334.9161742146</v>
      </c>
      <c r="AF128" s="34">
        <f>AB128-AB125</f>
        <v>211555.81936236937</v>
      </c>
      <c r="AG128" s="34">
        <f t="shared" ref="AG128:AI128" si="310">AC128-AC125</f>
        <v>211555.81936236937</v>
      </c>
      <c r="AH128" s="34">
        <f t="shared" si="310"/>
        <v>211555.81936236937</v>
      </c>
      <c r="AI128" s="34">
        <f t="shared" si="310"/>
        <v>211555.81936236937</v>
      </c>
      <c r="AJ128" s="34"/>
      <c r="AK128" s="34"/>
      <c r="AL128" s="34"/>
    </row>
    <row r="129" spans="1:38">
      <c r="A129" s="1" t="str">
        <f t="shared" si="304"/>
        <v>Methanol</v>
      </c>
      <c r="B129" s="1" t="str">
        <f>VLOOKUP($A129,Types!$A$2:$C$13,2,FALSE)</f>
        <v>MTH</v>
      </c>
      <c r="C129" s="1">
        <v>5</v>
      </c>
      <c r="D129" s="1">
        <v>2</v>
      </c>
      <c r="E129" s="1" t="str">
        <f t="shared" si="286"/>
        <v>IMPMTHP25</v>
      </c>
      <c r="F129" s="1" t="str">
        <f>CONCATENATE("Imported ",VLOOKUP($A129,Types!$A$2:$C$13,3,FALSE),", PADD ",D129,", Step ",RIGHT(C129,1))</f>
        <v>Imported Methanol, PADD 2, Step 5</v>
      </c>
      <c r="G129" s="1" t="str">
        <f>CONCATENATE(VLOOKUP($A129,Types!$A$2:$C$13,2,FALSE),"P",D129)</f>
        <v>MTHP2</v>
      </c>
      <c r="H129" s="61">
        <f>H125*$C$9</f>
        <v>67.853500000000011</v>
      </c>
      <c r="I129" s="61">
        <f t="shared" ref="I129:K129" si="311">I125*$C$9</f>
        <v>67.124200000000002</v>
      </c>
      <c r="J129" s="61">
        <f t="shared" si="311"/>
        <v>61.021999999999998</v>
      </c>
      <c r="K129" s="61">
        <f t="shared" si="311"/>
        <v>61.021999999999998</v>
      </c>
      <c r="L129" s="62">
        <f>H129*Conv!$J$20/10^6/VLOOKUP($B129,Types!$B$2:$D$13,3,FALSE)/Conv!$I$5</f>
        <v>35.928004853853132</v>
      </c>
      <c r="M129" s="62">
        <f>I129*Conv!$J$20/10^6/VLOOKUP($B129,Types!$B$2:$D$13,3,FALSE)/Conv!$I$5</f>
        <v>35.541845054580939</v>
      </c>
      <c r="N129" s="62" t="e">
        <f>M129*#REF!</f>
        <v>#REF!</v>
      </c>
      <c r="O129" s="62" t="e">
        <f>N129*#REF!</f>
        <v>#REF!</v>
      </c>
      <c r="P129" s="62" t="e">
        <f>O129*#REF!</f>
        <v>#REF!</v>
      </c>
      <c r="Q129" s="62" t="e">
        <f>P129*#REF!</f>
        <v>#REF!</v>
      </c>
      <c r="R129" s="62" t="e">
        <f>Q129*#REF!</f>
        <v>#REF!</v>
      </c>
      <c r="S129" s="62" t="e">
        <f>R129*#REF!</f>
        <v>#REF!</v>
      </c>
      <c r="T129" s="62" t="e">
        <f>S129*#REF!</f>
        <v>#REF!</v>
      </c>
      <c r="U129" s="62" t="e">
        <f>T129*#REF!</f>
        <v>#REF!</v>
      </c>
      <c r="V129" s="62" t="e">
        <f>U129*#REF!</f>
        <v>#REF!</v>
      </c>
      <c r="W129" s="34"/>
      <c r="X129" s="1">
        <f>X125*$E$9</f>
        <v>1999998</v>
      </c>
      <c r="Y129" s="1">
        <f t="shared" ref="Y129:AA129" si="312">Y125*$E$9</f>
        <v>1999998</v>
      </c>
      <c r="Z129" s="1">
        <f t="shared" si="312"/>
        <v>1999998</v>
      </c>
      <c r="AA129" s="1">
        <f t="shared" si="312"/>
        <v>1999998</v>
      </c>
      <c r="AB129" s="34">
        <f>X129*VLOOKUP($B129,Types!$B$2:$D$13,3,FALSE)*Conv!$I$5*1000*365</f>
        <v>2115558.1936236904</v>
      </c>
      <c r="AC129" s="34">
        <f>Y129*VLOOKUP($B129,Types!$B$2:$D$13,3,FALSE)*Conv!$I$5*1000*365</f>
        <v>2115558.1936236904</v>
      </c>
      <c r="AD129" s="34">
        <f>Z129*VLOOKUP($B129,Types!$B$2:$D$13,3,FALSE)*Conv!$I$5*1000*365</f>
        <v>2115558.1936236904</v>
      </c>
      <c r="AE129" s="34">
        <f>AA129*VLOOKUP($B129,Types!$B$2:$D$13,3,FALSE)*Conv!$I$5*1000*365</f>
        <v>2115558.1936236904</v>
      </c>
      <c r="AF129" s="34">
        <f>AB129-AB128</f>
        <v>846223.27744947583</v>
      </c>
      <c r="AG129" s="34">
        <f t="shared" ref="AG129:AI129" si="313">AC129-AC128</f>
        <v>846223.27744947583</v>
      </c>
      <c r="AH129" s="34">
        <f t="shared" si="313"/>
        <v>846223.27744947583</v>
      </c>
      <c r="AI129" s="34">
        <f t="shared" si="313"/>
        <v>846223.27744947583</v>
      </c>
      <c r="AJ129" s="34"/>
      <c r="AK129" s="34"/>
      <c r="AL129" s="34"/>
    </row>
    <row r="130" spans="1:38">
      <c r="A130" s="1" t="str">
        <f>'Agg prdcrv'!$A$19</f>
        <v>ULS Diesel (15 ppm)</v>
      </c>
      <c r="B130" s="1" t="str">
        <f>VLOOKUP($A130,Types!$A$2:$C$13,2,FALSE)</f>
        <v>DSU</v>
      </c>
      <c r="C130" s="1">
        <v>3</v>
      </c>
      <c r="D130" s="1">
        <v>2</v>
      </c>
      <c r="E130" s="1" t="str">
        <f t="shared" si="286"/>
        <v>IMPDSUP23</v>
      </c>
      <c r="F130" s="1" t="str">
        <f>CONCATENATE("Imported ",VLOOKUP($A130,Types!$A$2:$C$13,3,FALSE),", PADD ",D130,", Step ",RIGHT(C130,1))</f>
        <v>Imported Distillate-Ultralow Sulfur Highway Diesel (15 ppm), PADD 2, Step 3</v>
      </c>
      <c r="G130" s="1" t="str">
        <f>CONCATENATE(VLOOKUP($A130,Types!$A$2:$C$13,2,FALSE),"P",D130)</f>
        <v>DSUP2</v>
      </c>
      <c r="H130" s="61">
        <f>SUMIFS('Agg prdcrv NYC'!$M$6:$M$100,'Agg prdcrv NYC'!$A$6:$A$100,'Imp Refined NYC'!$A130,'Agg prdcrv NYC'!$B$6:$B$100,H$11)*K4</f>
        <v>63.536000000000001</v>
      </c>
      <c r="I130" s="61">
        <f>SUMIFS('Agg prdcrv NYC'!$M$6:$M$100,'Agg prdcrv NYC'!$A$6:$A$100,'Imp Refined NYC'!$A130,'Agg prdcrv NYC'!$B$6:$B$100,I$11)*K4</f>
        <v>53.250999999999998</v>
      </c>
      <c r="J130" s="61">
        <f t="array" ref="J130">SUMIFS('Agg prdcrv NYC'!$M$6:$M$100,'Agg prdcrv NYC'!$A$6:$A$100,'Imp Refined NYC'!$A130,'Agg prdcrv NYC'!$B$6:$B$100,J$11)</f>
        <v>41.34</v>
      </c>
      <c r="K130" s="61">
        <f t="array" ref="K130">SUMIFS('Agg prdcrv NYC'!$M$6:$M$100,'Agg prdcrv NYC'!$A$6:$A$100,'Imp Refined NYC'!$A130,'Agg prdcrv NYC'!$B$6:$B$100,K$11)</f>
        <v>44.71</v>
      </c>
      <c r="L130" s="62">
        <f>H130*Conv!$J$20/10^6/VLOOKUP($B130,Types!$B$2:$D$13,3,FALSE)/Conv!$I$5</f>
        <v>15.863968002997044</v>
      </c>
      <c r="M130" s="62">
        <f>I130*Conv!$J$20/10^6/VLOOKUP($B130,Types!$B$2:$D$13,3,FALSE)/Conv!$I$5</f>
        <v>13.295960717193331</v>
      </c>
      <c r="N130" s="62" t="e">
        <f>M130*#REF!</f>
        <v>#REF!</v>
      </c>
      <c r="O130" s="62" t="e">
        <f>N130*#REF!</f>
        <v>#REF!</v>
      </c>
      <c r="P130" s="62" t="e">
        <f>O130*#REF!</f>
        <v>#REF!</v>
      </c>
      <c r="Q130" s="62" t="e">
        <f>P130*#REF!</f>
        <v>#REF!</v>
      </c>
      <c r="R130" s="62" t="e">
        <f>Q130*#REF!</f>
        <v>#REF!</v>
      </c>
      <c r="S130" s="62" t="e">
        <f>R130*#REF!</f>
        <v>#REF!</v>
      </c>
      <c r="T130" s="62" t="e">
        <f>S130*#REF!</f>
        <v>#REF!</v>
      </c>
      <c r="U130" s="62" t="e">
        <f>T130*#REF!</f>
        <v>#REF!</v>
      </c>
      <c r="V130" s="62" t="e">
        <f>U130*#REF!</f>
        <v>#REF!</v>
      </c>
      <c r="W130" s="34"/>
      <c r="X130" s="1">
        <f t="array" ref="X130">SUMIFS('Agg prdcrv NYC'!$E$6:$E$100,'Agg prdcrv NYC'!$A$6:$A$100,'Imp Refined NYC'!$A130,'Agg prdcrv NYC'!$B$6:$B$100,X$11)</f>
        <v>999999</v>
      </c>
      <c r="Y130" s="1">
        <f t="array" ref="Y130">SUMIFS('Agg prdcrv NYC'!$E$6:$E$100,'Agg prdcrv NYC'!$A$6:$A$100,'Imp Refined NYC'!$A130,'Agg prdcrv NYC'!$B$6:$B$100,Y$11)</f>
        <v>999999</v>
      </c>
      <c r="Z130" s="1">
        <f t="array" ref="Z130">SUMIFS('Agg prdcrv NYC'!$E$6:$E$100,'Agg prdcrv NYC'!$A$6:$A$100,'Imp Refined NYC'!$A130,'Agg prdcrv NYC'!$B$6:$B$100,Z$11)</f>
        <v>999999</v>
      </c>
      <c r="AA130" s="1">
        <f t="array" ref="AA130">SUMIFS('Agg prdcrv NYC'!$E$6:$E$100,'Agg prdcrv NYC'!$A$6:$A$100,'Imp Refined NYC'!$A130,'Agg prdcrv NYC'!$B$6:$B$100,AA$11)</f>
        <v>999999</v>
      </c>
      <c r="AB130" s="34">
        <f>X130*VLOOKUP($B130,Types!$B$2:$D$13,3,FALSE)*Conv!$I$5*1000*365</f>
        <v>2243178.6948190616</v>
      </c>
      <c r="AC130" s="34">
        <f>Y130*VLOOKUP($B130,Types!$B$2:$D$13,3,FALSE)*Conv!$I$5*1000*365</f>
        <v>2243178.6948190616</v>
      </c>
      <c r="AD130" s="34">
        <f>Z130*VLOOKUP($B130,Types!$B$2:$D$13,3,FALSE)*Conv!$I$5*1000*365</f>
        <v>2243178.6948190616</v>
      </c>
      <c r="AE130" s="34">
        <f>AA130*VLOOKUP($B130,Types!$B$2:$D$13,3,FALSE)*Conv!$I$5*1000*365</f>
        <v>2243178.6948190616</v>
      </c>
      <c r="AF130" s="34">
        <f>AB130-AB132</f>
        <v>224317.86948190606</v>
      </c>
      <c r="AG130" s="34">
        <f t="shared" ref="AG130:AI130" si="314">AC130-AC132</f>
        <v>224317.86948190606</v>
      </c>
      <c r="AH130" s="34">
        <f t="shared" si="314"/>
        <v>224317.86948190606</v>
      </c>
      <c r="AI130" s="34">
        <f t="shared" si="314"/>
        <v>224317.86948190606</v>
      </c>
      <c r="AJ130" s="34"/>
      <c r="AK130" s="34"/>
      <c r="AL130" s="34"/>
    </row>
    <row r="131" spans="1:38">
      <c r="A131" s="1" t="str">
        <f>A130</f>
        <v>ULS Diesel (15 ppm)</v>
      </c>
      <c r="B131" s="1" t="str">
        <f>VLOOKUP($A131,Types!$A$2:$C$13,2,FALSE)</f>
        <v>DSU</v>
      </c>
      <c r="C131" s="1">
        <v>1</v>
      </c>
      <c r="D131" s="1">
        <v>2</v>
      </c>
      <c r="E131" s="1" t="str">
        <f t="shared" si="286"/>
        <v>IMPDSUP21</v>
      </c>
      <c r="F131" s="1" t="str">
        <f>CONCATENATE("Imported ",VLOOKUP($A131,Types!$A$2:$C$13,3,FALSE),", PADD ",D131,", Step ",RIGHT(C131,1))</f>
        <v>Imported Distillate-Ultralow Sulfur Highway Diesel (15 ppm), PADD 2, Step 1</v>
      </c>
      <c r="G131" s="1" t="str">
        <f>CONCATENATE(VLOOKUP($A131,Types!$A$2:$C$13,2,FALSE),"P",D131)</f>
        <v>DSUP2</v>
      </c>
      <c r="H131" s="61">
        <f>H130*$C$5</f>
        <v>60.359200000000001</v>
      </c>
      <c r="I131" s="61">
        <f t="shared" ref="I131:K131" si="315">I130*$C$5</f>
        <v>50.588449999999995</v>
      </c>
      <c r="J131" s="61">
        <f t="shared" si="315"/>
        <v>39.273000000000003</v>
      </c>
      <c r="K131" s="61">
        <f t="shared" si="315"/>
        <v>42.474499999999999</v>
      </c>
      <c r="L131" s="62">
        <f>H131*Conv!$J$20/10^6/VLOOKUP($B131,Types!$B$2:$D$13,3,FALSE)/Conv!$I$5</f>
        <v>15.070769602847189</v>
      </c>
      <c r="M131" s="62">
        <f>I131*Conv!$J$20/10^6/VLOOKUP($B131,Types!$B$2:$D$13,3,FALSE)/Conv!$I$5</f>
        <v>12.631162681333663</v>
      </c>
      <c r="N131" s="62" t="e">
        <f>M131*#REF!</f>
        <v>#REF!</v>
      </c>
      <c r="O131" s="62" t="e">
        <f>N131*#REF!</f>
        <v>#REF!</v>
      </c>
      <c r="P131" s="62" t="e">
        <f>O131*#REF!</f>
        <v>#REF!</v>
      </c>
      <c r="Q131" s="62" t="e">
        <f>P131*#REF!</f>
        <v>#REF!</v>
      </c>
      <c r="R131" s="62" t="e">
        <f>Q131*#REF!</f>
        <v>#REF!</v>
      </c>
      <c r="S131" s="62" t="e">
        <f>R131*#REF!</f>
        <v>#REF!</v>
      </c>
      <c r="T131" s="62" t="e">
        <f>S131*#REF!</f>
        <v>#REF!</v>
      </c>
      <c r="U131" s="62" t="e">
        <f>T131*#REF!</f>
        <v>#REF!</v>
      </c>
      <c r="V131" s="62" t="e">
        <f>U131*#REF!</f>
        <v>#REF!</v>
      </c>
      <c r="W131" s="34"/>
      <c r="X131" s="1">
        <f>X130*$E$5</f>
        <v>799999.20000000007</v>
      </c>
      <c r="Y131" s="1">
        <f t="shared" ref="Y131:AA131" si="316">Y130*$E$5</f>
        <v>799999.20000000007</v>
      </c>
      <c r="Z131" s="1">
        <f t="shared" si="316"/>
        <v>799999.20000000007</v>
      </c>
      <c r="AA131" s="1">
        <f t="shared" si="316"/>
        <v>799999.20000000007</v>
      </c>
      <c r="AB131" s="34">
        <f>X131*VLOOKUP($B131,Types!$B$2:$D$13,3,FALSE)*Conv!$I$5*1000*365</f>
        <v>1794542.9558552499</v>
      </c>
      <c r="AC131" s="34">
        <f>Y131*VLOOKUP($B131,Types!$B$2:$D$13,3,FALSE)*Conv!$I$5*1000*365</f>
        <v>1794542.9558552499</v>
      </c>
      <c r="AD131" s="34">
        <f>Z131*VLOOKUP($B131,Types!$B$2:$D$13,3,FALSE)*Conv!$I$5*1000*365</f>
        <v>1794542.9558552499</v>
      </c>
      <c r="AE131" s="34">
        <f>AA131*VLOOKUP($B131,Types!$B$2:$D$13,3,FALSE)*Conv!$I$5*1000*365</f>
        <v>1794542.9558552499</v>
      </c>
      <c r="AF131" s="34">
        <f>AB131</f>
        <v>1794542.9558552499</v>
      </c>
      <c r="AG131" s="34">
        <f t="shared" ref="AG131:AI131" si="317">AC131</f>
        <v>1794542.9558552499</v>
      </c>
      <c r="AH131" s="34">
        <f t="shared" si="317"/>
        <v>1794542.9558552499</v>
      </c>
      <c r="AI131" s="34">
        <f t="shared" si="317"/>
        <v>1794542.9558552499</v>
      </c>
      <c r="AJ131" s="34"/>
      <c r="AK131" s="34"/>
      <c r="AL131" s="34"/>
    </row>
    <row r="132" spans="1:38">
      <c r="A132" s="1" t="str">
        <f t="shared" ref="A132:A134" si="318">A131</f>
        <v>ULS Diesel (15 ppm)</v>
      </c>
      <c r="B132" s="1" t="str">
        <f>VLOOKUP($A132,Types!$A$2:$C$13,2,FALSE)</f>
        <v>DSU</v>
      </c>
      <c r="C132" s="1">
        <v>2</v>
      </c>
      <c r="D132" s="1">
        <v>2</v>
      </c>
      <c r="E132" s="1" t="str">
        <f t="shared" si="286"/>
        <v>IMPDSUP22</v>
      </c>
      <c r="F132" s="1" t="str">
        <f>CONCATENATE("Imported ",VLOOKUP($A132,Types!$A$2:$C$13,3,FALSE),", PADD ",D132,", Step ",RIGHT(C132,1))</f>
        <v>Imported Distillate-Ultralow Sulfur Highway Diesel (15 ppm), PADD 2, Step 2</v>
      </c>
      <c r="G132" s="1" t="str">
        <f>CONCATENATE(VLOOKUP($A132,Types!$A$2:$C$13,2,FALSE),"P",D132)</f>
        <v>DSUP2</v>
      </c>
      <c r="H132" s="61">
        <f>H130*$C$6</f>
        <v>62.265279999999997</v>
      </c>
      <c r="I132" s="61">
        <f t="shared" ref="I132:K132" si="319">I130*$C$6</f>
        <v>52.185979999999994</v>
      </c>
      <c r="J132" s="61">
        <f t="shared" si="319"/>
        <v>40.513200000000005</v>
      </c>
      <c r="K132" s="61">
        <f t="shared" si="319"/>
        <v>43.815800000000003</v>
      </c>
      <c r="L132" s="62">
        <f>H132*Conv!$J$20/10^6/VLOOKUP($B132,Types!$B$2:$D$13,3,FALSE)/Conv!$I$5</f>
        <v>15.546688642937102</v>
      </c>
      <c r="M132" s="62">
        <f>I132*Conv!$J$20/10^6/VLOOKUP($B132,Types!$B$2:$D$13,3,FALSE)/Conv!$I$5</f>
        <v>13.030041502849462</v>
      </c>
      <c r="N132" s="62" t="e">
        <f>M132*#REF!</f>
        <v>#REF!</v>
      </c>
      <c r="O132" s="62" t="e">
        <f>N132*#REF!</f>
        <v>#REF!</v>
      </c>
      <c r="P132" s="62" t="e">
        <f>O132*#REF!</f>
        <v>#REF!</v>
      </c>
      <c r="Q132" s="62" t="e">
        <f>P132*#REF!</f>
        <v>#REF!</v>
      </c>
      <c r="R132" s="62" t="e">
        <f>Q132*#REF!</f>
        <v>#REF!</v>
      </c>
      <c r="S132" s="62" t="e">
        <f>R132*#REF!</f>
        <v>#REF!</v>
      </c>
      <c r="T132" s="62" t="e">
        <f>S132*#REF!</f>
        <v>#REF!</v>
      </c>
      <c r="U132" s="62" t="e">
        <f>T132*#REF!</f>
        <v>#REF!</v>
      </c>
      <c r="V132" s="62" t="e">
        <f>U132*#REF!</f>
        <v>#REF!</v>
      </c>
      <c r="W132" s="34"/>
      <c r="X132" s="1">
        <f>X130*$E$6</f>
        <v>899999.1</v>
      </c>
      <c r="Y132" s="1">
        <f t="shared" ref="Y132:AA132" si="320">Y130*$E$6</f>
        <v>899999.1</v>
      </c>
      <c r="Z132" s="1">
        <f t="shared" si="320"/>
        <v>899999.1</v>
      </c>
      <c r="AA132" s="1">
        <f t="shared" si="320"/>
        <v>899999.1</v>
      </c>
      <c r="AB132" s="34">
        <f>X132*VLOOKUP($B132,Types!$B$2:$D$13,3,FALSE)*Conv!$I$5*1000*365</f>
        <v>2018860.8253371555</v>
      </c>
      <c r="AC132" s="34">
        <f>Y132*VLOOKUP($B132,Types!$B$2:$D$13,3,FALSE)*Conv!$I$5*1000*365</f>
        <v>2018860.8253371555</v>
      </c>
      <c r="AD132" s="34">
        <f>Z132*VLOOKUP($B132,Types!$B$2:$D$13,3,FALSE)*Conv!$I$5*1000*365</f>
        <v>2018860.8253371555</v>
      </c>
      <c r="AE132" s="34">
        <f>AA132*VLOOKUP($B132,Types!$B$2:$D$13,3,FALSE)*Conv!$I$5*1000*365</f>
        <v>2018860.8253371555</v>
      </c>
      <c r="AF132" s="34">
        <f>AB132-AF131</f>
        <v>224317.8694819056</v>
      </c>
      <c r="AG132" s="34">
        <f t="shared" ref="AG132:AI132" si="321">AC132-AG131</f>
        <v>224317.8694819056</v>
      </c>
      <c r="AH132" s="34">
        <f t="shared" si="321"/>
        <v>224317.8694819056</v>
      </c>
      <c r="AI132" s="34">
        <f t="shared" si="321"/>
        <v>224317.8694819056</v>
      </c>
      <c r="AJ132" s="34"/>
      <c r="AK132" s="34"/>
      <c r="AL132" s="34"/>
    </row>
    <row r="133" spans="1:38">
      <c r="A133" s="1" t="str">
        <f t="shared" si="318"/>
        <v>ULS Diesel (15 ppm)</v>
      </c>
      <c r="B133" s="1" t="str">
        <f>VLOOKUP($A133,Types!$A$2:$C$13,2,FALSE)</f>
        <v>DSU</v>
      </c>
      <c r="C133" s="1">
        <v>4</v>
      </c>
      <c r="D133" s="1">
        <v>2</v>
      </c>
      <c r="E133" s="1" t="str">
        <f t="shared" si="286"/>
        <v>IMPDSUP24</v>
      </c>
      <c r="F133" s="1" t="str">
        <f>CONCATENATE("Imported ",VLOOKUP($A133,Types!$A$2:$C$13,3,FALSE),", PADD ",D133,", Step ",RIGHT(C133,1))</f>
        <v>Imported Distillate-Ultralow Sulfur Highway Diesel (15 ppm), PADD 2, Step 4</v>
      </c>
      <c r="G133" s="1" t="str">
        <f>CONCATENATE(VLOOKUP($A133,Types!$A$2:$C$13,2,FALSE),"P",D133)</f>
        <v>DSUP2</v>
      </c>
      <c r="H133" s="61">
        <f>H130*$C$8</f>
        <v>69.25424000000001</v>
      </c>
      <c r="I133" s="61">
        <f t="shared" ref="I133:K133" si="322">I130*$C$8</f>
        <v>58.043590000000002</v>
      </c>
      <c r="J133" s="61">
        <f t="shared" si="322"/>
        <v>45.060600000000008</v>
      </c>
      <c r="K133" s="61">
        <f t="shared" si="322"/>
        <v>48.733900000000006</v>
      </c>
      <c r="L133" s="62">
        <f>H133*Conv!$J$20/10^6/VLOOKUP($B133,Types!$B$2:$D$13,3,FALSE)/Conv!$I$5</f>
        <v>17.291725123266779</v>
      </c>
      <c r="M133" s="62">
        <f>I133*Conv!$J$20/10^6/VLOOKUP($B133,Types!$B$2:$D$13,3,FALSE)/Conv!$I$5</f>
        <v>14.492597181740731</v>
      </c>
      <c r="N133" s="62" t="e">
        <f>M133*#REF!</f>
        <v>#REF!</v>
      </c>
      <c r="O133" s="62" t="e">
        <f>N133*#REF!</f>
        <v>#REF!</v>
      </c>
      <c r="P133" s="62" t="e">
        <f>O133*#REF!</f>
        <v>#REF!</v>
      </c>
      <c r="Q133" s="62" t="e">
        <f>P133*#REF!</f>
        <v>#REF!</v>
      </c>
      <c r="R133" s="62" t="e">
        <f>Q133*#REF!</f>
        <v>#REF!</v>
      </c>
      <c r="S133" s="62" t="e">
        <f>R133*#REF!</f>
        <v>#REF!</v>
      </c>
      <c r="T133" s="62" t="e">
        <f>S133*#REF!</f>
        <v>#REF!</v>
      </c>
      <c r="U133" s="62" t="e">
        <f>T133*#REF!</f>
        <v>#REF!</v>
      </c>
      <c r="V133" s="62" t="e">
        <f>U133*#REF!</f>
        <v>#REF!</v>
      </c>
      <c r="W133" s="34"/>
      <c r="X133" s="1">
        <f>X130*$E$8</f>
        <v>1199998.8</v>
      </c>
      <c r="Y133" s="1">
        <f t="shared" ref="Y133:AA133" si="323">Y130*$E$8</f>
        <v>1199998.8</v>
      </c>
      <c r="Z133" s="1">
        <f t="shared" si="323"/>
        <v>1199998.8</v>
      </c>
      <c r="AA133" s="1">
        <f t="shared" si="323"/>
        <v>1199998.8</v>
      </c>
      <c r="AB133" s="34">
        <f>X133*VLOOKUP($B133,Types!$B$2:$D$13,3,FALSE)*Conv!$I$5*1000*365</f>
        <v>2691814.4337828746</v>
      </c>
      <c r="AC133" s="34">
        <f>Y133*VLOOKUP($B133,Types!$B$2:$D$13,3,FALSE)*Conv!$I$5*1000*365</f>
        <v>2691814.4337828746</v>
      </c>
      <c r="AD133" s="34">
        <f>Z133*VLOOKUP($B133,Types!$B$2:$D$13,3,FALSE)*Conv!$I$5*1000*365</f>
        <v>2691814.4337828746</v>
      </c>
      <c r="AE133" s="34">
        <f>AA133*VLOOKUP($B133,Types!$B$2:$D$13,3,FALSE)*Conv!$I$5*1000*365</f>
        <v>2691814.4337828746</v>
      </c>
      <c r="AF133" s="34">
        <f>AB133-AB130</f>
        <v>448635.73896381306</v>
      </c>
      <c r="AG133" s="34">
        <f t="shared" ref="AG133:AI133" si="324">AC133-AC130</f>
        <v>448635.73896381306</v>
      </c>
      <c r="AH133" s="34">
        <f t="shared" si="324"/>
        <v>448635.73896381306</v>
      </c>
      <c r="AI133" s="34">
        <f t="shared" si="324"/>
        <v>448635.73896381306</v>
      </c>
      <c r="AJ133" s="34"/>
      <c r="AK133" s="34"/>
      <c r="AL133" s="34"/>
    </row>
    <row r="134" spans="1:38">
      <c r="A134" s="1" t="str">
        <f t="shared" si="318"/>
        <v>ULS Diesel (15 ppm)</v>
      </c>
      <c r="B134" s="1" t="str">
        <f>VLOOKUP($A134,Types!$A$2:$C$13,2,FALSE)</f>
        <v>DSU</v>
      </c>
      <c r="C134" s="1">
        <v>5</v>
      </c>
      <c r="D134" s="1">
        <v>2</v>
      </c>
      <c r="E134" s="1" t="str">
        <f t="shared" si="286"/>
        <v>IMPDSUP25</v>
      </c>
      <c r="F134" s="1" t="str">
        <f>CONCATENATE("Imported ",VLOOKUP($A134,Types!$A$2:$C$13,3,FALSE),", PADD ",D134,", Step ",RIGHT(C134,1))</f>
        <v>Imported Distillate-Ultralow Sulfur Highway Diesel (15 ppm), PADD 2, Step 5</v>
      </c>
      <c r="G134" s="1" t="str">
        <f>CONCATENATE(VLOOKUP($A134,Types!$A$2:$C$13,2,FALSE),"P",D134)</f>
        <v>DSUP2</v>
      </c>
      <c r="H134" s="61">
        <f>H130*$C$9</f>
        <v>82.596800000000002</v>
      </c>
      <c r="I134" s="61">
        <f t="shared" ref="I134:K134" si="325">I130*$C$9</f>
        <v>69.226299999999995</v>
      </c>
      <c r="J134" s="61">
        <f t="shared" si="325"/>
        <v>53.742000000000004</v>
      </c>
      <c r="K134" s="61">
        <f t="shared" si="325"/>
        <v>58.123000000000005</v>
      </c>
      <c r="L134" s="62">
        <f>H134*Conv!$J$20/10^6/VLOOKUP($B134,Types!$B$2:$D$13,3,FALSE)/Conv!$I$5</f>
        <v>20.623158403896152</v>
      </c>
      <c r="M134" s="62">
        <f>I134*Conv!$J$20/10^6/VLOOKUP($B134,Types!$B$2:$D$13,3,FALSE)/Conv!$I$5</f>
        <v>17.284748932351331</v>
      </c>
      <c r="N134" s="62" t="e">
        <f>M134*#REF!</f>
        <v>#REF!</v>
      </c>
      <c r="O134" s="62" t="e">
        <f>N134*#REF!</f>
        <v>#REF!</v>
      </c>
      <c r="P134" s="62" t="e">
        <f>O134*#REF!</f>
        <v>#REF!</v>
      </c>
      <c r="Q134" s="62" t="e">
        <f>P134*#REF!</f>
        <v>#REF!</v>
      </c>
      <c r="R134" s="62" t="e">
        <f>Q134*#REF!</f>
        <v>#REF!</v>
      </c>
      <c r="S134" s="62" t="e">
        <f>R134*#REF!</f>
        <v>#REF!</v>
      </c>
      <c r="T134" s="62" t="e">
        <f>S134*#REF!</f>
        <v>#REF!</v>
      </c>
      <c r="U134" s="62" t="e">
        <f>T134*#REF!</f>
        <v>#REF!</v>
      </c>
      <c r="V134" s="62" t="e">
        <f>U134*#REF!</f>
        <v>#REF!</v>
      </c>
      <c r="W134" s="34"/>
      <c r="X134" s="1">
        <f>X130*$E$9</f>
        <v>1999998</v>
      </c>
      <c r="Y134" s="1">
        <f t="shared" ref="Y134:AA134" si="326">Y130*$E$9</f>
        <v>1999998</v>
      </c>
      <c r="Z134" s="1">
        <f t="shared" si="326"/>
        <v>1999998</v>
      </c>
      <c r="AA134" s="1">
        <f t="shared" si="326"/>
        <v>1999998</v>
      </c>
      <c r="AB134" s="34">
        <f>X134*VLOOKUP($B134,Types!$B$2:$D$13,3,FALSE)*Conv!$I$5*1000*365</f>
        <v>4486357.3896381231</v>
      </c>
      <c r="AC134" s="34">
        <f>Y134*VLOOKUP($B134,Types!$B$2:$D$13,3,FALSE)*Conv!$I$5*1000*365</f>
        <v>4486357.3896381231</v>
      </c>
      <c r="AD134" s="34">
        <f>Z134*VLOOKUP($B134,Types!$B$2:$D$13,3,FALSE)*Conv!$I$5*1000*365</f>
        <v>4486357.3896381231</v>
      </c>
      <c r="AE134" s="34">
        <f>AA134*VLOOKUP($B134,Types!$B$2:$D$13,3,FALSE)*Conv!$I$5*1000*365</f>
        <v>4486357.3896381231</v>
      </c>
      <c r="AF134" s="34">
        <f>AB134-AB133</f>
        <v>1794542.9558552485</v>
      </c>
      <c r="AG134" s="34">
        <f t="shared" ref="AG134:AI134" si="327">AC134-AC133</f>
        <v>1794542.9558552485</v>
      </c>
      <c r="AH134" s="34">
        <f t="shared" si="327"/>
        <v>1794542.9558552485</v>
      </c>
      <c r="AI134" s="34">
        <f t="shared" si="327"/>
        <v>1794542.9558552485</v>
      </c>
      <c r="AJ134" s="34"/>
      <c r="AK134" s="34"/>
      <c r="AL134" s="34"/>
    </row>
    <row r="135" spans="1:38">
      <c r="A135" s="1" t="s">
        <v>398</v>
      </c>
      <c r="H135" s="61"/>
      <c r="I135" s="61"/>
      <c r="J135" s="61"/>
      <c r="K135" s="61"/>
      <c r="L135" s="62"/>
      <c r="M135" s="62"/>
      <c r="N135" s="62"/>
      <c r="O135" s="62"/>
      <c r="P135" s="62"/>
      <c r="Q135" s="62"/>
      <c r="R135" s="62"/>
      <c r="S135" s="62"/>
      <c r="T135" s="62"/>
      <c r="U135" s="62"/>
      <c r="V135" s="62"/>
      <c r="W135" s="34"/>
      <c r="AB135" s="34"/>
      <c r="AC135" s="34"/>
      <c r="AD135" s="34"/>
      <c r="AE135" s="34"/>
      <c r="AF135" s="34"/>
      <c r="AG135" s="34"/>
      <c r="AH135" s="34"/>
      <c r="AI135" s="34"/>
      <c r="AJ135" s="34"/>
      <c r="AK135" s="34"/>
      <c r="AL135" s="34"/>
    </row>
    <row r="136" spans="1:38" s="10" customFormat="1">
      <c r="A136" s="10" t="s">
        <v>528</v>
      </c>
      <c r="H136" s="63"/>
      <c r="I136" s="63"/>
      <c r="J136" s="63"/>
      <c r="K136" s="63"/>
      <c r="L136" s="64"/>
      <c r="M136" s="64"/>
      <c r="N136" s="64"/>
      <c r="O136" s="64"/>
      <c r="P136" s="64"/>
      <c r="Q136" s="64"/>
      <c r="R136" s="64"/>
      <c r="S136" s="64"/>
      <c r="T136" s="64"/>
      <c r="U136" s="64"/>
      <c r="V136" s="64"/>
    </row>
    <row r="137" spans="1:38">
      <c r="A137" s="1" t="str">
        <f>'Agg prdcrv'!$A$6</f>
        <v>Reformulated Mogas</v>
      </c>
      <c r="B137" s="1" t="str">
        <f>VLOOKUP($A137,Types!$A$2:$C$13,2,FALSE)</f>
        <v>GSR</v>
      </c>
      <c r="C137" s="1">
        <v>3</v>
      </c>
      <c r="D137" s="1">
        <v>3</v>
      </c>
      <c r="E137" s="1" t="str">
        <f t="shared" ref="E137:E180" si="328">CONCATENATE("IMP",G137,RIGHT(C137,1))</f>
        <v>IMPGSRP33</v>
      </c>
      <c r="F137" s="1" t="str">
        <f>CONCATENATE("Imported ",VLOOKUP($A137,Types!$A$2:$C$13,3,FALSE),", PADD ",D137,", Step ",RIGHT(C137,1))</f>
        <v>Imported Reformulated Gasoline, PADD 3, Step 3</v>
      </c>
      <c r="G137" s="1" t="str">
        <f>CONCATENATE(VLOOKUP($A137,Types!$A$2:$C$13,2,FALSE),"P",D137)</f>
        <v>GSRP3</v>
      </c>
      <c r="H137" s="61">
        <f>SUMIFS('Agg prdcrv NYC'!$N$6:$N$100,'Agg prdcrv NYC'!$A$6:$A$100,'Imp Refined NYC'!$A137,'Agg prdcrv NYC'!$B$6:$B$100,H$11)*K4</f>
        <v>68.233000000000004</v>
      </c>
      <c r="I137" s="61">
        <f>SUMIFS('Agg prdcrv NYC'!$N$6:$N$100,'Agg prdcrv NYC'!$A$6:$A$100,'Imp Refined NYC'!$A137,'Agg prdcrv NYC'!$B$6:$B$100,I$11)*K4</f>
        <v>124.91600000000001</v>
      </c>
      <c r="J137" s="61">
        <f t="array" ref="J137">SUMIFS('Agg prdcrv NYC'!$N$6:$N$100,'Agg prdcrv NYC'!$A$6:$A$100,'Imp Refined NYC'!$A137,'Agg prdcrv NYC'!$B$6:$B$100,J$11)</f>
        <v>113.56</v>
      </c>
      <c r="K137" s="61">
        <f t="array" ref="K137">SUMIFS('Agg prdcrv NYC'!$N$6:$N$100,'Agg prdcrv NYC'!$A$6:$A$100,'Imp Refined NYC'!$A137,'Agg prdcrv NYC'!$B$6:$B$100,K$11)</f>
        <v>113.56</v>
      </c>
      <c r="L137" s="62">
        <f>H137*Conv!$J$20/10^6/VLOOKUP($B137,Types!$B$2:$D$13,3,FALSE)/Conv!$I$5</f>
        <v>19.269707503062243</v>
      </c>
      <c r="M137" s="62">
        <f>I137*Conv!$J$20/10^6/VLOOKUP($B137,Types!$B$2:$D$13,3,FALSE)/Conv!$I$5</f>
        <v>35.277575109588071</v>
      </c>
      <c r="N137" s="62" t="e">
        <f>M137*#REF!</f>
        <v>#REF!</v>
      </c>
      <c r="O137" s="62" t="e">
        <f>N137*#REF!</f>
        <v>#REF!</v>
      </c>
      <c r="P137" s="62" t="e">
        <f>O137*#REF!</f>
        <v>#REF!</v>
      </c>
      <c r="Q137" s="62" t="e">
        <f>P137*#REF!</f>
        <v>#REF!</v>
      </c>
      <c r="R137" s="62" t="e">
        <f>Q137*#REF!</f>
        <v>#REF!</v>
      </c>
      <c r="S137" s="62" t="e">
        <f>R137*#REF!</f>
        <v>#REF!</v>
      </c>
      <c r="T137" s="62" t="e">
        <f>S137*#REF!</f>
        <v>#REF!</v>
      </c>
      <c r="U137" s="62" t="e">
        <f>T137*#REF!</f>
        <v>#REF!</v>
      </c>
      <c r="V137" s="62" t="e">
        <f>U137*#REF!</f>
        <v>#REF!</v>
      </c>
      <c r="W137" s="34"/>
      <c r="X137" s="1">
        <f t="array" ref="X137">SUMIFS('Agg prdcrv NYC'!$F$6:$F$100,'Agg prdcrv NYC'!$A$6:$A$100,'Imp Refined NYC'!$A137,'Agg prdcrv NYC'!$B$6:$B$100,X$11)</f>
        <v>999999</v>
      </c>
      <c r="Y137" s="1">
        <f t="array" ref="Y137">SUMIFS('Agg prdcrv NYC'!$F$6:$F$100,'Agg prdcrv NYC'!$A$6:$A$100,'Imp Refined NYC'!$A137,'Agg prdcrv NYC'!$B$6:$B$100,Y$11)</f>
        <v>999999</v>
      </c>
      <c r="Z137" s="1">
        <f t="array" ref="Z137">SUMIFS('Agg prdcrv NYC'!$F$6:$F$100,'Agg prdcrv NYC'!$A$6:$A$100,'Imp Refined NYC'!$A137,'Agg prdcrv NYC'!$B$6:$B$100,Z$11)</f>
        <v>999999</v>
      </c>
      <c r="AA137" s="1">
        <f t="array" ref="AA137">SUMIFS('Agg prdcrv NYC'!$F$6:$F$100,'Agg prdcrv NYC'!$A$6:$A$100,'Imp Refined NYC'!$A137,'Agg prdcrv NYC'!$B$6:$B$100,AA$11)</f>
        <v>999999</v>
      </c>
      <c r="AB137" s="34">
        <f>X137*VLOOKUP($B137,Types!$B$2:$D$13,3,FALSE)*Conv!$I$5*1000*365</f>
        <v>1983239.5327584841</v>
      </c>
      <c r="AC137" s="34">
        <f>Y137*VLOOKUP($B137,Types!$B$2:$D$13,3,FALSE)*Conv!$I$5*1000*365</f>
        <v>1983239.5327584841</v>
      </c>
      <c r="AD137" s="34">
        <f>Z137*VLOOKUP($B137,Types!$B$2:$D$13,3,FALSE)*Conv!$I$5*1000*365</f>
        <v>1983239.5327584841</v>
      </c>
      <c r="AE137" s="34">
        <f>AA137*VLOOKUP($B137,Types!$B$2:$D$13,3,FALSE)*Conv!$I$5*1000*365</f>
        <v>1983239.5327584841</v>
      </c>
      <c r="AF137" s="34">
        <f>AB137-AB139</f>
        <v>198323.95327584841</v>
      </c>
      <c r="AG137" s="34">
        <f t="shared" ref="AG137:AI137" si="329">AC137-AC139</f>
        <v>198323.95327584841</v>
      </c>
      <c r="AH137" s="34">
        <f t="shared" si="329"/>
        <v>198323.95327584841</v>
      </c>
      <c r="AI137" s="34">
        <f t="shared" si="329"/>
        <v>198323.95327584841</v>
      </c>
      <c r="AJ137" s="34"/>
      <c r="AK137" s="34"/>
      <c r="AL137" s="34"/>
    </row>
    <row r="138" spans="1:38">
      <c r="A138" s="1" t="str">
        <f>A137</f>
        <v>Reformulated Mogas</v>
      </c>
      <c r="B138" s="1" t="str">
        <f>VLOOKUP($A138,Types!$A$2:$C$13,2,FALSE)</f>
        <v>GSR</v>
      </c>
      <c r="C138" s="1">
        <v>1</v>
      </c>
      <c r="D138" s="1">
        <v>3</v>
      </c>
      <c r="E138" s="1" t="str">
        <f t="shared" si="328"/>
        <v>IMPGSRP31</v>
      </c>
      <c r="F138" s="1" t="str">
        <f>CONCATENATE("Imported ",VLOOKUP($A138,Types!$A$2:$C$13,3,FALSE),", PADD ",D138,", Step ",RIGHT(C138,1))</f>
        <v>Imported Reformulated Gasoline, PADD 3, Step 1</v>
      </c>
      <c r="G138" s="1" t="str">
        <f>CONCATENATE(VLOOKUP($A138,Types!$A$2:$C$13,2,FALSE),"P",D138)</f>
        <v>GSRP3</v>
      </c>
      <c r="H138" s="61">
        <f>H137*$C$5</f>
        <v>64.821349999999995</v>
      </c>
      <c r="I138" s="61">
        <f t="shared" ref="I138:K138" si="330">I137*$C$5</f>
        <v>118.67020000000001</v>
      </c>
      <c r="J138" s="61">
        <f t="shared" si="330"/>
        <v>107.88199999999999</v>
      </c>
      <c r="K138" s="61">
        <f t="shared" si="330"/>
        <v>107.88199999999999</v>
      </c>
      <c r="L138" s="62">
        <f>H138*Conv!$J$20/10^6/VLOOKUP($B138,Types!$B$2:$D$13,3,FALSE)/Conv!$I$5</f>
        <v>18.306222127909123</v>
      </c>
      <c r="M138" s="62">
        <f>I138*Conv!$J$20/10^6/VLOOKUP($B138,Types!$B$2:$D$13,3,FALSE)/Conv!$I$5</f>
        <v>33.51369635410866</v>
      </c>
      <c r="N138" s="62" t="e">
        <f>M138*#REF!</f>
        <v>#REF!</v>
      </c>
      <c r="O138" s="62" t="e">
        <f>N138*#REF!</f>
        <v>#REF!</v>
      </c>
      <c r="P138" s="62" t="e">
        <f>O138*#REF!</f>
        <v>#REF!</v>
      </c>
      <c r="Q138" s="62" t="e">
        <f>P138*#REF!</f>
        <v>#REF!</v>
      </c>
      <c r="R138" s="62" t="e">
        <f>Q138*#REF!</f>
        <v>#REF!</v>
      </c>
      <c r="S138" s="62" t="e">
        <f>R138*#REF!</f>
        <v>#REF!</v>
      </c>
      <c r="T138" s="62" t="e">
        <f>S138*#REF!</f>
        <v>#REF!</v>
      </c>
      <c r="U138" s="62" t="e">
        <f>T138*#REF!</f>
        <v>#REF!</v>
      </c>
      <c r="V138" s="62" t="e">
        <f>U138*#REF!</f>
        <v>#REF!</v>
      </c>
      <c r="W138" s="34"/>
      <c r="X138" s="1">
        <f>X137*$E$5</f>
        <v>799999.20000000007</v>
      </c>
      <c r="Y138" s="1">
        <f t="shared" ref="Y138:AA138" si="331">Y137*$E$5</f>
        <v>799999.20000000007</v>
      </c>
      <c r="Z138" s="1">
        <f t="shared" si="331"/>
        <v>799999.20000000007</v>
      </c>
      <c r="AA138" s="1">
        <f t="shared" si="331"/>
        <v>799999.20000000007</v>
      </c>
      <c r="AB138" s="34">
        <f>X138*VLOOKUP($B138,Types!$B$2:$D$13,3,FALSE)*Conv!$I$5*1000*365</f>
        <v>1586591.6262067873</v>
      </c>
      <c r="AC138" s="34">
        <f>Y138*VLOOKUP($B138,Types!$B$2:$D$13,3,FALSE)*Conv!$I$5*1000*365</f>
        <v>1586591.6262067873</v>
      </c>
      <c r="AD138" s="34">
        <f>Z138*VLOOKUP($B138,Types!$B$2:$D$13,3,FALSE)*Conv!$I$5*1000*365</f>
        <v>1586591.6262067873</v>
      </c>
      <c r="AE138" s="34">
        <f>AA138*VLOOKUP($B138,Types!$B$2:$D$13,3,FALSE)*Conv!$I$5*1000*365</f>
        <v>1586591.6262067873</v>
      </c>
      <c r="AF138" s="34">
        <f>AB138</f>
        <v>1586591.6262067873</v>
      </c>
      <c r="AG138" s="34">
        <f t="shared" ref="AG138:AI138" si="332">AC138</f>
        <v>1586591.6262067873</v>
      </c>
      <c r="AH138" s="34">
        <f t="shared" si="332"/>
        <v>1586591.6262067873</v>
      </c>
      <c r="AI138" s="34">
        <f t="shared" si="332"/>
        <v>1586591.6262067873</v>
      </c>
      <c r="AJ138" s="34"/>
      <c r="AK138" s="34"/>
      <c r="AL138" s="34"/>
    </row>
    <row r="139" spans="1:38">
      <c r="A139" s="1" t="str">
        <f t="shared" ref="A139:A141" si="333">A138</f>
        <v>Reformulated Mogas</v>
      </c>
      <c r="B139" s="1" t="str">
        <f>VLOOKUP($A139,Types!$A$2:$C$13,2,FALSE)</f>
        <v>GSR</v>
      </c>
      <c r="C139" s="1">
        <v>2</v>
      </c>
      <c r="D139" s="1">
        <v>3</v>
      </c>
      <c r="E139" s="1" t="str">
        <f t="shared" si="328"/>
        <v>IMPGSRP32</v>
      </c>
      <c r="F139" s="1" t="str">
        <f>CONCATENATE("Imported ",VLOOKUP($A139,Types!$A$2:$C$13,3,FALSE),", PADD ",D139,", Step ",RIGHT(C139,1))</f>
        <v>Imported Reformulated Gasoline, PADD 3, Step 2</v>
      </c>
      <c r="G139" s="1" t="str">
        <f>CONCATENATE(VLOOKUP($A139,Types!$A$2:$C$13,2,FALSE),"P",D139)</f>
        <v>GSRP3</v>
      </c>
      <c r="H139" s="61">
        <f>H137*$C$6</f>
        <v>66.868340000000003</v>
      </c>
      <c r="I139" s="61">
        <f t="shared" ref="I139:K139" si="334">I137*$C$6</f>
        <v>122.41768</v>
      </c>
      <c r="J139" s="61">
        <f t="shared" si="334"/>
        <v>111.28879999999999</v>
      </c>
      <c r="K139" s="61">
        <f t="shared" si="334"/>
        <v>111.28879999999999</v>
      </c>
      <c r="L139" s="62">
        <f>H139*Conv!$J$20/10^6/VLOOKUP($B139,Types!$B$2:$D$13,3,FALSE)/Conv!$I$5</f>
        <v>18.884313353000994</v>
      </c>
      <c r="M139" s="62">
        <f>I139*Conv!$J$20/10^6/VLOOKUP($B139,Types!$B$2:$D$13,3,FALSE)/Conv!$I$5</f>
        <v>34.572023607396304</v>
      </c>
      <c r="N139" s="62" t="e">
        <f>M139*#REF!</f>
        <v>#REF!</v>
      </c>
      <c r="O139" s="62" t="e">
        <f>N139*#REF!</f>
        <v>#REF!</v>
      </c>
      <c r="P139" s="62" t="e">
        <f>O139*#REF!</f>
        <v>#REF!</v>
      </c>
      <c r="Q139" s="62" t="e">
        <f>P139*#REF!</f>
        <v>#REF!</v>
      </c>
      <c r="R139" s="62" t="e">
        <f>Q139*#REF!</f>
        <v>#REF!</v>
      </c>
      <c r="S139" s="62" t="e">
        <f>R139*#REF!</f>
        <v>#REF!</v>
      </c>
      <c r="T139" s="62" t="e">
        <f>S139*#REF!</f>
        <v>#REF!</v>
      </c>
      <c r="U139" s="62" t="e">
        <f>T139*#REF!</f>
        <v>#REF!</v>
      </c>
      <c r="V139" s="62" t="e">
        <f>U139*#REF!</f>
        <v>#REF!</v>
      </c>
      <c r="W139" s="34"/>
      <c r="X139" s="1">
        <f>X137*$E$6</f>
        <v>899999.1</v>
      </c>
      <c r="Y139" s="1">
        <f t="shared" ref="Y139:AA139" si="335">Y137*$E$6</f>
        <v>899999.1</v>
      </c>
      <c r="Z139" s="1">
        <f t="shared" si="335"/>
        <v>899999.1</v>
      </c>
      <c r="AA139" s="1">
        <f t="shared" si="335"/>
        <v>899999.1</v>
      </c>
      <c r="AB139" s="34">
        <f>X139*VLOOKUP($B139,Types!$B$2:$D$13,3,FALSE)*Conv!$I$5*1000*365</f>
        <v>1784915.5794826357</v>
      </c>
      <c r="AC139" s="34">
        <f>Y139*VLOOKUP($B139,Types!$B$2:$D$13,3,FALSE)*Conv!$I$5*1000*365</f>
        <v>1784915.5794826357</v>
      </c>
      <c r="AD139" s="34">
        <f>Z139*VLOOKUP($B139,Types!$B$2:$D$13,3,FALSE)*Conv!$I$5*1000*365</f>
        <v>1784915.5794826357</v>
      </c>
      <c r="AE139" s="34">
        <f>AA139*VLOOKUP($B139,Types!$B$2:$D$13,3,FALSE)*Conv!$I$5*1000*365</f>
        <v>1784915.5794826357</v>
      </c>
      <c r="AF139" s="34">
        <f>AB139-AF138</f>
        <v>198323.95327584841</v>
      </c>
      <c r="AG139" s="34">
        <f t="shared" ref="AG139:AI139" si="336">AC139-AG138</f>
        <v>198323.95327584841</v>
      </c>
      <c r="AH139" s="34">
        <f t="shared" si="336"/>
        <v>198323.95327584841</v>
      </c>
      <c r="AI139" s="34">
        <f t="shared" si="336"/>
        <v>198323.95327584841</v>
      </c>
      <c r="AJ139" s="34"/>
      <c r="AK139" s="34"/>
      <c r="AL139" s="34"/>
    </row>
    <row r="140" spans="1:38">
      <c r="A140" s="1" t="str">
        <f t="shared" si="333"/>
        <v>Reformulated Mogas</v>
      </c>
      <c r="B140" s="1" t="str">
        <f>VLOOKUP($A140,Types!$A$2:$C$13,2,FALSE)</f>
        <v>GSR</v>
      </c>
      <c r="C140" s="1">
        <v>4</v>
      </c>
      <c r="D140" s="1">
        <v>3</v>
      </c>
      <c r="E140" s="1" t="str">
        <f t="shared" si="328"/>
        <v>IMPGSRP34</v>
      </c>
      <c r="F140" s="1" t="str">
        <f>CONCATENATE("Imported ",VLOOKUP($A140,Types!$A$2:$C$13,3,FALSE),", PADD ",D140,", Step ",RIGHT(C140,1))</f>
        <v>Imported Reformulated Gasoline, PADD 3, Step 4</v>
      </c>
      <c r="G140" s="1" t="str">
        <f>CONCATENATE(VLOOKUP($A140,Types!$A$2:$C$13,2,FALSE),"P",D140)</f>
        <v>GSRP3</v>
      </c>
      <c r="H140" s="61">
        <f>H137*$C$8</f>
        <v>74.373970000000014</v>
      </c>
      <c r="I140" s="61">
        <f t="shared" ref="I140:K140" si="337">I137*$C$8</f>
        <v>136.15844000000001</v>
      </c>
      <c r="J140" s="61">
        <f t="shared" si="337"/>
        <v>123.78040000000001</v>
      </c>
      <c r="K140" s="61">
        <f t="shared" si="337"/>
        <v>123.78040000000001</v>
      </c>
      <c r="L140" s="62">
        <f>H140*Conv!$J$20/10^6/VLOOKUP($B140,Types!$B$2:$D$13,3,FALSE)/Conv!$I$5</f>
        <v>21.003981178337842</v>
      </c>
      <c r="M140" s="62">
        <f>I140*Conv!$J$20/10^6/VLOOKUP($B140,Types!$B$2:$D$13,3,FALSE)/Conv!$I$5</f>
        <v>38.452556869451001</v>
      </c>
      <c r="N140" s="62" t="e">
        <f>M140*#REF!</f>
        <v>#REF!</v>
      </c>
      <c r="O140" s="62" t="e">
        <f>N140*#REF!</f>
        <v>#REF!</v>
      </c>
      <c r="P140" s="62" t="e">
        <f>O140*#REF!</f>
        <v>#REF!</v>
      </c>
      <c r="Q140" s="62" t="e">
        <f>P140*#REF!</f>
        <v>#REF!</v>
      </c>
      <c r="R140" s="62" t="e">
        <f>Q140*#REF!</f>
        <v>#REF!</v>
      </c>
      <c r="S140" s="62" t="e">
        <f>R140*#REF!</f>
        <v>#REF!</v>
      </c>
      <c r="T140" s="62" t="e">
        <f>S140*#REF!</f>
        <v>#REF!</v>
      </c>
      <c r="U140" s="62" t="e">
        <f>T140*#REF!</f>
        <v>#REF!</v>
      </c>
      <c r="V140" s="62" t="e">
        <f>U140*#REF!</f>
        <v>#REF!</v>
      </c>
      <c r="W140" s="34"/>
      <c r="X140" s="1">
        <f>X137*$E$8</f>
        <v>1199998.8</v>
      </c>
      <c r="Y140" s="1">
        <f t="shared" ref="Y140:AA140" si="338">Y137*$E$8</f>
        <v>1199998.8</v>
      </c>
      <c r="Z140" s="1">
        <f t="shared" si="338"/>
        <v>1199998.8</v>
      </c>
      <c r="AA140" s="1">
        <f t="shared" si="338"/>
        <v>1199998.8</v>
      </c>
      <c r="AB140" s="34">
        <f>X140*VLOOKUP($B140,Types!$B$2:$D$13,3,FALSE)*Conv!$I$5*1000*365</f>
        <v>2379887.439310181</v>
      </c>
      <c r="AC140" s="34">
        <f>Y140*VLOOKUP($B140,Types!$B$2:$D$13,3,FALSE)*Conv!$I$5*1000*365</f>
        <v>2379887.439310181</v>
      </c>
      <c r="AD140" s="34">
        <f>Z140*VLOOKUP($B140,Types!$B$2:$D$13,3,FALSE)*Conv!$I$5*1000*365</f>
        <v>2379887.439310181</v>
      </c>
      <c r="AE140" s="34">
        <f>AA140*VLOOKUP($B140,Types!$B$2:$D$13,3,FALSE)*Conv!$I$5*1000*365</f>
        <v>2379887.439310181</v>
      </c>
      <c r="AF140" s="34">
        <f>AB140-AB137</f>
        <v>396647.90655169683</v>
      </c>
      <c r="AG140" s="34">
        <f t="shared" ref="AG140:AI140" si="339">AC140-AC137</f>
        <v>396647.90655169683</v>
      </c>
      <c r="AH140" s="34">
        <f t="shared" si="339"/>
        <v>396647.90655169683</v>
      </c>
      <c r="AI140" s="34">
        <f t="shared" si="339"/>
        <v>396647.90655169683</v>
      </c>
      <c r="AJ140" s="34"/>
      <c r="AK140" s="34"/>
      <c r="AL140" s="34"/>
    </row>
    <row r="141" spans="1:38">
      <c r="A141" s="1" t="str">
        <f t="shared" si="333"/>
        <v>Reformulated Mogas</v>
      </c>
      <c r="B141" s="1" t="str">
        <f>VLOOKUP($A141,Types!$A$2:$C$13,2,FALSE)</f>
        <v>GSR</v>
      </c>
      <c r="C141" s="1">
        <v>5</v>
      </c>
      <c r="D141" s="1">
        <v>3</v>
      </c>
      <c r="E141" s="1" t="str">
        <f t="shared" si="328"/>
        <v>IMPGSRP35</v>
      </c>
      <c r="F141" s="1" t="str">
        <f>CONCATENATE("Imported ",VLOOKUP($A141,Types!$A$2:$C$13,3,FALSE),", PADD ",D141,", Step ",RIGHT(C141,1))</f>
        <v>Imported Reformulated Gasoline, PADD 3, Step 5</v>
      </c>
      <c r="G141" s="1" t="str">
        <f>CONCATENATE(VLOOKUP($A141,Types!$A$2:$C$13,2,FALSE),"P",D141)</f>
        <v>GSRP3</v>
      </c>
      <c r="H141" s="61">
        <f>H137*$C$9</f>
        <v>88.702900000000014</v>
      </c>
      <c r="I141" s="61">
        <f t="shared" ref="I141:K141" si="340">I137*$C$9</f>
        <v>162.39080000000001</v>
      </c>
      <c r="J141" s="61">
        <f t="shared" si="340"/>
        <v>147.62800000000001</v>
      </c>
      <c r="K141" s="61">
        <f t="shared" si="340"/>
        <v>147.62800000000001</v>
      </c>
      <c r="L141" s="62">
        <f>H141*Conv!$J$20/10^6/VLOOKUP($B141,Types!$B$2:$D$13,3,FALSE)/Conv!$I$5</f>
        <v>25.050619753980918</v>
      </c>
      <c r="M141" s="62">
        <f>I141*Conv!$J$20/10^6/VLOOKUP($B141,Types!$B$2:$D$13,3,FALSE)/Conv!$I$5</f>
        <v>45.860847642464492</v>
      </c>
      <c r="N141" s="62" t="e">
        <f>M141*#REF!</f>
        <v>#REF!</v>
      </c>
      <c r="O141" s="62" t="e">
        <f>N141*#REF!</f>
        <v>#REF!</v>
      </c>
      <c r="P141" s="62" t="e">
        <f>O141*#REF!</f>
        <v>#REF!</v>
      </c>
      <c r="Q141" s="62" t="e">
        <f>P141*#REF!</f>
        <v>#REF!</v>
      </c>
      <c r="R141" s="62" t="e">
        <f>Q141*#REF!</f>
        <v>#REF!</v>
      </c>
      <c r="S141" s="62" t="e">
        <f>R141*#REF!</f>
        <v>#REF!</v>
      </c>
      <c r="T141" s="62" t="e">
        <f>S141*#REF!</f>
        <v>#REF!</v>
      </c>
      <c r="U141" s="62" t="e">
        <f>T141*#REF!</f>
        <v>#REF!</v>
      </c>
      <c r="V141" s="62" t="e">
        <f>U141*#REF!</f>
        <v>#REF!</v>
      </c>
      <c r="W141" s="34"/>
      <c r="X141" s="1">
        <f>X137*$E$9</f>
        <v>1999998</v>
      </c>
      <c r="Y141" s="1">
        <f t="shared" ref="Y141:AA141" si="341">Y137*$E$9</f>
        <v>1999998</v>
      </c>
      <c r="Z141" s="1">
        <f t="shared" si="341"/>
        <v>1999998</v>
      </c>
      <c r="AA141" s="1">
        <f t="shared" si="341"/>
        <v>1999998</v>
      </c>
      <c r="AB141" s="34">
        <f>X141*VLOOKUP($B141,Types!$B$2:$D$13,3,FALSE)*Conv!$I$5*1000*365</f>
        <v>3966479.0655169683</v>
      </c>
      <c r="AC141" s="34">
        <f>Y141*VLOOKUP($B141,Types!$B$2:$D$13,3,FALSE)*Conv!$I$5*1000*365</f>
        <v>3966479.0655169683</v>
      </c>
      <c r="AD141" s="34">
        <f>Z141*VLOOKUP($B141,Types!$B$2:$D$13,3,FALSE)*Conv!$I$5*1000*365</f>
        <v>3966479.0655169683</v>
      </c>
      <c r="AE141" s="34">
        <f>AA141*VLOOKUP($B141,Types!$B$2:$D$13,3,FALSE)*Conv!$I$5*1000*365</f>
        <v>3966479.0655169683</v>
      </c>
      <c r="AF141" s="34">
        <f>AB141-AB140</f>
        <v>1586591.6262067873</v>
      </c>
      <c r="AG141" s="34">
        <f t="shared" ref="AG141:AI141" si="342">AC141-AC140</f>
        <v>1586591.6262067873</v>
      </c>
      <c r="AH141" s="34">
        <f t="shared" si="342"/>
        <v>1586591.6262067873</v>
      </c>
      <c r="AI141" s="34">
        <f t="shared" si="342"/>
        <v>1586591.6262067873</v>
      </c>
      <c r="AJ141" s="34"/>
      <c r="AK141" s="34"/>
      <c r="AL141" s="34"/>
    </row>
    <row r="142" spans="1:38">
      <c r="A142" s="1" t="str">
        <f>'Agg prdcrv'!$A$7</f>
        <v>Conventional Mogas</v>
      </c>
      <c r="B142" s="1" t="str">
        <f>VLOOKUP($A142,Types!$A$2:$C$13,2,FALSE)</f>
        <v>GSC</v>
      </c>
      <c r="C142" s="1">
        <v>3</v>
      </c>
      <c r="D142" s="1">
        <v>3</v>
      </c>
      <c r="E142" s="1" t="str">
        <f t="shared" si="328"/>
        <v>IMPGSCP33</v>
      </c>
      <c r="F142" s="1" t="str">
        <f>CONCATENATE("Imported ",VLOOKUP($A142,Types!$A$2:$C$13,3,FALSE),", PADD ",D142,", Step ",RIGHT(C142,1))</f>
        <v>Imported Conventional Gasoline, PADD 3, Step 3</v>
      </c>
      <c r="G142" s="1" t="str">
        <f>CONCATENATE(VLOOKUP($A142,Types!$A$2:$C$13,2,FALSE),"P",D142)</f>
        <v>GSCP3</v>
      </c>
      <c r="H142" s="61">
        <f>SUMIFS('Agg prdcrv NYC'!$N$6:$N$100,'Agg prdcrv NYC'!$A$6:$A$100,'Imp Refined NYC'!$A142,'Agg prdcrv NYC'!$B$6:$B$100,H$11)*K4</f>
        <v>66.077000000000012</v>
      </c>
      <c r="I142" s="61">
        <f>SUMIFS('Agg prdcrv NYC'!$N$6:$N$100,'Agg prdcrv NYC'!$A$6:$A$100,'Imp Refined NYC'!$A142,'Agg prdcrv NYC'!$B$6:$B$100,I$11)*K4</f>
        <v>54.78</v>
      </c>
      <c r="J142" s="61">
        <f t="array" ref="J142">SUMIFS('Agg prdcrv NYC'!$N$6:$N$100,'Agg prdcrv NYC'!$A$6:$A$100,'Imp Refined NYC'!$A142,'Agg prdcrv NYC'!$B$6:$B$100,J$11)</f>
        <v>43.07</v>
      </c>
      <c r="K142" s="61">
        <f t="array" ref="K142">SUMIFS('Agg prdcrv NYC'!$N$6:$N$100,'Agg prdcrv NYC'!$A$6:$A$100,'Imp Refined NYC'!$A142,'Agg prdcrv NYC'!$B$6:$B$100,K$11)</f>
        <v>46.65</v>
      </c>
      <c r="L142" s="62">
        <f>H142*Conv!$J$20/10^6/VLOOKUP($B142,Types!$B$2:$D$13,3,FALSE)/Conv!$I$5</f>
        <v>18.29493208076024</v>
      </c>
      <c r="M142" s="62">
        <f>I142*Conv!$J$20/10^6/VLOOKUP($B142,Types!$B$2:$D$13,3,FALSE)/Conv!$I$5</f>
        <v>15.167098678572664</v>
      </c>
      <c r="N142" s="62" t="e">
        <f>M142*#REF!</f>
        <v>#REF!</v>
      </c>
      <c r="O142" s="62" t="e">
        <f>N142*#REF!</f>
        <v>#REF!</v>
      </c>
      <c r="P142" s="62" t="e">
        <f>O142*#REF!</f>
        <v>#REF!</v>
      </c>
      <c r="Q142" s="62" t="e">
        <f>P142*#REF!</f>
        <v>#REF!</v>
      </c>
      <c r="R142" s="62" t="e">
        <f>Q142*#REF!</f>
        <v>#REF!</v>
      </c>
      <c r="S142" s="62" t="e">
        <f>R142*#REF!</f>
        <v>#REF!</v>
      </c>
      <c r="T142" s="62" t="e">
        <f>S142*#REF!</f>
        <v>#REF!</v>
      </c>
      <c r="U142" s="62" t="e">
        <f>T142*#REF!</f>
        <v>#REF!</v>
      </c>
      <c r="V142" s="62" t="e">
        <f>U142*#REF!</f>
        <v>#REF!</v>
      </c>
      <c r="W142" s="34"/>
      <c r="X142" s="1">
        <f t="array" ref="X142">SUMIFS('Agg prdcrv NYC'!$F$6:$F$100,'Agg prdcrv NYC'!$A$6:$A$100,'Imp Refined NYC'!$A142,'Agg prdcrv NYC'!$B$6:$B$100,X$11)</f>
        <v>999999</v>
      </c>
      <c r="Y142" s="1">
        <f t="array" ref="Y142">SUMIFS('Agg prdcrv NYC'!$F$6:$F$100,'Agg prdcrv NYC'!$A$6:$A$100,'Imp Refined NYC'!$A142,'Agg prdcrv NYC'!$B$6:$B$100,Y$11)</f>
        <v>999999</v>
      </c>
      <c r="Z142" s="1">
        <f t="array" ref="Z142">SUMIFS('Agg prdcrv NYC'!$F$6:$F$100,'Agg prdcrv NYC'!$A$6:$A$100,'Imp Refined NYC'!$A142,'Agg prdcrv NYC'!$B$6:$B$100,Z$11)</f>
        <v>999999</v>
      </c>
      <c r="AA142" s="1">
        <f t="array" ref="AA142">SUMIFS('Agg prdcrv NYC'!$F$6:$F$100,'Agg prdcrv NYC'!$A$6:$A$100,'Imp Refined NYC'!$A142,'Agg prdcrv NYC'!$B$6:$B$100,AA$11)</f>
        <v>999999</v>
      </c>
      <c r="AB142" s="34">
        <f>X142*VLOOKUP($B142,Types!$B$2:$D$13,3,FALSE)*Conv!$I$5*1000*365</f>
        <v>2022904.3234136538</v>
      </c>
      <c r="AC142" s="34">
        <f>Y142*VLOOKUP($B142,Types!$B$2:$D$13,3,FALSE)*Conv!$I$5*1000*365</f>
        <v>2022904.3234136538</v>
      </c>
      <c r="AD142" s="34">
        <f>Z142*VLOOKUP($B142,Types!$B$2:$D$13,3,FALSE)*Conv!$I$5*1000*365</f>
        <v>2022904.3234136538</v>
      </c>
      <c r="AE142" s="34">
        <f>AA142*VLOOKUP($B142,Types!$B$2:$D$13,3,FALSE)*Conv!$I$5*1000*365</f>
        <v>2022904.3234136538</v>
      </c>
      <c r="AF142" s="34">
        <f>AB142-AB144</f>
        <v>202290.43234136514</v>
      </c>
      <c r="AG142" s="34">
        <f t="shared" ref="AG142:AI142" si="343">AC142-AC144</f>
        <v>202290.43234136514</v>
      </c>
      <c r="AH142" s="34">
        <f t="shared" si="343"/>
        <v>202290.43234136514</v>
      </c>
      <c r="AI142" s="34">
        <f t="shared" si="343"/>
        <v>202290.43234136514</v>
      </c>
      <c r="AJ142" s="34"/>
      <c r="AK142" s="34"/>
      <c r="AL142" s="34"/>
    </row>
    <row r="143" spans="1:38">
      <c r="A143" s="1" t="str">
        <f>A142</f>
        <v>Conventional Mogas</v>
      </c>
      <c r="B143" s="1" t="str">
        <f>VLOOKUP($A143,Types!$A$2:$C$13,2,FALSE)</f>
        <v>GSC</v>
      </c>
      <c r="C143" s="1">
        <v>1</v>
      </c>
      <c r="D143" s="1">
        <v>3</v>
      </c>
      <c r="E143" s="1" t="str">
        <f t="shared" si="328"/>
        <v>IMPGSCP31</v>
      </c>
      <c r="F143" s="1" t="str">
        <f>CONCATENATE("Imported ",VLOOKUP($A143,Types!$A$2:$C$13,3,FALSE),", PADD ",D143,", Step ",RIGHT(C143,1))</f>
        <v>Imported Conventional Gasoline, PADD 3, Step 1</v>
      </c>
      <c r="G143" s="1" t="str">
        <f>CONCATENATE(VLOOKUP($A143,Types!$A$2:$C$13,2,FALSE),"P",D143)</f>
        <v>GSCP3</v>
      </c>
      <c r="H143" s="61">
        <f>H142*$C$5</f>
        <v>62.773150000000008</v>
      </c>
      <c r="I143" s="61">
        <f t="shared" ref="I143:K143" si="344">I142*$C$5</f>
        <v>52.040999999999997</v>
      </c>
      <c r="J143" s="61">
        <f t="shared" si="344"/>
        <v>40.916499999999999</v>
      </c>
      <c r="K143" s="61">
        <f t="shared" si="344"/>
        <v>44.317499999999995</v>
      </c>
      <c r="L143" s="62">
        <f>H143*Conv!$J$20/10^6/VLOOKUP($B143,Types!$B$2:$D$13,3,FALSE)/Conv!$I$5</f>
        <v>17.380185476722229</v>
      </c>
      <c r="M143" s="62">
        <f>I143*Conv!$J$20/10^6/VLOOKUP($B143,Types!$B$2:$D$13,3,FALSE)/Conv!$I$5</f>
        <v>14.408743744644029</v>
      </c>
      <c r="N143" s="62" t="e">
        <f>M143*#REF!</f>
        <v>#REF!</v>
      </c>
      <c r="O143" s="62" t="e">
        <f>N143*#REF!</f>
        <v>#REF!</v>
      </c>
      <c r="P143" s="62" t="e">
        <f>O143*#REF!</f>
        <v>#REF!</v>
      </c>
      <c r="Q143" s="62" t="e">
        <f>P143*#REF!</f>
        <v>#REF!</v>
      </c>
      <c r="R143" s="62" t="e">
        <f>Q143*#REF!</f>
        <v>#REF!</v>
      </c>
      <c r="S143" s="62" t="e">
        <f>R143*#REF!</f>
        <v>#REF!</v>
      </c>
      <c r="T143" s="62" t="e">
        <f>S143*#REF!</f>
        <v>#REF!</v>
      </c>
      <c r="U143" s="62" t="e">
        <f>T143*#REF!</f>
        <v>#REF!</v>
      </c>
      <c r="V143" s="62" t="e">
        <f>U143*#REF!</f>
        <v>#REF!</v>
      </c>
      <c r="W143" s="34"/>
      <c r="X143" s="1">
        <f>X142*$E$5</f>
        <v>799999.20000000007</v>
      </c>
      <c r="Y143" s="1">
        <f t="shared" ref="Y143:AA143" si="345">Y142*$E$5</f>
        <v>799999.20000000007</v>
      </c>
      <c r="Z143" s="1">
        <f t="shared" si="345"/>
        <v>799999.20000000007</v>
      </c>
      <c r="AA143" s="1">
        <f t="shared" si="345"/>
        <v>799999.20000000007</v>
      </c>
      <c r="AB143" s="34">
        <f>X143*VLOOKUP($B143,Types!$B$2:$D$13,3,FALSE)*Conv!$I$5*1000*365</f>
        <v>1618323.4587309228</v>
      </c>
      <c r="AC143" s="34">
        <f>Y143*VLOOKUP($B143,Types!$B$2:$D$13,3,FALSE)*Conv!$I$5*1000*365</f>
        <v>1618323.4587309228</v>
      </c>
      <c r="AD143" s="34">
        <f>Z143*VLOOKUP($B143,Types!$B$2:$D$13,3,FALSE)*Conv!$I$5*1000*365</f>
        <v>1618323.4587309228</v>
      </c>
      <c r="AE143" s="34">
        <f>AA143*VLOOKUP($B143,Types!$B$2:$D$13,3,FALSE)*Conv!$I$5*1000*365</f>
        <v>1618323.4587309228</v>
      </c>
      <c r="AF143" s="34">
        <f>AB143</f>
        <v>1618323.4587309228</v>
      </c>
      <c r="AG143" s="34">
        <f t="shared" ref="AG143:AI143" si="346">AC143</f>
        <v>1618323.4587309228</v>
      </c>
      <c r="AH143" s="34">
        <f t="shared" si="346"/>
        <v>1618323.4587309228</v>
      </c>
      <c r="AI143" s="34">
        <f t="shared" si="346"/>
        <v>1618323.4587309228</v>
      </c>
      <c r="AJ143" s="34"/>
      <c r="AK143" s="34"/>
      <c r="AL143" s="34"/>
    </row>
    <row r="144" spans="1:38">
      <c r="A144" s="1" t="str">
        <f t="shared" ref="A144:A146" si="347">A143</f>
        <v>Conventional Mogas</v>
      </c>
      <c r="B144" s="1" t="str">
        <f>VLOOKUP($A144,Types!$A$2:$C$13,2,FALSE)</f>
        <v>GSC</v>
      </c>
      <c r="C144" s="1">
        <v>2</v>
      </c>
      <c r="D144" s="1">
        <v>3</v>
      </c>
      <c r="E144" s="1" t="str">
        <f t="shared" si="328"/>
        <v>IMPGSCP32</v>
      </c>
      <c r="F144" s="1" t="str">
        <f>CONCATENATE("Imported ",VLOOKUP($A144,Types!$A$2:$C$13,3,FALSE),", PADD ",D144,", Step ",RIGHT(C144,1))</f>
        <v>Imported Conventional Gasoline, PADD 3, Step 2</v>
      </c>
      <c r="G144" s="1" t="str">
        <f>CONCATENATE(VLOOKUP($A144,Types!$A$2:$C$13,2,FALSE),"P",D144)</f>
        <v>GSCP3</v>
      </c>
      <c r="H144" s="61">
        <f>H142*$C$6</f>
        <v>64.755460000000014</v>
      </c>
      <c r="I144" s="61">
        <f t="shared" ref="I144:K144" si="348">I142*$C$6</f>
        <v>53.684400000000004</v>
      </c>
      <c r="J144" s="61">
        <f t="shared" si="348"/>
        <v>42.208599999999997</v>
      </c>
      <c r="K144" s="61">
        <f t="shared" si="348"/>
        <v>45.716999999999999</v>
      </c>
      <c r="L144" s="62">
        <f>H144*Conv!$J$20/10^6/VLOOKUP($B144,Types!$B$2:$D$13,3,FALSE)/Conv!$I$5</f>
        <v>17.929033439145037</v>
      </c>
      <c r="M144" s="62">
        <f>I144*Conv!$J$20/10^6/VLOOKUP($B144,Types!$B$2:$D$13,3,FALSE)/Conv!$I$5</f>
        <v>14.863756705001212</v>
      </c>
      <c r="N144" s="62" t="e">
        <f>M144*#REF!</f>
        <v>#REF!</v>
      </c>
      <c r="O144" s="62" t="e">
        <f>N144*#REF!</f>
        <v>#REF!</v>
      </c>
      <c r="P144" s="62" t="e">
        <f>O144*#REF!</f>
        <v>#REF!</v>
      </c>
      <c r="Q144" s="62" t="e">
        <f>P144*#REF!</f>
        <v>#REF!</v>
      </c>
      <c r="R144" s="62" t="e">
        <f>Q144*#REF!</f>
        <v>#REF!</v>
      </c>
      <c r="S144" s="62" t="e">
        <f>R144*#REF!</f>
        <v>#REF!</v>
      </c>
      <c r="T144" s="62" t="e">
        <f>S144*#REF!</f>
        <v>#REF!</v>
      </c>
      <c r="U144" s="62" t="e">
        <f>T144*#REF!</f>
        <v>#REF!</v>
      </c>
      <c r="V144" s="62" t="e">
        <f>U144*#REF!</f>
        <v>#REF!</v>
      </c>
      <c r="W144" s="34"/>
      <c r="X144" s="1">
        <f>X142*$E$6</f>
        <v>899999.1</v>
      </c>
      <c r="Y144" s="1">
        <f t="shared" ref="Y144:AA144" si="349">Y142*$E$6</f>
        <v>899999.1</v>
      </c>
      <c r="Z144" s="1">
        <f t="shared" si="349"/>
        <v>899999.1</v>
      </c>
      <c r="AA144" s="1">
        <f t="shared" si="349"/>
        <v>899999.1</v>
      </c>
      <c r="AB144" s="34">
        <f>X144*VLOOKUP($B144,Types!$B$2:$D$13,3,FALSE)*Conv!$I$5*1000*365</f>
        <v>1820613.8910722886</v>
      </c>
      <c r="AC144" s="34">
        <f>Y144*VLOOKUP($B144,Types!$B$2:$D$13,3,FALSE)*Conv!$I$5*1000*365</f>
        <v>1820613.8910722886</v>
      </c>
      <c r="AD144" s="34">
        <f>Z144*VLOOKUP($B144,Types!$B$2:$D$13,3,FALSE)*Conv!$I$5*1000*365</f>
        <v>1820613.8910722886</v>
      </c>
      <c r="AE144" s="34">
        <f>AA144*VLOOKUP($B144,Types!$B$2:$D$13,3,FALSE)*Conv!$I$5*1000*365</f>
        <v>1820613.8910722886</v>
      </c>
      <c r="AF144" s="34">
        <f>AB144-AF143</f>
        <v>202290.43234136584</v>
      </c>
      <c r="AG144" s="34">
        <f t="shared" ref="AG144:AI144" si="350">AC144-AG143</f>
        <v>202290.43234136584</v>
      </c>
      <c r="AH144" s="34">
        <f t="shared" si="350"/>
        <v>202290.43234136584</v>
      </c>
      <c r="AI144" s="34">
        <f t="shared" si="350"/>
        <v>202290.43234136584</v>
      </c>
      <c r="AJ144" s="34"/>
      <c r="AK144" s="34"/>
      <c r="AL144" s="34"/>
    </row>
    <row r="145" spans="1:38">
      <c r="A145" s="1" t="str">
        <f t="shared" si="347"/>
        <v>Conventional Mogas</v>
      </c>
      <c r="B145" s="1" t="str">
        <f>VLOOKUP($A145,Types!$A$2:$C$13,2,FALSE)</f>
        <v>GSC</v>
      </c>
      <c r="C145" s="1">
        <v>4</v>
      </c>
      <c r="D145" s="1">
        <v>3</v>
      </c>
      <c r="E145" s="1" t="str">
        <f t="shared" si="328"/>
        <v>IMPGSCP34</v>
      </c>
      <c r="F145" s="1" t="str">
        <f>CONCATENATE("Imported ",VLOOKUP($A145,Types!$A$2:$C$13,3,FALSE),", PADD ",D145,", Step ",RIGHT(C145,1))</f>
        <v>Imported Conventional Gasoline, PADD 3, Step 4</v>
      </c>
      <c r="G145" s="1" t="str">
        <f>CONCATENATE(VLOOKUP($A145,Types!$A$2:$C$13,2,FALSE),"P",D145)</f>
        <v>GSCP3</v>
      </c>
      <c r="H145" s="61">
        <f>H142*$C$8</f>
        <v>72.023930000000021</v>
      </c>
      <c r="I145" s="61">
        <f t="shared" ref="I145:K145" si="351">I142*$C$8</f>
        <v>59.710200000000007</v>
      </c>
      <c r="J145" s="61">
        <f t="shared" si="351"/>
        <v>46.946300000000001</v>
      </c>
      <c r="K145" s="61">
        <f t="shared" si="351"/>
        <v>50.848500000000001</v>
      </c>
      <c r="L145" s="62">
        <f>H145*Conv!$J$20/10^6/VLOOKUP($B145,Types!$B$2:$D$13,3,FALSE)/Conv!$I$5</f>
        <v>19.941475968028669</v>
      </c>
      <c r="M145" s="62">
        <f>I145*Conv!$J$20/10^6/VLOOKUP($B145,Types!$B$2:$D$13,3,FALSE)/Conv!$I$5</f>
        <v>16.532137559644205</v>
      </c>
      <c r="N145" s="62" t="e">
        <f>M145*#REF!</f>
        <v>#REF!</v>
      </c>
      <c r="O145" s="62" t="e">
        <f>N145*#REF!</f>
        <v>#REF!</v>
      </c>
      <c r="P145" s="62" t="e">
        <f>O145*#REF!</f>
        <v>#REF!</v>
      </c>
      <c r="Q145" s="62" t="e">
        <f>P145*#REF!</f>
        <v>#REF!</v>
      </c>
      <c r="R145" s="62" t="e">
        <f>Q145*#REF!</f>
        <v>#REF!</v>
      </c>
      <c r="S145" s="62" t="e">
        <f>R145*#REF!</f>
        <v>#REF!</v>
      </c>
      <c r="T145" s="62" t="e">
        <f>S145*#REF!</f>
        <v>#REF!</v>
      </c>
      <c r="U145" s="62" t="e">
        <f>T145*#REF!</f>
        <v>#REF!</v>
      </c>
      <c r="V145" s="62" t="e">
        <f>U145*#REF!</f>
        <v>#REF!</v>
      </c>
      <c r="W145" s="34"/>
      <c r="X145" s="1">
        <f>X142*$E$8</f>
        <v>1199998.8</v>
      </c>
      <c r="Y145" s="1">
        <f t="shared" ref="Y145:AA145" si="352">Y142*$E$8</f>
        <v>1199998.8</v>
      </c>
      <c r="Z145" s="1">
        <f t="shared" si="352"/>
        <v>1199998.8</v>
      </c>
      <c r="AA145" s="1">
        <f t="shared" si="352"/>
        <v>1199998.8</v>
      </c>
      <c r="AB145" s="34">
        <f>X145*VLOOKUP($B145,Types!$B$2:$D$13,3,FALSE)*Conv!$I$5*1000*365</f>
        <v>2427485.1880963845</v>
      </c>
      <c r="AC145" s="34">
        <f>Y145*VLOOKUP($B145,Types!$B$2:$D$13,3,FALSE)*Conv!$I$5*1000*365</f>
        <v>2427485.1880963845</v>
      </c>
      <c r="AD145" s="34">
        <f>Z145*VLOOKUP($B145,Types!$B$2:$D$13,3,FALSE)*Conv!$I$5*1000*365</f>
        <v>2427485.1880963845</v>
      </c>
      <c r="AE145" s="34">
        <f>AA145*VLOOKUP($B145,Types!$B$2:$D$13,3,FALSE)*Conv!$I$5*1000*365</f>
        <v>2427485.1880963845</v>
      </c>
      <c r="AF145" s="34">
        <f>AB145-AB142</f>
        <v>404580.86468273075</v>
      </c>
      <c r="AG145" s="34">
        <f t="shared" ref="AG145:AI145" si="353">AC145-AC142</f>
        <v>404580.86468273075</v>
      </c>
      <c r="AH145" s="34">
        <f t="shared" si="353"/>
        <v>404580.86468273075</v>
      </c>
      <c r="AI145" s="34">
        <f t="shared" si="353"/>
        <v>404580.86468273075</v>
      </c>
      <c r="AJ145" s="34"/>
      <c r="AK145" s="34"/>
      <c r="AL145" s="34"/>
    </row>
    <row r="146" spans="1:38">
      <c r="A146" s="1" t="str">
        <f t="shared" si="347"/>
        <v>Conventional Mogas</v>
      </c>
      <c r="B146" s="1" t="str">
        <f>VLOOKUP($A146,Types!$A$2:$C$13,2,FALSE)</f>
        <v>GSC</v>
      </c>
      <c r="C146" s="1">
        <v>5</v>
      </c>
      <c r="D146" s="1">
        <v>3</v>
      </c>
      <c r="E146" s="1" t="str">
        <f t="shared" si="328"/>
        <v>IMPGSCP35</v>
      </c>
      <c r="F146" s="1" t="str">
        <f>CONCATENATE("Imported ",VLOOKUP($A146,Types!$A$2:$C$13,3,FALSE),", PADD ",D146,", Step ",RIGHT(C146,1))</f>
        <v>Imported Conventional Gasoline, PADD 3, Step 5</v>
      </c>
      <c r="G146" s="1" t="str">
        <f>CONCATENATE(VLOOKUP($A146,Types!$A$2:$C$13,2,FALSE),"P",D146)</f>
        <v>GSCP3</v>
      </c>
      <c r="H146" s="61">
        <f>H142*$C$9</f>
        <v>85.900100000000023</v>
      </c>
      <c r="I146" s="61">
        <f t="shared" ref="I146:K146" si="354">I142*$C$9</f>
        <v>71.213999999999999</v>
      </c>
      <c r="J146" s="61">
        <f t="shared" si="354"/>
        <v>55.991</v>
      </c>
      <c r="K146" s="61">
        <f t="shared" si="354"/>
        <v>60.645000000000003</v>
      </c>
      <c r="L146" s="62">
        <f>H146*Conv!$J$20/10^6/VLOOKUP($B146,Types!$B$2:$D$13,3,FALSE)/Conv!$I$5</f>
        <v>23.78341170498831</v>
      </c>
      <c r="M146" s="62">
        <f>I146*Conv!$J$20/10^6/VLOOKUP($B146,Types!$B$2:$D$13,3,FALSE)/Conv!$I$5</f>
        <v>19.717228282144461</v>
      </c>
      <c r="N146" s="62" t="e">
        <f>M146*#REF!</f>
        <v>#REF!</v>
      </c>
      <c r="O146" s="62" t="e">
        <f>N146*#REF!</f>
        <v>#REF!</v>
      </c>
      <c r="P146" s="62" t="e">
        <f>O146*#REF!</f>
        <v>#REF!</v>
      </c>
      <c r="Q146" s="62" t="e">
        <f>P146*#REF!</f>
        <v>#REF!</v>
      </c>
      <c r="R146" s="62" t="e">
        <f>Q146*#REF!</f>
        <v>#REF!</v>
      </c>
      <c r="S146" s="62" t="e">
        <f>R146*#REF!</f>
        <v>#REF!</v>
      </c>
      <c r="T146" s="62" t="e">
        <f>S146*#REF!</f>
        <v>#REF!</v>
      </c>
      <c r="U146" s="62" t="e">
        <f>T146*#REF!</f>
        <v>#REF!</v>
      </c>
      <c r="V146" s="62" t="e">
        <f>U146*#REF!</f>
        <v>#REF!</v>
      </c>
      <c r="W146" s="34"/>
      <c r="X146" s="1">
        <f>X142*$E$9</f>
        <v>1999998</v>
      </c>
      <c r="Y146" s="1">
        <f t="shared" ref="Y146:AA146" si="355">Y142*$E$9</f>
        <v>1999998</v>
      </c>
      <c r="Z146" s="1">
        <f t="shared" si="355"/>
        <v>1999998</v>
      </c>
      <c r="AA146" s="1">
        <f t="shared" si="355"/>
        <v>1999998</v>
      </c>
      <c r="AB146" s="34">
        <f>X146*VLOOKUP($B146,Types!$B$2:$D$13,3,FALSE)*Conv!$I$5*1000*365</f>
        <v>4045808.6468273075</v>
      </c>
      <c r="AC146" s="34">
        <f>Y146*VLOOKUP($B146,Types!$B$2:$D$13,3,FALSE)*Conv!$I$5*1000*365</f>
        <v>4045808.6468273075</v>
      </c>
      <c r="AD146" s="34">
        <f>Z146*VLOOKUP($B146,Types!$B$2:$D$13,3,FALSE)*Conv!$I$5*1000*365</f>
        <v>4045808.6468273075</v>
      </c>
      <c r="AE146" s="34">
        <f>AA146*VLOOKUP($B146,Types!$B$2:$D$13,3,FALSE)*Conv!$I$5*1000*365</f>
        <v>4045808.6468273075</v>
      </c>
      <c r="AF146" s="34">
        <f>AB146-AB145</f>
        <v>1618323.458730923</v>
      </c>
      <c r="AG146" s="34">
        <f t="shared" ref="AG146:AI146" si="356">AC146-AC145</f>
        <v>1618323.458730923</v>
      </c>
      <c r="AH146" s="34">
        <f t="shared" si="356"/>
        <v>1618323.458730923</v>
      </c>
      <c r="AI146" s="34">
        <f t="shared" si="356"/>
        <v>1618323.458730923</v>
      </c>
      <c r="AJ146" s="34"/>
      <c r="AK146" s="34"/>
      <c r="AL146" s="34"/>
    </row>
    <row r="147" spans="1:38">
      <c r="A147" s="1" t="str">
        <f>'Agg prdcrv'!$A$8</f>
        <v>Heating No. 2</v>
      </c>
      <c r="B147" s="1" t="str">
        <f>VLOOKUP($A147,Types!$A$2:$C$13,2,FALSE)</f>
        <v>DSH</v>
      </c>
      <c r="C147" s="1">
        <v>3</v>
      </c>
      <c r="D147" s="1">
        <v>3</v>
      </c>
      <c r="E147" s="1" t="str">
        <f t="shared" si="328"/>
        <v>IMPDSHP33</v>
      </c>
      <c r="F147" s="1" t="str">
        <f>CONCATENATE("Imported ",VLOOKUP($A147,Types!$A$2:$C$13,3,FALSE),", PADD ",D147,", Step ",RIGHT(C147,1))</f>
        <v>Imported Distillate-Heating Oil No. 2, PADD 3, Step 3</v>
      </c>
      <c r="G147" s="1" t="str">
        <f>CONCATENATE(VLOOKUP($A147,Types!$A$2:$C$13,2,FALSE),"P",D147)</f>
        <v>DSHP3</v>
      </c>
      <c r="H147" s="61">
        <f>SUMIFS('Agg prdcrv NYC'!$N$6:$N$100,'Agg prdcrv NYC'!$A$6:$A$100,'Imp Refined NYC'!$A147,'Agg prdcrv NYC'!$B$6:$B$100,H$11)*K4</f>
        <v>56.231999999999999</v>
      </c>
      <c r="I147" s="61">
        <f>SUMIFS('Agg prdcrv NYC'!$N$6:$N$100,'Agg prdcrv NYC'!$A$6:$A$100,'Imp Refined NYC'!$A147,'Agg prdcrv NYC'!$B$6:$B$100,I$11)*K4</f>
        <v>53.537000000000006</v>
      </c>
      <c r="J147" s="61">
        <f t="array" ref="J147">SUMIFS('Agg prdcrv NYC'!$N$6:$N$100,'Agg prdcrv NYC'!$A$6:$A$100,'Imp Refined NYC'!$A147,'Agg prdcrv NYC'!$B$6:$B$100,J$11)</f>
        <v>37.409999999999997</v>
      </c>
      <c r="K147" s="61">
        <f t="array" ref="K147">SUMIFS('Agg prdcrv NYC'!$N$6:$N$100,'Agg prdcrv NYC'!$A$6:$A$100,'Imp Refined NYC'!$A147,'Agg prdcrv NYC'!$B$6:$B$100,K$11)</f>
        <v>41.05</v>
      </c>
      <c r="L147" s="62">
        <f>H147*Conv!$J$20/10^6/VLOOKUP($B147,Types!$B$2:$D$13,3,FALSE)/Conv!$I$5</f>
        <v>14.040270850297935</v>
      </c>
      <c r="M147" s="62">
        <f>I147*Conv!$J$20/10^6/VLOOKUP($B147,Types!$B$2:$D$13,3,FALSE)/Conv!$I$5</f>
        <v>13.367370545461673</v>
      </c>
      <c r="N147" s="62" t="e">
        <f>M147*#REF!</f>
        <v>#REF!</v>
      </c>
      <c r="O147" s="62" t="e">
        <f>N147*#REF!</f>
        <v>#REF!</v>
      </c>
      <c r="P147" s="62" t="e">
        <f>O147*#REF!</f>
        <v>#REF!</v>
      </c>
      <c r="Q147" s="62" t="e">
        <f>P147*#REF!</f>
        <v>#REF!</v>
      </c>
      <c r="R147" s="62" t="e">
        <f>Q147*#REF!</f>
        <v>#REF!</v>
      </c>
      <c r="S147" s="62" t="e">
        <f>R147*#REF!</f>
        <v>#REF!</v>
      </c>
      <c r="T147" s="62" t="e">
        <f>S147*#REF!</f>
        <v>#REF!</v>
      </c>
      <c r="U147" s="62" t="e">
        <f>T147*#REF!</f>
        <v>#REF!</v>
      </c>
      <c r="V147" s="62" t="e">
        <f>U147*#REF!</f>
        <v>#REF!</v>
      </c>
      <c r="W147" s="34"/>
      <c r="X147" s="1">
        <f t="array" ref="X147">SUMIFS('Agg prdcrv NYC'!$F$6:$F$100,'Agg prdcrv NYC'!$A$6:$A$100,'Imp Refined NYC'!$A147,'Agg prdcrv NYC'!$B$6:$B$100,X$11)</f>
        <v>999999</v>
      </c>
      <c r="Y147" s="1">
        <f t="array" ref="Y147">SUMIFS('Agg prdcrv NYC'!$F$6:$F$100,'Agg prdcrv NYC'!$A$6:$A$100,'Imp Refined NYC'!$A147,'Agg prdcrv NYC'!$B$6:$B$100,Y$11)</f>
        <v>999999</v>
      </c>
      <c r="Z147" s="1">
        <f t="array" ref="Z147">SUMIFS('Agg prdcrv NYC'!$F$6:$F$100,'Agg prdcrv NYC'!$A$6:$A$100,'Imp Refined NYC'!$A147,'Agg prdcrv NYC'!$B$6:$B$100,Z$11)</f>
        <v>999999</v>
      </c>
      <c r="AA147" s="1">
        <f t="array" ref="AA147">SUMIFS('Agg prdcrv NYC'!$F$6:$F$100,'Agg prdcrv NYC'!$A$6:$A$100,'Imp Refined NYC'!$A147,'Agg prdcrv NYC'!$B$6:$B$100,AA$11)</f>
        <v>999999</v>
      </c>
      <c r="AB147" s="34">
        <f>X147*VLOOKUP($B147,Types!$B$2:$D$13,3,FALSE)*Conv!$I$5*1000*365</f>
        <v>2243178.6948190616</v>
      </c>
      <c r="AC147" s="34">
        <f>Y147*VLOOKUP($B147,Types!$B$2:$D$13,3,FALSE)*Conv!$I$5*1000*365</f>
        <v>2243178.6948190616</v>
      </c>
      <c r="AD147" s="34">
        <f>Z147*VLOOKUP($B147,Types!$B$2:$D$13,3,FALSE)*Conv!$I$5*1000*365</f>
        <v>2243178.6948190616</v>
      </c>
      <c r="AE147" s="34">
        <f>AA147*VLOOKUP($B147,Types!$B$2:$D$13,3,FALSE)*Conv!$I$5*1000*365</f>
        <v>2243178.6948190616</v>
      </c>
      <c r="AF147" s="34">
        <f>AB147-AB149</f>
        <v>224317.86948190606</v>
      </c>
      <c r="AG147" s="34">
        <f t="shared" ref="AG147:AI147" si="357">AC147-AC149</f>
        <v>224317.86948190606</v>
      </c>
      <c r="AH147" s="34">
        <f t="shared" si="357"/>
        <v>224317.86948190606</v>
      </c>
      <c r="AI147" s="34">
        <f t="shared" si="357"/>
        <v>224317.86948190606</v>
      </c>
      <c r="AJ147" s="34"/>
      <c r="AK147" s="34"/>
      <c r="AL147" s="34"/>
    </row>
    <row r="148" spans="1:38">
      <c r="A148" s="1" t="str">
        <f>A147</f>
        <v>Heating No. 2</v>
      </c>
      <c r="B148" s="1" t="str">
        <f>VLOOKUP($A148,Types!$A$2:$C$13,2,FALSE)</f>
        <v>DSH</v>
      </c>
      <c r="C148" s="1">
        <v>1</v>
      </c>
      <c r="D148" s="1">
        <v>3</v>
      </c>
      <c r="E148" s="1" t="str">
        <f t="shared" si="328"/>
        <v>IMPDSHP31</v>
      </c>
      <c r="F148" s="1" t="str">
        <f>CONCATENATE("Imported ",VLOOKUP($A148,Types!$A$2:$C$13,3,FALSE),", PADD ",D148,", Step ",RIGHT(C148,1))</f>
        <v>Imported Distillate-Heating Oil No. 2, PADD 3, Step 1</v>
      </c>
      <c r="G148" s="1" t="str">
        <f>CONCATENATE(VLOOKUP($A148,Types!$A$2:$C$13,2,FALSE),"P",D148)</f>
        <v>DSHP3</v>
      </c>
      <c r="H148" s="61">
        <f>H147*$C$5</f>
        <v>53.420399999999994</v>
      </c>
      <c r="I148" s="61">
        <f t="shared" ref="I148:K148" si="358">I147*$C$5</f>
        <v>50.860150000000004</v>
      </c>
      <c r="J148" s="61">
        <f t="shared" si="358"/>
        <v>35.539499999999997</v>
      </c>
      <c r="K148" s="61">
        <f t="shared" si="358"/>
        <v>38.997499999999995</v>
      </c>
      <c r="L148" s="62">
        <f>H148*Conv!$J$20/10^6/VLOOKUP($B148,Types!$B$2:$D$13,3,FALSE)/Conv!$I$5</f>
        <v>13.338257307783039</v>
      </c>
      <c r="M148" s="62">
        <f>I148*Conv!$J$20/10^6/VLOOKUP($B148,Types!$B$2:$D$13,3,FALSE)/Conv!$I$5</f>
        <v>12.699002018188589</v>
      </c>
      <c r="N148" s="62" t="e">
        <f>M148*#REF!</f>
        <v>#REF!</v>
      </c>
      <c r="O148" s="62" t="e">
        <f>N148*#REF!</f>
        <v>#REF!</v>
      </c>
      <c r="P148" s="62" t="e">
        <f>O148*#REF!</f>
        <v>#REF!</v>
      </c>
      <c r="Q148" s="62" t="e">
        <f>P148*#REF!</f>
        <v>#REF!</v>
      </c>
      <c r="R148" s="62" t="e">
        <f>Q148*#REF!</f>
        <v>#REF!</v>
      </c>
      <c r="S148" s="62" t="e">
        <f>R148*#REF!</f>
        <v>#REF!</v>
      </c>
      <c r="T148" s="62" t="e">
        <f>S148*#REF!</f>
        <v>#REF!</v>
      </c>
      <c r="U148" s="62" t="e">
        <f>T148*#REF!</f>
        <v>#REF!</v>
      </c>
      <c r="V148" s="62" t="e">
        <f>U148*#REF!</f>
        <v>#REF!</v>
      </c>
      <c r="W148" s="34"/>
      <c r="X148" s="1">
        <f>X147*$E$5</f>
        <v>799999.20000000007</v>
      </c>
      <c r="Y148" s="1">
        <f t="shared" ref="Y148:AA148" si="359">Y147*$E$5</f>
        <v>799999.20000000007</v>
      </c>
      <c r="Z148" s="1">
        <f t="shared" si="359"/>
        <v>799999.20000000007</v>
      </c>
      <c r="AA148" s="1">
        <f t="shared" si="359"/>
        <v>799999.20000000007</v>
      </c>
      <c r="AB148" s="34">
        <f>X148*VLOOKUP($B148,Types!$B$2:$D$13,3,FALSE)*Conv!$I$5*1000*365</f>
        <v>1794542.9558552499</v>
      </c>
      <c r="AC148" s="34">
        <f>Y148*VLOOKUP($B148,Types!$B$2:$D$13,3,FALSE)*Conv!$I$5*1000*365</f>
        <v>1794542.9558552499</v>
      </c>
      <c r="AD148" s="34">
        <f>Z148*VLOOKUP($B148,Types!$B$2:$D$13,3,FALSE)*Conv!$I$5*1000*365</f>
        <v>1794542.9558552499</v>
      </c>
      <c r="AE148" s="34">
        <f>AA148*VLOOKUP($B148,Types!$B$2:$D$13,3,FALSE)*Conv!$I$5*1000*365</f>
        <v>1794542.9558552499</v>
      </c>
      <c r="AF148" s="34">
        <f>AB148</f>
        <v>1794542.9558552499</v>
      </c>
      <c r="AG148" s="34">
        <f t="shared" ref="AG148:AI148" si="360">AC148</f>
        <v>1794542.9558552499</v>
      </c>
      <c r="AH148" s="34">
        <f t="shared" si="360"/>
        <v>1794542.9558552499</v>
      </c>
      <c r="AI148" s="34">
        <f t="shared" si="360"/>
        <v>1794542.9558552499</v>
      </c>
      <c r="AJ148" s="34"/>
      <c r="AK148" s="34"/>
      <c r="AL148" s="34"/>
    </row>
    <row r="149" spans="1:38">
      <c r="A149" s="1" t="str">
        <f t="shared" ref="A149:A151" si="361">A148</f>
        <v>Heating No. 2</v>
      </c>
      <c r="B149" s="1" t="str">
        <f>VLOOKUP($A149,Types!$A$2:$C$13,2,FALSE)</f>
        <v>DSH</v>
      </c>
      <c r="C149" s="1">
        <v>2</v>
      </c>
      <c r="D149" s="1">
        <v>3</v>
      </c>
      <c r="E149" s="1" t="str">
        <f t="shared" si="328"/>
        <v>IMPDSHP32</v>
      </c>
      <c r="F149" s="1" t="str">
        <f>CONCATENATE("Imported ",VLOOKUP($A149,Types!$A$2:$C$13,3,FALSE),", PADD ",D149,", Step ",RIGHT(C149,1))</f>
        <v>Imported Distillate-Heating Oil No. 2, PADD 3, Step 2</v>
      </c>
      <c r="G149" s="1" t="str">
        <f>CONCATENATE(VLOOKUP($A149,Types!$A$2:$C$13,2,FALSE),"P",D149)</f>
        <v>DSHP3</v>
      </c>
      <c r="H149" s="61">
        <f>H147*$C$6</f>
        <v>55.10736</v>
      </c>
      <c r="I149" s="61">
        <f t="shared" ref="I149:K149" si="362">I147*$C$6</f>
        <v>52.466260000000005</v>
      </c>
      <c r="J149" s="61">
        <f t="shared" si="362"/>
        <v>36.661799999999999</v>
      </c>
      <c r="K149" s="61">
        <f t="shared" si="362"/>
        <v>40.228999999999999</v>
      </c>
      <c r="L149" s="62">
        <f>H149*Conv!$J$20/10^6/VLOOKUP($B149,Types!$B$2:$D$13,3,FALSE)/Conv!$I$5</f>
        <v>13.759465433291979</v>
      </c>
      <c r="M149" s="62">
        <f>I149*Conv!$J$20/10^6/VLOOKUP($B149,Types!$B$2:$D$13,3,FALSE)/Conv!$I$5</f>
        <v>13.100023134552437</v>
      </c>
      <c r="N149" s="62" t="e">
        <f>M149*#REF!</f>
        <v>#REF!</v>
      </c>
      <c r="O149" s="62" t="e">
        <f>N149*#REF!</f>
        <v>#REF!</v>
      </c>
      <c r="P149" s="62" t="e">
        <f>O149*#REF!</f>
        <v>#REF!</v>
      </c>
      <c r="Q149" s="62" t="e">
        <f>P149*#REF!</f>
        <v>#REF!</v>
      </c>
      <c r="R149" s="62" t="e">
        <f>Q149*#REF!</f>
        <v>#REF!</v>
      </c>
      <c r="S149" s="62" t="e">
        <f>R149*#REF!</f>
        <v>#REF!</v>
      </c>
      <c r="T149" s="62" t="e">
        <f>S149*#REF!</f>
        <v>#REF!</v>
      </c>
      <c r="U149" s="62" t="e">
        <f>T149*#REF!</f>
        <v>#REF!</v>
      </c>
      <c r="V149" s="62" t="e">
        <f>U149*#REF!</f>
        <v>#REF!</v>
      </c>
      <c r="W149" s="34"/>
      <c r="X149" s="1">
        <f>X147*$E$6</f>
        <v>899999.1</v>
      </c>
      <c r="Y149" s="1">
        <f t="shared" ref="Y149:AA149" si="363">Y147*$E$6</f>
        <v>899999.1</v>
      </c>
      <c r="Z149" s="1">
        <f t="shared" si="363"/>
        <v>899999.1</v>
      </c>
      <c r="AA149" s="1">
        <f t="shared" si="363"/>
        <v>899999.1</v>
      </c>
      <c r="AB149" s="34">
        <f>X149*VLOOKUP($B149,Types!$B$2:$D$13,3,FALSE)*Conv!$I$5*1000*365</f>
        <v>2018860.8253371555</v>
      </c>
      <c r="AC149" s="34">
        <f>Y149*VLOOKUP($B149,Types!$B$2:$D$13,3,FALSE)*Conv!$I$5*1000*365</f>
        <v>2018860.8253371555</v>
      </c>
      <c r="AD149" s="34">
        <f>Z149*VLOOKUP($B149,Types!$B$2:$D$13,3,FALSE)*Conv!$I$5*1000*365</f>
        <v>2018860.8253371555</v>
      </c>
      <c r="AE149" s="34">
        <f>AA149*VLOOKUP($B149,Types!$B$2:$D$13,3,FALSE)*Conv!$I$5*1000*365</f>
        <v>2018860.8253371555</v>
      </c>
      <c r="AF149" s="34">
        <f>AB149-AF148</f>
        <v>224317.8694819056</v>
      </c>
      <c r="AG149" s="34">
        <f t="shared" ref="AG149:AI149" si="364">AC149-AG148</f>
        <v>224317.8694819056</v>
      </c>
      <c r="AH149" s="34">
        <f t="shared" si="364"/>
        <v>224317.8694819056</v>
      </c>
      <c r="AI149" s="34">
        <f t="shared" si="364"/>
        <v>224317.8694819056</v>
      </c>
      <c r="AJ149" s="34"/>
      <c r="AK149" s="34"/>
      <c r="AL149" s="34"/>
    </row>
    <row r="150" spans="1:38">
      <c r="A150" s="1" t="str">
        <f t="shared" si="361"/>
        <v>Heating No. 2</v>
      </c>
      <c r="B150" s="1" t="str">
        <f>VLOOKUP($A150,Types!$A$2:$C$13,2,FALSE)</f>
        <v>DSH</v>
      </c>
      <c r="C150" s="1">
        <v>4</v>
      </c>
      <c r="D150" s="1">
        <v>3</v>
      </c>
      <c r="E150" s="1" t="str">
        <f t="shared" si="328"/>
        <v>IMPDSHP34</v>
      </c>
      <c r="F150" s="1" t="str">
        <f>CONCATENATE("Imported ",VLOOKUP($A150,Types!$A$2:$C$13,3,FALSE),", PADD ",D150,", Step ",RIGHT(C150,1))</f>
        <v>Imported Distillate-Heating Oil No. 2, PADD 3, Step 4</v>
      </c>
      <c r="G150" s="1" t="str">
        <f>CONCATENATE(VLOOKUP($A150,Types!$A$2:$C$13,2,FALSE),"P",D150)</f>
        <v>DSHP3</v>
      </c>
      <c r="H150" s="61">
        <f>H147*$C$8</f>
        <v>61.292880000000004</v>
      </c>
      <c r="I150" s="61">
        <f t="shared" ref="I150:K150" si="365">I147*$C$8</f>
        <v>58.355330000000009</v>
      </c>
      <c r="J150" s="61">
        <f t="shared" si="365"/>
        <v>40.776899999999998</v>
      </c>
      <c r="K150" s="61">
        <f t="shared" si="365"/>
        <v>44.744500000000002</v>
      </c>
      <c r="L150" s="62">
        <f>H150*Conv!$J$20/10^6/VLOOKUP($B150,Types!$B$2:$D$13,3,FALSE)/Conv!$I$5</f>
        <v>15.303895226824753</v>
      </c>
      <c r="M150" s="62">
        <f>I150*Conv!$J$20/10^6/VLOOKUP($B150,Types!$B$2:$D$13,3,FALSE)/Conv!$I$5</f>
        <v>14.570433894553224</v>
      </c>
      <c r="N150" s="62" t="e">
        <f>M150*#REF!</f>
        <v>#REF!</v>
      </c>
      <c r="O150" s="62" t="e">
        <f>N150*#REF!</f>
        <v>#REF!</v>
      </c>
      <c r="P150" s="62" t="e">
        <f>O150*#REF!</f>
        <v>#REF!</v>
      </c>
      <c r="Q150" s="62" t="e">
        <f>P150*#REF!</f>
        <v>#REF!</v>
      </c>
      <c r="R150" s="62" t="e">
        <f>Q150*#REF!</f>
        <v>#REF!</v>
      </c>
      <c r="S150" s="62" t="e">
        <f>R150*#REF!</f>
        <v>#REF!</v>
      </c>
      <c r="T150" s="62" t="e">
        <f>S150*#REF!</f>
        <v>#REF!</v>
      </c>
      <c r="U150" s="62" t="e">
        <f>T150*#REF!</f>
        <v>#REF!</v>
      </c>
      <c r="V150" s="62" t="e">
        <f>U150*#REF!</f>
        <v>#REF!</v>
      </c>
      <c r="W150" s="34"/>
      <c r="X150" s="1">
        <f>X147*$E$8</f>
        <v>1199998.8</v>
      </c>
      <c r="Y150" s="1">
        <f t="shared" ref="Y150:AA150" si="366">Y147*$E$8</f>
        <v>1199998.8</v>
      </c>
      <c r="Z150" s="1">
        <f t="shared" si="366"/>
        <v>1199998.8</v>
      </c>
      <c r="AA150" s="1">
        <f t="shared" si="366"/>
        <v>1199998.8</v>
      </c>
      <c r="AB150" s="34">
        <f>X150*VLOOKUP($B150,Types!$B$2:$D$13,3,FALSE)*Conv!$I$5*1000*365</f>
        <v>2691814.4337828746</v>
      </c>
      <c r="AC150" s="34">
        <f>Y150*VLOOKUP($B150,Types!$B$2:$D$13,3,FALSE)*Conv!$I$5*1000*365</f>
        <v>2691814.4337828746</v>
      </c>
      <c r="AD150" s="34">
        <f>Z150*VLOOKUP($B150,Types!$B$2:$D$13,3,FALSE)*Conv!$I$5*1000*365</f>
        <v>2691814.4337828746</v>
      </c>
      <c r="AE150" s="34">
        <f>AA150*VLOOKUP($B150,Types!$B$2:$D$13,3,FALSE)*Conv!$I$5*1000*365</f>
        <v>2691814.4337828746</v>
      </c>
      <c r="AF150" s="34">
        <f>AB150-AB147</f>
        <v>448635.73896381306</v>
      </c>
      <c r="AG150" s="34">
        <f t="shared" ref="AG150:AI150" si="367">AC150-AC147</f>
        <v>448635.73896381306</v>
      </c>
      <c r="AH150" s="34">
        <f t="shared" si="367"/>
        <v>448635.73896381306</v>
      </c>
      <c r="AI150" s="34">
        <f t="shared" si="367"/>
        <v>448635.73896381306</v>
      </c>
      <c r="AJ150" s="34"/>
      <c r="AK150" s="34"/>
      <c r="AL150" s="34"/>
    </row>
    <row r="151" spans="1:38">
      <c r="A151" s="1" t="str">
        <f t="shared" si="361"/>
        <v>Heating No. 2</v>
      </c>
      <c r="B151" s="1" t="str">
        <f>VLOOKUP($A151,Types!$A$2:$C$13,2,FALSE)</f>
        <v>DSH</v>
      </c>
      <c r="C151" s="1">
        <v>5</v>
      </c>
      <c r="D151" s="1">
        <v>3</v>
      </c>
      <c r="E151" s="1" t="str">
        <f t="shared" si="328"/>
        <v>IMPDSHP35</v>
      </c>
      <c r="F151" s="1" t="str">
        <f>CONCATENATE("Imported ",VLOOKUP($A151,Types!$A$2:$C$13,3,FALSE),", PADD ",D151,", Step ",RIGHT(C151,1))</f>
        <v>Imported Distillate-Heating Oil No. 2, PADD 3, Step 5</v>
      </c>
      <c r="G151" s="1" t="str">
        <f>CONCATENATE(VLOOKUP($A151,Types!$A$2:$C$13,2,FALSE),"P",D151)</f>
        <v>DSHP3</v>
      </c>
      <c r="H151" s="61">
        <f>H147*$C$9</f>
        <v>73.101600000000005</v>
      </c>
      <c r="I151" s="61">
        <f t="shared" ref="I151:K151" si="368">I147*$C$9</f>
        <v>69.598100000000017</v>
      </c>
      <c r="J151" s="61">
        <f t="shared" si="368"/>
        <v>48.632999999999996</v>
      </c>
      <c r="K151" s="61">
        <f t="shared" si="368"/>
        <v>53.364999999999995</v>
      </c>
      <c r="L151" s="62">
        <f>H151*Conv!$J$20/10^6/VLOOKUP($B151,Types!$B$2:$D$13,3,FALSE)/Conv!$I$5</f>
        <v>18.25235210538732</v>
      </c>
      <c r="M151" s="62">
        <f>I151*Conv!$J$20/10^6/VLOOKUP($B151,Types!$B$2:$D$13,3,FALSE)/Conv!$I$5</f>
        <v>17.377581709100177</v>
      </c>
      <c r="N151" s="62" t="e">
        <f>M151*#REF!</f>
        <v>#REF!</v>
      </c>
      <c r="O151" s="62" t="e">
        <f>N151*#REF!</f>
        <v>#REF!</v>
      </c>
      <c r="P151" s="62" t="e">
        <f>O151*#REF!</f>
        <v>#REF!</v>
      </c>
      <c r="Q151" s="62" t="e">
        <f>P151*#REF!</f>
        <v>#REF!</v>
      </c>
      <c r="R151" s="62" t="e">
        <f>Q151*#REF!</f>
        <v>#REF!</v>
      </c>
      <c r="S151" s="62" t="e">
        <f>R151*#REF!</f>
        <v>#REF!</v>
      </c>
      <c r="T151" s="62" t="e">
        <f>S151*#REF!</f>
        <v>#REF!</v>
      </c>
      <c r="U151" s="62" t="e">
        <f>T151*#REF!</f>
        <v>#REF!</v>
      </c>
      <c r="V151" s="62" t="e">
        <f>U151*#REF!</f>
        <v>#REF!</v>
      </c>
      <c r="W151" s="34"/>
      <c r="X151" s="1">
        <f>X147*$E$9</f>
        <v>1999998</v>
      </c>
      <c r="Y151" s="1">
        <f t="shared" ref="Y151:AA151" si="369">Y147*$E$9</f>
        <v>1999998</v>
      </c>
      <c r="Z151" s="1">
        <f t="shared" si="369"/>
        <v>1999998</v>
      </c>
      <c r="AA151" s="1">
        <f t="shared" si="369"/>
        <v>1999998</v>
      </c>
      <c r="AB151" s="34">
        <f>X151*VLOOKUP($B151,Types!$B$2:$D$13,3,FALSE)*Conv!$I$5*1000*365</f>
        <v>4486357.3896381231</v>
      </c>
      <c r="AC151" s="34">
        <f>Y151*VLOOKUP($B151,Types!$B$2:$D$13,3,FALSE)*Conv!$I$5*1000*365</f>
        <v>4486357.3896381231</v>
      </c>
      <c r="AD151" s="34">
        <f>Z151*VLOOKUP($B151,Types!$B$2:$D$13,3,FALSE)*Conv!$I$5*1000*365</f>
        <v>4486357.3896381231</v>
      </c>
      <c r="AE151" s="34">
        <f>AA151*VLOOKUP($B151,Types!$B$2:$D$13,3,FALSE)*Conv!$I$5*1000*365</f>
        <v>4486357.3896381231</v>
      </c>
      <c r="AF151" s="34">
        <f>AB151-AB150</f>
        <v>1794542.9558552485</v>
      </c>
      <c r="AG151" s="34">
        <f t="shared" ref="AG151:AI151" si="370">AC151-AC150</f>
        <v>1794542.9558552485</v>
      </c>
      <c r="AH151" s="34">
        <f t="shared" si="370"/>
        <v>1794542.9558552485</v>
      </c>
      <c r="AI151" s="34">
        <f t="shared" si="370"/>
        <v>1794542.9558552485</v>
      </c>
      <c r="AJ151" s="34"/>
      <c r="AK151" s="34"/>
      <c r="AL151" s="34"/>
    </row>
    <row r="152" spans="1:38">
      <c r="A152" s="1" t="str">
        <f>'Agg prdcrv'!$A$9</f>
        <v>LS Diesel (500 ppm)</v>
      </c>
      <c r="B152" s="1" t="str">
        <f>VLOOKUP($A152,Types!$A$2:$C$13,2,FALSE)</f>
        <v>DSL</v>
      </c>
      <c r="C152" s="1">
        <v>3</v>
      </c>
      <c r="D152" s="1">
        <v>3</v>
      </c>
      <c r="E152" s="1" t="str">
        <f t="shared" si="328"/>
        <v>IMPDSLP33</v>
      </c>
      <c r="F152" s="1" t="str">
        <f>CONCATENATE("Imported ",VLOOKUP($A152,Types!$A$2:$C$13,3,FALSE),", PADD ",D152,", Step ",RIGHT(C152,1))</f>
        <v>Imported Distillate-Low Sulfur Highway Diesel (500 ppm), PADD 3, Step 3</v>
      </c>
      <c r="G152" s="1" t="str">
        <f>CONCATENATE(VLOOKUP($A152,Types!$A$2:$C$13,2,FALSE),"P",D152)</f>
        <v>DSLP3</v>
      </c>
      <c r="H152" s="61">
        <f>SUMIFS('Agg prdcrv NYC'!$N$6:$N$100,'Agg prdcrv NYC'!$A$6:$A$100,'Imp Refined NYC'!$A152,'Agg prdcrv NYC'!$B$6:$B$100,H$11)*K4</f>
        <v>55.979000000000006</v>
      </c>
      <c r="I152" s="61">
        <f>SUMIFS('Agg prdcrv NYC'!$N$6:$N$100,'Agg prdcrv NYC'!$A$6:$A$100,'Imp Refined NYC'!$A152,'Agg prdcrv NYC'!$B$6:$B$100,I$11)*K4</f>
        <v>49.401000000000003</v>
      </c>
      <c r="J152" s="61">
        <f t="array" ref="J152">SUMIFS('Agg prdcrv NYC'!$N$6:$N$100,'Agg prdcrv NYC'!$A$6:$A$100,'Imp Refined NYC'!$A152,'Agg prdcrv NYC'!$B$6:$B$100,J$11)</f>
        <v>113.56</v>
      </c>
      <c r="K152" s="61">
        <f t="array" ref="K152">SUMIFS('Agg prdcrv NYC'!$N$6:$N$100,'Agg prdcrv NYC'!$A$6:$A$100,'Imp Refined NYC'!$A152,'Agg prdcrv NYC'!$B$6:$B$100,K$11)</f>
        <v>113.56</v>
      </c>
      <c r="L152" s="62">
        <f>H152*Conv!$J$20/10^6/VLOOKUP($B152,Types!$B$2:$D$13,3,FALSE)/Conv!$I$5</f>
        <v>13.977100617599024</v>
      </c>
      <c r="M152" s="62">
        <f>I152*Conv!$J$20/10^6/VLOOKUP($B152,Types!$B$2:$D$13,3,FALSE)/Conv!$I$5</f>
        <v>12.334674567427236</v>
      </c>
      <c r="N152" s="62" t="e">
        <f>M152*#REF!</f>
        <v>#REF!</v>
      </c>
      <c r="O152" s="62" t="e">
        <f>N152*#REF!</f>
        <v>#REF!</v>
      </c>
      <c r="P152" s="62" t="e">
        <f>O152*#REF!</f>
        <v>#REF!</v>
      </c>
      <c r="Q152" s="62" t="e">
        <f>P152*#REF!</f>
        <v>#REF!</v>
      </c>
      <c r="R152" s="62" t="e">
        <f>Q152*#REF!</f>
        <v>#REF!</v>
      </c>
      <c r="S152" s="62" t="e">
        <f>R152*#REF!</f>
        <v>#REF!</v>
      </c>
      <c r="T152" s="62" t="e">
        <f>S152*#REF!</f>
        <v>#REF!</v>
      </c>
      <c r="U152" s="62" t="e">
        <f>T152*#REF!</f>
        <v>#REF!</v>
      </c>
      <c r="V152" s="62" t="e">
        <f>U152*#REF!</f>
        <v>#REF!</v>
      </c>
      <c r="W152" s="34"/>
      <c r="X152" s="1">
        <f t="array" ref="X152">SUMIFS('Agg prdcrv NYC'!$F$6:$F$100,'Agg prdcrv NYC'!$A$6:$A$100,'Imp Refined NYC'!$A152,'Agg prdcrv NYC'!$B$6:$B$100,X$11)</f>
        <v>999999</v>
      </c>
      <c r="Y152" s="1">
        <f t="array" ref="Y152">SUMIFS('Agg prdcrv NYC'!$F$6:$F$100,'Agg prdcrv NYC'!$A$6:$A$100,'Imp Refined NYC'!$A152,'Agg prdcrv NYC'!$B$6:$B$100,Y$11)</f>
        <v>999999</v>
      </c>
      <c r="Z152" s="1">
        <f t="array" ref="Z152">SUMIFS('Agg prdcrv NYC'!$F$6:$F$100,'Agg prdcrv NYC'!$A$6:$A$100,'Imp Refined NYC'!$A152,'Agg prdcrv NYC'!$B$6:$B$100,Z$11)</f>
        <v>999999</v>
      </c>
      <c r="AA152" s="1">
        <f t="array" ref="AA152">SUMIFS('Agg prdcrv NYC'!$F$6:$F$100,'Agg prdcrv NYC'!$A$6:$A$100,'Imp Refined NYC'!$A152,'Agg prdcrv NYC'!$B$6:$B$100,AA$11)</f>
        <v>999999</v>
      </c>
      <c r="AB152" s="34">
        <f>X152*VLOOKUP($B152,Types!$B$2:$D$13,3,FALSE)*Conv!$I$5*1000*365</f>
        <v>2243178.6948190616</v>
      </c>
      <c r="AC152" s="34">
        <f>Y152*VLOOKUP($B152,Types!$B$2:$D$13,3,FALSE)*Conv!$I$5*1000*365</f>
        <v>2243178.6948190616</v>
      </c>
      <c r="AD152" s="34">
        <f>Z152*VLOOKUP($B152,Types!$B$2:$D$13,3,FALSE)*Conv!$I$5*1000*365</f>
        <v>2243178.6948190616</v>
      </c>
      <c r="AE152" s="34">
        <f>AA152*VLOOKUP($B152,Types!$B$2:$D$13,3,FALSE)*Conv!$I$5*1000*365</f>
        <v>2243178.6948190616</v>
      </c>
      <c r="AF152" s="34">
        <f>AB152-AB154</f>
        <v>224317.86948190606</v>
      </c>
      <c r="AG152" s="34">
        <f t="shared" ref="AG152:AI152" si="371">AC152-AC154</f>
        <v>224317.86948190606</v>
      </c>
      <c r="AH152" s="34">
        <f t="shared" si="371"/>
        <v>224317.86948190606</v>
      </c>
      <c r="AI152" s="34">
        <f t="shared" si="371"/>
        <v>224317.86948190606</v>
      </c>
      <c r="AJ152" s="34"/>
      <c r="AK152" s="34"/>
      <c r="AL152" s="34"/>
    </row>
    <row r="153" spans="1:38">
      <c r="A153" s="1" t="str">
        <f>A152</f>
        <v>LS Diesel (500 ppm)</v>
      </c>
      <c r="B153" s="1" t="str">
        <f>VLOOKUP($A153,Types!$A$2:$C$13,2,FALSE)</f>
        <v>DSL</v>
      </c>
      <c r="C153" s="1">
        <v>1</v>
      </c>
      <c r="D153" s="1">
        <v>3</v>
      </c>
      <c r="E153" s="1" t="str">
        <f t="shared" si="328"/>
        <v>IMPDSLP31</v>
      </c>
      <c r="F153" s="1" t="str">
        <f>CONCATENATE("Imported ",VLOOKUP($A153,Types!$A$2:$C$13,3,FALSE),", PADD ",D153,", Step ",RIGHT(C153,1))</f>
        <v>Imported Distillate-Low Sulfur Highway Diesel (500 ppm), PADD 3, Step 1</v>
      </c>
      <c r="G153" s="1" t="str">
        <f>CONCATENATE(VLOOKUP($A153,Types!$A$2:$C$13,2,FALSE),"P",D153)</f>
        <v>DSLP3</v>
      </c>
      <c r="H153" s="61">
        <f>H152*$C$5</f>
        <v>53.180050000000001</v>
      </c>
      <c r="I153" s="61">
        <f t="shared" ref="I153:K153" si="372">I152*$C$5</f>
        <v>46.930950000000003</v>
      </c>
      <c r="J153" s="61">
        <f t="shared" si="372"/>
        <v>107.88199999999999</v>
      </c>
      <c r="K153" s="61">
        <f t="shared" si="372"/>
        <v>107.88199999999999</v>
      </c>
      <c r="L153" s="62">
        <f>H153*Conv!$J$20/10^6/VLOOKUP($B153,Types!$B$2:$D$13,3,FALSE)/Conv!$I$5</f>
        <v>13.278245586719072</v>
      </c>
      <c r="M153" s="62">
        <f>I153*Conv!$J$20/10^6/VLOOKUP($B153,Types!$B$2:$D$13,3,FALSE)/Conv!$I$5</f>
        <v>11.717940839055876</v>
      </c>
      <c r="N153" s="62" t="e">
        <f>M153*#REF!</f>
        <v>#REF!</v>
      </c>
      <c r="O153" s="62" t="e">
        <f>N153*#REF!</f>
        <v>#REF!</v>
      </c>
      <c r="P153" s="62" t="e">
        <f>O153*#REF!</f>
        <v>#REF!</v>
      </c>
      <c r="Q153" s="62" t="e">
        <f>P153*#REF!</f>
        <v>#REF!</v>
      </c>
      <c r="R153" s="62" t="e">
        <f>Q153*#REF!</f>
        <v>#REF!</v>
      </c>
      <c r="S153" s="62" t="e">
        <f>R153*#REF!</f>
        <v>#REF!</v>
      </c>
      <c r="T153" s="62" t="e">
        <f>S153*#REF!</f>
        <v>#REF!</v>
      </c>
      <c r="U153" s="62" t="e">
        <f>T153*#REF!</f>
        <v>#REF!</v>
      </c>
      <c r="V153" s="62" t="e">
        <f>U153*#REF!</f>
        <v>#REF!</v>
      </c>
      <c r="W153" s="34"/>
      <c r="X153" s="1">
        <f>X152*$E$5</f>
        <v>799999.20000000007</v>
      </c>
      <c r="Y153" s="1">
        <f t="shared" ref="Y153:AA153" si="373">Y152*$E$5</f>
        <v>799999.20000000007</v>
      </c>
      <c r="Z153" s="1">
        <f t="shared" si="373"/>
        <v>799999.20000000007</v>
      </c>
      <c r="AA153" s="1">
        <f t="shared" si="373"/>
        <v>799999.20000000007</v>
      </c>
      <c r="AB153" s="34">
        <f>X153*VLOOKUP($B153,Types!$B$2:$D$13,3,FALSE)*Conv!$I$5*1000*365</f>
        <v>1794542.9558552499</v>
      </c>
      <c r="AC153" s="34">
        <f>Y153*VLOOKUP($B153,Types!$B$2:$D$13,3,FALSE)*Conv!$I$5*1000*365</f>
        <v>1794542.9558552499</v>
      </c>
      <c r="AD153" s="34">
        <f>Z153*VLOOKUP($B153,Types!$B$2:$D$13,3,FALSE)*Conv!$I$5*1000*365</f>
        <v>1794542.9558552499</v>
      </c>
      <c r="AE153" s="34">
        <f>AA153*VLOOKUP($B153,Types!$B$2:$D$13,3,FALSE)*Conv!$I$5*1000*365</f>
        <v>1794542.9558552499</v>
      </c>
      <c r="AF153" s="34">
        <f>AB153</f>
        <v>1794542.9558552499</v>
      </c>
      <c r="AG153" s="34">
        <f t="shared" ref="AG153:AI153" si="374">AC153</f>
        <v>1794542.9558552499</v>
      </c>
      <c r="AH153" s="34">
        <f t="shared" si="374"/>
        <v>1794542.9558552499</v>
      </c>
      <c r="AI153" s="34">
        <f t="shared" si="374"/>
        <v>1794542.9558552499</v>
      </c>
      <c r="AJ153" s="34"/>
      <c r="AK153" s="34"/>
      <c r="AL153" s="34"/>
    </row>
    <row r="154" spans="1:38">
      <c r="A154" s="1" t="str">
        <f t="shared" ref="A154:A156" si="375">A153</f>
        <v>LS Diesel (500 ppm)</v>
      </c>
      <c r="B154" s="1" t="str">
        <f>VLOOKUP($A154,Types!$A$2:$C$13,2,FALSE)</f>
        <v>DSL</v>
      </c>
      <c r="C154" s="1">
        <v>2</v>
      </c>
      <c r="D154" s="1">
        <v>3</v>
      </c>
      <c r="E154" s="1" t="str">
        <f t="shared" si="328"/>
        <v>IMPDSLP32</v>
      </c>
      <c r="F154" s="1" t="str">
        <f>CONCATENATE("Imported ",VLOOKUP($A154,Types!$A$2:$C$13,3,FALSE),", PADD ",D154,", Step ",RIGHT(C154,1))</f>
        <v>Imported Distillate-Low Sulfur Highway Diesel (500 ppm), PADD 3, Step 2</v>
      </c>
      <c r="G154" s="1" t="str">
        <f>CONCATENATE(VLOOKUP($A154,Types!$A$2:$C$13,2,FALSE),"P",D154)</f>
        <v>DSLP3</v>
      </c>
      <c r="H154" s="61">
        <f>H152*$C$6</f>
        <v>54.859420000000007</v>
      </c>
      <c r="I154" s="61">
        <f t="shared" ref="I154:K154" si="376">I152*$C$6</f>
        <v>48.412980000000005</v>
      </c>
      <c r="J154" s="61">
        <f t="shared" si="376"/>
        <v>111.28879999999999</v>
      </c>
      <c r="K154" s="61">
        <f t="shared" si="376"/>
        <v>111.28879999999999</v>
      </c>
      <c r="L154" s="62">
        <f>H154*Conv!$J$20/10^6/VLOOKUP($B154,Types!$B$2:$D$13,3,FALSE)/Conv!$I$5</f>
        <v>13.697558605247044</v>
      </c>
      <c r="M154" s="62">
        <f>I154*Conv!$J$20/10^6/VLOOKUP($B154,Types!$B$2:$D$13,3,FALSE)/Conv!$I$5</f>
        <v>12.087981076078693</v>
      </c>
      <c r="N154" s="62" t="e">
        <f>M154*#REF!</f>
        <v>#REF!</v>
      </c>
      <c r="O154" s="62" t="e">
        <f>N154*#REF!</f>
        <v>#REF!</v>
      </c>
      <c r="P154" s="62" t="e">
        <f>O154*#REF!</f>
        <v>#REF!</v>
      </c>
      <c r="Q154" s="62" t="e">
        <f>P154*#REF!</f>
        <v>#REF!</v>
      </c>
      <c r="R154" s="62" t="e">
        <f>Q154*#REF!</f>
        <v>#REF!</v>
      </c>
      <c r="S154" s="62" t="e">
        <f>R154*#REF!</f>
        <v>#REF!</v>
      </c>
      <c r="T154" s="62" t="e">
        <f>S154*#REF!</f>
        <v>#REF!</v>
      </c>
      <c r="U154" s="62" t="e">
        <f>T154*#REF!</f>
        <v>#REF!</v>
      </c>
      <c r="V154" s="62" t="e">
        <f>U154*#REF!</f>
        <v>#REF!</v>
      </c>
      <c r="W154" s="34"/>
      <c r="X154" s="1">
        <f>X152*$E$6</f>
        <v>899999.1</v>
      </c>
      <c r="Y154" s="1">
        <f t="shared" ref="Y154:AA154" si="377">Y152*$E$6</f>
        <v>899999.1</v>
      </c>
      <c r="Z154" s="1">
        <f t="shared" si="377"/>
        <v>899999.1</v>
      </c>
      <c r="AA154" s="1">
        <f t="shared" si="377"/>
        <v>899999.1</v>
      </c>
      <c r="AB154" s="34">
        <f>X154*VLOOKUP($B154,Types!$B$2:$D$13,3,FALSE)*Conv!$I$5*1000*365</f>
        <v>2018860.8253371555</v>
      </c>
      <c r="AC154" s="34">
        <f>Y154*VLOOKUP($B154,Types!$B$2:$D$13,3,FALSE)*Conv!$I$5*1000*365</f>
        <v>2018860.8253371555</v>
      </c>
      <c r="AD154" s="34">
        <f>Z154*VLOOKUP($B154,Types!$B$2:$D$13,3,FALSE)*Conv!$I$5*1000*365</f>
        <v>2018860.8253371555</v>
      </c>
      <c r="AE154" s="34">
        <f>AA154*VLOOKUP($B154,Types!$B$2:$D$13,3,FALSE)*Conv!$I$5*1000*365</f>
        <v>2018860.8253371555</v>
      </c>
      <c r="AF154" s="34">
        <f>AB154-AF153</f>
        <v>224317.8694819056</v>
      </c>
      <c r="AG154" s="34">
        <f t="shared" ref="AG154:AI154" si="378">AC154-AG153</f>
        <v>224317.8694819056</v>
      </c>
      <c r="AH154" s="34">
        <f t="shared" si="378"/>
        <v>224317.8694819056</v>
      </c>
      <c r="AI154" s="34">
        <f t="shared" si="378"/>
        <v>224317.8694819056</v>
      </c>
      <c r="AJ154" s="34"/>
      <c r="AK154" s="34"/>
      <c r="AL154" s="34"/>
    </row>
    <row r="155" spans="1:38">
      <c r="A155" s="1" t="str">
        <f t="shared" si="375"/>
        <v>LS Diesel (500 ppm)</v>
      </c>
      <c r="B155" s="1" t="str">
        <f>VLOOKUP($A155,Types!$A$2:$C$13,2,FALSE)</f>
        <v>DSL</v>
      </c>
      <c r="C155" s="1">
        <v>4</v>
      </c>
      <c r="D155" s="1">
        <v>3</v>
      </c>
      <c r="E155" s="1" t="str">
        <f t="shared" si="328"/>
        <v>IMPDSLP34</v>
      </c>
      <c r="F155" s="1" t="str">
        <f>CONCATENATE("Imported ",VLOOKUP($A155,Types!$A$2:$C$13,3,FALSE),", PADD ",D155,", Step ",RIGHT(C155,1))</f>
        <v>Imported Distillate-Low Sulfur Highway Diesel (500 ppm), PADD 3, Step 4</v>
      </c>
      <c r="G155" s="1" t="str">
        <f>CONCATENATE(VLOOKUP($A155,Types!$A$2:$C$13,2,FALSE),"P",D155)</f>
        <v>DSLP3</v>
      </c>
      <c r="H155" s="61">
        <f>H152*$C$8</f>
        <v>61.01711000000001</v>
      </c>
      <c r="I155" s="61">
        <f t="shared" ref="I155:K155" si="379">I152*$C$8</f>
        <v>53.847090000000009</v>
      </c>
      <c r="J155" s="61">
        <f t="shared" si="379"/>
        <v>123.78040000000001</v>
      </c>
      <c r="K155" s="61">
        <f t="shared" si="379"/>
        <v>123.78040000000001</v>
      </c>
      <c r="L155" s="62">
        <f>H155*Conv!$J$20/10^6/VLOOKUP($B155,Types!$B$2:$D$13,3,FALSE)/Conv!$I$5</f>
        <v>15.235039673182937</v>
      </c>
      <c r="M155" s="62">
        <f>I155*Conv!$J$20/10^6/VLOOKUP($B155,Types!$B$2:$D$13,3,FALSE)/Conv!$I$5</f>
        <v>13.44479527849569</v>
      </c>
      <c r="N155" s="62" t="e">
        <f>M155*#REF!</f>
        <v>#REF!</v>
      </c>
      <c r="O155" s="62" t="e">
        <f>N155*#REF!</f>
        <v>#REF!</v>
      </c>
      <c r="P155" s="62" t="e">
        <f>O155*#REF!</f>
        <v>#REF!</v>
      </c>
      <c r="Q155" s="62" t="e">
        <f>P155*#REF!</f>
        <v>#REF!</v>
      </c>
      <c r="R155" s="62" t="e">
        <f>Q155*#REF!</f>
        <v>#REF!</v>
      </c>
      <c r="S155" s="62" t="e">
        <f>R155*#REF!</f>
        <v>#REF!</v>
      </c>
      <c r="T155" s="62" t="e">
        <f>S155*#REF!</f>
        <v>#REF!</v>
      </c>
      <c r="U155" s="62" t="e">
        <f>T155*#REF!</f>
        <v>#REF!</v>
      </c>
      <c r="V155" s="62" t="e">
        <f>U155*#REF!</f>
        <v>#REF!</v>
      </c>
      <c r="W155" s="34"/>
      <c r="X155" s="1">
        <f>X152*$E$8</f>
        <v>1199998.8</v>
      </c>
      <c r="Y155" s="1">
        <f t="shared" ref="Y155:AA155" si="380">Y152*$E$8</f>
        <v>1199998.8</v>
      </c>
      <c r="Z155" s="1">
        <f t="shared" si="380"/>
        <v>1199998.8</v>
      </c>
      <c r="AA155" s="1">
        <f t="shared" si="380"/>
        <v>1199998.8</v>
      </c>
      <c r="AB155" s="34">
        <f>X155*VLOOKUP($B155,Types!$B$2:$D$13,3,FALSE)*Conv!$I$5*1000*365</f>
        <v>2691814.4337828746</v>
      </c>
      <c r="AC155" s="34">
        <f>Y155*VLOOKUP($B155,Types!$B$2:$D$13,3,FALSE)*Conv!$I$5*1000*365</f>
        <v>2691814.4337828746</v>
      </c>
      <c r="AD155" s="34">
        <f>Z155*VLOOKUP($B155,Types!$B$2:$D$13,3,FALSE)*Conv!$I$5*1000*365</f>
        <v>2691814.4337828746</v>
      </c>
      <c r="AE155" s="34">
        <f>AA155*VLOOKUP($B155,Types!$B$2:$D$13,3,FALSE)*Conv!$I$5*1000*365</f>
        <v>2691814.4337828746</v>
      </c>
      <c r="AF155" s="34">
        <f>AB155-AB152</f>
        <v>448635.73896381306</v>
      </c>
      <c r="AG155" s="34">
        <f t="shared" ref="AG155:AI155" si="381">AC155-AC152</f>
        <v>448635.73896381306</v>
      </c>
      <c r="AH155" s="34">
        <f t="shared" si="381"/>
        <v>448635.73896381306</v>
      </c>
      <c r="AI155" s="34">
        <f t="shared" si="381"/>
        <v>448635.73896381306</v>
      </c>
      <c r="AJ155" s="34"/>
      <c r="AK155" s="34"/>
      <c r="AL155" s="34"/>
    </row>
    <row r="156" spans="1:38">
      <c r="A156" s="1" t="str">
        <f t="shared" si="375"/>
        <v>LS Diesel (500 ppm)</v>
      </c>
      <c r="B156" s="1" t="str">
        <f>VLOOKUP($A156,Types!$A$2:$C$13,2,FALSE)</f>
        <v>DSL</v>
      </c>
      <c r="C156" s="1">
        <v>5</v>
      </c>
      <c r="D156" s="1">
        <v>3</v>
      </c>
      <c r="E156" s="1" t="str">
        <f t="shared" si="328"/>
        <v>IMPDSLP35</v>
      </c>
      <c r="F156" s="1" t="str">
        <f>CONCATENATE("Imported ",VLOOKUP($A156,Types!$A$2:$C$13,3,FALSE),", PADD ",D156,", Step ",RIGHT(C156,1))</f>
        <v>Imported Distillate-Low Sulfur Highway Diesel (500 ppm), PADD 3, Step 5</v>
      </c>
      <c r="G156" s="1" t="str">
        <f>CONCATENATE(VLOOKUP($A156,Types!$A$2:$C$13,2,FALSE),"P",D156)</f>
        <v>DSLP3</v>
      </c>
      <c r="H156" s="61">
        <f>H152*$C$9</f>
        <v>72.772700000000015</v>
      </c>
      <c r="I156" s="61">
        <f t="shared" ref="I156:K156" si="382">I152*$C$9</f>
        <v>64.221300000000014</v>
      </c>
      <c r="J156" s="61">
        <f t="shared" si="382"/>
        <v>147.62800000000001</v>
      </c>
      <c r="K156" s="61">
        <f t="shared" si="382"/>
        <v>147.62800000000001</v>
      </c>
      <c r="L156" s="62">
        <f>H156*Conv!$J$20/10^6/VLOOKUP($B156,Types!$B$2:$D$13,3,FALSE)/Conv!$I$5</f>
        <v>18.170230802878731</v>
      </c>
      <c r="M156" s="62">
        <f>I156*Conv!$J$20/10^6/VLOOKUP($B156,Types!$B$2:$D$13,3,FALSE)/Conv!$I$5</f>
        <v>16.035076937655411</v>
      </c>
      <c r="N156" s="62" t="e">
        <f>M156*#REF!</f>
        <v>#REF!</v>
      </c>
      <c r="O156" s="62" t="e">
        <f>N156*#REF!</f>
        <v>#REF!</v>
      </c>
      <c r="P156" s="62" t="e">
        <f>O156*#REF!</f>
        <v>#REF!</v>
      </c>
      <c r="Q156" s="62" t="e">
        <f>P156*#REF!</f>
        <v>#REF!</v>
      </c>
      <c r="R156" s="62" t="e">
        <f>Q156*#REF!</f>
        <v>#REF!</v>
      </c>
      <c r="S156" s="62" t="e">
        <f>R156*#REF!</f>
        <v>#REF!</v>
      </c>
      <c r="T156" s="62" t="e">
        <f>S156*#REF!</f>
        <v>#REF!</v>
      </c>
      <c r="U156" s="62" t="e">
        <f>T156*#REF!</f>
        <v>#REF!</v>
      </c>
      <c r="V156" s="62" t="e">
        <f>U156*#REF!</f>
        <v>#REF!</v>
      </c>
      <c r="W156" s="34"/>
      <c r="X156" s="1">
        <f>X152*$E$9</f>
        <v>1999998</v>
      </c>
      <c r="Y156" s="1">
        <f t="shared" ref="Y156:AA156" si="383">Y152*$E$9</f>
        <v>1999998</v>
      </c>
      <c r="Z156" s="1">
        <f t="shared" si="383"/>
        <v>1999998</v>
      </c>
      <c r="AA156" s="1">
        <f t="shared" si="383"/>
        <v>1999998</v>
      </c>
      <c r="AB156" s="34">
        <f>X156*VLOOKUP($B156,Types!$B$2:$D$13,3,FALSE)*Conv!$I$5*1000*365</f>
        <v>4486357.3896381231</v>
      </c>
      <c r="AC156" s="34">
        <f>Y156*VLOOKUP($B156,Types!$B$2:$D$13,3,FALSE)*Conv!$I$5*1000*365</f>
        <v>4486357.3896381231</v>
      </c>
      <c r="AD156" s="34">
        <f>Z156*VLOOKUP($B156,Types!$B$2:$D$13,3,FALSE)*Conv!$I$5*1000*365</f>
        <v>4486357.3896381231</v>
      </c>
      <c r="AE156" s="34">
        <f>AA156*VLOOKUP($B156,Types!$B$2:$D$13,3,FALSE)*Conv!$I$5*1000*365</f>
        <v>4486357.3896381231</v>
      </c>
      <c r="AF156" s="34">
        <f>AB156-AB155</f>
        <v>1794542.9558552485</v>
      </c>
      <c r="AG156" s="34">
        <f t="shared" ref="AG156:AI156" si="384">AC156-AC155</f>
        <v>1794542.9558552485</v>
      </c>
      <c r="AH156" s="34">
        <f t="shared" si="384"/>
        <v>1794542.9558552485</v>
      </c>
      <c r="AI156" s="34">
        <f t="shared" si="384"/>
        <v>1794542.9558552485</v>
      </c>
      <c r="AJ156" s="34"/>
      <c r="AK156" s="34"/>
      <c r="AL156" s="34"/>
    </row>
    <row r="157" spans="1:38">
      <c r="A157" s="1" t="str">
        <f>'Agg prdcrv'!$A$10</f>
        <v>Low Sulfur Fuel Oil</v>
      </c>
      <c r="B157" s="1" t="str">
        <f>VLOOKUP($A157,Types!$A$2:$C$13,2,FALSE)</f>
        <v>RFL</v>
      </c>
      <c r="C157" s="1">
        <v>3</v>
      </c>
      <c r="D157" s="1">
        <v>3</v>
      </c>
      <c r="E157" s="1" t="str">
        <f t="shared" si="328"/>
        <v>IMPRFLP33</v>
      </c>
      <c r="F157" s="1" t="str">
        <f>CONCATENATE("Imported ",VLOOKUP($A157,Types!$A$2:$C$13,3,FALSE),", PADD ",D157,", Step ",RIGHT(C157,1))</f>
        <v>Imported Low Sulfur Residual Fuel Oil, PADD 3, Step 3</v>
      </c>
      <c r="G157" s="1" t="str">
        <f>CONCATENATE(VLOOKUP($A157,Types!$A$2:$C$13,2,FALSE),"P",D157)</f>
        <v>RFLP3</v>
      </c>
      <c r="H157" s="61">
        <f>SUMIFS('Agg prdcrv NYC'!$N$6:$N$100,'Agg prdcrv NYC'!$A$6:$A$100,'Imp Refined NYC'!$A157,'Agg prdcrv NYC'!$B$6:$B$100,H$11)*K4</f>
        <v>43.120000000000005</v>
      </c>
      <c r="I157" s="61">
        <f>SUMIFS('Agg prdcrv NYC'!$N$6:$N$100,'Agg prdcrv NYC'!$A$6:$A$100,'Imp Refined NYC'!$A157,'Agg prdcrv NYC'!$B$6:$B$100,I$11)*K4</f>
        <v>36.927000000000007</v>
      </c>
      <c r="J157" s="61">
        <f t="array" ref="J157">SUMIFS('Agg prdcrv NYC'!$N$6:$N$100,'Agg prdcrv NYC'!$A$6:$A$100,'Imp Refined NYC'!$A157,'Agg prdcrv NYC'!$B$6:$B$100,J$11)</f>
        <v>29.66</v>
      </c>
      <c r="K157" s="61">
        <f t="array" ref="K157">SUMIFS('Agg prdcrv NYC'!$N$6:$N$100,'Agg prdcrv NYC'!$A$6:$A$100,'Imp Refined NYC'!$A157,'Agg prdcrv NYC'!$B$6:$B$100,K$11)</f>
        <v>32.6</v>
      </c>
      <c r="L157" s="62">
        <f>H157*Conv!$J$20/10^6/VLOOKUP($B157,Types!$B$2:$D$13,3,FALSE)/Conv!$I$5</f>
        <v>9.9752359489009166</v>
      </c>
      <c r="M157" s="62">
        <f>I157*Conv!$J$20/10^6/VLOOKUP($B157,Types!$B$2:$D$13,3,FALSE)/Conv!$I$5</f>
        <v>8.5425681327705032</v>
      </c>
      <c r="N157" s="62" t="e">
        <f>M157*#REF!</f>
        <v>#REF!</v>
      </c>
      <c r="O157" s="62" t="e">
        <f>N157*#REF!</f>
        <v>#REF!</v>
      </c>
      <c r="P157" s="62" t="e">
        <f>O157*#REF!</f>
        <v>#REF!</v>
      </c>
      <c r="Q157" s="62" t="e">
        <f>P157*#REF!</f>
        <v>#REF!</v>
      </c>
      <c r="R157" s="62" t="e">
        <f>Q157*#REF!</f>
        <v>#REF!</v>
      </c>
      <c r="S157" s="62" t="e">
        <f>R157*#REF!</f>
        <v>#REF!</v>
      </c>
      <c r="T157" s="62" t="e">
        <f>S157*#REF!</f>
        <v>#REF!</v>
      </c>
      <c r="U157" s="62" t="e">
        <f>T157*#REF!</f>
        <v>#REF!</v>
      </c>
      <c r="V157" s="62" t="e">
        <f>U157*#REF!</f>
        <v>#REF!</v>
      </c>
      <c r="W157" s="34"/>
      <c r="X157" s="1">
        <f t="array" ref="X157">SUMIFS('Agg prdcrv NYC'!$F$6:$F$100,'Agg prdcrv NYC'!$A$6:$A$100,'Imp Refined NYC'!$A157,'Agg prdcrv NYC'!$B$6:$B$100,X$11)</f>
        <v>999999</v>
      </c>
      <c r="Y157" s="1">
        <f t="array" ref="Y157">SUMIFS('Agg prdcrv NYC'!$F$6:$F$100,'Agg prdcrv NYC'!$A$6:$A$100,'Imp Refined NYC'!$A157,'Agg prdcrv NYC'!$B$6:$B$100,Y$11)</f>
        <v>999999</v>
      </c>
      <c r="Z157" s="1">
        <f t="array" ref="Z157">SUMIFS('Agg prdcrv NYC'!$F$6:$F$100,'Agg prdcrv NYC'!$A$6:$A$100,'Imp Refined NYC'!$A157,'Agg prdcrv NYC'!$B$6:$B$100,Z$11)</f>
        <v>999999</v>
      </c>
      <c r="AA157" s="1">
        <f t="array" ref="AA157">SUMIFS('Agg prdcrv NYC'!$F$6:$F$100,'Agg prdcrv NYC'!$A$6:$A$100,'Imp Refined NYC'!$A157,'Agg prdcrv NYC'!$B$6:$B$100,AA$11)</f>
        <v>999999</v>
      </c>
      <c r="AB157" s="34">
        <f>X157*VLOOKUP($B157,Types!$B$2:$D$13,3,FALSE)*Conv!$I$5*1000*365</f>
        <v>2421092.6101849684</v>
      </c>
      <c r="AC157" s="34">
        <f>Y157*VLOOKUP($B157,Types!$B$2:$D$13,3,FALSE)*Conv!$I$5*1000*365</f>
        <v>2421092.6101849684</v>
      </c>
      <c r="AD157" s="34">
        <f>Z157*VLOOKUP($B157,Types!$B$2:$D$13,3,FALSE)*Conv!$I$5*1000*365</f>
        <v>2421092.6101849684</v>
      </c>
      <c r="AE157" s="34">
        <f>AA157*VLOOKUP($B157,Types!$B$2:$D$13,3,FALSE)*Conv!$I$5*1000*365</f>
        <v>2421092.6101849684</v>
      </c>
      <c r="AF157" s="34">
        <f>AB157-AB159</f>
        <v>242109.26101849694</v>
      </c>
      <c r="AG157" s="34">
        <f t="shared" ref="AG157:AI157" si="385">AC157-AC159</f>
        <v>242109.26101849694</v>
      </c>
      <c r="AH157" s="34">
        <f t="shared" si="385"/>
        <v>242109.26101849694</v>
      </c>
      <c r="AI157" s="34">
        <f t="shared" si="385"/>
        <v>242109.26101849694</v>
      </c>
      <c r="AJ157" s="34"/>
      <c r="AK157" s="34"/>
      <c r="AL157" s="34"/>
    </row>
    <row r="158" spans="1:38">
      <c r="A158" s="1" t="str">
        <f>A157</f>
        <v>Low Sulfur Fuel Oil</v>
      </c>
      <c r="B158" s="1" t="str">
        <f>VLOOKUP($A158,Types!$A$2:$C$13,2,FALSE)</f>
        <v>RFL</v>
      </c>
      <c r="C158" s="1">
        <v>1</v>
      </c>
      <c r="D158" s="1">
        <v>3</v>
      </c>
      <c r="E158" s="1" t="str">
        <f t="shared" si="328"/>
        <v>IMPRFLP31</v>
      </c>
      <c r="F158" s="1" t="str">
        <f>CONCATENATE("Imported ",VLOOKUP($A158,Types!$A$2:$C$13,3,FALSE),", PADD ",D158,", Step ",RIGHT(C158,1))</f>
        <v>Imported Low Sulfur Residual Fuel Oil, PADD 3, Step 1</v>
      </c>
      <c r="G158" s="1" t="str">
        <f>CONCATENATE(VLOOKUP($A158,Types!$A$2:$C$13,2,FALSE),"P",D158)</f>
        <v>RFLP3</v>
      </c>
      <c r="H158" s="61">
        <f>H157*$C$5</f>
        <v>40.964000000000006</v>
      </c>
      <c r="I158" s="61">
        <f t="shared" ref="I158:K158" si="386">I157*$C$5</f>
        <v>35.080650000000006</v>
      </c>
      <c r="J158" s="61">
        <f t="shared" si="386"/>
        <v>28.177</v>
      </c>
      <c r="K158" s="61">
        <f t="shared" si="386"/>
        <v>30.97</v>
      </c>
      <c r="L158" s="62">
        <f>H158*Conv!$J$20/10^6/VLOOKUP($B158,Types!$B$2:$D$13,3,FALSE)/Conv!$I$5</f>
        <v>9.4764741514558697</v>
      </c>
      <c r="M158" s="62">
        <f>I158*Conv!$J$20/10^6/VLOOKUP($B158,Types!$B$2:$D$13,3,FALSE)/Conv!$I$5</f>
        <v>8.1154397261319779</v>
      </c>
      <c r="N158" s="62" t="e">
        <f>M158*#REF!</f>
        <v>#REF!</v>
      </c>
      <c r="O158" s="62" t="e">
        <f>N158*#REF!</f>
        <v>#REF!</v>
      </c>
      <c r="P158" s="62" t="e">
        <f>O158*#REF!</f>
        <v>#REF!</v>
      </c>
      <c r="Q158" s="62" t="e">
        <f>P158*#REF!</f>
        <v>#REF!</v>
      </c>
      <c r="R158" s="62" t="e">
        <f>Q158*#REF!</f>
        <v>#REF!</v>
      </c>
      <c r="S158" s="62" t="e">
        <f>R158*#REF!</f>
        <v>#REF!</v>
      </c>
      <c r="T158" s="62" t="e">
        <f>S158*#REF!</f>
        <v>#REF!</v>
      </c>
      <c r="U158" s="62" t="e">
        <f>T158*#REF!</f>
        <v>#REF!</v>
      </c>
      <c r="V158" s="62" t="e">
        <f>U158*#REF!</f>
        <v>#REF!</v>
      </c>
      <c r="W158" s="34"/>
      <c r="X158" s="1">
        <f>X157*$E$5</f>
        <v>799999.20000000007</v>
      </c>
      <c r="Y158" s="1">
        <f t="shared" ref="Y158:AA158" si="387">Y157*$E$5</f>
        <v>799999.20000000007</v>
      </c>
      <c r="Z158" s="1">
        <f t="shared" si="387"/>
        <v>799999.20000000007</v>
      </c>
      <c r="AA158" s="1">
        <f t="shared" si="387"/>
        <v>799999.20000000007</v>
      </c>
      <c r="AB158" s="34">
        <f>X158*VLOOKUP($B158,Types!$B$2:$D$13,3,FALSE)*Conv!$I$5*1000*365</f>
        <v>1936874.088147975</v>
      </c>
      <c r="AC158" s="34">
        <f>Y158*VLOOKUP($B158,Types!$B$2:$D$13,3,FALSE)*Conv!$I$5*1000*365</f>
        <v>1936874.088147975</v>
      </c>
      <c r="AD158" s="34">
        <f>Z158*VLOOKUP($B158,Types!$B$2:$D$13,3,FALSE)*Conv!$I$5*1000*365</f>
        <v>1936874.088147975</v>
      </c>
      <c r="AE158" s="34">
        <f>AA158*VLOOKUP($B158,Types!$B$2:$D$13,3,FALSE)*Conv!$I$5*1000*365</f>
        <v>1936874.088147975</v>
      </c>
      <c r="AF158" s="34">
        <f>AB158</f>
        <v>1936874.088147975</v>
      </c>
      <c r="AG158" s="34">
        <f t="shared" ref="AG158:AI158" si="388">AC158</f>
        <v>1936874.088147975</v>
      </c>
      <c r="AH158" s="34">
        <f t="shared" si="388"/>
        <v>1936874.088147975</v>
      </c>
      <c r="AI158" s="34">
        <f t="shared" si="388"/>
        <v>1936874.088147975</v>
      </c>
      <c r="AJ158" s="34"/>
      <c r="AK158" s="34"/>
      <c r="AL158" s="34"/>
    </row>
    <row r="159" spans="1:38">
      <c r="A159" s="1" t="str">
        <f t="shared" ref="A159:A161" si="389">A158</f>
        <v>Low Sulfur Fuel Oil</v>
      </c>
      <c r="B159" s="1" t="str">
        <f>VLOOKUP($A159,Types!$A$2:$C$13,2,FALSE)</f>
        <v>RFL</v>
      </c>
      <c r="C159" s="1">
        <v>2</v>
      </c>
      <c r="D159" s="1">
        <v>3</v>
      </c>
      <c r="E159" s="1" t="str">
        <f t="shared" si="328"/>
        <v>IMPRFLP32</v>
      </c>
      <c r="F159" s="1" t="str">
        <f>CONCATENATE("Imported ",VLOOKUP($A159,Types!$A$2:$C$13,3,FALSE),", PADD ",D159,", Step ",RIGHT(C159,1))</f>
        <v>Imported Low Sulfur Residual Fuel Oil, PADD 3, Step 2</v>
      </c>
      <c r="G159" s="1" t="str">
        <f>CONCATENATE(VLOOKUP($A159,Types!$A$2:$C$13,2,FALSE),"P",D159)</f>
        <v>RFLP3</v>
      </c>
      <c r="H159" s="61">
        <f>H157*$C$6</f>
        <v>42.257600000000004</v>
      </c>
      <c r="I159" s="61">
        <f t="shared" ref="I159:K159" si="390">I157*$C$6</f>
        <v>36.188460000000006</v>
      </c>
      <c r="J159" s="61">
        <f t="shared" si="390"/>
        <v>29.066800000000001</v>
      </c>
      <c r="K159" s="61">
        <f t="shared" si="390"/>
        <v>31.948</v>
      </c>
      <c r="L159" s="62">
        <f>H159*Conv!$J$20/10^6/VLOOKUP($B159,Types!$B$2:$D$13,3,FALSE)/Conv!$I$5</f>
        <v>9.7757312299228953</v>
      </c>
      <c r="M159" s="62">
        <f>I159*Conv!$J$20/10^6/VLOOKUP($B159,Types!$B$2:$D$13,3,FALSE)/Conv!$I$5</f>
        <v>8.3717167701150927</v>
      </c>
      <c r="N159" s="62" t="e">
        <f>M159*#REF!</f>
        <v>#REF!</v>
      </c>
      <c r="O159" s="62" t="e">
        <f>N159*#REF!</f>
        <v>#REF!</v>
      </c>
      <c r="P159" s="62" t="e">
        <f>O159*#REF!</f>
        <v>#REF!</v>
      </c>
      <c r="Q159" s="62" t="e">
        <f>P159*#REF!</f>
        <v>#REF!</v>
      </c>
      <c r="R159" s="62" t="e">
        <f>Q159*#REF!</f>
        <v>#REF!</v>
      </c>
      <c r="S159" s="62" t="e">
        <f>R159*#REF!</f>
        <v>#REF!</v>
      </c>
      <c r="T159" s="62" t="e">
        <f>S159*#REF!</f>
        <v>#REF!</v>
      </c>
      <c r="U159" s="62" t="e">
        <f>T159*#REF!</f>
        <v>#REF!</v>
      </c>
      <c r="V159" s="62" t="e">
        <f>U159*#REF!</f>
        <v>#REF!</v>
      </c>
      <c r="W159" s="34"/>
      <c r="X159" s="1">
        <f>X157*$E$6</f>
        <v>899999.1</v>
      </c>
      <c r="Y159" s="1">
        <f t="shared" ref="Y159:AA159" si="391">Y157*$E$6</f>
        <v>899999.1</v>
      </c>
      <c r="Z159" s="1">
        <f t="shared" si="391"/>
        <v>899999.1</v>
      </c>
      <c r="AA159" s="1">
        <f t="shared" si="391"/>
        <v>899999.1</v>
      </c>
      <c r="AB159" s="34">
        <f>X159*VLOOKUP($B159,Types!$B$2:$D$13,3,FALSE)*Conv!$I$5*1000*365</f>
        <v>2178983.3491664715</v>
      </c>
      <c r="AC159" s="34">
        <f>Y159*VLOOKUP($B159,Types!$B$2:$D$13,3,FALSE)*Conv!$I$5*1000*365</f>
        <v>2178983.3491664715</v>
      </c>
      <c r="AD159" s="34">
        <f>Z159*VLOOKUP($B159,Types!$B$2:$D$13,3,FALSE)*Conv!$I$5*1000*365</f>
        <v>2178983.3491664715</v>
      </c>
      <c r="AE159" s="34">
        <f>AA159*VLOOKUP($B159,Types!$B$2:$D$13,3,FALSE)*Conv!$I$5*1000*365</f>
        <v>2178983.3491664715</v>
      </c>
      <c r="AF159" s="34">
        <f>AB159-AF158</f>
        <v>242109.26101849647</v>
      </c>
      <c r="AG159" s="34">
        <f t="shared" ref="AG159:AI159" si="392">AC159-AG158</f>
        <v>242109.26101849647</v>
      </c>
      <c r="AH159" s="34">
        <f t="shared" si="392"/>
        <v>242109.26101849647</v>
      </c>
      <c r="AI159" s="34">
        <f t="shared" si="392"/>
        <v>242109.26101849647</v>
      </c>
      <c r="AJ159" s="34"/>
      <c r="AK159" s="34"/>
      <c r="AL159" s="34"/>
    </row>
    <row r="160" spans="1:38">
      <c r="A160" s="1" t="str">
        <f t="shared" si="389"/>
        <v>Low Sulfur Fuel Oil</v>
      </c>
      <c r="B160" s="1" t="str">
        <f>VLOOKUP($A160,Types!$A$2:$C$13,2,FALSE)</f>
        <v>RFL</v>
      </c>
      <c r="C160" s="1">
        <v>4</v>
      </c>
      <c r="D160" s="1">
        <v>3</v>
      </c>
      <c r="E160" s="1" t="str">
        <f t="shared" si="328"/>
        <v>IMPRFLP34</v>
      </c>
      <c r="F160" s="1" t="str">
        <f>CONCATENATE("Imported ",VLOOKUP($A160,Types!$A$2:$C$13,3,FALSE),", PADD ",D160,", Step ",RIGHT(C160,1))</f>
        <v>Imported Low Sulfur Residual Fuel Oil, PADD 3, Step 4</v>
      </c>
      <c r="G160" s="1" t="str">
        <f>CONCATENATE(VLOOKUP($A160,Types!$A$2:$C$13,2,FALSE),"P",D160)</f>
        <v>RFLP3</v>
      </c>
      <c r="H160" s="61">
        <f>H157*$C$8</f>
        <v>47.000800000000005</v>
      </c>
      <c r="I160" s="61">
        <f t="shared" ref="I160:K160" si="393">I157*$C$8</f>
        <v>40.250430000000009</v>
      </c>
      <c r="J160" s="61">
        <f t="shared" si="393"/>
        <v>32.3294</v>
      </c>
      <c r="K160" s="61">
        <f t="shared" si="393"/>
        <v>35.534000000000006</v>
      </c>
      <c r="L160" s="62">
        <f>H160*Conv!$J$20/10^6/VLOOKUP($B160,Types!$B$2:$D$13,3,FALSE)/Conv!$I$5</f>
        <v>10.873007184301995</v>
      </c>
      <c r="M160" s="62">
        <f>I160*Conv!$J$20/10^6/VLOOKUP($B160,Types!$B$2:$D$13,3,FALSE)/Conv!$I$5</f>
        <v>9.3113992647198476</v>
      </c>
      <c r="N160" s="62" t="e">
        <f>M160*#REF!</f>
        <v>#REF!</v>
      </c>
      <c r="O160" s="62" t="e">
        <f>N160*#REF!</f>
        <v>#REF!</v>
      </c>
      <c r="P160" s="62" t="e">
        <f>O160*#REF!</f>
        <v>#REF!</v>
      </c>
      <c r="Q160" s="62" t="e">
        <f>P160*#REF!</f>
        <v>#REF!</v>
      </c>
      <c r="R160" s="62" t="e">
        <f>Q160*#REF!</f>
        <v>#REF!</v>
      </c>
      <c r="S160" s="62" t="e">
        <f>R160*#REF!</f>
        <v>#REF!</v>
      </c>
      <c r="T160" s="62" t="e">
        <f>S160*#REF!</f>
        <v>#REF!</v>
      </c>
      <c r="U160" s="62" t="e">
        <f>T160*#REF!</f>
        <v>#REF!</v>
      </c>
      <c r="V160" s="62" t="e">
        <f>U160*#REF!</f>
        <v>#REF!</v>
      </c>
      <c r="W160" s="34"/>
      <c r="X160" s="1">
        <f>X157*$E$8</f>
        <v>1199998.8</v>
      </c>
      <c r="Y160" s="1">
        <f t="shared" ref="Y160:AA160" si="394">Y157*$E$8</f>
        <v>1199998.8</v>
      </c>
      <c r="Z160" s="1">
        <f t="shared" si="394"/>
        <v>1199998.8</v>
      </c>
      <c r="AA160" s="1">
        <f t="shared" si="394"/>
        <v>1199998.8</v>
      </c>
      <c r="AB160" s="34">
        <f>X160*VLOOKUP($B160,Types!$B$2:$D$13,3,FALSE)*Conv!$I$5*1000*365</f>
        <v>2905311.1322219619</v>
      </c>
      <c r="AC160" s="34">
        <f>Y160*VLOOKUP($B160,Types!$B$2:$D$13,3,FALSE)*Conv!$I$5*1000*365</f>
        <v>2905311.1322219619</v>
      </c>
      <c r="AD160" s="34">
        <f>Z160*VLOOKUP($B160,Types!$B$2:$D$13,3,FALSE)*Conv!$I$5*1000*365</f>
        <v>2905311.1322219619</v>
      </c>
      <c r="AE160" s="34">
        <f>AA160*VLOOKUP($B160,Types!$B$2:$D$13,3,FALSE)*Conv!$I$5*1000*365</f>
        <v>2905311.1322219619</v>
      </c>
      <c r="AF160" s="34">
        <f>AB160-AB157</f>
        <v>484218.52203699341</v>
      </c>
      <c r="AG160" s="34">
        <f t="shared" ref="AG160:AI160" si="395">AC160-AC157</f>
        <v>484218.52203699341</v>
      </c>
      <c r="AH160" s="34">
        <f t="shared" si="395"/>
        <v>484218.52203699341</v>
      </c>
      <c r="AI160" s="34">
        <f t="shared" si="395"/>
        <v>484218.52203699341</v>
      </c>
      <c r="AJ160" s="34"/>
      <c r="AK160" s="34"/>
      <c r="AL160" s="34"/>
    </row>
    <row r="161" spans="1:38">
      <c r="A161" s="1" t="str">
        <f t="shared" si="389"/>
        <v>Low Sulfur Fuel Oil</v>
      </c>
      <c r="B161" s="1" t="str">
        <f>VLOOKUP($A161,Types!$A$2:$C$13,2,FALSE)</f>
        <v>RFL</v>
      </c>
      <c r="C161" s="1">
        <v>5</v>
      </c>
      <c r="D161" s="1">
        <v>3</v>
      </c>
      <c r="E161" s="1" t="str">
        <f t="shared" si="328"/>
        <v>IMPRFLP35</v>
      </c>
      <c r="F161" s="1" t="str">
        <f>CONCATENATE("Imported ",VLOOKUP($A161,Types!$A$2:$C$13,3,FALSE),", PADD ",D161,", Step ",RIGHT(C161,1))</f>
        <v>Imported Low Sulfur Residual Fuel Oil, PADD 3, Step 5</v>
      </c>
      <c r="G161" s="1" t="str">
        <f>CONCATENATE(VLOOKUP($A161,Types!$A$2:$C$13,2,FALSE),"P",D161)</f>
        <v>RFLP3</v>
      </c>
      <c r="H161" s="61">
        <f>H157*$C$9</f>
        <v>56.056000000000004</v>
      </c>
      <c r="I161" s="61">
        <f t="shared" ref="I161:K161" si="396">I157*$C$9</f>
        <v>48.005100000000013</v>
      </c>
      <c r="J161" s="61">
        <f t="shared" si="396"/>
        <v>38.558</v>
      </c>
      <c r="K161" s="61">
        <f t="shared" si="396"/>
        <v>42.38</v>
      </c>
      <c r="L161" s="62">
        <f>H161*Conv!$J$20/10^6/VLOOKUP($B161,Types!$B$2:$D$13,3,FALSE)/Conv!$I$5</f>
        <v>12.967806733571189</v>
      </c>
      <c r="M161" s="62">
        <f>I161*Conv!$J$20/10^6/VLOOKUP($B161,Types!$B$2:$D$13,3,FALSE)/Conv!$I$5</f>
        <v>11.105338572601656</v>
      </c>
      <c r="N161" s="62" t="e">
        <f>M161*#REF!</f>
        <v>#REF!</v>
      </c>
      <c r="O161" s="62" t="e">
        <f>N161*#REF!</f>
        <v>#REF!</v>
      </c>
      <c r="P161" s="62" t="e">
        <f>O161*#REF!</f>
        <v>#REF!</v>
      </c>
      <c r="Q161" s="62" t="e">
        <f>P161*#REF!</f>
        <v>#REF!</v>
      </c>
      <c r="R161" s="62" t="e">
        <f>Q161*#REF!</f>
        <v>#REF!</v>
      </c>
      <c r="S161" s="62" t="e">
        <f>R161*#REF!</f>
        <v>#REF!</v>
      </c>
      <c r="T161" s="62" t="e">
        <f>S161*#REF!</f>
        <v>#REF!</v>
      </c>
      <c r="U161" s="62" t="e">
        <f>T161*#REF!</f>
        <v>#REF!</v>
      </c>
      <c r="V161" s="62" t="e">
        <f>U161*#REF!</f>
        <v>#REF!</v>
      </c>
      <c r="W161" s="34"/>
      <c r="X161" s="1">
        <f>X157*$E$9</f>
        <v>1999998</v>
      </c>
      <c r="Y161" s="1">
        <f t="shared" ref="Y161:AA161" si="397">Y157*$E$9</f>
        <v>1999998</v>
      </c>
      <c r="Z161" s="1">
        <f t="shared" si="397"/>
        <v>1999998</v>
      </c>
      <c r="AA161" s="1">
        <f t="shared" si="397"/>
        <v>1999998</v>
      </c>
      <c r="AB161" s="34">
        <f>X161*VLOOKUP($B161,Types!$B$2:$D$13,3,FALSE)*Conv!$I$5*1000*365</f>
        <v>4842185.2203699369</v>
      </c>
      <c r="AC161" s="34">
        <f>Y161*VLOOKUP($B161,Types!$B$2:$D$13,3,FALSE)*Conv!$I$5*1000*365</f>
        <v>4842185.2203699369</v>
      </c>
      <c r="AD161" s="34">
        <f>Z161*VLOOKUP($B161,Types!$B$2:$D$13,3,FALSE)*Conv!$I$5*1000*365</f>
        <v>4842185.2203699369</v>
      </c>
      <c r="AE161" s="34">
        <f>AA161*VLOOKUP($B161,Types!$B$2:$D$13,3,FALSE)*Conv!$I$5*1000*365</f>
        <v>4842185.2203699369</v>
      </c>
      <c r="AF161" s="34">
        <f>AB161-AB160</f>
        <v>1936874.088147975</v>
      </c>
      <c r="AG161" s="34">
        <f t="shared" ref="AG161:AI161" si="398">AC161-AC160</f>
        <v>1936874.088147975</v>
      </c>
      <c r="AH161" s="34">
        <f t="shared" si="398"/>
        <v>1936874.088147975</v>
      </c>
      <c r="AI161" s="34">
        <f t="shared" si="398"/>
        <v>1936874.088147975</v>
      </c>
      <c r="AJ161" s="34"/>
      <c r="AK161" s="34"/>
      <c r="AL161" s="34"/>
    </row>
    <row r="162" spans="1:38">
      <c r="A162" s="1" t="str">
        <f>'Agg prdcrv'!$A$11</f>
        <v>High Sulfur Fuel Oil</v>
      </c>
      <c r="B162" s="1" t="str">
        <f>VLOOKUP($A162,Types!$A$2:$C$13,2,FALSE)</f>
        <v>RFH</v>
      </c>
      <c r="C162" s="1">
        <v>3</v>
      </c>
      <c r="D162" s="1">
        <v>3</v>
      </c>
      <c r="E162" s="1" t="str">
        <f t="shared" si="328"/>
        <v>IMPRFHP33</v>
      </c>
      <c r="F162" s="1" t="str">
        <f>CONCATENATE("Imported ",VLOOKUP($A162,Types!$A$2:$C$13,3,FALSE),", PADD ",D162,", Step ",RIGHT(C162,1))</f>
        <v>Imported High Sulfur Residual Fuel Oil, PADD 3, Step 3</v>
      </c>
      <c r="G162" s="1" t="str">
        <f>CONCATENATE(VLOOKUP($A162,Types!$A$2:$C$13,2,FALSE),"P",D162)</f>
        <v>RFHP3</v>
      </c>
      <c r="H162" s="61">
        <f>SUMIFS('Agg prdcrv NYC'!$N$6:$N$100,'Agg prdcrv NYC'!$A$6:$A$100,'Imp Refined NYC'!$A162,'Agg prdcrv NYC'!$B$6:$B$100,H$11)*K4</f>
        <v>41.920999999999999</v>
      </c>
      <c r="I162" s="61">
        <f>SUMIFS('Agg prdcrv NYC'!$N$6:$N$100,'Agg prdcrv NYC'!$A$6:$A$100,'Imp Refined NYC'!$A162,'Agg prdcrv NYC'!$B$6:$B$100,I$11)*K4</f>
        <v>36.750999999999998</v>
      </c>
      <c r="J162" s="61">
        <f t="array" ref="J162">SUMIFS('Agg prdcrv NYC'!$N$6:$N$100,'Agg prdcrv NYC'!$A$6:$A$100,'Imp Refined NYC'!$A162,'Agg prdcrv NYC'!$B$6:$B$100,J$11)</f>
        <v>29.26</v>
      </c>
      <c r="K162" s="61">
        <f t="array" ref="K162">SUMIFS('Agg prdcrv NYC'!$N$6:$N$100,'Agg prdcrv NYC'!$A$6:$A$100,'Imp Refined NYC'!$A162,'Agg prdcrv NYC'!$B$6:$B$100,K$11)</f>
        <v>32.28</v>
      </c>
      <c r="L162" s="62">
        <f>H162*Conv!$J$20/10^6/VLOOKUP($B162,Types!$B$2:$D$13,3,FALSE)/Conv!$I$5</f>
        <v>9.697863316648311</v>
      </c>
      <c r="M162" s="62">
        <f>I162*Conv!$J$20/10^6/VLOOKUP($B162,Types!$B$2:$D$13,3,FALSE)/Conv!$I$5</f>
        <v>8.5018528839994776</v>
      </c>
      <c r="N162" s="62" t="e">
        <f>M162*#REF!</f>
        <v>#REF!</v>
      </c>
      <c r="O162" s="62" t="e">
        <f>N162*#REF!</f>
        <v>#REF!</v>
      </c>
      <c r="P162" s="62" t="e">
        <f>O162*#REF!</f>
        <v>#REF!</v>
      </c>
      <c r="Q162" s="62" t="e">
        <f>P162*#REF!</f>
        <v>#REF!</v>
      </c>
      <c r="R162" s="62" t="e">
        <f>Q162*#REF!</f>
        <v>#REF!</v>
      </c>
      <c r="S162" s="62" t="e">
        <f>R162*#REF!</f>
        <v>#REF!</v>
      </c>
      <c r="T162" s="62" t="e">
        <f>S162*#REF!</f>
        <v>#REF!</v>
      </c>
      <c r="U162" s="62" t="e">
        <f>T162*#REF!</f>
        <v>#REF!</v>
      </c>
      <c r="V162" s="62" t="e">
        <f>U162*#REF!</f>
        <v>#REF!</v>
      </c>
      <c r="W162" s="34"/>
      <c r="X162" s="1">
        <f t="array" ref="X162">SUMIFS('Agg prdcrv NYC'!$F$6:$F$100,'Agg prdcrv NYC'!$A$6:$A$100,'Imp Refined NYC'!$A162,'Agg prdcrv NYC'!$B$6:$B$100,X$11)</f>
        <v>999999</v>
      </c>
      <c r="Y162" s="1">
        <f t="array" ref="Y162">SUMIFS('Agg prdcrv NYC'!$F$6:$F$100,'Agg prdcrv NYC'!$A$6:$A$100,'Imp Refined NYC'!$A162,'Agg prdcrv NYC'!$B$6:$B$100,Y$11)</f>
        <v>999999</v>
      </c>
      <c r="Z162" s="1">
        <f t="array" ref="Z162">SUMIFS('Agg prdcrv NYC'!$F$6:$F$100,'Agg prdcrv NYC'!$A$6:$A$100,'Imp Refined NYC'!$A162,'Agg prdcrv NYC'!$B$6:$B$100,Z$11)</f>
        <v>999999</v>
      </c>
      <c r="AA162" s="1">
        <f t="array" ref="AA162">SUMIFS('Agg prdcrv NYC'!$F$6:$F$100,'Agg prdcrv NYC'!$A$6:$A$100,'Imp Refined NYC'!$A162,'Agg prdcrv NYC'!$B$6:$B$100,AA$11)</f>
        <v>999999</v>
      </c>
      <c r="AB162" s="34">
        <f>X162*VLOOKUP($B162,Types!$B$2:$D$13,3,FALSE)*Conv!$I$5*1000*365</f>
        <v>2421092.6101849684</v>
      </c>
      <c r="AC162" s="34">
        <f>Y162*VLOOKUP($B162,Types!$B$2:$D$13,3,FALSE)*Conv!$I$5*1000*365</f>
        <v>2421092.6101849684</v>
      </c>
      <c r="AD162" s="34">
        <f>Z162*VLOOKUP($B162,Types!$B$2:$D$13,3,FALSE)*Conv!$I$5*1000*365</f>
        <v>2421092.6101849684</v>
      </c>
      <c r="AE162" s="34">
        <f>AA162*VLOOKUP($B162,Types!$B$2:$D$13,3,FALSE)*Conv!$I$5*1000*365</f>
        <v>2421092.6101849684</v>
      </c>
      <c r="AF162" s="34">
        <f>AB162-AB164</f>
        <v>242109.26101849694</v>
      </c>
      <c r="AG162" s="34">
        <f t="shared" ref="AG162:AI162" si="399">AC162-AC164</f>
        <v>242109.26101849694</v>
      </c>
      <c r="AH162" s="34">
        <f t="shared" si="399"/>
        <v>242109.26101849694</v>
      </c>
      <c r="AI162" s="34">
        <f t="shared" si="399"/>
        <v>242109.26101849694</v>
      </c>
      <c r="AJ162" s="34"/>
      <c r="AK162" s="34"/>
      <c r="AL162" s="34"/>
    </row>
    <row r="163" spans="1:38">
      <c r="A163" s="1" t="str">
        <f>A162</f>
        <v>High Sulfur Fuel Oil</v>
      </c>
      <c r="B163" s="1" t="str">
        <f>VLOOKUP($A163,Types!$A$2:$C$13,2,FALSE)</f>
        <v>RFH</v>
      </c>
      <c r="C163" s="1">
        <v>1</v>
      </c>
      <c r="D163" s="1">
        <v>3</v>
      </c>
      <c r="E163" s="1" t="str">
        <f t="shared" si="328"/>
        <v>IMPRFHP31</v>
      </c>
      <c r="F163" s="1" t="str">
        <f>CONCATENATE("Imported ",VLOOKUP($A163,Types!$A$2:$C$13,3,FALSE),", PADD ",D163,", Step ",RIGHT(C163,1))</f>
        <v>Imported High Sulfur Residual Fuel Oil, PADD 3, Step 1</v>
      </c>
      <c r="G163" s="1" t="str">
        <f>CONCATENATE(VLOOKUP($A163,Types!$A$2:$C$13,2,FALSE),"P",D163)</f>
        <v>RFHP3</v>
      </c>
      <c r="H163" s="61">
        <f>H162*$C$5</f>
        <v>39.824949999999994</v>
      </c>
      <c r="I163" s="61">
        <f t="shared" ref="I163:K163" si="400">I162*$C$5</f>
        <v>34.913449999999997</v>
      </c>
      <c r="J163" s="61">
        <f t="shared" si="400"/>
        <v>27.797000000000001</v>
      </c>
      <c r="K163" s="61">
        <f t="shared" si="400"/>
        <v>30.666</v>
      </c>
      <c r="L163" s="62">
        <f>H163*Conv!$J$20/10^6/VLOOKUP($B163,Types!$B$2:$D$13,3,FALSE)/Conv!$I$5</f>
        <v>9.2129701508158952</v>
      </c>
      <c r="M163" s="62">
        <f>I163*Conv!$J$20/10^6/VLOOKUP($B163,Types!$B$2:$D$13,3,FALSE)/Conv!$I$5</f>
        <v>8.0767602397995031</v>
      </c>
      <c r="N163" s="62" t="e">
        <f>M163*#REF!</f>
        <v>#REF!</v>
      </c>
      <c r="O163" s="62" t="e">
        <f>N163*#REF!</f>
        <v>#REF!</v>
      </c>
      <c r="P163" s="62" t="e">
        <f>O163*#REF!</f>
        <v>#REF!</v>
      </c>
      <c r="Q163" s="62" t="e">
        <f>P163*#REF!</f>
        <v>#REF!</v>
      </c>
      <c r="R163" s="62" t="e">
        <f>Q163*#REF!</f>
        <v>#REF!</v>
      </c>
      <c r="S163" s="62" t="e">
        <f>R163*#REF!</f>
        <v>#REF!</v>
      </c>
      <c r="T163" s="62" t="e">
        <f>S163*#REF!</f>
        <v>#REF!</v>
      </c>
      <c r="U163" s="62" t="e">
        <f>T163*#REF!</f>
        <v>#REF!</v>
      </c>
      <c r="V163" s="62" t="e">
        <f>U163*#REF!</f>
        <v>#REF!</v>
      </c>
      <c r="W163" s="34"/>
      <c r="X163" s="1">
        <f>X162*$E$5</f>
        <v>799999.20000000007</v>
      </c>
      <c r="Y163" s="1">
        <f t="shared" ref="Y163:AA163" si="401">Y162*$E$5</f>
        <v>799999.20000000007</v>
      </c>
      <c r="Z163" s="1">
        <f t="shared" si="401"/>
        <v>799999.20000000007</v>
      </c>
      <c r="AA163" s="1">
        <f t="shared" si="401"/>
        <v>799999.20000000007</v>
      </c>
      <c r="AB163" s="34">
        <f>X163*VLOOKUP($B163,Types!$B$2:$D$13,3,FALSE)*Conv!$I$5*1000*365</f>
        <v>1936874.088147975</v>
      </c>
      <c r="AC163" s="34">
        <f>Y163*VLOOKUP($B163,Types!$B$2:$D$13,3,FALSE)*Conv!$I$5*1000*365</f>
        <v>1936874.088147975</v>
      </c>
      <c r="AD163" s="34">
        <f>Z163*VLOOKUP($B163,Types!$B$2:$D$13,3,FALSE)*Conv!$I$5*1000*365</f>
        <v>1936874.088147975</v>
      </c>
      <c r="AE163" s="34">
        <f>AA163*VLOOKUP($B163,Types!$B$2:$D$13,3,FALSE)*Conv!$I$5*1000*365</f>
        <v>1936874.088147975</v>
      </c>
      <c r="AF163" s="34">
        <f>AB163</f>
        <v>1936874.088147975</v>
      </c>
      <c r="AG163" s="34">
        <f t="shared" ref="AG163:AI163" si="402">AC163</f>
        <v>1936874.088147975</v>
      </c>
      <c r="AH163" s="34">
        <f t="shared" si="402"/>
        <v>1936874.088147975</v>
      </c>
      <c r="AI163" s="34">
        <f t="shared" si="402"/>
        <v>1936874.088147975</v>
      </c>
      <c r="AJ163" s="34"/>
      <c r="AK163" s="34"/>
      <c r="AL163" s="34"/>
    </row>
    <row r="164" spans="1:38">
      <c r="A164" s="1" t="str">
        <f t="shared" ref="A164:A166" si="403">A163</f>
        <v>High Sulfur Fuel Oil</v>
      </c>
      <c r="B164" s="1" t="str">
        <f>VLOOKUP($A164,Types!$A$2:$C$13,2,FALSE)</f>
        <v>RFH</v>
      </c>
      <c r="C164" s="1">
        <v>2</v>
      </c>
      <c r="D164" s="1">
        <v>3</v>
      </c>
      <c r="E164" s="1" t="str">
        <f t="shared" si="328"/>
        <v>IMPRFHP32</v>
      </c>
      <c r="F164" s="1" t="str">
        <f>CONCATENATE("Imported ",VLOOKUP($A164,Types!$A$2:$C$13,3,FALSE),", PADD ",D164,", Step ",RIGHT(C164,1))</f>
        <v>Imported High Sulfur Residual Fuel Oil, PADD 3, Step 2</v>
      </c>
      <c r="G164" s="1" t="str">
        <f>CONCATENATE(VLOOKUP($A164,Types!$A$2:$C$13,2,FALSE),"P",D164)</f>
        <v>RFHP3</v>
      </c>
      <c r="H164" s="61">
        <f>H162*$C$6</f>
        <v>41.08258</v>
      </c>
      <c r="I164" s="61">
        <f t="shared" ref="I164:K164" si="404">I162*$C$6</f>
        <v>36.015979999999999</v>
      </c>
      <c r="J164" s="61">
        <f t="shared" si="404"/>
        <v>28.674800000000001</v>
      </c>
      <c r="K164" s="61">
        <f t="shared" si="404"/>
        <v>31.634399999999999</v>
      </c>
      <c r="L164" s="62">
        <f>H164*Conv!$J$20/10^6/VLOOKUP($B164,Types!$B$2:$D$13,3,FALSE)/Conv!$I$5</f>
        <v>9.5039060503153454</v>
      </c>
      <c r="M164" s="62">
        <f>I164*Conv!$J$20/10^6/VLOOKUP($B164,Types!$B$2:$D$13,3,FALSE)/Conv!$I$5</f>
        <v>8.3318158263194881</v>
      </c>
      <c r="N164" s="62" t="e">
        <f>M164*#REF!</f>
        <v>#REF!</v>
      </c>
      <c r="O164" s="62" t="e">
        <f>N164*#REF!</f>
        <v>#REF!</v>
      </c>
      <c r="P164" s="62" t="e">
        <f>O164*#REF!</f>
        <v>#REF!</v>
      </c>
      <c r="Q164" s="62" t="e">
        <f>P164*#REF!</f>
        <v>#REF!</v>
      </c>
      <c r="R164" s="62" t="e">
        <f>Q164*#REF!</f>
        <v>#REF!</v>
      </c>
      <c r="S164" s="62" t="e">
        <f>R164*#REF!</f>
        <v>#REF!</v>
      </c>
      <c r="T164" s="62" t="e">
        <f>S164*#REF!</f>
        <v>#REF!</v>
      </c>
      <c r="U164" s="62" t="e">
        <f>T164*#REF!</f>
        <v>#REF!</v>
      </c>
      <c r="V164" s="62" t="e">
        <f>U164*#REF!</f>
        <v>#REF!</v>
      </c>
      <c r="W164" s="34"/>
      <c r="X164" s="1">
        <f>X162*$E$6</f>
        <v>899999.1</v>
      </c>
      <c r="Y164" s="1">
        <f t="shared" ref="Y164:AA164" si="405">Y162*$E$6</f>
        <v>899999.1</v>
      </c>
      <c r="Z164" s="1">
        <f t="shared" si="405"/>
        <v>899999.1</v>
      </c>
      <c r="AA164" s="1">
        <f t="shared" si="405"/>
        <v>899999.1</v>
      </c>
      <c r="AB164" s="34">
        <f>X164*VLOOKUP($B164,Types!$B$2:$D$13,3,FALSE)*Conv!$I$5*1000*365</f>
        <v>2178983.3491664715</v>
      </c>
      <c r="AC164" s="34">
        <f>Y164*VLOOKUP($B164,Types!$B$2:$D$13,3,FALSE)*Conv!$I$5*1000*365</f>
        <v>2178983.3491664715</v>
      </c>
      <c r="AD164" s="34">
        <f>Z164*VLOOKUP($B164,Types!$B$2:$D$13,3,FALSE)*Conv!$I$5*1000*365</f>
        <v>2178983.3491664715</v>
      </c>
      <c r="AE164" s="34">
        <f>AA164*VLOOKUP($B164,Types!$B$2:$D$13,3,FALSE)*Conv!$I$5*1000*365</f>
        <v>2178983.3491664715</v>
      </c>
      <c r="AF164" s="34">
        <f>AB164-AF163</f>
        <v>242109.26101849647</v>
      </c>
      <c r="AG164" s="34">
        <f t="shared" ref="AG164:AI164" si="406">AC164-AG163</f>
        <v>242109.26101849647</v>
      </c>
      <c r="AH164" s="34">
        <f t="shared" si="406"/>
        <v>242109.26101849647</v>
      </c>
      <c r="AI164" s="34">
        <f t="shared" si="406"/>
        <v>242109.26101849647</v>
      </c>
      <c r="AJ164" s="34"/>
      <c r="AK164" s="34"/>
      <c r="AL164" s="34"/>
    </row>
    <row r="165" spans="1:38">
      <c r="A165" s="1" t="str">
        <f t="shared" si="403"/>
        <v>High Sulfur Fuel Oil</v>
      </c>
      <c r="B165" s="1" t="str">
        <f>VLOOKUP($A165,Types!$A$2:$C$13,2,FALSE)</f>
        <v>RFH</v>
      </c>
      <c r="C165" s="1">
        <v>4</v>
      </c>
      <c r="D165" s="1">
        <v>3</v>
      </c>
      <c r="E165" s="1" t="str">
        <f t="shared" si="328"/>
        <v>IMPRFHP34</v>
      </c>
      <c r="F165" s="1" t="str">
        <f>CONCATENATE("Imported ",VLOOKUP($A165,Types!$A$2:$C$13,3,FALSE),", PADD ",D165,", Step ",RIGHT(C165,1))</f>
        <v>Imported High Sulfur Residual Fuel Oil, PADD 3, Step 4</v>
      </c>
      <c r="G165" s="1" t="str">
        <f>CONCATENATE(VLOOKUP($A165,Types!$A$2:$C$13,2,FALSE),"P",D165)</f>
        <v>RFHP3</v>
      </c>
      <c r="H165" s="61">
        <f>H162*$C$8</f>
        <v>45.693890000000003</v>
      </c>
      <c r="I165" s="61">
        <f t="shared" ref="I165:K165" si="407">I162*$C$8</f>
        <v>40.058590000000002</v>
      </c>
      <c r="J165" s="61">
        <f t="shared" si="407"/>
        <v>31.893400000000003</v>
      </c>
      <c r="K165" s="61">
        <f t="shared" si="407"/>
        <v>35.185200000000002</v>
      </c>
      <c r="L165" s="62">
        <f>H165*Conv!$J$20/10^6/VLOOKUP($B165,Types!$B$2:$D$13,3,FALSE)/Conv!$I$5</f>
        <v>10.57067101514666</v>
      </c>
      <c r="M165" s="62">
        <f>I165*Conv!$J$20/10^6/VLOOKUP($B165,Types!$B$2:$D$13,3,FALSE)/Conv!$I$5</f>
        <v>9.267019643559431</v>
      </c>
      <c r="N165" s="62" t="e">
        <f>M165*#REF!</f>
        <v>#REF!</v>
      </c>
      <c r="O165" s="62" t="e">
        <f>N165*#REF!</f>
        <v>#REF!</v>
      </c>
      <c r="P165" s="62" t="e">
        <f>O165*#REF!</f>
        <v>#REF!</v>
      </c>
      <c r="Q165" s="62" t="e">
        <f>P165*#REF!</f>
        <v>#REF!</v>
      </c>
      <c r="R165" s="62" t="e">
        <f>Q165*#REF!</f>
        <v>#REF!</v>
      </c>
      <c r="S165" s="62" t="e">
        <f>R165*#REF!</f>
        <v>#REF!</v>
      </c>
      <c r="T165" s="62" t="e">
        <f>S165*#REF!</f>
        <v>#REF!</v>
      </c>
      <c r="U165" s="62" t="e">
        <f>T165*#REF!</f>
        <v>#REF!</v>
      </c>
      <c r="V165" s="62" t="e">
        <f>U165*#REF!</f>
        <v>#REF!</v>
      </c>
      <c r="W165" s="34"/>
      <c r="X165" s="1">
        <f>X162*$E$8</f>
        <v>1199998.8</v>
      </c>
      <c r="Y165" s="1">
        <f t="shared" ref="Y165:AA165" si="408">Y162*$E$8</f>
        <v>1199998.8</v>
      </c>
      <c r="Z165" s="1">
        <f t="shared" si="408"/>
        <v>1199998.8</v>
      </c>
      <c r="AA165" s="1">
        <f t="shared" si="408"/>
        <v>1199998.8</v>
      </c>
      <c r="AB165" s="34">
        <f>X165*VLOOKUP($B165,Types!$B$2:$D$13,3,FALSE)*Conv!$I$5*1000*365</f>
        <v>2905311.1322219619</v>
      </c>
      <c r="AC165" s="34">
        <f>Y165*VLOOKUP($B165,Types!$B$2:$D$13,3,FALSE)*Conv!$I$5*1000*365</f>
        <v>2905311.1322219619</v>
      </c>
      <c r="AD165" s="34">
        <f>Z165*VLOOKUP($B165,Types!$B$2:$D$13,3,FALSE)*Conv!$I$5*1000*365</f>
        <v>2905311.1322219619</v>
      </c>
      <c r="AE165" s="34">
        <f>AA165*VLOOKUP($B165,Types!$B$2:$D$13,3,FALSE)*Conv!$I$5*1000*365</f>
        <v>2905311.1322219619</v>
      </c>
      <c r="AF165" s="34">
        <f>AB165-AB162</f>
        <v>484218.52203699341</v>
      </c>
      <c r="AG165" s="34">
        <f t="shared" ref="AG165:AI165" si="409">AC165-AC162</f>
        <v>484218.52203699341</v>
      </c>
      <c r="AH165" s="34">
        <f t="shared" si="409"/>
        <v>484218.52203699341</v>
      </c>
      <c r="AI165" s="34">
        <f t="shared" si="409"/>
        <v>484218.52203699341</v>
      </c>
      <c r="AJ165" s="34"/>
      <c r="AK165" s="34"/>
      <c r="AL165" s="34"/>
    </row>
    <row r="166" spans="1:38">
      <c r="A166" s="1" t="str">
        <f t="shared" si="403"/>
        <v>High Sulfur Fuel Oil</v>
      </c>
      <c r="B166" s="1" t="str">
        <f>VLOOKUP($A166,Types!$A$2:$C$13,2,FALSE)</f>
        <v>RFH</v>
      </c>
      <c r="C166" s="1">
        <v>5</v>
      </c>
      <c r="D166" s="1">
        <v>3</v>
      </c>
      <c r="E166" s="1" t="str">
        <f t="shared" si="328"/>
        <v>IMPRFHP35</v>
      </c>
      <c r="F166" s="1" t="str">
        <f>CONCATENATE("Imported ",VLOOKUP($A166,Types!$A$2:$C$13,3,FALSE),", PADD ",D166,", Step ",RIGHT(C166,1))</f>
        <v>Imported High Sulfur Residual Fuel Oil, PADD 3, Step 5</v>
      </c>
      <c r="G166" s="1" t="str">
        <f>CONCATENATE(VLOOKUP($A166,Types!$A$2:$C$13,2,FALSE),"P",D166)</f>
        <v>RFHP3</v>
      </c>
      <c r="H166" s="61">
        <f>H162*$C$9</f>
        <v>54.497300000000003</v>
      </c>
      <c r="I166" s="61">
        <f t="shared" ref="I166:K166" si="410">I162*$C$9</f>
        <v>47.776299999999999</v>
      </c>
      <c r="J166" s="61">
        <f t="shared" si="410"/>
        <v>38.038000000000004</v>
      </c>
      <c r="K166" s="61">
        <f t="shared" si="410"/>
        <v>41.964000000000006</v>
      </c>
      <c r="L166" s="62">
        <f>H166*Conv!$J$20/10^6/VLOOKUP($B166,Types!$B$2:$D$13,3,FALSE)/Conv!$I$5</f>
        <v>12.607222311642806</v>
      </c>
      <c r="M166" s="62">
        <f>I166*Conv!$J$20/10^6/VLOOKUP($B166,Types!$B$2:$D$13,3,FALSE)/Conv!$I$5</f>
        <v>11.052408749199319</v>
      </c>
      <c r="N166" s="62" t="e">
        <f>M166*#REF!</f>
        <v>#REF!</v>
      </c>
      <c r="O166" s="62" t="e">
        <f>N166*#REF!</f>
        <v>#REF!</v>
      </c>
      <c r="P166" s="62" t="e">
        <f>O166*#REF!</f>
        <v>#REF!</v>
      </c>
      <c r="Q166" s="62" t="e">
        <f>P166*#REF!</f>
        <v>#REF!</v>
      </c>
      <c r="R166" s="62" t="e">
        <f>Q166*#REF!</f>
        <v>#REF!</v>
      </c>
      <c r="S166" s="62" t="e">
        <f>R166*#REF!</f>
        <v>#REF!</v>
      </c>
      <c r="T166" s="62" t="e">
        <f>S166*#REF!</f>
        <v>#REF!</v>
      </c>
      <c r="U166" s="62" t="e">
        <f>T166*#REF!</f>
        <v>#REF!</v>
      </c>
      <c r="V166" s="62" t="e">
        <f>U166*#REF!</f>
        <v>#REF!</v>
      </c>
      <c r="W166" s="34"/>
      <c r="X166" s="1">
        <f>X162*$E$9</f>
        <v>1999998</v>
      </c>
      <c r="Y166" s="1">
        <f t="shared" ref="Y166:AA166" si="411">Y162*$E$9</f>
        <v>1999998</v>
      </c>
      <c r="Z166" s="1">
        <f t="shared" si="411"/>
        <v>1999998</v>
      </c>
      <c r="AA166" s="1">
        <f t="shared" si="411"/>
        <v>1999998</v>
      </c>
      <c r="AB166" s="34">
        <f>X166*VLOOKUP($B166,Types!$B$2:$D$13,3,FALSE)*Conv!$I$5*1000*365</f>
        <v>4842185.2203699369</v>
      </c>
      <c r="AC166" s="34">
        <f>Y166*VLOOKUP($B166,Types!$B$2:$D$13,3,FALSE)*Conv!$I$5*1000*365</f>
        <v>4842185.2203699369</v>
      </c>
      <c r="AD166" s="34">
        <f>Z166*VLOOKUP($B166,Types!$B$2:$D$13,3,FALSE)*Conv!$I$5*1000*365</f>
        <v>4842185.2203699369</v>
      </c>
      <c r="AE166" s="34">
        <f>AA166*VLOOKUP($B166,Types!$B$2:$D$13,3,FALSE)*Conv!$I$5*1000*365</f>
        <v>4842185.2203699369</v>
      </c>
      <c r="AF166" s="34">
        <f>AB166-AB165</f>
        <v>1936874.088147975</v>
      </c>
      <c r="AG166" s="34">
        <f t="shared" ref="AG166:AI166" si="412">AC166-AC165</f>
        <v>1936874.088147975</v>
      </c>
      <c r="AH166" s="34">
        <f t="shared" si="412"/>
        <v>1936874.088147975</v>
      </c>
      <c r="AI166" s="34">
        <f t="shared" si="412"/>
        <v>1936874.088147975</v>
      </c>
      <c r="AJ166" s="34"/>
      <c r="AK166" s="34"/>
      <c r="AL166" s="34"/>
    </row>
    <row r="167" spans="1:38">
      <c r="A167" s="1" t="str">
        <f>'Agg prdcrv'!$A$12</f>
        <v>Jet Fuel</v>
      </c>
      <c r="B167" s="1" t="str">
        <f>VLOOKUP($A167,Types!$A$2:$C$13,2,FALSE)</f>
        <v>JTF</v>
      </c>
      <c r="C167" s="1">
        <v>3</v>
      </c>
      <c r="D167" s="1">
        <v>3</v>
      </c>
      <c r="E167" s="1" t="str">
        <f t="shared" si="328"/>
        <v>IMPJTFP33</v>
      </c>
      <c r="F167" s="1" t="str">
        <f>CONCATENATE("Imported ",VLOOKUP($A167,Types!$A$2:$C$13,3,FALSE),", PADD ",D167,", Step ",RIGHT(C167,1))</f>
        <v>Imported Jet Fuel, PADD 3, Step 3</v>
      </c>
      <c r="G167" s="1" t="str">
        <f>CONCATENATE(VLOOKUP($A167,Types!$A$2:$C$13,2,FALSE),"P",D167)</f>
        <v>JTFP3</v>
      </c>
      <c r="H167" s="61">
        <f>SUMIFS('Agg prdcrv NYC'!$N$6:$N$100,'Agg prdcrv NYC'!$A$6:$A$100,'Imp Refined NYC'!$A167,'Agg prdcrv NYC'!$B$6:$B$100,H$11)*K4</f>
        <v>47.597000000000008</v>
      </c>
      <c r="I167" s="61">
        <f>SUMIFS('Agg prdcrv NYC'!$N$6:$N$100,'Agg prdcrv NYC'!$A$6:$A$100,'Imp Refined NYC'!$A167,'Agg prdcrv NYC'!$B$6:$B$100,I$11)*K4</f>
        <v>42.581000000000003</v>
      </c>
      <c r="J167" s="61">
        <f t="array" ref="J167">SUMIFS('Agg prdcrv NYC'!$N$6:$N$100,'Agg prdcrv NYC'!$A$6:$A$100,'Imp Refined NYC'!$A167,'Agg prdcrv NYC'!$B$6:$B$100,J$11)</f>
        <v>34.159999999999997</v>
      </c>
      <c r="K167" s="61">
        <f t="array" ref="K167">SUMIFS('Agg prdcrv NYC'!$N$6:$N$100,'Agg prdcrv NYC'!$A$6:$A$100,'Imp Refined NYC'!$A167,'Agg prdcrv NYC'!$B$6:$B$100,K$11)</f>
        <v>37.28</v>
      </c>
      <c r="L167" s="62">
        <f>H167*Conv!$J$20/10^6/VLOOKUP($B167,Types!$B$2:$D$13,3,FALSE)/Conv!$I$5</f>
        <v>12.209121247402738</v>
      </c>
      <c r="M167" s="62">
        <f>I167*Conv!$J$20/10^6/VLOOKUP($B167,Types!$B$2:$D$13,3,FALSE)/Conv!$I$5</f>
        <v>10.922465530089204</v>
      </c>
      <c r="N167" s="62" t="e">
        <f>M167*#REF!</f>
        <v>#REF!</v>
      </c>
      <c r="O167" s="62" t="e">
        <f>N167*#REF!</f>
        <v>#REF!</v>
      </c>
      <c r="P167" s="62" t="e">
        <f>O167*#REF!</f>
        <v>#REF!</v>
      </c>
      <c r="Q167" s="62" t="e">
        <f>P167*#REF!</f>
        <v>#REF!</v>
      </c>
      <c r="R167" s="62" t="e">
        <f>Q167*#REF!</f>
        <v>#REF!</v>
      </c>
      <c r="S167" s="62" t="e">
        <f>R167*#REF!</f>
        <v>#REF!</v>
      </c>
      <c r="T167" s="62" t="e">
        <f>S167*#REF!</f>
        <v>#REF!</v>
      </c>
      <c r="U167" s="62" t="e">
        <f>T167*#REF!</f>
        <v>#REF!</v>
      </c>
      <c r="V167" s="62" t="e">
        <f>U167*#REF!</f>
        <v>#REF!</v>
      </c>
      <c r="W167" s="34"/>
      <c r="X167" s="1">
        <f t="array" ref="X167">SUMIFS('Agg prdcrv NYC'!$F$6:$F$100,'Agg prdcrv NYC'!$A$6:$A$100,'Imp Refined NYC'!$A167,'Agg prdcrv NYC'!$B$6:$B$100,X$11)</f>
        <v>999999</v>
      </c>
      <c r="Y167" s="1">
        <f t="array" ref="Y167">SUMIFS('Agg prdcrv NYC'!$F$6:$F$100,'Agg prdcrv NYC'!$A$6:$A$100,'Imp Refined NYC'!$A167,'Agg prdcrv NYC'!$B$6:$B$100,Y$11)</f>
        <v>999999</v>
      </c>
      <c r="Z167" s="1">
        <f t="array" ref="Z167">SUMIFS('Agg prdcrv NYC'!$F$6:$F$100,'Agg prdcrv NYC'!$A$6:$A$100,'Imp Refined NYC'!$A167,'Agg prdcrv NYC'!$B$6:$B$100,Z$11)</f>
        <v>999999</v>
      </c>
      <c r="AA167" s="1">
        <f t="array" ref="AA167">SUMIFS('Agg prdcrv NYC'!$F$6:$F$100,'Agg prdcrv NYC'!$A$6:$A$100,'Imp Refined NYC'!$A167,'Agg prdcrv NYC'!$B$6:$B$100,AA$11)</f>
        <v>999999</v>
      </c>
      <c r="AB167" s="34">
        <f>X167*VLOOKUP($B167,Types!$B$2:$D$13,3,FALSE)*Conv!$I$5*1000*365</f>
        <v>2183488.9613088551</v>
      </c>
      <c r="AC167" s="34">
        <f>Y167*VLOOKUP($B167,Types!$B$2:$D$13,3,FALSE)*Conv!$I$5*1000*365</f>
        <v>2183488.9613088551</v>
      </c>
      <c r="AD167" s="34">
        <f>Z167*VLOOKUP($B167,Types!$B$2:$D$13,3,FALSE)*Conv!$I$5*1000*365</f>
        <v>2183488.9613088551</v>
      </c>
      <c r="AE167" s="34">
        <f>AA167*VLOOKUP($B167,Types!$B$2:$D$13,3,FALSE)*Conv!$I$5*1000*365</f>
        <v>2183488.9613088551</v>
      </c>
      <c r="AF167" s="34">
        <f>AB167-AB169</f>
        <v>218348.8961308857</v>
      </c>
      <c r="AG167" s="34">
        <f t="shared" ref="AG167:AI167" si="413">AC167-AC169</f>
        <v>218348.8961308857</v>
      </c>
      <c r="AH167" s="34">
        <f t="shared" si="413"/>
        <v>218348.8961308857</v>
      </c>
      <c r="AI167" s="34">
        <f t="shared" si="413"/>
        <v>218348.8961308857</v>
      </c>
      <c r="AJ167" s="34"/>
      <c r="AK167" s="34"/>
      <c r="AL167" s="34"/>
    </row>
    <row r="168" spans="1:38">
      <c r="A168" s="1" t="str">
        <f>A167</f>
        <v>Jet Fuel</v>
      </c>
      <c r="B168" s="1" t="str">
        <f>VLOOKUP($A168,Types!$A$2:$C$13,2,FALSE)</f>
        <v>JTF</v>
      </c>
      <c r="C168" s="1">
        <v>1</v>
      </c>
      <c r="D168" s="1">
        <v>3</v>
      </c>
      <c r="E168" s="1" t="str">
        <f t="shared" si="328"/>
        <v>IMPJTFP31</v>
      </c>
      <c r="F168" s="1" t="str">
        <f>CONCATENATE("Imported ",VLOOKUP($A168,Types!$A$2:$C$13,3,FALSE),", PADD ",D168,", Step ",RIGHT(C168,1))</f>
        <v>Imported Jet Fuel, PADD 3, Step 1</v>
      </c>
      <c r="G168" s="1" t="str">
        <f>CONCATENATE(VLOOKUP($A168,Types!$A$2:$C$13,2,FALSE),"P",D168)</f>
        <v>JTFP3</v>
      </c>
      <c r="H168" s="61">
        <f>H167*$C$5</f>
        <v>45.217150000000004</v>
      </c>
      <c r="I168" s="61">
        <f t="shared" ref="I168:K168" si="414">I167*$C$5</f>
        <v>40.451950000000004</v>
      </c>
      <c r="J168" s="61">
        <f t="shared" si="414"/>
        <v>32.451999999999998</v>
      </c>
      <c r="K168" s="61">
        <f t="shared" si="414"/>
        <v>35.415999999999997</v>
      </c>
      <c r="L168" s="62">
        <f>H168*Conv!$J$20/10^6/VLOOKUP($B168,Types!$B$2:$D$13,3,FALSE)/Conv!$I$5</f>
        <v>11.598665185032601</v>
      </c>
      <c r="M168" s="62">
        <f>I168*Conv!$J$20/10^6/VLOOKUP($B168,Types!$B$2:$D$13,3,FALSE)/Conv!$I$5</f>
        <v>10.376342253584745</v>
      </c>
      <c r="N168" s="62" t="e">
        <f>M168*#REF!</f>
        <v>#REF!</v>
      </c>
      <c r="O168" s="62" t="e">
        <f>N168*#REF!</f>
        <v>#REF!</v>
      </c>
      <c r="P168" s="62" t="e">
        <f>O168*#REF!</f>
        <v>#REF!</v>
      </c>
      <c r="Q168" s="62" t="e">
        <f>P168*#REF!</f>
        <v>#REF!</v>
      </c>
      <c r="R168" s="62" t="e">
        <f>Q168*#REF!</f>
        <v>#REF!</v>
      </c>
      <c r="S168" s="62" t="e">
        <f>R168*#REF!</f>
        <v>#REF!</v>
      </c>
      <c r="T168" s="62" t="e">
        <f>S168*#REF!</f>
        <v>#REF!</v>
      </c>
      <c r="U168" s="62" t="e">
        <f>T168*#REF!</f>
        <v>#REF!</v>
      </c>
      <c r="V168" s="62" t="e">
        <f>U168*#REF!</f>
        <v>#REF!</v>
      </c>
      <c r="W168" s="34"/>
      <c r="X168" s="1">
        <f>X167*$E$5</f>
        <v>799999.20000000007</v>
      </c>
      <c r="Y168" s="1">
        <f t="shared" ref="Y168:AA168" si="415">Y167*$E$5</f>
        <v>799999.20000000007</v>
      </c>
      <c r="Z168" s="1">
        <f t="shared" si="415"/>
        <v>799999.20000000007</v>
      </c>
      <c r="AA168" s="1">
        <f t="shared" si="415"/>
        <v>799999.20000000007</v>
      </c>
      <c r="AB168" s="34">
        <f>X168*VLOOKUP($B168,Types!$B$2:$D$13,3,FALSE)*Conv!$I$5*1000*365</f>
        <v>1746791.1690470844</v>
      </c>
      <c r="AC168" s="34">
        <f>Y168*VLOOKUP($B168,Types!$B$2:$D$13,3,FALSE)*Conv!$I$5*1000*365</f>
        <v>1746791.1690470844</v>
      </c>
      <c r="AD168" s="34">
        <f>Z168*VLOOKUP($B168,Types!$B$2:$D$13,3,FALSE)*Conv!$I$5*1000*365</f>
        <v>1746791.1690470844</v>
      </c>
      <c r="AE168" s="34">
        <f>AA168*VLOOKUP($B168,Types!$B$2:$D$13,3,FALSE)*Conv!$I$5*1000*365</f>
        <v>1746791.1690470844</v>
      </c>
      <c r="AF168" s="34">
        <f>AB168</f>
        <v>1746791.1690470844</v>
      </c>
      <c r="AG168" s="34">
        <f t="shared" ref="AG168:AI168" si="416">AC168</f>
        <v>1746791.1690470844</v>
      </c>
      <c r="AH168" s="34">
        <f t="shared" si="416"/>
        <v>1746791.1690470844</v>
      </c>
      <c r="AI168" s="34">
        <f t="shared" si="416"/>
        <v>1746791.1690470844</v>
      </c>
      <c r="AJ168" s="34"/>
      <c r="AK168" s="34"/>
      <c r="AL168" s="34"/>
    </row>
    <row r="169" spans="1:38">
      <c r="A169" s="1" t="str">
        <f t="shared" ref="A169:A171" si="417">A168</f>
        <v>Jet Fuel</v>
      </c>
      <c r="B169" s="1" t="str">
        <f>VLOOKUP($A169,Types!$A$2:$C$13,2,FALSE)</f>
        <v>JTF</v>
      </c>
      <c r="C169" s="1">
        <v>2</v>
      </c>
      <c r="D169" s="1">
        <v>3</v>
      </c>
      <c r="E169" s="1" t="str">
        <f t="shared" si="328"/>
        <v>IMPJTFP32</v>
      </c>
      <c r="F169" s="1" t="str">
        <f>CONCATENATE("Imported ",VLOOKUP($A169,Types!$A$2:$C$13,3,FALSE),", PADD ",D169,", Step ",RIGHT(C169,1))</f>
        <v>Imported Jet Fuel, PADD 3, Step 2</v>
      </c>
      <c r="G169" s="1" t="str">
        <f>CONCATENATE(VLOOKUP($A169,Types!$A$2:$C$13,2,FALSE),"P",D169)</f>
        <v>JTFP3</v>
      </c>
      <c r="H169" s="61">
        <f>H167*$C$6</f>
        <v>46.645060000000008</v>
      </c>
      <c r="I169" s="61">
        <f t="shared" ref="I169:K169" si="418">I167*$C$6</f>
        <v>41.729379999999999</v>
      </c>
      <c r="J169" s="61">
        <f t="shared" si="418"/>
        <v>33.476799999999997</v>
      </c>
      <c r="K169" s="61">
        <f t="shared" si="418"/>
        <v>36.534399999999998</v>
      </c>
      <c r="L169" s="62">
        <f>H169*Conv!$J$20/10^6/VLOOKUP($B169,Types!$B$2:$D$13,3,FALSE)/Conv!$I$5</f>
        <v>11.964938822454684</v>
      </c>
      <c r="M169" s="62">
        <f>I169*Conv!$J$20/10^6/VLOOKUP($B169,Types!$B$2:$D$13,3,FALSE)/Conv!$I$5</f>
        <v>10.704016219487421</v>
      </c>
      <c r="N169" s="62" t="e">
        <f>M169*#REF!</f>
        <v>#REF!</v>
      </c>
      <c r="O169" s="62" t="e">
        <f>N169*#REF!</f>
        <v>#REF!</v>
      </c>
      <c r="P169" s="62" t="e">
        <f>O169*#REF!</f>
        <v>#REF!</v>
      </c>
      <c r="Q169" s="62" t="e">
        <f>P169*#REF!</f>
        <v>#REF!</v>
      </c>
      <c r="R169" s="62" t="e">
        <f>Q169*#REF!</f>
        <v>#REF!</v>
      </c>
      <c r="S169" s="62" t="e">
        <f>R169*#REF!</f>
        <v>#REF!</v>
      </c>
      <c r="T169" s="62" t="e">
        <f>S169*#REF!</f>
        <v>#REF!</v>
      </c>
      <c r="U169" s="62" t="e">
        <f>T169*#REF!</f>
        <v>#REF!</v>
      </c>
      <c r="V169" s="62" t="e">
        <f>U169*#REF!</f>
        <v>#REF!</v>
      </c>
      <c r="W169" s="34"/>
      <c r="X169" s="1">
        <f>X167*$E$6</f>
        <v>899999.1</v>
      </c>
      <c r="Y169" s="1">
        <f t="shared" ref="Y169:AA169" si="419">Y167*$E$6</f>
        <v>899999.1</v>
      </c>
      <c r="Z169" s="1">
        <f t="shared" si="419"/>
        <v>899999.1</v>
      </c>
      <c r="AA169" s="1">
        <f t="shared" si="419"/>
        <v>899999.1</v>
      </c>
      <c r="AB169" s="34">
        <f>X169*VLOOKUP($B169,Types!$B$2:$D$13,3,FALSE)*Conv!$I$5*1000*365</f>
        <v>1965140.0651779694</v>
      </c>
      <c r="AC169" s="34">
        <f>Y169*VLOOKUP($B169,Types!$B$2:$D$13,3,FALSE)*Conv!$I$5*1000*365</f>
        <v>1965140.0651779694</v>
      </c>
      <c r="AD169" s="34">
        <f>Z169*VLOOKUP($B169,Types!$B$2:$D$13,3,FALSE)*Conv!$I$5*1000*365</f>
        <v>1965140.0651779694</v>
      </c>
      <c r="AE169" s="34">
        <f>AA169*VLOOKUP($B169,Types!$B$2:$D$13,3,FALSE)*Conv!$I$5*1000*365</f>
        <v>1965140.0651779694</v>
      </c>
      <c r="AF169" s="34">
        <f>AB169-AF168</f>
        <v>218348.896130885</v>
      </c>
      <c r="AG169" s="34">
        <f t="shared" ref="AG169:AI169" si="420">AC169-AG168</f>
        <v>218348.896130885</v>
      </c>
      <c r="AH169" s="34">
        <f t="shared" si="420"/>
        <v>218348.896130885</v>
      </c>
      <c r="AI169" s="34">
        <f t="shared" si="420"/>
        <v>218348.896130885</v>
      </c>
      <c r="AJ169" s="34"/>
      <c r="AK169" s="34"/>
      <c r="AL169" s="34"/>
    </row>
    <row r="170" spans="1:38">
      <c r="A170" s="1" t="str">
        <f t="shared" si="417"/>
        <v>Jet Fuel</v>
      </c>
      <c r="B170" s="1" t="str">
        <f>VLOOKUP($A170,Types!$A$2:$C$13,2,FALSE)</f>
        <v>JTF</v>
      </c>
      <c r="C170" s="1">
        <v>4</v>
      </c>
      <c r="D170" s="1">
        <v>3</v>
      </c>
      <c r="E170" s="1" t="str">
        <f t="shared" si="328"/>
        <v>IMPJTFP34</v>
      </c>
      <c r="F170" s="1" t="str">
        <f>CONCATENATE("Imported ",VLOOKUP($A170,Types!$A$2:$C$13,3,FALSE),", PADD ",D170,", Step ",RIGHT(C170,1))</f>
        <v>Imported Jet Fuel, PADD 3, Step 4</v>
      </c>
      <c r="G170" s="1" t="str">
        <f>CONCATENATE(VLOOKUP($A170,Types!$A$2:$C$13,2,FALSE),"P",D170)</f>
        <v>JTFP3</v>
      </c>
      <c r="H170" s="61">
        <f>H167*$C$8</f>
        <v>51.880730000000014</v>
      </c>
      <c r="I170" s="61">
        <f t="shared" ref="I170:K170" si="421">I167*$C$8</f>
        <v>46.413290000000003</v>
      </c>
      <c r="J170" s="61">
        <f t="shared" si="421"/>
        <v>37.234400000000001</v>
      </c>
      <c r="K170" s="61">
        <f t="shared" si="421"/>
        <v>40.635200000000005</v>
      </c>
      <c r="L170" s="62">
        <f>H170*Conv!$J$20/10^6/VLOOKUP($B170,Types!$B$2:$D$13,3,FALSE)/Conv!$I$5</f>
        <v>13.307942159668986</v>
      </c>
      <c r="M170" s="62">
        <f>I170*Conv!$J$20/10^6/VLOOKUP($B170,Types!$B$2:$D$13,3,FALSE)/Conv!$I$5</f>
        <v>11.905487427797235</v>
      </c>
      <c r="N170" s="62" t="e">
        <f>M170*#REF!</f>
        <v>#REF!</v>
      </c>
      <c r="O170" s="62" t="e">
        <f>N170*#REF!</f>
        <v>#REF!</v>
      </c>
      <c r="P170" s="62" t="e">
        <f>O170*#REF!</f>
        <v>#REF!</v>
      </c>
      <c r="Q170" s="62" t="e">
        <f>P170*#REF!</f>
        <v>#REF!</v>
      </c>
      <c r="R170" s="62" t="e">
        <f>Q170*#REF!</f>
        <v>#REF!</v>
      </c>
      <c r="S170" s="62" t="e">
        <f>R170*#REF!</f>
        <v>#REF!</v>
      </c>
      <c r="T170" s="62" t="e">
        <f>S170*#REF!</f>
        <v>#REF!</v>
      </c>
      <c r="U170" s="62" t="e">
        <f>T170*#REF!</f>
        <v>#REF!</v>
      </c>
      <c r="V170" s="62" t="e">
        <f>U170*#REF!</f>
        <v>#REF!</v>
      </c>
      <c r="W170" s="34"/>
      <c r="X170" s="1">
        <f>X167*$E$8</f>
        <v>1199998.8</v>
      </c>
      <c r="Y170" s="1">
        <f t="shared" ref="Y170:AA170" si="422">Y167*$E$8</f>
        <v>1199998.8</v>
      </c>
      <c r="Z170" s="1">
        <f t="shared" si="422"/>
        <v>1199998.8</v>
      </c>
      <c r="AA170" s="1">
        <f t="shared" si="422"/>
        <v>1199998.8</v>
      </c>
      <c r="AB170" s="34">
        <f>X170*VLOOKUP($B170,Types!$B$2:$D$13,3,FALSE)*Conv!$I$5*1000*365</f>
        <v>2620186.753570626</v>
      </c>
      <c r="AC170" s="34">
        <f>Y170*VLOOKUP($B170,Types!$B$2:$D$13,3,FALSE)*Conv!$I$5*1000*365</f>
        <v>2620186.753570626</v>
      </c>
      <c r="AD170" s="34">
        <f>Z170*VLOOKUP($B170,Types!$B$2:$D$13,3,FALSE)*Conv!$I$5*1000*365</f>
        <v>2620186.753570626</v>
      </c>
      <c r="AE170" s="34">
        <f>AA170*VLOOKUP($B170,Types!$B$2:$D$13,3,FALSE)*Conv!$I$5*1000*365</f>
        <v>2620186.753570626</v>
      </c>
      <c r="AF170" s="34">
        <f>AB170-AB167</f>
        <v>436697.79226177093</v>
      </c>
      <c r="AG170" s="34">
        <f t="shared" ref="AG170:AI170" si="423">AC170-AC167</f>
        <v>436697.79226177093</v>
      </c>
      <c r="AH170" s="34">
        <f t="shared" si="423"/>
        <v>436697.79226177093</v>
      </c>
      <c r="AI170" s="34">
        <f t="shared" si="423"/>
        <v>436697.79226177093</v>
      </c>
      <c r="AJ170" s="34"/>
      <c r="AK170" s="34"/>
      <c r="AL170" s="34"/>
    </row>
    <row r="171" spans="1:38">
      <c r="A171" s="1" t="str">
        <f t="shared" si="417"/>
        <v>Jet Fuel</v>
      </c>
      <c r="B171" s="1" t="str">
        <f>VLOOKUP($A171,Types!$A$2:$C$13,2,FALSE)</f>
        <v>JTF</v>
      </c>
      <c r="C171" s="1">
        <v>5</v>
      </c>
      <c r="D171" s="1">
        <v>3</v>
      </c>
      <c r="E171" s="1" t="str">
        <f t="shared" si="328"/>
        <v>IMPJTFP35</v>
      </c>
      <c r="F171" s="1" t="str">
        <f>CONCATENATE("Imported ",VLOOKUP($A171,Types!$A$2:$C$13,3,FALSE),", PADD ",D171,", Step ",RIGHT(C171,1))</f>
        <v>Imported Jet Fuel, PADD 3, Step 5</v>
      </c>
      <c r="G171" s="1" t="str">
        <f>CONCATENATE(VLOOKUP($A171,Types!$A$2:$C$13,2,FALSE),"P",D171)</f>
        <v>JTFP3</v>
      </c>
      <c r="H171" s="61">
        <f>H167*$C$9</f>
        <v>61.876100000000015</v>
      </c>
      <c r="I171" s="61">
        <f t="shared" ref="I171:K171" si="424">I167*$C$9</f>
        <v>55.355300000000007</v>
      </c>
      <c r="J171" s="61">
        <f t="shared" si="424"/>
        <v>44.407999999999994</v>
      </c>
      <c r="K171" s="61">
        <f t="shared" si="424"/>
        <v>48.464000000000006</v>
      </c>
      <c r="L171" s="62">
        <f>H171*Conv!$J$20/10^6/VLOOKUP($B171,Types!$B$2:$D$13,3,FALSE)/Conv!$I$5</f>
        <v>15.871857621623562</v>
      </c>
      <c r="M171" s="62">
        <f>I171*Conv!$J$20/10^6/VLOOKUP($B171,Types!$B$2:$D$13,3,FALSE)/Conv!$I$5</f>
        <v>14.199205189115967</v>
      </c>
      <c r="N171" s="62" t="e">
        <f>M171*#REF!</f>
        <v>#REF!</v>
      </c>
      <c r="O171" s="62" t="e">
        <f>N171*#REF!</f>
        <v>#REF!</v>
      </c>
      <c r="P171" s="62" t="e">
        <f>O171*#REF!</f>
        <v>#REF!</v>
      </c>
      <c r="Q171" s="62" t="e">
        <f>P171*#REF!</f>
        <v>#REF!</v>
      </c>
      <c r="R171" s="62" t="e">
        <f>Q171*#REF!</f>
        <v>#REF!</v>
      </c>
      <c r="S171" s="62" t="e">
        <f>R171*#REF!</f>
        <v>#REF!</v>
      </c>
      <c r="T171" s="62" t="e">
        <f>S171*#REF!</f>
        <v>#REF!</v>
      </c>
      <c r="U171" s="62" t="e">
        <f>T171*#REF!</f>
        <v>#REF!</v>
      </c>
      <c r="V171" s="62" t="e">
        <f>U171*#REF!</f>
        <v>#REF!</v>
      </c>
      <c r="W171" s="34"/>
      <c r="X171" s="1">
        <f>X167*$E$9</f>
        <v>1999998</v>
      </c>
      <c r="Y171" s="1">
        <f t="shared" ref="Y171:AA171" si="425">Y167*$E$9</f>
        <v>1999998</v>
      </c>
      <c r="Z171" s="1">
        <f t="shared" si="425"/>
        <v>1999998</v>
      </c>
      <c r="AA171" s="1">
        <f t="shared" si="425"/>
        <v>1999998</v>
      </c>
      <c r="AB171" s="34">
        <f>X171*VLOOKUP($B171,Types!$B$2:$D$13,3,FALSE)*Conv!$I$5*1000*365</f>
        <v>4366977.9226177102</v>
      </c>
      <c r="AC171" s="34">
        <f>Y171*VLOOKUP($B171,Types!$B$2:$D$13,3,FALSE)*Conv!$I$5*1000*365</f>
        <v>4366977.9226177102</v>
      </c>
      <c r="AD171" s="34">
        <f>Z171*VLOOKUP($B171,Types!$B$2:$D$13,3,FALSE)*Conv!$I$5*1000*365</f>
        <v>4366977.9226177102</v>
      </c>
      <c r="AE171" s="34">
        <f>AA171*VLOOKUP($B171,Types!$B$2:$D$13,3,FALSE)*Conv!$I$5*1000*365</f>
        <v>4366977.9226177102</v>
      </c>
      <c r="AF171" s="34">
        <f>AB171-AB170</f>
        <v>1746791.1690470842</v>
      </c>
      <c r="AG171" s="34">
        <f t="shared" ref="AG171:AI171" si="426">AC171-AC170</f>
        <v>1746791.1690470842</v>
      </c>
      <c r="AH171" s="34">
        <f t="shared" si="426"/>
        <v>1746791.1690470842</v>
      </c>
      <c r="AI171" s="34">
        <f t="shared" si="426"/>
        <v>1746791.1690470842</v>
      </c>
      <c r="AJ171" s="34"/>
      <c r="AK171" s="34"/>
      <c r="AL171" s="34"/>
    </row>
    <row r="172" spans="1:38">
      <c r="A172" s="1" t="str">
        <f>'Agg prdcrv'!$A$13</f>
        <v>LPG</v>
      </c>
      <c r="B172" s="1" t="str">
        <f>VLOOKUP($A172,Types!$A$2:$C$13,2,FALSE)</f>
        <v>LPG</v>
      </c>
      <c r="C172" s="1">
        <v>3</v>
      </c>
      <c r="D172" s="1">
        <v>3</v>
      </c>
      <c r="E172" s="1" t="str">
        <f t="shared" si="328"/>
        <v>IMPLPGP33</v>
      </c>
      <c r="F172" s="1" t="str">
        <f>CONCATENATE("Imported ",VLOOKUP($A172,Types!$A$2:$C$13,3,FALSE),", PADD ",D172,", Step ",RIGHT(C172,1))</f>
        <v>Imported LPG, PADD 3, Step 3</v>
      </c>
      <c r="G172" s="1" t="str">
        <f>CONCATENATE(VLOOKUP($A172,Types!$A$2:$C$13,2,FALSE),"P",D172)</f>
        <v>LPGP3</v>
      </c>
      <c r="H172" s="61">
        <f>SUMIFS('Agg prdcrv NYC'!$N$6:$N$100,'Agg prdcrv NYC'!$A$6:$A$100,'Imp Refined NYC'!$A172,'Agg prdcrv NYC'!$B$6:$B$100,H$11)*K4</f>
        <v>31.691000000000003</v>
      </c>
      <c r="I172" s="61">
        <f>SUMIFS('Agg prdcrv NYC'!$N$6:$N$100,'Agg prdcrv NYC'!$A$6:$A$100,'Imp Refined NYC'!$A172,'Agg prdcrv NYC'!$B$6:$B$100,I$11)*K4</f>
        <v>31.35</v>
      </c>
      <c r="J172" s="61">
        <f t="array" ref="J172">SUMIFS('Agg prdcrv NYC'!$N$6:$N$100,'Agg prdcrv NYC'!$A$6:$A$100,'Imp Refined NYC'!$A172,'Agg prdcrv NYC'!$B$6:$B$100,J$11)</f>
        <v>28.5</v>
      </c>
      <c r="K172" s="61">
        <f t="array" ref="K172">SUMIFS('Agg prdcrv NYC'!$N$6:$N$100,'Agg prdcrv NYC'!$A$6:$A$100,'Imp Refined NYC'!$A172,'Agg prdcrv NYC'!$B$6:$B$100,K$11)</f>
        <v>28.5</v>
      </c>
      <c r="L172" s="62">
        <f>H172*Conv!$J$20/10^6/VLOOKUP($B172,Types!$B$2:$D$13,3,FALSE)/Conv!$I$5</f>
        <v>12.958059311858628</v>
      </c>
      <c r="M172" s="62">
        <f>I172*Conv!$J$20/10^6/VLOOKUP($B172,Types!$B$2:$D$13,3,FALSE)/Conv!$I$5</f>
        <v>12.818628614646682</v>
      </c>
      <c r="N172" s="62" t="e">
        <f>M172*#REF!</f>
        <v>#REF!</v>
      </c>
      <c r="O172" s="62" t="e">
        <f>N172*#REF!</f>
        <v>#REF!</v>
      </c>
      <c r="P172" s="62" t="e">
        <f>O172*#REF!</f>
        <v>#REF!</v>
      </c>
      <c r="Q172" s="62" t="e">
        <f>P172*#REF!</f>
        <v>#REF!</v>
      </c>
      <c r="R172" s="62" t="e">
        <f>Q172*#REF!</f>
        <v>#REF!</v>
      </c>
      <c r="S172" s="62" t="e">
        <f>R172*#REF!</f>
        <v>#REF!</v>
      </c>
      <c r="T172" s="62" t="e">
        <f>S172*#REF!</f>
        <v>#REF!</v>
      </c>
      <c r="U172" s="62" t="e">
        <f>T172*#REF!</f>
        <v>#REF!</v>
      </c>
      <c r="V172" s="62" t="e">
        <f>U172*#REF!</f>
        <v>#REF!</v>
      </c>
      <c r="W172" s="34"/>
      <c r="X172" s="1">
        <f t="array" ref="X172">SUMIFS('Agg prdcrv NYC'!$F$6:$F$100,'Agg prdcrv NYC'!$A$6:$A$100,'Imp Refined NYC'!$A172,'Agg prdcrv NYC'!$B$6:$B$100,X$11)</f>
        <v>999999</v>
      </c>
      <c r="Y172" s="1">
        <f t="array" ref="Y172">SUMIFS('Agg prdcrv NYC'!$F$6:$F$100,'Agg prdcrv NYC'!$A$6:$A$100,'Imp Refined NYC'!$A172,'Agg prdcrv NYC'!$B$6:$B$100,Y$11)</f>
        <v>999999</v>
      </c>
      <c r="Z172" s="1">
        <f t="array" ref="Z172">SUMIFS('Agg prdcrv NYC'!$F$6:$F$100,'Agg prdcrv NYC'!$A$6:$A$100,'Imp Refined NYC'!$A172,'Agg prdcrv NYC'!$B$6:$B$100,Z$11)</f>
        <v>999999</v>
      </c>
      <c r="AA172" s="1">
        <f t="array" ref="AA172">SUMIFS('Agg prdcrv NYC'!$F$6:$F$100,'Agg prdcrv NYC'!$A$6:$A$100,'Imp Refined NYC'!$A172,'Agg prdcrv NYC'!$B$6:$B$100,AA$11)</f>
        <v>999999</v>
      </c>
      <c r="AB172" s="34">
        <f>X172*VLOOKUP($B172,Types!$B$2:$D$13,3,FALSE)*Conv!$I$5*1000*365</f>
        <v>1369783.1102955197</v>
      </c>
      <c r="AC172" s="34">
        <f>Y172*VLOOKUP($B172,Types!$B$2:$D$13,3,FALSE)*Conv!$I$5*1000*365</f>
        <v>1369783.1102955197</v>
      </c>
      <c r="AD172" s="34">
        <f>Z172*VLOOKUP($B172,Types!$B$2:$D$13,3,FALSE)*Conv!$I$5*1000*365</f>
        <v>1369783.1102955197</v>
      </c>
      <c r="AE172" s="34">
        <f>AA172*VLOOKUP($B172,Types!$B$2:$D$13,3,FALSE)*Conv!$I$5*1000*365</f>
        <v>1369783.1102955197</v>
      </c>
      <c r="AF172" s="34">
        <f>AB172-AB174</f>
        <v>136978.31102955202</v>
      </c>
      <c r="AG172" s="34">
        <f t="shared" ref="AG172:AI172" si="427">AC172-AC174</f>
        <v>136978.31102955202</v>
      </c>
      <c r="AH172" s="34">
        <f t="shared" si="427"/>
        <v>136978.31102955202</v>
      </c>
      <c r="AI172" s="34">
        <f t="shared" si="427"/>
        <v>136978.31102955202</v>
      </c>
      <c r="AJ172" s="34"/>
      <c r="AK172" s="34"/>
      <c r="AL172" s="34"/>
    </row>
    <row r="173" spans="1:38">
      <c r="A173" s="1" t="str">
        <f>A172</f>
        <v>LPG</v>
      </c>
      <c r="B173" s="1" t="str">
        <f>VLOOKUP($A173,Types!$A$2:$C$13,2,FALSE)</f>
        <v>LPG</v>
      </c>
      <c r="C173" s="1">
        <v>1</v>
      </c>
      <c r="D173" s="1">
        <v>3</v>
      </c>
      <c r="E173" s="1" t="str">
        <f t="shared" si="328"/>
        <v>IMPLPGP31</v>
      </c>
      <c r="F173" s="1" t="str">
        <f>CONCATENATE("Imported ",VLOOKUP($A173,Types!$A$2:$C$13,3,FALSE),", PADD ",D173,", Step ",RIGHT(C173,1))</f>
        <v>Imported LPG, PADD 3, Step 1</v>
      </c>
      <c r="G173" s="1" t="str">
        <f>CONCATENATE(VLOOKUP($A173,Types!$A$2:$C$13,2,FALSE),"P",D173)</f>
        <v>LPGP3</v>
      </c>
      <c r="H173" s="61">
        <f>H172*$C$5</f>
        <v>30.106450000000002</v>
      </c>
      <c r="I173" s="61">
        <f t="shared" ref="I173:K173" si="428">I172*$C$5</f>
        <v>29.782499999999999</v>
      </c>
      <c r="J173" s="61">
        <f t="shared" si="428"/>
        <v>27.074999999999999</v>
      </c>
      <c r="K173" s="61">
        <f t="shared" si="428"/>
        <v>27.074999999999999</v>
      </c>
      <c r="L173" s="62">
        <f>H173*Conv!$J$20/10^6/VLOOKUP($B173,Types!$B$2:$D$13,3,FALSE)/Conv!$I$5</f>
        <v>12.310156346265698</v>
      </c>
      <c r="M173" s="62">
        <f>I173*Conv!$J$20/10^6/VLOOKUP($B173,Types!$B$2:$D$13,3,FALSE)/Conv!$I$5</f>
        <v>12.177697183914349</v>
      </c>
      <c r="N173" s="62" t="e">
        <f>M173*#REF!</f>
        <v>#REF!</v>
      </c>
      <c r="O173" s="62" t="e">
        <f>N173*#REF!</f>
        <v>#REF!</v>
      </c>
      <c r="P173" s="62" t="e">
        <f>O173*#REF!</f>
        <v>#REF!</v>
      </c>
      <c r="Q173" s="62" t="e">
        <f>P173*#REF!</f>
        <v>#REF!</v>
      </c>
      <c r="R173" s="62" t="e">
        <f>Q173*#REF!</f>
        <v>#REF!</v>
      </c>
      <c r="S173" s="62" t="e">
        <f>R173*#REF!</f>
        <v>#REF!</v>
      </c>
      <c r="T173" s="62" t="e">
        <f>S173*#REF!</f>
        <v>#REF!</v>
      </c>
      <c r="U173" s="62" t="e">
        <f>T173*#REF!</f>
        <v>#REF!</v>
      </c>
      <c r="V173" s="62" t="e">
        <f>U173*#REF!</f>
        <v>#REF!</v>
      </c>
      <c r="W173" s="34"/>
      <c r="X173" s="1">
        <f>X172*$E$5</f>
        <v>799999.20000000007</v>
      </c>
      <c r="Y173" s="1">
        <f t="shared" ref="Y173:AA173" si="429">Y172*$E$5</f>
        <v>799999.20000000007</v>
      </c>
      <c r="Z173" s="1">
        <f t="shared" si="429"/>
        <v>799999.20000000007</v>
      </c>
      <c r="AA173" s="1">
        <f t="shared" si="429"/>
        <v>799999.20000000007</v>
      </c>
      <c r="AB173" s="34">
        <f>X173*VLOOKUP($B173,Types!$B$2:$D$13,3,FALSE)*Conv!$I$5*1000*365</f>
        <v>1095826.4882364159</v>
      </c>
      <c r="AC173" s="34">
        <f>Y173*VLOOKUP($B173,Types!$B$2:$D$13,3,FALSE)*Conv!$I$5*1000*365</f>
        <v>1095826.4882364159</v>
      </c>
      <c r="AD173" s="34">
        <f>Z173*VLOOKUP($B173,Types!$B$2:$D$13,3,FALSE)*Conv!$I$5*1000*365</f>
        <v>1095826.4882364159</v>
      </c>
      <c r="AE173" s="34">
        <f>AA173*VLOOKUP($B173,Types!$B$2:$D$13,3,FALSE)*Conv!$I$5*1000*365</f>
        <v>1095826.4882364159</v>
      </c>
      <c r="AF173" s="34">
        <f>AB173</f>
        <v>1095826.4882364159</v>
      </c>
      <c r="AG173" s="34">
        <f t="shared" ref="AG173:AI173" si="430">AC173</f>
        <v>1095826.4882364159</v>
      </c>
      <c r="AH173" s="34">
        <f t="shared" si="430"/>
        <v>1095826.4882364159</v>
      </c>
      <c r="AI173" s="34">
        <f t="shared" si="430"/>
        <v>1095826.4882364159</v>
      </c>
      <c r="AJ173" s="34"/>
      <c r="AK173" s="34"/>
      <c r="AL173" s="34"/>
    </row>
    <row r="174" spans="1:38">
      <c r="A174" s="1" t="str">
        <f t="shared" ref="A174:A176" si="431">A173</f>
        <v>LPG</v>
      </c>
      <c r="B174" s="1" t="str">
        <f>VLOOKUP($A174,Types!$A$2:$C$13,2,FALSE)</f>
        <v>LPG</v>
      </c>
      <c r="C174" s="1">
        <v>2</v>
      </c>
      <c r="D174" s="1">
        <v>3</v>
      </c>
      <c r="E174" s="1" t="str">
        <f t="shared" si="328"/>
        <v>IMPLPGP32</v>
      </c>
      <c r="F174" s="1" t="str">
        <f>CONCATENATE("Imported ",VLOOKUP($A174,Types!$A$2:$C$13,3,FALSE),", PADD ",D174,", Step ",RIGHT(C174,1))</f>
        <v>Imported LPG, PADD 3, Step 2</v>
      </c>
      <c r="G174" s="1" t="str">
        <f>CONCATENATE(VLOOKUP($A174,Types!$A$2:$C$13,2,FALSE),"P",D174)</f>
        <v>LPGP3</v>
      </c>
      <c r="H174" s="61">
        <f>H172*$C$6</f>
        <v>31.057180000000002</v>
      </c>
      <c r="I174" s="61">
        <f t="shared" ref="I174:K174" si="432">I172*$C$6</f>
        <v>30.723000000000003</v>
      </c>
      <c r="J174" s="61">
        <f t="shared" si="432"/>
        <v>27.93</v>
      </c>
      <c r="K174" s="61">
        <f t="shared" si="432"/>
        <v>27.93</v>
      </c>
      <c r="L174" s="62">
        <f>H174*Conv!$J$20/10^6/VLOOKUP($B174,Types!$B$2:$D$13,3,FALSE)/Conv!$I$5</f>
        <v>12.698898125621454</v>
      </c>
      <c r="M174" s="62">
        <f>I174*Conv!$J$20/10^6/VLOOKUP($B174,Types!$B$2:$D$13,3,FALSE)/Conv!$I$5</f>
        <v>12.56225604235375</v>
      </c>
      <c r="N174" s="62" t="e">
        <f>M174*#REF!</f>
        <v>#REF!</v>
      </c>
      <c r="O174" s="62" t="e">
        <f>N174*#REF!</f>
        <v>#REF!</v>
      </c>
      <c r="P174" s="62" t="e">
        <f>O174*#REF!</f>
        <v>#REF!</v>
      </c>
      <c r="Q174" s="62" t="e">
        <f>P174*#REF!</f>
        <v>#REF!</v>
      </c>
      <c r="R174" s="62" t="e">
        <f>Q174*#REF!</f>
        <v>#REF!</v>
      </c>
      <c r="S174" s="62" t="e">
        <f>R174*#REF!</f>
        <v>#REF!</v>
      </c>
      <c r="T174" s="62" t="e">
        <f>S174*#REF!</f>
        <v>#REF!</v>
      </c>
      <c r="U174" s="62" t="e">
        <f>T174*#REF!</f>
        <v>#REF!</v>
      </c>
      <c r="V174" s="62" t="e">
        <f>U174*#REF!</f>
        <v>#REF!</v>
      </c>
      <c r="W174" s="34"/>
      <c r="X174" s="1">
        <f>X172*$E$6</f>
        <v>899999.1</v>
      </c>
      <c r="Y174" s="1">
        <f t="shared" ref="Y174:AA174" si="433">Y172*$E$6</f>
        <v>899999.1</v>
      </c>
      <c r="Z174" s="1">
        <f t="shared" si="433"/>
        <v>899999.1</v>
      </c>
      <c r="AA174" s="1">
        <f t="shared" si="433"/>
        <v>899999.1</v>
      </c>
      <c r="AB174" s="34">
        <f>X174*VLOOKUP($B174,Types!$B$2:$D$13,3,FALSE)*Conv!$I$5*1000*365</f>
        <v>1232804.7992659677</v>
      </c>
      <c r="AC174" s="34">
        <f>Y174*VLOOKUP($B174,Types!$B$2:$D$13,3,FALSE)*Conv!$I$5*1000*365</f>
        <v>1232804.7992659677</v>
      </c>
      <c r="AD174" s="34">
        <f>Z174*VLOOKUP($B174,Types!$B$2:$D$13,3,FALSE)*Conv!$I$5*1000*365</f>
        <v>1232804.7992659677</v>
      </c>
      <c r="AE174" s="34">
        <f>AA174*VLOOKUP($B174,Types!$B$2:$D$13,3,FALSE)*Conv!$I$5*1000*365</f>
        <v>1232804.7992659677</v>
      </c>
      <c r="AF174" s="34">
        <f>AB174-AF173</f>
        <v>136978.31102955178</v>
      </c>
      <c r="AG174" s="34">
        <f t="shared" ref="AG174:AI174" si="434">AC174-AG173</f>
        <v>136978.31102955178</v>
      </c>
      <c r="AH174" s="34">
        <f t="shared" si="434"/>
        <v>136978.31102955178</v>
      </c>
      <c r="AI174" s="34">
        <f t="shared" si="434"/>
        <v>136978.31102955178</v>
      </c>
      <c r="AJ174" s="34"/>
      <c r="AK174" s="34"/>
      <c r="AL174" s="34"/>
    </row>
    <row r="175" spans="1:38">
      <c r="A175" s="1" t="str">
        <f t="shared" si="431"/>
        <v>LPG</v>
      </c>
      <c r="B175" s="1" t="str">
        <f>VLOOKUP($A175,Types!$A$2:$C$13,2,FALSE)</f>
        <v>LPG</v>
      </c>
      <c r="C175" s="1">
        <v>4</v>
      </c>
      <c r="D175" s="1">
        <v>3</v>
      </c>
      <c r="E175" s="1" t="str">
        <f t="shared" si="328"/>
        <v>IMPLPGP34</v>
      </c>
      <c r="F175" s="1" t="str">
        <f>CONCATENATE("Imported ",VLOOKUP($A175,Types!$A$2:$C$13,3,FALSE),", PADD ",D175,", Step ",RIGHT(C175,1))</f>
        <v>Imported LPG, PADD 3, Step 4</v>
      </c>
      <c r="G175" s="1" t="str">
        <f>CONCATENATE(VLOOKUP($A175,Types!$A$2:$C$13,2,FALSE),"P",D175)</f>
        <v>LPGP3</v>
      </c>
      <c r="H175" s="61">
        <f>H172*$C$8</f>
        <v>34.543190000000003</v>
      </c>
      <c r="I175" s="61">
        <f t="shared" ref="I175:K175" si="435">I172*$C$8</f>
        <v>34.171500000000002</v>
      </c>
      <c r="J175" s="61">
        <f t="shared" si="435"/>
        <v>31.065000000000001</v>
      </c>
      <c r="K175" s="61">
        <f t="shared" si="435"/>
        <v>31.065000000000001</v>
      </c>
      <c r="L175" s="62">
        <f>H175*Conv!$J$20/10^6/VLOOKUP($B175,Types!$B$2:$D$13,3,FALSE)/Conv!$I$5</f>
        <v>14.124284649925904</v>
      </c>
      <c r="M175" s="62">
        <f>I175*Conv!$J$20/10^6/VLOOKUP($B175,Types!$B$2:$D$13,3,FALSE)/Conv!$I$5</f>
        <v>13.972305189964885</v>
      </c>
      <c r="N175" s="62" t="e">
        <f>M175*#REF!</f>
        <v>#REF!</v>
      </c>
      <c r="O175" s="62" t="e">
        <f>N175*#REF!</f>
        <v>#REF!</v>
      </c>
      <c r="P175" s="62" t="e">
        <f>O175*#REF!</f>
        <v>#REF!</v>
      </c>
      <c r="Q175" s="62" t="e">
        <f>P175*#REF!</f>
        <v>#REF!</v>
      </c>
      <c r="R175" s="62" t="e">
        <f>Q175*#REF!</f>
        <v>#REF!</v>
      </c>
      <c r="S175" s="62" t="e">
        <f>R175*#REF!</f>
        <v>#REF!</v>
      </c>
      <c r="T175" s="62" t="e">
        <f>S175*#REF!</f>
        <v>#REF!</v>
      </c>
      <c r="U175" s="62" t="e">
        <f>T175*#REF!</f>
        <v>#REF!</v>
      </c>
      <c r="V175" s="62" t="e">
        <f>U175*#REF!</f>
        <v>#REF!</v>
      </c>
      <c r="W175" s="34"/>
      <c r="X175" s="1">
        <f>X172*$E$8</f>
        <v>1199998.8</v>
      </c>
      <c r="Y175" s="1">
        <f t="shared" ref="Y175:AA175" si="436">Y172*$E$8</f>
        <v>1199998.8</v>
      </c>
      <c r="Z175" s="1">
        <f t="shared" si="436"/>
        <v>1199998.8</v>
      </c>
      <c r="AA175" s="1">
        <f t="shared" si="436"/>
        <v>1199998.8</v>
      </c>
      <c r="AB175" s="34">
        <f>X175*VLOOKUP($B175,Types!$B$2:$D$13,3,FALSE)*Conv!$I$5*1000*365</f>
        <v>1643739.7323546242</v>
      </c>
      <c r="AC175" s="34">
        <f>Y175*VLOOKUP($B175,Types!$B$2:$D$13,3,FALSE)*Conv!$I$5*1000*365</f>
        <v>1643739.7323546242</v>
      </c>
      <c r="AD175" s="34">
        <f>Z175*VLOOKUP($B175,Types!$B$2:$D$13,3,FALSE)*Conv!$I$5*1000*365</f>
        <v>1643739.7323546242</v>
      </c>
      <c r="AE175" s="34">
        <f>AA175*VLOOKUP($B175,Types!$B$2:$D$13,3,FALSE)*Conv!$I$5*1000*365</f>
        <v>1643739.7323546242</v>
      </c>
      <c r="AF175" s="34">
        <f>AB175-AB172</f>
        <v>273956.6220591045</v>
      </c>
      <c r="AG175" s="34">
        <f t="shared" ref="AG175:AI175" si="437">AC175-AC172</f>
        <v>273956.6220591045</v>
      </c>
      <c r="AH175" s="34">
        <f t="shared" si="437"/>
        <v>273956.6220591045</v>
      </c>
      <c r="AI175" s="34">
        <f t="shared" si="437"/>
        <v>273956.6220591045</v>
      </c>
      <c r="AJ175" s="34"/>
      <c r="AK175" s="34"/>
      <c r="AL175" s="34"/>
    </row>
    <row r="176" spans="1:38">
      <c r="A176" s="1" t="str">
        <f t="shared" si="431"/>
        <v>LPG</v>
      </c>
      <c r="B176" s="1" t="str">
        <f>VLOOKUP($A176,Types!$A$2:$C$13,2,FALSE)</f>
        <v>LPG</v>
      </c>
      <c r="C176" s="1">
        <v>5</v>
      </c>
      <c r="D176" s="1">
        <v>3</v>
      </c>
      <c r="E176" s="1" t="str">
        <f t="shared" si="328"/>
        <v>IMPLPGP35</v>
      </c>
      <c r="F176" s="1" t="str">
        <f>CONCATENATE("Imported ",VLOOKUP($A176,Types!$A$2:$C$13,3,FALSE),", PADD ",D176,", Step ",RIGHT(C176,1))</f>
        <v>Imported LPG, PADD 3, Step 5</v>
      </c>
      <c r="G176" s="1" t="str">
        <f>CONCATENATE(VLOOKUP($A176,Types!$A$2:$C$13,2,FALSE),"P",D176)</f>
        <v>LPGP3</v>
      </c>
      <c r="H176" s="61">
        <f>H172*$C$9</f>
        <v>41.198300000000003</v>
      </c>
      <c r="I176" s="61">
        <f t="shared" ref="I176:K176" si="438">I172*$C$9</f>
        <v>40.755000000000003</v>
      </c>
      <c r="J176" s="61">
        <f t="shared" si="438"/>
        <v>37.050000000000004</v>
      </c>
      <c r="K176" s="61">
        <f t="shared" si="438"/>
        <v>37.050000000000004</v>
      </c>
      <c r="L176" s="62">
        <f>H176*Conv!$J$20/10^6/VLOOKUP($B176,Types!$B$2:$D$13,3,FALSE)/Conv!$I$5</f>
        <v>16.845477105416219</v>
      </c>
      <c r="M176" s="62">
        <f>I176*Conv!$J$20/10^6/VLOOKUP($B176,Types!$B$2:$D$13,3,FALSE)/Conv!$I$5</f>
        <v>16.664217199040689</v>
      </c>
      <c r="N176" s="62" t="e">
        <f>M176*#REF!</f>
        <v>#REF!</v>
      </c>
      <c r="O176" s="62" t="e">
        <f>N176*#REF!</f>
        <v>#REF!</v>
      </c>
      <c r="P176" s="62" t="e">
        <f>O176*#REF!</f>
        <v>#REF!</v>
      </c>
      <c r="Q176" s="62" t="e">
        <f>P176*#REF!</f>
        <v>#REF!</v>
      </c>
      <c r="R176" s="62" t="e">
        <f>Q176*#REF!</f>
        <v>#REF!</v>
      </c>
      <c r="S176" s="62" t="e">
        <f>R176*#REF!</f>
        <v>#REF!</v>
      </c>
      <c r="T176" s="62" t="e">
        <f>S176*#REF!</f>
        <v>#REF!</v>
      </c>
      <c r="U176" s="62" t="e">
        <f>T176*#REF!</f>
        <v>#REF!</v>
      </c>
      <c r="V176" s="62" t="e">
        <f>U176*#REF!</f>
        <v>#REF!</v>
      </c>
      <c r="W176" s="34"/>
      <c r="X176" s="1">
        <f>X172*$E$9</f>
        <v>1999998</v>
      </c>
      <c r="Y176" s="1">
        <f t="shared" ref="Y176:AA176" si="439">Y172*$E$9</f>
        <v>1999998</v>
      </c>
      <c r="Z176" s="1">
        <f t="shared" si="439"/>
        <v>1999998</v>
      </c>
      <c r="AA176" s="1">
        <f t="shared" si="439"/>
        <v>1999998</v>
      </c>
      <c r="AB176" s="34">
        <f>X176*VLOOKUP($B176,Types!$B$2:$D$13,3,FALSE)*Conv!$I$5*1000*365</f>
        <v>2739566.2205910394</v>
      </c>
      <c r="AC176" s="34">
        <f>Y176*VLOOKUP($B176,Types!$B$2:$D$13,3,FALSE)*Conv!$I$5*1000*365</f>
        <v>2739566.2205910394</v>
      </c>
      <c r="AD176" s="34">
        <f>Z176*VLOOKUP($B176,Types!$B$2:$D$13,3,FALSE)*Conv!$I$5*1000*365</f>
        <v>2739566.2205910394</v>
      </c>
      <c r="AE176" s="34">
        <f>AA176*VLOOKUP($B176,Types!$B$2:$D$13,3,FALSE)*Conv!$I$5*1000*365</f>
        <v>2739566.2205910394</v>
      </c>
      <c r="AF176" s="34">
        <f>AB176-AB175</f>
        <v>1095826.4882364152</v>
      </c>
      <c r="AG176" s="34">
        <f t="shared" ref="AG176:AI176" si="440">AC176-AC175</f>
        <v>1095826.4882364152</v>
      </c>
      <c r="AH176" s="34">
        <f t="shared" si="440"/>
        <v>1095826.4882364152</v>
      </c>
      <c r="AI176" s="34">
        <f t="shared" si="440"/>
        <v>1095826.4882364152</v>
      </c>
      <c r="AJ176" s="34"/>
      <c r="AK176" s="34"/>
      <c r="AL176" s="34"/>
    </row>
    <row r="177" spans="1:38">
      <c r="A177" s="1" t="str">
        <f>'Agg prdcrv'!$A$14</f>
        <v>Petchem. Feedstocks</v>
      </c>
      <c r="B177" s="1" t="str">
        <f>VLOOKUP($A177,Types!$A$2:$C$13,2,FALSE)</f>
        <v>PFS</v>
      </c>
      <c r="C177" s="1">
        <v>3</v>
      </c>
      <c r="D177" s="1">
        <v>3</v>
      </c>
      <c r="E177" s="1" t="str">
        <f t="shared" si="328"/>
        <v>IMPPFSP33</v>
      </c>
      <c r="F177" s="1" t="str">
        <f>CONCATENATE("Imported ",VLOOKUP($A177,Types!$A$2:$C$13,3,FALSE),", PADD ",D177,", Step ",RIGHT(C177,1))</f>
        <v>Imported Petrochemical Feedstocks, PADD 3, Step 3</v>
      </c>
      <c r="G177" s="1" t="str">
        <f>CONCATENATE(VLOOKUP($A177,Types!$A$2:$C$13,2,FALSE),"P",D177)</f>
        <v>PFSP3</v>
      </c>
      <c r="H177" s="61">
        <f>SUMIFS('Agg prdcrv NYC'!$N$6:$N$100,'Agg prdcrv NYC'!$A$6:$A$100,'Imp Refined NYC'!$A177,'Agg prdcrv NYC'!$B$6:$B$100,H$11)*K4</f>
        <v>39.974000000000004</v>
      </c>
      <c r="I177" s="61">
        <f>SUMIFS('Agg prdcrv NYC'!$N$6:$N$100,'Agg prdcrv NYC'!$A$6:$A$100,'Imp Refined NYC'!$A177,'Agg prdcrv NYC'!$B$6:$B$100,I$11)*K4</f>
        <v>30.513999999999999</v>
      </c>
      <c r="J177" s="61">
        <f t="array" ref="J177">SUMIFS('Agg prdcrv NYC'!$N$6:$N$100,'Agg prdcrv NYC'!$A$6:$A$100,'Imp Refined NYC'!$A177,'Agg prdcrv NYC'!$B$6:$B$100,J$11)</f>
        <v>21.68</v>
      </c>
      <c r="K177" s="61">
        <f t="array" ref="K177">SUMIFS('Agg prdcrv NYC'!$N$6:$N$100,'Agg prdcrv NYC'!$A$6:$A$100,'Imp Refined NYC'!$A177,'Agg prdcrv NYC'!$B$6:$B$100,K$11)</f>
        <v>24.91</v>
      </c>
      <c r="L177" s="62">
        <f>H177*Conv!$J$20/10^6/VLOOKUP($B177,Types!$B$2:$D$13,3,FALSE)/Conv!$I$5</f>
        <v>10.215906460103017</v>
      </c>
      <c r="M177" s="62">
        <f>I177*Conv!$J$20/10^6/VLOOKUP($B177,Types!$B$2:$D$13,3,FALSE)/Conv!$I$5</f>
        <v>7.7982731206179858</v>
      </c>
      <c r="N177" s="62" t="e">
        <f>M177*#REF!</f>
        <v>#REF!</v>
      </c>
      <c r="O177" s="62" t="e">
        <f>N177*#REF!</f>
        <v>#REF!</v>
      </c>
      <c r="P177" s="62" t="e">
        <f>O177*#REF!</f>
        <v>#REF!</v>
      </c>
      <c r="Q177" s="62" t="e">
        <f>P177*#REF!</f>
        <v>#REF!</v>
      </c>
      <c r="R177" s="62" t="e">
        <f>Q177*#REF!</f>
        <v>#REF!</v>
      </c>
      <c r="S177" s="62" t="e">
        <f>R177*#REF!</f>
        <v>#REF!</v>
      </c>
      <c r="T177" s="62" t="e">
        <f>S177*#REF!</f>
        <v>#REF!</v>
      </c>
      <c r="U177" s="62" t="e">
        <f>T177*#REF!</f>
        <v>#REF!</v>
      </c>
      <c r="V177" s="62" t="e">
        <f>U177*#REF!</f>
        <v>#REF!</v>
      </c>
      <c r="W177" s="34"/>
      <c r="X177" s="1">
        <f t="array" ref="X177">SUMIFS('Agg prdcrv NYC'!$F$6:$F$100,'Agg prdcrv NYC'!$A$6:$A$100,'Imp Refined NYC'!$A177,'Agg prdcrv NYC'!$B$6:$B$100,X$11)</f>
        <v>999999</v>
      </c>
      <c r="Y177" s="1">
        <f t="array" ref="Y177">SUMIFS('Agg prdcrv NYC'!$F$6:$F$100,'Agg prdcrv NYC'!$A$6:$A$100,'Imp Refined NYC'!$A177,'Agg prdcrv NYC'!$B$6:$B$100,Y$11)</f>
        <v>999999</v>
      </c>
      <c r="Z177" s="1">
        <f t="array" ref="Z177">SUMIFS('Agg prdcrv NYC'!$F$6:$F$100,'Agg prdcrv NYC'!$A$6:$A$100,'Imp Refined NYC'!$A177,'Agg prdcrv NYC'!$B$6:$B$100,Z$11)</f>
        <v>999999</v>
      </c>
      <c r="AA177" s="1">
        <f t="array" ref="AA177">SUMIFS('Agg prdcrv NYC'!$F$6:$F$100,'Agg prdcrv NYC'!$A$6:$A$100,'Imp Refined NYC'!$A177,'Agg prdcrv NYC'!$B$6:$B$100,AA$11)</f>
        <v>999999</v>
      </c>
      <c r="AB177" s="34">
        <f>X177*VLOOKUP($B177,Types!$B$2:$D$13,3,FALSE)*Conv!$I$5*1000*365</f>
        <v>2191575.9574618507</v>
      </c>
      <c r="AC177" s="34">
        <f>Y177*VLOOKUP($B177,Types!$B$2:$D$13,3,FALSE)*Conv!$I$5*1000*365</f>
        <v>2191575.9574618507</v>
      </c>
      <c r="AD177" s="34">
        <f>Z177*VLOOKUP($B177,Types!$B$2:$D$13,3,FALSE)*Conv!$I$5*1000*365</f>
        <v>2191575.9574618507</v>
      </c>
      <c r="AE177" s="34">
        <f>AA177*VLOOKUP($B177,Types!$B$2:$D$13,3,FALSE)*Conv!$I$5*1000*365</f>
        <v>2191575.9574618507</v>
      </c>
      <c r="AF177" s="34">
        <f>AB177-AB179</f>
        <v>219157.59574618516</v>
      </c>
      <c r="AG177" s="34">
        <f t="shared" ref="AG177:AI177" si="441">AC177-AC179</f>
        <v>219157.59574618516</v>
      </c>
      <c r="AH177" s="34">
        <f t="shared" si="441"/>
        <v>219157.59574618516</v>
      </c>
      <c r="AI177" s="34">
        <f t="shared" si="441"/>
        <v>219157.59574618516</v>
      </c>
      <c r="AJ177" s="34"/>
      <c r="AK177" s="34"/>
      <c r="AL177" s="34"/>
    </row>
    <row r="178" spans="1:38">
      <c r="A178" s="1" t="str">
        <f>A177</f>
        <v>Petchem. Feedstocks</v>
      </c>
      <c r="B178" s="1" t="str">
        <f>VLOOKUP($A178,Types!$A$2:$C$13,2,FALSE)</f>
        <v>PFS</v>
      </c>
      <c r="C178" s="1">
        <v>1</v>
      </c>
      <c r="D178" s="1">
        <v>3</v>
      </c>
      <c r="E178" s="1" t="str">
        <f t="shared" si="328"/>
        <v>IMPPFSP31</v>
      </c>
      <c r="F178" s="1" t="str">
        <f>CONCATENATE("Imported ",VLOOKUP($A178,Types!$A$2:$C$13,3,FALSE),", PADD ",D178,", Step ",RIGHT(C178,1))</f>
        <v>Imported Petrochemical Feedstocks, PADD 3, Step 1</v>
      </c>
      <c r="G178" s="1" t="str">
        <f>CONCATENATE(VLOOKUP($A178,Types!$A$2:$C$13,2,FALSE),"P",D178)</f>
        <v>PFSP3</v>
      </c>
      <c r="H178" s="61">
        <f>H177*$C$5</f>
        <v>37.975300000000004</v>
      </c>
      <c r="I178" s="61">
        <f t="shared" ref="I178:K178" si="442">I177*$C$5</f>
        <v>28.988299999999999</v>
      </c>
      <c r="J178" s="61">
        <f t="shared" si="442"/>
        <v>20.596</v>
      </c>
      <c r="K178" s="61">
        <f t="shared" si="442"/>
        <v>23.6645</v>
      </c>
      <c r="L178" s="62">
        <f>H178*Conv!$J$20/10^6/VLOOKUP($B178,Types!$B$2:$D$13,3,FALSE)/Conv!$I$5</f>
        <v>9.7051111370978624</v>
      </c>
      <c r="M178" s="62">
        <f>I178*Conv!$J$20/10^6/VLOOKUP($B178,Types!$B$2:$D$13,3,FALSE)/Conv!$I$5</f>
        <v>7.4083594645870861</v>
      </c>
      <c r="N178" s="62" t="e">
        <f>M178*#REF!</f>
        <v>#REF!</v>
      </c>
      <c r="O178" s="62" t="e">
        <f>N178*#REF!</f>
        <v>#REF!</v>
      </c>
      <c r="P178" s="62" t="e">
        <f>O178*#REF!</f>
        <v>#REF!</v>
      </c>
      <c r="Q178" s="62" t="e">
        <f>P178*#REF!</f>
        <v>#REF!</v>
      </c>
      <c r="R178" s="62" t="e">
        <f>Q178*#REF!</f>
        <v>#REF!</v>
      </c>
      <c r="S178" s="62" t="e">
        <f>R178*#REF!</f>
        <v>#REF!</v>
      </c>
      <c r="T178" s="62" t="e">
        <f>S178*#REF!</f>
        <v>#REF!</v>
      </c>
      <c r="U178" s="62" t="e">
        <f>T178*#REF!</f>
        <v>#REF!</v>
      </c>
      <c r="V178" s="62" t="e">
        <f>U178*#REF!</f>
        <v>#REF!</v>
      </c>
      <c r="W178" s="34"/>
      <c r="X178" s="1">
        <f>X177*$E$5</f>
        <v>799999.20000000007</v>
      </c>
      <c r="Y178" s="1">
        <f t="shared" ref="Y178:AA178" si="443">Y177*$E$5</f>
        <v>799999.20000000007</v>
      </c>
      <c r="Z178" s="1">
        <f t="shared" si="443"/>
        <v>799999.20000000007</v>
      </c>
      <c r="AA178" s="1">
        <f t="shared" si="443"/>
        <v>799999.20000000007</v>
      </c>
      <c r="AB178" s="34">
        <f>X178*VLOOKUP($B178,Types!$B$2:$D$13,3,FALSE)*Conv!$I$5*1000*365</f>
        <v>1753260.7659694806</v>
      </c>
      <c r="AC178" s="34">
        <f>Y178*VLOOKUP($B178,Types!$B$2:$D$13,3,FALSE)*Conv!$I$5*1000*365</f>
        <v>1753260.7659694806</v>
      </c>
      <c r="AD178" s="34">
        <f>Z178*VLOOKUP($B178,Types!$B$2:$D$13,3,FALSE)*Conv!$I$5*1000*365</f>
        <v>1753260.7659694806</v>
      </c>
      <c r="AE178" s="34">
        <f>AA178*VLOOKUP($B178,Types!$B$2:$D$13,3,FALSE)*Conv!$I$5*1000*365</f>
        <v>1753260.7659694806</v>
      </c>
      <c r="AF178" s="34">
        <f>AB178</f>
        <v>1753260.7659694806</v>
      </c>
      <c r="AG178" s="34">
        <f t="shared" ref="AG178:AI178" si="444">AC178</f>
        <v>1753260.7659694806</v>
      </c>
      <c r="AH178" s="34">
        <f t="shared" si="444"/>
        <v>1753260.7659694806</v>
      </c>
      <c r="AI178" s="34">
        <f t="shared" si="444"/>
        <v>1753260.7659694806</v>
      </c>
      <c r="AJ178" s="34"/>
      <c r="AK178" s="34"/>
      <c r="AL178" s="34"/>
    </row>
    <row r="179" spans="1:38">
      <c r="A179" s="1" t="str">
        <f t="shared" ref="A179:A180" si="445">A178</f>
        <v>Petchem. Feedstocks</v>
      </c>
      <c r="B179" s="1" t="str">
        <f>VLOOKUP($A179,Types!$A$2:$C$13,2,FALSE)</f>
        <v>PFS</v>
      </c>
      <c r="C179" s="1">
        <v>2</v>
      </c>
      <c r="D179" s="1">
        <v>3</v>
      </c>
      <c r="E179" s="1" t="str">
        <f t="shared" si="328"/>
        <v>IMPPFSP32</v>
      </c>
      <c r="F179" s="1" t="str">
        <f>CONCATENATE("Imported ",VLOOKUP($A179,Types!$A$2:$C$13,3,FALSE),", PADD ",D179,", Step ",RIGHT(C179,1))</f>
        <v>Imported Petrochemical Feedstocks, PADD 3, Step 2</v>
      </c>
      <c r="G179" s="1" t="str">
        <f>CONCATENATE(VLOOKUP($A179,Types!$A$2:$C$13,2,FALSE),"P",D179)</f>
        <v>PFSP3</v>
      </c>
      <c r="H179" s="61">
        <f>H177*$C$6</f>
        <v>39.174520000000001</v>
      </c>
      <c r="I179" s="61">
        <f t="shared" ref="I179:K179" si="446">I177*$C$6</f>
        <v>29.90372</v>
      </c>
      <c r="J179" s="61">
        <f t="shared" si="446"/>
        <v>21.246399999999998</v>
      </c>
      <c r="K179" s="61">
        <f t="shared" si="446"/>
        <v>24.411799999999999</v>
      </c>
      <c r="L179" s="62">
        <f>H179*Conv!$J$20/10^6/VLOOKUP($B179,Types!$B$2:$D$13,3,FALSE)/Conv!$I$5</f>
        <v>10.011588330900956</v>
      </c>
      <c r="M179" s="62">
        <f>I179*Conv!$J$20/10^6/VLOOKUP($B179,Types!$B$2:$D$13,3,FALSE)/Conv!$I$5</f>
        <v>7.6423076582056266</v>
      </c>
      <c r="N179" s="62" t="e">
        <f>M179*#REF!</f>
        <v>#REF!</v>
      </c>
      <c r="O179" s="62" t="e">
        <f>N179*#REF!</f>
        <v>#REF!</v>
      </c>
      <c r="P179" s="62" t="e">
        <f>O179*#REF!</f>
        <v>#REF!</v>
      </c>
      <c r="Q179" s="62" t="e">
        <f>P179*#REF!</f>
        <v>#REF!</v>
      </c>
      <c r="R179" s="62" t="e">
        <f>Q179*#REF!</f>
        <v>#REF!</v>
      </c>
      <c r="S179" s="62" t="e">
        <f>R179*#REF!</f>
        <v>#REF!</v>
      </c>
      <c r="T179" s="62" t="e">
        <f>S179*#REF!</f>
        <v>#REF!</v>
      </c>
      <c r="U179" s="62" t="e">
        <f>T179*#REF!</f>
        <v>#REF!</v>
      </c>
      <c r="V179" s="62" t="e">
        <f>U179*#REF!</f>
        <v>#REF!</v>
      </c>
      <c r="W179" s="34"/>
      <c r="X179" s="1">
        <f>X177*$E$6</f>
        <v>899999.1</v>
      </c>
      <c r="Y179" s="1">
        <f t="shared" ref="Y179:AA179" si="447">Y177*$E$6</f>
        <v>899999.1</v>
      </c>
      <c r="Z179" s="1">
        <f t="shared" si="447"/>
        <v>899999.1</v>
      </c>
      <c r="AA179" s="1">
        <f t="shared" si="447"/>
        <v>899999.1</v>
      </c>
      <c r="AB179" s="34">
        <f>X179*VLOOKUP($B179,Types!$B$2:$D$13,3,FALSE)*Conv!$I$5*1000*365</f>
        <v>1972418.3617156656</v>
      </c>
      <c r="AC179" s="34">
        <f>Y179*VLOOKUP($B179,Types!$B$2:$D$13,3,FALSE)*Conv!$I$5*1000*365</f>
        <v>1972418.3617156656</v>
      </c>
      <c r="AD179" s="34">
        <f>Z179*VLOOKUP($B179,Types!$B$2:$D$13,3,FALSE)*Conv!$I$5*1000*365</f>
        <v>1972418.3617156656</v>
      </c>
      <c r="AE179" s="34">
        <f>AA179*VLOOKUP($B179,Types!$B$2:$D$13,3,FALSE)*Conv!$I$5*1000*365</f>
        <v>1972418.3617156656</v>
      </c>
      <c r="AF179" s="34">
        <f>AB179-AF178</f>
        <v>219157.59574618493</v>
      </c>
      <c r="AG179" s="34">
        <f t="shared" ref="AG179:AI179" si="448">AC179-AG178</f>
        <v>219157.59574618493</v>
      </c>
      <c r="AH179" s="34">
        <f t="shared" si="448"/>
        <v>219157.59574618493</v>
      </c>
      <c r="AI179" s="34">
        <f t="shared" si="448"/>
        <v>219157.59574618493</v>
      </c>
      <c r="AJ179" s="34"/>
      <c r="AK179" s="34"/>
      <c r="AL179" s="34"/>
    </row>
    <row r="180" spans="1:38">
      <c r="A180" s="1" t="str">
        <f t="shared" si="445"/>
        <v>Petchem. Feedstocks</v>
      </c>
      <c r="B180" s="1" t="str">
        <f>VLOOKUP($A180,Types!$A$2:$C$13,2,FALSE)</f>
        <v>PFS</v>
      </c>
      <c r="C180" s="1">
        <v>4</v>
      </c>
      <c r="D180" s="1">
        <v>3</v>
      </c>
      <c r="E180" s="1" t="str">
        <f t="shared" si="328"/>
        <v>IMPPFSP34</v>
      </c>
      <c r="F180" s="1" t="str">
        <f>CONCATENATE("Imported ",VLOOKUP($A180,Types!$A$2:$C$13,3,FALSE),", PADD ",D180,", Step ",RIGHT(C180,1))</f>
        <v>Imported Petrochemical Feedstocks, PADD 3, Step 4</v>
      </c>
      <c r="G180" s="1" t="str">
        <f>CONCATENATE(VLOOKUP($A180,Types!$A$2:$C$13,2,FALSE),"P",D180)</f>
        <v>PFSP3</v>
      </c>
      <c r="H180" s="61">
        <f>H177*$C$8</f>
        <v>43.571660000000008</v>
      </c>
      <c r="I180" s="61">
        <f t="shared" ref="I180:K180" si="449">I177*$C$8</f>
        <v>33.260260000000002</v>
      </c>
      <c r="J180" s="61">
        <f t="shared" si="449"/>
        <v>23.6312</v>
      </c>
      <c r="K180" s="61">
        <f t="shared" si="449"/>
        <v>27.151900000000001</v>
      </c>
      <c r="L180" s="62">
        <f>H180*Conv!$J$20/10^6/VLOOKUP($B180,Types!$B$2:$D$13,3,FALSE)/Conv!$I$5</f>
        <v>11.13533804151229</v>
      </c>
      <c r="M180" s="62">
        <f>I180*Conv!$J$20/10^6/VLOOKUP($B180,Types!$B$2:$D$13,3,FALSE)/Conv!$I$5</f>
        <v>8.5001177014736058</v>
      </c>
      <c r="N180" s="62" t="e">
        <f>M180*#REF!</f>
        <v>#REF!</v>
      </c>
      <c r="O180" s="62" t="e">
        <f>N180*#REF!</f>
        <v>#REF!</v>
      </c>
      <c r="P180" s="62" t="e">
        <f>O180*#REF!</f>
        <v>#REF!</v>
      </c>
      <c r="Q180" s="62" t="e">
        <f>P180*#REF!</f>
        <v>#REF!</v>
      </c>
      <c r="R180" s="62" t="e">
        <f>Q180*#REF!</f>
        <v>#REF!</v>
      </c>
      <c r="S180" s="62" t="e">
        <f>R180*#REF!</f>
        <v>#REF!</v>
      </c>
      <c r="T180" s="62" t="e">
        <f>S180*#REF!</f>
        <v>#REF!</v>
      </c>
      <c r="U180" s="62" t="e">
        <f>T180*#REF!</f>
        <v>#REF!</v>
      </c>
      <c r="V180" s="62" t="e">
        <f>U180*#REF!</f>
        <v>#REF!</v>
      </c>
      <c r="W180" s="34"/>
      <c r="X180" s="1">
        <f>X177*$E$8</f>
        <v>1199998.8</v>
      </c>
      <c r="Y180" s="1">
        <f t="shared" ref="Y180:AA180" si="450">Y177*$E$8</f>
        <v>1199998.8</v>
      </c>
      <c r="Z180" s="1">
        <f t="shared" si="450"/>
        <v>1199998.8</v>
      </c>
      <c r="AA180" s="1">
        <f t="shared" si="450"/>
        <v>1199998.8</v>
      </c>
      <c r="AB180" s="34">
        <f>X180*VLOOKUP($B180,Types!$B$2:$D$13,3,FALSE)*Conv!$I$5*1000*365</f>
        <v>2629891.1489542215</v>
      </c>
      <c r="AC180" s="34">
        <f>Y180*VLOOKUP($B180,Types!$B$2:$D$13,3,FALSE)*Conv!$I$5*1000*365</f>
        <v>2629891.1489542215</v>
      </c>
      <c r="AD180" s="34">
        <f>Z180*VLOOKUP($B180,Types!$B$2:$D$13,3,FALSE)*Conv!$I$5*1000*365</f>
        <v>2629891.1489542215</v>
      </c>
      <c r="AE180" s="34">
        <f>AA180*VLOOKUP($B180,Types!$B$2:$D$13,3,FALSE)*Conv!$I$5*1000*365</f>
        <v>2629891.1489542215</v>
      </c>
      <c r="AF180" s="34">
        <f>AB180-AB177</f>
        <v>438315.1914923708</v>
      </c>
      <c r="AG180" s="34">
        <f t="shared" ref="AG180:AI180" si="451">AC180-AC177</f>
        <v>438315.1914923708</v>
      </c>
      <c r="AH180" s="34">
        <f t="shared" si="451"/>
        <v>438315.1914923708</v>
      </c>
      <c r="AI180" s="34">
        <f t="shared" si="451"/>
        <v>438315.1914923708</v>
      </c>
      <c r="AJ180" s="34"/>
      <c r="AK180" s="34"/>
      <c r="AL180" s="34"/>
    </row>
    <row r="181" spans="1:38">
      <c r="A181" s="1" t="str">
        <f>A180</f>
        <v>Petchem. Feedstocks</v>
      </c>
      <c r="B181" s="1" t="str">
        <f>VLOOKUP($A181,Types!$A$2:$C$13,2,FALSE)</f>
        <v>PFS</v>
      </c>
      <c r="C181" s="1">
        <v>5</v>
      </c>
      <c r="D181" s="1">
        <v>3</v>
      </c>
      <c r="E181" s="1" t="str">
        <f>CONCATENATE("IMP",G181,RIGHT(C181,1))</f>
        <v>IMPPFSP35</v>
      </c>
      <c r="F181" s="1" t="str">
        <f>CONCATENATE("Imported ",VLOOKUP($A181,Types!$A$2:$C$13,3,FALSE),", PADD ",D181,", Step ",RIGHT(C181,1))</f>
        <v>Imported Petrochemical Feedstocks, PADD 3, Step 5</v>
      </c>
      <c r="G181" s="1" t="str">
        <f>CONCATENATE(VLOOKUP($A181,Types!$A$2:$C$13,2,FALSE),"P",D181)</f>
        <v>PFSP3</v>
      </c>
      <c r="H181" s="61">
        <f>H177*$C$9</f>
        <v>51.966200000000008</v>
      </c>
      <c r="I181" s="61">
        <f t="shared" ref="I181:K181" si="452">I177*$C$9</f>
        <v>39.668199999999999</v>
      </c>
      <c r="J181" s="61">
        <f t="shared" si="452"/>
        <v>28.184000000000001</v>
      </c>
      <c r="K181" s="61">
        <f t="shared" si="452"/>
        <v>32.383000000000003</v>
      </c>
      <c r="L181" s="62">
        <f>H181*Conv!$J$20/10^6/VLOOKUP($B181,Types!$B$2:$D$13,3,FALSE)/Conv!$I$5</f>
        <v>13.280678398133922</v>
      </c>
      <c r="M181" s="62">
        <f>I181*Conv!$J$20/10^6/VLOOKUP($B181,Types!$B$2:$D$13,3,FALSE)/Conv!$I$5</f>
        <v>10.137755056803382</v>
      </c>
      <c r="N181" s="62" t="e">
        <f>M181*#REF!</f>
        <v>#REF!</v>
      </c>
      <c r="O181" s="62" t="e">
        <f>N181*#REF!</f>
        <v>#REF!</v>
      </c>
      <c r="P181" s="62" t="e">
        <f>O181*#REF!</f>
        <v>#REF!</v>
      </c>
      <c r="Q181" s="62" t="e">
        <f>P181*#REF!</f>
        <v>#REF!</v>
      </c>
      <c r="R181" s="62" t="e">
        <f>Q181*#REF!</f>
        <v>#REF!</v>
      </c>
      <c r="S181" s="62" t="e">
        <f>R181*#REF!</f>
        <v>#REF!</v>
      </c>
      <c r="T181" s="62" t="e">
        <f>S181*#REF!</f>
        <v>#REF!</v>
      </c>
      <c r="U181" s="62" t="e">
        <f>T181*#REF!</f>
        <v>#REF!</v>
      </c>
      <c r="V181" s="62" t="e">
        <f>U181*#REF!</f>
        <v>#REF!</v>
      </c>
      <c r="W181" s="34"/>
      <c r="X181" s="1">
        <f>X177*$E$9</f>
        <v>1999998</v>
      </c>
      <c r="Y181" s="1">
        <f t="shared" ref="Y181:AA181" si="453">Y177*$E$9</f>
        <v>1999998</v>
      </c>
      <c r="Z181" s="1">
        <f t="shared" si="453"/>
        <v>1999998</v>
      </c>
      <c r="AA181" s="1">
        <f t="shared" si="453"/>
        <v>1999998</v>
      </c>
      <c r="AB181" s="34">
        <f>X181*VLOOKUP($B181,Types!$B$2:$D$13,3,FALSE)*Conv!$I$5*1000*365</f>
        <v>4383151.9149237014</v>
      </c>
      <c r="AC181" s="34">
        <f>Y181*VLOOKUP($B181,Types!$B$2:$D$13,3,FALSE)*Conv!$I$5*1000*365</f>
        <v>4383151.9149237014</v>
      </c>
      <c r="AD181" s="34">
        <f>Z181*VLOOKUP($B181,Types!$B$2:$D$13,3,FALSE)*Conv!$I$5*1000*365</f>
        <v>4383151.9149237014</v>
      </c>
      <c r="AE181" s="34">
        <f>AA181*VLOOKUP($B181,Types!$B$2:$D$13,3,FALSE)*Conv!$I$5*1000*365</f>
        <v>4383151.9149237014</v>
      </c>
      <c r="AF181" s="34">
        <f>AB181-AB180</f>
        <v>1753260.7659694799</v>
      </c>
      <c r="AG181" s="34">
        <f t="shared" ref="AG181:AI181" si="454">AC181-AC180</f>
        <v>1753260.7659694799</v>
      </c>
      <c r="AH181" s="34">
        <f t="shared" si="454"/>
        <v>1753260.7659694799</v>
      </c>
      <c r="AI181" s="34">
        <f t="shared" si="454"/>
        <v>1753260.7659694799</v>
      </c>
      <c r="AJ181" s="34"/>
      <c r="AK181" s="34"/>
      <c r="AL181" s="34"/>
    </row>
    <row r="182" spans="1:38">
      <c r="A182" s="1" t="str">
        <f>'Agg prdcrv'!$A$15</f>
        <v>Other Refined Prod.</v>
      </c>
      <c r="B182" s="1" t="str">
        <f>VLOOKUP($A182,Types!$A$2:$C$13,2,FALSE)</f>
        <v>KER</v>
      </c>
      <c r="C182" s="1">
        <v>3</v>
      </c>
      <c r="D182" s="1">
        <v>3</v>
      </c>
      <c r="E182" s="1" t="str">
        <f>CONCATENATE("IMP",G182,RIGHT(C182,1))</f>
        <v>IMPKERP33</v>
      </c>
      <c r="F182" s="1" t="str">
        <f>CONCATENATE("Imported ",VLOOKUP($A182,Types!$A$2:$C$13,3,FALSE),", PADD ",D182,", Step ",RIGHT(C182,1))</f>
        <v>Imported Kerosene and Other Refined Products, PADD 3, Step 3</v>
      </c>
      <c r="G182" s="1" t="str">
        <f>CONCATENATE(VLOOKUP($A182,Types!$A$2:$C$13,2,FALSE),"P",D182)</f>
        <v>KERP3</v>
      </c>
      <c r="H182" s="61">
        <f>SUMIFS('Agg prdcrv NYC'!$N$6:$N$100,'Agg prdcrv NYC'!$A$6:$A$100,'Imp Refined NYC'!$A182,'Agg prdcrv NYC'!$B$6:$B$100,H$11)*K4</f>
        <v>66.649000000000015</v>
      </c>
      <c r="I182" s="61">
        <f>SUMIFS('Agg prdcrv NYC'!$N$6:$N$100,'Agg prdcrv NYC'!$A$6:$A$100,'Imp Refined NYC'!$A182,'Agg prdcrv NYC'!$B$6:$B$100,I$11)*K4</f>
        <v>40.744</v>
      </c>
      <c r="J182" s="61">
        <f t="array" ref="J182">SUMIFS('Agg prdcrv NYC'!$N$6:$N$100,'Agg prdcrv NYC'!$A$6:$A$100,'Imp Refined NYC'!$A182,'Agg prdcrv NYC'!$B$6:$B$100,J$11)</f>
        <v>33.04</v>
      </c>
      <c r="K182" s="61">
        <f t="array" ref="K182">SUMIFS('Agg prdcrv NYC'!$N$6:$N$100,'Agg prdcrv NYC'!$A$6:$A$100,'Imp Refined NYC'!$A182,'Agg prdcrv NYC'!$B$6:$B$100,K$11)</f>
        <v>41.76</v>
      </c>
      <c r="L182" s="62">
        <f>H182*Conv!$J$20/10^6/VLOOKUP($B182,Types!$B$2:$D$13,3,FALSE)/Conv!$I$5</f>
        <v>17.09615568246203</v>
      </c>
      <c r="M182" s="62">
        <f>I182*Conv!$J$20/10^6/VLOOKUP($B182,Types!$B$2:$D$13,3,FALSE)/Conv!$I$5</f>
        <v>10.451256089757276</v>
      </c>
      <c r="N182" s="62" t="e">
        <f>M182*#REF!</f>
        <v>#REF!</v>
      </c>
      <c r="O182" s="62" t="e">
        <f>N182*#REF!</f>
        <v>#REF!</v>
      </c>
      <c r="P182" s="62" t="e">
        <f>O182*#REF!</f>
        <v>#REF!</v>
      </c>
      <c r="Q182" s="62" t="e">
        <f>P182*#REF!</f>
        <v>#REF!</v>
      </c>
      <c r="R182" s="62" t="e">
        <f>Q182*#REF!</f>
        <v>#REF!</v>
      </c>
      <c r="S182" s="62" t="e">
        <f>R182*#REF!</f>
        <v>#REF!</v>
      </c>
      <c r="T182" s="62" t="e">
        <f>S182*#REF!</f>
        <v>#REF!</v>
      </c>
      <c r="U182" s="62" t="e">
        <f>T182*#REF!</f>
        <v>#REF!</v>
      </c>
      <c r="V182" s="62" t="e">
        <f>U182*#REF!</f>
        <v>#REF!</v>
      </c>
      <c r="W182" s="34"/>
      <c r="X182" s="1">
        <f t="array" ref="X182">SUMIFS('Agg prdcrv NYC'!$F$6:$F$100,'Agg prdcrv NYC'!$A$6:$A$100,'Imp Refined NYC'!$A182,'Agg prdcrv NYC'!$B$6:$B$100,X$11)</f>
        <v>999999</v>
      </c>
      <c r="Y182" s="1">
        <f t="array" ref="Y182">SUMIFS('Agg prdcrv NYC'!$F$6:$F$100,'Agg prdcrv NYC'!$A$6:$A$100,'Imp Refined NYC'!$A182,'Agg prdcrv NYC'!$B$6:$B$100,Y$11)</f>
        <v>999999</v>
      </c>
      <c r="Z182" s="1">
        <f t="array" ref="Z182">SUMIFS('Agg prdcrv NYC'!$F$6:$F$100,'Agg prdcrv NYC'!$A$6:$A$100,'Imp Refined NYC'!$A182,'Agg prdcrv NYC'!$B$6:$B$100,Z$11)</f>
        <v>999999</v>
      </c>
      <c r="AA182" s="1">
        <f t="array" ref="AA182">SUMIFS('Agg prdcrv NYC'!$F$6:$F$100,'Agg prdcrv NYC'!$A$6:$A$100,'Imp Refined NYC'!$A182,'Agg prdcrv NYC'!$B$6:$B$100,AA$11)</f>
        <v>999999</v>
      </c>
      <c r="AB182" s="34">
        <f>X182*VLOOKUP($B182,Types!$B$2:$D$13,3,FALSE)*Conv!$I$5*1000*365</f>
        <v>2183488.9613088551</v>
      </c>
      <c r="AC182" s="34">
        <f>Y182*VLOOKUP($B182,Types!$B$2:$D$13,3,FALSE)*Conv!$I$5*1000*365</f>
        <v>2183488.9613088551</v>
      </c>
      <c r="AD182" s="34">
        <f>Z182*VLOOKUP($B182,Types!$B$2:$D$13,3,FALSE)*Conv!$I$5*1000*365</f>
        <v>2183488.9613088551</v>
      </c>
      <c r="AE182" s="34">
        <f>AA182*VLOOKUP($B182,Types!$B$2:$D$13,3,FALSE)*Conv!$I$5*1000*365</f>
        <v>2183488.9613088551</v>
      </c>
      <c r="AF182" s="34">
        <f>AB182-AB184</f>
        <v>218348.8961308857</v>
      </c>
      <c r="AG182" s="34">
        <f t="shared" ref="AG182:AI182" si="455">AC182-AC184</f>
        <v>218348.8961308857</v>
      </c>
      <c r="AH182" s="34">
        <f t="shared" si="455"/>
        <v>218348.8961308857</v>
      </c>
      <c r="AI182" s="34">
        <f t="shared" si="455"/>
        <v>218348.8961308857</v>
      </c>
      <c r="AJ182" s="34"/>
      <c r="AK182" s="34"/>
      <c r="AL182" s="34"/>
    </row>
    <row r="183" spans="1:38">
      <c r="A183" s="1" t="str">
        <f>A182</f>
        <v>Other Refined Prod.</v>
      </c>
      <c r="B183" s="1" t="str">
        <f>VLOOKUP($A183,Types!$A$2:$C$13,2,FALSE)</f>
        <v>KER</v>
      </c>
      <c r="C183" s="1">
        <v>1</v>
      </c>
      <c r="D183" s="1">
        <v>3</v>
      </c>
      <c r="E183" s="1" t="str">
        <f t="shared" ref="E183:E196" si="456">CONCATENATE("IMP",G183,RIGHT(C183,1))</f>
        <v>IMPKERP31</v>
      </c>
      <c r="F183" s="1" t="str">
        <f>CONCATENATE("Imported ",VLOOKUP($A183,Types!$A$2:$C$13,3,FALSE),", PADD ",D183,", Step ",RIGHT(C183,1))</f>
        <v>Imported Kerosene and Other Refined Products, PADD 3, Step 1</v>
      </c>
      <c r="G183" s="1" t="str">
        <f>CONCATENATE(VLOOKUP($A183,Types!$A$2:$C$13,2,FALSE),"P",D183)</f>
        <v>KERP3</v>
      </c>
      <c r="H183" s="61">
        <f>H182*$C$5</f>
        <v>63.316550000000014</v>
      </c>
      <c r="I183" s="61">
        <f t="shared" ref="I183:K183" si="457">I182*$C$5</f>
        <v>38.706800000000001</v>
      </c>
      <c r="J183" s="61">
        <f t="shared" si="457"/>
        <v>31.387999999999998</v>
      </c>
      <c r="K183" s="61">
        <f t="shared" si="457"/>
        <v>39.671999999999997</v>
      </c>
      <c r="L183" s="62">
        <f>H183*Conv!$J$20/10^6/VLOOKUP($B183,Types!$B$2:$D$13,3,FALSE)/Conv!$I$5</f>
        <v>16.24134789833893</v>
      </c>
      <c r="M183" s="62">
        <f>I183*Conv!$J$20/10^6/VLOOKUP($B183,Types!$B$2:$D$13,3,FALSE)/Conv!$I$5</f>
        <v>9.9286932852694125</v>
      </c>
      <c r="N183" s="62" t="e">
        <f>M183*#REF!</f>
        <v>#REF!</v>
      </c>
      <c r="O183" s="62" t="e">
        <f>N183*#REF!</f>
        <v>#REF!</v>
      </c>
      <c r="P183" s="62" t="e">
        <f>O183*#REF!</f>
        <v>#REF!</v>
      </c>
      <c r="Q183" s="62" t="e">
        <f>P183*#REF!</f>
        <v>#REF!</v>
      </c>
      <c r="R183" s="62" t="e">
        <f>Q183*#REF!</f>
        <v>#REF!</v>
      </c>
      <c r="S183" s="62" t="e">
        <f>R183*#REF!</f>
        <v>#REF!</v>
      </c>
      <c r="T183" s="62" t="e">
        <f>S183*#REF!</f>
        <v>#REF!</v>
      </c>
      <c r="U183" s="62" t="e">
        <f>T183*#REF!</f>
        <v>#REF!</v>
      </c>
      <c r="V183" s="62" t="e">
        <f>U183*#REF!</f>
        <v>#REF!</v>
      </c>
      <c r="W183" s="34"/>
      <c r="X183" s="1">
        <f>X182*$E$5</f>
        <v>799999.20000000007</v>
      </c>
      <c r="Y183" s="1">
        <f t="shared" ref="Y183:AA183" si="458">Y182*$E$5</f>
        <v>799999.20000000007</v>
      </c>
      <c r="Z183" s="1">
        <f t="shared" si="458"/>
        <v>799999.20000000007</v>
      </c>
      <c r="AA183" s="1">
        <f t="shared" si="458"/>
        <v>799999.20000000007</v>
      </c>
      <c r="AB183" s="34">
        <f>X183*VLOOKUP($B183,Types!$B$2:$D$13,3,FALSE)*Conv!$I$5*1000*365</f>
        <v>1746791.1690470844</v>
      </c>
      <c r="AC183" s="34">
        <f>Y183*VLOOKUP($B183,Types!$B$2:$D$13,3,FALSE)*Conv!$I$5*1000*365</f>
        <v>1746791.1690470844</v>
      </c>
      <c r="AD183" s="34">
        <f>Z183*VLOOKUP($B183,Types!$B$2:$D$13,3,FALSE)*Conv!$I$5*1000*365</f>
        <v>1746791.1690470844</v>
      </c>
      <c r="AE183" s="34">
        <f>AA183*VLOOKUP($B183,Types!$B$2:$D$13,3,FALSE)*Conv!$I$5*1000*365</f>
        <v>1746791.1690470844</v>
      </c>
      <c r="AF183" s="34">
        <f>AB183</f>
        <v>1746791.1690470844</v>
      </c>
      <c r="AG183" s="34">
        <f t="shared" ref="AG183:AI183" si="459">AC183</f>
        <v>1746791.1690470844</v>
      </c>
      <c r="AH183" s="34">
        <f t="shared" si="459"/>
        <v>1746791.1690470844</v>
      </c>
      <c r="AI183" s="34">
        <f t="shared" si="459"/>
        <v>1746791.1690470844</v>
      </c>
      <c r="AJ183" s="34"/>
      <c r="AK183" s="34"/>
      <c r="AL183" s="34"/>
    </row>
    <row r="184" spans="1:38">
      <c r="A184" s="1" t="str">
        <f t="shared" ref="A184:A186" si="460">A183</f>
        <v>Other Refined Prod.</v>
      </c>
      <c r="B184" s="1" t="str">
        <f>VLOOKUP($A184,Types!$A$2:$C$13,2,FALSE)</f>
        <v>KER</v>
      </c>
      <c r="C184" s="1">
        <v>2</v>
      </c>
      <c r="D184" s="1">
        <v>3</v>
      </c>
      <c r="E184" s="1" t="str">
        <f t="shared" si="456"/>
        <v>IMPKERP32</v>
      </c>
      <c r="F184" s="1" t="str">
        <f>CONCATENATE("Imported ",VLOOKUP($A184,Types!$A$2:$C$13,3,FALSE),", PADD ",D184,", Step ",RIGHT(C184,1))</f>
        <v>Imported Kerosene and Other Refined Products, PADD 3, Step 2</v>
      </c>
      <c r="G184" s="1" t="str">
        <f>CONCATENATE(VLOOKUP($A184,Types!$A$2:$C$13,2,FALSE),"P",D184)</f>
        <v>KERP3</v>
      </c>
      <c r="H184" s="61">
        <f>H182*$C$6</f>
        <v>65.316020000000009</v>
      </c>
      <c r="I184" s="61">
        <f t="shared" ref="I184:K184" si="461">I182*$C$6</f>
        <v>39.929119999999998</v>
      </c>
      <c r="J184" s="61">
        <f t="shared" si="461"/>
        <v>32.379199999999997</v>
      </c>
      <c r="K184" s="61">
        <f t="shared" si="461"/>
        <v>40.924799999999998</v>
      </c>
      <c r="L184" s="62">
        <f>H184*Conv!$J$20/10^6/VLOOKUP($B184,Types!$B$2:$D$13,3,FALSE)/Conv!$I$5</f>
        <v>16.754232568812785</v>
      </c>
      <c r="M184" s="62">
        <f>I184*Conv!$J$20/10^6/VLOOKUP($B184,Types!$B$2:$D$13,3,FALSE)/Conv!$I$5</f>
        <v>10.242230967962131</v>
      </c>
      <c r="N184" s="62" t="e">
        <f>M184*#REF!</f>
        <v>#REF!</v>
      </c>
      <c r="O184" s="62" t="e">
        <f>N184*#REF!</f>
        <v>#REF!</v>
      </c>
      <c r="P184" s="62" t="e">
        <f>O184*#REF!</f>
        <v>#REF!</v>
      </c>
      <c r="Q184" s="62" t="e">
        <f>P184*#REF!</f>
        <v>#REF!</v>
      </c>
      <c r="R184" s="62" t="e">
        <f>Q184*#REF!</f>
        <v>#REF!</v>
      </c>
      <c r="S184" s="62" t="e">
        <f>R184*#REF!</f>
        <v>#REF!</v>
      </c>
      <c r="T184" s="62" t="e">
        <f>S184*#REF!</f>
        <v>#REF!</v>
      </c>
      <c r="U184" s="62" t="e">
        <f>T184*#REF!</f>
        <v>#REF!</v>
      </c>
      <c r="V184" s="62" t="e">
        <f>U184*#REF!</f>
        <v>#REF!</v>
      </c>
      <c r="W184" s="34"/>
      <c r="X184" s="1">
        <f>X182*$E$6</f>
        <v>899999.1</v>
      </c>
      <c r="Y184" s="1">
        <f t="shared" ref="Y184:AA184" si="462">Y182*$E$6</f>
        <v>899999.1</v>
      </c>
      <c r="Z184" s="1">
        <f t="shared" si="462"/>
        <v>899999.1</v>
      </c>
      <c r="AA184" s="1">
        <f t="shared" si="462"/>
        <v>899999.1</v>
      </c>
      <c r="AB184" s="34">
        <f>X184*VLOOKUP($B184,Types!$B$2:$D$13,3,FALSE)*Conv!$I$5*1000*365</f>
        <v>1965140.0651779694</v>
      </c>
      <c r="AC184" s="34">
        <f>Y184*VLOOKUP($B184,Types!$B$2:$D$13,3,FALSE)*Conv!$I$5*1000*365</f>
        <v>1965140.0651779694</v>
      </c>
      <c r="AD184" s="34">
        <f>Z184*VLOOKUP($B184,Types!$B$2:$D$13,3,FALSE)*Conv!$I$5*1000*365</f>
        <v>1965140.0651779694</v>
      </c>
      <c r="AE184" s="34">
        <f>AA184*VLOOKUP($B184,Types!$B$2:$D$13,3,FALSE)*Conv!$I$5*1000*365</f>
        <v>1965140.0651779694</v>
      </c>
      <c r="AF184" s="34">
        <f>AB184-AF183</f>
        <v>218348.896130885</v>
      </c>
      <c r="AG184" s="34">
        <f t="shared" ref="AG184:AI184" si="463">AC184-AG183</f>
        <v>218348.896130885</v>
      </c>
      <c r="AH184" s="34">
        <f t="shared" si="463"/>
        <v>218348.896130885</v>
      </c>
      <c r="AI184" s="34">
        <f t="shared" si="463"/>
        <v>218348.896130885</v>
      </c>
      <c r="AJ184" s="34"/>
      <c r="AK184" s="34"/>
      <c r="AL184" s="34"/>
    </row>
    <row r="185" spans="1:38">
      <c r="A185" s="1" t="str">
        <f t="shared" si="460"/>
        <v>Other Refined Prod.</v>
      </c>
      <c r="B185" s="1" t="str">
        <f>VLOOKUP($A185,Types!$A$2:$C$13,2,FALSE)</f>
        <v>KER</v>
      </c>
      <c r="C185" s="1">
        <v>4</v>
      </c>
      <c r="D185" s="1">
        <v>3</v>
      </c>
      <c r="E185" s="1" t="str">
        <f t="shared" si="456"/>
        <v>IMPKERP34</v>
      </c>
      <c r="F185" s="1" t="str">
        <f>CONCATENATE("Imported ",VLOOKUP($A185,Types!$A$2:$C$13,3,FALSE),", PADD ",D185,", Step ",RIGHT(C185,1))</f>
        <v>Imported Kerosene and Other Refined Products, PADD 3, Step 4</v>
      </c>
      <c r="G185" s="1" t="str">
        <f>CONCATENATE(VLOOKUP($A185,Types!$A$2:$C$13,2,FALSE),"P",D185)</f>
        <v>KERP3</v>
      </c>
      <c r="H185" s="61">
        <f>H182*$C$8</f>
        <v>72.647410000000022</v>
      </c>
      <c r="I185" s="61">
        <f t="shared" ref="I185:K185" si="464">I182*$C$8</f>
        <v>44.410960000000003</v>
      </c>
      <c r="J185" s="61">
        <f t="shared" si="464"/>
        <v>36.013600000000004</v>
      </c>
      <c r="K185" s="61">
        <f t="shared" si="464"/>
        <v>45.5184</v>
      </c>
      <c r="L185" s="62">
        <f>H185*Conv!$J$20/10^6/VLOOKUP($B185,Types!$B$2:$D$13,3,FALSE)/Conv!$I$5</f>
        <v>18.634809693883611</v>
      </c>
      <c r="M185" s="62">
        <f>I185*Conv!$J$20/10^6/VLOOKUP($B185,Types!$B$2:$D$13,3,FALSE)/Conv!$I$5</f>
        <v>11.391869137835432</v>
      </c>
      <c r="N185" s="62" t="e">
        <f>M185*#REF!</f>
        <v>#REF!</v>
      </c>
      <c r="O185" s="62" t="e">
        <f>N185*#REF!</f>
        <v>#REF!</v>
      </c>
      <c r="P185" s="62" t="e">
        <f>O185*#REF!</f>
        <v>#REF!</v>
      </c>
      <c r="Q185" s="62" t="e">
        <f>P185*#REF!</f>
        <v>#REF!</v>
      </c>
      <c r="R185" s="62" t="e">
        <f>Q185*#REF!</f>
        <v>#REF!</v>
      </c>
      <c r="S185" s="62" t="e">
        <f>R185*#REF!</f>
        <v>#REF!</v>
      </c>
      <c r="T185" s="62" t="e">
        <f>S185*#REF!</f>
        <v>#REF!</v>
      </c>
      <c r="U185" s="62" t="e">
        <f>T185*#REF!</f>
        <v>#REF!</v>
      </c>
      <c r="V185" s="62" t="e">
        <f>U185*#REF!</f>
        <v>#REF!</v>
      </c>
      <c r="W185" s="34"/>
      <c r="X185" s="1">
        <f>X182*$E$8</f>
        <v>1199998.8</v>
      </c>
      <c r="Y185" s="1">
        <f t="shared" ref="Y185:AA185" si="465">Y182*$E$8</f>
        <v>1199998.8</v>
      </c>
      <c r="Z185" s="1">
        <f t="shared" si="465"/>
        <v>1199998.8</v>
      </c>
      <c r="AA185" s="1">
        <f t="shared" si="465"/>
        <v>1199998.8</v>
      </c>
      <c r="AB185" s="34">
        <f>X185*VLOOKUP($B185,Types!$B$2:$D$13,3,FALSE)*Conv!$I$5*1000*365</f>
        <v>2620186.753570626</v>
      </c>
      <c r="AC185" s="34">
        <f>Y185*VLOOKUP($B185,Types!$B$2:$D$13,3,FALSE)*Conv!$I$5*1000*365</f>
        <v>2620186.753570626</v>
      </c>
      <c r="AD185" s="34">
        <f>Z185*VLOOKUP($B185,Types!$B$2:$D$13,3,FALSE)*Conv!$I$5*1000*365</f>
        <v>2620186.753570626</v>
      </c>
      <c r="AE185" s="34">
        <f>AA185*VLOOKUP($B185,Types!$B$2:$D$13,3,FALSE)*Conv!$I$5*1000*365</f>
        <v>2620186.753570626</v>
      </c>
      <c r="AF185" s="34">
        <f>AB185-AB182</f>
        <v>436697.79226177093</v>
      </c>
      <c r="AG185" s="34">
        <f t="shared" ref="AG185:AI185" si="466">AC185-AC182</f>
        <v>436697.79226177093</v>
      </c>
      <c r="AH185" s="34">
        <f t="shared" si="466"/>
        <v>436697.79226177093</v>
      </c>
      <c r="AI185" s="34">
        <f t="shared" si="466"/>
        <v>436697.79226177093</v>
      </c>
      <c r="AJ185" s="34"/>
      <c r="AK185" s="34"/>
      <c r="AL185" s="34"/>
    </row>
    <row r="186" spans="1:38">
      <c r="A186" s="1" t="str">
        <f t="shared" si="460"/>
        <v>Other Refined Prod.</v>
      </c>
      <c r="B186" s="1" t="str">
        <f>VLOOKUP($A186,Types!$A$2:$C$13,2,FALSE)</f>
        <v>KER</v>
      </c>
      <c r="C186" s="1">
        <v>5</v>
      </c>
      <c r="D186" s="1">
        <v>3</v>
      </c>
      <c r="E186" s="1" t="str">
        <f t="shared" si="456"/>
        <v>IMPKERP35</v>
      </c>
      <c r="F186" s="1" t="str">
        <f>CONCATENATE("Imported ",VLOOKUP($A186,Types!$A$2:$C$13,3,FALSE),", PADD ",D186,", Step ",RIGHT(C186,1))</f>
        <v>Imported Kerosene and Other Refined Products, PADD 3, Step 5</v>
      </c>
      <c r="G186" s="1" t="str">
        <f>CONCATENATE(VLOOKUP($A186,Types!$A$2:$C$13,2,FALSE),"P",D186)</f>
        <v>KERP3</v>
      </c>
      <c r="H186" s="61">
        <f>H182*$C$9</f>
        <v>86.643700000000024</v>
      </c>
      <c r="I186" s="61">
        <f t="shared" ref="I186:K186" si="467">I182*$C$9</f>
        <v>52.967199999999998</v>
      </c>
      <c r="J186" s="61">
        <f t="shared" si="467"/>
        <v>42.951999999999998</v>
      </c>
      <c r="K186" s="61">
        <f t="shared" si="467"/>
        <v>54.287999999999997</v>
      </c>
      <c r="L186" s="62">
        <f>H186*Conv!$J$20/10^6/VLOOKUP($B186,Types!$B$2:$D$13,3,FALSE)/Conv!$I$5</f>
        <v>22.225002387200636</v>
      </c>
      <c r="M186" s="62">
        <f>I186*Conv!$J$20/10^6/VLOOKUP($B186,Types!$B$2:$D$13,3,FALSE)/Conv!$I$5</f>
        <v>13.586632916684458</v>
      </c>
      <c r="N186" s="62" t="e">
        <f>M186*#REF!</f>
        <v>#REF!</v>
      </c>
      <c r="O186" s="62" t="e">
        <f>N186*#REF!</f>
        <v>#REF!</v>
      </c>
      <c r="P186" s="62" t="e">
        <f>O186*#REF!</f>
        <v>#REF!</v>
      </c>
      <c r="Q186" s="62" t="e">
        <f>P186*#REF!</f>
        <v>#REF!</v>
      </c>
      <c r="R186" s="62" t="e">
        <f>Q186*#REF!</f>
        <v>#REF!</v>
      </c>
      <c r="S186" s="62" t="e">
        <f>R186*#REF!</f>
        <v>#REF!</v>
      </c>
      <c r="T186" s="62" t="e">
        <f>S186*#REF!</f>
        <v>#REF!</v>
      </c>
      <c r="U186" s="62" t="e">
        <f>T186*#REF!</f>
        <v>#REF!</v>
      </c>
      <c r="V186" s="62" t="e">
        <f>U186*#REF!</f>
        <v>#REF!</v>
      </c>
      <c r="W186" s="34"/>
      <c r="X186" s="1">
        <f>X182*$E$9</f>
        <v>1999998</v>
      </c>
      <c r="Y186" s="1">
        <f t="shared" ref="Y186:AA186" si="468">Y182*$E$9</f>
        <v>1999998</v>
      </c>
      <c r="Z186" s="1">
        <f t="shared" si="468"/>
        <v>1999998</v>
      </c>
      <c r="AA186" s="1">
        <f t="shared" si="468"/>
        <v>1999998</v>
      </c>
      <c r="AB186" s="34">
        <f>X186*VLOOKUP($B186,Types!$B$2:$D$13,3,FALSE)*Conv!$I$5*1000*365</f>
        <v>4366977.9226177102</v>
      </c>
      <c r="AC186" s="34">
        <f>Y186*VLOOKUP($B186,Types!$B$2:$D$13,3,FALSE)*Conv!$I$5*1000*365</f>
        <v>4366977.9226177102</v>
      </c>
      <c r="AD186" s="34">
        <f>Z186*VLOOKUP($B186,Types!$B$2:$D$13,3,FALSE)*Conv!$I$5*1000*365</f>
        <v>4366977.9226177102</v>
      </c>
      <c r="AE186" s="34">
        <f>AA186*VLOOKUP($B186,Types!$B$2:$D$13,3,FALSE)*Conv!$I$5*1000*365</f>
        <v>4366977.9226177102</v>
      </c>
      <c r="AF186" s="34">
        <f>AB186-AB185</f>
        <v>1746791.1690470842</v>
      </c>
      <c r="AG186" s="34">
        <f t="shared" ref="AG186:AI186" si="469">AC186-AC185</f>
        <v>1746791.1690470842</v>
      </c>
      <c r="AH186" s="34">
        <f t="shared" si="469"/>
        <v>1746791.1690470842</v>
      </c>
      <c r="AI186" s="34">
        <f t="shared" si="469"/>
        <v>1746791.1690470842</v>
      </c>
      <c r="AJ186" s="34"/>
      <c r="AK186" s="34"/>
      <c r="AL186" s="34"/>
    </row>
    <row r="187" spans="1:38">
      <c r="A187" s="1" t="str">
        <f>'Agg prdcrv'!$A$16</f>
        <v>Methanol</v>
      </c>
      <c r="B187" s="1" t="str">
        <f>VLOOKUP($A187,Types!$A$2:$C$13,2,FALSE)</f>
        <v>MTH</v>
      </c>
      <c r="C187" s="1">
        <v>3</v>
      </c>
      <c r="D187" s="1">
        <v>3</v>
      </c>
      <c r="E187" s="1" t="str">
        <f t="shared" si="456"/>
        <v>IMPMTHP33</v>
      </c>
      <c r="F187" s="1" t="str">
        <f>CONCATENATE("Imported ",VLOOKUP($A187,Types!$A$2:$C$13,3,FALSE),", PADD ",D187,", Step ",RIGHT(C187,1))</f>
        <v>Imported Methanol, PADD 3, Step 3</v>
      </c>
      <c r="G187" s="1" t="str">
        <f>CONCATENATE(VLOOKUP($A187,Types!$A$2:$C$13,2,FALSE),"P",D187)</f>
        <v>MTHP3</v>
      </c>
      <c r="H187" s="61">
        <f>SUMIFS('Agg prdcrv NYC'!$N$6:$N$100,'Agg prdcrv NYC'!$A$6:$A$100,'Imp Refined NYC'!$A187,'Agg prdcrv NYC'!$B$6:$B$100,H$11)*K4</f>
        <v>51.689000000000007</v>
      </c>
      <c r="I187" s="61">
        <f>SUMIFS('Agg prdcrv NYC'!$N$6:$N$100,'Agg prdcrv NYC'!$A$6:$A$100,'Imp Refined NYC'!$A187,'Agg prdcrv NYC'!$B$6:$B$100,I$11)*K4</f>
        <v>51.128</v>
      </c>
      <c r="J187" s="61">
        <f t="array" ref="J187">SUMIFS('Agg prdcrv NYC'!$N$6:$N$100,'Agg prdcrv NYC'!$A$6:$A$100,'Imp Refined NYC'!$A187,'Agg prdcrv NYC'!$B$6:$B$100,J$11)</f>
        <v>46.48</v>
      </c>
      <c r="K187" s="61">
        <f t="array" ref="K187">SUMIFS('Agg prdcrv NYC'!$N$6:$N$100,'Agg prdcrv NYC'!$A$6:$A$100,'Imp Refined NYC'!$A187,'Agg prdcrv NYC'!$B$6:$B$100,K$11)</f>
        <v>46.48</v>
      </c>
      <c r="L187" s="62">
        <f>H187*Conv!$J$20/10^6/VLOOKUP($B187,Types!$B$2:$D$13,3,FALSE)/Conv!$I$5</f>
        <v>27.369002968023974</v>
      </c>
      <c r="M187" s="62">
        <f>I187*Conv!$J$20/10^6/VLOOKUP($B187,Types!$B$2:$D$13,3,FALSE)/Conv!$I$5</f>
        <v>27.071956968583827</v>
      </c>
      <c r="N187" s="62" t="e">
        <f>M187*#REF!</f>
        <v>#REF!</v>
      </c>
      <c r="O187" s="62" t="e">
        <f>N187*#REF!</f>
        <v>#REF!</v>
      </c>
      <c r="P187" s="62" t="e">
        <f>O187*#REF!</f>
        <v>#REF!</v>
      </c>
      <c r="Q187" s="62" t="e">
        <f>P187*#REF!</f>
        <v>#REF!</v>
      </c>
      <c r="R187" s="62" t="e">
        <f>Q187*#REF!</f>
        <v>#REF!</v>
      </c>
      <c r="S187" s="62" t="e">
        <f>R187*#REF!</f>
        <v>#REF!</v>
      </c>
      <c r="T187" s="62" t="e">
        <f>S187*#REF!</f>
        <v>#REF!</v>
      </c>
      <c r="U187" s="62" t="e">
        <f>T187*#REF!</f>
        <v>#REF!</v>
      </c>
      <c r="V187" s="62" t="e">
        <f>U187*#REF!</f>
        <v>#REF!</v>
      </c>
      <c r="W187" s="34"/>
      <c r="X187" s="1">
        <f t="array" ref="X187">SUMIFS('Agg prdcrv NYC'!$F$6:$F$100,'Agg prdcrv NYC'!$A$6:$A$100,'Imp Refined NYC'!$A187,'Agg prdcrv NYC'!$B$6:$B$100,X$11)</f>
        <v>999999</v>
      </c>
      <c r="Y187" s="1">
        <f t="array" ref="Y187">SUMIFS('Agg prdcrv NYC'!$F$6:$F$100,'Agg prdcrv NYC'!$A$6:$A$100,'Imp Refined NYC'!$A187,'Agg prdcrv NYC'!$B$6:$B$100,Y$11)</f>
        <v>999999</v>
      </c>
      <c r="Z187" s="1">
        <f t="array" ref="Z187">SUMIFS('Agg prdcrv NYC'!$F$6:$F$100,'Agg prdcrv NYC'!$A$6:$A$100,'Imp Refined NYC'!$A187,'Agg prdcrv NYC'!$B$6:$B$100,Z$11)</f>
        <v>999999</v>
      </c>
      <c r="AA187" s="1">
        <f t="array" ref="AA187">SUMIFS('Agg prdcrv NYC'!$F$6:$F$100,'Agg prdcrv NYC'!$A$6:$A$100,'Imp Refined NYC'!$A187,'Agg prdcrv NYC'!$B$6:$B$100,AA$11)</f>
        <v>999999</v>
      </c>
      <c r="AB187" s="34">
        <f>X187*VLOOKUP($B187,Types!$B$2:$D$13,3,FALSE)*Conv!$I$5*1000*365</f>
        <v>1057779.0968118452</v>
      </c>
      <c r="AC187" s="34">
        <f>Y187*VLOOKUP($B187,Types!$B$2:$D$13,3,FALSE)*Conv!$I$5*1000*365</f>
        <v>1057779.0968118452</v>
      </c>
      <c r="AD187" s="34">
        <f>Z187*VLOOKUP($B187,Types!$B$2:$D$13,3,FALSE)*Conv!$I$5*1000*365</f>
        <v>1057779.0968118452</v>
      </c>
      <c r="AE187" s="34">
        <f>AA187*VLOOKUP($B187,Types!$B$2:$D$13,3,FALSE)*Conv!$I$5*1000*365</f>
        <v>1057779.0968118452</v>
      </c>
      <c r="AF187" s="34">
        <f>AB187-AB189</f>
        <v>105777.90968118445</v>
      </c>
      <c r="AG187" s="34">
        <f t="shared" ref="AG187:AI187" si="470">AC187-AC189</f>
        <v>105777.90968118445</v>
      </c>
      <c r="AH187" s="34">
        <f t="shared" si="470"/>
        <v>105777.90968118445</v>
      </c>
      <c r="AI187" s="34">
        <f t="shared" si="470"/>
        <v>105777.90968118445</v>
      </c>
      <c r="AJ187" s="34"/>
      <c r="AK187" s="34"/>
      <c r="AL187" s="34"/>
    </row>
    <row r="188" spans="1:38">
      <c r="A188" s="1" t="str">
        <f>A187</f>
        <v>Methanol</v>
      </c>
      <c r="B188" s="1" t="str">
        <f>VLOOKUP($A188,Types!$A$2:$C$13,2,FALSE)</f>
        <v>MTH</v>
      </c>
      <c r="C188" s="1">
        <v>1</v>
      </c>
      <c r="D188" s="1">
        <v>3</v>
      </c>
      <c r="E188" s="1" t="str">
        <f t="shared" si="456"/>
        <v>IMPMTHP31</v>
      </c>
      <c r="F188" s="1" t="str">
        <f>CONCATENATE("Imported ",VLOOKUP($A188,Types!$A$2:$C$13,3,FALSE),", PADD ",D188,", Step ",RIGHT(C188,1))</f>
        <v>Imported Methanol, PADD 3, Step 1</v>
      </c>
      <c r="G188" s="1" t="str">
        <f>CONCATENATE(VLOOKUP($A188,Types!$A$2:$C$13,2,FALSE),"P",D188)</f>
        <v>MTHP3</v>
      </c>
      <c r="H188" s="61">
        <f>H187*$C$5</f>
        <v>49.104550000000003</v>
      </c>
      <c r="I188" s="61">
        <f t="shared" ref="I188:K188" si="471">I187*$C$5</f>
        <v>48.571599999999997</v>
      </c>
      <c r="J188" s="61">
        <f t="shared" si="471"/>
        <v>44.155999999999992</v>
      </c>
      <c r="K188" s="61">
        <f t="shared" si="471"/>
        <v>44.155999999999992</v>
      </c>
      <c r="L188" s="62">
        <f>H188*Conv!$J$20/10^6/VLOOKUP($B188,Types!$B$2:$D$13,3,FALSE)/Conv!$I$5</f>
        <v>26.000552819622769</v>
      </c>
      <c r="M188" s="62">
        <f>I188*Conv!$J$20/10^6/VLOOKUP($B188,Types!$B$2:$D$13,3,FALSE)/Conv!$I$5</f>
        <v>25.718359120154631</v>
      </c>
      <c r="N188" s="62" t="e">
        <f>M188*#REF!</f>
        <v>#REF!</v>
      </c>
      <c r="O188" s="62" t="e">
        <f>N188*#REF!</f>
        <v>#REF!</v>
      </c>
      <c r="P188" s="62" t="e">
        <f>O188*#REF!</f>
        <v>#REF!</v>
      </c>
      <c r="Q188" s="62" t="e">
        <f>P188*#REF!</f>
        <v>#REF!</v>
      </c>
      <c r="R188" s="62" t="e">
        <f>Q188*#REF!</f>
        <v>#REF!</v>
      </c>
      <c r="S188" s="62" t="e">
        <f>R188*#REF!</f>
        <v>#REF!</v>
      </c>
      <c r="T188" s="62" t="e">
        <f>S188*#REF!</f>
        <v>#REF!</v>
      </c>
      <c r="U188" s="62" t="e">
        <f>T188*#REF!</f>
        <v>#REF!</v>
      </c>
      <c r="V188" s="62" t="e">
        <f>U188*#REF!</f>
        <v>#REF!</v>
      </c>
      <c r="W188" s="34"/>
      <c r="X188" s="1">
        <f>X187*$E$5</f>
        <v>799999.20000000007</v>
      </c>
      <c r="Y188" s="1">
        <f t="shared" ref="Y188:AA188" si="472">Y187*$E$5</f>
        <v>799999.20000000007</v>
      </c>
      <c r="Z188" s="1">
        <f t="shared" si="472"/>
        <v>799999.20000000007</v>
      </c>
      <c r="AA188" s="1">
        <f t="shared" si="472"/>
        <v>799999.20000000007</v>
      </c>
      <c r="AB188" s="34">
        <f>X188*VLOOKUP($B188,Types!$B$2:$D$13,3,FALSE)*Conv!$I$5*1000*365</f>
        <v>846223.27744947642</v>
      </c>
      <c r="AC188" s="34">
        <f>Y188*VLOOKUP($B188,Types!$B$2:$D$13,3,FALSE)*Conv!$I$5*1000*365</f>
        <v>846223.27744947642</v>
      </c>
      <c r="AD188" s="34">
        <f>Z188*VLOOKUP($B188,Types!$B$2:$D$13,3,FALSE)*Conv!$I$5*1000*365</f>
        <v>846223.27744947642</v>
      </c>
      <c r="AE188" s="34">
        <f>AA188*VLOOKUP($B188,Types!$B$2:$D$13,3,FALSE)*Conv!$I$5*1000*365</f>
        <v>846223.27744947642</v>
      </c>
      <c r="AF188" s="34">
        <f>AB188</f>
        <v>846223.27744947642</v>
      </c>
      <c r="AG188" s="34">
        <f t="shared" ref="AG188:AI188" si="473">AC188</f>
        <v>846223.27744947642</v>
      </c>
      <c r="AH188" s="34">
        <f t="shared" si="473"/>
        <v>846223.27744947642</v>
      </c>
      <c r="AI188" s="34">
        <f t="shared" si="473"/>
        <v>846223.27744947642</v>
      </c>
      <c r="AJ188" s="34"/>
      <c r="AK188" s="34"/>
      <c r="AL188" s="34"/>
    </row>
    <row r="189" spans="1:38">
      <c r="A189" s="1" t="str">
        <f t="shared" ref="A189:A191" si="474">A188</f>
        <v>Methanol</v>
      </c>
      <c r="B189" s="1" t="str">
        <f>VLOOKUP($A189,Types!$A$2:$C$13,2,FALSE)</f>
        <v>MTH</v>
      </c>
      <c r="C189" s="1">
        <v>2</v>
      </c>
      <c r="D189" s="1">
        <v>3</v>
      </c>
      <c r="E189" s="1" t="str">
        <f t="shared" si="456"/>
        <v>IMPMTHP32</v>
      </c>
      <c r="F189" s="1" t="str">
        <f>CONCATENATE("Imported ",VLOOKUP($A189,Types!$A$2:$C$13,3,FALSE),", PADD ",D189,", Step ",RIGHT(C189,1))</f>
        <v>Imported Methanol, PADD 3, Step 2</v>
      </c>
      <c r="G189" s="1" t="str">
        <f>CONCATENATE(VLOOKUP($A189,Types!$A$2:$C$13,2,FALSE),"P",D189)</f>
        <v>MTHP3</v>
      </c>
      <c r="H189" s="61">
        <f>H187*$C$6</f>
        <v>50.655220000000007</v>
      </c>
      <c r="I189" s="61">
        <f t="shared" ref="I189:K189" si="475">I187*$C$6</f>
        <v>50.105440000000002</v>
      </c>
      <c r="J189" s="61">
        <f t="shared" si="475"/>
        <v>45.550399999999996</v>
      </c>
      <c r="K189" s="61">
        <f t="shared" si="475"/>
        <v>45.550399999999996</v>
      </c>
      <c r="L189" s="62">
        <f>H189*Conv!$J$20/10^6/VLOOKUP($B189,Types!$B$2:$D$13,3,FALSE)/Conv!$I$5</f>
        <v>26.821622908663493</v>
      </c>
      <c r="M189" s="62">
        <f>I189*Conv!$J$20/10^6/VLOOKUP($B189,Types!$B$2:$D$13,3,FALSE)/Conv!$I$5</f>
        <v>26.530517829212151</v>
      </c>
      <c r="N189" s="62" t="e">
        <f>M189*#REF!</f>
        <v>#REF!</v>
      </c>
      <c r="O189" s="62" t="e">
        <f>N189*#REF!</f>
        <v>#REF!</v>
      </c>
      <c r="P189" s="62" t="e">
        <f>O189*#REF!</f>
        <v>#REF!</v>
      </c>
      <c r="Q189" s="62" t="e">
        <f>P189*#REF!</f>
        <v>#REF!</v>
      </c>
      <c r="R189" s="62" t="e">
        <f>Q189*#REF!</f>
        <v>#REF!</v>
      </c>
      <c r="S189" s="62" t="e">
        <f>R189*#REF!</f>
        <v>#REF!</v>
      </c>
      <c r="T189" s="62" t="e">
        <f>S189*#REF!</f>
        <v>#REF!</v>
      </c>
      <c r="U189" s="62" t="e">
        <f>T189*#REF!</f>
        <v>#REF!</v>
      </c>
      <c r="V189" s="62" t="e">
        <f>U189*#REF!</f>
        <v>#REF!</v>
      </c>
      <c r="W189" s="34"/>
      <c r="X189" s="1">
        <f>X187*$E$6</f>
        <v>899999.1</v>
      </c>
      <c r="Y189" s="1">
        <f t="shared" ref="Y189:AA189" si="476">Y187*$E$6</f>
        <v>899999.1</v>
      </c>
      <c r="Z189" s="1">
        <f t="shared" si="476"/>
        <v>899999.1</v>
      </c>
      <c r="AA189" s="1">
        <f t="shared" si="476"/>
        <v>899999.1</v>
      </c>
      <c r="AB189" s="34">
        <f>X189*VLOOKUP($B189,Types!$B$2:$D$13,3,FALSE)*Conv!$I$5*1000*365</f>
        <v>952001.18713066075</v>
      </c>
      <c r="AC189" s="34">
        <f>Y189*VLOOKUP($B189,Types!$B$2:$D$13,3,FALSE)*Conv!$I$5*1000*365</f>
        <v>952001.18713066075</v>
      </c>
      <c r="AD189" s="34">
        <f>Z189*VLOOKUP($B189,Types!$B$2:$D$13,3,FALSE)*Conv!$I$5*1000*365</f>
        <v>952001.18713066075</v>
      </c>
      <c r="AE189" s="34">
        <f>AA189*VLOOKUP($B189,Types!$B$2:$D$13,3,FALSE)*Conv!$I$5*1000*365</f>
        <v>952001.18713066075</v>
      </c>
      <c r="AF189" s="34">
        <f>AB189-AF188</f>
        <v>105777.90968118433</v>
      </c>
      <c r="AG189" s="34">
        <f t="shared" ref="AG189:AI189" si="477">AC189-AG188</f>
        <v>105777.90968118433</v>
      </c>
      <c r="AH189" s="34">
        <f t="shared" si="477"/>
        <v>105777.90968118433</v>
      </c>
      <c r="AI189" s="34">
        <f t="shared" si="477"/>
        <v>105777.90968118433</v>
      </c>
      <c r="AJ189" s="34"/>
      <c r="AK189" s="34"/>
      <c r="AL189" s="34"/>
    </row>
    <row r="190" spans="1:38">
      <c r="A190" s="1" t="str">
        <f t="shared" si="474"/>
        <v>Methanol</v>
      </c>
      <c r="B190" s="1" t="str">
        <f>VLOOKUP($A190,Types!$A$2:$C$13,2,FALSE)</f>
        <v>MTH</v>
      </c>
      <c r="C190" s="1">
        <v>4</v>
      </c>
      <c r="D190" s="1">
        <v>3</v>
      </c>
      <c r="E190" s="1" t="str">
        <f t="shared" si="456"/>
        <v>IMPMTHP34</v>
      </c>
      <c r="F190" s="1" t="str">
        <f>CONCATENATE("Imported ",VLOOKUP($A190,Types!$A$2:$C$13,3,FALSE),", PADD ",D190,", Step ",RIGHT(C190,1))</f>
        <v>Imported Methanol, PADD 3, Step 4</v>
      </c>
      <c r="G190" s="1" t="str">
        <f>CONCATENATE(VLOOKUP($A190,Types!$A$2:$C$13,2,FALSE),"P",D190)</f>
        <v>MTHP3</v>
      </c>
      <c r="H190" s="61">
        <f>H187*$C$8</f>
        <v>56.341010000000011</v>
      </c>
      <c r="I190" s="61">
        <f t="shared" ref="I190:K190" si="478">I187*$C$8</f>
        <v>55.729520000000001</v>
      </c>
      <c r="J190" s="61">
        <f t="shared" si="478"/>
        <v>50.663200000000003</v>
      </c>
      <c r="K190" s="61">
        <f t="shared" si="478"/>
        <v>50.663200000000003</v>
      </c>
      <c r="L190" s="62">
        <f>H190*Conv!$J$20/10^6/VLOOKUP($B190,Types!$B$2:$D$13,3,FALSE)/Conv!$I$5</f>
        <v>29.832213235146135</v>
      </c>
      <c r="M190" s="62">
        <f>I190*Conv!$J$20/10^6/VLOOKUP($B190,Types!$B$2:$D$13,3,FALSE)/Conv!$I$5</f>
        <v>29.508433095756374</v>
      </c>
      <c r="N190" s="62" t="e">
        <f>M190*#REF!</f>
        <v>#REF!</v>
      </c>
      <c r="O190" s="62" t="e">
        <f>N190*#REF!</f>
        <v>#REF!</v>
      </c>
      <c r="P190" s="62" t="e">
        <f>O190*#REF!</f>
        <v>#REF!</v>
      </c>
      <c r="Q190" s="62" t="e">
        <f>P190*#REF!</f>
        <v>#REF!</v>
      </c>
      <c r="R190" s="62" t="e">
        <f>Q190*#REF!</f>
        <v>#REF!</v>
      </c>
      <c r="S190" s="62" t="e">
        <f>R190*#REF!</f>
        <v>#REF!</v>
      </c>
      <c r="T190" s="62" t="e">
        <f>S190*#REF!</f>
        <v>#REF!</v>
      </c>
      <c r="U190" s="62" t="e">
        <f>T190*#REF!</f>
        <v>#REF!</v>
      </c>
      <c r="V190" s="62" t="e">
        <f>U190*#REF!</f>
        <v>#REF!</v>
      </c>
      <c r="W190" s="34"/>
      <c r="X190" s="1">
        <f>X187*$E$8</f>
        <v>1199998.8</v>
      </c>
      <c r="Y190" s="1">
        <f t="shared" ref="Y190:AA190" si="479">Y187*$E$8</f>
        <v>1199998.8</v>
      </c>
      <c r="Z190" s="1">
        <f t="shared" si="479"/>
        <v>1199998.8</v>
      </c>
      <c r="AA190" s="1">
        <f t="shared" si="479"/>
        <v>1199998.8</v>
      </c>
      <c r="AB190" s="34">
        <f>X190*VLOOKUP($B190,Types!$B$2:$D$13,3,FALSE)*Conv!$I$5*1000*365</f>
        <v>1269334.9161742146</v>
      </c>
      <c r="AC190" s="34">
        <f>Y190*VLOOKUP($B190,Types!$B$2:$D$13,3,FALSE)*Conv!$I$5*1000*365</f>
        <v>1269334.9161742146</v>
      </c>
      <c r="AD190" s="34">
        <f>Z190*VLOOKUP($B190,Types!$B$2:$D$13,3,FALSE)*Conv!$I$5*1000*365</f>
        <v>1269334.9161742146</v>
      </c>
      <c r="AE190" s="34">
        <f>AA190*VLOOKUP($B190,Types!$B$2:$D$13,3,FALSE)*Conv!$I$5*1000*365</f>
        <v>1269334.9161742146</v>
      </c>
      <c r="AF190" s="34">
        <f>AB190-AB187</f>
        <v>211555.81936236937</v>
      </c>
      <c r="AG190" s="34">
        <f t="shared" ref="AG190:AI190" si="480">AC190-AC187</f>
        <v>211555.81936236937</v>
      </c>
      <c r="AH190" s="34">
        <f t="shared" si="480"/>
        <v>211555.81936236937</v>
      </c>
      <c r="AI190" s="34">
        <f t="shared" si="480"/>
        <v>211555.81936236937</v>
      </c>
      <c r="AJ190" s="34"/>
      <c r="AK190" s="34"/>
      <c r="AL190" s="34"/>
    </row>
    <row r="191" spans="1:38">
      <c r="A191" s="1" t="str">
        <f t="shared" si="474"/>
        <v>Methanol</v>
      </c>
      <c r="B191" s="1" t="str">
        <f>VLOOKUP($A191,Types!$A$2:$C$13,2,FALSE)</f>
        <v>MTH</v>
      </c>
      <c r="C191" s="1">
        <v>5</v>
      </c>
      <c r="D191" s="1">
        <v>3</v>
      </c>
      <c r="E191" s="1" t="str">
        <f t="shared" si="456"/>
        <v>IMPMTHP35</v>
      </c>
      <c r="F191" s="1" t="str">
        <f>CONCATENATE("Imported ",VLOOKUP($A191,Types!$A$2:$C$13,3,FALSE),", PADD ",D191,", Step ",RIGHT(C191,1))</f>
        <v>Imported Methanol, PADD 3, Step 5</v>
      </c>
      <c r="G191" s="1" t="str">
        <f>CONCATENATE(VLOOKUP($A191,Types!$A$2:$C$13,2,FALSE),"P",D191)</f>
        <v>MTHP3</v>
      </c>
      <c r="H191" s="61">
        <f>H187*$C$9</f>
        <v>67.195700000000016</v>
      </c>
      <c r="I191" s="61">
        <f t="shared" ref="I191:K191" si="481">I187*$C$9</f>
        <v>66.466400000000007</v>
      </c>
      <c r="J191" s="61">
        <f t="shared" si="481"/>
        <v>60.423999999999999</v>
      </c>
      <c r="K191" s="61">
        <f t="shared" si="481"/>
        <v>60.423999999999999</v>
      </c>
      <c r="L191" s="62">
        <f>H191*Conv!$J$20/10^6/VLOOKUP($B191,Types!$B$2:$D$13,3,FALSE)/Conv!$I$5</f>
        <v>35.579703858431166</v>
      </c>
      <c r="M191" s="62">
        <f>I191*Conv!$J$20/10^6/VLOOKUP($B191,Types!$B$2:$D$13,3,FALSE)/Conv!$I$5</f>
        <v>35.193544059158974</v>
      </c>
      <c r="N191" s="62" t="e">
        <f>M191*#REF!</f>
        <v>#REF!</v>
      </c>
      <c r="O191" s="62" t="e">
        <f>N191*#REF!</f>
        <v>#REF!</v>
      </c>
      <c r="P191" s="62" t="e">
        <f>O191*#REF!</f>
        <v>#REF!</v>
      </c>
      <c r="Q191" s="62" t="e">
        <f>P191*#REF!</f>
        <v>#REF!</v>
      </c>
      <c r="R191" s="62" t="e">
        <f>Q191*#REF!</f>
        <v>#REF!</v>
      </c>
      <c r="S191" s="62" t="e">
        <f>R191*#REF!</f>
        <v>#REF!</v>
      </c>
      <c r="T191" s="62" t="e">
        <f>S191*#REF!</f>
        <v>#REF!</v>
      </c>
      <c r="U191" s="62" t="e">
        <f>T191*#REF!</f>
        <v>#REF!</v>
      </c>
      <c r="V191" s="62" t="e">
        <f>U191*#REF!</f>
        <v>#REF!</v>
      </c>
      <c r="W191" s="34"/>
      <c r="X191" s="1">
        <f>X187*$E$9</f>
        <v>1999998</v>
      </c>
      <c r="Y191" s="1">
        <f t="shared" ref="Y191:AA191" si="482">Y187*$E$9</f>
        <v>1999998</v>
      </c>
      <c r="Z191" s="1">
        <f t="shared" si="482"/>
        <v>1999998</v>
      </c>
      <c r="AA191" s="1">
        <f t="shared" si="482"/>
        <v>1999998</v>
      </c>
      <c r="AB191" s="34">
        <f>X191*VLOOKUP($B191,Types!$B$2:$D$13,3,FALSE)*Conv!$I$5*1000*365</f>
        <v>2115558.1936236904</v>
      </c>
      <c r="AC191" s="34">
        <f>Y191*VLOOKUP($B191,Types!$B$2:$D$13,3,FALSE)*Conv!$I$5*1000*365</f>
        <v>2115558.1936236904</v>
      </c>
      <c r="AD191" s="34">
        <f>Z191*VLOOKUP($B191,Types!$B$2:$D$13,3,FALSE)*Conv!$I$5*1000*365</f>
        <v>2115558.1936236904</v>
      </c>
      <c r="AE191" s="34">
        <f>AA191*VLOOKUP($B191,Types!$B$2:$D$13,3,FALSE)*Conv!$I$5*1000*365</f>
        <v>2115558.1936236904</v>
      </c>
      <c r="AF191" s="34">
        <f>AB191-AB190</f>
        <v>846223.27744947583</v>
      </c>
      <c r="AG191" s="34">
        <f t="shared" ref="AG191:AI191" si="483">AC191-AC190</f>
        <v>846223.27744947583</v>
      </c>
      <c r="AH191" s="34">
        <f t="shared" si="483"/>
        <v>846223.27744947583</v>
      </c>
      <c r="AI191" s="34">
        <f t="shared" si="483"/>
        <v>846223.27744947583</v>
      </c>
      <c r="AJ191" s="34"/>
      <c r="AK191" s="34"/>
      <c r="AL191" s="34"/>
    </row>
    <row r="192" spans="1:38">
      <c r="A192" s="1" t="str">
        <f>'Agg prdcrv'!$A$19</f>
        <v>ULS Diesel (15 ppm)</v>
      </c>
      <c r="B192" s="1" t="str">
        <f>VLOOKUP($A192,Types!$A$2:$C$13,2,FALSE)</f>
        <v>DSU</v>
      </c>
      <c r="C192" s="1">
        <v>3</v>
      </c>
      <c r="D192" s="1">
        <v>3</v>
      </c>
      <c r="E192" s="1" t="str">
        <f t="shared" si="456"/>
        <v>IMPDSUP33</v>
      </c>
      <c r="F192" s="1" t="str">
        <f>CONCATENATE("Imported ",VLOOKUP($A192,Types!$A$2:$C$13,3,FALSE),", PADD ",D192,", Step ",RIGHT(C192,1))</f>
        <v>Imported Distillate-Ultralow Sulfur Highway Diesel (15 ppm), PADD 3, Step 3</v>
      </c>
      <c r="G192" s="1" t="str">
        <f>CONCATENATE(VLOOKUP($A192,Types!$A$2:$C$13,2,FALSE),"P",D192)</f>
        <v>DSUP3</v>
      </c>
      <c r="H192" s="61">
        <f>SUMIFS('Agg prdcrv NYC'!$N$6:$N$100,'Agg prdcrv NYC'!$A$6:$A$100,'Imp Refined NYC'!$A192,'Agg prdcrv NYC'!$B$6:$B$100,H$11)*K4</f>
        <v>62.458000000000006</v>
      </c>
      <c r="I192" s="61">
        <f>SUMIFS('Agg prdcrv NYC'!$N$6:$N$100,'Agg prdcrv NYC'!$A$6:$A$100,'Imp Refined NYC'!$A192,'Agg prdcrv NYC'!$B$6:$B$100,I$11)*K4</f>
        <v>53.504000000000005</v>
      </c>
      <c r="J192" s="61">
        <f t="array" ref="J192">SUMIFS('Agg prdcrv NYC'!$N$6:$N$100,'Agg prdcrv NYC'!$A$6:$A$100,'Imp Refined NYC'!$A192,'Agg prdcrv NYC'!$B$6:$B$100,J$11)</f>
        <v>40.380000000000003</v>
      </c>
      <c r="K192" s="61">
        <f t="array" ref="K192">SUMIFS('Agg prdcrv NYC'!$N$6:$N$100,'Agg prdcrv NYC'!$A$6:$A$100,'Imp Refined NYC'!$A192,'Agg prdcrv NYC'!$B$6:$B$100,K$11)</f>
        <v>43.75</v>
      </c>
      <c r="L192" s="62">
        <f>H192*Conv!$J$20/10^6/VLOOKUP($B192,Types!$B$2:$D$13,3,FALSE)/Conv!$I$5</f>
        <v>15.59480788106254</v>
      </c>
      <c r="M192" s="62">
        <f>I192*Conv!$J$20/10^6/VLOOKUP($B192,Types!$B$2:$D$13,3,FALSE)/Conv!$I$5</f>
        <v>13.359130949892247</v>
      </c>
      <c r="N192" s="62" t="e">
        <f>M192*#REF!</f>
        <v>#REF!</v>
      </c>
      <c r="O192" s="62" t="e">
        <f>N192*#REF!</f>
        <v>#REF!</v>
      </c>
      <c r="P192" s="62" t="e">
        <f>O192*#REF!</f>
        <v>#REF!</v>
      </c>
      <c r="Q192" s="62" t="e">
        <f>P192*#REF!</f>
        <v>#REF!</v>
      </c>
      <c r="R192" s="62" t="e">
        <f>Q192*#REF!</f>
        <v>#REF!</v>
      </c>
      <c r="S192" s="62" t="e">
        <f>R192*#REF!</f>
        <v>#REF!</v>
      </c>
      <c r="T192" s="62" t="e">
        <f>S192*#REF!</f>
        <v>#REF!</v>
      </c>
      <c r="U192" s="62" t="e">
        <f>T192*#REF!</f>
        <v>#REF!</v>
      </c>
      <c r="V192" s="62" t="e">
        <f>U192*#REF!</f>
        <v>#REF!</v>
      </c>
      <c r="W192" s="34"/>
      <c r="X192" s="1">
        <f t="array" ref="X192">SUMIFS('Agg prdcrv NYC'!$F$6:$F$100,'Agg prdcrv NYC'!$A$6:$A$100,'Imp Refined NYC'!$A192,'Agg prdcrv NYC'!$B$6:$B$100,X$11)</f>
        <v>999999</v>
      </c>
      <c r="Y192" s="1">
        <f t="array" ref="Y192">SUMIFS('Agg prdcrv NYC'!$F$6:$F$100,'Agg prdcrv NYC'!$A$6:$A$100,'Imp Refined NYC'!$A192,'Agg prdcrv NYC'!$B$6:$B$100,Y$11)</f>
        <v>999999</v>
      </c>
      <c r="Z192" s="1">
        <f t="array" ref="Z192">SUMIFS('Agg prdcrv NYC'!$F$6:$F$100,'Agg prdcrv NYC'!$A$6:$A$100,'Imp Refined NYC'!$A192,'Agg prdcrv NYC'!$B$6:$B$100,Z$11)</f>
        <v>999999</v>
      </c>
      <c r="AA192" s="1">
        <f t="array" ref="AA192">SUMIFS('Agg prdcrv NYC'!$F$6:$F$100,'Agg prdcrv NYC'!$A$6:$A$100,'Imp Refined NYC'!$A192,'Agg prdcrv NYC'!$B$6:$B$100,AA$11)</f>
        <v>999999</v>
      </c>
      <c r="AB192" s="34">
        <f>X192*VLOOKUP($B192,Types!$B$2:$D$13,3,FALSE)*Conv!$I$5*1000*365</f>
        <v>2243178.6948190616</v>
      </c>
      <c r="AC192" s="34">
        <f>Y192*VLOOKUP($B192,Types!$B$2:$D$13,3,FALSE)*Conv!$I$5*1000*365</f>
        <v>2243178.6948190616</v>
      </c>
      <c r="AD192" s="34">
        <f>Z192*VLOOKUP($B192,Types!$B$2:$D$13,3,FALSE)*Conv!$I$5*1000*365</f>
        <v>2243178.6948190616</v>
      </c>
      <c r="AE192" s="34">
        <f>AA192*VLOOKUP($B192,Types!$B$2:$D$13,3,FALSE)*Conv!$I$5*1000*365</f>
        <v>2243178.6948190616</v>
      </c>
      <c r="AF192" s="34">
        <f>AB192-AB194</f>
        <v>224317.86948190606</v>
      </c>
      <c r="AG192" s="34">
        <f t="shared" ref="AG192:AI192" si="484">AC192-AC194</f>
        <v>224317.86948190606</v>
      </c>
      <c r="AH192" s="34">
        <f t="shared" si="484"/>
        <v>224317.86948190606</v>
      </c>
      <c r="AI192" s="34">
        <f t="shared" si="484"/>
        <v>224317.86948190606</v>
      </c>
      <c r="AJ192" s="34"/>
      <c r="AK192" s="34"/>
      <c r="AL192" s="34"/>
    </row>
    <row r="193" spans="1:38">
      <c r="A193" s="1" t="str">
        <f>A192</f>
        <v>ULS Diesel (15 ppm)</v>
      </c>
      <c r="B193" s="1" t="str">
        <f>VLOOKUP($A193,Types!$A$2:$C$13,2,FALSE)</f>
        <v>DSU</v>
      </c>
      <c r="C193" s="1">
        <v>1</v>
      </c>
      <c r="D193" s="1">
        <v>3</v>
      </c>
      <c r="E193" s="1" t="str">
        <f t="shared" si="456"/>
        <v>IMPDSUP31</v>
      </c>
      <c r="F193" s="1" t="str">
        <f>CONCATENATE("Imported ",VLOOKUP($A193,Types!$A$2:$C$13,3,FALSE),", PADD ",D193,", Step ",RIGHT(C193,1))</f>
        <v>Imported Distillate-Ultralow Sulfur Highway Diesel (15 ppm), PADD 3, Step 1</v>
      </c>
      <c r="G193" s="1" t="str">
        <f>CONCATENATE(VLOOKUP($A193,Types!$A$2:$C$13,2,FALSE),"P",D193)</f>
        <v>DSUP3</v>
      </c>
      <c r="H193" s="61">
        <f>H192*$C$5</f>
        <v>59.335100000000004</v>
      </c>
      <c r="I193" s="61">
        <f t="shared" ref="I193:K193" si="485">I192*$C$5</f>
        <v>50.828800000000001</v>
      </c>
      <c r="J193" s="61">
        <f t="shared" si="485"/>
        <v>38.360999999999997</v>
      </c>
      <c r="K193" s="61">
        <f t="shared" si="485"/>
        <v>41.5625</v>
      </c>
      <c r="L193" s="62">
        <f>H193*Conv!$J$20/10^6/VLOOKUP($B193,Types!$B$2:$D$13,3,FALSE)/Conv!$I$5</f>
        <v>14.815067487009408</v>
      </c>
      <c r="M193" s="62">
        <f>I193*Conv!$J$20/10^6/VLOOKUP($B193,Types!$B$2:$D$13,3,FALSE)/Conv!$I$5</f>
        <v>12.691174402397635</v>
      </c>
      <c r="N193" s="62" t="e">
        <f>M193*#REF!</f>
        <v>#REF!</v>
      </c>
      <c r="O193" s="62" t="e">
        <f>N193*#REF!</f>
        <v>#REF!</v>
      </c>
      <c r="P193" s="62" t="e">
        <f>O193*#REF!</f>
        <v>#REF!</v>
      </c>
      <c r="Q193" s="62" t="e">
        <f>P193*#REF!</f>
        <v>#REF!</v>
      </c>
      <c r="R193" s="62" t="e">
        <f>Q193*#REF!</f>
        <v>#REF!</v>
      </c>
      <c r="S193" s="62" t="e">
        <f>R193*#REF!</f>
        <v>#REF!</v>
      </c>
      <c r="T193" s="62" t="e">
        <f>S193*#REF!</f>
        <v>#REF!</v>
      </c>
      <c r="U193" s="62" t="e">
        <f>T193*#REF!</f>
        <v>#REF!</v>
      </c>
      <c r="V193" s="62" t="e">
        <f>U193*#REF!</f>
        <v>#REF!</v>
      </c>
      <c r="W193" s="34"/>
      <c r="X193" s="1">
        <f>X192*$E$5</f>
        <v>799999.20000000007</v>
      </c>
      <c r="Y193" s="1">
        <f t="shared" ref="Y193:AA193" si="486">Y192*$E$5</f>
        <v>799999.20000000007</v>
      </c>
      <c r="Z193" s="1">
        <f t="shared" si="486"/>
        <v>799999.20000000007</v>
      </c>
      <c r="AA193" s="1">
        <f t="shared" si="486"/>
        <v>799999.20000000007</v>
      </c>
      <c r="AB193" s="34">
        <f>X193*VLOOKUP($B193,Types!$B$2:$D$13,3,FALSE)*Conv!$I$5*1000*365</f>
        <v>1794542.9558552499</v>
      </c>
      <c r="AC193" s="34">
        <f>Y193*VLOOKUP($B193,Types!$B$2:$D$13,3,FALSE)*Conv!$I$5*1000*365</f>
        <v>1794542.9558552499</v>
      </c>
      <c r="AD193" s="34">
        <f>Z193*VLOOKUP($B193,Types!$B$2:$D$13,3,FALSE)*Conv!$I$5*1000*365</f>
        <v>1794542.9558552499</v>
      </c>
      <c r="AE193" s="34">
        <f>AA193*VLOOKUP($B193,Types!$B$2:$D$13,3,FALSE)*Conv!$I$5*1000*365</f>
        <v>1794542.9558552499</v>
      </c>
      <c r="AF193" s="34">
        <f>AB193</f>
        <v>1794542.9558552499</v>
      </c>
      <c r="AG193" s="34">
        <f t="shared" ref="AG193:AI193" si="487">AC193</f>
        <v>1794542.9558552499</v>
      </c>
      <c r="AH193" s="34">
        <f t="shared" si="487"/>
        <v>1794542.9558552499</v>
      </c>
      <c r="AI193" s="34">
        <f t="shared" si="487"/>
        <v>1794542.9558552499</v>
      </c>
      <c r="AJ193" s="34"/>
      <c r="AK193" s="34"/>
      <c r="AL193" s="34"/>
    </row>
    <row r="194" spans="1:38">
      <c r="A194" s="1" t="str">
        <f t="shared" ref="A194:A196" si="488">A193</f>
        <v>ULS Diesel (15 ppm)</v>
      </c>
      <c r="B194" s="1" t="str">
        <f>VLOOKUP($A194,Types!$A$2:$C$13,2,FALSE)</f>
        <v>DSU</v>
      </c>
      <c r="C194" s="1">
        <v>2</v>
      </c>
      <c r="D194" s="1">
        <v>3</v>
      </c>
      <c r="E194" s="1" t="str">
        <f t="shared" si="456"/>
        <v>IMPDSUP32</v>
      </c>
      <c r="F194" s="1" t="str">
        <f>CONCATENATE("Imported ",VLOOKUP($A194,Types!$A$2:$C$13,3,FALSE),", PADD ",D194,", Step ",RIGHT(C194,1))</f>
        <v>Imported Distillate-Ultralow Sulfur Highway Diesel (15 ppm), PADD 3, Step 2</v>
      </c>
      <c r="G194" s="1" t="str">
        <f>CONCATENATE(VLOOKUP($A194,Types!$A$2:$C$13,2,FALSE),"P",D194)</f>
        <v>DSUP3</v>
      </c>
      <c r="H194" s="61">
        <f>H192*$C$6</f>
        <v>61.208840000000002</v>
      </c>
      <c r="I194" s="61">
        <f t="shared" ref="I194:K194" si="489">I192*$C$6</f>
        <v>52.433920000000001</v>
      </c>
      <c r="J194" s="61">
        <f t="shared" si="489"/>
        <v>39.572400000000002</v>
      </c>
      <c r="K194" s="61">
        <f t="shared" si="489"/>
        <v>42.875</v>
      </c>
      <c r="L194" s="62">
        <f>H194*Conv!$J$20/10^6/VLOOKUP($B194,Types!$B$2:$D$13,3,FALSE)/Conv!$I$5</f>
        <v>15.282911723441286</v>
      </c>
      <c r="M194" s="62">
        <f>I194*Conv!$J$20/10^6/VLOOKUP($B194,Types!$B$2:$D$13,3,FALSE)/Conv!$I$5</f>
        <v>13.091948330894402</v>
      </c>
      <c r="N194" s="62" t="e">
        <f>M194*#REF!</f>
        <v>#REF!</v>
      </c>
      <c r="O194" s="62" t="e">
        <f>N194*#REF!</f>
        <v>#REF!</v>
      </c>
      <c r="P194" s="62" t="e">
        <f>O194*#REF!</f>
        <v>#REF!</v>
      </c>
      <c r="Q194" s="62" t="e">
        <f>P194*#REF!</f>
        <v>#REF!</v>
      </c>
      <c r="R194" s="62" t="e">
        <f>Q194*#REF!</f>
        <v>#REF!</v>
      </c>
      <c r="S194" s="62" t="e">
        <f>R194*#REF!</f>
        <v>#REF!</v>
      </c>
      <c r="T194" s="62" t="e">
        <f>S194*#REF!</f>
        <v>#REF!</v>
      </c>
      <c r="U194" s="62" t="e">
        <f>T194*#REF!</f>
        <v>#REF!</v>
      </c>
      <c r="V194" s="62" t="e">
        <f>U194*#REF!</f>
        <v>#REF!</v>
      </c>
      <c r="W194" s="34"/>
      <c r="X194" s="1">
        <f>X192*$E$6</f>
        <v>899999.1</v>
      </c>
      <c r="Y194" s="1">
        <f t="shared" ref="Y194:AA194" si="490">Y192*$E$6</f>
        <v>899999.1</v>
      </c>
      <c r="Z194" s="1">
        <f t="shared" si="490"/>
        <v>899999.1</v>
      </c>
      <c r="AA194" s="1">
        <f t="shared" si="490"/>
        <v>899999.1</v>
      </c>
      <c r="AB194" s="34">
        <f>X194*VLOOKUP($B194,Types!$B$2:$D$13,3,FALSE)*Conv!$I$5*1000*365</f>
        <v>2018860.8253371555</v>
      </c>
      <c r="AC194" s="34">
        <f>Y194*VLOOKUP($B194,Types!$B$2:$D$13,3,FALSE)*Conv!$I$5*1000*365</f>
        <v>2018860.8253371555</v>
      </c>
      <c r="AD194" s="34">
        <f>Z194*VLOOKUP($B194,Types!$B$2:$D$13,3,FALSE)*Conv!$I$5*1000*365</f>
        <v>2018860.8253371555</v>
      </c>
      <c r="AE194" s="34">
        <f>AA194*VLOOKUP($B194,Types!$B$2:$D$13,3,FALSE)*Conv!$I$5*1000*365</f>
        <v>2018860.8253371555</v>
      </c>
      <c r="AF194" s="34">
        <f>AB194-AF193</f>
        <v>224317.8694819056</v>
      </c>
      <c r="AG194" s="34">
        <f t="shared" ref="AG194:AI194" si="491">AC194-AG193</f>
        <v>224317.8694819056</v>
      </c>
      <c r="AH194" s="34">
        <f t="shared" si="491"/>
        <v>224317.8694819056</v>
      </c>
      <c r="AI194" s="34">
        <f t="shared" si="491"/>
        <v>224317.8694819056</v>
      </c>
      <c r="AJ194" s="34"/>
      <c r="AK194" s="34"/>
      <c r="AL194" s="34"/>
    </row>
    <row r="195" spans="1:38">
      <c r="A195" s="1" t="str">
        <f t="shared" si="488"/>
        <v>ULS Diesel (15 ppm)</v>
      </c>
      <c r="B195" s="1" t="str">
        <f>VLOOKUP($A195,Types!$A$2:$C$13,2,FALSE)</f>
        <v>DSU</v>
      </c>
      <c r="C195" s="1">
        <v>4</v>
      </c>
      <c r="D195" s="1">
        <v>3</v>
      </c>
      <c r="E195" s="1" t="str">
        <f t="shared" si="456"/>
        <v>IMPDSUP34</v>
      </c>
      <c r="F195" s="1" t="str">
        <f>CONCATENATE("Imported ",VLOOKUP($A195,Types!$A$2:$C$13,3,FALSE),", PADD ",D195,", Step ",RIGHT(C195,1))</f>
        <v>Imported Distillate-Ultralow Sulfur Highway Diesel (15 ppm), PADD 3, Step 4</v>
      </c>
      <c r="G195" s="1" t="str">
        <f>CONCATENATE(VLOOKUP($A195,Types!$A$2:$C$13,2,FALSE),"P",D195)</f>
        <v>DSUP3</v>
      </c>
      <c r="H195" s="61">
        <f>H192*$C$8</f>
        <v>68.079220000000007</v>
      </c>
      <c r="I195" s="61">
        <f t="shared" ref="I195:K195" si="492">I192*$C$8</f>
        <v>58.31936000000001</v>
      </c>
      <c r="J195" s="61">
        <f t="shared" si="492"/>
        <v>44.01420000000001</v>
      </c>
      <c r="K195" s="61">
        <f t="shared" si="492"/>
        <v>47.6875</v>
      </c>
      <c r="L195" s="62">
        <f>H195*Conv!$J$20/10^6/VLOOKUP($B195,Types!$B$2:$D$13,3,FALSE)/Conv!$I$5</f>
        <v>16.998340590358168</v>
      </c>
      <c r="M195" s="62">
        <f>I195*Conv!$J$20/10^6/VLOOKUP($B195,Types!$B$2:$D$13,3,FALSE)/Conv!$I$5</f>
        <v>14.56145273538255</v>
      </c>
      <c r="N195" s="62" t="e">
        <f>M195*#REF!</f>
        <v>#REF!</v>
      </c>
      <c r="O195" s="62" t="e">
        <f>N195*#REF!</f>
        <v>#REF!</v>
      </c>
      <c r="P195" s="62" t="e">
        <f>O195*#REF!</f>
        <v>#REF!</v>
      </c>
      <c r="Q195" s="62" t="e">
        <f>P195*#REF!</f>
        <v>#REF!</v>
      </c>
      <c r="R195" s="62" t="e">
        <f>Q195*#REF!</f>
        <v>#REF!</v>
      </c>
      <c r="S195" s="62" t="e">
        <f>R195*#REF!</f>
        <v>#REF!</v>
      </c>
      <c r="T195" s="62" t="e">
        <f>S195*#REF!</f>
        <v>#REF!</v>
      </c>
      <c r="U195" s="62" t="e">
        <f>T195*#REF!</f>
        <v>#REF!</v>
      </c>
      <c r="V195" s="62" t="e">
        <f>U195*#REF!</f>
        <v>#REF!</v>
      </c>
      <c r="W195" s="34"/>
      <c r="X195" s="1">
        <f>X192*$E$8</f>
        <v>1199998.8</v>
      </c>
      <c r="Y195" s="1">
        <f t="shared" ref="Y195:AA195" si="493">Y192*$E$8</f>
        <v>1199998.8</v>
      </c>
      <c r="Z195" s="1">
        <f t="shared" si="493"/>
        <v>1199998.8</v>
      </c>
      <c r="AA195" s="1">
        <f t="shared" si="493"/>
        <v>1199998.8</v>
      </c>
      <c r="AB195" s="34">
        <f>X195*VLOOKUP($B195,Types!$B$2:$D$13,3,FALSE)*Conv!$I$5*1000*365</f>
        <v>2691814.4337828746</v>
      </c>
      <c r="AC195" s="34">
        <f>Y195*VLOOKUP($B195,Types!$B$2:$D$13,3,FALSE)*Conv!$I$5*1000*365</f>
        <v>2691814.4337828746</v>
      </c>
      <c r="AD195" s="34">
        <f>Z195*VLOOKUP($B195,Types!$B$2:$D$13,3,FALSE)*Conv!$I$5*1000*365</f>
        <v>2691814.4337828746</v>
      </c>
      <c r="AE195" s="34">
        <f>AA195*VLOOKUP($B195,Types!$B$2:$D$13,3,FALSE)*Conv!$I$5*1000*365</f>
        <v>2691814.4337828746</v>
      </c>
      <c r="AF195" s="34">
        <f>AB195-AB192</f>
        <v>448635.73896381306</v>
      </c>
      <c r="AG195" s="34">
        <f t="shared" ref="AG195:AI195" si="494">AC195-AC192</f>
        <v>448635.73896381306</v>
      </c>
      <c r="AH195" s="34">
        <f t="shared" si="494"/>
        <v>448635.73896381306</v>
      </c>
      <c r="AI195" s="34">
        <f t="shared" si="494"/>
        <v>448635.73896381306</v>
      </c>
      <c r="AJ195" s="34"/>
      <c r="AK195" s="34"/>
      <c r="AL195" s="34"/>
    </row>
    <row r="196" spans="1:38">
      <c r="A196" s="1" t="str">
        <f t="shared" si="488"/>
        <v>ULS Diesel (15 ppm)</v>
      </c>
      <c r="B196" s="1" t="str">
        <f>VLOOKUP($A196,Types!$A$2:$C$13,2,FALSE)</f>
        <v>DSU</v>
      </c>
      <c r="C196" s="1">
        <v>5</v>
      </c>
      <c r="D196" s="1">
        <v>3</v>
      </c>
      <c r="E196" s="1" t="str">
        <f t="shared" si="456"/>
        <v>IMPDSUP35</v>
      </c>
      <c r="F196" s="1" t="str">
        <f>CONCATENATE("Imported ",VLOOKUP($A196,Types!$A$2:$C$13,3,FALSE),", PADD ",D196,", Step ",RIGHT(C196,1))</f>
        <v>Imported Distillate-Ultralow Sulfur Highway Diesel (15 ppm), PADD 3, Step 5</v>
      </c>
      <c r="G196" s="1" t="str">
        <f>CONCATENATE(VLOOKUP($A196,Types!$A$2:$C$13,2,FALSE),"P",D196)</f>
        <v>DSUP3</v>
      </c>
      <c r="H196" s="61">
        <f>H192*$C$9</f>
        <v>81.195400000000006</v>
      </c>
      <c r="I196" s="61">
        <f t="shared" ref="I196:K196" si="495">I192*$C$9</f>
        <v>69.555200000000013</v>
      </c>
      <c r="J196" s="61">
        <f t="shared" si="495"/>
        <v>52.494000000000007</v>
      </c>
      <c r="K196" s="61">
        <f t="shared" si="495"/>
        <v>56.875</v>
      </c>
      <c r="L196" s="62">
        <f>H196*Conv!$J$20/10^6/VLOOKUP($B196,Types!$B$2:$D$13,3,FALSE)/Conv!$I$5</f>
        <v>20.273250245381298</v>
      </c>
      <c r="M196" s="62">
        <f>I196*Conv!$J$20/10^6/VLOOKUP($B196,Types!$B$2:$D$13,3,FALSE)/Conv!$I$5</f>
        <v>17.366870234859924</v>
      </c>
      <c r="N196" s="62" t="e">
        <f>M196*#REF!</f>
        <v>#REF!</v>
      </c>
      <c r="O196" s="62" t="e">
        <f>N196*#REF!</f>
        <v>#REF!</v>
      </c>
      <c r="P196" s="62" t="e">
        <f>O196*#REF!</f>
        <v>#REF!</v>
      </c>
      <c r="Q196" s="62" t="e">
        <f>P196*#REF!</f>
        <v>#REF!</v>
      </c>
      <c r="R196" s="62" t="e">
        <f>Q196*#REF!</f>
        <v>#REF!</v>
      </c>
      <c r="S196" s="62" t="e">
        <f>R196*#REF!</f>
        <v>#REF!</v>
      </c>
      <c r="T196" s="62" t="e">
        <f>S196*#REF!</f>
        <v>#REF!</v>
      </c>
      <c r="U196" s="62" t="e">
        <f>T196*#REF!</f>
        <v>#REF!</v>
      </c>
      <c r="V196" s="62" t="e">
        <f>U196*#REF!</f>
        <v>#REF!</v>
      </c>
      <c r="W196" s="34"/>
      <c r="X196" s="1">
        <f>X192*$E$9</f>
        <v>1999998</v>
      </c>
      <c r="Y196" s="1">
        <f t="shared" ref="Y196:AA196" si="496">Y192*$E$9</f>
        <v>1999998</v>
      </c>
      <c r="Z196" s="1">
        <f t="shared" si="496"/>
        <v>1999998</v>
      </c>
      <c r="AA196" s="1">
        <f t="shared" si="496"/>
        <v>1999998</v>
      </c>
      <c r="AB196" s="34">
        <f>X196*VLOOKUP($B196,Types!$B$2:$D$13,3,FALSE)*Conv!$I$5*1000*365</f>
        <v>4486357.3896381231</v>
      </c>
      <c r="AC196" s="34">
        <f>Y196*VLOOKUP($B196,Types!$B$2:$D$13,3,FALSE)*Conv!$I$5*1000*365</f>
        <v>4486357.3896381231</v>
      </c>
      <c r="AD196" s="34">
        <f>Z196*VLOOKUP($B196,Types!$B$2:$D$13,3,FALSE)*Conv!$I$5*1000*365</f>
        <v>4486357.3896381231</v>
      </c>
      <c r="AE196" s="34">
        <f>AA196*VLOOKUP($B196,Types!$B$2:$D$13,3,FALSE)*Conv!$I$5*1000*365</f>
        <v>4486357.3896381231</v>
      </c>
      <c r="AF196" s="34">
        <f>AB196-AB195</f>
        <v>1794542.9558552485</v>
      </c>
      <c r="AG196" s="34">
        <f t="shared" ref="AG196:AI196" si="497">AC196-AC195</f>
        <v>1794542.9558552485</v>
      </c>
      <c r="AH196" s="34">
        <f t="shared" si="497"/>
        <v>1794542.9558552485</v>
      </c>
      <c r="AI196" s="34">
        <f t="shared" si="497"/>
        <v>1794542.9558552485</v>
      </c>
      <c r="AJ196" s="34"/>
      <c r="AK196" s="34"/>
      <c r="AL196" s="34"/>
    </row>
    <row r="197" spans="1:38">
      <c r="A197" s="1" t="s">
        <v>398</v>
      </c>
      <c r="H197" s="61"/>
      <c r="I197" s="61"/>
      <c r="J197" s="61"/>
      <c r="K197" s="61"/>
      <c r="L197" s="62"/>
      <c r="M197" s="62"/>
      <c r="N197" s="62"/>
      <c r="O197" s="62"/>
      <c r="P197" s="62"/>
      <c r="Q197" s="62"/>
      <c r="R197" s="62"/>
      <c r="S197" s="62"/>
      <c r="T197" s="62"/>
      <c r="U197" s="62"/>
      <c r="V197" s="62"/>
      <c r="W197" s="34"/>
      <c r="AB197" s="34"/>
      <c r="AC197" s="34"/>
      <c r="AD197" s="34"/>
      <c r="AE197" s="34"/>
      <c r="AF197" s="34"/>
      <c r="AG197" s="34"/>
      <c r="AH197" s="34"/>
      <c r="AI197" s="34"/>
      <c r="AJ197" s="34"/>
      <c r="AK197" s="34"/>
      <c r="AL197" s="34"/>
    </row>
    <row r="198" spans="1:38" s="10" customFormat="1">
      <c r="A198" s="10" t="s">
        <v>529</v>
      </c>
      <c r="H198" s="63"/>
      <c r="I198" s="63"/>
      <c r="J198" s="63"/>
      <c r="K198" s="63"/>
      <c r="L198" s="64"/>
      <c r="M198" s="64"/>
      <c r="N198" s="64"/>
      <c r="O198" s="64"/>
      <c r="P198" s="64"/>
      <c r="Q198" s="64"/>
      <c r="R198" s="64"/>
      <c r="S198" s="64"/>
      <c r="T198" s="64"/>
      <c r="U198" s="64"/>
      <c r="V198" s="64"/>
    </row>
    <row r="199" spans="1:38">
      <c r="A199" s="1" t="str">
        <f>'Agg prdcrv'!$A$6</f>
        <v>Reformulated Mogas</v>
      </c>
      <c r="B199" s="1" t="str">
        <f>VLOOKUP($A199,Types!$A$2:$C$13,2,FALSE)</f>
        <v>GSR</v>
      </c>
      <c r="C199" s="1">
        <v>3</v>
      </c>
      <c r="D199" s="1">
        <v>4</v>
      </c>
      <c r="E199" s="1" t="str">
        <f t="shared" ref="E199:E242" si="498">CONCATENATE("IMP",G199,RIGHT(C199,1))</f>
        <v>IMPGSRP43</v>
      </c>
      <c r="F199" s="1" t="str">
        <f>CONCATENATE("Imported ",VLOOKUP($A199,Types!$A$2:$C$13,3,FALSE),", PADD ",D199,", Step ",RIGHT(C199,1))</f>
        <v>Imported Reformulated Gasoline, PADD 4, Step 3</v>
      </c>
      <c r="G199" s="1" t="str">
        <f>CONCATENATE(VLOOKUP($A199,Types!$A$2:$C$13,2,FALSE),"P",D199)</f>
        <v>GSRP4</v>
      </c>
      <c r="H199" s="61">
        <f>SUMIFS('Agg prdcrv NYC'!$O$6:$O$100,'Agg prdcrv NYC'!$A$6:$A$100,'Imp Refined NYC'!$A199,'Agg prdcrv NYC'!$B$6:$B$100,H$11)*K4</f>
        <v>68.024000000000015</v>
      </c>
      <c r="I199" s="61">
        <f>SUMIFS('Agg prdcrv NYC'!$O$6:$O$100,'Agg prdcrv NYC'!$A$6:$A$100,'Imp Refined NYC'!$A199,'Agg prdcrv NYC'!$B$6:$B$100,I$11)*K4</f>
        <v>124.63000000000001</v>
      </c>
      <c r="J199" s="61">
        <f t="array" ref="J199">SUMIFS('Agg prdcrv NYC'!$O$6:$O$100,'Agg prdcrv NYC'!$A$6:$A$100,'Imp Refined NYC'!$A199,'Agg prdcrv NYC'!$B$6:$B$100,J$11)</f>
        <v>113.3</v>
      </c>
      <c r="K199" s="61">
        <f t="array" ref="K199">SUMIFS('Agg prdcrv NYC'!$O$6:$O$100,'Agg prdcrv NYC'!$A$6:$A$100,'Imp Refined NYC'!$A199,'Agg prdcrv NYC'!$B$6:$B$100,K$11)</f>
        <v>113.3</v>
      </c>
      <c r="L199" s="62">
        <f>H199*Conv!$J$20/10^6/VLOOKUP($B199,Types!$B$2:$D$13,3,FALSE)/Conv!$I$5</f>
        <v>19.210683733505871</v>
      </c>
      <c r="M199" s="62">
        <f>I199*Conv!$J$20/10^6/VLOOKUP($B199,Types!$B$2:$D$13,3,FALSE)/Conv!$I$5</f>
        <v>35.196805740721445</v>
      </c>
      <c r="N199" s="62" t="e">
        <f>M199*#REF!</f>
        <v>#REF!</v>
      </c>
      <c r="O199" s="62" t="e">
        <f>N199*#REF!</f>
        <v>#REF!</v>
      </c>
      <c r="P199" s="62" t="e">
        <f>O199*#REF!</f>
        <v>#REF!</v>
      </c>
      <c r="Q199" s="62" t="e">
        <f>P199*#REF!</f>
        <v>#REF!</v>
      </c>
      <c r="R199" s="62" t="e">
        <f>Q199*#REF!</f>
        <v>#REF!</v>
      </c>
      <c r="S199" s="62" t="e">
        <f>R199*#REF!</f>
        <v>#REF!</v>
      </c>
      <c r="T199" s="62" t="e">
        <f>S199*#REF!</f>
        <v>#REF!</v>
      </c>
      <c r="U199" s="62" t="e">
        <f>T199*#REF!</f>
        <v>#REF!</v>
      </c>
      <c r="V199" s="62" t="e">
        <f>U199*#REF!</f>
        <v>#REF!</v>
      </c>
      <c r="W199" s="34"/>
      <c r="X199" s="1">
        <f t="array" ref="X199">SUMIFS('Agg prdcrv NYC'!$G$6:$G$100,'Agg prdcrv NYC'!$A$6:$A$100,'Imp Refined NYC'!$A199,'Agg prdcrv NYC'!$B$6:$B$100,X$11)</f>
        <v>0</v>
      </c>
      <c r="Y199" s="1">
        <f t="array" ref="Y199">SUMIFS('Agg prdcrv NYC'!$G$6:$G$100,'Agg prdcrv NYC'!$A$6:$A$100,'Imp Refined NYC'!$A199,'Agg prdcrv NYC'!$B$6:$B$100,Y$11)</f>
        <v>0</v>
      </c>
      <c r="Z199" s="1">
        <f t="array" ref="Z199">SUMIFS('Agg prdcrv NYC'!$G$6:$G$100,'Agg prdcrv NYC'!$A$6:$A$100,'Imp Refined NYC'!$A199,'Agg prdcrv NYC'!$B$6:$B$100,Z$11)</f>
        <v>0</v>
      </c>
      <c r="AA199" s="1">
        <f t="array" ref="AA199">SUMIFS('Agg prdcrv NYC'!$G$6:$G$100,'Agg prdcrv NYC'!$A$6:$A$100,'Imp Refined NYC'!$A199,'Agg prdcrv NYC'!$B$6:$B$100,AA$11)</f>
        <v>0</v>
      </c>
      <c r="AB199" s="34">
        <f>X199*VLOOKUP($B199,Types!$B$2:$D$13,3,FALSE)*Conv!$I$5*1000*365</f>
        <v>0</v>
      </c>
      <c r="AC199" s="34">
        <f>Y199*VLOOKUP($B199,Types!$B$2:$D$13,3,FALSE)*Conv!$I$5*1000*365</f>
        <v>0</v>
      </c>
      <c r="AD199" s="34">
        <f>Z199*VLOOKUP($B199,Types!$B$2:$D$13,3,FALSE)*Conv!$I$5*1000*365</f>
        <v>0</v>
      </c>
      <c r="AE199" s="34">
        <f>AA199*VLOOKUP($B199,Types!$B$2:$D$13,3,FALSE)*Conv!$I$5*1000*365</f>
        <v>0</v>
      </c>
      <c r="AF199" s="34">
        <f>AB199-AB201</f>
        <v>0</v>
      </c>
      <c r="AG199" s="34">
        <f t="shared" ref="AG199:AI199" si="499">AC199-AC201</f>
        <v>0</v>
      </c>
      <c r="AH199" s="34">
        <f t="shared" si="499"/>
        <v>0</v>
      </c>
      <c r="AI199" s="34">
        <f t="shared" si="499"/>
        <v>0</v>
      </c>
      <c r="AJ199" s="34"/>
      <c r="AK199" s="34"/>
      <c r="AL199" s="34"/>
    </row>
    <row r="200" spans="1:38">
      <c r="A200" s="1" t="str">
        <f>A199</f>
        <v>Reformulated Mogas</v>
      </c>
      <c r="B200" s="1" t="str">
        <f>VLOOKUP($A200,Types!$A$2:$C$13,2,FALSE)</f>
        <v>GSR</v>
      </c>
      <c r="C200" s="1">
        <v>1</v>
      </c>
      <c r="D200" s="1">
        <v>4</v>
      </c>
      <c r="E200" s="1" t="str">
        <f t="shared" si="498"/>
        <v>IMPGSRP41</v>
      </c>
      <c r="F200" s="1" t="str">
        <f>CONCATENATE("Imported ",VLOOKUP($A200,Types!$A$2:$C$13,3,FALSE),", PADD ",D200,", Step ",RIGHT(C200,1))</f>
        <v>Imported Reformulated Gasoline, PADD 4, Step 1</v>
      </c>
      <c r="G200" s="1" t="str">
        <f>CONCATENATE(VLOOKUP($A200,Types!$A$2:$C$13,2,FALSE),"P",D200)</f>
        <v>GSRP4</v>
      </c>
      <c r="H200" s="61">
        <f>H199*$C$5</f>
        <v>64.622800000000012</v>
      </c>
      <c r="I200" s="61">
        <f t="shared" ref="I200:K200" si="500">I199*$C$5</f>
        <v>118.3985</v>
      </c>
      <c r="J200" s="61">
        <f t="shared" si="500"/>
        <v>107.63499999999999</v>
      </c>
      <c r="K200" s="61">
        <f t="shared" si="500"/>
        <v>107.63499999999999</v>
      </c>
      <c r="L200" s="62">
        <f>H200*Conv!$J$20/10^6/VLOOKUP($B200,Types!$B$2:$D$13,3,FALSE)/Conv!$I$5</f>
        <v>18.250149546830574</v>
      </c>
      <c r="M200" s="62">
        <f>I200*Conv!$J$20/10^6/VLOOKUP($B200,Types!$B$2:$D$13,3,FALSE)/Conv!$I$5</f>
        <v>33.436965453685382</v>
      </c>
      <c r="N200" s="62" t="e">
        <f>M200*#REF!</f>
        <v>#REF!</v>
      </c>
      <c r="O200" s="62" t="e">
        <f>N200*#REF!</f>
        <v>#REF!</v>
      </c>
      <c r="P200" s="62" t="e">
        <f>O200*#REF!</f>
        <v>#REF!</v>
      </c>
      <c r="Q200" s="62" t="e">
        <f>P200*#REF!</f>
        <v>#REF!</v>
      </c>
      <c r="R200" s="62" t="e">
        <f>Q200*#REF!</f>
        <v>#REF!</v>
      </c>
      <c r="S200" s="62" t="e">
        <f>R200*#REF!</f>
        <v>#REF!</v>
      </c>
      <c r="T200" s="62" t="e">
        <f>S200*#REF!</f>
        <v>#REF!</v>
      </c>
      <c r="U200" s="62" t="e">
        <f>T200*#REF!</f>
        <v>#REF!</v>
      </c>
      <c r="V200" s="62" t="e">
        <f>U200*#REF!</f>
        <v>#REF!</v>
      </c>
      <c r="W200" s="34"/>
      <c r="X200" s="1">
        <f>X199*$E$5</f>
        <v>0</v>
      </c>
      <c r="Y200" s="1">
        <f t="shared" ref="Y200:AA200" si="501">Y199*$E$5</f>
        <v>0</v>
      </c>
      <c r="Z200" s="1">
        <f t="shared" si="501"/>
        <v>0</v>
      </c>
      <c r="AA200" s="1">
        <f t="shared" si="501"/>
        <v>0</v>
      </c>
      <c r="AB200" s="34">
        <f>X200*VLOOKUP($B200,Types!$B$2:$D$13,3,FALSE)*Conv!$I$5*1000*365</f>
        <v>0</v>
      </c>
      <c r="AC200" s="34">
        <f>Y200*VLOOKUP($B200,Types!$B$2:$D$13,3,FALSE)*Conv!$I$5*1000*365</f>
        <v>0</v>
      </c>
      <c r="AD200" s="34">
        <f>Z200*VLOOKUP($B200,Types!$B$2:$D$13,3,FALSE)*Conv!$I$5*1000*365</f>
        <v>0</v>
      </c>
      <c r="AE200" s="34">
        <f>AA200*VLOOKUP($B200,Types!$B$2:$D$13,3,FALSE)*Conv!$I$5*1000*365</f>
        <v>0</v>
      </c>
      <c r="AF200" s="34">
        <f>AB200</f>
        <v>0</v>
      </c>
      <c r="AG200" s="34">
        <f t="shared" ref="AG200:AI200" si="502">AC200</f>
        <v>0</v>
      </c>
      <c r="AH200" s="34">
        <f t="shared" si="502"/>
        <v>0</v>
      </c>
      <c r="AI200" s="34">
        <f t="shared" si="502"/>
        <v>0</v>
      </c>
      <c r="AJ200" s="34"/>
      <c r="AK200" s="34"/>
      <c r="AL200" s="34"/>
    </row>
    <row r="201" spans="1:38">
      <c r="A201" s="1" t="str">
        <f t="shared" ref="A201:A203" si="503">A200</f>
        <v>Reformulated Mogas</v>
      </c>
      <c r="B201" s="1" t="str">
        <f>VLOOKUP($A201,Types!$A$2:$C$13,2,FALSE)</f>
        <v>GSR</v>
      </c>
      <c r="C201" s="1">
        <v>2</v>
      </c>
      <c r="D201" s="1">
        <v>4</v>
      </c>
      <c r="E201" s="1" t="str">
        <f t="shared" si="498"/>
        <v>IMPGSRP42</v>
      </c>
      <c r="F201" s="1" t="str">
        <f>CONCATENATE("Imported ",VLOOKUP($A201,Types!$A$2:$C$13,3,FALSE),", PADD ",D201,", Step ",RIGHT(C201,1))</f>
        <v>Imported Reformulated Gasoline, PADD 4, Step 2</v>
      </c>
      <c r="G201" s="1" t="str">
        <f>CONCATENATE(VLOOKUP($A201,Types!$A$2:$C$13,2,FALSE),"P",D201)</f>
        <v>GSRP4</v>
      </c>
      <c r="H201" s="61">
        <f>H199*$C$6</f>
        <v>66.66352000000002</v>
      </c>
      <c r="I201" s="61">
        <f t="shared" ref="I201:K201" si="504">I199*$C$6</f>
        <v>122.13740000000001</v>
      </c>
      <c r="J201" s="61">
        <f t="shared" si="504"/>
        <v>111.03399999999999</v>
      </c>
      <c r="K201" s="61">
        <f t="shared" si="504"/>
        <v>111.03399999999999</v>
      </c>
      <c r="L201" s="62">
        <f>H201*Conv!$J$20/10^6/VLOOKUP($B201,Types!$B$2:$D$13,3,FALSE)/Conv!$I$5</f>
        <v>18.826470058835753</v>
      </c>
      <c r="M201" s="62">
        <f>I201*Conv!$J$20/10^6/VLOOKUP($B201,Types!$B$2:$D$13,3,FALSE)/Conv!$I$5</f>
        <v>34.492869625907026</v>
      </c>
      <c r="N201" s="62" t="e">
        <f>M201*#REF!</f>
        <v>#REF!</v>
      </c>
      <c r="O201" s="62" t="e">
        <f>N201*#REF!</f>
        <v>#REF!</v>
      </c>
      <c r="P201" s="62" t="e">
        <f>O201*#REF!</f>
        <v>#REF!</v>
      </c>
      <c r="Q201" s="62" t="e">
        <f>P201*#REF!</f>
        <v>#REF!</v>
      </c>
      <c r="R201" s="62" t="e">
        <f>Q201*#REF!</f>
        <v>#REF!</v>
      </c>
      <c r="S201" s="62" t="e">
        <f>R201*#REF!</f>
        <v>#REF!</v>
      </c>
      <c r="T201" s="62" t="e">
        <f>S201*#REF!</f>
        <v>#REF!</v>
      </c>
      <c r="U201" s="62" t="e">
        <f>T201*#REF!</f>
        <v>#REF!</v>
      </c>
      <c r="V201" s="62" t="e">
        <f>U201*#REF!</f>
        <v>#REF!</v>
      </c>
      <c r="W201" s="34"/>
      <c r="X201" s="1">
        <f>X199*$E$6</f>
        <v>0</v>
      </c>
      <c r="Y201" s="1">
        <f t="shared" ref="Y201:AA201" si="505">Y199*$E$6</f>
        <v>0</v>
      </c>
      <c r="Z201" s="1">
        <f t="shared" si="505"/>
        <v>0</v>
      </c>
      <c r="AA201" s="1">
        <f t="shared" si="505"/>
        <v>0</v>
      </c>
      <c r="AB201" s="34">
        <f>X201*VLOOKUP($B201,Types!$B$2:$D$13,3,FALSE)*Conv!$I$5*1000*365</f>
        <v>0</v>
      </c>
      <c r="AC201" s="34">
        <f>Y201*VLOOKUP($B201,Types!$B$2:$D$13,3,FALSE)*Conv!$I$5*1000*365</f>
        <v>0</v>
      </c>
      <c r="AD201" s="34">
        <f>Z201*VLOOKUP($B201,Types!$B$2:$D$13,3,FALSE)*Conv!$I$5*1000*365</f>
        <v>0</v>
      </c>
      <c r="AE201" s="34">
        <f>AA201*VLOOKUP($B201,Types!$B$2:$D$13,3,FALSE)*Conv!$I$5*1000*365</f>
        <v>0</v>
      </c>
      <c r="AF201" s="34">
        <f>AB201-AF200</f>
        <v>0</v>
      </c>
      <c r="AG201" s="34">
        <f t="shared" ref="AG201:AI201" si="506">AC201-AG200</f>
        <v>0</v>
      </c>
      <c r="AH201" s="34">
        <f t="shared" si="506"/>
        <v>0</v>
      </c>
      <c r="AI201" s="34">
        <f t="shared" si="506"/>
        <v>0</v>
      </c>
      <c r="AJ201" s="34"/>
      <c r="AK201" s="34"/>
      <c r="AL201" s="34"/>
    </row>
    <row r="202" spans="1:38">
      <c r="A202" s="1" t="str">
        <f t="shared" si="503"/>
        <v>Reformulated Mogas</v>
      </c>
      <c r="B202" s="1" t="str">
        <f>VLOOKUP($A202,Types!$A$2:$C$13,2,FALSE)</f>
        <v>GSR</v>
      </c>
      <c r="C202" s="1">
        <v>4</v>
      </c>
      <c r="D202" s="1">
        <v>4</v>
      </c>
      <c r="E202" s="1" t="str">
        <f t="shared" si="498"/>
        <v>IMPGSRP44</v>
      </c>
      <c r="F202" s="1" t="str">
        <f>CONCATENATE("Imported ",VLOOKUP($A202,Types!$A$2:$C$13,3,FALSE),", PADD ",D202,", Step ",RIGHT(C202,1))</f>
        <v>Imported Reformulated Gasoline, PADD 4, Step 4</v>
      </c>
      <c r="G202" s="1" t="str">
        <f>CONCATENATE(VLOOKUP($A202,Types!$A$2:$C$13,2,FALSE),"P",D202)</f>
        <v>GSRP4</v>
      </c>
      <c r="H202" s="61">
        <f>H199*$C$8</f>
        <v>74.146160000000023</v>
      </c>
      <c r="I202" s="61">
        <f t="shared" ref="I202:K202" si="507">I199*$C$8</f>
        <v>135.84670000000003</v>
      </c>
      <c r="J202" s="61">
        <f t="shared" si="507"/>
        <v>123.497</v>
      </c>
      <c r="K202" s="61">
        <f t="shared" si="507"/>
        <v>123.497</v>
      </c>
      <c r="L202" s="62">
        <f>H202*Conv!$J$20/10^6/VLOOKUP($B202,Types!$B$2:$D$13,3,FALSE)/Conv!$I$5</f>
        <v>20.939645269521399</v>
      </c>
      <c r="M202" s="62">
        <f>I202*Conv!$J$20/10^6/VLOOKUP($B202,Types!$B$2:$D$13,3,FALSE)/Conv!$I$5</f>
        <v>38.364518257386393</v>
      </c>
      <c r="N202" s="62" t="e">
        <f>M202*#REF!</f>
        <v>#REF!</v>
      </c>
      <c r="O202" s="62" t="e">
        <f>N202*#REF!</f>
        <v>#REF!</v>
      </c>
      <c r="P202" s="62" t="e">
        <f>O202*#REF!</f>
        <v>#REF!</v>
      </c>
      <c r="Q202" s="62" t="e">
        <f>P202*#REF!</f>
        <v>#REF!</v>
      </c>
      <c r="R202" s="62" t="e">
        <f>Q202*#REF!</f>
        <v>#REF!</v>
      </c>
      <c r="S202" s="62" t="e">
        <f>R202*#REF!</f>
        <v>#REF!</v>
      </c>
      <c r="T202" s="62" t="e">
        <f>S202*#REF!</f>
        <v>#REF!</v>
      </c>
      <c r="U202" s="62" t="e">
        <f>T202*#REF!</f>
        <v>#REF!</v>
      </c>
      <c r="V202" s="62" t="e">
        <f>U202*#REF!</f>
        <v>#REF!</v>
      </c>
      <c r="W202" s="34"/>
      <c r="X202" s="1">
        <f>X199*$E$8</f>
        <v>0</v>
      </c>
      <c r="Y202" s="1">
        <f t="shared" ref="Y202:AA202" si="508">Y199*$E$8</f>
        <v>0</v>
      </c>
      <c r="Z202" s="1">
        <f t="shared" si="508"/>
        <v>0</v>
      </c>
      <c r="AA202" s="1">
        <f t="shared" si="508"/>
        <v>0</v>
      </c>
      <c r="AB202" s="34">
        <f>X202*VLOOKUP($B202,Types!$B$2:$D$13,3,FALSE)*Conv!$I$5*1000*365</f>
        <v>0</v>
      </c>
      <c r="AC202" s="34">
        <f>Y202*VLOOKUP($B202,Types!$B$2:$D$13,3,FALSE)*Conv!$I$5*1000*365</f>
        <v>0</v>
      </c>
      <c r="AD202" s="34">
        <f>Z202*VLOOKUP($B202,Types!$B$2:$D$13,3,FALSE)*Conv!$I$5*1000*365</f>
        <v>0</v>
      </c>
      <c r="AE202" s="34">
        <f>AA202*VLOOKUP($B202,Types!$B$2:$D$13,3,FALSE)*Conv!$I$5*1000*365</f>
        <v>0</v>
      </c>
      <c r="AF202" s="34">
        <f>AB202-AB199</f>
        <v>0</v>
      </c>
      <c r="AG202" s="34">
        <f t="shared" ref="AG202:AI202" si="509">AC202-AC199</f>
        <v>0</v>
      </c>
      <c r="AH202" s="34">
        <f t="shared" si="509"/>
        <v>0</v>
      </c>
      <c r="AI202" s="34">
        <f t="shared" si="509"/>
        <v>0</v>
      </c>
      <c r="AJ202" s="34"/>
      <c r="AK202" s="34"/>
      <c r="AL202" s="34"/>
    </row>
    <row r="203" spans="1:38">
      <c r="A203" s="1" t="str">
        <f t="shared" si="503"/>
        <v>Reformulated Mogas</v>
      </c>
      <c r="B203" s="1" t="str">
        <f>VLOOKUP($A203,Types!$A$2:$C$13,2,FALSE)</f>
        <v>GSR</v>
      </c>
      <c r="C203" s="1">
        <v>5</v>
      </c>
      <c r="D203" s="1">
        <v>4</v>
      </c>
      <c r="E203" s="1" t="str">
        <f t="shared" si="498"/>
        <v>IMPGSRP45</v>
      </c>
      <c r="F203" s="1" t="str">
        <f>CONCATENATE("Imported ",VLOOKUP($A203,Types!$A$2:$C$13,3,FALSE),", PADD ",D203,", Step ",RIGHT(C203,1))</f>
        <v>Imported Reformulated Gasoline, PADD 4, Step 5</v>
      </c>
      <c r="G203" s="1" t="str">
        <f>CONCATENATE(VLOOKUP($A203,Types!$A$2:$C$13,2,FALSE),"P",D203)</f>
        <v>GSRP4</v>
      </c>
      <c r="H203" s="61">
        <f>H199*$C$9</f>
        <v>88.431200000000018</v>
      </c>
      <c r="I203" s="61">
        <f t="shared" ref="I203:K203" si="510">I199*$C$9</f>
        <v>162.01900000000001</v>
      </c>
      <c r="J203" s="61">
        <f t="shared" si="510"/>
        <v>147.29</v>
      </c>
      <c r="K203" s="61">
        <f t="shared" si="510"/>
        <v>147.29</v>
      </c>
      <c r="L203" s="62">
        <f>H203*Conv!$J$20/10^6/VLOOKUP($B203,Types!$B$2:$D$13,3,FALSE)/Conv!$I$5</f>
        <v>24.973888853557632</v>
      </c>
      <c r="M203" s="62">
        <f>I203*Conv!$J$20/10^6/VLOOKUP($B203,Types!$B$2:$D$13,3,FALSE)/Conv!$I$5</f>
        <v>45.755847462937894</v>
      </c>
      <c r="N203" s="62" t="e">
        <f>M203*#REF!</f>
        <v>#REF!</v>
      </c>
      <c r="O203" s="62" t="e">
        <f>N203*#REF!</f>
        <v>#REF!</v>
      </c>
      <c r="P203" s="62" t="e">
        <f>O203*#REF!</f>
        <v>#REF!</v>
      </c>
      <c r="Q203" s="62" t="e">
        <f>P203*#REF!</f>
        <v>#REF!</v>
      </c>
      <c r="R203" s="62" t="e">
        <f>Q203*#REF!</f>
        <v>#REF!</v>
      </c>
      <c r="S203" s="62" t="e">
        <f>R203*#REF!</f>
        <v>#REF!</v>
      </c>
      <c r="T203" s="62" t="e">
        <f>S203*#REF!</f>
        <v>#REF!</v>
      </c>
      <c r="U203" s="62" t="e">
        <f>T203*#REF!</f>
        <v>#REF!</v>
      </c>
      <c r="V203" s="62" t="e">
        <f>U203*#REF!</f>
        <v>#REF!</v>
      </c>
      <c r="W203" s="34"/>
      <c r="X203" s="1">
        <f>X199*$E$9</f>
        <v>0</v>
      </c>
      <c r="Y203" s="1">
        <f t="shared" ref="Y203:AA203" si="511">Y199*$E$9</f>
        <v>0</v>
      </c>
      <c r="Z203" s="1">
        <f t="shared" si="511"/>
        <v>0</v>
      </c>
      <c r="AA203" s="1">
        <f t="shared" si="511"/>
        <v>0</v>
      </c>
      <c r="AB203" s="34">
        <f>X203*VLOOKUP($B203,Types!$B$2:$D$13,3,FALSE)*Conv!$I$5*1000*365</f>
        <v>0</v>
      </c>
      <c r="AC203" s="34">
        <f>Y203*VLOOKUP($B203,Types!$B$2:$D$13,3,FALSE)*Conv!$I$5*1000*365</f>
        <v>0</v>
      </c>
      <c r="AD203" s="34">
        <f>Z203*VLOOKUP($B203,Types!$B$2:$D$13,3,FALSE)*Conv!$I$5*1000*365</f>
        <v>0</v>
      </c>
      <c r="AE203" s="34">
        <f>AA203*VLOOKUP($B203,Types!$B$2:$D$13,3,FALSE)*Conv!$I$5*1000*365</f>
        <v>0</v>
      </c>
      <c r="AF203" s="34">
        <f>AB203-AB202</f>
        <v>0</v>
      </c>
      <c r="AG203" s="34">
        <f t="shared" ref="AG203:AI203" si="512">AC203-AC202</f>
        <v>0</v>
      </c>
      <c r="AH203" s="34">
        <f t="shared" si="512"/>
        <v>0</v>
      </c>
      <c r="AI203" s="34">
        <f t="shared" si="512"/>
        <v>0</v>
      </c>
      <c r="AJ203" s="34"/>
      <c r="AK203" s="34"/>
      <c r="AL203" s="34"/>
    </row>
    <row r="204" spans="1:38">
      <c r="A204" s="1" t="str">
        <f>'Agg prdcrv'!$A$7</f>
        <v>Conventional Mogas</v>
      </c>
      <c r="B204" s="1" t="str">
        <f>VLOOKUP($A204,Types!$A$2:$C$13,2,FALSE)</f>
        <v>GSC</v>
      </c>
      <c r="C204" s="1">
        <v>3</v>
      </c>
      <c r="D204" s="1">
        <v>4</v>
      </c>
      <c r="E204" s="1" t="str">
        <f t="shared" si="498"/>
        <v>IMPGSCP43</v>
      </c>
      <c r="F204" s="1" t="str">
        <f>CONCATENATE("Imported ",VLOOKUP($A204,Types!$A$2:$C$13,3,FALSE),", PADD ",D204,", Step ",RIGHT(C204,1))</f>
        <v>Imported Conventional Gasoline, PADD 4, Step 3</v>
      </c>
      <c r="G204" s="1" t="str">
        <f>CONCATENATE(VLOOKUP($A204,Types!$A$2:$C$13,2,FALSE),"P",D204)</f>
        <v>GSCP4</v>
      </c>
      <c r="H204" s="61">
        <f>SUMIFS('Agg prdcrv NYC'!$O$6:$O$100,'Agg prdcrv NYC'!$A$6:$A$100,'Imp Refined NYC'!$A204,'Agg prdcrv NYC'!$B$6:$B$100,H$11)*K4</f>
        <v>65.868000000000009</v>
      </c>
      <c r="I204" s="61">
        <f>SUMIFS('Agg prdcrv NYC'!$O$6:$O$100,'Agg prdcrv NYC'!$A$6:$A$100,'Imp Refined NYC'!$A204,'Agg prdcrv NYC'!$B$6:$B$100,I$11)*K4</f>
        <v>54.571000000000005</v>
      </c>
      <c r="J204" s="61">
        <f t="array" ref="J204">SUMIFS('Agg prdcrv NYC'!$O$6:$O$100,'Agg prdcrv NYC'!$A$6:$A$100,'Imp Refined NYC'!$A204,'Agg prdcrv NYC'!$B$6:$B$100,J$11)</f>
        <v>42.88</v>
      </c>
      <c r="K204" s="61">
        <f t="array" ref="K204">SUMIFS('Agg prdcrv NYC'!$O$6:$O$100,'Agg prdcrv NYC'!$A$6:$A$100,'Imp Refined NYC'!$A204,'Agg prdcrv NYC'!$B$6:$B$100,K$11)</f>
        <v>46.46</v>
      </c>
      <c r="L204" s="62">
        <f>H204*Conv!$J$20/10^6/VLOOKUP($B204,Types!$B$2:$D$13,3,FALSE)/Conv!$I$5</f>
        <v>18.237065640018699</v>
      </c>
      <c r="M204" s="62">
        <f>I204*Conv!$J$20/10^6/VLOOKUP($B204,Types!$B$2:$D$13,3,FALSE)/Conv!$I$5</f>
        <v>15.109232237831122</v>
      </c>
      <c r="N204" s="62" t="e">
        <f>M204*#REF!</f>
        <v>#REF!</v>
      </c>
      <c r="O204" s="62" t="e">
        <f>N204*#REF!</f>
        <v>#REF!</v>
      </c>
      <c r="P204" s="62" t="e">
        <f>O204*#REF!</f>
        <v>#REF!</v>
      </c>
      <c r="Q204" s="62" t="e">
        <f>P204*#REF!</f>
        <v>#REF!</v>
      </c>
      <c r="R204" s="62" t="e">
        <f>Q204*#REF!</f>
        <v>#REF!</v>
      </c>
      <c r="S204" s="62" t="e">
        <f>R204*#REF!</f>
        <v>#REF!</v>
      </c>
      <c r="T204" s="62" t="e">
        <f>S204*#REF!</f>
        <v>#REF!</v>
      </c>
      <c r="U204" s="62" t="e">
        <f>T204*#REF!</f>
        <v>#REF!</v>
      </c>
      <c r="V204" s="62" t="e">
        <f>U204*#REF!</f>
        <v>#REF!</v>
      </c>
      <c r="W204" s="34"/>
      <c r="X204" s="1">
        <f t="array" ref="X204">SUMIFS('Agg prdcrv NYC'!$G$6:$G$100,'Agg prdcrv NYC'!$A$6:$A$100,'Imp Refined NYC'!$A204,'Agg prdcrv NYC'!$B$6:$B$100,X$11)</f>
        <v>0.55000000000000004</v>
      </c>
      <c r="Y204" s="1">
        <f t="array" ref="Y204">SUMIFS('Agg prdcrv NYC'!$G$6:$G$100,'Agg prdcrv NYC'!$A$6:$A$100,'Imp Refined NYC'!$A204,'Agg prdcrv NYC'!$B$6:$B$100,Y$11)</f>
        <v>0</v>
      </c>
      <c r="Z204" s="1">
        <f t="array" ref="Z204">SUMIFS('Agg prdcrv NYC'!$G$6:$G$100,'Agg prdcrv NYC'!$A$6:$A$100,'Imp Refined NYC'!$A204,'Agg prdcrv NYC'!$B$6:$B$100,Z$11)</f>
        <v>0</v>
      </c>
      <c r="AA204" s="1">
        <f t="array" ref="AA204">SUMIFS('Agg prdcrv NYC'!$G$6:$G$100,'Agg prdcrv NYC'!$A$6:$A$100,'Imp Refined NYC'!$A204,'Agg prdcrv NYC'!$B$6:$B$100,AA$11)</f>
        <v>0</v>
      </c>
      <c r="AB204" s="34">
        <f>X204*VLOOKUP($B204,Types!$B$2:$D$13,3,FALSE)*Conv!$I$5*1000*365</f>
        <v>1.1125984904759998</v>
      </c>
      <c r="AC204" s="34">
        <f>Y204*VLOOKUP($B204,Types!$B$2:$D$13,3,FALSE)*Conv!$I$5*1000*365</f>
        <v>0</v>
      </c>
      <c r="AD204" s="34">
        <f>Z204*VLOOKUP($B204,Types!$B$2:$D$13,3,FALSE)*Conv!$I$5*1000*365</f>
        <v>0</v>
      </c>
      <c r="AE204" s="34">
        <f>AA204*VLOOKUP($B204,Types!$B$2:$D$13,3,FALSE)*Conv!$I$5*1000*365</f>
        <v>0</v>
      </c>
      <c r="AF204" s="34">
        <f>AB204-AB206</f>
        <v>0.11125984904759978</v>
      </c>
      <c r="AG204" s="34">
        <f t="shared" ref="AG204:AI204" si="513">AC204-AC206</f>
        <v>0</v>
      </c>
      <c r="AH204" s="34">
        <f t="shared" si="513"/>
        <v>0</v>
      </c>
      <c r="AI204" s="34">
        <f t="shared" si="513"/>
        <v>0</v>
      </c>
      <c r="AJ204" s="34"/>
      <c r="AK204" s="34"/>
      <c r="AL204" s="34"/>
    </row>
    <row r="205" spans="1:38">
      <c r="A205" s="1" t="str">
        <f>A204</f>
        <v>Conventional Mogas</v>
      </c>
      <c r="B205" s="1" t="str">
        <f>VLOOKUP($A205,Types!$A$2:$C$13,2,FALSE)</f>
        <v>GSC</v>
      </c>
      <c r="C205" s="1">
        <v>1</v>
      </c>
      <c r="D205" s="1">
        <v>4</v>
      </c>
      <c r="E205" s="1" t="str">
        <f t="shared" si="498"/>
        <v>IMPGSCP41</v>
      </c>
      <c r="F205" s="1" t="str">
        <f>CONCATENATE("Imported ",VLOOKUP($A205,Types!$A$2:$C$13,3,FALSE),", PADD ",D205,", Step ",RIGHT(C205,1))</f>
        <v>Imported Conventional Gasoline, PADD 4, Step 1</v>
      </c>
      <c r="G205" s="1" t="str">
        <f>CONCATENATE(VLOOKUP($A205,Types!$A$2:$C$13,2,FALSE),"P",D205)</f>
        <v>GSCP4</v>
      </c>
      <c r="H205" s="61">
        <f>H204*$C$5</f>
        <v>62.574600000000004</v>
      </c>
      <c r="I205" s="61">
        <f t="shared" ref="I205:K205" si="514">I204*$C$5</f>
        <v>51.842449999999999</v>
      </c>
      <c r="J205" s="61">
        <f t="shared" si="514"/>
        <v>40.735999999999997</v>
      </c>
      <c r="K205" s="61">
        <f t="shared" si="514"/>
        <v>44.137</v>
      </c>
      <c r="L205" s="62">
        <f>H205*Conv!$J$20/10^6/VLOOKUP($B205,Types!$B$2:$D$13,3,FALSE)/Conv!$I$5</f>
        <v>17.325212358017762</v>
      </c>
      <c r="M205" s="62">
        <f>I205*Conv!$J$20/10^6/VLOOKUP($B205,Types!$B$2:$D$13,3,FALSE)/Conv!$I$5</f>
        <v>14.353770625939566</v>
      </c>
      <c r="N205" s="62" t="e">
        <f>M205*#REF!</f>
        <v>#REF!</v>
      </c>
      <c r="O205" s="62" t="e">
        <f>N205*#REF!</f>
        <v>#REF!</v>
      </c>
      <c r="P205" s="62" t="e">
        <f>O205*#REF!</f>
        <v>#REF!</v>
      </c>
      <c r="Q205" s="62" t="e">
        <f>P205*#REF!</f>
        <v>#REF!</v>
      </c>
      <c r="R205" s="62" t="e">
        <f>Q205*#REF!</f>
        <v>#REF!</v>
      </c>
      <c r="S205" s="62" t="e">
        <f>R205*#REF!</f>
        <v>#REF!</v>
      </c>
      <c r="T205" s="62" t="e">
        <f>S205*#REF!</f>
        <v>#REF!</v>
      </c>
      <c r="U205" s="62" t="e">
        <f>T205*#REF!</f>
        <v>#REF!</v>
      </c>
      <c r="V205" s="62" t="e">
        <f>U205*#REF!</f>
        <v>#REF!</v>
      </c>
      <c r="W205" s="34"/>
      <c r="X205" s="1">
        <f>X204*$E$5</f>
        <v>0.44000000000000006</v>
      </c>
      <c r="Y205" s="1">
        <f t="shared" ref="Y205:AA205" si="515">Y204*$E$5</f>
        <v>0</v>
      </c>
      <c r="Z205" s="1">
        <f t="shared" si="515"/>
        <v>0</v>
      </c>
      <c r="AA205" s="1">
        <f t="shared" si="515"/>
        <v>0</v>
      </c>
      <c r="AB205" s="34">
        <f>X205*VLOOKUP($B205,Types!$B$2:$D$13,3,FALSE)*Conv!$I$5*1000*365</f>
        <v>0.89007879238080001</v>
      </c>
      <c r="AC205" s="34">
        <f>Y205*VLOOKUP($B205,Types!$B$2:$D$13,3,FALSE)*Conv!$I$5*1000*365</f>
        <v>0</v>
      </c>
      <c r="AD205" s="34">
        <f>Z205*VLOOKUP($B205,Types!$B$2:$D$13,3,FALSE)*Conv!$I$5*1000*365</f>
        <v>0</v>
      </c>
      <c r="AE205" s="34">
        <f>AA205*VLOOKUP($B205,Types!$B$2:$D$13,3,FALSE)*Conv!$I$5*1000*365</f>
        <v>0</v>
      </c>
      <c r="AF205" s="34">
        <f>AB205</f>
        <v>0.89007879238080001</v>
      </c>
      <c r="AG205" s="34">
        <f t="shared" ref="AG205:AI205" si="516">AC205</f>
        <v>0</v>
      </c>
      <c r="AH205" s="34">
        <f t="shared" si="516"/>
        <v>0</v>
      </c>
      <c r="AI205" s="34">
        <f t="shared" si="516"/>
        <v>0</v>
      </c>
      <c r="AJ205" s="34"/>
      <c r="AK205" s="34"/>
      <c r="AL205" s="34"/>
    </row>
    <row r="206" spans="1:38">
      <c r="A206" s="1" t="str">
        <f t="shared" ref="A206:A208" si="517">A205</f>
        <v>Conventional Mogas</v>
      </c>
      <c r="B206" s="1" t="str">
        <f>VLOOKUP($A206,Types!$A$2:$C$13,2,FALSE)</f>
        <v>GSC</v>
      </c>
      <c r="C206" s="1">
        <v>2</v>
      </c>
      <c r="D206" s="1">
        <v>4</v>
      </c>
      <c r="E206" s="1" t="str">
        <f t="shared" si="498"/>
        <v>IMPGSCP42</v>
      </c>
      <c r="F206" s="1" t="str">
        <f>CONCATENATE("Imported ",VLOOKUP($A206,Types!$A$2:$C$13,3,FALSE),", PADD ",D206,", Step ",RIGHT(C206,1))</f>
        <v>Imported Conventional Gasoline, PADD 4, Step 2</v>
      </c>
      <c r="G206" s="1" t="str">
        <f>CONCATENATE(VLOOKUP($A206,Types!$A$2:$C$13,2,FALSE),"P",D206)</f>
        <v>GSCP4</v>
      </c>
      <c r="H206" s="61">
        <f>H204*$C$6</f>
        <v>64.550640000000001</v>
      </c>
      <c r="I206" s="61">
        <f t="shared" ref="I206:K206" si="518">I204*$C$6</f>
        <v>53.479580000000006</v>
      </c>
      <c r="J206" s="61">
        <f t="shared" si="518"/>
        <v>42.022400000000005</v>
      </c>
      <c r="K206" s="61">
        <f t="shared" si="518"/>
        <v>45.530799999999999</v>
      </c>
      <c r="L206" s="62">
        <f>H206*Conv!$J$20/10^6/VLOOKUP($B206,Types!$B$2:$D$13,3,FALSE)/Conv!$I$5</f>
        <v>17.872324327218326</v>
      </c>
      <c r="M206" s="62">
        <f>I206*Conv!$J$20/10^6/VLOOKUP($B206,Types!$B$2:$D$13,3,FALSE)/Conv!$I$5</f>
        <v>14.807047593074502</v>
      </c>
      <c r="N206" s="62" t="e">
        <f>M206*#REF!</f>
        <v>#REF!</v>
      </c>
      <c r="O206" s="62" t="e">
        <f>N206*#REF!</f>
        <v>#REF!</v>
      </c>
      <c r="P206" s="62" t="e">
        <f>O206*#REF!</f>
        <v>#REF!</v>
      </c>
      <c r="Q206" s="62" t="e">
        <f>P206*#REF!</f>
        <v>#REF!</v>
      </c>
      <c r="R206" s="62" t="e">
        <f>Q206*#REF!</f>
        <v>#REF!</v>
      </c>
      <c r="S206" s="62" t="e">
        <f>R206*#REF!</f>
        <v>#REF!</v>
      </c>
      <c r="T206" s="62" t="e">
        <f>S206*#REF!</f>
        <v>#REF!</v>
      </c>
      <c r="U206" s="62" t="e">
        <f>T206*#REF!</f>
        <v>#REF!</v>
      </c>
      <c r="V206" s="62" t="e">
        <f>U206*#REF!</f>
        <v>#REF!</v>
      </c>
      <c r="W206" s="34"/>
      <c r="X206" s="1">
        <f>X204*$E$6</f>
        <v>0.49500000000000005</v>
      </c>
      <c r="Y206" s="1">
        <f t="shared" ref="Y206:AA206" si="519">Y204*$E$6</f>
        <v>0</v>
      </c>
      <c r="Z206" s="1">
        <f t="shared" si="519"/>
        <v>0</v>
      </c>
      <c r="AA206" s="1">
        <f t="shared" si="519"/>
        <v>0</v>
      </c>
      <c r="AB206" s="34">
        <f>X206*VLOOKUP($B206,Types!$B$2:$D$13,3,FALSE)*Conv!$I$5*1000*365</f>
        <v>1.0013386414284</v>
      </c>
      <c r="AC206" s="34">
        <f>Y206*VLOOKUP($B206,Types!$B$2:$D$13,3,FALSE)*Conv!$I$5*1000*365</f>
        <v>0</v>
      </c>
      <c r="AD206" s="34">
        <f>Z206*VLOOKUP($B206,Types!$B$2:$D$13,3,FALSE)*Conv!$I$5*1000*365</f>
        <v>0</v>
      </c>
      <c r="AE206" s="34">
        <f>AA206*VLOOKUP($B206,Types!$B$2:$D$13,3,FALSE)*Conv!$I$5*1000*365</f>
        <v>0</v>
      </c>
      <c r="AF206" s="34">
        <f>AB206-AF205</f>
        <v>0.1112598490476</v>
      </c>
      <c r="AG206" s="34">
        <f t="shared" ref="AG206:AI206" si="520">AC206-AG205</f>
        <v>0</v>
      </c>
      <c r="AH206" s="34">
        <f t="shared" si="520"/>
        <v>0</v>
      </c>
      <c r="AI206" s="34">
        <f t="shared" si="520"/>
        <v>0</v>
      </c>
      <c r="AJ206" s="34"/>
      <c r="AK206" s="34"/>
      <c r="AL206" s="34"/>
    </row>
    <row r="207" spans="1:38">
      <c r="A207" s="1" t="str">
        <f t="shared" si="517"/>
        <v>Conventional Mogas</v>
      </c>
      <c r="B207" s="1" t="str">
        <f>VLOOKUP($A207,Types!$A$2:$C$13,2,FALSE)</f>
        <v>GSC</v>
      </c>
      <c r="C207" s="1">
        <v>4</v>
      </c>
      <c r="D207" s="1">
        <v>4</v>
      </c>
      <c r="E207" s="1" t="str">
        <f t="shared" si="498"/>
        <v>IMPGSCP44</v>
      </c>
      <c r="F207" s="1" t="str">
        <f>CONCATENATE("Imported ",VLOOKUP($A207,Types!$A$2:$C$13,3,FALSE),", PADD ",D207,", Step ",RIGHT(C207,1))</f>
        <v>Imported Conventional Gasoline, PADD 4, Step 4</v>
      </c>
      <c r="G207" s="1" t="str">
        <f>CONCATENATE(VLOOKUP($A207,Types!$A$2:$C$13,2,FALSE),"P",D207)</f>
        <v>GSCP4</v>
      </c>
      <c r="H207" s="61">
        <f>H204*$C$8</f>
        <v>71.796120000000016</v>
      </c>
      <c r="I207" s="61">
        <f t="shared" ref="I207:K207" si="521">I204*$C$8</f>
        <v>59.482390000000009</v>
      </c>
      <c r="J207" s="61">
        <f t="shared" si="521"/>
        <v>46.739200000000004</v>
      </c>
      <c r="K207" s="61">
        <f t="shared" si="521"/>
        <v>50.641400000000004</v>
      </c>
      <c r="L207" s="62">
        <f>H207*Conv!$J$20/10^6/VLOOKUP($B207,Types!$B$2:$D$13,3,FALSE)/Conv!$I$5</f>
        <v>19.878401547620381</v>
      </c>
      <c r="M207" s="62">
        <f>I207*Conv!$J$20/10^6/VLOOKUP($B207,Types!$B$2:$D$13,3,FALSE)/Conv!$I$5</f>
        <v>16.469063139235921</v>
      </c>
      <c r="N207" s="62" t="e">
        <f>M207*#REF!</f>
        <v>#REF!</v>
      </c>
      <c r="O207" s="62" t="e">
        <f>N207*#REF!</f>
        <v>#REF!</v>
      </c>
      <c r="P207" s="62" t="e">
        <f>O207*#REF!</f>
        <v>#REF!</v>
      </c>
      <c r="Q207" s="62" t="e">
        <f>P207*#REF!</f>
        <v>#REF!</v>
      </c>
      <c r="R207" s="62" t="e">
        <f>Q207*#REF!</f>
        <v>#REF!</v>
      </c>
      <c r="S207" s="62" t="e">
        <f>R207*#REF!</f>
        <v>#REF!</v>
      </c>
      <c r="T207" s="62" t="e">
        <f>S207*#REF!</f>
        <v>#REF!</v>
      </c>
      <c r="U207" s="62" t="e">
        <f>T207*#REF!</f>
        <v>#REF!</v>
      </c>
      <c r="V207" s="62" t="e">
        <f>U207*#REF!</f>
        <v>#REF!</v>
      </c>
      <c r="W207" s="34"/>
      <c r="X207" s="1">
        <f>X204*$E$8</f>
        <v>0.66</v>
      </c>
      <c r="Y207" s="1">
        <f t="shared" ref="Y207:AA207" si="522">Y204*$E$8</f>
        <v>0</v>
      </c>
      <c r="Z207" s="1">
        <f t="shared" si="522"/>
        <v>0</v>
      </c>
      <c r="AA207" s="1">
        <f t="shared" si="522"/>
        <v>0</v>
      </c>
      <c r="AB207" s="34">
        <f>X207*VLOOKUP($B207,Types!$B$2:$D$13,3,FALSE)*Conv!$I$5*1000*365</f>
        <v>1.3351181885712</v>
      </c>
      <c r="AC207" s="34">
        <f>Y207*VLOOKUP($B207,Types!$B$2:$D$13,3,FALSE)*Conv!$I$5*1000*365</f>
        <v>0</v>
      </c>
      <c r="AD207" s="34">
        <f>Z207*VLOOKUP($B207,Types!$B$2:$D$13,3,FALSE)*Conv!$I$5*1000*365</f>
        <v>0</v>
      </c>
      <c r="AE207" s="34">
        <f>AA207*VLOOKUP($B207,Types!$B$2:$D$13,3,FALSE)*Conv!$I$5*1000*365</f>
        <v>0</v>
      </c>
      <c r="AF207" s="34">
        <f>AB207-AB204</f>
        <v>0.22251969809520022</v>
      </c>
      <c r="AG207" s="34">
        <f t="shared" ref="AG207:AI207" si="523">AC207-AC204</f>
        <v>0</v>
      </c>
      <c r="AH207" s="34">
        <f t="shared" si="523"/>
        <v>0</v>
      </c>
      <c r="AI207" s="34">
        <f t="shared" si="523"/>
        <v>0</v>
      </c>
      <c r="AJ207" s="34"/>
      <c r="AK207" s="34"/>
      <c r="AL207" s="34"/>
    </row>
    <row r="208" spans="1:38">
      <c r="A208" s="1" t="str">
        <f t="shared" si="517"/>
        <v>Conventional Mogas</v>
      </c>
      <c r="B208" s="1" t="str">
        <f>VLOOKUP($A208,Types!$A$2:$C$13,2,FALSE)</f>
        <v>GSC</v>
      </c>
      <c r="C208" s="1">
        <v>5</v>
      </c>
      <c r="D208" s="1">
        <v>4</v>
      </c>
      <c r="E208" s="1" t="str">
        <f t="shared" si="498"/>
        <v>IMPGSCP45</v>
      </c>
      <c r="F208" s="1" t="str">
        <f>CONCATENATE("Imported ",VLOOKUP($A208,Types!$A$2:$C$13,3,FALSE),", PADD ",D208,", Step ",RIGHT(C208,1))</f>
        <v>Imported Conventional Gasoline, PADD 4, Step 5</v>
      </c>
      <c r="G208" s="1" t="str">
        <f>CONCATENATE(VLOOKUP($A208,Types!$A$2:$C$13,2,FALSE),"P",D208)</f>
        <v>GSCP4</v>
      </c>
      <c r="H208" s="61">
        <f>H204*$C$9</f>
        <v>85.628400000000013</v>
      </c>
      <c r="I208" s="61">
        <f t="shared" ref="I208:K208" si="524">I204*$C$9</f>
        <v>70.942300000000003</v>
      </c>
      <c r="J208" s="61">
        <f t="shared" si="524"/>
        <v>55.744000000000007</v>
      </c>
      <c r="K208" s="61">
        <f t="shared" si="524"/>
        <v>60.398000000000003</v>
      </c>
      <c r="L208" s="62">
        <f>H208*Conv!$J$20/10^6/VLOOKUP($B208,Types!$B$2:$D$13,3,FALSE)/Conv!$I$5</f>
        <v>23.708185332024311</v>
      </c>
      <c r="M208" s="62">
        <f>I208*Conv!$J$20/10^6/VLOOKUP($B208,Types!$B$2:$D$13,3,FALSE)/Conv!$I$5</f>
        <v>19.642001909180458</v>
      </c>
      <c r="N208" s="62" t="e">
        <f>M208*#REF!</f>
        <v>#REF!</v>
      </c>
      <c r="O208" s="62" t="e">
        <f>N208*#REF!</f>
        <v>#REF!</v>
      </c>
      <c r="P208" s="62" t="e">
        <f>O208*#REF!</f>
        <v>#REF!</v>
      </c>
      <c r="Q208" s="62" t="e">
        <f>P208*#REF!</f>
        <v>#REF!</v>
      </c>
      <c r="R208" s="62" t="e">
        <f>Q208*#REF!</f>
        <v>#REF!</v>
      </c>
      <c r="S208" s="62" t="e">
        <f>R208*#REF!</f>
        <v>#REF!</v>
      </c>
      <c r="T208" s="62" t="e">
        <f>S208*#REF!</f>
        <v>#REF!</v>
      </c>
      <c r="U208" s="62" t="e">
        <f>T208*#REF!</f>
        <v>#REF!</v>
      </c>
      <c r="V208" s="62" t="e">
        <f>U208*#REF!</f>
        <v>#REF!</v>
      </c>
      <c r="W208" s="34"/>
      <c r="X208" s="1">
        <f>X204*$E$9</f>
        <v>1.1000000000000001</v>
      </c>
      <c r="Y208" s="1">
        <f t="shared" ref="Y208:AA208" si="525">Y204*$E$9</f>
        <v>0</v>
      </c>
      <c r="Z208" s="1">
        <f t="shared" si="525"/>
        <v>0</v>
      </c>
      <c r="AA208" s="1">
        <f t="shared" si="525"/>
        <v>0</v>
      </c>
      <c r="AB208" s="34">
        <f>X208*VLOOKUP($B208,Types!$B$2:$D$13,3,FALSE)*Conv!$I$5*1000*365</f>
        <v>2.2251969809519996</v>
      </c>
      <c r="AC208" s="34">
        <f>Y208*VLOOKUP($B208,Types!$B$2:$D$13,3,FALSE)*Conv!$I$5*1000*365</f>
        <v>0</v>
      </c>
      <c r="AD208" s="34">
        <f>Z208*VLOOKUP($B208,Types!$B$2:$D$13,3,FALSE)*Conv!$I$5*1000*365</f>
        <v>0</v>
      </c>
      <c r="AE208" s="34">
        <f>AA208*VLOOKUP($B208,Types!$B$2:$D$13,3,FALSE)*Conv!$I$5*1000*365</f>
        <v>0</v>
      </c>
      <c r="AF208" s="34">
        <f>AB208-AB207</f>
        <v>0.89007879238079957</v>
      </c>
      <c r="AG208" s="34">
        <f t="shared" ref="AG208:AI208" si="526">AC208-AC207</f>
        <v>0</v>
      </c>
      <c r="AH208" s="34">
        <f t="shared" si="526"/>
        <v>0</v>
      </c>
      <c r="AI208" s="34">
        <f t="shared" si="526"/>
        <v>0</v>
      </c>
      <c r="AJ208" s="34"/>
      <c r="AK208" s="34"/>
      <c r="AL208" s="34"/>
    </row>
    <row r="209" spans="1:38">
      <c r="A209" s="1" t="str">
        <f>'Agg prdcrv'!$A$8</f>
        <v>Heating No. 2</v>
      </c>
      <c r="B209" s="1" t="str">
        <f>VLOOKUP($A209,Types!$A$2:$C$13,2,FALSE)</f>
        <v>DSH</v>
      </c>
      <c r="C209" s="1">
        <v>3</v>
      </c>
      <c r="D209" s="1">
        <v>4</v>
      </c>
      <c r="E209" s="1" t="str">
        <f t="shared" si="498"/>
        <v>IMPDSHP43</v>
      </c>
      <c r="F209" s="1" t="str">
        <f>CONCATENATE("Imported ",VLOOKUP($A209,Types!$A$2:$C$13,3,FALSE),", PADD ",D209,", Step ",RIGHT(C209,1))</f>
        <v>Imported Distillate-Heating Oil No. 2, PADD 4, Step 3</v>
      </c>
      <c r="G209" s="1" t="str">
        <f>CONCATENATE(VLOOKUP($A209,Types!$A$2:$C$13,2,FALSE),"P",D209)</f>
        <v>DSHP4</v>
      </c>
      <c r="H209" s="61">
        <f>SUMIFS('Agg prdcrv NYC'!$O$6:$O$100,'Agg prdcrv NYC'!$A$6:$A$100,'Imp Refined NYC'!$A209,'Agg prdcrv NYC'!$B$6:$B$100,H$11)*K4</f>
        <v>58.861000000000004</v>
      </c>
      <c r="I209" s="61">
        <f>SUMIFS('Agg prdcrv NYC'!$O$6:$O$100,'Agg prdcrv NYC'!$A$6:$A$100,'Imp Refined NYC'!$A209,'Agg prdcrv NYC'!$B$6:$B$100,I$11)*K4</f>
        <v>44.902000000000001</v>
      </c>
      <c r="J209" s="61">
        <f t="array" ref="J209">SUMIFS('Agg prdcrv NYC'!$O$6:$O$100,'Agg prdcrv NYC'!$A$6:$A$100,'Imp Refined NYC'!$A209,'Agg prdcrv NYC'!$B$6:$B$100,J$11)</f>
        <v>35.19</v>
      </c>
      <c r="K209" s="61">
        <f t="array" ref="K209">SUMIFS('Agg prdcrv NYC'!$O$6:$O$100,'Agg prdcrv NYC'!$A$6:$A$100,'Imp Refined NYC'!$A209,'Agg prdcrv NYC'!$B$6:$B$100,K$11)</f>
        <v>37.42</v>
      </c>
      <c r="L209" s="62">
        <f>H209*Conv!$J$20/10^6/VLOOKUP($B209,Types!$B$2:$D$13,3,FALSE)/Conv!$I$5</f>
        <v>14.696691963995358</v>
      </c>
      <c r="M209" s="62">
        <f>I209*Conv!$J$20/10^6/VLOOKUP($B209,Types!$B$2:$D$13,3,FALSE)/Conv!$I$5</f>
        <v>11.211343038129144</v>
      </c>
      <c r="N209" s="62" t="e">
        <f>M209*#REF!</f>
        <v>#REF!</v>
      </c>
      <c r="O209" s="62" t="e">
        <f>N209*#REF!</f>
        <v>#REF!</v>
      </c>
      <c r="P209" s="62" t="e">
        <f>O209*#REF!</f>
        <v>#REF!</v>
      </c>
      <c r="Q209" s="62" t="e">
        <f>P209*#REF!</f>
        <v>#REF!</v>
      </c>
      <c r="R209" s="62" t="e">
        <f>Q209*#REF!</f>
        <v>#REF!</v>
      </c>
      <c r="S209" s="62" t="e">
        <f>R209*#REF!</f>
        <v>#REF!</v>
      </c>
      <c r="T209" s="62" t="e">
        <f>S209*#REF!</f>
        <v>#REF!</v>
      </c>
      <c r="U209" s="62" t="e">
        <f>T209*#REF!</f>
        <v>#REF!</v>
      </c>
      <c r="V209" s="62" t="e">
        <f>U209*#REF!</f>
        <v>#REF!</v>
      </c>
      <c r="W209" s="34"/>
      <c r="X209" s="1">
        <f t="array" ref="X209">SUMIFS('Agg prdcrv NYC'!$G$6:$G$100,'Agg prdcrv NYC'!$A$6:$A$100,'Imp Refined NYC'!$A209,'Agg prdcrv NYC'!$B$6:$B$100,X$11)</f>
        <v>1.34</v>
      </c>
      <c r="Y209" s="1">
        <f t="array" ref="Y209">SUMIFS('Agg prdcrv NYC'!$G$6:$G$100,'Agg prdcrv NYC'!$A$6:$A$100,'Imp Refined NYC'!$A209,'Agg prdcrv NYC'!$B$6:$B$100,Y$11)</f>
        <v>0.87</v>
      </c>
      <c r="Z209" s="1">
        <f t="array" ref="Z209">SUMIFS('Agg prdcrv NYC'!$G$6:$G$100,'Agg prdcrv NYC'!$A$6:$A$100,'Imp Refined NYC'!$A209,'Agg prdcrv NYC'!$B$6:$B$100,Z$11)</f>
        <v>0.96</v>
      </c>
      <c r="AA209" s="1">
        <f t="array" ref="AA209">SUMIFS('Agg prdcrv NYC'!$G$6:$G$100,'Agg prdcrv NYC'!$A$6:$A$100,'Imp Refined NYC'!$A209,'Agg prdcrv NYC'!$B$6:$B$100,AA$11)</f>
        <v>1.06</v>
      </c>
      <c r="AB209" s="34">
        <f>X209*VLOOKUP($B209,Types!$B$2:$D$13,3,FALSE)*Conv!$I$5*1000*365</f>
        <v>3.0058624569199996</v>
      </c>
      <c r="AC209" s="34">
        <f>Y209*VLOOKUP($B209,Types!$B$2:$D$13,3,FALSE)*Conv!$I$5*1000*365</f>
        <v>1.9515674160599998</v>
      </c>
      <c r="AD209" s="34">
        <f>Z209*VLOOKUP($B209,Types!$B$2:$D$13,3,FALSE)*Conv!$I$5*1000*365</f>
        <v>2.1534537004799996</v>
      </c>
      <c r="AE209" s="34">
        <f>AA209*VLOOKUP($B209,Types!$B$2:$D$13,3,FALSE)*Conv!$I$5*1000*365</f>
        <v>2.3777717942799996</v>
      </c>
      <c r="AF209" s="34">
        <f>AB209-AB211</f>
        <v>0.30058624569199921</v>
      </c>
      <c r="AG209" s="34">
        <f t="shared" ref="AG209:AI209" si="527">AC209-AC211</f>
        <v>0.19515674160599983</v>
      </c>
      <c r="AH209" s="34">
        <f t="shared" si="527"/>
        <v>0.21534537004799992</v>
      </c>
      <c r="AI209" s="34">
        <f t="shared" si="527"/>
        <v>0.23777717942799947</v>
      </c>
      <c r="AJ209" s="34"/>
      <c r="AK209" s="34"/>
      <c r="AL209" s="34"/>
    </row>
    <row r="210" spans="1:38">
      <c r="A210" s="1" t="str">
        <f>A209</f>
        <v>Heating No. 2</v>
      </c>
      <c r="B210" s="1" t="str">
        <f>VLOOKUP($A210,Types!$A$2:$C$13,2,FALSE)</f>
        <v>DSH</v>
      </c>
      <c r="C210" s="1">
        <v>1</v>
      </c>
      <c r="D210" s="1">
        <v>4</v>
      </c>
      <c r="E210" s="1" t="str">
        <f t="shared" si="498"/>
        <v>IMPDSHP41</v>
      </c>
      <c r="F210" s="1" t="str">
        <f>CONCATENATE("Imported ",VLOOKUP($A210,Types!$A$2:$C$13,3,FALSE),", PADD ",D210,", Step ",RIGHT(C210,1))</f>
        <v>Imported Distillate-Heating Oil No. 2, PADD 4, Step 1</v>
      </c>
      <c r="G210" s="1" t="str">
        <f>CONCATENATE(VLOOKUP($A210,Types!$A$2:$C$13,2,FALSE),"P",D210)</f>
        <v>DSHP4</v>
      </c>
      <c r="H210" s="61">
        <f>H209*$C$5</f>
        <v>55.917950000000005</v>
      </c>
      <c r="I210" s="61">
        <f t="shared" ref="I210:K210" si="528">I209*$C$5</f>
        <v>42.6569</v>
      </c>
      <c r="J210" s="61">
        <f t="shared" si="528"/>
        <v>33.430499999999995</v>
      </c>
      <c r="K210" s="61">
        <f t="shared" si="528"/>
        <v>35.548999999999999</v>
      </c>
      <c r="L210" s="62">
        <f>H210*Conv!$J$20/10^6/VLOOKUP($B210,Types!$B$2:$D$13,3,FALSE)/Conv!$I$5</f>
        <v>13.96185736579559</v>
      </c>
      <c r="M210" s="62">
        <f>I210*Conv!$J$20/10^6/VLOOKUP($B210,Types!$B$2:$D$13,3,FALSE)/Conv!$I$5</f>
        <v>10.650775886222686</v>
      </c>
      <c r="N210" s="62" t="e">
        <f>M210*#REF!</f>
        <v>#REF!</v>
      </c>
      <c r="O210" s="62" t="e">
        <f>N210*#REF!</f>
        <v>#REF!</v>
      </c>
      <c r="P210" s="62" t="e">
        <f>O210*#REF!</f>
        <v>#REF!</v>
      </c>
      <c r="Q210" s="62" t="e">
        <f>P210*#REF!</f>
        <v>#REF!</v>
      </c>
      <c r="R210" s="62" t="e">
        <f>Q210*#REF!</f>
        <v>#REF!</v>
      </c>
      <c r="S210" s="62" t="e">
        <f>R210*#REF!</f>
        <v>#REF!</v>
      </c>
      <c r="T210" s="62" t="e">
        <f>S210*#REF!</f>
        <v>#REF!</v>
      </c>
      <c r="U210" s="62" t="e">
        <f>T210*#REF!</f>
        <v>#REF!</v>
      </c>
      <c r="V210" s="62" t="e">
        <f>U210*#REF!</f>
        <v>#REF!</v>
      </c>
      <c r="W210" s="34"/>
      <c r="X210" s="1">
        <f>X209*$E$5</f>
        <v>1.0720000000000001</v>
      </c>
      <c r="Y210" s="1">
        <f t="shared" ref="Y210:AA210" si="529">Y209*$E$5</f>
        <v>0.69600000000000006</v>
      </c>
      <c r="Z210" s="1">
        <f t="shared" si="529"/>
        <v>0.76800000000000002</v>
      </c>
      <c r="AA210" s="1">
        <f t="shared" si="529"/>
        <v>0.84800000000000009</v>
      </c>
      <c r="AB210" s="34">
        <f>X210*VLOOKUP($B210,Types!$B$2:$D$13,3,FALSE)*Conv!$I$5*1000*365</f>
        <v>2.4046899655359999</v>
      </c>
      <c r="AC210" s="34">
        <f>Y210*VLOOKUP($B210,Types!$B$2:$D$13,3,FALSE)*Conv!$I$5*1000*365</f>
        <v>1.561253932848</v>
      </c>
      <c r="AD210" s="34">
        <f>Z210*VLOOKUP($B210,Types!$B$2:$D$13,3,FALSE)*Conv!$I$5*1000*365</f>
        <v>1.7227629603839998</v>
      </c>
      <c r="AE210" s="34">
        <f>AA210*VLOOKUP($B210,Types!$B$2:$D$13,3,FALSE)*Conv!$I$5*1000*365</f>
        <v>1.902217435424</v>
      </c>
      <c r="AF210" s="34">
        <f>AB210</f>
        <v>2.4046899655359999</v>
      </c>
      <c r="AG210" s="34">
        <f t="shared" ref="AG210:AI210" si="530">AC210</f>
        <v>1.561253932848</v>
      </c>
      <c r="AH210" s="34">
        <f t="shared" si="530"/>
        <v>1.7227629603839998</v>
      </c>
      <c r="AI210" s="34">
        <f t="shared" si="530"/>
        <v>1.902217435424</v>
      </c>
      <c r="AJ210" s="34"/>
      <c r="AK210" s="34"/>
      <c r="AL210" s="34"/>
    </row>
    <row r="211" spans="1:38">
      <c r="A211" s="1" t="str">
        <f t="shared" ref="A211:A213" si="531">A210</f>
        <v>Heating No. 2</v>
      </c>
      <c r="B211" s="1" t="str">
        <f>VLOOKUP($A211,Types!$A$2:$C$13,2,FALSE)</f>
        <v>DSH</v>
      </c>
      <c r="C211" s="1">
        <v>2</v>
      </c>
      <c r="D211" s="1">
        <v>4</v>
      </c>
      <c r="E211" s="1" t="str">
        <f t="shared" si="498"/>
        <v>IMPDSHP42</v>
      </c>
      <c r="F211" s="1" t="str">
        <f>CONCATENATE("Imported ",VLOOKUP($A211,Types!$A$2:$C$13,3,FALSE),", PADD ",D211,", Step ",RIGHT(C211,1))</f>
        <v>Imported Distillate-Heating Oil No. 2, PADD 4, Step 2</v>
      </c>
      <c r="G211" s="1" t="str">
        <f>CONCATENATE(VLOOKUP($A211,Types!$A$2:$C$13,2,FALSE),"P",D211)</f>
        <v>DSHP4</v>
      </c>
      <c r="H211" s="61">
        <f>H209*$C$6</f>
        <v>57.683780000000006</v>
      </c>
      <c r="I211" s="61">
        <f t="shared" ref="I211:K211" si="532">I209*$C$6</f>
        <v>44.003959999999999</v>
      </c>
      <c r="J211" s="61">
        <f t="shared" si="532"/>
        <v>34.486199999999997</v>
      </c>
      <c r="K211" s="61">
        <f t="shared" si="532"/>
        <v>36.671599999999998</v>
      </c>
      <c r="L211" s="62">
        <f>H211*Conv!$J$20/10^6/VLOOKUP($B211,Types!$B$2:$D$13,3,FALSE)/Conv!$I$5</f>
        <v>14.402758124715453</v>
      </c>
      <c r="M211" s="62">
        <f>I211*Conv!$J$20/10^6/VLOOKUP($B211,Types!$B$2:$D$13,3,FALSE)/Conv!$I$5</f>
        <v>10.987116177366559</v>
      </c>
      <c r="N211" s="62" t="e">
        <f>M211*#REF!</f>
        <v>#REF!</v>
      </c>
      <c r="O211" s="62" t="e">
        <f>N211*#REF!</f>
        <v>#REF!</v>
      </c>
      <c r="P211" s="62" t="e">
        <f>O211*#REF!</f>
        <v>#REF!</v>
      </c>
      <c r="Q211" s="62" t="e">
        <f>P211*#REF!</f>
        <v>#REF!</v>
      </c>
      <c r="R211" s="62" t="e">
        <f>Q211*#REF!</f>
        <v>#REF!</v>
      </c>
      <c r="S211" s="62" t="e">
        <f>R211*#REF!</f>
        <v>#REF!</v>
      </c>
      <c r="T211" s="62" t="e">
        <f>S211*#REF!</f>
        <v>#REF!</v>
      </c>
      <c r="U211" s="62" t="e">
        <f>T211*#REF!</f>
        <v>#REF!</v>
      </c>
      <c r="V211" s="62" t="e">
        <f>U211*#REF!</f>
        <v>#REF!</v>
      </c>
      <c r="W211" s="34"/>
      <c r="X211" s="1">
        <f>X209*$E$6</f>
        <v>1.2060000000000002</v>
      </c>
      <c r="Y211" s="1">
        <f t="shared" ref="Y211:AA211" si="533">Y209*$E$6</f>
        <v>0.78300000000000003</v>
      </c>
      <c r="Z211" s="1">
        <f t="shared" si="533"/>
        <v>0.86399999999999999</v>
      </c>
      <c r="AA211" s="1">
        <f t="shared" si="533"/>
        <v>0.95400000000000007</v>
      </c>
      <c r="AB211" s="34">
        <f>X211*VLOOKUP($B211,Types!$B$2:$D$13,3,FALSE)*Conv!$I$5*1000*365</f>
        <v>2.7052762112280004</v>
      </c>
      <c r="AC211" s="34">
        <f>Y211*VLOOKUP($B211,Types!$B$2:$D$13,3,FALSE)*Conv!$I$5*1000*365</f>
        <v>1.756410674454</v>
      </c>
      <c r="AD211" s="34">
        <f>Z211*VLOOKUP($B211,Types!$B$2:$D$13,3,FALSE)*Conv!$I$5*1000*365</f>
        <v>1.9381083304319997</v>
      </c>
      <c r="AE211" s="34">
        <f>AA211*VLOOKUP($B211,Types!$B$2:$D$13,3,FALSE)*Conv!$I$5*1000*365</f>
        <v>2.1399946148520002</v>
      </c>
      <c r="AF211" s="34">
        <f>AB211-AF210</f>
        <v>0.30058624569200054</v>
      </c>
      <c r="AG211" s="34">
        <f t="shared" ref="AG211:AI211" si="534">AC211-AG210</f>
        <v>0.19515674160600005</v>
      </c>
      <c r="AH211" s="34">
        <f t="shared" si="534"/>
        <v>0.21534537004799992</v>
      </c>
      <c r="AI211" s="34">
        <f t="shared" si="534"/>
        <v>0.23777717942800014</v>
      </c>
      <c r="AJ211" s="34"/>
      <c r="AK211" s="34"/>
      <c r="AL211" s="34"/>
    </row>
    <row r="212" spans="1:38">
      <c r="A212" s="1" t="str">
        <f t="shared" si="531"/>
        <v>Heating No. 2</v>
      </c>
      <c r="B212" s="1" t="str">
        <f>VLOOKUP($A212,Types!$A$2:$C$13,2,FALSE)</f>
        <v>DSH</v>
      </c>
      <c r="C212" s="1">
        <v>4</v>
      </c>
      <c r="D212" s="1">
        <v>4</v>
      </c>
      <c r="E212" s="1" t="str">
        <f t="shared" si="498"/>
        <v>IMPDSHP44</v>
      </c>
      <c r="F212" s="1" t="str">
        <f>CONCATENATE("Imported ",VLOOKUP($A212,Types!$A$2:$C$13,3,FALSE),", PADD ",D212,", Step ",RIGHT(C212,1))</f>
        <v>Imported Distillate-Heating Oil No. 2, PADD 4, Step 4</v>
      </c>
      <c r="G212" s="1" t="str">
        <f>CONCATENATE(VLOOKUP($A212,Types!$A$2:$C$13,2,FALSE),"P",D212)</f>
        <v>DSHP4</v>
      </c>
      <c r="H212" s="61">
        <f>H209*$C$8</f>
        <v>64.158490000000015</v>
      </c>
      <c r="I212" s="61">
        <f t="shared" ref="I212:K212" si="535">I209*$C$8</f>
        <v>48.943180000000005</v>
      </c>
      <c r="J212" s="61">
        <f t="shared" si="535"/>
        <v>38.357100000000003</v>
      </c>
      <c r="K212" s="61">
        <f t="shared" si="535"/>
        <v>40.787800000000004</v>
      </c>
      <c r="L212" s="62">
        <f>H212*Conv!$J$20/10^6/VLOOKUP($B212,Types!$B$2:$D$13,3,FALSE)/Conv!$I$5</f>
        <v>16.019394240754941</v>
      </c>
      <c r="M212" s="62">
        <f>I212*Conv!$J$20/10^6/VLOOKUP($B212,Types!$B$2:$D$13,3,FALSE)/Conv!$I$5</f>
        <v>12.220363911560765</v>
      </c>
      <c r="N212" s="62" t="e">
        <f>M212*#REF!</f>
        <v>#REF!</v>
      </c>
      <c r="O212" s="62" t="e">
        <f>N212*#REF!</f>
        <v>#REF!</v>
      </c>
      <c r="P212" s="62" t="e">
        <f>O212*#REF!</f>
        <v>#REF!</v>
      </c>
      <c r="Q212" s="62" t="e">
        <f>P212*#REF!</f>
        <v>#REF!</v>
      </c>
      <c r="R212" s="62" t="e">
        <f>Q212*#REF!</f>
        <v>#REF!</v>
      </c>
      <c r="S212" s="62" t="e">
        <f>R212*#REF!</f>
        <v>#REF!</v>
      </c>
      <c r="T212" s="62" t="e">
        <f>S212*#REF!</f>
        <v>#REF!</v>
      </c>
      <c r="U212" s="62" t="e">
        <f>T212*#REF!</f>
        <v>#REF!</v>
      </c>
      <c r="V212" s="62" t="e">
        <f>U212*#REF!</f>
        <v>#REF!</v>
      </c>
      <c r="W212" s="34"/>
      <c r="X212" s="1">
        <f>X209*$E$8</f>
        <v>1.6080000000000001</v>
      </c>
      <c r="Y212" s="1">
        <f t="shared" ref="Y212:AA212" si="536">Y209*$E$8</f>
        <v>1.044</v>
      </c>
      <c r="Z212" s="1">
        <f t="shared" si="536"/>
        <v>1.1519999999999999</v>
      </c>
      <c r="AA212" s="1">
        <f t="shared" si="536"/>
        <v>1.272</v>
      </c>
      <c r="AB212" s="34">
        <f>X212*VLOOKUP($B212,Types!$B$2:$D$13,3,FALSE)*Conv!$I$5*1000*365</f>
        <v>3.6070349483039998</v>
      </c>
      <c r="AC212" s="34">
        <f>Y212*VLOOKUP($B212,Types!$B$2:$D$13,3,FALSE)*Conv!$I$5*1000*365</f>
        <v>2.3418808992720002</v>
      </c>
      <c r="AD212" s="34">
        <f>Z212*VLOOKUP($B212,Types!$B$2:$D$13,3,FALSE)*Conv!$I$5*1000*365</f>
        <v>2.5841444405759999</v>
      </c>
      <c r="AE212" s="34">
        <f>AA212*VLOOKUP($B212,Types!$B$2:$D$13,3,FALSE)*Conv!$I$5*1000*365</f>
        <v>2.8533261531360004</v>
      </c>
      <c r="AF212" s="34">
        <f>AB212-AB209</f>
        <v>0.6011724913840002</v>
      </c>
      <c r="AG212" s="34">
        <f t="shared" ref="AG212:AI212" si="537">AC212-AC209</f>
        <v>0.39031348321200032</v>
      </c>
      <c r="AH212" s="34">
        <f t="shared" si="537"/>
        <v>0.43069074009600028</v>
      </c>
      <c r="AI212" s="34">
        <f t="shared" si="537"/>
        <v>0.47555435885600073</v>
      </c>
      <c r="AJ212" s="34"/>
      <c r="AK212" s="34"/>
      <c r="AL212" s="34"/>
    </row>
    <row r="213" spans="1:38">
      <c r="A213" s="1" t="str">
        <f t="shared" si="531"/>
        <v>Heating No. 2</v>
      </c>
      <c r="B213" s="1" t="str">
        <f>VLOOKUP($A213,Types!$A$2:$C$13,2,FALSE)</f>
        <v>DSH</v>
      </c>
      <c r="C213" s="1">
        <v>5</v>
      </c>
      <c r="D213" s="1">
        <v>4</v>
      </c>
      <c r="E213" s="1" t="str">
        <f t="shared" si="498"/>
        <v>IMPDSHP45</v>
      </c>
      <c r="F213" s="1" t="str">
        <f>CONCATENATE("Imported ",VLOOKUP($A213,Types!$A$2:$C$13,3,FALSE),", PADD ",D213,", Step ",RIGHT(C213,1))</f>
        <v>Imported Distillate-Heating Oil No. 2, PADD 4, Step 5</v>
      </c>
      <c r="G213" s="1" t="str">
        <f>CONCATENATE(VLOOKUP($A213,Types!$A$2:$C$13,2,FALSE),"P",D213)</f>
        <v>DSHP4</v>
      </c>
      <c r="H213" s="61">
        <f>H209*$C$9</f>
        <v>76.519300000000001</v>
      </c>
      <c r="I213" s="61">
        <f t="shared" ref="I213:K213" si="538">I209*$C$9</f>
        <v>58.372600000000006</v>
      </c>
      <c r="J213" s="61">
        <f t="shared" si="538"/>
        <v>45.747</v>
      </c>
      <c r="K213" s="61">
        <f t="shared" si="538"/>
        <v>48.646000000000001</v>
      </c>
      <c r="L213" s="62">
        <f>H213*Conv!$J$20/10^6/VLOOKUP($B213,Types!$B$2:$D$13,3,FALSE)/Conv!$I$5</f>
        <v>19.105699553193965</v>
      </c>
      <c r="M213" s="62">
        <f>I213*Conv!$J$20/10^6/VLOOKUP($B213,Types!$B$2:$D$13,3,FALSE)/Conv!$I$5</f>
        <v>14.574745949567887</v>
      </c>
      <c r="N213" s="62" t="e">
        <f>M213*#REF!</f>
        <v>#REF!</v>
      </c>
      <c r="O213" s="62" t="e">
        <f>N213*#REF!</f>
        <v>#REF!</v>
      </c>
      <c r="P213" s="62" t="e">
        <f>O213*#REF!</f>
        <v>#REF!</v>
      </c>
      <c r="Q213" s="62" t="e">
        <f>P213*#REF!</f>
        <v>#REF!</v>
      </c>
      <c r="R213" s="62" t="e">
        <f>Q213*#REF!</f>
        <v>#REF!</v>
      </c>
      <c r="S213" s="62" t="e">
        <f>R213*#REF!</f>
        <v>#REF!</v>
      </c>
      <c r="T213" s="62" t="e">
        <f>S213*#REF!</f>
        <v>#REF!</v>
      </c>
      <c r="U213" s="62" t="e">
        <f>T213*#REF!</f>
        <v>#REF!</v>
      </c>
      <c r="V213" s="62" t="e">
        <f>U213*#REF!</f>
        <v>#REF!</v>
      </c>
      <c r="W213" s="34"/>
      <c r="X213" s="1">
        <f>X209*$E$9</f>
        <v>2.68</v>
      </c>
      <c r="Y213" s="1">
        <f t="shared" ref="Y213:AA213" si="539">Y209*$E$9</f>
        <v>1.74</v>
      </c>
      <c r="Z213" s="1">
        <f t="shared" si="539"/>
        <v>1.92</v>
      </c>
      <c r="AA213" s="1">
        <f t="shared" si="539"/>
        <v>2.12</v>
      </c>
      <c r="AB213" s="34">
        <f>X213*VLOOKUP($B213,Types!$B$2:$D$13,3,FALSE)*Conv!$I$5*1000*365</f>
        <v>6.0117249138399993</v>
      </c>
      <c r="AC213" s="34">
        <f>Y213*VLOOKUP($B213,Types!$B$2:$D$13,3,FALSE)*Conv!$I$5*1000*365</f>
        <v>3.9031348321199997</v>
      </c>
      <c r="AD213" s="34">
        <f>Z213*VLOOKUP($B213,Types!$B$2:$D$13,3,FALSE)*Conv!$I$5*1000*365</f>
        <v>4.3069074009599992</v>
      </c>
      <c r="AE213" s="34">
        <f>AA213*VLOOKUP($B213,Types!$B$2:$D$13,3,FALSE)*Conv!$I$5*1000*365</f>
        <v>4.7555435885599993</v>
      </c>
      <c r="AF213" s="34">
        <f>AB213-AB212</f>
        <v>2.4046899655359995</v>
      </c>
      <c r="AG213" s="34">
        <f t="shared" ref="AG213:AI213" si="540">AC213-AC212</f>
        <v>1.5612539328479995</v>
      </c>
      <c r="AH213" s="34">
        <f t="shared" si="540"/>
        <v>1.7227629603839993</v>
      </c>
      <c r="AI213" s="34">
        <f t="shared" si="540"/>
        <v>1.9022174354239989</v>
      </c>
      <c r="AJ213" s="34"/>
      <c r="AK213" s="34"/>
      <c r="AL213" s="34"/>
    </row>
    <row r="214" spans="1:38">
      <c r="A214" s="1" t="str">
        <f>'Agg prdcrv'!$A$9</f>
        <v>LS Diesel (500 ppm)</v>
      </c>
      <c r="B214" s="1" t="str">
        <f>VLOOKUP($A214,Types!$A$2:$C$13,2,FALSE)</f>
        <v>DSL</v>
      </c>
      <c r="C214" s="1">
        <v>3</v>
      </c>
      <c r="D214" s="1">
        <v>4</v>
      </c>
      <c r="E214" s="1" t="str">
        <f t="shared" si="498"/>
        <v>IMPDSLP43</v>
      </c>
      <c r="F214" s="1" t="str">
        <f>CONCATENATE("Imported ",VLOOKUP($A214,Types!$A$2:$C$13,3,FALSE),", PADD ",D214,", Step ",RIGHT(C214,1))</f>
        <v>Imported Distillate-Low Sulfur Highway Diesel (500 ppm), PADD 4, Step 3</v>
      </c>
      <c r="G214" s="1" t="str">
        <f>CONCATENATE(VLOOKUP($A214,Types!$A$2:$C$13,2,FALSE),"P",D214)</f>
        <v>DSLP4</v>
      </c>
      <c r="H214" s="61">
        <f>SUMIFS('Agg prdcrv NYC'!$O$6:$O$100,'Agg prdcrv NYC'!$A$6:$A$100,'Imp Refined NYC'!$A214,'Agg prdcrv NYC'!$B$6:$B$100,H$11)*K4</f>
        <v>67.463000000000008</v>
      </c>
      <c r="I214" s="61">
        <f>SUMIFS('Agg prdcrv NYC'!$O$6:$O$100,'Agg prdcrv NYC'!$A$6:$A$100,'Imp Refined NYC'!$A214,'Agg prdcrv NYC'!$B$6:$B$100,I$11)*K4</f>
        <v>50.754000000000005</v>
      </c>
      <c r="J214" s="61">
        <f t="array" ref="J214">SUMIFS('Agg prdcrv NYC'!$O$6:$O$100,'Agg prdcrv NYC'!$A$6:$A$100,'Imp Refined NYC'!$A214,'Agg prdcrv NYC'!$B$6:$B$100,J$11)</f>
        <v>113.5</v>
      </c>
      <c r="K214" s="61">
        <f t="array" ref="K214">SUMIFS('Agg prdcrv NYC'!$O$6:$O$100,'Agg prdcrv NYC'!$A$6:$A$100,'Imp Refined NYC'!$A214,'Agg prdcrv NYC'!$B$6:$B$100,K$11)</f>
        <v>113.5</v>
      </c>
      <c r="L214" s="62">
        <f>H214*Conv!$J$20/10^6/VLOOKUP($B214,Types!$B$2:$D$13,3,FALSE)/Conv!$I$5</f>
        <v>16.844479875758459</v>
      </c>
      <c r="M214" s="62">
        <f>I214*Conv!$J$20/10^6/VLOOKUP($B214,Types!$B$2:$D$13,3,FALSE)/Conv!$I$5</f>
        <v>12.672497985773608</v>
      </c>
      <c r="N214" s="62" t="e">
        <f>M214*#REF!</f>
        <v>#REF!</v>
      </c>
      <c r="O214" s="62" t="e">
        <f>N214*#REF!</f>
        <v>#REF!</v>
      </c>
      <c r="P214" s="62" t="e">
        <f>O214*#REF!</f>
        <v>#REF!</v>
      </c>
      <c r="Q214" s="62" t="e">
        <f>P214*#REF!</f>
        <v>#REF!</v>
      </c>
      <c r="R214" s="62" t="e">
        <f>Q214*#REF!</f>
        <v>#REF!</v>
      </c>
      <c r="S214" s="62" t="e">
        <f>R214*#REF!</f>
        <v>#REF!</v>
      </c>
      <c r="T214" s="62" t="e">
        <f>S214*#REF!</f>
        <v>#REF!</v>
      </c>
      <c r="U214" s="62" t="e">
        <f>T214*#REF!</f>
        <v>#REF!</v>
      </c>
      <c r="V214" s="62" t="e">
        <f>U214*#REF!</f>
        <v>#REF!</v>
      </c>
      <c r="W214" s="34"/>
      <c r="X214" s="1">
        <f t="array" ref="X214">SUMIFS('Agg prdcrv NYC'!$G$6:$G$100,'Agg prdcrv NYC'!$A$6:$A$100,'Imp Refined NYC'!$A214,'Agg prdcrv NYC'!$B$6:$B$100,X$11)</f>
        <v>9.3699999999999992</v>
      </c>
      <c r="Y214" s="1">
        <f t="array" ref="Y214">SUMIFS('Agg prdcrv NYC'!$G$6:$G$100,'Agg prdcrv NYC'!$A$6:$A$100,'Imp Refined NYC'!$A214,'Agg prdcrv NYC'!$B$6:$B$100,Y$11)</f>
        <v>2.13</v>
      </c>
      <c r="Z214" s="1">
        <f t="array" ref="Z214">SUMIFS('Agg prdcrv NYC'!$G$6:$G$100,'Agg prdcrv NYC'!$A$6:$A$100,'Imp Refined NYC'!$A214,'Agg prdcrv NYC'!$B$6:$B$100,Z$11)</f>
        <v>0.5</v>
      </c>
      <c r="AA214" s="1">
        <f t="array" ref="AA214">SUMIFS('Agg prdcrv NYC'!$G$6:$G$100,'Agg prdcrv NYC'!$A$6:$A$100,'Imp Refined NYC'!$A214,'Agg prdcrv NYC'!$B$6:$B$100,AA$11)</f>
        <v>0.12</v>
      </c>
      <c r="AB214" s="34">
        <f>X214*VLOOKUP($B214,Types!$B$2:$D$13,3,FALSE)*Conv!$I$5*1000*365</f>
        <v>21.018605389059999</v>
      </c>
      <c r="AC214" s="34">
        <f>Y214*VLOOKUP($B214,Types!$B$2:$D$13,3,FALSE)*Conv!$I$5*1000*365</f>
        <v>4.7779753979399997</v>
      </c>
      <c r="AD214" s="34">
        <f>Z214*VLOOKUP($B214,Types!$B$2:$D$13,3,FALSE)*Conv!$I$5*1000*365</f>
        <v>1.1215904689999998</v>
      </c>
      <c r="AE214" s="34">
        <f>AA214*VLOOKUP($B214,Types!$B$2:$D$13,3,FALSE)*Conv!$I$5*1000*365</f>
        <v>0.26918171255999995</v>
      </c>
      <c r="AF214" s="34">
        <f>AB214-AB216</f>
        <v>2.1018605389060028</v>
      </c>
      <c r="AG214" s="34">
        <f t="shared" ref="AG214:AI214" si="541">AC214-AC216</f>
        <v>0.47779753979400041</v>
      </c>
      <c r="AH214" s="34">
        <f t="shared" si="541"/>
        <v>0.11215904689999978</v>
      </c>
      <c r="AI214" s="34">
        <f t="shared" si="541"/>
        <v>2.691817125599999E-2</v>
      </c>
      <c r="AJ214" s="34"/>
      <c r="AK214" s="34"/>
      <c r="AL214" s="34"/>
    </row>
    <row r="215" spans="1:38">
      <c r="A215" s="1" t="str">
        <f>A214</f>
        <v>LS Diesel (500 ppm)</v>
      </c>
      <c r="B215" s="1" t="str">
        <f>VLOOKUP($A215,Types!$A$2:$C$13,2,FALSE)</f>
        <v>DSL</v>
      </c>
      <c r="C215" s="1">
        <v>1</v>
      </c>
      <c r="D215" s="1">
        <v>4</v>
      </c>
      <c r="E215" s="1" t="str">
        <f t="shared" si="498"/>
        <v>IMPDSLP41</v>
      </c>
      <c r="F215" s="1" t="str">
        <f>CONCATENATE("Imported ",VLOOKUP($A215,Types!$A$2:$C$13,3,FALSE),", PADD ",D215,", Step ",RIGHT(C215,1))</f>
        <v>Imported Distillate-Low Sulfur Highway Diesel (500 ppm), PADD 4, Step 1</v>
      </c>
      <c r="G215" s="1" t="str">
        <f>CONCATENATE(VLOOKUP($A215,Types!$A$2:$C$13,2,FALSE),"P",D215)</f>
        <v>DSLP4</v>
      </c>
      <c r="H215" s="61">
        <f>H214*$C$5</f>
        <v>64.089849999999998</v>
      </c>
      <c r="I215" s="61">
        <f t="shared" ref="I215:K215" si="542">I214*$C$5</f>
        <v>48.216300000000004</v>
      </c>
      <c r="J215" s="61">
        <f t="shared" si="542"/>
        <v>107.82499999999999</v>
      </c>
      <c r="K215" s="61">
        <f t="shared" si="542"/>
        <v>107.82499999999999</v>
      </c>
      <c r="L215" s="62">
        <f>H215*Conv!$J$20/10^6/VLOOKUP($B215,Types!$B$2:$D$13,3,FALSE)/Conv!$I$5</f>
        <v>16.002255881970537</v>
      </c>
      <c r="M215" s="62">
        <f>I215*Conv!$J$20/10^6/VLOOKUP($B215,Types!$B$2:$D$13,3,FALSE)/Conv!$I$5</f>
        <v>12.038873086484926</v>
      </c>
      <c r="N215" s="62" t="e">
        <f>M215*#REF!</f>
        <v>#REF!</v>
      </c>
      <c r="O215" s="62" t="e">
        <f>N215*#REF!</f>
        <v>#REF!</v>
      </c>
      <c r="P215" s="62" t="e">
        <f>O215*#REF!</f>
        <v>#REF!</v>
      </c>
      <c r="Q215" s="62" t="e">
        <f>P215*#REF!</f>
        <v>#REF!</v>
      </c>
      <c r="R215" s="62" t="e">
        <f>Q215*#REF!</f>
        <v>#REF!</v>
      </c>
      <c r="S215" s="62" t="e">
        <f>R215*#REF!</f>
        <v>#REF!</v>
      </c>
      <c r="T215" s="62" t="e">
        <f>S215*#REF!</f>
        <v>#REF!</v>
      </c>
      <c r="U215" s="62" t="e">
        <f>T215*#REF!</f>
        <v>#REF!</v>
      </c>
      <c r="V215" s="62" t="e">
        <f>U215*#REF!</f>
        <v>#REF!</v>
      </c>
      <c r="W215" s="34"/>
      <c r="X215" s="1">
        <f>X214*$E$5</f>
        <v>7.4959999999999996</v>
      </c>
      <c r="Y215" s="1">
        <f t="shared" ref="Y215:AA215" si="543">Y214*$E$5</f>
        <v>1.704</v>
      </c>
      <c r="Z215" s="1">
        <f t="shared" si="543"/>
        <v>0.4</v>
      </c>
      <c r="AA215" s="1">
        <f t="shared" si="543"/>
        <v>9.6000000000000002E-2</v>
      </c>
      <c r="AB215" s="34">
        <f>X215*VLOOKUP($B215,Types!$B$2:$D$13,3,FALSE)*Conv!$I$5*1000*365</f>
        <v>16.814884311247997</v>
      </c>
      <c r="AC215" s="34">
        <f>Y215*VLOOKUP($B215,Types!$B$2:$D$13,3,FALSE)*Conv!$I$5*1000*365</f>
        <v>3.8223803183519998</v>
      </c>
      <c r="AD215" s="34">
        <f>Z215*VLOOKUP($B215,Types!$B$2:$D$13,3,FALSE)*Conv!$I$5*1000*365</f>
        <v>0.89727237519999981</v>
      </c>
      <c r="AE215" s="34">
        <f>AA215*VLOOKUP($B215,Types!$B$2:$D$13,3,FALSE)*Conv!$I$5*1000*365</f>
        <v>0.21534537004799997</v>
      </c>
      <c r="AF215" s="34">
        <f>AB215</f>
        <v>16.814884311247997</v>
      </c>
      <c r="AG215" s="34">
        <f t="shared" ref="AG215:AI215" si="544">AC215</f>
        <v>3.8223803183519998</v>
      </c>
      <c r="AH215" s="34">
        <f t="shared" si="544"/>
        <v>0.89727237519999981</v>
      </c>
      <c r="AI215" s="34">
        <f t="shared" si="544"/>
        <v>0.21534537004799997</v>
      </c>
      <c r="AJ215" s="34"/>
      <c r="AK215" s="34"/>
      <c r="AL215" s="34"/>
    </row>
    <row r="216" spans="1:38">
      <c r="A216" s="1" t="str">
        <f t="shared" ref="A216:A218" si="545">A215</f>
        <v>LS Diesel (500 ppm)</v>
      </c>
      <c r="B216" s="1" t="str">
        <f>VLOOKUP($A216,Types!$A$2:$C$13,2,FALSE)</f>
        <v>DSL</v>
      </c>
      <c r="C216" s="1">
        <v>2</v>
      </c>
      <c r="D216" s="1">
        <v>4</v>
      </c>
      <c r="E216" s="1" t="str">
        <f t="shared" si="498"/>
        <v>IMPDSLP42</v>
      </c>
      <c r="F216" s="1" t="str">
        <f>CONCATENATE("Imported ",VLOOKUP($A216,Types!$A$2:$C$13,3,FALSE),", PADD ",D216,", Step ",RIGHT(C216,1))</f>
        <v>Imported Distillate-Low Sulfur Highway Diesel (500 ppm), PADD 4, Step 2</v>
      </c>
      <c r="G216" s="1" t="str">
        <f>CONCATENATE(VLOOKUP($A216,Types!$A$2:$C$13,2,FALSE),"P",D216)</f>
        <v>DSLP4</v>
      </c>
      <c r="H216" s="61">
        <f>H214*$C$6</f>
        <v>66.113740000000007</v>
      </c>
      <c r="I216" s="61">
        <f t="shared" ref="I216:K216" si="546">I214*$C$6</f>
        <v>49.738920000000007</v>
      </c>
      <c r="J216" s="61">
        <f t="shared" si="546"/>
        <v>111.23</v>
      </c>
      <c r="K216" s="61">
        <f t="shared" si="546"/>
        <v>111.23</v>
      </c>
      <c r="L216" s="62">
        <f>H216*Conv!$J$20/10^6/VLOOKUP($B216,Types!$B$2:$D$13,3,FALSE)/Conv!$I$5</f>
        <v>16.507590278243296</v>
      </c>
      <c r="M216" s="62">
        <f>I216*Conv!$J$20/10^6/VLOOKUP($B216,Types!$B$2:$D$13,3,FALSE)/Conv!$I$5</f>
        <v>12.419048026058137</v>
      </c>
      <c r="N216" s="62" t="e">
        <f>M216*#REF!</f>
        <v>#REF!</v>
      </c>
      <c r="O216" s="62" t="e">
        <f>N216*#REF!</f>
        <v>#REF!</v>
      </c>
      <c r="P216" s="62" t="e">
        <f>O216*#REF!</f>
        <v>#REF!</v>
      </c>
      <c r="Q216" s="62" t="e">
        <f>P216*#REF!</f>
        <v>#REF!</v>
      </c>
      <c r="R216" s="62" t="e">
        <f>Q216*#REF!</f>
        <v>#REF!</v>
      </c>
      <c r="S216" s="62" t="e">
        <f>R216*#REF!</f>
        <v>#REF!</v>
      </c>
      <c r="T216" s="62" t="e">
        <f>S216*#REF!</f>
        <v>#REF!</v>
      </c>
      <c r="U216" s="62" t="e">
        <f>T216*#REF!</f>
        <v>#REF!</v>
      </c>
      <c r="V216" s="62" t="e">
        <f>U216*#REF!</f>
        <v>#REF!</v>
      </c>
      <c r="W216" s="34"/>
      <c r="X216" s="1">
        <f>X214*$E$6</f>
        <v>8.4329999999999998</v>
      </c>
      <c r="Y216" s="1">
        <f t="shared" ref="Y216:AA216" si="547">Y214*$E$6</f>
        <v>1.917</v>
      </c>
      <c r="Z216" s="1">
        <f t="shared" si="547"/>
        <v>0.45</v>
      </c>
      <c r="AA216" s="1">
        <f t="shared" si="547"/>
        <v>0.108</v>
      </c>
      <c r="AB216" s="34">
        <f>X216*VLOOKUP($B216,Types!$B$2:$D$13,3,FALSE)*Conv!$I$5*1000*365</f>
        <v>18.916744850153997</v>
      </c>
      <c r="AC216" s="34">
        <f>Y216*VLOOKUP($B216,Types!$B$2:$D$13,3,FALSE)*Conv!$I$5*1000*365</f>
        <v>4.3001778581459993</v>
      </c>
      <c r="AD216" s="34">
        <f>Z216*VLOOKUP($B216,Types!$B$2:$D$13,3,FALSE)*Conv!$I$5*1000*365</f>
        <v>1.0094314221</v>
      </c>
      <c r="AE216" s="34">
        <f>AA216*VLOOKUP($B216,Types!$B$2:$D$13,3,FALSE)*Conv!$I$5*1000*365</f>
        <v>0.24226354130399996</v>
      </c>
      <c r="AF216" s="34">
        <f>AB216-AF215</f>
        <v>2.1018605389059992</v>
      </c>
      <c r="AG216" s="34">
        <f t="shared" ref="AG216:AI216" si="548">AC216-AG215</f>
        <v>0.47779753979399953</v>
      </c>
      <c r="AH216" s="34">
        <f t="shared" si="548"/>
        <v>0.11215904690000023</v>
      </c>
      <c r="AI216" s="34">
        <f t="shared" si="548"/>
        <v>2.691817125599999E-2</v>
      </c>
      <c r="AJ216" s="34"/>
      <c r="AK216" s="34"/>
      <c r="AL216" s="34"/>
    </row>
    <row r="217" spans="1:38">
      <c r="A217" s="1" t="str">
        <f t="shared" si="545"/>
        <v>LS Diesel (500 ppm)</v>
      </c>
      <c r="B217" s="1" t="str">
        <f>VLOOKUP($A217,Types!$A$2:$C$13,2,FALSE)</f>
        <v>DSL</v>
      </c>
      <c r="C217" s="1">
        <v>4</v>
      </c>
      <c r="D217" s="1">
        <v>4</v>
      </c>
      <c r="E217" s="1" t="str">
        <f t="shared" si="498"/>
        <v>IMPDSLP44</v>
      </c>
      <c r="F217" s="1" t="str">
        <f>CONCATENATE("Imported ",VLOOKUP($A217,Types!$A$2:$C$13,3,FALSE),", PADD ",D217,", Step ",RIGHT(C217,1))</f>
        <v>Imported Distillate-Low Sulfur Highway Diesel (500 ppm), PADD 4, Step 4</v>
      </c>
      <c r="G217" s="1" t="str">
        <f>CONCATENATE(VLOOKUP($A217,Types!$A$2:$C$13,2,FALSE),"P",D217)</f>
        <v>DSLP4</v>
      </c>
      <c r="H217" s="61">
        <f>H214*$C$8</f>
        <v>73.53467000000002</v>
      </c>
      <c r="I217" s="61">
        <f t="shared" ref="I217:K217" si="549">I214*$C$8</f>
        <v>55.321860000000008</v>
      </c>
      <c r="J217" s="61">
        <f t="shared" si="549"/>
        <v>123.715</v>
      </c>
      <c r="K217" s="61">
        <f t="shared" si="549"/>
        <v>123.715</v>
      </c>
      <c r="L217" s="62">
        <f>H217*Conv!$J$20/10^6/VLOOKUP($B217,Types!$B$2:$D$13,3,FALSE)/Conv!$I$5</f>
        <v>18.360483064576727</v>
      </c>
      <c r="M217" s="62">
        <f>I217*Conv!$J$20/10^6/VLOOKUP($B217,Types!$B$2:$D$13,3,FALSE)/Conv!$I$5</f>
        <v>13.813022804493235</v>
      </c>
      <c r="N217" s="62" t="e">
        <f>M217*#REF!</f>
        <v>#REF!</v>
      </c>
      <c r="O217" s="62" t="e">
        <f>N217*#REF!</f>
        <v>#REF!</v>
      </c>
      <c r="P217" s="62" t="e">
        <f>O217*#REF!</f>
        <v>#REF!</v>
      </c>
      <c r="Q217" s="62" t="e">
        <f>P217*#REF!</f>
        <v>#REF!</v>
      </c>
      <c r="R217" s="62" t="e">
        <f>Q217*#REF!</f>
        <v>#REF!</v>
      </c>
      <c r="S217" s="62" t="e">
        <f>R217*#REF!</f>
        <v>#REF!</v>
      </c>
      <c r="T217" s="62" t="e">
        <f>S217*#REF!</f>
        <v>#REF!</v>
      </c>
      <c r="U217" s="62" t="e">
        <f>T217*#REF!</f>
        <v>#REF!</v>
      </c>
      <c r="V217" s="62" t="e">
        <f>U217*#REF!</f>
        <v>#REF!</v>
      </c>
      <c r="W217" s="34"/>
      <c r="X217" s="1">
        <f>X214*$E$8</f>
        <v>11.243999999999998</v>
      </c>
      <c r="Y217" s="1">
        <f t="shared" ref="Y217:AA217" si="550">Y214*$E$8</f>
        <v>2.5559999999999996</v>
      </c>
      <c r="Z217" s="1">
        <f t="shared" si="550"/>
        <v>0.6</v>
      </c>
      <c r="AA217" s="1">
        <f t="shared" si="550"/>
        <v>0.14399999999999999</v>
      </c>
      <c r="AB217" s="34">
        <f>X217*VLOOKUP($B217,Types!$B$2:$D$13,3,FALSE)*Conv!$I$5*1000*365</f>
        <v>25.222326466871998</v>
      </c>
      <c r="AC217" s="34">
        <f>Y217*VLOOKUP($B217,Types!$B$2:$D$13,3,FALSE)*Conv!$I$5*1000*365</f>
        <v>5.7335704775279988</v>
      </c>
      <c r="AD217" s="34">
        <f>Z217*VLOOKUP($B217,Types!$B$2:$D$13,3,FALSE)*Conv!$I$5*1000*365</f>
        <v>1.3459085628</v>
      </c>
      <c r="AE217" s="34">
        <f>AA217*VLOOKUP($B217,Types!$B$2:$D$13,3,FALSE)*Conv!$I$5*1000*365</f>
        <v>0.32301805507199999</v>
      </c>
      <c r="AF217" s="34">
        <f>AB217-AB214</f>
        <v>4.2037210778119984</v>
      </c>
      <c r="AG217" s="34">
        <f t="shared" ref="AG217:AI217" si="551">AC217-AC214</f>
        <v>0.95559507958799905</v>
      </c>
      <c r="AH217" s="34">
        <f t="shared" si="551"/>
        <v>0.22431809380000023</v>
      </c>
      <c r="AI217" s="34">
        <f t="shared" si="551"/>
        <v>5.3836342512000035E-2</v>
      </c>
      <c r="AJ217" s="34"/>
      <c r="AK217" s="34"/>
      <c r="AL217" s="34"/>
    </row>
    <row r="218" spans="1:38">
      <c r="A218" s="1" t="str">
        <f t="shared" si="545"/>
        <v>LS Diesel (500 ppm)</v>
      </c>
      <c r="B218" s="1" t="str">
        <f>VLOOKUP($A218,Types!$A$2:$C$13,2,FALSE)</f>
        <v>DSL</v>
      </c>
      <c r="C218" s="1">
        <v>5</v>
      </c>
      <c r="D218" s="1">
        <v>4</v>
      </c>
      <c r="E218" s="1" t="str">
        <f t="shared" si="498"/>
        <v>IMPDSLP45</v>
      </c>
      <c r="F218" s="1" t="str">
        <f>CONCATENATE("Imported ",VLOOKUP($A218,Types!$A$2:$C$13,3,FALSE),", PADD ",D218,", Step ",RIGHT(C218,1))</f>
        <v>Imported Distillate-Low Sulfur Highway Diesel (500 ppm), PADD 4, Step 5</v>
      </c>
      <c r="G218" s="1" t="str">
        <f>CONCATENATE(VLOOKUP($A218,Types!$A$2:$C$13,2,FALSE),"P",D218)</f>
        <v>DSLP4</v>
      </c>
      <c r="H218" s="61">
        <f>H214*$C$9</f>
        <v>87.701900000000009</v>
      </c>
      <c r="I218" s="61">
        <f t="shared" ref="I218:K218" si="552">I214*$C$9</f>
        <v>65.980200000000011</v>
      </c>
      <c r="J218" s="61">
        <f t="shared" si="552"/>
        <v>147.55000000000001</v>
      </c>
      <c r="K218" s="61">
        <f t="shared" si="552"/>
        <v>147.55000000000001</v>
      </c>
      <c r="L218" s="62">
        <f>H218*Conv!$J$20/10^6/VLOOKUP($B218,Types!$B$2:$D$13,3,FALSE)/Conv!$I$5</f>
        <v>21.897823838485998</v>
      </c>
      <c r="M218" s="62">
        <f>I218*Conv!$J$20/10^6/VLOOKUP($B218,Types!$B$2:$D$13,3,FALSE)/Conv!$I$5</f>
        <v>16.474247381505691</v>
      </c>
      <c r="N218" s="62" t="e">
        <f>M218*#REF!</f>
        <v>#REF!</v>
      </c>
      <c r="O218" s="62" t="e">
        <f>N218*#REF!</f>
        <v>#REF!</v>
      </c>
      <c r="P218" s="62" t="e">
        <f>O218*#REF!</f>
        <v>#REF!</v>
      </c>
      <c r="Q218" s="62" t="e">
        <f>P218*#REF!</f>
        <v>#REF!</v>
      </c>
      <c r="R218" s="62" t="e">
        <f>Q218*#REF!</f>
        <v>#REF!</v>
      </c>
      <c r="S218" s="62" t="e">
        <f>R218*#REF!</f>
        <v>#REF!</v>
      </c>
      <c r="T218" s="62" t="e">
        <f>S218*#REF!</f>
        <v>#REF!</v>
      </c>
      <c r="U218" s="62" t="e">
        <f>T218*#REF!</f>
        <v>#REF!</v>
      </c>
      <c r="V218" s="62" t="e">
        <f>U218*#REF!</f>
        <v>#REF!</v>
      </c>
      <c r="W218" s="34"/>
      <c r="X218" s="1">
        <f>X214*$E$9</f>
        <v>18.739999999999998</v>
      </c>
      <c r="Y218" s="1">
        <f t="shared" ref="Y218:AA218" si="553">Y214*$E$9</f>
        <v>4.26</v>
      </c>
      <c r="Z218" s="1">
        <f t="shared" si="553"/>
        <v>1</v>
      </c>
      <c r="AA218" s="1">
        <f t="shared" si="553"/>
        <v>0.24</v>
      </c>
      <c r="AB218" s="34">
        <f>X218*VLOOKUP($B218,Types!$B$2:$D$13,3,FALSE)*Conv!$I$5*1000*365</f>
        <v>42.037210778119999</v>
      </c>
      <c r="AC218" s="34">
        <f>Y218*VLOOKUP($B218,Types!$B$2:$D$13,3,FALSE)*Conv!$I$5*1000*365</f>
        <v>9.5559507958799994</v>
      </c>
      <c r="AD218" s="34">
        <f>Z218*VLOOKUP($B218,Types!$B$2:$D$13,3,FALSE)*Conv!$I$5*1000*365</f>
        <v>2.2431809379999996</v>
      </c>
      <c r="AE218" s="34">
        <f>AA218*VLOOKUP($B218,Types!$B$2:$D$13,3,FALSE)*Conv!$I$5*1000*365</f>
        <v>0.53836342511999991</v>
      </c>
      <c r="AF218" s="34">
        <f>AB218-AB217</f>
        <v>16.814884311248001</v>
      </c>
      <c r="AG218" s="34">
        <f t="shared" ref="AG218:AI218" si="554">AC218-AC217</f>
        <v>3.8223803183520006</v>
      </c>
      <c r="AH218" s="34">
        <f t="shared" si="554"/>
        <v>0.89727237519999958</v>
      </c>
      <c r="AI218" s="34">
        <f t="shared" si="554"/>
        <v>0.21534537004799992</v>
      </c>
      <c r="AJ218" s="34"/>
      <c r="AK218" s="34"/>
      <c r="AL218" s="34"/>
    </row>
    <row r="219" spans="1:38">
      <c r="A219" s="1" t="str">
        <f>'Agg prdcrv'!$A$10</f>
        <v>Low Sulfur Fuel Oil</v>
      </c>
      <c r="B219" s="1" t="str">
        <f>VLOOKUP($A219,Types!$A$2:$C$13,2,FALSE)</f>
        <v>RFL</v>
      </c>
      <c r="C219" s="1">
        <v>3</v>
      </c>
      <c r="D219" s="1">
        <v>4</v>
      </c>
      <c r="E219" s="1" t="str">
        <f t="shared" si="498"/>
        <v>IMPRFLP43</v>
      </c>
      <c r="F219" s="1" t="str">
        <f>CONCATENATE("Imported ",VLOOKUP($A219,Types!$A$2:$C$13,3,FALSE),", PADD ",D219,", Step ",RIGHT(C219,1))</f>
        <v>Imported Low Sulfur Residual Fuel Oil, PADD 4, Step 3</v>
      </c>
      <c r="G219" s="1" t="str">
        <f>CONCATENATE(VLOOKUP($A219,Types!$A$2:$C$13,2,FALSE),"P",D219)</f>
        <v>RFLP4</v>
      </c>
      <c r="H219" s="61">
        <f>SUMIFS('Agg prdcrv NYC'!$O$6:$O$100,'Agg prdcrv NYC'!$A$6:$A$100,'Imp Refined NYC'!$A219,'Agg prdcrv NYC'!$B$6:$B$100,H$11)*K4</f>
        <v>42.273000000000003</v>
      </c>
      <c r="I219" s="61">
        <f>SUMIFS('Agg prdcrv NYC'!$O$6:$O$100,'Agg prdcrv NYC'!$A$6:$A$100,'Imp Refined NYC'!$A219,'Agg prdcrv NYC'!$B$6:$B$100,I$11)*K4</f>
        <v>36.817</v>
      </c>
      <c r="J219" s="61">
        <f t="array" ref="J219">SUMIFS('Agg prdcrv NYC'!$O$6:$O$100,'Agg prdcrv NYC'!$A$6:$A$100,'Imp Refined NYC'!$A219,'Agg prdcrv NYC'!$B$6:$B$100,J$11)</f>
        <v>28.46</v>
      </c>
      <c r="K219" s="61">
        <f t="array" ref="K219">SUMIFS('Agg prdcrv NYC'!$O$6:$O$100,'Agg prdcrv NYC'!$A$6:$A$100,'Imp Refined NYC'!$A219,'Agg prdcrv NYC'!$B$6:$B$100,K$11)</f>
        <v>31.37</v>
      </c>
      <c r="L219" s="62">
        <f>H219*Conv!$J$20/10^6/VLOOKUP($B219,Types!$B$2:$D$13,3,FALSE)/Conv!$I$5</f>
        <v>9.7792938141903605</v>
      </c>
      <c r="M219" s="62">
        <f>I219*Conv!$J$20/10^6/VLOOKUP($B219,Types!$B$2:$D$13,3,FALSE)/Conv!$I$5</f>
        <v>8.5171211022886126</v>
      </c>
      <c r="N219" s="62" t="e">
        <f>M219*#REF!</f>
        <v>#REF!</v>
      </c>
      <c r="O219" s="62" t="e">
        <f>N219*#REF!</f>
        <v>#REF!</v>
      </c>
      <c r="P219" s="62" t="e">
        <f>O219*#REF!</f>
        <v>#REF!</v>
      </c>
      <c r="Q219" s="62" t="e">
        <f>P219*#REF!</f>
        <v>#REF!</v>
      </c>
      <c r="R219" s="62" t="e">
        <f>Q219*#REF!</f>
        <v>#REF!</v>
      </c>
      <c r="S219" s="62" t="e">
        <f>R219*#REF!</f>
        <v>#REF!</v>
      </c>
      <c r="T219" s="62" t="e">
        <f>S219*#REF!</f>
        <v>#REF!</v>
      </c>
      <c r="U219" s="62" t="e">
        <f>T219*#REF!</f>
        <v>#REF!</v>
      </c>
      <c r="V219" s="62" t="e">
        <f>U219*#REF!</f>
        <v>#REF!</v>
      </c>
      <c r="W219" s="34"/>
      <c r="X219" s="1">
        <f t="array" ref="X219">SUMIFS('Agg prdcrv NYC'!$G$6:$G$100,'Agg prdcrv NYC'!$A$6:$A$100,'Imp Refined NYC'!$A219,'Agg prdcrv NYC'!$B$6:$B$100,X$11)</f>
        <v>0</v>
      </c>
      <c r="Y219" s="1">
        <f t="array" ref="Y219">SUMIFS('Agg prdcrv NYC'!$G$6:$G$100,'Agg prdcrv NYC'!$A$6:$A$100,'Imp Refined NYC'!$A219,'Agg prdcrv NYC'!$B$6:$B$100,Y$11)</f>
        <v>0</v>
      </c>
      <c r="Z219" s="1">
        <f t="array" ref="Z219">SUMIFS('Agg prdcrv NYC'!$G$6:$G$100,'Agg prdcrv NYC'!$A$6:$A$100,'Imp Refined NYC'!$A219,'Agg prdcrv NYC'!$B$6:$B$100,Z$11)</f>
        <v>0</v>
      </c>
      <c r="AA219" s="1">
        <f t="array" ref="AA219">SUMIFS('Agg prdcrv NYC'!$G$6:$G$100,'Agg prdcrv NYC'!$A$6:$A$100,'Imp Refined NYC'!$A219,'Agg prdcrv NYC'!$B$6:$B$100,AA$11)</f>
        <v>0</v>
      </c>
      <c r="AB219" s="34">
        <f>X219*VLOOKUP($B219,Types!$B$2:$D$13,3,FALSE)*Conv!$I$5*1000*365</f>
        <v>0</v>
      </c>
      <c r="AC219" s="34">
        <f>Y219*VLOOKUP($B219,Types!$B$2:$D$13,3,FALSE)*Conv!$I$5*1000*365</f>
        <v>0</v>
      </c>
      <c r="AD219" s="34">
        <f>Z219*VLOOKUP($B219,Types!$B$2:$D$13,3,FALSE)*Conv!$I$5*1000*365</f>
        <v>0</v>
      </c>
      <c r="AE219" s="34">
        <f>AA219*VLOOKUP($B219,Types!$B$2:$D$13,3,FALSE)*Conv!$I$5*1000*365</f>
        <v>0</v>
      </c>
      <c r="AF219" s="34">
        <f>AB219-AB221</f>
        <v>0</v>
      </c>
      <c r="AG219" s="34">
        <f t="shared" ref="AG219:AI219" si="555">AC219-AC221</f>
        <v>0</v>
      </c>
      <c r="AH219" s="34">
        <f t="shared" si="555"/>
        <v>0</v>
      </c>
      <c r="AI219" s="34">
        <f t="shared" si="555"/>
        <v>0</v>
      </c>
      <c r="AJ219" s="34"/>
      <c r="AK219" s="34"/>
      <c r="AL219" s="34"/>
    </row>
    <row r="220" spans="1:38">
      <c r="A220" s="1" t="str">
        <f>A219</f>
        <v>Low Sulfur Fuel Oil</v>
      </c>
      <c r="B220" s="1" t="str">
        <f>VLOOKUP($A220,Types!$A$2:$C$13,2,FALSE)</f>
        <v>RFL</v>
      </c>
      <c r="C220" s="1">
        <v>1</v>
      </c>
      <c r="D220" s="1">
        <v>4</v>
      </c>
      <c r="E220" s="1" t="str">
        <f t="shared" si="498"/>
        <v>IMPRFLP41</v>
      </c>
      <c r="F220" s="1" t="str">
        <f>CONCATENATE("Imported ",VLOOKUP($A220,Types!$A$2:$C$13,3,FALSE),", PADD ",D220,", Step ",RIGHT(C220,1))</f>
        <v>Imported Low Sulfur Residual Fuel Oil, PADD 4, Step 1</v>
      </c>
      <c r="G220" s="1" t="str">
        <f>CONCATENATE(VLOOKUP($A220,Types!$A$2:$C$13,2,FALSE),"P",D220)</f>
        <v>RFLP4</v>
      </c>
      <c r="H220" s="61">
        <f>H219*$C$5</f>
        <v>40.159350000000003</v>
      </c>
      <c r="I220" s="61">
        <f t="shared" ref="I220:K220" si="556">I219*$C$5</f>
        <v>34.976149999999997</v>
      </c>
      <c r="J220" s="61">
        <f t="shared" si="556"/>
        <v>27.036999999999999</v>
      </c>
      <c r="K220" s="61">
        <f t="shared" si="556"/>
        <v>29.801500000000001</v>
      </c>
      <c r="L220" s="62">
        <f>H220*Conv!$J$20/10^6/VLOOKUP($B220,Types!$B$2:$D$13,3,FALSE)/Conv!$I$5</f>
        <v>9.2903291234808432</v>
      </c>
      <c r="M220" s="62">
        <f>I220*Conv!$J$20/10^6/VLOOKUP($B220,Types!$B$2:$D$13,3,FALSE)/Conv!$I$5</f>
        <v>8.0912650471741809</v>
      </c>
      <c r="N220" s="62" t="e">
        <f>M220*#REF!</f>
        <v>#REF!</v>
      </c>
      <c r="O220" s="62" t="e">
        <f>N220*#REF!</f>
        <v>#REF!</v>
      </c>
      <c r="P220" s="62" t="e">
        <f>O220*#REF!</f>
        <v>#REF!</v>
      </c>
      <c r="Q220" s="62" t="e">
        <f>P220*#REF!</f>
        <v>#REF!</v>
      </c>
      <c r="R220" s="62" t="e">
        <f>Q220*#REF!</f>
        <v>#REF!</v>
      </c>
      <c r="S220" s="62" t="e">
        <f>R220*#REF!</f>
        <v>#REF!</v>
      </c>
      <c r="T220" s="62" t="e">
        <f>S220*#REF!</f>
        <v>#REF!</v>
      </c>
      <c r="U220" s="62" t="e">
        <f>T220*#REF!</f>
        <v>#REF!</v>
      </c>
      <c r="V220" s="62" t="e">
        <f>U220*#REF!</f>
        <v>#REF!</v>
      </c>
      <c r="W220" s="34"/>
      <c r="X220" s="1">
        <f>X219*$E$5</f>
        <v>0</v>
      </c>
      <c r="Y220" s="1">
        <f t="shared" ref="Y220:AA220" si="557">Y219*$E$5</f>
        <v>0</v>
      </c>
      <c r="Z220" s="1">
        <f t="shared" si="557"/>
        <v>0</v>
      </c>
      <c r="AA220" s="1">
        <f t="shared" si="557"/>
        <v>0</v>
      </c>
      <c r="AB220" s="34">
        <f>X220*VLOOKUP($B220,Types!$B$2:$D$13,3,FALSE)*Conv!$I$5*1000*365</f>
        <v>0</v>
      </c>
      <c r="AC220" s="34">
        <f>Y220*VLOOKUP($B220,Types!$B$2:$D$13,3,FALSE)*Conv!$I$5*1000*365</f>
        <v>0</v>
      </c>
      <c r="AD220" s="34">
        <f>Z220*VLOOKUP($B220,Types!$B$2:$D$13,3,FALSE)*Conv!$I$5*1000*365</f>
        <v>0</v>
      </c>
      <c r="AE220" s="34">
        <f>AA220*VLOOKUP($B220,Types!$B$2:$D$13,3,FALSE)*Conv!$I$5*1000*365</f>
        <v>0</v>
      </c>
      <c r="AF220" s="34">
        <f>AB220</f>
        <v>0</v>
      </c>
      <c r="AG220" s="34">
        <f t="shared" ref="AG220:AI220" si="558">AC220</f>
        <v>0</v>
      </c>
      <c r="AH220" s="34">
        <f t="shared" si="558"/>
        <v>0</v>
      </c>
      <c r="AI220" s="34">
        <f t="shared" si="558"/>
        <v>0</v>
      </c>
      <c r="AJ220" s="34"/>
      <c r="AK220" s="34"/>
      <c r="AL220" s="34"/>
    </row>
    <row r="221" spans="1:38">
      <c r="A221" s="1" t="str">
        <f t="shared" ref="A221:A223" si="559">A220</f>
        <v>Low Sulfur Fuel Oil</v>
      </c>
      <c r="B221" s="1" t="str">
        <f>VLOOKUP($A221,Types!$A$2:$C$13,2,FALSE)</f>
        <v>RFL</v>
      </c>
      <c r="C221" s="1">
        <v>2</v>
      </c>
      <c r="D221" s="1">
        <v>4</v>
      </c>
      <c r="E221" s="1" t="str">
        <f t="shared" si="498"/>
        <v>IMPRFLP42</v>
      </c>
      <c r="F221" s="1" t="str">
        <f>CONCATENATE("Imported ",VLOOKUP($A221,Types!$A$2:$C$13,3,FALSE),", PADD ",D221,", Step ",RIGHT(C221,1))</f>
        <v>Imported Low Sulfur Residual Fuel Oil, PADD 4, Step 2</v>
      </c>
      <c r="G221" s="1" t="str">
        <f>CONCATENATE(VLOOKUP($A221,Types!$A$2:$C$13,2,FALSE),"P",D221)</f>
        <v>RFLP4</v>
      </c>
      <c r="H221" s="61">
        <f>H219*$C$6</f>
        <v>41.42754</v>
      </c>
      <c r="I221" s="61">
        <f t="shared" ref="I221:K221" si="560">I219*$C$6</f>
        <v>36.080660000000002</v>
      </c>
      <c r="J221" s="61">
        <f t="shared" si="560"/>
        <v>27.890799999999999</v>
      </c>
      <c r="K221" s="61">
        <f t="shared" si="560"/>
        <v>30.742599999999999</v>
      </c>
      <c r="L221" s="62">
        <f>H221*Conv!$J$20/10^6/VLOOKUP($B221,Types!$B$2:$D$13,3,FALSE)/Conv!$I$5</f>
        <v>9.5837079379065528</v>
      </c>
      <c r="M221" s="62">
        <f>I221*Conv!$J$20/10^6/VLOOKUP($B221,Types!$B$2:$D$13,3,FALSE)/Conv!$I$5</f>
        <v>8.3467786802428403</v>
      </c>
      <c r="N221" s="62" t="e">
        <f>M221*#REF!</f>
        <v>#REF!</v>
      </c>
      <c r="O221" s="62" t="e">
        <f>N221*#REF!</f>
        <v>#REF!</v>
      </c>
      <c r="P221" s="62" t="e">
        <f>O221*#REF!</f>
        <v>#REF!</v>
      </c>
      <c r="Q221" s="62" t="e">
        <f>P221*#REF!</f>
        <v>#REF!</v>
      </c>
      <c r="R221" s="62" t="e">
        <f>Q221*#REF!</f>
        <v>#REF!</v>
      </c>
      <c r="S221" s="62" t="e">
        <f>R221*#REF!</f>
        <v>#REF!</v>
      </c>
      <c r="T221" s="62" t="e">
        <f>S221*#REF!</f>
        <v>#REF!</v>
      </c>
      <c r="U221" s="62" t="e">
        <f>T221*#REF!</f>
        <v>#REF!</v>
      </c>
      <c r="V221" s="62" t="e">
        <f>U221*#REF!</f>
        <v>#REF!</v>
      </c>
      <c r="W221" s="34"/>
      <c r="X221" s="1">
        <f>X219*$E$6</f>
        <v>0</v>
      </c>
      <c r="Y221" s="1">
        <f t="shared" ref="Y221:AA221" si="561">Y219*$E$6</f>
        <v>0</v>
      </c>
      <c r="Z221" s="1">
        <f t="shared" si="561"/>
        <v>0</v>
      </c>
      <c r="AA221" s="1">
        <f t="shared" si="561"/>
        <v>0</v>
      </c>
      <c r="AB221" s="34">
        <f>X221*VLOOKUP($B221,Types!$B$2:$D$13,3,FALSE)*Conv!$I$5*1000*365</f>
        <v>0</v>
      </c>
      <c r="AC221" s="34">
        <f>Y221*VLOOKUP($B221,Types!$B$2:$D$13,3,FALSE)*Conv!$I$5*1000*365</f>
        <v>0</v>
      </c>
      <c r="AD221" s="34">
        <f>Z221*VLOOKUP($B221,Types!$B$2:$D$13,3,FALSE)*Conv!$I$5*1000*365</f>
        <v>0</v>
      </c>
      <c r="AE221" s="34">
        <f>AA221*VLOOKUP($B221,Types!$B$2:$D$13,3,FALSE)*Conv!$I$5*1000*365</f>
        <v>0</v>
      </c>
      <c r="AF221" s="34">
        <f>AB221-AF220</f>
        <v>0</v>
      </c>
      <c r="AG221" s="34">
        <f t="shared" ref="AG221:AI221" si="562">AC221-AG220</f>
        <v>0</v>
      </c>
      <c r="AH221" s="34">
        <f t="shared" si="562"/>
        <v>0</v>
      </c>
      <c r="AI221" s="34">
        <f t="shared" si="562"/>
        <v>0</v>
      </c>
      <c r="AJ221" s="34"/>
      <c r="AK221" s="34"/>
      <c r="AL221" s="34"/>
    </row>
    <row r="222" spans="1:38">
      <c r="A222" s="1" t="str">
        <f t="shared" si="559"/>
        <v>Low Sulfur Fuel Oil</v>
      </c>
      <c r="B222" s="1" t="str">
        <f>VLOOKUP($A222,Types!$A$2:$C$13,2,FALSE)</f>
        <v>RFL</v>
      </c>
      <c r="C222" s="1">
        <v>4</v>
      </c>
      <c r="D222" s="1">
        <v>4</v>
      </c>
      <c r="E222" s="1" t="str">
        <f t="shared" si="498"/>
        <v>IMPRFLP44</v>
      </c>
      <c r="F222" s="1" t="str">
        <f>CONCATENATE("Imported ",VLOOKUP($A222,Types!$A$2:$C$13,3,FALSE),", PADD ",D222,", Step ",RIGHT(C222,1))</f>
        <v>Imported Low Sulfur Residual Fuel Oil, PADD 4, Step 4</v>
      </c>
      <c r="G222" s="1" t="str">
        <f>CONCATENATE(VLOOKUP($A222,Types!$A$2:$C$13,2,FALSE),"P",D222)</f>
        <v>RFLP4</v>
      </c>
      <c r="H222" s="61">
        <f>H219*$C$8</f>
        <v>46.077570000000009</v>
      </c>
      <c r="I222" s="61">
        <f t="shared" ref="I222:K222" si="563">I219*$C$8</f>
        <v>40.13053</v>
      </c>
      <c r="J222" s="61">
        <f t="shared" si="563"/>
        <v>31.021400000000003</v>
      </c>
      <c r="K222" s="61">
        <f t="shared" si="563"/>
        <v>34.193300000000001</v>
      </c>
      <c r="L222" s="62">
        <f>H222*Conv!$J$20/10^6/VLOOKUP($B222,Types!$B$2:$D$13,3,FALSE)/Conv!$I$5</f>
        <v>10.659430257467495</v>
      </c>
      <c r="M222" s="62">
        <f>I222*Conv!$J$20/10^6/VLOOKUP($B222,Types!$B$2:$D$13,3,FALSE)/Conv!$I$5</f>
        <v>9.2836620014945854</v>
      </c>
      <c r="N222" s="62" t="e">
        <f>M222*#REF!</f>
        <v>#REF!</v>
      </c>
      <c r="O222" s="62" t="e">
        <f>N222*#REF!</f>
        <v>#REF!</v>
      </c>
      <c r="P222" s="62" t="e">
        <f>O222*#REF!</f>
        <v>#REF!</v>
      </c>
      <c r="Q222" s="62" t="e">
        <f>P222*#REF!</f>
        <v>#REF!</v>
      </c>
      <c r="R222" s="62" t="e">
        <f>Q222*#REF!</f>
        <v>#REF!</v>
      </c>
      <c r="S222" s="62" t="e">
        <f>R222*#REF!</f>
        <v>#REF!</v>
      </c>
      <c r="T222" s="62" t="e">
        <f>S222*#REF!</f>
        <v>#REF!</v>
      </c>
      <c r="U222" s="62" t="e">
        <f>T222*#REF!</f>
        <v>#REF!</v>
      </c>
      <c r="V222" s="62" t="e">
        <f>U222*#REF!</f>
        <v>#REF!</v>
      </c>
      <c r="W222" s="34"/>
      <c r="X222" s="1">
        <f>X219*$E$8</f>
        <v>0</v>
      </c>
      <c r="Y222" s="1">
        <f t="shared" ref="Y222:AA222" si="564">Y219*$E$8</f>
        <v>0</v>
      </c>
      <c r="Z222" s="1">
        <f t="shared" si="564"/>
        <v>0</v>
      </c>
      <c r="AA222" s="1">
        <f t="shared" si="564"/>
        <v>0</v>
      </c>
      <c r="AB222" s="34">
        <f>X222*VLOOKUP($B222,Types!$B$2:$D$13,3,FALSE)*Conv!$I$5*1000*365</f>
        <v>0</v>
      </c>
      <c r="AC222" s="34">
        <f>Y222*VLOOKUP($B222,Types!$B$2:$D$13,3,FALSE)*Conv!$I$5*1000*365</f>
        <v>0</v>
      </c>
      <c r="AD222" s="34">
        <f>Z222*VLOOKUP($B222,Types!$B$2:$D$13,3,FALSE)*Conv!$I$5*1000*365</f>
        <v>0</v>
      </c>
      <c r="AE222" s="34">
        <f>AA222*VLOOKUP($B222,Types!$B$2:$D$13,3,FALSE)*Conv!$I$5*1000*365</f>
        <v>0</v>
      </c>
      <c r="AF222" s="34">
        <f>AB222-AB219</f>
        <v>0</v>
      </c>
      <c r="AG222" s="34">
        <f t="shared" ref="AG222:AI222" si="565">AC222-AC219</f>
        <v>0</v>
      </c>
      <c r="AH222" s="34">
        <f t="shared" si="565"/>
        <v>0</v>
      </c>
      <c r="AI222" s="34">
        <f t="shared" si="565"/>
        <v>0</v>
      </c>
      <c r="AJ222" s="34"/>
      <c r="AK222" s="34"/>
      <c r="AL222" s="34"/>
    </row>
    <row r="223" spans="1:38">
      <c r="A223" s="1" t="str">
        <f t="shared" si="559"/>
        <v>Low Sulfur Fuel Oil</v>
      </c>
      <c r="B223" s="1" t="str">
        <f>VLOOKUP($A223,Types!$A$2:$C$13,2,FALSE)</f>
        <v>RFL</v>
      </c>
      <c r="C223" s="1">
        <v>5</v>
      </c>
      <c r="D223" s="1">
        <v>4</v>
      </c>
      <c r="E223" s="1" t="str">
        <f t="shared" si="498"/>
        <v>IMPRFLP45</v>
      </c>
      <c r="F223" s="1" t="str">
        <f>CONCATENATE("Imported ",VLOOKUP($A223,Types!$A$2:$C$13,3,FALSE),", PADD ",D223,", Step ",RIGHT(C223,1))</f>
        <v>Imported Low Sulfur Residual Fuel Oil, PADD 4, Step 5</v>
      </c>
      <c r="G223" s="1" t="str">
        <f>CONCATENATE(VLOOKUP($A223,Types!$A$2:$C$13,2,FALSE),"P",D223)</f>
        <v>RFLP4</v>
      </c>
      <c r="H223" s="61">
        <f>H219*$C$9</f>
        <v>54.954900000000009</v>
      </c>
      <c r="I223" s="61">
        <f t="shared" ref="I223:K223" si="566">I219*$C$9</f>
        <v>47.862100000000005</v>
      </c>
      <c r="J223" s="61">
        <f t="shared" si="566"/>
        <v>36.998000000000005</v>
      </c>
      <c r="K223" s="61">
        <f t="shared" si="566"/>
        <v>40.781000000000006</v>
      </c>
      <c r="L223" s="62">
        <f>H223*Conv!$J$20/10^6/VLOOKUP($B223,Types!$B$2:$D$13,3,FALSE)/Conv!$I$5</f>
        <v>12.71308195844747</v>
      </c>
      <c r="M223" s="62">
        <f>I223*Conv!$J$20/10^6/VLOOKUP($B223,Types!$B$2:$D$13,3,FALSE)/Conv!$I$5</f>
        <v>11.072257432975196</v>
      </c>
      <c r="N223" s="62" t="e">
        <f>M223*#REF!</f>
        <v>#REF!</v>
      </c>
      <c r="O223" s="62" t="e">
        <f>N223*#REF!</f>
        <v>#REF!</v>
      </c>
      <c r="P223" s="62" t="e">
        <f>O223*#REF!</f>
        <v>#REF!</v>
      </c>
      <c r="Q223" s="62" t="e">
        <f>P223*#REF!</f>
        <v>#REF!</v>
      </c>
      <c r="R223" s="62" t="e">
        <f>Q223*#REF!</f>
        <v>#REF!</v>
      </c>
      <c r="S223" s="62" t="e">
        <f>R223*#REF!</f>
        <v>#REF!</v>
      </c>
      <c r="T223" s="62" t="e">
        <f>S223*#REF!</f>
        <v>#REF!</v>
      </c>
      <c r="U223" s="62" t="e">
        <f>T223*#REF!</f>
        <v>#REF!</v>
      </c>
      <c r="V223" s="62" t="e">
        <f>U223*#REF!</f>
        <v>#REF!</v>
      </c>
      <c r="W223" s="34"/>
      <c r="X223" s="1">
        <f>X219*$E$9</f>
        <v>0</v>
      </c>
      <c r="Y223" s="1">
        <f t="shared" ref="Y223:AA223" si="567">Y219*$E$9</f>
        <v>0</v>
      </c>
      <c r="Z223" s="1">
        <f t="shared" si="567"/>
        <v>0</v>
      </c>
      <c r="AA223" s="1">
        <f t="shared" si="567"/>
        <v>0</v>
      </c>
      <c r="AB223" s="34">
        <f>X223*VLOOKUP($B223,Types!$B$2:$D$13,3,FALSE)*Conv!$I$5*1000*365</f>
        <v>0</v>
      </c>
      <c r="AC223" s="34">
        <f>Y223*VLOOKUP($B223,Types!$B$2:$D$13,3,FALSE)*Conv!$I$5*1000*365</f>
        <v>0</v>
      </c>
      <c r="AD223" s="34">
        <f>Z223*VLOOKUP($B223,Types!$B$2:$D$13,3,FALSE)*Conv!$I$5*1000*365</f>
        <v>0</v>
      </c>
      <c r="AE223" s="34">
        <f>AA223*VLOOKUP($B223,Types!$B$2:$D$13,3,FALSE)*Conv!$I$5*1000*365</f>
        <v>0</v>
      </c>
      <c r="AF223" s="34">
        <f>AB223-AB222</f>
        <v>0</v>
      </c>
      <c r="AG223" s="34">
        <f t="shared" ref="AG223:AI223" si="568">AC223-AC222</f>
        <v>0</v>
      </c>
      <c r="AH223" s="34">
        <f t="shared" si="568"/>
        <v>0</v>
      </c>
      <c r="AI223" s="34">
        <f t="shared" si="568"/>
        <v>0</v>
      </c>
      <c r="AJ223" s="34"/>
      <c r="AK223" s="34"/>
      <c r="AL223" s="34"/>
    </row>
    <row r="224" spans="1:38">
      <c r="A224" s="1" t="str">
        <f>'Agg prdcrv'!$A$11</f>
        <v>High Sulfur Fuel Oil</v>
      </c>
      <c r="B224" s="1" t="str">
        <f>VLOOKUP($A224,Types!$A$2:$C$13,2,FALSE)</f>
        <v>RFH</v>
      </c>
      <c r="C224" s="1">
        <v>3</v>
      </c>
      <c r="D224" s="1">
        <v>4</v>
      </c>
      <c r="E224" s="1" t="str">
        <f t="shared" si="498"/>
        <v>IMPRFHP43</v>
      </c>
      <c r="F224" s="1" t="str">
        <f>CONCATENATE("Imported ",VLOOKUP($A224,Types!$A$2:$C$13,3,FALSE),", PADD ",D224,", Step ",RIGHT(C224,1))</f>
        <v>Imported High Sulfur Residual Fuel Oil, PADD 4, Step 3</v>
      </c>
      <c r="G224" s="1" t="str">
        <f>CONCATENATE(VLOOKUP($A224,Types!$A$2:$C$13,2,FALSE),"P",D224)</f>
        <v>RFHP4</v>
      </c>
      <c r="H224" s="61">
        <f>SUMIFS('Agg prdcrv NYC'!$O$6:$O$100,'Agg prdcrv NYC'!$A$6:$A$100,'Imp Refined NYC'!$A224,'Agg prdcrv NYC'!$B$6:$B$100,H$11)*K4</f>
        <v>40.854000000000006</v>
      </c>
      <c r="I224" s="61">
        <f>SUMIFS('Agg prdcrv NYC'!$O$6:$O$100,'Agg prdcrv NYC'!$A$6:$A$100,'Imp Refined NYC'!$A224,'Agg prdcrv NYC'!$B$6:$B$100,I$11)*K4</f>
        <v>36.091000000000008</v>
      </c>
      <c r="J224" s="61">
        <f t="array" ref="J224">SUMIFS('Agg prdcrv NYC'!$O$6:$O$100,'Agg prdcrv NYC'!$A$6:$A$100,'Imp Refined NYC'!$A224,'Agg prdcrv NYC'!$B$6:$B$100,J$11)</f>
        <v>28.39</v>
      </c>
      <c r="K224" s="61">
        <f t="array" ref="K224">SUMIFS('Agg prdcrv NYC'!$O$6:$O$100,'Agg prdcrv NYC'!$A$6:$A$100,'Imp Refined NYC'!$A224,'Agg prdcrv NYC'!$B$6:$B$100,K$11)</f>
        <v>31.39</v>
      </c>
      <c r="L224" s="62">
        <f>H224*Conv!$J$20/10^6/VLOOKUP($B224,Types!$B$2:$D$13,3,FALSE)/Conv!$I$5</f>
        <v>9.4510271209739809</v>
      </c>
      <c r="M224" s="62">
        <f>I224*Conv!$J$20/10^6/VLOOKUP($B224,Types!$B$2:$D$13,3,FALSE)/Conv!$I$5</f>
        <v>8.3491707011081395</v>
      </c>
      <c r="N224" s="62" t="e">
        <f>M224*#REF!</f>
        <v>#REF!</v>
      </c>
      <c r="O224" s="62" t="e">
        <f>N224*#REF!</f>
        <v>#REF!</v>
      </c>
      <c r="P224" s="62" t="e">
        <f>O224*#REF!</f>
        <v>#REF!</v>
      </c>
      <c r="Q224" s="62" t="e">
        <f>P224*#REF!</f>
        <v>#REF!</v>
      </c>
      <c r="R224" s="62" t="e">
        <f>Q224*#REF!</f>
        <v>#REF!</v>
      </c>
      <c r="S224" s="62" t="e">
        <f>R224*#REF!</f>
        <v>#REF!</v>
      </c>
      <c r="T224" s="62" t="e">
        <f>S224*#REF!</f>
        <v>#REF!</v>
      </c>
      <c r="U224" s="62" t="e">
        <f>T224*#REF!</f>
        <v>#REF!</v>
      </c>
      <c r="V224" s="62" t="e">
        <f>U224*#REF!</f>
        <v>#REF!</v>
      </c>
      <c r="W224" s="34"/>
      <c r="X224" s="1">
        <f t="array" ref="X224">SUMIFS('Agg prdcrv NYC'!$G$6:$G$100,'Agg prdcrv NYC'!$A$6:$A$100,'Imp Refined NYC'!$A224,'Agg prdcrv NYC'!$B$6:$B$100,X$11)</f>
        <v>0</v>
      </c>
      <c r="Y224" s="1">
        <f t="array" ref="Y224">SUMIFS('Agg prdcrv NYC'!$G$6:$G$100,'Agg prdcrv NYC'!$A$6:$A$100,'Imp Refined NYC'!$A224,'Agg prdcrv NYC'!$B$6:$B$100,Y$11)</f>
        <v>0</v>
      </c>
      <c r="Z224" s="1">
        <f t="array" ref="Z224">SUMIFS('Agg prdcrv NYC'!$G$6:$G$100,'Agg prdcrv NYC'!$A$6:$A$100,'Imp Refined NYC'!$A224,'Agg prdcrv NYC'!$B$6:$B$100,Z$11)</f>
        <v>0</v>
      </c>
      <c r="AA224" s="1">
        <f t="array" ref="AA224">SUMIFS('Agg prdcrv NYC'!$G$6:$G$100,'Agg prdcrv NYC'!$A$6:$A$100,'Imp Refined NYC'!$A224,'Agg prdcrv NYC'!$B$6:$B$100,AA$11)</f>
        <v>0</v>
      </c>
      <c r="AB224" s="34">
        <f>X224*VLOOKUP($B224,Types!$B$2:$D$13,3,FALSE)*Conv!$I$5*1000*365</f>
        <v>0</v>
      </c>
      <c r="AC224" s="34">
        <f>Y224*VLOOKUP($B224,Types!$B$2:$D$13,3,FALSE)*Conv!$I$5*1000*365</f>
        <v>0</v>
      </c>
      <c r="AD224" s="34">
        <f>Z224*VLOOKUP($B224,Types!$B$2:$D$13,3,FALSE)*Conv!$I$5*1000*365</f>
        <v>0</v>
      </c>
      <c r="AE224" s="34">
        <f>AA224*VLOOKUP($B224,Types!$B$2:$D$13,3,FALSE)*Conv!$I$5*1000*365</f>
        <v>0</v>
      </c>
      <c r="AF224" s="34">
        <f>AB224-AB226</f>
        <v>0</v>
      </c>
      <c r="AG224" s="34">
        <f t="shared" ref="AG224:AI224" si="569">AC224-AC226</f>
        <v>0</v>
      </c>
      <c r="AH224" s="34">
        <f t="shared" si="569"/>
        <v>0</v>
      </c>
      <c r="AI224" s="34">
        <f t="shared" si="569"/>
        <v>0</v>
      </c>
      <c r="AJ224" s="34"/>
      <c r="AK224" s="34"/>
      <c r="AL224" s="34"/>
    </row>
    <row r="225" spans="1:38">
      <c r="A225" s="1" t="str">
        <f>A224</f>
        <v>High Sulfur Fuel Oil</v>
      </c>
      <c r="B225" s="1" t="str">
        <f>VLOOKUP($A225,Types!$A$2:$C$13,2,FALSE)</f>
        <v>RFH</v>
      </c>
      <c r="C225" s="1">
        <v>1</v>
      </c>
      <c r="D225" s="1">
        <v>4</v>
      </c>
      <c r="E225" s="1" t="str">
        <f t="shared" si="498"/>
        <v>IMPRFHP41</v>
      </c>
      <c r="F225" s="1" t="str">
        <f>CONCATENATE("Imported ",VLOOKUP($A225,Types!$A$2:$C$13,3,FALSE),", PADD ",D225,", Step ",RIGHT(C225,1))</f>
        <v>Imported High Sulfur Residual Fuel Oil, PADD 4, Step 1</v>
      </c>
      <c r="G225" s="1" t="str">
        <f>CONCATENATE(VLOOKUP($A225,Types!$A$2:$C$13,2,FALSE),"P",D225)</f>
        <v>RFHP4</v>
      </c>
      <c r="H225" s="61">
        <f>H224*$C$5</f>
        <v>38.811300000000003</v>
      </c>
      <c r="I225" s="61">
        <f t="shared" ref="I225:K225" si="570">I224*$C$5</f>
        <v>34.286450000000009</v>
      </c>
      <c r="J225" s="61">
        <f t="shared" si="570"/>
        <v>26.970499999999998</v>
      </c>
      <c r="K225" s="61">
        <f t="shared" si="570"/>
        <v>29.820499999999999</v>
      </c>
      <c r="L225" s="62">
        <f>H225*Conv!$J$20/10^6/VLOOKUP($B225,Types!$B$2:$D$13,3,FALSE)/Conv!$I$5</f>
        <v>8.9784757649252818</v>
      </c>
      <c r="M225" s="62">
        <f>I225*Conv!$J$20/10^6/VLOOKUP($B225,Types!$B$2:$D$13,3,FALSE)/Conv!$I$5</f>
        <v>7.9317121660527317</v>
      </c>
      <c r="N225" s="62" t="e">
        <f>M225*#REF!</f>
        <v>#REF!</v>
      </c>
      <c r="O225" s="62" t="e">
        <f>N225*#REF!</f>
        <v>#REF!</v>
      </c>
      <c r="P225" s="62" t="e">
        <f>O225*#REF!</f>
        <v>#REF!</v>
      </c>
      <c r="Q225" s="62" t="e">
        <f>P225*#REF!</f>
        <v>#REF!</v>
      </c>
      <c r="R225" s="62" t="e">
        <f>Q225*#REF!</f>
        <v>#REF!</v>
      </c>
      <c r="S225" s="62" t="e">
        <f>R225*#REF!</f>
        <v>#REF!</v>
      </c>
      <c r="T225" s="62" t="e">
        <f>S225*#REF!</f>
        <v>#REF!</v>
      </c>
      <c r="U225" s="62" t="e">
        <f>T225*#REF!</f>
        <v>#REF!</v>
      </c>
      <c r="V225" s="62" t="e">
        <f>U225*#REF!</f>
        <v>#REF!</v>
      </c>
      <c r="W225" s="34"/>
      <c r="X225" s="1">
        <f>X224*$E$5</f>
        <v>0</v>
      </c>
      <c r="Y225" s="1">
        <f t="shared" ref="Y225:AA225" si="571">Y224*$E$5</f>
        <v>0</v>
      </c>
      <c r="Z225" s="1">
        <f t="shared" si="571"/>
        <v>0</v>
      </c>
      <c r="AA225" s="1">
        <f t="shared" si="571"/>
        <v>0</v>
      </c>
      <c r="AB225" s="34">
        <f>X225*VLOOKUP($B225,Types!$B$2:$D$13,3,FALSE)*Conv!$I$5*1000*365</f>
        <v>0</v>
      </c>
      <c r="AC225" s="34">
        <f>Y225*VLOOKUP($B225,Types!$B$2:$D$13,3,FALSE)*Conv!$I$5*1000*365</f>
        <v>0</v>
      </c>
      <c r="AD225" s="34">
        <f>Z225*VLOOKUP($B225,Types!$B$2:$D$13,3,FALSE)*Conv!$I$5*1000*365</f>
        <v>0</v>
      </c>
      <c r="AE225" s="34">
        <f>AA225*VLOOKUP($B225,Types!$B$2:$D$13,3,FALSE)*Conv!$I$5*1000*365</f>
        <v>0</v>
      </c>
      <c r="AF225" s="34">
        <f>AB225</f>
        <v>0</v>
      </c>
      <c r="AG225" s="34">
        <f t="shared" ref="AG225:AI225" si="572">AC225</f>
        <v>0</v>
      </c>
      <c r="AH225" s="34">
        <f t="shared" si="572"/>
        <v>0</v>
      </c>
      <c r="AI225" s="34">
        <f t="shared" si="572"/>
        <v>0</v>
      </c>
      <c r="AJ225" s="34"/>
      <c r="AK225" s="34"/>
      <c r="AL225" s="34"/>
    </row>
    <row r="226" spans="1:38">
      <c r="A226" s="1" t="str">
        <f t="shared" ref="A226:A228" si="573">A225</f>
        <v>High Sulfur Fuel Oil</v>
      </c>
      <c r="B226" s="1" t="str">
        <f>VLOOKUP($A226,Types!$A$2:$C$13,2,FALSE)</f>
        <v>RFH</v>
      </c>
      <c r="C226" s="1">
        <v>2</v>
      </c>
      <c r="D226" s="1">
        <v>4</v>
      </c>
      <c r="E226" s="1" t="str">
        <f t="shared" si="498"/>
        <v>IMPRFHP42</v>
      </c>
      <c r="F226" s="1" t="str">
        <f>CONCATENATE("Imported ",VLOOKUP($A226,Types!$A$2:$C$13,3,FALSE),", PADD ",D226,", Step ",RIGHT(C226,1))</f>
        <v>Imported High Sulfur Residual Fuel Oil, PADD 4, Step 2</v>
      </c>
      <c r="G226" s="1" t="str">
        <f>CONCATENATE(VLOOKUP($A226,Types!$A$2:$C$13,2,FALSE),"P",D226)</f>
        <v>RFHP4</v>
      </c>
      <c r="H226" s="61">
        <f>H224*$C$6</f>
        <v>40.036920000000002</v>
      </c>
      <c r="I226" s="61">
        <f t="shared" ref="I226:K226" si="574">I224*$C$6</f>
        <v>35.369180000000007</v>
      </c>
      <c r="J226" s="61">
        <f t="shared" si="574"/>
        <v>27.822199999999999</v>
      </c>
      <c r="K226" s="61">
        <f t="shared" si="574"/>
        <v>30.7622</v>
      </c>
      <c r="L226" s="62">
        <f>H226*Conv!$J$20/10^6/VLOOKUP($B226,Types!$B$2:$D$13,3,FALSE)/Conv!$I$5</f>
        <v>9.2620065785544998</v>
      </c>
      <c r="M226" s="62">
        <f>I226*Conv!$J$20/10^6/VLOOKUP($B226,Types!$B$2:$D$13,3,FALSE)/Conv!$I$5</f>
        <v>8.1821872870859753</v>
      </c>
      <c r="N226" s="62" t="e">
        <f>M226*#REF!</f>
        <v>#REF!</v>
      </c>
      <c r="O226" s="62" t="e">
        <f>N226*#REF!</f>
        <v>#REF!</v>
      </c>
      <c r="P226" s="62" t="e">
        <f>O226*#REF!</f>
        <v>#REF!</v>
      </c>
      <c r="Q226" s="62" t="e">
        <f>P226*#REF!</f>
        <v>#REF!</v>
      </c>
      <c r="R226" s="62" t="e">
        <f>Q226*#REF!</f>
        <v>#REF!</v>
      </c>
      <c r="S226" s="62" t="e">
        <f>R226*#REF!</f>
        <v>#REF!</v>
      </c>
      <c r="T226" s="62" t="e">
        <f>S226*#REF!</f>
        <v>#REF!</v>
      </c>
      <c r="U226" s="62" t="e">
        <f>T226*#REF!</f>
        <v>#REF!</v>
      </c>
      <c r="V226" s="62" t="e">
        <f>U226*#REF!</f>
        <v>#REF!</v>
      </c>
      <c r="W226" s="34"/>
      <c r="X226" s="1">
        <f>X224*$E$6</f>
        <v>0</v>
      </c>
      <c r="Y226" s="1">
        <f t="shared" ref="Y226:AA226" si="575">Y224*$E$6</f>
        <v>0</v>
      </c>
      <c r="Z226" s="1">
        <f t="shared" si="575"/>
        <v>0</v>
      </c>
      <c r="AA226" s="1">
        <f t="shared" si="575"/>
        <v>0</v>
      </c>
      <c r="AB226" s="34">
        <f>X226*VLOOKUP($B226,Types!$B$2:$D$13,3,FALSE)*Conv!$I$5*1000*365</f>
        <v>0</v>
      </c>
      <c r="AC226" s="34">
        <f>Y226*VLOOKUP($B226,Types!$B$2:$D$13,3,FALSE)*Conv!$I$5*1000*365</f>
        <v>0</v>
      </c>
      <c r="AD226" s="34">
        <f>Z226*VLOOKUP($B226,Types!$B$2:$D$13,3,FALSE)*Conv!$I$5*1000*365</f>
        <v>0</v>
      </c>
      <c r="AE226" s="34">
        <f>AA226*VLOOKUP($B226,Types!$B$2:$D$13,3,FALSE)*Conv!$I$5*1000*365</f>
        <v>0</v>
      </c>
      <c r="AF226" s="34">
        <f>AB226-AF225</f>
        <v>0</v>
      </c>
      <c r="AG226" s="34">
        <f t="shared" ref="AG226:AI226" si="576">AC226-AG225</f>
        <v>0</v>
      </c>
      <c r="AH226" s="34">
        <f t="shared" si="576"/>
        <v>0</v>
      </c>
      <c r="AI226" s="34">
        <f t="shared" si="576"/>
        <v>0</v>
      </c>
      <c r="AJ226" s="34"/>
      <c r="AK226" s="34"/>
      <c r="AL226" s="34"/>
    </row>
    <row r="227" spans="1:38">
      <c r="A227" s="1" t="str">
        <f t="shared" si="573"/>
        <v>High Sulfur Fuel Oil</v>
      </c>
      <c r="B227" s="1" t="str">
        <f>VLOOKUP($A227,Types!$A$2:$C$13,2,FALSE)</f>
        <v>RFH</v>
      </c>
      <c r="C227" s="1">
        <v>4</v>
      </c>
      <c r="D227" s="1">
        <v>4</v>
      </c>
      <c r="E227" s="1" t="str">
        <f t="shared" si="498"/>
        <v>IMPRFHP44</v>
      </c>
      <c r="F227" s="1" t="str">
        <f>CONCATENATE("Imported ",VLOOKUP($A227,Types!$A$2:$C$13,3,FALSE),", PADD ",D227,", Step ",RIGHT(C227,1))</f>
        <v>Imported High Sulfur Residual Fuel Oil, PADD 4, Step 4</v>
      </c>
      <c r="G227" s="1" t="str">
        <f>CONCATENATE(VLOOKUP($A227,Types!$A$2:$C$13,2,FALSE),"P",D227)</f>
        <v>RFHP4</v>
      </c>
      <c r="H227" s="61">
        <f>H224*$C$8</f>
        <v>44.530860000000011</v>
      </c>
      <c r="I227" s="61">
        <f t="shared" ref="I227:K227" si="577">I224*$C$8</f>
        <v>39.339190000000009</v>
      </c>
      <c r="J227" s="61">
        <f t="shared" si="577"/>
        <v>30.945100000000004</v>
      </c>
      <c r="K227" s="61">
        <f t="shared" si="577"/>
        <v>34.2151</v>
      </c>
      <c r="L227" s="62">
        <f>H227*Conv!$J$20/10^6/VLOOKUP($B227,Types!$B$2:$D$13,3,FALSE)/Conv!$I$5</f>
        <v>10.30161956186164</v>
      </c>
      <c r="M227" s="62">
        <f>I227*Conv!$J$20/10^6/VLOOKUP($B227,Types!$B$2:$D$13,3,FALSE)/Conv!$I$5</f>
        <v>9.1005960642078705</v>
      </c>
      <c r="N227" s="62" t="e">
        <f>M227*#REF!</f>
        <v>#REF!</v>
      </c>
      <c r="O227" s="62" t="e">
        <f>N227*#REF!</f>
        <v>#REF!</v>
      </c>
      <c r="P227" s="62" t="e">
        <f>O227*#REF!</f>
        <v>#REF!</v>
      </c>
      <c r="Q227" s="62" t="e">
        <f>P227*#REF!</f>
        <v>#REF!</v>
      </c>
      <c r="R227" s="62" t="e">
        <f>Q227*#REF!</f>
        <v>#REF!</v>
      </c>
      <c r="S227" s="62" t="e">
        <f>R227*#REF!</f>
        <v>#REF!</v>
      </c>
      <c r="T227" s="62" t="e">
        <f>S227*#REF!</f>
        <v>#REF!</v>
      </c>
      <c r="U227" s="62" t="e">
        <f>T227*#REF!</f>
        <v>#REF!</v>
      </c>
      <c r="V227" s="62" t="e">
        <f>U227*#REF!</f>
        <v>#REF!</v>
      </c>
      <c r="W227" s="34"/>
      <c r="X227" s="1">
        <f>X224*$E$8</f>
        <v>0</v>
      </c>
      <c r="Y227" s="1">
        <f t="shared" ref="Y227:AA227" si="578">Y224*$E$8</f>
        <v>0</v>
      </c>
      <c r="Z227" s="1">
        <f t="shared" si="578"/>
        <v>0</v>
      </c>
      <c r="AA227" s="1">
        <f t="shared" si="578"/>
        <v>0</v>
      </c>
      <c r="AB227" s="34">
        <f>X227*VLOOKUP($B227,Types!$B$2:$D$13,3,FALSE)*Conv!$I$5*1000*365</f>
        <v>0</v>
      </c>
      <c r="AC227" s="34">
        <f>Y227*VLOOKUP($B227,Types!$B$2:$D$13,3,FALSE)*Conv!$I$5*1000*365</f>
        <v>0</v>
      </c>
      <c r="AD227" s="34">
        <f>Z227*VLOOKUP($B227,Types!$B$2:$D$13,3,FALSE)*Conv!$I$5*1000*365</f>
        <v>0</v>
      </c>
      <c r="AE227" s="34">
        <f>AA227*VLOOKUP($B227,Types!$B$2:$D$13,3,FALSE)*Conv!$I$5*1000*365</f>
        <v>0</v>
      </c>
      <c r="AF227" s="34">
        <f>AB227-AB224</f>
        <v>0</v>
      </c>
      <c r="AG227" s="34">
        <f t="shared" ref="AG227:AI227" si="579">AC227-AC224</f>
        <v>0</v>
      </c>
      <c r="AH227" s="34">
        <f t="shared" si="579"/>
        <v>0</v>
      </c>
      <c r="AI227" s="34">
        <f t="shared" si="579"/>
        <v>0</v>
      </c>
      <c r="AJ227" s="34"/>
      <c r="AK227" s="34"/>
      <c r="AL227" s="34"/>
    </row>
    <row r="228" spans="1:38">
      <c r="A228" s="1" t="str">
        <f t="shared" si="573"/>
        <v>High Sulfur Fuel Oil</v>
      </c>
      <c r="B228" s="1" t="str">
        <f>VLOOKUP($A228,Types!$A$2:$C$13,2,FALSE)</f>
        <v>RFH</v>
      </c>
      <c r="C228" s="1">
        <v>5</v>
      </c>
      <c r="D228" s="1">
        <v>4</v>
      </c>
      <c r="E228" s="1" t="str">
        <f t="shared" si="498"/>
        <v>IMPRFHP45</v>
      </c>
      <c r="F228" s="1" t="str">
        <f>CONCATENATE("Imported ",VLOOKUP($A228,Types!$A$2:$C$13,3,FALSE),", PADD ",D228,", Step ",RIGHT(C228,1))</f>
        <v>Imported High Sulfur Residual Fuel Oil, PADD 4, Step 5</v>
      </c>
      <c r="G228" s="1" t="str">
        <f>CONCATENATE(VLOOKUP($A228,Types!$A$2:$C$13,2,FALSE),"P",D228)</f>
        <v>RFHP4</v>
      </c>
      <c r="H228" s="61">
        <f>H224*$C$9</f>
        <v>53.110200000000013</v>
      </c>
      <c r="I228" s="61">
        <f t="shared" ref="I228:K228" si="580">I224*$C$9</f>
        <v>46.918300000000009</v>
      </c>
      <c r="J228" s="61">
        <f t="shared" si="580"/>
        <v>36.907000000000004</v>
      </c>
      <c r="K228" s="61">
        <f t="shared" si="580"/>
        <v>40.807000000000002</v>
      </c>
      <c r="L228" s="62">
        <f>H228*Conv!$J$20/10^6/VLOOKUP($B228,Types!$B$2:$D$13,3,FALSE)/Conv!$I$5</f>
        <v>12.286335257266176</v>
      </c>
      <c r="M228" s="62">
        <f>I228*Conv!$J$20/10^6/VLOOKUP($B228,Types!$B$2:$D$13,3,FALSE)/Conv!$I$5</f>
        <v>10.85392191144058</v>
      </c>
      <c r="N228" s="62" t="e">
        <f>M228*#REF!</f>
        <v>#REF!</v>
      </c>
      <c r="O228" s="62" t="e">
        <f>N228*#REF!</f>
        <v>#REF!</v>
      </c>
      <c r="P228" s="62" t="e">
        <f>O228*#REF!</f>
        <v>#REF!</v>
      </c>
      <c r="Q228" s="62" t="e">
        <f>P228*#REF!</f>
        <v>#REF!</v>
      </c>
      <c r="R228" s="62" t="e">
        <f>Q228*#REF!</f>
        <v>#REF!</v>
      </c>
      <c r="S228" s="62" t="e">
        <f>R228*#REF!</f>
        <v>#REF!</v>
      </c>
      <c r="T228" s="62" t="e">
        <f>S228*#REF!</f>
        <v>#REF!</v>
      </c>
      <c r="U228" s="62" t="e">
        <f>T228*#REF!</f>
        <v>#REF!</v>
      </c>
      <c r="V228" s="62" t="e">
        <f>U228*#REF!</f>
        <v>#REF!</v>
      </c>
      <c r="W228" s="34"/>
      <c r="X228" s="1">
        <f>X224*$E$9</f>
        <v>0</v>
      </c>
      <c r="Y228" s="1">
        <f t="shared" ref="Y228:AA228" si="581">Y224*$E$9</f>
        <v>0</v>
      </c>
      <c r="Z228" s="1">
        <f t="shared" si="581"/>
        <v>0</v>
      </c>
      <c r="AA228" s="1">
        <f t="shared" si="581"/>
        <v>0</v>
      </c>
      <c r="AB228" s="34">
        <f>X228*VLOOKUP($B228,Types!$B$2:$D$13,3,FALSE)*Conv!$I$5*1000*365</f>
        <v>0</v>
      </c>
      <c r="AC228" s="34">
        <f>Y228*VLOOKUP($B228,Types!$B$2:$D$13,3,FALSE)*Conv!$I$5*1000*365</f>
        <v>0</v>
      </c>
      <c r="AD228" s="34">
        <f>Z228*VLOOKUP($B228,Types!$B$2:$D$13,3,FALSE)*Conv!$I$5*1000*365</f>
        <v>0</v>
      </c>
      <c r="AE228" s="34">
        <f>AA228*VLOOKUP($B228,Types!$B$2:$D$13,3,FALSE)*Conv!$I$5*1000*365</f>
        <v>0</v>
      </c>
      <c r="AF228" s="34">
        <f>AB228-AB227</f>
        <v>0</v>
      </c>
      <c r="AG228" s="34">
        <f t="shared" ref="AG228:AI228" si="582">AC228-AC227</f>
        <v>0</v>
      </c>
      <c r="AH228" s="34">
        <f t="shared" si="582"/>
        <v>0</v>
      </c>
      <c r="AI228" s="34">
        <f t="shared" si="582"/>
        <v>0</v>
      </c>
      <c r="AJ228" s="34"/>
      <c r="AK228" s="34"/>
      <c r="AL228" s="34"/>
    </row>
    <row r="229" spans="1:38">
      <c r="A229" s="1" t="str">
        <f>'Agg prdcrv'!$A$12</f>
        <v>Jet Fuel</v>
      </c>
      <c r="B229" s="1" t="str">
        <f>VLOOKUP($A229,Types!$A$2:$C$13,2,FALSE)</f>
        <v>JTF</v>
      </c>
      <c r="C229" s="1">
        <v>3</v>
      </c>
      <c r="D229" s="1">
        <v>4</v>
      </c>
      <c r="E229" s="1" t="str">
        <f t="shared" si="498"/>
        <v>IMPJTFP43</v>
      </c>
      <c r="F229" s="1" t="str">
        <f>CONCATENATE("Imported ",VLOOKUP($A229,Types!$A$2:$C$13,3,FALSE),", PADD ",D229,", Step ",RIGHT(C229,1))</f>
        <v>Imported Jet Fuel, PADD 4, Step 3</v>
      </c>
      <c r="G229" s="1" t="str">
        <f>CONCATENATE(VLOOKUP($A229,Types!$A$2:$C$13,2,FALSE),"P",D229)</f>
        <v>JTFP4</v>
      </c>
      <c r="H229" s="61">
        <f>SUMIFS('Agg prdcrv NYC'!$O$6:$O$100,'Agg prdcrv NYC'!$A$6:$A$100,'Imp Refined NYC'!$A229,'Agg prdcrv NYC'!$B$6:$B$100,H$11)*K4</f>
        <v>61.27000000000001</v>
      </c>
      <c r="I229" s="61">
        <f>SUMIFS('Agg prdcrv NYC'!$O$6:$O$100,'Agg prdcrv NYC'!$A$6:$A$100,'Imp Refined NYC'!$A229,'Agg prdcrv NYC'!$B$6:$B$100,I$11)*K4</f>
        <v>43.933999999999997</v>
      </c>
      <c r="J229" s="61">
        <f t="array" ref="J229">SUMIFS('Agg prdcrv NYC'!$O$6:$O$100,'Agg prdcrv NYC'!$A$6:$A$100,'Imp Refined NYC'!$A229,'Agg prdcrv NYC'!$B$6:$B$100,J$11)</f>
        <v>37.049999999999997</v>
      </c>
      <c r="K229" s="61">
        <f t="array" ref="K229">SUMIFS('Agg prdcrv NYC'!$O$6:$O$100,'Agg prdcrv NYC'!$A$6:$A$100,'Imp Refined NYC'!$A229,'Agg prdcrv NYC'!$B$6:$B$100,K$11)</f>
        <v>38.42</v>
      </c>
      <c r="L229" s="62">
        <f>H229*Conv!$J$20/10^6/VLOOKUP($B229,Types!$B$2:$D$13,3,FALSE)/Conv!$I$5</f>
        <v>15.716386722448176</v>
      </c>
      <c r="M229" s="62">
        <f>I229*Conv!$J$20/10^6/VLOOKUP($B229,Types!$B$2:$D$13,3,FALSE)/Conv!$I$5</f>
        <v>11.269523980154039</v>
      </c>
      <c r="N229" s="62" t="e">
        <f>M229*#REF!</f>
        <v>#REF!</v>
      </c>
      <c r="O229" s="62" t="e">
        <f>N229*#REF!</f>
        <v>#REF!</v>
      </c>
      <c r="P229" s="62" t="e">
        <f>O229*#REF!</f>
        <v>#REF!</v>
      </c>
      <c r="Q229" s="62" t="e">
        <f>P229*#REF!</f>
        <v>#REF!</v>
      </c>
      <c r="R229" s="62" t="e">
        <f>Q229*#REF!</f>
        <v>#REF!</v>
      </c>
      <c r="S229" s="62" t="e">
        <f>R229*#REF!</f>
        <v>#REF!</v>
      </c>
      <c r="T229" s="62" t="e">
        <f>S229*#REF!</f>
        <v>#REF!</v>
      </c>
      <c r="U229" s="62" t="e">
        <f>T229*#REF!</f>
        <v>#REF!</v>
      </c>
      <c r="V229" s="62" t="e">
        <f>U229*#REF!</f>
        <v>#REF!</v>
      </c>
      <c r="W229" s="34"/>
      <c r="X229" s="1">
        <f t="array" ref="X229">SUMIFS('Agg prdcrv NYC'!$G$6:$G$100,'Agg prdcrv NYC'!$A$6:$A$100,'Imp Refined NYC'!$A229,'Agg prdcrv NYC'!$B$6:$B$100,X$11)</f>
        <v>0.43</v>
      </c>
      <c r="Y229" s="1">
        <f t="array" ref="Y229">SUMIFS('Agg prdcrv NYC'!$G$6:$G$100,'Agg prdcrv NYC'!$A$6:$A$100,'Imp Refined NYC'!$A229,'Agg prdcrv NYC'!$B$6:$B$100,Y$11)</f>
        <v>0</v>
      </c>
      <c r="Z229" s="1">
        <f t="array" ref="Z229">SUMIFS('Agg prdcrv NYC'!$G$6:$G$100,'Agg prdcrv NYC'!$A$6:$A$100,'Imp Refined NYC'!$A229,'Agg prdcrv NYC'!$B$6:$B$100,Z$11)</f>
        <v>0</v>
      </c>
      <c r="AA229" s="1">
        <f t="array" ref="AA229">SUMIFS('Agg prdcrv NYC'!$G$6:$G$100,'Agg prdcrv NYC'!$A$6:$A$100,'Imp Refined NYC'!$A229,'Agg prdcrv NYC'!$B$6:$B$100,AA$11)</f>
        <v>0</v>
      </c>
      <c r="AB229" s="34">
        <f>X229*VLOOKUP($B229,Types!$B$2:$D$13,3,FALSE)*Conv!$I$5*1000*365</f>
        <v>0.93890119226399982</v>
      </c>
      <c r="AC229" s="34">
        <f>Y229*VLOOKUP($B229,Types!$B$2:$D$13,3,FALSE)*Conv!$I$5*1000*365</f>
        <v>0</v>
      </c>
      <c r="AD229" s="34">
        <f>Z229*VLOOKUP($B229,Types!$B$2:$D$13,3,FALSE)*Conv!$I$5*1000*365</f>
        <v>0</v>
      </c>
      <c r="AE229" s="34">
        <f>AA229*VLOOKUP($B229,Types!$B$2:$D$13,3,FALSE)*Conv!$I$5*1000*365</f>
        <v>0</v>
      </c>
      <c r="AF229" s="34">
        <f>AB229-AB231</f>
        <v>9.3890119226399893E-2</v>
      </c>
      <c r="AG229" s="34">
        <f t="shared" ref="AG229:AI229" si="583">AC229-AC231</f>
        <v>0</v>
      </c>
      <c r="AH229" s="34">
        <f t="shared" si="583"/>
        <v>0</v>
      </c>
      <c r="AI229" s="34">
        <f t="shared" si="583"/>
        <v>0</v>
      </c>
      <c r="AJ229" s="34"/>
      <c r="AK229" s="34"/>
      <c r="AL229" s="34"/>
    </row>
    <row r="230" spans="1:38">
      <c r="A230" s="1" t="str">
        <f>A229</f>
        <v>Jet Fuel</v>
      </c>
      <c r="B230" s="1" t="str">
        <f>VLOOKUP($A230,Types!$A$2:$C$13,2,FALSE)</f>
        <v>JTF</v>
      </c>
      <c r="C230" s="1">
        <v>1</v>
      </c>
      <c r="D230" s="1">
        <v>4</v>
      </c>
      <c r="E230" s="1" t="str">
        <f t="shared" si="498"/>
        <v>IMPJTFP41</v>
      </c>
      <c r="F230" s="1" t="str">
        <f>CONCATENATE("Imported ",VLOOKUP($A230,Types!$A$2:$C$13,3,FALSE),", PADD ",D230,", Step ",RIGHT(C230,1))</f>
        <v>Imported Jet Fuel, PADD 4, Step 1</v>
      </c>
      <c r="G230" s="1" t="str">
        <f>CONCATENATE(VLOOKUP($A230,Types!$A$2:$C$13,2,FALSE),"P",D230)</f>
        <v>JTFP4</v>
      </c>
      <c r="H230" s="61">
        <f>H229*$C$5</f>
        <v>58.206500000000005</v>
      </c>
      <c r="I230" s="61">
        <f t="shared" ref="I230:K230" si="584">I229*$C$5</f>
        <v>41.737299999999998</v>
      </c>
      <c r="J230" s="61">
        <f t="shared" si="584"/>
        <v>35.197499999999998</v>
      </c>
      <c r="K230" s="61">
        <f t="shared" si="584"/>
        <v>36.499000000000002</v>
      </c>
      <c r="L230" s="62">
        <f>H230*Conv!$J$20/10^6/VLOOKUP($B230,Types!$B$2:$D$13,3,FALSE)/Conv!$I$5</f>
        <v>14.930567386325764</v>
      </c>
      <c r="M230" s="62">
        <f>I230*Conv!$J$20/10^6/VLOOKUP($B230,Types!$B$2:$D$13,3,FALSE)/Conv!$I$5</f>
        <v>10.706047781146337</v>
      </c>
      <c r="N230" s="62" t="e">
        <f>M230*#REF!</f>
        <v>#REF!</v>
      </c>
      <c r="O230" s="62" t="e">
        <f>N230*#REF!</f>
        <v>#REF!</v>
      </c>
      <c r="P230" s="62" t="e">
        <f>O230*#REF!</f>
        <v>#REF!</v>
      </c>
      <c r="Q230" s="62" t="e">
        <f>P230*#REF!</f>
        <v>#REF!</v>
      </c>
      <c r="R230" s="62" t="e">
        <f>Q230*#REF!</f>
        <v>#REF!</v>
      </c>
      <c r="S230" s="62" t="e">
        <f>R230*#REF!</f>
        <v>#REF!</v>
      </c>
      <c r="T230" s="62" t="e">
        <f>S230*#REF!</f>
        <v>#REF!</v>
      </c>
      <c r="U230" s="62" t="e">
        <f>T230*#REF!</f>
        <v>#REF!</v>
      </c>
      <c r="V230" s="62" t="e">
        <f>U230*#REF!</f>
        <v>#REF!</v>
      </c>
      <c r="W230" s="34"/>
      <c r="X230" s="1">
        <f>X229*$E$5</f>
        <v>0.34400000000000003</v>
      </c>
      <c r="Y230" s="1">
        <f t="shared" ref="Y230:AA230" si="585">Y229*$E$5</f>
        <v>0</v>
      </c>
      <c r="Z230" s="1">
        <f t="shared" si="585"/>
        <v>0</v>
      </c>
      <c r="AA230" s="1">
        <f t="shared" si="585"/>
        <v>0</v>
      </c>
      <c r="AB230" s="34">
        <f>X230*VLOOKUP($B230,Types!$B$2:$D$13,3,FALSE)*Conv!$I$5*1000*365</f>
        <v>0.75112095381120003</v>
      </c>
      <c r="AC230" s="34">
        <f>Y230*VLOOKUP($B230,Types!$B$2:$D$13,3,FALSE)*Conv!$I$5*1000*365</f>
        <v>0</v>
      </c>
      <c r="AD230" s="34">
        <f>Z230*VLOOKUP($B230,Types!$B$2:$D$13,3,FALSE)*Conv!$I$5*1000*365</f>
        <v>0</v>
      </c>
      <c r="AE230" s="34">
        <f>AA230*VLOOKUP($B230,Types!$B$2:$D$13,3,FALSE)*Conv!$I$5*1000*365</f>
        <v>0</v>
      </c>
      <c r="AF230" s="34">
        <f>AB230</f>
        <v>0.75112095381120003</v>
      </c>
      <c r="AG230" s="34">
        <f t="shared" ref="AG230:AI230" si="586">AC230</f>
        <v>0</v>
      </c>
      <c r="AH230" s="34">
        <f t="shared" si="586"/>
        <v>0</v>
      </c>
      <c r="AI230" s="34">
        <f t="shared" si="586"/>
        <v>0</v>
      </c>
      <c r="AJ230" s="34"/>
      <c r="AK230" s="34"/>
      <c r="AL230" s="34"/>
    </row>
    <row r="231" spans="1:38">
      <c r="A231" s="1" t="str">
        <f t="shared" ref="A231:A233" si="587">A230</f>
        <v>Jet Fuel</v>
      </c>
      <c r="B231" s="1" t="str">
        <f>VLOOKUP($A231,Types!$A$2:$C$13,2,FALSE)</f>
        <v>JTF</v>
      </c>
      <c r="C231" s="1">
        <v>2</v>
      </c>
      <c r="D231" s="1">
        <v>4</v>
      </c>
      <c r="E231" s="1" t="str">
        <f t="shared" si="498"/>
        <v>IMPJTFP42</v>
      </c>
      <c r="F231" s="1" t="str">
        <f>CONCATENATE("Imported ",VLOOKUP($A231,Types!$A$2:$C$13,3,FALSE),", PADD ",D231,", Step ",RIGHT(C231,1))</f>
        <v>Imported Jet Fuel, PADD 4, Step 2</v>
      </c>
      <c r="G231" s="1" t="str">
        <f>CONCATENATE(VLOOKUP($A231,Types!$A$2:$C$13,2,FALSE),"P",D231)</f>
        <v>JTFP4</v>
      </c>
      <c r="H231" s="61">
        <f>H229*$C$6</f>
        <v>60.04460000000001</v>
      </c>
      <c r="I231" s="61">
        <f t="shared" ref="I231:K231" si="588">I229*$C$6</f>
        <v>43.055319999999995</v>
      </c>
      <c r="J231" s="61">
        <f t="shared" si="588"/>
        <v>36.308999999999997</v>
      </c>
      <c r="K231" s="61">
        <f t="shared" si="588"/>
        <v>37.651600000000002</v>
      </c>
      <c r="L231" s="62">
        <f>H231*Conv!$J$20/10^6/VLOOKUP($B231,Types!$B$2:$D$13,3,FALSE)/Conv!$I$5</f>
        <v>15.40205898799921</v>
      </c>
      <c r="M231" s="62">
        <f>I231*Conv!$J$20/10^6/VLOOKUP($B231,Types!$B$2:$D$13,3,FALSE)/Conv!$I$5</f>
        <v>11.044133500550956</v>
      </c>
      <c r="N231" s="62" t="e">
        <f>M231*#REF!</f>
        <v>#REF!</v>
      </c>
      <c r="O231" s="62" t="e">
        <f>N231*#REF!</f>
        <v>#REF!</v>
      </c>
      <c r="P231" s="62" t="e">
        <f>O231*#REF!</f>
        <v>#REF!</v>
      </c>
      <c r="Q231" s="62" t="e">
        <f>P231*#REF!</f>
        <v>#REF!</v>
      </c>
      <c r="R231" s="62" t="e">
        <f>Q231*#REF!</f>
        <v>#REF!</v>
      </c>
      <c r="S231" s="62" t="e">
        <f>R231*#REF!</f>
        <v>#REF!</v>
      </c>
      <c r="T231" s="62" t="e">
        <f>S231*#REF!</f>
        <v>#REF!</v>
      </c>
      <c r="U231" s="62" t="e">
        <f>T231*#REF!</f>
        <v>#REF!</v>
      </c>
      <c r="V231" s="62" t="e">
        <f>U231*#REF!</f>
        <v>#REF!</v>
      </c>
      <c r="W231" s="34"/>
      <c r="X231" s="1">
        <f>X229*$E$6</f>
        <v>0.38700000000000001</v>
      </c>
      <c r="Y231" s="1">
        <f t="shared" ref="Y231:AA231" si="589">Y229*$E$6</f>
        <v>0</v>
      </c>
      <c r="Z231" s="1">
        <f t="shared" si="589"/>
        <v>0</v>
      </c>
      <c r="AA231" s="1">
        <f t="shared" si="589"/>
        <v>0</v>
      </c>
      <c r="AB231" s="34">
        <f>X231*VLOOKUP($B231,Types!$B$2:$D$13,3,FALSE)*Conv!$I$5*1000*365</f>
        <v>0.84501107303759992</v>
      </c>
      <c r="AC231" s="34">
        <f>Y231*VLOOKUP($B231,Types!$B$2:$D$13,3,FALSE)*Conv!$I$5*1000*365</f>
        <v>0</v>
      </c>
      <c r="AD231" s="34">
        <f>Z231*VLOOKUP($B231,Types!$B$2:$D$13,3,FALSE)*Conv!$I$5*1000*365</f>
        <v>0</v>
      </c>
      <c r="AE231" s="34">
        <f>AA231*VLOOKUP($B231,Types!$B$2:$D$13,3,FALSE)*Conv!$I$5*1000*365</f>
        <v>0</v>
      </c>
      <c r="AF231" s="34">
        <f>AB231-AF230</f>
        <v>9.3890119226399893E-2</v>
      </c>
      <c r="AG231" s="34">
        <f t="shared" ref="AG231:AI231" si="590">AC231-AG230</f>
        <v>0</v>
      </c>
      <c r="AH231" s="34">
        <f t="shared" si="590"/>
        <v>0</v>
      </c>
      <c r="AI231" s="34">
        <f t="shared" si="590"/>
        <v>0</v>
      </c>
      <c r="AJ231" s="34"/>
      <c r="AK231" s="34"/>
      <c r="AL231" s="34"/>
    </row>
    <row r="232" spans="1:38">
      <c r="A232" s="1" t="str">
        <f t="shared" si="587"/>
        <v>Jet Fuel</v>
      </c>
      <c r="B232" s="1" t="str">
        <f>VLOOKUP($A232,Types!$A$2:$C$13,2,FALSE)</f>
        <v>JTF</v>
      </c>
      <c r="C232" s="1">
        <v>4</v>
      </c>
      <c r="D232" s="1">
        <v>4</v>
      </c>
      <c r="E232" s="1" t="str">
        <f t="shared" si="498"/>
        <v>IMPJTFP44</v>
      </c>
      <c r="F232" s="1" t="str">
        <f>CONCATENATE("Imported ",VLOOKUP($A232,Types!$A$2:$C$13,3,FALSE),", PADD ",D232,", Step ",RIGHT(C232,1))</f>
        <v>Imported Jet Fuel, PADD 4, Step 4</v>
      </c>
      <c r="G232" s="1" t="str">
        <f>CONCATENATE(VLOOKUP($A232,Types!$A$2:$C$13,2,FALSE),"P",D232)</f>
        <v>JTFP4</v>
      </c>
      <c r="H232" s="61">
        <f>H229*$C$8</f>
        <v>66.784300000000016</v>
      </c>
      <c r="I232" s="61">
        <f t="shared" ref="I232:K232" si="591">I229*$C$8</f>
        <v>47.888060000000003</v>
      </c>
      <c r="J232" s="61">
        <f t="shared" si="591"/>
        <v>40.384500000000003</v>
      </c>
      <c r="K232" s="61">
        <f t="shared" si="591"/>
        <v>41.877800000000008</v>
      </c>
      <c r="L232" s="62">
        <f>H232*Conv!$J$20/10^6/VLOOKUP($B232,Types!$B$2:$D$13,3,FALSE)/Conv!$I$5</f>
        <v>17.130861527468511</v>
      </c>
      <c r="M232" s="62">
        <f>I232*Conv!$J$20/10^6/VLOOKUP($B232,Types!$B$2:$D$13,3,FALSE)/Conv!$I$5</f>
        <v>12.283781138367903</v>
      </c>
      <c r="N232" s="62" t="e">
        <f>M232*#REF!</f>
        <v>#REF!</v>
      </c>
      <c r="O232" s="62" t="e">
        <f>N232*#REF!</f>
        <v>#REF!</v>
      </c>
      <c r="P232" s="62" t="e">
        <f>O232*#REF!</f>
        <v>#REF!</v>
      </c>
      <c r="Q232" s="62" t="e">
        <f>P232*#REF!</f>
        <v>#REF!</v>
      </c>
      <c r="R232" s="62" t="e">
        <f>Q232*#REF!</f>
        <v>#REF!</v>
      </c>
      <c r="S232" s="62" t="e">
        <f>R232*#REF!</f>
        <v>#REF!</v>
      </c>
      <c r="T232" s="62" t="e">
        <f>S232*#REF!</f>
        <v>#REF!</v>
      </c>
      <c r="U232" s="62" t="e">
        <f>T232*#REF!</f>
        <v>#REF!</v>
      </c>
      <c r="V232" s="62" t="e">
        <f>U232*#REF!</f>
        <v>#REF!</v>
      </c>
      <c r="W232" s="34"/>
      <c r="X232" s="1">
        <f>X229*$E$8</f>
        <v>0.51600000000000001</v>
      </c>
      <c r="Y232" s="1">
        <f t="shared" ref="Y232:AA232" si="592">Y229*$E$8</f>
        <v>0</v>
      </c>
      <c r="Z232" s="1">
        <f t="shared" si="592"/>
        <v>0</v>
      </c>
      <c r="AA232" s="1">
        <f t="shared" si="592"/>
        <v>0</v>
      </c>
      <c r="AB232" s="34">
        <f>X232*VLOOKUP($B232,Types!$B$2:$D$13,3,FALSE)*Conv!$I$5*1000*365</f>
        <v>1.1266814307167998</v>
      </c>
      <c r="AC232" s="34">
        <f>Y232*VLOOKUP($B232,Types!$B$2:$D$13,3,FALSE)*Conv!$I$5*1000*365</f>
        <v>0</v>
      </c>
      <c r="AD232" s="34">
        <f>Z232*VLOOKUP($B232,Types!$B$2:$D$13,3,FALSE)*Conv!$I$5*1000*365</f>
        <v>0</v>
      </c>
      <c r="AE232" s="34">
        <f>AA232*VLOOKUP($B232,Types!$B$2:$D$13,3,FALSE)*Conv!$I$5*1000*365</f>
        <v>0</v>
      </c>
      <c r="AF232" s="34">
        <f>AB232-AB229</f>
        <v>0.18778023845280001</v>
      </c>
      <c r="AG232" s="34">
        <f t="shared" ref="AG232:AI232" si="593">AC232-AC229</f>
        <v>0</v>
      </c>
      <c r="AH232" s="34">
        <f t="shared" si="593"/>
        <v>0</v>
      </c>
      <c r="AI232" s="34">
        <f t="shared" si="593"/>
        <v>0</v>
      </c>
      <c r="AJ232" s="34"/>
      <c r="AK232" s="34"/>
      <c r="AL232" s="34"/>
    </row>
    <row r="233" spans="1:38">
      <c r="A233" s="1" t="str">
        <f t="shared" si="587"/>
        <v>Jet Fuel</v>
      </c>
      <c r="B233" s="1" t="str">
        <f>VLOOKUP($A233,Types!$A$2:$C$13,2,FALSE)</f>
        <v>JTF</v>
      </c>
      <c r="C233" s="1">
        <v>5</v>
      </c>
      <c r="D233" s="1">
        <v>4</v>
      </c>
      <c r="E233" s="1" t="str">
        <f t="shared" si="498"/>
        <v>IMPJTFP45</v>
      </c>
      <c r="F233" s="1" t="str">
        <f>CONCATENATE("Imported ",VLOOKUP($A233,Types!$A$2:$C$13,3,FALSE),", PADD ",D233,", Step ",RIGHT(C233,1))</f>
        <v>Imported Jet Fuel, PADD 4, Step 5</v>
      </c>
      <c r="G233" s="1" t="str">
        <f>CONCATENATE(VLOOKUP($A233,Types!$A$2:$C$13,2,FALSE),"P",D233)</f>
        <v>JTFP4</v>
      </c>
      <c r="H233" s="61">
        <f>H229*$C$9</f>
        <v>79.65100000000001</v>
      </c>
      <c r="I233" s="61">
        <f t="shared" ref="I233:K233" si="594">I229*$C$9</f>
        <v>57.114199999999997</v>
      </c>
      <c r="J233" s="61">
        <f t="shared" si="594"/>
        <v>48.164999999999999</v>
      </c>
      <c r="K233" s="61">
        <f t="shared" si="594"/>
        <v>49.946000000000005</v>
      </c>
      <c r="L233" s="62">
        <f>H233*Conv!$J$20/10^6/VLOOKUP($B233,Types!$B$2:$D$13,3,FALSE)/Conv!$I$5</f>
        <v>20.43130273918263</v>
      </c>
      <c r="M233" s="62">
        <f>I233*Conv!$J$20/10^6/VLOOKUP($B233,Types!$B$2:$D$13,3,FALSE)/Conv!$I$5</f>
        <v>14.650381174200248</v>
      </c>
      <c r="N233" s="62" t="e">
        <f>M233*#REF!</f>
        <v>#REF!</v>
      </c>
      <c r="O233" s="62" t="e">
        <f>N233*#REF!</f>
        <v>#REF!</v>
      </c>
      <c r="P233" s="62" t="e">
        <f>O233*#REF!</f>
        <v>#REF!</v>
      </c>
      <c r="Q233" s="62" t="e">
        <f>P233*#REF!</f>
        <v>#REF!</v>
      </c>
      <c r="R233" s="62" t="e">
        <f>Q233*#REF!</f>
        <v>#REF!</v>
      </c>
      <c r="S233" s="62" t="e">
        <f>R233*#REF!</f>
        <v>#REF!</v>
      </c>
      <c r="T233" s="62" t="e">
        <f>S233*#REF!</f>
        <v>#REF!</v>
      </c>
      <c r="U233" s="62" t="e">
        <f>T233*#REF!</f>
        <v>#REF!</v>
      </c>
      <c r="V233" s="62" t="e">
        <f>U233*#REF!</f>
        <v>#REF!</v>
      </c>
      <c r="W233" s="34"/>
      <c r="X233" s="1">
        <f>X229*$E$9</f>
        <v>0.86</v>
      </c>
      <c r="Y233" s="1">
        <f t="shared" ref="Y233:AA233" si="595">Y229*$E$9</f>
        <v>0</v>
      </c>
      <c r="Z233" s="1">
        <f t="shared" si="595"/>
        <v>0</v>
      </c>
      <c r="AA233" s="1">
        <f t="shared" si="595"/>
        <v>0</v>
      </c>
      <c r="AB233" s="34">
        <f>X233*VLOOKUP($B233,Types!$B$2:$D$13,3,FALSE)*Conv!$I$5*1000*365</f>
        <v>1.8778023845279996</v>
      </c>
      <c r="AC233" s="34">
        <f>Y233*VLOOKUP($B233,Types!$B$2:$D$13,3,FALSE)*Conv!$I$5*1000*365</f>
        <v>0</v>
      </c>
      <c r="AD233" s="34">
        <f>Z233*VLOOKUP($B233,Types!$B$2:$D$13,3,FALSE)*Conv!$I$5*1000*365</f>
        <v>0</v>
      </c>
      <c r="AE233" s="34">
        <f>AA233*VLOOKUP($B233,Types!$B$2:$D$13,3,FALSE)*Conv!$I$5*1000*365</f>
        <v>0</v>
      </c>
      <c r="AF233" s="34">
        <f>AB233-AB232</f>
        <v>0.75112095381119981</v>
      </c>
      <c r="AG233" s="34">
        <f t="shared" ref="AG233:AI233" si="596">AC233-AC232</f>
        <v>0</v>
      </c>
      <c r="AH233" s="34">
        <f t="shared" si="596"/>
        <v>0</v>
      </c>
      <c r="AI233" s="34">
        <f t="shared" si="596"/>
        <v>0</v>
      </c>
      <c r="AJ233" s="34"/>
      <c r="AK233" s="34"/>
      <c r="AL233" s="34"/>
    </row>
    <row r="234" spans="1:38">
      <c r="A234" s="1" t="str">
        <f>'Agg prdcrv'!$A$13</f>
        <v>LPG</v>
      </c>
      <c r="B234" s="1" t="str">
        <f>VLOOKUP($A234,Types!$A$2:$C$13,2,FALSE)</f>
        <v>LPG</v>
      </c>
      <c r="C234" s="1">
        <v>3</v>
      </c>
      <c r="D234" s="1">
        <v>4</v>
      </c>
      <c r="E234" s="1" t="str">
        <f t="shared" si="498"/>
        <v>IMPLPGP43</v>
      </c>
      <c r="F234" s="1" t="str">
        <f>CONCATENATE("Imported ",VLOOKUP($A234,Types!$A$2:$C$13,3,FALSE),", PADD ",D234,", Step ",RIGHT(C234,1))</f>
        <v>Imported LPG, PADD 4, Step 3</v>
      </c>
      <c r="G234" s="1" t="str">
        <f>CONCATENATE(VLOOKUP($A234,Types!$A$2:$C$13,2,FALSE),"P",D234)</f>
        <v>LPGP4</v>
      </c>
      <c r="H234" s="61">
        <f>SUMIFS('Agg prdcrv NYC'!$O$6:$O$100,'Agg prdcrv NYC'!$A$6:$A$100,'Imp Refined NYC'!$A234,'Agg prdcrv NYC'!$B$6:$B$100,H$11)*K4</f>
        <v>31.691000000000003</v>
      </c>
      <c r="I234" s="61">
        <f>SUMIFS('Agg prdcrv NYC'!$O$6:$O$100,'Agg prdcrv NYC'!$A$6:$A$100,'Imp Refined NYC'!$A234,'Agg prdcrv NYC'!$B$6:$B$100,I$11)*K4</f>
        <v>31.35</v>
      </c>
      <c r="J234" s="61">
        <f t="array" ref="J234">SUMIFS('Agg prdcrv NYC'!$O$6:$O$100,'Agg prdcrv NYC'!$A$6:$A$100,'Imp Refined NYC'!$A234,'Agg prdcrv NYC'!$B$6:$B$100,J$11)</f>
        <v>28.5</v>
      </c>
      <c r="K234" s="61">
        <f t="array" ref="K234">SUMIFS('Agg prdcrv NYC'!$O$6:$O$100,'Agg prdcrv NYC'!$A$6:$A$100,'Imp Refined NYC'!$A234,'Agg prdcrv NYC'!$B$6:$B$100,K$11)</f>
        <v>28.5</v>
      </c>
      <c r="L234" s="62">
        <f>H234*Conv!$J$20/10^6/VLOOKUP($B234,Types!$B$2:$D$13,3,FALSE)/Conv!$I$5</f>
        <v>12.958059311858628</v>
      </c>
      <c r="M234" s="62">
        <f>I234*Conv!$J$20/10^6/VLOOKUP($B234,Types!$B$2:$D$13,3,FALSE)/Conv!$I$5</f>
        <v>12.818628614646682</v>
      </c>
      <c r="N234" s="62" t="e">
        <f>M234*#REF!</f>
        <v>#REF!</v>
      </c>
      <c r="O234" s="62" t="e">
        <f>N234*#REF!</f>
        <v>#REF!</v>
      </c>
      <c r="P234" s="62" t="e">
        <f>O234*#REF!</f>
        <v>#REF!</v>
      </c>
      <c r="Q234" s="62" t="e">
        <f>P234*#REF!</f>
        <v>#REF!</v>
      </c>
      <c r="R234" s="62" t="e">
        <f>Q234*#REF!</f>
        <v>#REF!</v>
      </c>
      <c r="S234" s="62" t="e">
        <f>R234*#REF!</f>
        <v>#REF!</v>
      </c>
      <c r="T234" s="62" t="e">
        <f>S234*#REF!</f>
        <v>#REF!</v>
      </c>
      <c r="U234" s="62" t="e">
        <f>T234*#REF!</f>
        <v>#REF!</v>
      </c>
      <c r="V234" s="62" t="e">
        <f>U234*#REF!</f>
        <v>#REF!</v>
      </c>
      <c r="W234" s="34"/>
      <c r="X234" s="1">
        <f t="array" ref="X234">SUMIFS('Agg prdcrv NYC'!$G$6:$G$100,'Agg prdcrv NYC'!$A$6:$A$100,'Imp Refined NYC'!$A234,'Agg prdcrv NYC'!$B$6:$B$100,X$11)</f>
        <v>18.350000000000001</v>
      </c>
      <c r="Y234" s="1">
        <f t="array" ref="Y234">SUMIFS('Agg prdcrv NYC'!$G$6:$G$100,'Agg prdcrv NYC'!$A$6:$A$100,'Imp Refined NYC'!$A234,'Agg prdcrv NYC'!$B$6:$B$100,Y$11)</f>
        <v>9.18</v>
      </c>
      <c r="Z234" s="1">
        <f t="array" ref="Z234">SUMIFS('Agg prdcrv NYC'!$G$6:$G$100,'Agg prdcrv NYC'!$A$6:$A$100,'Imp Refined NYC'!$A234,'Agg prdcrv NYC'!$B$6:$B$100,Z$11)</f>
        <v>10.130000000000001</v>
      </c>
      <c r="AA234" s="1">
        <f t="array" ref="AA234">SUMIFS('Agg prdcrv NYC'!$G$6:$G$100,'Agg prdcrv NYC'!$A$6:$A$100,'Imp Refined NYC'!$A234,'Agg prdcrv NYC'!$B$6:$B$100,AA$11)</f>
        <v>11.19</v>
      </c>
      <c r="AB234" s="34">
        <f>X234*VLOOKUP($B234,Types!$B$2:$D$13,3,FALSE)*Conv!$I$5*1000*365</f>
        <v>25.135545209467999</v>
      </c>
      <c r="AC234" s="34">
        <f>Y234*VLOOKUP($B234,Types!$B$2:$D$13,3,FALSE)*Conv!$I$5*1000*365</f>
        <v>12.574621527134399</v>
      </c>
      <c r="AD234" s="34">
        <f>Z234*VLOOKUP($B234,Types!$B$2:$D$13,3,FALSE)*Conv!$I$5*1000*365</f>
        <v>13.875916783210398</v>
      </c>
      <c r="AE234" s="34">
        <f>AA234*VLOOKUP($B234,Types!$B$2:$D$13,3,FALSE)*Conv!$I$5*1000*365</f>
        <v>15.327888332095199</v>
      </c>
      <c r="AF234" s="34">
        <f>AB234-AB236</f>
        <v>2.5135545209468013</v>
      </c>
      <c r="AG234" s="34">
        <f t="shared" ref="AG234:AI234" si="597">AC234-AC236</f>
        <v>1.2574621527134404</v>
      </c>
      <c r="AH234" s="34">
        <f t="shared" si="597"/>
        <v>1.3875916783210371</v>
      </c>
      <c r="AI234" s="34">
        <f t="shared" si="597"/>
        <v>1.532788833209521</v>
      </c>
      <c r="AJ234" s="34"/>
      <c r="AK234" s="34"/>
      <c r="AL234" s="34"/>
    </row>
    <row r="235" spans="1:38">
      <c r="A235" s="1" t="str">
        <f>A234</f>
        <v>LPG</v>
      </c>
      <c r="B235" s="1" t="str">
        <f>VLOOKUP($A235,Types!$A$2:$C$13,2,FALSE)</f>
        <v>LPG</v>
      </c>
      <c r="C235" s="1">
        <v>1</v>
      </c>
      <c r="D235" s="1">
        <v>4</v>
      </c>
      <c r="E235" s="1" t="str">
        <f t="shared" si="498"/>
        <v>IMPLPGP41</v>
      </c>
      <c r="F235" s="1" t="str">
        <f>CONCATENATE("Imported ",VLOOKUP($A235,Types!$A$2:$C$13,3,FALSE),", PADD ",D235,", Step ",RIGHT(C235,1))</f>
        <v>Imported LPG, PADD 4, Step 1</v>
      </c>
      <c r="G235" s="1" t="str">
        <f>CONCATENATE(VLOOKUP($A235,Types!$A$2:$C$13,2,FALSE),"P",D235)</f>
        <v>LPGP4</v>
      </c>
      <c r="H235" s="61">
        <f>H234*$C$5</f>
        <v>30.106450000000002</v>
      </c>
      <c r="I235" s="61">
        <f t="shared" ref="I235:K235" si="598">I234*$C$5</f>
        <v>29.782499999999999</v>
      </c>
      <c r="J235" s="61">
        <f t="shared" si="598"/>
        <v>27.074999999999999</v>
      </c>
      <c r="K235" s="61">
        <f t="shared" si="598"/>
        <v>27.074999999999999</v>
      </c>
      <c r="L235" s="62">
        <f>H235*Conv!$J$20/10^6/VLOOKUP($B235,Types!$B$2:$D$13,3,FALSE)/Conv!$I$5</f>
        <v>12.310156346265698</v>
      </c>
      <c r="M235" s="62">
        <f>I235*Conv!$J$20/10^6/VLOOKUP($B235,Types!$B$2:$D$13,3,FALSE)/Conv!$I$5</f>
        <v>12.177697183914349</v>
      </c>
      <c r="N235" s="62" t="e">
        <f>M235*#REF!</f>
        <v>#REF!</v>
      </c>
      <c r="O235" s="62" t="e">
        <f>N235*#REF!</f>
        <v>#REF!</v>
      </c>
      <c r="P235" s="62" t="e">
        <f>O235*#REF!</f>
        <v>#REF!</v>
      </c>
      <c r="Q235" s="62" t="e">
        <f>P235*#REF!</f>
        <v>#REF!</v>
      </c>
      <c r="R235" s="62" t="e">
        <f>Q235*#REF!</f>
        <v>#REF!</v>
      </c>
      <c r="S235" s="62" t="e">
        <f>R235*#REF!</f>
        <v>#REF!</v>
      </c>
      <c r="T235" s="62" t="e">
        <f>S235*#REF!</f>
        <v>#REF!</v>
      </c>
      <c r="U235" s="62" t="e">
        <f>T235*#REF!</f>
        <v>#REF!</v>
      </c>
      <c r="V235" s="62" t="e">
        <f>U235*#REF!</f>
        <v>#REF!</v>
      </c>
      <c r="W235" s="34"/>
      <c r="X235" s="1">
        <f>X234*$E$5</f>
        <v>14.680000000000001</v>
      </c>
      <c r="Y235" s="1">
        <f t="shared" ref="Y235:AA235" si="599">Y234*$E$5</f>
        <v>7.3440000000000003</v>
      </c>
      <c r="Z235" s="1">
        <f t="shared" si="599"/>
        <v>8.104000000000001</v>
      </c>
      <c r="AA235" s="1">
        <f t="shared" si="599"/>
        <v>8.952</v>
      </c>
      <c r="AB235" s="34">
        <f>X235*VLOOKUP($B235,Types!$B$2:$D$13,3,FALSE)*Conv!$I$5*1000*365</f>
        <v>20.108436167574403</v>
      </c>
      <c r="AC235" s="34">
        <f>Y235*VLOOKUP($B235,Types!$B$2:$D$13,3,FALSE)*Conv!$I$5*1000*365</f>
        <v>10.059697221707518</v>
      </c>
      <c r="AD235" s="34">
        <f>Z235*VLOOKUP($B235,Types!$B$2:$D$13,3,FALSE)*Conv!$I$5*1000*365</f>
        <v>11.100733426568322</v>
      </c>
      <c r="AE235" s="34">
        <f>AA235*VLOOKUP($B235,Types!$B$2:$D$13,3,FALSE)*Conv!$I$5*1000*365</f>
        <v>12.262310665676159</v>
      </c>
      <c r="AF235" s="34">
        <f>AB235</f>
        <v>20.108436167574403</v>
      </c>
      <c r="AG235" s="34">
        <f t="shared" ref="AG235:AI235" si="600">AC235</f>
        <v>10.059697221707518</v>
      </c>
      <c r="AH235" s="34">
        <f t="shared" si="600"/>
        <v>11.100733426568322</v>
      </c>
      <c r="AI235" s="34">
        <f t="shared" si="600"/>
        <v>12.262310665676159</v>
      </c>
      <c r="AJ235" s="34"/>
      <c r="AK235" s="34"/>
      <c r="AL235" s="34"/>
    </row>
    <row r="236" spans="1:38">
      <c r="A236" s="1" t="str">
        <f t="shared" ref="A236:A238" si="601">A235</f>
        <v>LPG</v>
      </c>
      <c r="B236" s="1" t="str">
        <f>VLOOKUP($A236,Types!$A$2:$C$13,2,FALSE)</f>
        <v>LPG</v>
      </c>
      <c r="C236" s="1">
        <v>2</v>
      </c>
      <c r="D236" s="1">
        <v>4</v>
      </c>
      <c r="E236" s="1" t="str">
        <f t="shared" si="498"/>
        <v>IMPLPGP42</v>
      </c>
      <c r="F236" s="1" t="str">
        <f>CONCATENATE("Imported ",VLOOKUP($A236,Types!$A$2:$C$13,3,FALSE),", PADD ",D236,", Step ",RIGHT(C236,1))</f>
        <v>Imported LPG, PADD 4, Step 2</v>
      </c>
      <c r="G236" s="1" t="str">
        <f>CONCATENATE(VLOOKUP($A236,Types!$A$2:$C$13,2,FALSE),"P",D236)</f>
        <v>LPGP4</v>
      </c>
      <c r="H236" s="61">
        <f>H234*$C$6</f>
        <v>31.057180000000002</v>
      </c>
      <c r="I236" s="61">
        <f t="shared" ref="I236:K236" si="602">I234*$C$6</f>
        <v>30.723000000000003</v>
      </c>
      <c r="J236" s="61">
        <f t="shared" si="602"/>
        <v>27.93</v>
      </c>
      <c r="K236" s="61">
        <f t="shared" si="602"/>
        <v>27.93</v>
      </c>
      <c r="L236" s="62">
        <f>H236*Conv!$J$20/10^6/VLOOKUP($B236,Types!$B$2:$D$13,3,FALSE)/Conv!$I$5</f>
        <v>12.698898125621454</v>
      </c>
      <c r="M236" s="62">
        <f>I236*Conv!$J$20/10^6/VLOOKUP($B236,Types!$B$2:$D$13,3,FALSE)/Conv!$I$5</f>
        <v>12.56225604235375</v>
      </c>
      <c r="N236" s="62" t="e">
        <f>M236*#REF!</f>
        <v>#REF!</v>
      </c>
      <c r="O236" s="62" t="e">
        <f>N236*#REF!</f>
        <v>#REF!</v>
      </c>
      <c r="P236" s="62" t="e">
        <f>O236*#REF!</f>
        <v>#REF!</v>
      </c>
      <c r="Q236" s="62" t="e">
        <f>P236*#REF!</f>
        <v>#REF!</v>
      </c>
      <c r="R236" s="62" t="e">
        <f>Q236*#REF!</f>
        <v>#REF!</v>
      </c>
      <c r="S236" s="62" t="e">
        <f>R236*#REF!</f>
        <v>#REF!</v>
      </c>
      <c r="T236" s="62" t="e">
        <f>S236*#REF!</f>
        <v>#REF!</v>
      </c>
      <c r="U236" s="62" t="e">
        <f>T236*#REF!</f>
        <v>#REF!</v>
      </c>
      <c r="V236" s="62" t="e">
        <f>U236*#REF!</f>
        <v>#REF!</v>
      </c>
      <c r="W236" s="34"/>
      <c r="X236" s="1">
        <f>X234*$E$6</f>
        <v>16.515000000000001</v>
      </c>
      <c r="Y236" s="1">
        <f t="shared" ref="Y236:AA236" si="603">Y234*$E$6</f>
        <v>8.2620000000000005</v>
      </c>
      <c r="Z236" s="1">
        <f t="shared" si="603"/>
        <v>9.1170000000000009</v>
      </c>
      <c r="AA236" s="1">
        <f t="shared" si="603"/>
        <v>10.071</v>
      </c>
      <c r="AB236" s="34">
        <f>X236*VLOOKUP($B236,Types!$B$2:$D$13,3,FALSE)*Conv!$I$5*1000*365</f>
        <v>22.621990688521198</v>
      </c>
      <c r="AC236" s="34">
        <f>Y236*VLOOKUP($B236,Types!$B$2:$D$13,3,FALSE)*Conv!$I$5*1000*365</f>
        <v>11.317159374420958</v>
      </c>
      <c r="AD236" s="34">
        <f>Z236*VLOOKUP($B236,Types!$B$2:$D$13,3,FALSE)*Conv!$I$5*1000*365</f>
        <v>12.488325104889361</v>
      </c>
      <c r="AE236" s="34">
        <f>AA236*VLOOKUP($B236,Types!$B$2:$D$13,3,FALSE)*Conv!$I$5*1000*365</f>
        <v>13.795099498885678</v>
      </c>
      <c r="AF236" s="34">
        <f>AB236-AF235</f>
        <v>2.5135545209467942</v>
      </c>
      <c r="AG236" s="34">
        <f t="shared" ref="AG236:AI236" si="604">AC236-AG235</f>
        <v>1.2574621527134404</v>
      </c>
      <c r="AH236" s="34">
        <f t="shared" si="604"/>
        <v>1.3875916783210389</v>
      </c>
      <c r="AI236" s="34">
        <f t="shared" si="604"/>
        <v>1.5327888332095192</v>
      </c>
      <c r="AJ236" s="34"/>
      <c r="AK236" s="34"/>
      <c r="AL236" s="34"/>
    </row>
    <row r="237" spans="1:38">
      <c r="A237" s="1" t="str">
        <f t="shared" si="601"/>
        <v>LPG</v>
      </c>
      <c r="B237" s="1" t="str">
        <f>VLOOKUP($A237,Types!$A$2:$C$13,2,FALSE)</f>
        <v>LPG</v>
      </c>
      <c r="C237" s="1">
        <v>4</v>
      </c>
      <c r="D237" s="1">
        <v>4</v>
      </c>
      <c r="E237" s="1" t="str">
        <f t="shared" si="498"/>
        <v>IMPLPGP44</v>
      </c>
      <c r="F237" s="1" t="str">
        <f>CONCATENATE("Imported ",VLOOKUP($A237,Types!$A$2:$C$13,3,FALSE),", PADD ",D237,", Step ",RIGHT(C237,1))</f>
        <v>Imported LPG, PADD 4, Step 4</v>
      </c>
      <c r="G237" s="1" t="str">
        <f>CONCATENATE(VLOOKUP($A237,Types!$A$2:$C$13,2,FALSE),"P",D237)</f>
        <v>LPGP4</v>
      </c>
      <c r="H237" s="61">
        <f>H234*$C$8</f>
        <v>34.543190000000003</v>
      </c>
      <c r="I237" s="61">
        <f t="shared" ref="I237:K237" si="605">I234*$C$8</f>
        <v>34.171500000000002</v>
      </c>
      <c r="J237" s="61">
        <f t="shared" si="605"/>
        <v>31.065000000000001</v>
      </c>
      <c r="K237" s="61">
        <f t="shared" si="605"/>
        <v>31.065000000000001</v>
      </c>
      <c r="L237" s="62">
        <f>H237*Conv!$J$20/10^6/VLOOKUP($B237,Types!$B$2:$D$13,3,FALSE)/Conv!$I$5</f>
        <v>14.124284649925904</v>
      </c>
      <c r="M237" s="62">
        <f>I237*Conv!$J$20/10^6/VLOOKUP($B237,Types!$B$2:$D$13,3,FALSE)/Conv!$I$5</f>
        <v>13.972305189964885</v>
      </c>
      <c r="N237" s="62" t="e">
        <f>M237*#REF!</f>
        <v>#REF!</v>
      </c>
      <c r="O237" s="62" t="e">
        <f>N237*#REF!</f>
        <v>#REF!</v>
      </c>
      <c r="P237" s="62" t="e">
        <f>O237*#REF!</f>
        <v>#REF!</v>
      </c>
      <c r="Q237" s="62" t="e">
        <f>P237*#REF!</f>
        <v>#REF!</v>
      </c>
      <c r="R237" s="62" t="e">
        <f>Q237*#REF!</f>
        <v>#REF!</v>
      </c>
      <c r="S237" s="62" t="e">
        <f>R237*#REF!</f>
        <v>#REF!</v>
      </c>
      <c r="T237" s="62" t="e">
        <f>S237*#REF!</f>
        <v>#REF!</v>
      </c>
      <c r="U237" s="62" t="e">
        <f>T237*#REF!</f>
        <v>#REF!</v>
      </c>
      <c r="V237" s="62" t="e">
        <f>U237*#REF!</f>
        <v>#REF!</v>
      </c>
      <c r="W237" s="34"/>
      <c r="X237" s="1">
        <f>X234*$E$8</f>
        <v>22.02</v>
      </c>
      <c r="Y237" s="1">
        <f t="shared" ref="Y237:AA237" si="606">Y234*$E$8</f>
        <v>11.016</v>
      </c>
      <c r="Z237" s="1">
        <f t="shared" si="606"/>
        <v>12.156000000000001</v>
      </c>
      <c r="AA237" s="1">
        <f t="shared" si="606"/>
        <v>13.427999999999999</v>
      </c>
      <c r="AB237" s="34">
        <f>X237*VLOOKUP($B237,Types!$B$2:$D$13,3,FALSE)*Conv!$I$5*1000*365</f>
        <v>30.162654251361591</v>
      </c>
      <c r="AC237" s="34">
        <f>Y237*VLOOKUP($B237,Types!$B$2:$D$13,3,FALSE)*Conv!$I$5*1000*365</f>
        <v>15.08954583256128</v>
      </c>
      <c r="AD237" s="34">
        <f>Z237*VLOOKUP($B237,Types!$B$2:$D$13,3,FALSE)*Conv!$I$5*1000*365</f>
        <v>16.651100139852481</v>
      </c>
      <c r="AE237" s="34">
        <f>AA237*VLOOKUP($B237,Types!$B$2:$D$13,3,FALSE)*Conv!$I$5*1000*365</f>
        <v>18.393465998514234</v>
      </c>
      <c r="AF237" s="34">
        <f>AB237-AB234</f>
        <v>5.027109041893592</v>
      </c>
      <c r="AG237" s="34">
        <f t="shared" ref="AG237:AI237" si="607">AC237-AC234</f>
        <v>2.5149243054268808</v>
      </c>
      <c r="AH237" s="34">
        <f t="shared" si="607"/>
        <v>2.7751833566420832</v>
      </c>
      <c r="AI237" s="34">
        <f t="shared" si="607"/>
        <v>3.0655776664190348</v>
      </c>
      <c r="AJ237" s="34"/>
      <c r="AK237" s="34"/>
      <c r="AL237" s="34"/>
    </row>
    <row r="238" spans="1:38">
      <c r="A238" s="1" t="str">
        <f t="shared" si="601"/>
        <v>LPG</v>
      </c>
      <c r="B238" s="1" t="str">
        <f>VLOOKUP($A238,Types!$A$2:$C$13,2,FALSE)</f>
        <v>LPG</v>
      </c>
      <c r="C238" s="1">
        <v>5</v>
      </c>
      <c r="D238" s="1">
        <v>4</v>
      </c>
      <c r="E238" s="1" t="str">
        <f t="shared" si="498"/>
        <v>IMPLPGP45</v>
      </c>
      <c r="F238" s="1" t="str">
        <f>CONCATENATE("Imported ",VLOOKUP($A238,Types!$A$2:$C$13,3,FALSE),", PADD ",D238,", Step ",RIGHT(C238,1))</f>
        <v>Imported LPG, PADD 4, Step 5</v>
      </c>
      <c r="G238" s="1" t="str">
        <f>CONCATENATE(VLOOKUP($A238,Types!$A$2:$C$13,2,FALSE),"P",D238)</f>
        <v>LPGP4</v>
      </c>
      <c r="H238" s="61">
        <f>H234*$C$9</f>
        <v>41.198300000000003</v>
      </c>
      <c r="I238" s="61">
        <f t="shared" ref="I238:K238" si="608">I234*$C$9</f>
        <v>40.755000000000003</v>
      </c>
      <c r="J238" s="61">
        <f t="shared" si="608"/>
        <v>37.050000000000004</v>
      </c>
      <c r="K238" s="61">
        <f t="shared" si="608"/>
        <v>37.050000000000004</v>
      </c>
      <c r="L238" s="62">
        <f>H238*Conv!$J$20/10^6/VLOOKUP($B238,Types!$B$2:$D$13,3,FALSE)/Conv!$I$5</f>
        <v>16.845477105416219</v>
      </c>
      <c r="M238" s="62">
        <f>I238*Conv!$J$20/10^6/VLOOKUP($B238,Types!$B$2:$D$13,3,FALSE)/Conv!$I$5</f>
        <v>16.664217199040689</v>
      </c>
      <c r="N238" s="62" t="e">
        <f>M238*#REF!</f>
        <v>#REF!</v>
      </c>
      <c r="O238" s="62" t="e">
        <f>N238*#REF!</f>
        <v>#REF!</v>
      </c>
      <c r="P238" s="62" t="e">
        <f>O238*#REF!</f>
        <v>#REF!</v>
      </c>
      <c r="Q238" s="62" t="e">
        <f>P238*#REF!</f>
        <v>#REF!</v>
      </c>
      <c r="R238" s="62" t="e">
        <f>Q238*#REF!</f>
        <v>#REF!</v>
      </c>
      <c r="S238" s="62" t="e">
        <f>R238*#REF!</f>
        <v>#REF!</v>
      </c>
      <c r="T238" s="62" t="e">
        <f>S238*#REF!</f>
        <v>#REF!</v>
      </c>
      <c r="U238" s="62" t="e">
        <f>T238*#REF!</f>
        <v>#REF!</v>
      </c>
      <c r="V238" s="62" t="e">
        <f>U238*#REF!</f>
        <v>#REF!</v>
      </c>
      <c r="W238" s="34"/>
      <c r="X238" s="1">
        <f>X234*$E$9</f>
        <v>36.700000000000003</v>
      </c>
      <c r="Y238" s="1">
        <f t="shared" ref="Y238:AA238" si="609">Y234*$E$9</f>
        <v>18.36</v>
      </c>
      <c r="Z238" s="1">
        <f t="shared" si="609"/>
        <v>20.260000000000002</v>
      </c>
      <c r="AA238" s="1">
        <f t="shared" si="609"/>
        <v>22.38</v>
      </c>
      <c r="AB238" s="34">
        <f>X238*VLOOKUP($B238,Types!$B$2:$D$13,3,FALSE)*Conv!$I$5*1000*365</f>
        <v>50.271090418935998</v>
      </c>
      <c r="AC238" s="34">
        <f>Y238*VLOOKUP($B238,Types!$B$2:$D$13,3,FALSE)*Conv!$I$5*1000*365</f>
        <v>25.149243054268798</v>
      </c>
      <c r="AD238" s="34">
        <f>Z238*VLOOKUP($B238,Types!$B$2:$D$13,3,FALSE)*Conv!$I$5*1000*365</f>
        <v>27.751833566420796</v>
      </c>
      <c r="AE238" s="34">
        <f>AA238*VLOOKUP($B238,Types!$B$2:$D$13,3,FALSE)*Conv!$I$5*1000*365</f>
        <v>30.655776664190398</v>
      </c>
      <c r="AF238" s="34">
        <f>AB238-AB237</f>
        <v>20.108436167574407</v>
      </c>
      <c r="AG238" s="34">
        <f t="shared" ref="AG238:AI238" si="610">AC238-AC237</f>
        <v>10.059697221707518</v>
      </c>
      <c r="AH238" s="34">
        <f t="shared" si="610"/>
        <v>11.100733426568315</v>
      </c>
      <c r="AI238" s="34">
        <f t="shared" si="610"/>
        <v>12.262310665676164</v>
      </c>
      <c r="AJ238" s="34"/>
      <c r="AK238" s="34"/>
      <c r="AL238" s="34"/>
    </row>
    <row r="239" spans="1:38">
      <c r="A239" s="1" t="str">
        <f>'Agg prdcrv'!$A$14</f>
        <v>Petchem. Feedstocks</v>
      </c>
      <c r="B239" s="1" t="str">
        <f>VLOOKUP($A239,Types!$A$2:$C$13,2,FALSE)</f>
        <v>PFS</v>
      </c>
      <c r="C239" s="1">
        <v>3</v>
      </c>
      <c r="D239" s="1">
        <v>4</v>
      </c>
      <c r="E239" s="1" t="str">
        <f t="shared" si="498"/>
        <v>IMPPFSP43</v>
      </c>
      <c r="F239" s="1" t="str">
        <f>CONCATENATE("Imported ",VLOOKUP($A239,Types!$A$2:$C$13,3,FALSE),", PADD ",D239,", Step ",RIGHT(C239,1))</f>
        <v>Imported Petrochemical Feedstocks, PADD 4, Step 3</v>
      </c>
      <c r="G239" s="1" t="str">
        <f>CONCATENATE(VLOOKUP($A239,Types!$A$2:$C$13,2,FALSE),"P",D239)</f>
        <v>PFSP4</v>
      </c>
      <c r="H239" s="61">
        <f>SUMIFS('Agg prdcrv NYC'!$O$6:$O$100,'Agg prdcrv NYC'!$A$6:$A$100,'Imp Refined NYC'!$A239,'Agg prdcrv NYC'!$B$6:$B$100,H$11)*K4</f>
        <v>39.908000000000001</v>
      </c>
      <c r="I239" s="61">
        <f>SUMIFS('Agg prdcrv NYC'!$O$6:$O$100,'Agg prdcrv NYC'!$A$6:$A$100,'Imp Refined NYC'!$A239,'Agg prdcrv NYC'!$B$6:$B$100,I$11)*K4</f>
        <v>29.59</v>
      </c>
      <c r="J239" s="61">
        <f t="array" ref="J239">SUMIFS('Agg prdcrv NYC'!$O$6:$O$100,'Agg prdcrv NYC'!$A$6:$A$100,'Imp Refined NYC'!$A239,'Agg prdcrv NYC'!$B$6:$B$100,J$11)</f>
        <v>21.68</v>
      </c>
      <c r="K239" s="61">
        <f t="array" ref="K239">SUMIFS('Agg prdcrv NYC'!$O$6:$O$100,'Agg prdcrv NYC'!$A$6:$A$100,'Imp Refined NYC'!$A239,'Agg prdcrv NYC'!$B$6:$B$100,K$11)</f>
        <v>24.09</v>
      </c>
      <c r="L239" s="62">
        <f>H239*Conv!$J$20/10^6/VLOOKUP($B239,Types!$B$2:$D$13,3,FALSE)/Conv!$I$5</f>
        <v>10.199039250757771</v>
      </c>
      <c r="M239" s="62">
        <f>I239*Conv!$J$20/10^6/VLOOKUP($B239,Types!$B$2:$D$13,3,FALSE)/Conv!$I$5</f>
        <v>7.5621321897845659</v>
      </c>
      <c r="N239" s="62" t="e">
        <f>M239*#REF!</f>
        <v>#REF!</v>
      </c>
      <c r="O239" s="62" t="e">
        <f>N239*#REF!</f>
        <v>#REF!</v>
      </c>
      <c r="P239" s="62" t="e">
        <f>O239*#REF!</f>
        <v>#REF!</v>
      </c>
      <c r="Q239" s="62" t="e">
        <f>P239*#REF!</f>
        <v>#REF!</v>
      </c>
      <c r="R239" s="62" t="e">
        <f>Q239*#REF!</f>
        <v>#REF!</v>
      </c>
      <c r="S239" s="62" t="e">
        <f>R239*#REF!</f>
        <v>#REF!</v>
      </c>
      <c r="T239" s="62" t="e">
        <f>S239*#REF!</f>
        <v>#REF!</v>
      </c>
      <c r="U239" s="62" t="e">
        <f>T239*#REF!</f>
        <v>#REF!</v>
      </c>
      <c r="V239" s="62" t="e">
        <f>U239*#REF!</f>
        <v>#REF!</v>
      </c>
      <c r="W239" s="34"/>
      <c r="X239" s="1">
        <f t="array" ref="X239">SUMIFS('Agg prdcrv NYC'!$G$6:$G$100,'Agg prdcrv NYC'!$A$6:$A$100,'Imp Refined NYC'!$A239,'Agg prdcrv NYC'!$B$6:$B$100,X$11)</f>
        <v>0</v>
      </c>
      <c r="Y239" s="1">
        <f t="array" ref="Y239">SUMIFS('Agg prdcrv NYC'!$G$6:$G$100,'Agg prdcrv NYC'!$A$6:$A$100,'Imp Refined NYC'!$A239,'Agg prdcrv NYC'!$B$6:$B$100,Y$11)</f>
        <v>0</v>
      </c>
      <c r="Z239" s="1">
        <f t="array" ref="Z239">SUMIFS('Agg prdcrv NYC'!$G$6:$G$100,'Agg prdcrv NYC'!$A$6:$A$100,'Imp Refined NYC'!$A239,'Agg prdcrv NYC'!$B$6:$B$100,Z$11)</f>
        <v>0</v>
      </c>
      <c r="AA239" s="1">
        <f t="array" ref="AA239">SUMIFS('Agg prdcrv NYC'!$G$6:$G$100,'Agg prdcrv NYC'!$A$6:$A$100,'Imp Refined NYC'!$A239,'Agg prdcrv NYC'!$B$6:$B$100,AA$11)</f>
        <v>0</v>
      </c>
      <c r="AB239" s="34">
        <f>X239*VLOOKUP($B239,Types!$B$2:$D$13,3,FALSE)*Conv!$I$5*1000*365</f>
        <v>0</v>
      </c>
      <c r="AC239" s="34">
        <f>Y239*VLOOKUP($B239,Types!$B$2:$D$13,3,FALSE)*Conv!$I$5*1000*365</f>
        <v>0</v>
      </c>
      <c r="AD239" s="34">
        <f>Z239*VLOOKUP($B239,Types!$B$2:$D$13,3,FALSE)*Conv!$I$5*1000*365</f>
        <v>0</v>
      </c>
      <c r="AE239" s="34">
        <f>AA239*VLOOKUP($B239,Types!$B$2:$D$13,3,FALSE)*Conv!$I$5*1000*365</f>
        <v>0</v>
      </c>
      <c r="AF239" s="34">
        <f>AB239-AB241</f>
        <v>0</v>
      </c>
      <c r="AG239" s="34">
        <f t="shared" ref="AG239:AI239" si="611">AC239-AC241</f>
        <v>0</v>
      </c>
      <c r="AH239" s="34">
        <f t="shared" si="611"/>
        <v>0</v>
      </c>
      <c r="AI239" s="34">
        <f t="shared" si="611"/>
        <v>0</v>
      </c>
      <c r="AJ239" s="34"/>
      <c r="AK239" s="34"/>
      <c r="AL239" s="34"/>
    </row>
    <row r="240" spans="1:38">
      <c r="A240" s="1" t="str">
        <f>A239</f>
        <v>Petchem. Feedstocks</v>
      </c>
      <c r="B240" s="1" t="str">
        <f>VLOOKUP($A240,Types!$A$2:$C$13,2,FALSE)</f>
        <v>PFS</v>
      </c>
      <c r="C240" s="1">
        <v>1</v>
      </c>
      <c r="D240" s="1">
        <v>4</v>
      </c>
      <c r="E240" s="1" t="str">
        <f t="shared" si="498"/>
        <v>IMPPFSP41</v>
      </c>
      <c r="F240" s="1" t="str">
        <f>CONCATENATE("Imported ",VLOOKUP($A240,Types!$A$2:$C$13,3,FALSE),", PADD ",D240,", Step ",RIGHT(C240,1))</f>
        <v>Imported Petrochemical Feedstocks, PADD 4, Step 1</v>
      </c>
      <c r="G240" s="1" t="str">
        <f>CONCATENATE(VLOOKUP($A240,Types!$A$2:$C$13,2,FALSE),"P",D240)</f>
        <v>PFSP4</v>
      </c>
      <c r="H240" s="61">
        <f>H239*$C$5</f>
        <v>37.912599999999998</v>
      </c>
      <c r="I240" s="61">
        <f t="shared" ref="I240:K240" si="612">I239*$C$5</f>
        <v>28.110499999999998</v>
      </c>
      <c r="J240" s="61">
        <f t="shared" si="612"/>
        <v>20.596</v>
      </c>
      <c r="K240" s="61">
        <f t="shared" si="612"/>
        <v>22.8855</v>
      </c>
      <c r="L240" s="62">
        <f>H240*Conv!$J$20/10^6/VLOOKUP($B240,Types!$B$2:$D$13,3,FALSE)/Conv!$I$5</f>
        <v>9.6890872882198806</v>
      </c>
      <c r="M240" s="62">
        <f>I240*Conv!$J$20/10^6/VLOOKUP($B240,Types!$B$2:$D$13,3,FALSE)/Conv!$I$5</f>
        <v>7.1840255802953363</v>
      </c>
      <c r="N240" s="62" t="e">
        <f>M240*#REF!</f>
        <v>#REF!</v>
      </c>
      <c r="O240" s="62" t="e">
        <f>N240*#REF!</f>
        <v>#REF!</v>
      </c>
      <c r="P240" s="62" t="e">
        <f>O240*#REF!</f>
        <v>#REF!</v>
      </c>
      <c r="Q240" s="62" t="e">
        <f>P240*#REF!</f>
        <v>#REF!</v>
      </c>
      <c r="R240" s="62" t="e">
        <f>Q240*#REF!</f>
        <v>#REF!</v>
      </c>
      <c r="S240" s="62" t="e">
        <f>R240*#REF!</f>
        <v>#REF!</v>
      </c>
      <c r="T240" s="62" t="e">
        <f>S240*#REF!</f>
        <v>#REF!</v>
      </c>
      <c r="U240" s="62" t="e">
        <f>T240*#REF!</f>
        <v>#REF!</v>
      </c>
      <c r="V240" s="62" t="e">
        <f>U240*#REF!</f>
        <v>#REF!</v>
      </c>
      <c r="W240" s="34"/>
      <c r="X240" s="1">
        <f>X239*$E$5</f>
        <v>0</v>
      </c>
      <c r="Y240" s="1">
        <f t="shared" ref="Y240:AA240" si="613">Y239*$E$5</f>
        <v>0</v>
      </c>
      <c r="Z240" s="1">
        <f t="shared" si="613"/>
        <v>0</v>
      </c>
      <c r="AA240" s="1">
        <f t="shared" si="613"/>
        <v>0</v>
      </c>
      <c r="AB240" s="34">
        <f>X240*VLOOKUP($B240,Types!$B$2:$D$13,3,FALSE)*Conv!$I$5*1000*365</f>
        <v>0</v>
      </c>
      <c r="AC240" s="34">
        <f>Y240*VLOOKUP($B240,Types!$B$2:$D$13,3,FALSE)*Conv!$I$5*1000*365</f>
        <v>0</v>
      </c>
      <c r="AD240" s="34">
        <f>Z240*VLOOKUP($B240,Types!$B$2:$D$13,3,FALSE)*Conv!$I$5*1000*365</f>
        <v>0</v>
      </c>
      <c r="AE240" s="34">
        <f>AA240*VLOOKUP($B240,Types!$B$2:$D$13,3,FALSE)*Conv!$I$5*1000*365</f>
        <v>0</v>
      </c>
      <c r="AF240" s="34">
        <f>AB240</f>
        <v>0</v>
      </c>
      <c r="AG240" s="34">
        <f t="shared" ref="AG240:AI240" si="614">AC240</f>
        <v>0</v>
      </c>
      <c r="AH240" s="34">
        <f t="shared" si="614"/>
        <v>0</v>
      </c>
      <c r="AI240" s="34">
        <f t="shared" si="614"/>
        <v>0</v>
      </c>
      <c r="AJ240" s="34"/>
      <c r="AK240" s="34"/>
      <c r="AL240" s="34"/>
    </row>
    <row r="241" spans="1:38">
      <c r="A241" s="1" t="str">
        <f t="shared" ref="A241:A242" si="615">A240</f>
        <v>Petchem. Feedstocks</v>
      </c>
      <c r="B241" s="1" t="str">
        <f>VLOOKUP($A241,Types!$A$2:$C$13,2,FALSE)</f>
        <v>PFS</v>
      </c>
      <c r="C241" s="1">
        <v>2</v>
      </c>
      <c r="D241" s="1">
        <v>4</v>
      </c>
      <c r="E241" s="1" t="str">
        <f t="shared" si="498"/>
        <v>IMPPFSP42</v>
      </c>
      <c r="F241" s="1" t="str">
        <f>CONCATENATE("Imported ",VLOOKUP($A241,Types!$A$2:$C$13,3,FALSE),", PADD ",D241,", Step ",RIGHT(C241,1))</f>
        <v>Imported Petrochemical Feedstocks, PADD 4, Step 2</v>
      </c>
      <c r="G241" s="1" t="str">
        <f>CONCATENATE(VLOOKUP($A241,Types!$A$2:$C$13,2,FALSE),"P",D241)</f>
        <v>PFSP4</v>
      </c>
      <c r="H241" s="61">
        <f>H239*$C$6</f>
        <v>39.109839999999998</v>
      </c>
      <c r="I241" s="61">
        <f t="shared" ref="I241:K241" si="616">I239*$C$6</f>
        <v>28.998200000000001</v>
      </c>
      <c r="J241" s="61">
        <f t="shared" si="616"/>
        <v>21.246399999999998</v>
      </c>
      <c r="K241" s="61">
        <f t="shared" si="616"/>
        <v>23.6082</v>
      </c>
      <c r="L241" s="62">
        <f>H241*Conv!$J$20/10^6/VLOOKUP($B241,Types!$B$2:$D$13,3,FALSE)/Conv!$I$5</f>
        <v>9.9950584657426145</v>
      </c>
      <c r="M241" s="62">
        <f>I241*Conv!$J$20/10^6/VLOOKUP($B241,Types!$B$2:$D$13,3,FALSE)/Conv!$I$5</f>
        <v>7.4108895459888746</v>
      </c>
      <c r="N241" s="62" t="e">
        <f>M241*#REF!</f>
        <v>#REF!</v>
      </c>
      <c r="O241" s="62" t="e">
        <f>N241*#REF!</f>
        <v>#REF!</v>
      </c>
      <c r="P241" s="62" t="e">
        <f>O241*#REF!</f>
        <v>#REF!</v>
      </c>
      <c r="Q241" s="62" t="e">
        <f>P241*#REF!</f>
        <v>#REF!</v>
      </c>
      <c r="R241" s="62" t="e">
        <f>Q241*#REF!</f>
        <v>#REF!</v>
      </c>
      <c r="S241" s="62" t="e">
        <f>R241*#REF!</f>
        <v>#REF!</v>
      </c>
      <c r="T241" s="62" t="e">
        <f>S241*#REF!</f>
        <v>#REF!</v>
      </c>
      <c r="U241" s="62" t="e">
        <f>T241*#REF!</f>
        <v>#REF!</v>
      </c>
      <c r="V241" s="62" t="e">
        <f>U241*#REF!</f>
        <v>#REF!</v>
      </c>
      <c r="W241" s="34"/>
      <c r="X241" s="1">
        <f>X239*$E$6</f>
        <v>0</v>
      </c>
      <c r="Y241" s="1">
        <f t="shared" ref="Y241:AA241" si="617">Y239*$E$6</f>
        <v>0</v>
      </c>
      <c r="Z241" s="1">
        <f t="shared" si="617"/>
        <v>0</v>
      </c>
      <c r="AA241" s="1">
        <f t="shared" si="617"/>
        <v>0</v>
      </c>
      <c r="AB241" s="34">
        <f>X241*VLOOKUP($B241,Types!$B$2:$D$13,3,FALSE)*Conv!$I$5*1000*365</f>
        <v>0</v>
      </c>
      <c r="AC241" s="34">
        <f>Y241*VLOOKUP($B241,Types!$B$2:$D$13,3,FALSE)*Conv!$I$5*1000*365</f>
        <v>0</v>
      </c>
      <c r="AD241" s="34">
        <f>Z241*VLOOKUP($B241,Types!$B$2:$D$13,3,FALSE)*Conv!$I$5*1000*365</f>
        <v>0</v>
      </c>
      <c r="AE241" s="34">
        <f>AA241*VLOOKUP($B241,Types!$B$2:$D$13,3,FALSE)*Conv!$I$5*1000*365</f>
        <v>0</v>
      </c>
      <c r="AF241" s="34">
        <f>AB241-AF240</f>
        <v>0</v>
      </c>
      <c r="AG241" s="34">
        <f t="shared" ref="AG241:AI241" si="618">AC241-AG240</f>
        <v>0</v>
      </c>
      <c r="AH241" s="34">
        <f t="shared" si="618"/>
        <v>0</v>
      </c>
      <c r="AI241" s="34">
        <f t="shared" si="618"/>
        <v>0</v>
      </c>
      <c r="AJ241" s="34"/>
      <c r="AK241" s="34"/>
      <c r="AL241" s="34"/>
    </row>
    <row r="242" spans="1:38">
      <c r="A242" s="1" t="str">
        <f t="shared" si="615"/>
        <v>Petchem. Feedstocks</v>
      </c>
      <c r="B242" s="1" t="str">
        <f>VLOOKUP($A242,Types!$A$2:$C$13,2,FALSE)</f>
        <v>PFS</v>
      </c>
      <c r="C242" s="1">
        <v>4</v>
      </c>
      <c r="D242" s="1">
        <v>4</v>
      </c>
      <c r="E242" s="1" t="str">
        <f t="shared" si="498"/>
        <v>IMPPFSP44</v>
      </c>
      <c r="F242" s="1" t="str">
        <f>CONCATENATE("Imported ",VLOOKUP($A242,Types!$A$2:$C$13,3,FALSE),", PADD ",D242,", Step ",RIGHT(C242,1))</f>
        <v>Imported Petrochemical Feedstocks, PADD 4, Step 4</v>
      </c>
      <c r="G242" s="1" t="str">
        <f>CONCATENATE(VLOOKUP($A242,Types!$A$2:$C$13,2,FALSE),"P",D242)</f>
        <v>PFSP4</v>
      </c>
      <c r="H242" s="61">
        <f>H239*$C$8</f>
        <v>43.499720000000003</v>
      </c>
      <c r="I242" s="61">
        <f t="shared" ref="I242:K242" si="619">I239*$C$8</f>
        <v>32.253100000000003</v>
      </c>
      <c r="J242" s="61">
        <f t="shared" si="619"/>
        <v>23.6312</v>
      </c>
      <c r="K242" s="61">
        <f t="shared" si="619"/>
        <v>26.258100000000002</v>
      </c>
      <c r="L242" s="62">
        <f>H242*Conv!$J$20/10^6/VLOOKUP($B242,Types!$B$2:$D$13,3,FALSE)/Conv!$I$5</f>
        <v>11.116952783325969</v>
      </c>
      <c r="M242" s="62">
        <f>I242*Conv!$J$20/10^6/VLOOKUP($B242,Types!$B$2:$D$13,3,FALSE)/Conv!$I$5</f>
        <v>8.2427240868651772</v>
      </c>
      <c r="N242" s="62" t="e">
        <f>M242*#REF!</f>
        <v>#REF!</v>
      </c>
      <c r="O242" s="62" t="e">
        <f>N242*#REF!</f>
        <v>#REF!</v>
      </c>
      <c r="P242" s="62" t="e">
        <f>O242*#REF!</f>
        <v>#REF!</v>
      </c>
      <c r="Q242" s="62" t="e">
        <f>P242*#REF!</f>
        <v>#REF!</v>
      </c>
      <c r="R242" s="62" t="e">
        <f>Q242*#REF!</f>
        <v>#REF!</v>
      </c>
      <c r="S242" s="62" t="e">
        <f>R242*#REF!</f>
        <v>#REF!</v>
      </c>
      <c r="T242" s="62" t="e">
        <f>S242*#REF!</f>
        <v>#REF!</v>
      </c>
      <c r="U242" s="62" t="e">
        <f>T242*#REF!</f>
        <v>#REF!</v>
      </c>
      <c r="V242" s="62" t="e">
        <f>U242*#REF!</f>
        <v>#REF!</v>
      </c>
      <c r="W242" s="34"/>
      <c r="X242" s="1">
        <f>X239*$E$8</f>
        <v>0</v>
      </c>
      <c r="Y242" s="1">
        <f t="shared" ref="Y242:AA242" si="620">Y239*$E$8</f>
        <v>0</v>
      </c>
      <c r="Z242" s="1">
        <f t="shared" si="620"/>
        <v>0</v>
      </c>
      <c r="AA242" s="1">
        <f t="shared" si="620"/>
        <v>0</v>
      </c>
      <c r="AB242" s="34">
        <f>X242*VLOOKUP($B242,Types!$B$2:$D$13,3,FALSE)*Conv!$I$5*1000*365</f>
        <v>0</v>
      </c>
      <c r="AC242" s="34">
        <f>Y242*VLOOKUP($B242,Types!$B$2:$D$13,3,FALSE)*Conv!$I$5*1000*365</f>
        <v>0</v>
      </c>
      <c r="AD242" s="34">
        <f>Z242*VLOOKUP($B242,Types!$B$2:$D$13,3,FALSE)*Conv!$I$5*1000*365</f>
        <v>0</v>
      </c>
      <c r="AE242" s="34">
        <f>AA242*VLOOKUP($B242,Types!$B$2:$D$13,3,FALSE)*Conv!$I$5*1000*365</f>
        <v>0</v>
      </c>
      <c r="AF242" s="34">
        <f>AB242-AB239</f>
        <v>0</v>
      </c>
      <c r="AG242" s="34">
        <f t="shared" ref="AG242:AI242" si="621">AC242-AC239</f>
        <v>0</v>
      </c>
      <c r="AH242" s="34">
        <f t="shared" si="621"/>
        <v>0</v>
      </c>
      <c r="AI242" s="34">
        <f t="shared" si="621"/>
        <v>0</v>
      </c>
      <c r="AJ242" s="34"/>
      <c r="AK242" s="34"/>
      <c r="AL242" s="34"/>
    </row>
    <row r="243" spans="1:38">
      <c r="A243" s="1" t="str">
        <f>A242</f>
        <v>Petchem. Feedstocks</v>
      </c>
      <c r="B243" s="1" t="str">
        <f>VLOOKUP($A243,Types!$A$2:$C$13,2,FALSE)</f>
        <v>PFS</v>
      </c>
      <c r="C243" s="1">
        <v>5</v>
      </c>
      <c r="D243" s="1">
        <v>4</v>
      </c>
      <c r="E243" s="1" t="str">
        <f>CONCATENATE("IMP",G243,RIGHT(C243,1))</f>
        <v>IMPPFSP45</v>
      </c>
      <c r="F243" s="1" t="str">
        <f>CONCATENATE("Imported ",VLOOKUP($A243,Types!$A$2:$C$13,3,FALSE),", PADD ",D243,", Step ",RIGHT(C243,1))</f>
        <v>Imported Petrochemical Feedstocks, PADD 4, Step 5</v>
      </c>
      <c r="G243" s="1" t="str">
        <f>CONCATENATE(VLOOKUP($A243,Types!$A$2:$C$13,2,FALSE),"P",D243)</f>
        <v>PFSP4</v>
      </c>
      <c r="H243" s="61">
        <f>H239*$C$9</f>
        <v>51.880400000000002</v>
      </c>
      <c r="I243" s="61">
        <f t="shared" ref="I243:K243" si="622">I239*$C$9</f>
        <v>38.466999999999999</v>
      </c>
      <c r="J243" s="61">
        <f t="shared" si="622"/>
        <v>28.184000000000001</v>
      </c>
      <c r="K243" s="61">
        <f t="shared" si="622"/>
        <v>31.317</v>
      </c>
      <c r="L243" s="62">
        <f>H243*Conv!$J$20/10^6/VLOOKUP($B243,Types!$B$2:$D$13,3,FALSE)/Conv!$I$5</f>
        <v>13.2587510259851</v>
      </c>
      <c r="M243" s="62">
        <f>I243*Conv!$J$20/10^6/VLOOKUP($B243,Types!$B$2:$D$13,3,FALSE)/Conv!$I$5</f>
        <v>9.8307718467199336</v>
      </c>
      <c r="N243" s="62" t="e">
        <f>M243*#REF!</f>
        <v>#REF!</v>
      </c>
      <c r="O243" s="62" t="e">
        <f>N243*#REF!</f>
        <v>#REF!</v>
      </c>
      <c r="P243" s="62" t="e">
        <f>O243*#REF!</f>
        <v>#REF!</v>
      </c>
      <c r="Q243" s="62" t="e">
        <f>P243*#REF!</f>
        <v>#REF!</v>
      </c>
      <c r="R243" s="62" t="e">
        <f>Q243*#REF!</f>
        <v>#REF!</v>
      </c>
      <c r="S243" s="62" t="e">
        <f>R243*#REF!</f>
        <v>#REF!</v>
      </c>
      <c r="T243" s="62" t="e">
        <f>S243*#REF!</f>
        <v>#REF!</v>
      </c>
      <c r="U243" s="62" t="e">
        <f>T243*#REF!</f>
        <v>#REF!</v>
      </c>
      <c r="V243" s="62" t="e">
        <f>U243*#REF!</f>
        <v>#REF!</v>
      </c>
      <c r="W243" s="34"/>
      <c r="X243" s="1">
        <f>X239*$E$9</f>
        <v>0</v>
      </c>
      <c r="Y243" s="1">
        <f t="shared" ref="Y243:AA243" si="623">Y239*$E$9</f>
        <v>0</v>
      </c>
      <c r="Z243" s="1">
        <f t="shared" si="623"/>
        <v>0</v>
      </c>
      <c r="AA243" s="1">
        <f t="shared" si="623"/>
        <v>0</v>
      </c>
      <c r="AB243" s="34">
        <f>X243*VLOOKUP($B243,Types!$B$2:$D$13,3,FALSE)*Conv!$I$5*1000*365</f>
        <v>0</v>
      </c>
      <c r="AC243" s="34">
        <f>Y243*VLOOKUP($B243,Types!$B$2:$D$13,3,FALSE)*Conv!$I$5*1000*365</f>
        <v>0</v>
      </c>
      <c r="AD243" s="34">
        <f>Z243*VLOOKUP($B243,Types!$B$2:$D$13,3,FALSE)*Conv!$I$5*1000*365</f>
        <v>0</v>
      </c>
      <c r="AE243" s="34">
        <f>AA243*VLOOKUP($B243,Types!$B$2:$D$13,3,FALSE)*Conv!$I$5*1000*365</f>
        <v>0</v>
      </c>
      <c r="AF243" s="34">
        <f>AB243-AB242</f>
        <v>0</v>
      </c>
      <c r="AG243" s="34">
        <f t="shared" ref="AG243:AI243" si="624">AC243-AC242</f>
        <v>0</v>
      </c>
      <c r="AH243" s="34">
        <f t="shared" si="624"/>
        <v>0</v>
      </c>
      <c r="AI243" s="34">
        <f t="shared" si="624"/>
        <v>0</v>
      </c>
      <c r="AJ243" s="34"/>
      <c r="AK243" s="34"/>
      <c r="AL243" s="34"/>
    </row>
    <row r="244" spans="1:38">
      <c r="A244" s="1" t="str">
        <f>'Agg prdcrv'!$A$15</f>
        <v>Other Refined Prod.</v>
      </c>
      <c r="B244" s="1" t="str">
        <f>VLOOKUP($A244,Types!$A$2:$C$13,2,FALSE)</f>
        <v>KER</v>
      </c>
      <c r="C244" s="1">
        <v>3</v>
      </c>
      <c r="D244" s="1">
        <v>4</v>
      </c>
      <c r="E244" s="1" t="str">
        <f>CONCATENATE("IMP",G244,RIGHT(C244,1))</f>
        <v>IMPKERP43</v>
      </c>
      <c r="F244" s="1" t="str">
        <f>CONCATENATE("Imported ",VLOOKUP($A244,Types!$A$2:$C$13,3,FALSE),", PADD ",D244,", Step ",RIGHT(C244,1))</f>
        <v>Imported Kerosene and Other Refined Products, PADD 4, Step 3</v>
      </c>
      <c r="G244" s="1" t="str">
        <f>CONCATENATE(VLOOKUP($A244,Types!$A$2:$C$13,2,FALSE),"P",D244)</f>
        <v>KERP4</v>
      </c>
      <c r="H244" s="61">
        <f>SUMIFS('Agg prdcrv NYC'!$O$6:$O$100,'Agg prdcrv NYC'!$A$6:$A$100,'Imp Refined NYC'!$A244,'Agg prdcrv NYC'!$B$6:$B$100,H$11)*K4</f>
        <v>66.099000000000004</v>
      </c>
      <c r="I244" s="61">
        <f>SUMIFS('Agg prdcrv NYC'!$O$6:$O$100,'Agg prdcrv NYC'!$A$6:$A$100,'Imp Refined NYC'!$A244,'Agg prdcrv NYC'!$B$6:$B$100,I$11)*K4</f>
        <v>40.204999999999998</v>
      </c>
      <c r="J244" s="61">
        <f t="array" ref="J244">SUMIFS('Agg prdcrv NYC'!$O$6:$O$100,'Agg prdcrv NYC'!$A$6:$A$100,'Imp Refined NYC'!$A244,'Agg prdcrv NYC'!$B$6:$B$100,J$11)</f>
        <v>32.549999999999997</v>
      </c>
      <c r="K244" s="61">
        <f t="array" ref="K244">SUMIFS('Agg prdcrv NYC'!$O$6:$O$100,'Agg prdcrv NYC'!$A$6:$A$100,'Imp Refined NYC'!$A244,'Agg prdcrv NYC'!$B$6:$B$100,K$11)</f>
        <v>41.27</v>
      </c>
      <c r="L244" s="62">
        <f>H244*Conv!$J$20/10^6/VLOOKUP($B244,Types!$B$2:$D$13,3,FALSE)/Conv!$I$5</f>
        <v>16.955075011703961</v>
      </c>
      <c r="M244" s="62">
        <f>I244*Conv!$J$20/10^6/VLOOKUP($B244,Types!$B$2:$D$13,3,FALSE)/Conv!$I$5</f>
        <v>10.312997032414376</v>
      </c>
      <c r="N244" s="62" t="e">
        <f>M244*#REF!</f>
        <v>#REF!</v>
      </c>
      <c r="O244" s="62" t="e">
        <f>N244*#REF!</f>
        <v>#REF!</v>
      </c>
      <c r="P244" s="62" t="e">
        <f>O244*#REF!</f>
        <v>#REF!</v>
      </c>
      <c r="Q244" s="62" t="e">
        <f>P244*#REF!</f>
        <v>#REF!</v>
      </c>
      <c r="R244" s="62" t="e">
        <f>Q244*#REF!</f>
        <v>#REF!</v>
      </c>
      <c r="S244" s="62" t="e">
        <f>R244*#REF!</f>
        <v>#REF!</v>
      </c>
      <c r="T244" s="62" t="e">
        <f>S244*#REF!</f>
        <v>#REF!</v>
      </c>
      <c r="U244" s="62" t="e">
        <f>T244*#REF!</f>
        <v>#REF!</v>
      </c>
      <c r="V244" s="62" t="e">
        <f>U244*#REF!</f>
        <v>#REF!</v>
      </c>
      <c r="W244" s="34"/>
      <c r="X244" s="1">
        <f t="array" ref="X244">SUMIFS('Agg prdcrv NYC'!$G$6:$G$100,'Agg prdcrv NYC'!$A$6:$A$100,'Imp Refined NYC'!$A244,'Agg prdcrv NYC'!$B$6:$B$100,X$11)</f>
        <v>1</v>
      </c>
      <c r="Y244" s="1">
        <f t="array" ref="Y244">SUMIFS('Agg prdcrv NYC'!$G$6:$G$100,'Agg prdcrv NYC'!$A$6:$A$100,'Imp Refined NYC'!$A244,'Agg prdcrv NYC'!$B$6:$B$100,Y$11)</f>
        <v>0.86</v>
      </c>
      <c r="Z244" s="1">
        <f t="array" ref="Z244">SUMIFS('Agg prdcrv NYC'!$G$6:$G$100,'Agg prdcrv NYC'!$A$6:$A$100,'Imp Refined NYC'!$A244,'Agg prdcrv NYC'!$B$6:$B$100,Z$11)</f>
        <v>0.94</v>
      </c>
      <c r="AA244" s="1">
        <f t="array" ref="AA244">SUMIFS('Agg prdcrv NYC'!$G$6:$G$100,'Agg prdcrv NYC'!$A$6:$A$100,'Imp Refined NYC'!$A244,'Agg prdcrv NYC'!$B$6:$B$100,AA$11)</f>
        <v>1.01</v>
      </c>
      <c r="AB244" s="34">
        <f>X244*VLOOKUP($B244,Types!$B$2:$D$13,3,FALSE)*Conv!$I$5*1000*365</f>
        <v>2.1834911447999996</v>
      </c>
      <c r="AC244" s="34">
        <f>Y244*VLOOKUP($B244,Types!$B$2:$D$13,3,FALSE)*Conv!$I$5*1000*365</f>
        <v>1.8778023845279996</v>
      </c>
      <c r="AD244" s="34">
        <f>Z244*VLOOKUP($B244,Types!$B$2:$D$13,3,FALSE)*Conv!$I$5*1000*365</f>
        <v>2.0524816761119999</v>
      </c>
      <c r="AE244" s="34">
        <f>AA244*VLOOKUP($B244,Types!$B$2:$D$13,3,FALSE)*Conv!$I$5*1000*365</f>
        <v>2.2053260562479999</v>
      </c>
      <c r="AF244" s="34">
        <f>AB244-AB246</f>
        <v>0.21834911448000005</v>
      </c>
      <c r="AG244" s="34">
        <f t="shared" ref="AG244:AI244" si="625">AC244-AC246</f>
        <v>0.18778023845279979</v>
      </c>
      <c r="AH244" s="34">
        <f t="shared" si="625"/>
        <v>0.20524816761120035</v>
      </c>
      <c r="AI244" s="34">
        <f t="shared" si="625"/>
        <v>0.22053260562480026</v>
      </c>
      <c r="AJ244" s="34"/>
      <c r="AK244" s="34"/>
      <c r="AL244" s="34"/>
    </row>
    <row r="245" spans="1:38">
      <c r="A245" s="1" t="str">
        <f>A244</f>
        <v>Other Refined Prod.</v>
      </c>
      <c r="B245" s="1" t="str">
        <f>VLOOKUP($A245,Types!$A$2:$C$13,2,FALSE)</f>
        <v>KER</v>
      </c>
      <c r="C245" s="1">
        <v>1</v>
      </c>
      <c r="D245" s="1">
        <v>4</v>
      </c>
      <c r="E245" s="1" t="str">
        <f t="shared" ref="E245:E258" si="626">CONCATENATE("IMP",G245,RIGHT(C245,1))</f>
        <v>IMPKERP41</v>
      </c>
      <c r="F245" s="1" t="str">
        <f>CONCATENATE("Imported ",VLOOKUP($A245,Types!$A$2:$C$13,3,FALSE),", PADD ",D245,", Step ",RIGHT(C245,1))</f>
        <v>Imported Kerosene and Other Refined Products, PADD 4, Step 1</v>
      </c>
      <c r="G245" s="1" t="str">
        <f>CONCATENATE(VLOOKUP($A245,Types!$A$2:$C$13,2,FALSE),"P",D245)</f>
        <v>KERP4</v>
      </c>
      <c r="H245" s="61">
        <f>H244*$C$5</f>
        <v>62.794049999999999</v>
      </c>
      <c r="I245" s="61">
        <f t="shared" ref="I245:K245" si="627">I244*$C$5</f>
        <v>38.194749999999999</v>
      </c>
      <c r="J245" s="61">
        <f t="shared" si="627"/>
        <v>30.922499999999996</v>
      </c>
      <c r="K245" s="61">
        <f t="shared" si="627"/>
        <v>39.206499999999998</v>
      </c>
      <c r="L245" s="62">
        <f>H245*Conv!$J$20/10^6/VLOOKUP($B245,Types!$B$2:$D$13,3,FALSE)/Conv!$I$5</f>
        <v>16.107321261118763</v>
      </c>
      <c r="M245" s="62">
        <f>I245*Conv!$J$20/10^6/VLOOKUP($B245,Types!$B$2:$D$13,3,FALSE)/Conv!$I$5</f>
        <v>9.7973471807936559</v>
      </c>
      <c r="N245" s="62" t="e">
        <f>M245*#REF!</f>
        <v>#REF!</v>
      </c>
      <c r="O245" s="62" t="e">
        <f>N245*#REF!</f>
        <v>#REF!</v>
      </c>
      <c r="P245" s="62" t="e">
        <f>O245*#REF!</f>
        <v>#REF!</v>
      </c>
      <c r="Q245" s="62" t="e">
        <f>P245*#REF!</f>
        <v>#REF!</v>
      </c>
      <c r="R245" s="62" t="e">
        <f>Q245*#REF!</f>
        <v>#REF!</v>
      </c>
      <c r="S245" s="62" t="e">
        <f>R245*#REF!</f>
        <v>#REF!</v>
      </c>
      <c r="T245" s="62" t="e">
        <f>S245*#REF!</f>
        <v>#REF!</v>
      </c>
      <c r="U245" s="62" t="e">
        <f>T245*#REF!</f>
        <v>#REF!</v>
      </c>
      <c r="V245" s="62" t="e">
        <f>U245*#REF!</f>
        <v>#REF!</v>
      </c>
      <c r="W245" s="34"/>
      <c r="X245" s="1">
        <f>X244*$E$5</f>
        <v>0.8</v>
      </c>
      <c r="Y245" s="1">
        <f t="shared" ref="Y245:AA245" si="628">Y244*$E$5</f>
        <v>0.68800000000000006</v>
      </c>
      <c r="Z245" s="1">
        <f t="shared" si="628"/>
        <v>0.752</v>
      </c>
      <c r="AA245" s="1">
        <f t="shared" si="628"/>
        <v>0.80800000000000005</v>
      </c>
      <c r="AB245" s="34">
        <f>X245*VLOOKUP($B245,Types!$B$2:$D$13,3,FALSE)*Conv!$I$5*1000*365</f>
        <v>1.7467929158400002</v>
      </c>
      <c r="AC245" s="34">
        <f>Y245*VLOOKUP($B245,Types!$B$2:$D$13,3,FALSE)*Conv!$I$5*1000*365</f>
        <v>1.5022419076224001</v>
      </c>
      <c r="AD245" s="34">
        <f>Z245*VLOOKUP($B245,Types!$B$2:$D$13,3,FALSE)*Conv!$I$5*1000*365</f>
        <v>1.6419853408895999</v>
      </c>
      <c r="AE245" s="34">
        <f>AA245*VLOOKUP($B245,Types!$B$2:$D$13,3,FALSE)*Conv!$I$5*1000*365</f>
        <v>1.7642608449983999</v>
      </c>
      <c r="AF245" s="34">
        <f>AB245</f>
        <v>1.7467929158400002</v>
      </c>
      <c r="AG245" s="34">
        <f t="shared" ref="AG245:AI245" si="629">AC245</f>
        <v>1.5022419076224001</v>
      </c>
      <c r="AH245" s="34">
        <f t="shared" si="629"/>
        <v>1.6419853408895999</v>
      </c>
      <c r="AI245" s="34">
        <f t="shared" si="629"/>
        <v>1.7642608449983999</v>
      </c>
      <c r="AJ245" s="34"/>
      <c r="AK245" s="34"/>
      <c r="AL245" s="34"/>
    </row>
    <row r="246" spans="1:38">
      <c r="A246" s="1" t="str">
        <f t="shared" ref="A246:A248" si="630">A245</f>
        <v>Other Refined Prod.</v>
      </c>
      <c r="B246" s="1" t="str">
        <f>VLOOKUP($A246,Types!$A$2:$C$13,2,FALSE)</f>
        <v>KER</v>
      </c>
      <c r="C246" s="1">
        <v>2</v>
      </c>
      <c r="D246" s="1">
        <v>4</v>
      </c>
      <c r="E246" s="1" t="str">
        <f t="shared" si="626"/>
        <v>IMPKERP42</v>
      </c>
      <c r="F246" s="1" t="str">
        <f>CONCATENATE("Imported ",VLOOKUP($A246,Types!$A$2:$C$13,3,FALSE),", PADD ",D246,", Step ",RIGHT(C246,1))</f>
        <v>Imported Kerosene and Other Refined Products, PADD 4, Step 2</v>
      </c>
      <c r="G246" s="1" t="str">
        <f>CONCATENATE(VLOOKUP($A246,Types!$A$2:$C$13,2,FALSE),"P",D246)</f>
        <v>KERP4</v>
      </c>
      <c r="H246" s="61">
        <f>H244*$C$6</f>
        <v>64.777020000000007</v>
      </c>
      <c r="I246" s="61">
        <f t="shared" ref="I246:K246" si="631">I244*$C$6</f>
        <v>39.4009</v>
      </c>
      <c r="J246" s="61">
        <f t="shared" si="631"/>
        <v>31.898999999999997</v>
      </c>
      <c r="K246" s="61">
        <f t="shared" si="631"/>
        <v>40.444600000000001</v>
      </c>
      <c r="L246" s="62">
        <f>H246*Conv!$J$20/10^6/VLOOKUP($B246,Types!$B$2:$D$13,3,FALSE)/Conv!$I$5</f>
        <v>16.615973511469882</v>
      </c>
      <c r="M246" s="62">
        <f>I246*Conv!$J$20/10^6/VLOOKUP($B246,Types!$B$2:$D$13,3,FALSE)/Conv!$I$5</f>
        <v>10.106737091766087</v>
      </c>
      <c r="N246" s="62" t="e">
        <f>M246*#REF!</f>
        <v>#REF!</v>
      </c>
      <c r="O246" s="62" t="e">
        <f>N246*#REF!</f>
        <v>#REF!</v>
      </c>
      <c r="P246" s="62" t="e">
        <f>O246*#REF!</f>
        <v>#REF!</v>
      </c>
      <c r="Q246" s="62" t="e">
        <f>P246*#REF!</f>
        <v>#REF!</v>
      </c>
      <c r="R246" s="62" t="e">
        <f>Q246*#REF!</f>
        <v>#REF!</v>
      </c>
      <c r="S246" s="62" t="e">
        <f>R246*#REF!</f>
        <v>#REF!</v>
      </c>
      <c r="T246" s="62" t="e">
        <f>S246*#REF!</f>
        <v>#REF!</v>
      </c>
      <c r="U246" s="62" t="e">
        <f>T246*#REF!</f>
        <v>#REF!</v>
      </c>
      <c r="V246" s="62" t="e">
        <f>U246*#REF!</f>
        <v>#REF!</v>
      </c>
      <c r="W246" s="34"/>
      <c r="X246" s="1">
        <f>X244*$E$6</f>
        <v>0.9</v>
      </c>
      <c r="Y246" s="1">
        <f t="shared" ref="Y246:AA246" si="632">Y244*$E$6</f>
        <v>0.77400000000000002</v>
      </c>
      <c r="Z246" s="1">
        <f t="shared" si="632"/>
        <v>0.84599999999999997</v>
      </c>
      <c r="AA246" s="1">
        <f t="shared" si="632"/>
        <v>0.90900000000000003</v>
      </c>
      <c r="AB246" s="34">
        <f>X246*VLOOKUP($B246,Types!$B$2:$D$13,3,FALSE)*Conv!$I$5*1000*365</f>
        <v>1.9651420303199996</v>
      </c>
      <c r="AC246" s="34">
        <f>Y246*VLOOKUP($B246,Types!$B$2:$D$13,3,FALSE)*Conv!$I$5*1000*365</f>
        <v>1.6900221460751998</v>
      </c>
      <c r="AD246" s="34">
        <f>Z246*VLOOKUP($B246,Types!$B$2:$D$13,3,FALSE)*Conv!$I$5*1000*365</f>
        <v>1.8472335085007996</v>
      </c>
      <c r="AE246" s="34">
        <f>AA246*VLOOKUP($B246,Types!$B$2:$D$13,3,FALSE)*Conv!$I$5*1000*365</f>
        <v>1.9847934506231997</v>
      </c>
      <c r="AF246" s="34">
        <f>AB246-AF245</f>
        <v>0.21834911447999938</v>
      </c>
      <c r="AG246" s="34">
        <f t="shared" ref="AG246:AI246" si="633">AC246-AG245</f>
        <v>0.18778023845279979</v>
      </c>
      <c r="AH246" s="34">
        <f t="shared" si="633"/>
        <v>0.20524816761119968</v>
      </c>
      <c r="AI246" s="34">
        <f t="shared" si="633"/>
        <v>0.22053260562479982</v>
      </c>
      <c r="AJ246" s="34"/>
      <c r="AK246" s="34"/>
      <c r="AL246" s="34"/>
    </row>
    <row r="247" spans="1:38">
      <c r="A247" s="1" t="str">
        <f t="shared" si="630"/>
        <v>Other Refined Prod.</v>
      </c>
      <c r="B247" s="1" t="str">
        <f>VLOOKUP($A247,Types!$A$2:$C$13,2,FALSE)</f>
        <v>KER</v>
      </c>
      <c r="C247" s="1">
        <v>4</v>
      </c>
      <c r="D247" s="1">
        <v>4</v>
      </c>
      <c r="E247" s="1" t="str">
        <f t="shared" si="626"/>
        <v>IMPKERP44</v>
      </c>
      <c r="F247" s="1" t="str">
        <f>CONCATENATE("Imported ",VLOOKUP($A247,Types!$A$2:$C$13,3,FALSE),", PADD ",D247,", Step ",RIGHT(C247,1))</f>
        <v>Imported Kerosene and Other Refined Products, PADD 4, Step 4</v>
      </c>
      <c r="G247" s="1" t="str">
        <f>CONCATENATE(VLOOKUP($A247,Types!$A$2:$C$13,2,FALSE),"P",D247)</f>
        <v>KERP4</v>
      </c>
      <c r="H247" s="61">
        <f>H244*$C$8</f>
        <v>72.047910000000016</v>
      </c>
      <c r="I247" s="61">
        <f t="shared" ref="I247:K247" si="634">I244*$C$8</f>
        <v>43.823450000000001</v>
      </c>
      <c r="J247" s="61">
        <f t="shared" si="634"/>
        <v>35.479500000000002</v>
      </c>
      <c r="K247" s="61">
        <f t="shared" si="634"/>
        <v>44.984300000000005</v>
      </c>
      <c r="L247" s="62">
        <f>H247*Conv!$J$20/10^6/VLOOKUP($B247,Types!$B$2:$D$13,3,FALSE)/Conv!$I$5</f>
        <v>18.481031762757318</v>
      </c>
      <c r="M247" s="62">
        <f>I247*Conv!$J$20/10^6/VLOOKUP($B247,Types!$B$2:$D$13,3,FALSE)/Conv!$I$5</f>
        <v>11.241166765331668</v>
      </c>
      <c r="N247" s="62" t="e">
        <f>M247*#REF!</f>
        <v>#REF!</v>
      </c>
      <c r="O247" s="62" t="e">
        <f>N247*#REF!</f>
        <v>#REF!</v>
      </c>
      <c r="P247" s="62" t="e">
        <f>O247*#REF!</f>
        <v>#REF!</v>
      </c>
      <c r="Q247" s="62" t="e">
        <f>P247*#REF!</f>
        <v>#REF!</v>
      </c>
      <c r="R247" s="62" t="e">
        <f>Q247*#REF!</f>
        <v>#REF!</v>
      </c>
      <c r="S247" s="62" t="e">
        <f>R247*#REF!</f>
        <v>#REF!</v>
      </c>
      <c r="T247" s="62" t="e">
        <f>S247*#REF!</f>
        <v>#REF!</v>
      </c>
      <c r="U247" s="62" t="e">
        <f>T247*#REF!</f>
        <v>#REF!</v>
      </c>
      <c r="V247" s="62" t="e">
        <f>U247*#REF!</f>
        <v>#REF!</v>
      </c>
      <c r="W247" s="34"/>
      <c r="X247" s="1">
        <f>X244*$E$8</f>
        <v>1.2</v>
      </c>
      <c r="Y247" s="1">
        <f t="shared" ref="Y247:AA247" si="635">Y244*$E$8</f>
        <v>1.032</v>
      </c>
      <c r="Z247" s="1">
        <f t="shared" si="635"/>
        <v>1.1279999999999999</v>
      </c>
      <c r="AA247" s="1">
        <f t="shared" si="635"/>
        <v>1.212</v>
      </c>
      <c r="AB247" s="34">
        <f>X247*VLOOKUP($B247,Types!$B$2:$D$13,3,FALSE)*Conv!$I$5*1000*365</f>
        <v>2.6201893737599997</v>
      </c>
      <c r="AC247" s="34">
        <f>Y247*VLOOKUP($B247,Types!$B$2:$D$13,3,FALSE)*Conv!$I$5*1000*365</f>
        <v>2.2533628614335997</v>
      </c>
      <c r="AD247" s="34">
        <f>Z247*VLOOKUP($B247,Types!$B$2:$D$13,3,FALSE)*Conv!$I$5*1000*365</f>
        <v>2.4629780113343998</v>
      </c>
      <c r="AE247" s="34">
        <f>AA247*VLOOKUP($B247,Types!$B$2:$D$13,3,FALSE)*Conv!$I$5*1000*365</f>
        <v>2.6463912674975996</v>
      </c>
      <c r="AF247" s="34">
        <f>AB247-AB244</f>
        <v>0.4366982289600001</v>
      </c>
      <c r="AG247" s="34">
        <f t="shared" ref="AG247:AI247" si="636">AC247-AC244</f>
        <v>0.37556047690560002</v>
      </c>
      <c r="AH247" s="34">
        <f t="shared" si="636"/>
        <v>0.41049633522239981</v>
      </c>
      <c r="AI247" s="34">
        <f t="shared" si="636"/>
        <v>0.44106521124959963</v>
      </c>
      <c r="AJ247" s="34"/>
      <c r="AK247" s="34"/>
      <c r="AL247" s="34"/>
    </row>
    <row r="248" spans="1:38">
      <c r="A248" s="1" t="str">
        <f t="shared" si="630"/>
        <v>Other Refined Prod.</v>
      </c>
      <c r="B248" s="1" t="str">
        <f>VLOOKUP($A248,Types!$A$2:$C$13,2,FALSE)</f>
        <v>KER</v>
      </c>
      <c r="C248" s="1">
        <v>5</v>
      </c>
      <c r="D248" s="1">
        <v>4</v>
      </c>
      <c r="E248" s="1" t="str">
        <f t="shared" si="626"/>
        <v>IMPKERP45</v>
      </c>
      <c r="F248" s="1" t="str">
        <f>CONCATENATE("Imported ",VLOOKUP($A248,Types!$A$2:$C$13,3,FALSE),", PADD ",D248,", Step ",RIGHT(C248,1))</f>
        <v>Imported Kerosene and Other Refined Products, PADD 4, Step 5</v>
      </c>
      <c r="G248" s="1" t="str">
        <f>CONCATENATE(VLOOKUP($A248,Types!$A$2:$C$13,2,FALSE),"P",D248)</f>
        <v>KERP4</v>
      </c>
      <c r="H248" s="61">
        <f>H244*$C$9</f>
        <v>85.928700000000006</v>
      </c>
      <c r="I248" s="61">
        <f t="shared" ref="I248:K248" si="637">I244*$C$9</f>
        <v>52.266500000000001</v>
      </c>
      <c r="J248" s="61">
        <f t="shared" si="637"/>
        <v>42.314999999999998</v>
      </c>
      <c r="K248" s="61">
        <f t="shared" si="637"/>
        <v>53.651000000000003</v>
      </c>
      <c r="L248" s="62">
        <f>H248*Conv!$J$20/10^6/VLOOKUP($B248,Types!$B$2:$D$13,3,FALSE)/Conv!$I$5</f>
        <v>22.041597515215152</v>
      </c>
      <c r="M248" s="62">
        <f>I248*Conv!$J$20/10^6/VLOOKUP($B248,Types!$B$2:$D$13,3,FALSE)/Conv!$I$5</f>
        <v>13.406896142138688</v>
      </c>
      <c r="N248" s="62" t="e">
        <f>M248*#REF!</f>
        <v>#REF!</v>
      </c>
      <c r="O248" s="62" t="e">
        <f>N248*#REF!</f>
        <v>#REF!</v>
      </c>
      <c r="P248" s="62" t="e">
        <f>O248*#REF!</f>
        <v>#REF!</v>
      </c>
      <c r="Q248" s="62" t="e">
        <f>P248*#REF!</f>
        <v>#REF!</v>
      </c>
      <c r="R248" s="62" t="e">
        <f>Q248*#REF!</f>
        <v>#REF!</v>
      </c>
      <c r="S248" s="62" t="e">
        <f>R248*#REF!</f>
        <v>#REF!</v>
      </c>
      <c r="T248" s="62" t="e">
        <f>S248*#REF!</f>
        <v>#REF!</v>
      </c>
      <c r="U248" s="62" t="e">
        <f>T248*#REF!</f>
        <v>#REF!</v>
      </c>
      <c r="V248" s="62" t="e">
        <f>U248*#REF!</f>
        <v>#REF!</v>
      </c>
      <c r="W248" s="34"/>
      <c r="X248" s="1">
        <f>X244*$E$9</f>
        <v>2</v>
      </c>
      <c r="Y248" s="1">
        <f t="shared" ref="Y248:AA248" si="638">Y244*$E$9</f>
        <v>1.72</v>
      </c>
      <c r="Z248" s="1">
        <f t="shared" si="638"/>
        <v>1.88</v>
      </c>
      <c r="AA248" s="1">
        <f t="shared" si="638"/>
        <v>2.02</v>
      </c>
      <c r="AB248" s="34">
        <f>X248*VLOOKUP($B248,Types!$B$2:$D$13,3,FALSE)*Conv!$I$5*1000*365</f>
        <v>4.3669822895999992</v>
      </c>
      <c r="AC248" s="34">
        <f>Y248*VLOOKUP($B248,Types!$B$2:$D$13,3,FALSE)*Conv!$I$5*1000*365</f>
        <v>3.7556047690559993</v>
      </c>
      <c r="AD248" s="34">
        <f>Z248*VLOOKUP($B248,Types!$B$2:$D$13,3,FALSE)*Conv!$I$5*1000*365</f>
        <v>4.1049633522239999</v>
      </c>
      <c r="AE248" s="34">
        <f>AA248*VLOOKUP($B248,Types!$B$2:$D$13,3,FALSE)*Conv!$I$5*1000*365</f>
        <v>4.4106521124959999</v>
      </c>
      <c r="AF248" s="34">
        <f>AB248-AB247</f>
        <v>1.7467929158399995</v>
      </c>
      <c r="AG248" s="34">
        <f t="shared" ref="AG248:AI248" si="639">AC248-AC247</f>
        <v>1.5022419076223996</v>
      </c>
      <c r="AH248" s="34">
        <f t="shared" si="639"/>
        <v>1.6419853408896001</v>
      </c>
      <c r="AI248" s="34">
        <f t="shared" si="639"/>
        <v>1.7642608449984003</v>
      </c>
      <c r="AJ248" s="34"/>
      <c r="AK248" s="34"/>
      <c r="AL248" s="34"/>
    </row>
    <row r="249" spans="1:38">
      <c r="A249" s="1" t="str">
        <f>'Agg prdcrv'!$A$16</f>
        <v>Methanol</v>
      </c>
      <c r="B249" s="1" t="str">
        <f>VLOOKUP($A249,Types!$A$2:$C$13,2,FALSE)</f>
        <v>MTH</v>
      </c>
      <c r="C249" s="1">
        <v>3</v>
      </c>
      <c r="D249" s="1">
        <v>4</v>
      </c>
      <c r="E249" s="1" t="str">
        <f t="shared" si="626"/>
        <v>IMPMTHP43</v>
      </c>
      <c r="F249" s="1" t="str">
        <f>CONCATENATE("Imported ",VLOOKUP($A249,Types!$A$2:$C$13,3,FALSE),", PADD ",D249,", Step ",RIGHT(C249,1))</f>
        <v>Imported Methanol, PADD 4, Step 3</v>
      </c>
      <c r="G249" s="1" t="str">
        <f>CONCATENATE(VLOOKUP($A249,Types!$A$2:$C$13,2,FALSE),"P",D249)</f>
        <v>MTHP4</v>
      </c>
      <c r="H249" s="61">
        <f>SUMIFS('Agg prdcrv NYC'!$O$6:$O$100,'Agg prdcrv NYC'!$A$6:$A$100,'Imp Refined NYC'!$A249,'Agg prdcrv NYC'!$B$6:$B$100,H$11)*K4</f>
        <v>53.867000000000004</v>
      </c>
      <c r="I249" s="61">
        <f>SUMIFS('Agg prdcrv NYC'!$O$6:$O$100,'Agg prdcrv NYC'!$A$6:$A$100,'Imp Refined NYC'!$A249,'Agg prdcrv NYC'!$B$6:$B$100,I$11)*K4</f>
        <v>53.283999999999999</v>
      </c>
      <c r="J249" s="61">
        <f t="array" ref="J249">SUMIFS('Agg prdcrv NYC'!$O$6:$O$100,'Agg prdcrv NYC'!$A$6:$A$100,'Imp Refined NYC'!$A249,'Agg prdcrv NYC'!$B$6:$B$100,J$11)</f>
        <v>48.44</v>
      </c>
      <c r="K249" s="61">
        <f t="array" ref="K249">SUMIFS('Agg prdcrv NYC'!$O$6:$O$100,'Agg prdcrv NYC'!$A$6:$A$100,'Imp Refined NYC'!$A249,'Agg prdcrv NYC'!$B$6:$B$100,K$11)</f>
        <v>48.44</v>
      </c>
      <c r="L249" s="62">
        <f>H249*Conv!$J$20/10^6/VLOOKUP($B249,Types!$B$2:$D$13,3,FALSE)/Conv!$I$5</f>
        <v>28.522240377615105</v>
      </c>
      <c r="M249" s="62">
        <f>I249*Conv!$J$20/10^6/VLOOKUP($B249,Types!$B$2:$D$13,3,FALSE)/Conv!$I$5</f>
        <v>28.21354551545182</v>
      </c>
      <c r="N249" s="62" t="e">
        <f>M249*#REF!</f>
        <v>#REF!</v>
      </c>
      <c r="O249" s="62" t="e">
        <f>N249*#REF!</f>
        <v>#REF!</v>
      </c>
      <c r="P249" s="62" t="e">
        <f>O249*#REF!</f>
        <v>#REF!</v>
      </c>
      <c r="Q249" s="62" t="e">
        <f>P249*#REF!</f>
        <v>#REF!</v>
      </c>
      <c r="R249" s="62" t="e">
        <f>Q249*#REF!</f>
        <v>#REF!</v>
      </c>
      <c r="S249" s="62" t="e">
        <f>R249*#REF!</f>
        <v>#REF!</v>
      </c>
      <c r="T249" s="62" t="e">
        <f>S249*#REF!</f>
        <v>#REF!</v>
      </c>
      <c r="U249" s="62" t="e">
        <f>T249*#REF!</f>
        <v>#REF!</v>
      </c>
      <c r="V249" s="62" t="e">
        <f>U249*#REF!</f>
        <v>#REF!</v>
      </c>
      <c r="W249" s="34"/>
      <c r="X249" s="1">
        <f t="array" ref="X249">SUMIFS('Agg prdcrv NYC'!$G$6:$G$100,'Agg prdcrv NYC'!$A$6:$A$100,'Imp Refined NYC'!$A249,'Agg prdcrv NYC'!$B$6:$B$100,X$11)</f>
        <v>0</v>
      </c>
      <c r="Y249" s="1">
        <f t="array" ref="Y249">SUMIFS('Agg prdcrv NYC'!$G$6:$G$100,'Agg prdcrv NYC'!$A$6:$A$100,'Imp Refined NYC'!$A249,'Agg prdcrv NYC'!$B$6:$B$100,Y$11)</f>
        <v>0</v>
      </c>
      <c r="Z249" s="1">
        <f t="array" ref="Z249">SUMIFS('Agg prdcrv NYC'!$G$6:$G$100,'Agg prdcrv NYC'!$A$6:$A$100,'Imp Refined NYC'!$A249,'Agg prdcrv NYC'!$B$6:$B$100,Z$11)</f>
        <v>0</v>
      </c>
      <c r="AA249" s="1">
        <f t="array" ref="AA249">SUMIFS('Agg prdcrv NYC'!$G$6:$G$100,'Agg prdcrv NYC'!$A$6:$A$100,'Imp Refined NYC'!$A249,'Agg prdcrv NYC'!$B$6:$B$100,AA$11)</f>
        <v>0</v>
      </c>
      <c r="AB249" s="34">
        <f>X249*VLOOKUP($B249,Types!$B$2:$D$13,3,FALSE)*Conv!$I$5*1000*365</f>
        <v>0</v>
      </c>
      <c r="AC249" s="34">
        <f>Y249*VLOOKUP($B249,Types!$B$2:$D$13,3,FALSE)*Conv!$I$5*1000*365</f>
        <v>0</v>
      </c>
      <c r="AD249" s="34">
        <f>Z249*VLOOKUP($B249,Types!$B$2:$D$13,3,FALSE)*Conv!$I$5*1000*365</f>
        <v>0</v>
      </c>
      <c r="AE249" s="34">
        <f>AA249*VLOOKUP($B249,Types!$B$2:$D$13,3,FALSE)*Conv!$I$5*1000*365</f>
        <v>0</v>
      </c>
      <c r="AF249" s="34">
        <f>AB249-AB251</f>
        <v>0</v>
      </c>
      <c r="AG249" s="34">
        <f t="shared" ref="AG249:AI249" si="640">AC249-AC251</f>
        <v>0</v>
      </c>
      <c r="AH249" s="34">
        <f t="shared" si="640"/>
        <v>0</v>
      </c>
      <c r="AI249" s="34">
        <f t="shared" si="640"/>
        <v>0</v>
      </c>
      <c r="AJ249" s="34"/>
      <c r="AK249" s="34"/>
      <c r="AL249" s="34"/>
    </row>
    <row r="250" spans="1:38">
      <c r="A250" s="1" t="str">
        <f>A249</f>
        <v>Methanol</v>
      </c>
      <c r="B250" s="1" t="str">
        <f>VLOOKUP($A250,Types!$A$2:$C$13,2,FALSE)</f>
        <v>MTH</v>
      </c>
      <c r="C250" s="1">
        <v>1</v>
      </c>
      <c r="D250" s="1">
        <v>4</v>
      </c>
      <c r="E250" s="1" t="str">
        <f t="shared" si="626"/>
        <v>IMPMTHP41</v>
      </c>
      <c r="F250" s="1" t="str">
        <f>CONCATENATE("Imported ",VLOOKUP($A250,Types!$A$2:$C$13,3,FALSE),", PADD ",D250,", Step ",RIGHT(C250,1))</f>
        <v>Imported Methanol, PADD 4, Step 1</v>
      </c>
      <c r="G250" s="1" t="str">
        <f>CONCATENATE(VLOOKUP($A250,Types!$A$2:$C$13,2,FALSE),"P",D250)</f>
        <v>MTHP4</v>
      </c>
      <c r="H250" s="61">
        <f>H249*$C$5</f>
        <v>51.173650000000002</v>
      </c>
      <c r="I250" s="61">
        <f t="shared" ref="I250:K250" si="641">I249*$C$5</f>
        <v>50.619799999999998</v>
      </c>
      <c r="J250" s="61">
        <f t="shared" si="641"/>
        <v>46.017999999999994</v>
      </c>
      <c r="K250" s="61">
        <f t="shared" si="641"/>
        <v>46.017999999999994</v>
      </c>
      <c r="L250" s="62">
        <f>H250*Conv!$J$20/10^6/VLOOKUP($B250,Types!$B$2:$D$13,3,FALSE)/Conv!$I$5</f>
        <v>27.096128358734344</v>
      </c>
      <c r="M250" s="62">
        <f>I250*Conv!$J$20/10^6/VLOOKUP($B250,Types!$B$2:$D$13,3,FALSE)/Conv!$I$5</f>
        <v>26.802868239679228</v>
      </c>
      <c r="N250" s="62" t="e">
        <f>M250*#REF!</f>
        <v>#REF!</v>
      </c>
      <c r="O250" s="62" t="e">
        <f>N250*#REF!</f>
        <v>#REF!</v>
      </c>
      <c r="P250" s="62" t="e">
        <f>O250*#REF!</f>
        <v>#REF!</v>
      </c>
      <c r="Q250" s="62" t="e">
        <f>P250*#REF!</f>
        <v>#REF!</v>
      </c>
      <c r="R250" s="62" t="e">
        <f>Q250*#REF!</f>
        <v>#REF!</v>
      </c>
      <c r="S250" s="62" t="e">
        <f>R250*#REF!</f>
        <v>#REF!</v>
      </c>
      <c r="T250" s="62" t="e">
        <f>S250*#REF!</f>
        <v>#REF!</v>
      </c>
      <c r="U250" s="62" t="e">
        <f>T250*#REF!</f>
        <v>#REF!</v>
      </c>
      <c r="V250" s="62" t="e">
        <f>U250*#REF!</f>
        <v>#REF!</v>
      </c>
      <c r="W250" s="34"/>
      <c r="X250" s="1">
        <f>X249*$E$5</f>
        <v>0</v>
      </c>
      <c r="Y250" s="1">
        <f t="shared" ref="Y250:AA250" si="642">Y249*$E$5</f>
        <v>0</v>
      </c>
      <c r="Z250" s="1">
        <f t="shared" si="642"/>
        <v>0</v>
      </c>
      <c r="AA250" s="1">
        <f t="shared" si="642"/>
        <v>0</v>
      </c>
      <c r="AB250" s="34">
        <f>X250*VLOOKUP($B250,Types!$B$2:$D$13,3,FALSE)*Conv!$I$5*1000*365</f>
        <v>0</v>
      </c>
      <c r="AC250" s="34">
        <f>Y250*VLOOKUP($B250,Types!$B$2:$D$13,3,FALSE)*Conv!$I$5*1000*365</f>
        <v>0</v>
      </c>
      <c r="AD250" s="34">
        <f>Z250*VLOOKUP($B250,Types!$B$2:$D$13,3,FALSE)*Conv!$I$5*1000*365</f>
        <v>0</v>
      </c>
      <c r="AE250" s="34">
        <f>AA250*VLOOKUP($B250,Types!$B$2:$D$13,3,FALSE)*Conv!$I$5*1000*365</f>
        <v>0</v>
      </c>
      <c r="AF250" s="34">
        <f>AB250</f>
        <v>0</v>
      </c>
      <c r="AG250" s="34">
        <f t="shared" ref="AG250:AI250" si="643">AC250</f>
        <v>0</v>
      </c>
      <c r="AH250" s="34">
        <f t="shared" si="643"/>
        <v>0</v>
      </c>
      <c r="AI250" s="34">
        <f t="shared" si="643"/>
        <v>0</v>
      </c>
      <c r="AJ250" s="34"/>
      <c r="AK250" s="34"/>
      <c r="AL250" s="34"/>
    </row>
    <row r="251" spans="1:38">
      <c r="A251" s="1" t="str">
        <f t="shared" ref="A251:A253" si="644">A250</f>
        <v>Methanol</v>
      </c>
      <c r="B251" s="1" t="str">
        <f>VLOOKUP($A251,Types!$A$2:$C$13,2,FALSE)</f>
        <v>MTH</v>
      </c>
      <c r="C251" s="1">
        <v>2</v>
      </c>
      <c r="D251" s="1">
        <v>4</v>
      </c>
      <c r="E251" s="1" t="str">
        <f t="shared" si="626"/>
        <v>IMPMTHP42</v>
      </c>
      <c r="F251" s="1" t="str">
        <f>CONCATENATE("Imported ",VLOOKUP($A251,Types!$A$2:$C$13,3,FALSE),", PADD ",D251,", Step ",RIGHT(C251,1))</f>
        <v>Imported Methanol, PADD 4, Step 2</v>
      </c>
      <c r="G251" s="1" t="str">
        <f>CONCATENATE(VLOOKUP($A251,Types!$A$2:$C$13,2,FALSE),"P",D251)</f>
        <v>MTHP4</v>
      </c>
      <c r="H251" s="61">
        <f>H249*$C$6</f>
        <v>52.789660000000005</v>
      </c>
      <c r="I251" s="61">
        <f t="shared" ref="I251:K251" si="645">I249*$C$6</f>
        <v>52.218319999999999</v>
      </c>
      <c r="J251" s="61">
        <f t="shared" si="645"/>
        <v>47.471199999999996</v>
      </c>
      <c r="K251" s="61">
        <f t="shared" si="645"/>
        <v>47.471199999999996</v>
      </c>
      <c r="L251" s="62">
        <f>H251*Conv!$J$20/10^6/VLOOKUP($B251,Types!$B$2:$D$13,3,FALSE)/Conv!$I$5</f>
        <v>27.951795570062803</v>
      </c>
      <c r="M251" s="62">
        <f>I251*Conv!$J$20/10^6/VLOOKUP($B251,Types!$B$2:$D$13,3,FALSE)/Conv!$I$5</f>
        <v>27.649274605142782</v>
      </c>
      <c r="N251" s="62" t="e">
        <f>M251*#REF!</f>
        <v>#REF!</v>
      </c>
      <c r="O251" s="62" t="e">
        <f>N251*#REF!</f>
        <v>#REF!</v>
      </c>
      <c r="P251" s="62" t="e">
        <f>O251*#REF!</f>
        <v>#REF!</v>
      </c>
      <c r="Q251" s="62" t="e">
        <f>P251*#REF!</f>
        <v>#REF!</v>
      </c>
      <c r="R251" s="62" t="e">
        <f>Q251*#REF!</f>
        <v>#REF!</v>
      </c>
      <c r="S251" s="62" t="e">
        <f>R251*#REF!</f>
        <v>#REF!</v>
      </c>
      <c r="T251" s="62" t="e">
        <f>S251*#REF!</f>
        <v>#REF!</v>
      </c>
      <c r="U251" s="62" t="e">
        <f>T251*#REF!</f>
        <v>#REF!</v>
      </c>
      <c r="V251" s="62" t="e">
        <f>U251*#REF!</f>
        <v>#REF!</v>
      </c>
      <c r="W251" s="34"/>
      <c r="X251" s="1">
        <f>X249*$E$6</f>
        <v>0</v>
      </c>
      <c r="Y251" s="1">
        <f t="shared" ref="Y251:AA251" si="646">Y249*$E$6</f>
        <v>0</v>
      </c>
      <c r="Z251" s="1">
        <f t="shared" si="646"/>
        <v>0</v>
      </c>
      <c r="AA251" s="1">
        <f t="shared" si="646"/>
        <v>0</v>
      </c>
      <c r="AB251" s="34">
        <f>X251*VLOOKUP($B251,Types!$B$2:$D$13,3,FALSE)*Conv!$I$5*1000*365</f>
        <v>0</v>
      </c>
      <c r="AC251" s="34">
        <f>Y251*VLOOKUP($B251,Types!$B$2:$D$13,3,FALSE)*Conv!$I$5*1000*365</f>
        <v>0</v>
      </c>
      <c r="AD251" s="34">
        <f>Z251*VLOOKUP($B251,Types!$B$2:$D$13,3,FALSE)*Conv!$I$5*1000*365</f>
        <v>0</v>
      </c>
      <c r="AE251" s="34">
        <f>AA251*VLOOKUP($B251,Types!$B$2:$D$13,3,FALSE)*Conv!$I$5*1000*365</f>
        <v>0</v>
      </c>
      <c r="AF251" s="34">
        <f>AB251-AF250</f>
        <v>0</v>
      </c>
      <c r="AG251" s="34">
        <f t="shared" ref="AG251:AI251" si="647">AC251-AG250</f>
        <v>0</v>
      </c>
      <c r="AH251" s="34">
        <f t="shared" si="647"/>
        <v>0</v>
      </c>
      <c r="AI251" s="34">
        <f t="shared" si="647"/>
        <v>0</v>
      </c>
      <c r="AJ251" s="34"/>
      <c r="AK251" s="34"/>
      <c r="AL251" s="34"/>
    </row>
    <row r="252" spans="1:38">
      <c r="A252" s="1" t="str">
        <f t="shared" si="644"/>
        <v>Methanol</v>
      </c>
      <c r="B252" s="1" t="str">
        <f>VLOOKUP($A252,Types!$A$2:$C$13,2,FALSE)</f>
        <v>MTH</v>
      </c>
      <c r="C252" s="1">
        <v>4</v>
      </c>
      <c r="D252" s="1">
        <v>4</v>
      </c>
      <c r="E252" s="1" t="str">
        <f t="shared" si="626"/>
        <v>IMPMTHP44</v>
      </c>
      <c r="F252" s="1" t="str">
        <f>CONCATENATE("Imported ",VLOOKUP($A252,Types!$A$2:$C$13,3,FALSE),", PADD ",D252,", Step ",RIGHT(C252,1))</f>
        <v>Imported Methanol, PADD 4, Step 4</v>
      </c>
      <c r="G252" s="1" t="str">
        <f>CONCATENATE(VLOOKUP($A252,Types!$A$2:$C$13,2,FALSE),"P",D252)</f>
        <v>MTHP4</v>
      </c>
      <c r="H252" s="61">
        <f>H249*$C$8</f>
        <v>58.715030000000006</v>
      </c>
      <c r="I252" s="61">
        <f t="shared" ref="I252:K252" si="648">I249*$C$8</f>
        <v>58.079560000000001</v>
      </c>
      <c r="J252" s="61">
        <f t="shared" si="648"/>
        <v>52.799599999999998</v>
      </c>
      <c r="K252" s="61">
        <f t="shared" si="648"/>
        <v>52.799599999999998</v>
      </c>
      <c r="L252" s="62">
        <f>H252*Conv!$J$20/10^6/VLOOKUP($B252,Types!$B$2:$D$13,3,FALSE)/Conv!$I$5</f>
        <v>31.089242011600458</v>
      </c>
      <c r="M252" s="62">
        <f>I252*Conv!$J$20/10^6/VLOOKUP($B252,Types!$B$2:$D$13,3,FALSE)/Conv!$I$5</f>
        <v>30.752764611842483</v>
      </c>
      <c r="N252" s="62" t="e">
        <f>M252*#REF!</f>
        <v>#REF!</v>
      </c>
      <c r="O252" s="62" t="e">
        <f>N252*#REF!</f>
        <v>#REF!</v>
      </c>
      <c r="P252" s="62" t="e">
        <f>O252*#REF!</f>
        <v>#REF!</v>
      </c>
      <c r="Q252" s="62" t="e">
        <f>P252*#REF!</f>
        <v>#REF!</v>
      </c>
      <c r="R252" s="62" t="e">
        <f>Q252*#REF!</f>
        <v>#REF!</v>
      </c>
      <c r="S252" s="62" t="e">
        <f>R252*#REF!</f>
        <v>#REF!</v>
      </c>
      <c r="T252" s="62" t="e">
        <f>S252*#REF!</f>
        <v>#REF!</v>
      </c>
      <c r="U252" s="62" t="e">
        <f>T252*#REF!</f>
        <v>#REF!</v>
      </c>
      <c r="V252" s="62" t="e">
        <f>U252*#REF!</f>
        <v>#REF!</v>
      </c>
      <c r="W252" s="34"/>
      <c r="X252" s="1">
        <f>X249*$E$8</f>
        <v>0</v>
      </c>
      <c r="Y252" s="1">
        <f t="shared" ref="Y252:AA252" si="649">Y249*$E$8</f>
        <v>0</v>
      </c>
      <c r="Z252" s="1">
        <f t="shared" si="649"/>
        <v>0</v>
      </c>
      <c r="AA252" s="1">
        <f t="shared" si="649"/>
        <v>0</v>
      </c>
      <c r="AB252" s="34">
        <f>X252*VLOOKUP($B252,Types!$B$2:$D$13,3,FALSE)*Conv!$I$5*1000*365</f>
        <v>0</v>
      </c>
      <c r="AC252" s="34">
        <f>Y252*VLOOKUP($B252,Types!$B$2:$D$13,3,FALSE)*Conv!$I$5*1000*365</f>
        <v>0</v>
      </c>
      <c r="AD252" s="34">
        <f>Z252*VLOOKUP($B252,Types!$B$2:$D$13,3,FALSE)*Conv!$I$5*1000*365</f>
        <v>0</v>
      </c>
      <c r="AE252" s="34">
        <f>AA252*VLOOKUP($B252,Types!$B$2:$D$13,3,FALSE)*Conv!$I$5*1000*365</f>
        <v>0</v>
      </c>
      <c r="AF252" s="34">
        <f>AB252-AB249</f>
        <v>0</v>
      </c>
      <c r="AG252" s="34">
        <f t="shared" ref="AG252:AI252" si="650">AC252-AC249</f>
        <v>0</v>
      </c>
      <c r="AH252" s="34">
        <f t="shared" si="650"/>
        <v>0</v>
      </c>
      <c r="AI252" s="34">
        <f t="shared" si="650"/>
        <v>0</v>
      </c>
      <c r="AJ252" s="34"/>
      <c r="AK252" s="34"/>
      <c r="AL252" s="34"/>
    </row>
    <row r="253" spans="1:38">
      <c r="A253" s="1" t="str">
        <f t="shared" si="644"/>
        <v>Methanol</v>
      </c>
      <c r="B253" s="1" t="str">
        <f>VLOOKUP($A253,Types!$A$2:$C$13,2,FALSE)</f>
        <v>MTH</v>
      </c>
      <c r="C253" s="1">
        <v>5</v>
      </c>
      <c r="D253" s="1">
        <v>4</v>
      </c>
      <c r="E253" s="1" t="str">
        <f t="shared" si="626"/>
        <v>IMPMTHP45</v>
      </c>
      <c r="F253" s="1" t="str">
        <f>CONCATENATE("Imported ",VLOOKUP($A253,Types!$A$2:$C$13,3,FALSE),", PADD ",D253,", Step ",RIGHT(C253,1))</f>
        <v>Imported Methanol, PADD 4, Step 5</v>
      </c>
      <c r="G253" s="1" t="str">
        <f>CONCATENATE(VLOOKUP($A253,Types!$A$2:$C$13,2,FALSE),"P",D253)</f>
        <v>MTHP4</v>
      </c>
      <c r="H253" s="61">
        <f>H249*$C$9</f>
        <v>70.027100000000004</v>
      </c>
      <c r="I253" s="61">
        <f t="shared" ref="I253:K253" si="651">I249*$C$9</f>
        <v>69.269199999999998</v>
      </c>
      <c r="J253" s="61">
        <f t="shared" si="651"/>
        <v>62.972000000000001</v>
      </c>
      <c r="K253" s="61">
        <f t="shared" si="651"/>
        <v>62.972000000000001</v>
      </c>
      <c r="L253" s="62">
        <f>H253*Conv!$J$20/10^6/VLOOKUP($B253,Types!$B$2:$D$13,3,FALSE)/Conv!$I$5</f>
        <v>37.078912490899633</v>
      </c>
      <c r="M253" s="62">
        <f>I253*Conv!$J$20/10^6/VLOOKUP($B253,Types!$B$2:$D$13,3,FALSE)/Conv!$I$5</f>
        <v>36.677609170087358</v>
      </c>
      <c r="N253" s="62" t="e">
        <f>M253*#REF!</f>
        <v>#REF!</v>
      </c>
      <c r="O253" s="62" t="e">
        <f>N253*#REF!</f>
        <v>#REF!</v>
      </c>
      <c r="P253" s="62" t="e">
        <f>O253*#REF!</f>
        <v>#REF!</v>
      </c>
      <c r="Q253" s="62" t="e">
        <f>P253*#REF!</f>
        <v>#REF!</v>
      </c>
      <c r="R253" s="62" t="e">
        <f>Q253*#REF!</f>
        <v>#REF!</v>
      </c>
      <c r="S253" s="62" t="e">
        <f>R253*#REF!</f>
        <v>#REF!</v>
      </c>
      <c r="T253" s="62" t="e">
        <f>S253*#REF!</f>
        <v>#REF!</v>
      </c>
      <c r="U253" s="62" t="e">
        <f>T253*#REF!</f>
        <v>#REF!</v>
      </c>
      <c r="V253" s="62" t="e">
        <f>U253*#REF!</f>
        <v>#REF!</v>
      </c>
      <c r="W253" s="34"/>
      <c r="X253" s="1">
        <f>X249*$E$9</f>
        <v>0</v>
      </c>
      <c r="Y253" s="1">
        <f t="shared" ref="Y253:AA253" si="652">Y249*$E$9</f>
        <v>0</v>
      </c>
      <c r="Z253" s="1">
        <f t="shared" si="652"/>
        <v>0</v>
      </c>
      <c r="AA253" s="1">
        <f t="shared" si="652"/>
        <v>0</v>
      </c>
      <c r="AB253" s="34">
        <f>X253*VLOOKUP($B253,Types!$B$2:$D$13,3,FALSE)*Conv!$I$5*1000*365</f>
        <v>0</v>
      </c>
      <c r="AC253" s="34">
        <f>Y253*VLOOKUP($B253,Types!$B$2:$D$13,3,FALSE)*Conv!$I$5*1000*365</f>
        <v>0</v>
      </c>
      <c r="AD253" s="34">
        <f>Z253*VLOOKUP($B253,Types!$B$2:$D$13,3,FALSE)*Conv!$I$5*1000*365</f>
        <v>0</v>
      </c>
      <c r="AE253" s="34">
        <f>AA253*VLOOKUP($B253,Types!$B$2:$D$13,3,FALSE)*Conv!$I$5*1000*365</f>
        <v>0</v>
      </c>
      <c r="AF253" s="34">
        <f>AB253-AB252</f>
        <v>0</v>
      </c>
      <c r="AG253" s="34">
        <f t="shared" ref="AG253:AI253" si="653">AC253-AC252</f>
        <v>0</v>
      </c>
      <c r="AH253" s="34">
        <f t="shared" si="653"/>
        <v>0</v>
      </c>
      <c r="AI253" s="34">
        <f t="shared" si="653"/>
        <v>0</v>
      </c>
      <c r="AJ253" s="34"/>
      <c r="AK253" s="34"/>
      <c r="AL253" s="34"/>
    </row>
    <row r="254" spans="1:38">
      <c r="A254" s="1" t="str">
        <f>'Agg prdcrv'!$A$19</f>
        <v>ULS Diesel (15 ppm)</v>
      </c>
      <c r="B254" s="1" t="str">
        <f>VLOOKUP($A254,Types!$A$2:$C$13,2,FALSE)</f>
        <v>DSU</v>
      </c>
      <c r="C254" s="1">
        <v>3</v>
      </c>
      <c r="D254" s="1">
        <v>4</v>
      </c>
      <c r="E254" s="1" t="str">
        <f t="shared" si="626"/>
        <v>IMPDSUP43</v>
      </c>
      <c r="F254" s="1" t="str">
        <f>CONCATENATE("Imported ",VLOOKUP($A254,Types!$A$2:$C$13,3,FALSE),", PADD ",D254,", Step ",RIGHT(C254,1))</f>
        <v>Imported Distillate-Ultralow Sulfur Highway Diesel (15 ppm), PADD 4, Step 3</v>
      </c>
      <c r="G254" s="1" t="str">
        <f>CONCATENATE(VLOOKUP($A254,Types!$A$2:$C$13,2,FALSE),"P",D254)</f>
        <v>DSUP4</v>
      </c>
      <c r="H254" s="61">
        <f>SUMIFS('Agg prdcrv NYC'!$O$6:$O$100,'Agg prdcrv NYC'!$A$6:$A$100,'Imp Refined NYC'!$A254,'Agg prdcrv NYC'!$B$6:$B$100,H$11)*K4</f>
        <v>75.229000000000013</v>
      </c>
      <c r="I254" s="61">
        <f>SUMIFS('Agg prdcrv NYC'!$O$6:$O$100,'Agg prdcrv NYC'!$A$6:$A$100,'Imp Refined NYC'!$A254,'Agg prdcrv NYC'!$B$6:$B$100,I$11)*K4</f>
        <v>54.856999999999999</v>
      </c>
      <c r="J254" s="61">
        <f t="array" ref="J254">SUMIFS('Agg prdcrv NYC'!$O$6:$O$100,'Agg prdcrv NYC'!$A$6:$A$100,'Imp Refined NYC'!$A254,'Agg prdcrv NYC'!$B$6:$B$100,J$11)</f>
        <v>43.49</v>
      </c>
      <c r="K254" s="61">
        <f t="array" ref="K254">SUMIFS('Agg prdcrv NYC'!$O$6:$O$100,'Agg prdcrv NYC'!$A$6:$A$100,'Imp Refined NYC'!$A254,'Agg prdcrv NYC'!$B$6:$B$100,K$11)</f>
        <v>44.76</v>
      </c>
      <c r="L254" s="62">
        <f>H254*Conv!$J$20/10^6/VLOOKUP($B254,Types!$B$2:$D$13,3,FALSE)/Conv!$I$5</f>
        <v>18.783531366429504</v>
      </c>
      <c r="M254" s="62">
        <f>I254*Conv!$J$20/10^6/VLOOKUP($B254,Types!$B$2:$D$13,3,FALSE)/Conv!$I$5</f>
        <v>13.696954368238618</v>
      </c>
      <c r="N254" s="62" t="e">
        <f>M254*#REF!</f>
        <v>#REF!</v>
      </c>
      <c r="O254" s="62" t="e">
        <f>N254*#REF!</f>
        <v>#REF!</v>
      </c>
      <c r="P254" s="62" t="e">
        <f>O254*#REF!</f>
        <v>#REF!</v>
      </c>
      <c r="Q254" s="62" t="e">
        <f>P254*#REF!</f>
        <v>#REF!</v>
      </c>
      <c r="R254" s="62" t="e">
        <f>Q254*#REF!</f>
        <v>#REF!</v>
      </c>
      <c r="S254" s="62" t="e">
        <f>R254*#REF!</f>
        <v>#REF!</v>
      </c>
      <c r="T254" s="62" t="e">
        <f>S254*#REF!</f>
        <v>#REF!</v>
      </c>
      <c r="U254" s="62" t="e">
        <f>T254*#REF!</f>
        <v>#REF!</v>
      </c>
      <c r="V254" s="62" t="e">
        <f>U254*#REF!</f>
        <v>#REF!</v>
      </c>
      <c r="W254" s="34"/>
      <c r="X254" s="1">
        <f t="array" ref="X254">SUMIFS('Agg prdcrv NYC'!$G$6:$G$100,'Agg prdcrv NYC'!$A$6:$A$100,'Imp Refined NYC'!$A254,'Agg prdcrv NYC'!$B$6:$B$100,X$11)</f>
        <v>0</v>
      </c>
      <c r="Y254" s="1">
        <f t="array" ref="Y254">SUMIFS('Agg prdcrv NYC'!$G$6:$G$100,'Agg prdcrv NYC'!$A$6:$A$100,'Imp Refined NYC'!$A254,'Agg prdcrv NYC'!$B$6:$B$100,Y$11)</f>
        <v>0</v>
      </c>
      <c r="Z254" s="1">
        <f t="array" ref="Z254">SUMIFS('Agg prdcrv NYC'!$G$6:$G$100,'Agg prdcrv NYC'!$A$6:$A$100,'Imp Refined NYC'!$A254,'Agg prdcrv NYC'!$B$6:$B$100,Z$11)</f>
        <v>0</v>
      </c>
      <c r="AA254" s="1">
        <f t="array" ref="AA254">SUMIFS('Agg prdcrv NYC'!$G$6:$G$100,'Agg prdcrv NYC'!$A$6:$A$100,'Imp Refined NYC'!$A254,'Agg prdcrv NYC'!$B$6:$B$100,AA$11)</f>
        <v>0</v>
      </c>
      <c r="AB254" s="34">
        <f>X254*VLOOKUP($B254,Types!$B$2:$D$13,3,FALSE)*Conv!$I$5*1000*365</f>
        <v>0</v>
      </c>
      <c r="AC254" s="34">
        <f>Y254*VLOOKUP($B254,Types!$B$2:$D$13,3,FALSE)*Conv!$I$5*1000*365</f>
        <v>0</v>
      </c>
      <c r="AD254" s="34">
        <f>Z254*VLOOKUP($B254,Types!$B$2:$D$13,3,FALSE)*Conv!$I$5*1000*365</f>
        <v>0</v>
      </c>
      <c r="AE254" s="34">
        <f>AA254*VLOOKUP($B254,Types!$B$2:$D$13,3,FALSE)*Conv!$I$5*1000*365</f>
        <v>0</v>
      </c>
      <c r="AF254" s="34">
        <f>AB254-AB256</f>
        <v>0</v>
      </c>
      <c r="AG254" s="34">
        <f t="shared" ref="AG254:AI254" si="654">AC254-AC256</f>
        <v>0</v>
      </c>
      <c r="AH254" s="34">
        <f t="shared" si="654"/>
        <v>0</v>
      </c>
      <c r="AI254" s="34">
        <f t="shared" si="654"/>
        <v>0</v>
      </c>
      <c r="AJ254" s="34"/>
      <c r="AK254" s="34"/>
      <c r="AL254" s="34"/>
    </row>
    <row r="255" spans="1:38">
      <c r="A255" s="1" t="str">
        <f>A254</f>
        <v>ULS Diesel (15 ppm)</v>
      </c>
      <c r="B255" s="1" t="str">
        <f>VLOOKUP($A255,Types!$A$2:$C$13,2,FALSE)</f>
        <v>DSU</v>
      </c>
      <c r="C255" s="1">
        <v>1</v>
      </c>
      <c r="D255" s="1">
        <v>4</v>
      </c>
      <c r="E255" s="1" t="str">
        <f t="shared" si="626"/>
        <v>IMPDSUP41</v>
      </c>
      <c r="F255" s="1" t="str">
        <f>CONCATENATE("Imported ",VLOOKUP($A255,Types!$A$2:$C$13,3,FALSE),", PADD ",D255,", Step ",RIGHT(C255,1))</f>
        <v>Imported Distillate-Ultralow Sulfur Highway Diesel (15 ppm), PADD 4, Step 1</v>
      </c>
      <c r="G255" s="1" t="str">
        <f>CONCATENATE(VLOOKUP($A255,Types!$A$2:$C$13,2,FALSE),"P",D255)</f>
        <v>DSUP4</v>
      </c>
      <c r="H255" s="61">
        <f>H254*$C$5</f>
        <v>71.467550000000003</v>
      </c>
      <c r="I255" s="61">
        <f t="shared" ref="I255:K255" si="655">I254*$C$5</f>
        <v>52.114149999999995</v>
      </c>
      <c r="J255" s="61">
        <f t="shared" si="655"/>
        <v>41.3155</v>
      </c>
      <c r="K255" s="61">
        <f t="shared" si="655"/>
        <v>42.521999999999998</v>
      </c>
      <c r="L255" s="62">
        <f>H255*Conv!$J$20/10^6/VLOOKUP($B255,Types!$B$2:$D$13,3,FALSE)/Conv!$I$5</f>
        <v>17.844354798108021</v>
      </c>
      <c r="M255" s="62">
        <f>I255*Conv!$J$20/10^6/VLOOKUP($B255,Types!$B$2:$D$13,3,FALSE)/Conv!$I$5</f>
        <v>13.012106649826684</v>
      </c>
      <c r="N255" s="62" t="e">
        <f>M255*#REF!</f>
        <v>#REF!</v>
      </c>
      <c r="O255" s="62" t="e">
        <f>N255*#REF!</f>
        <v>#REF!</v>
      </c>
      <c r="P255" s="62" t="e">
        <f>O255*#REF!</f>
        <v>#REF!</v>
      </c>
      <c r="Q255" s="62" t="e">
        <f>P255*#REF!</f>
        <v>#REF!</v>
      </c>
      <c r="R255" s="62" t="e">
        <f>Q255*#REF!</f>
        <v>#REF!</v>
      </c>
      <c r="S255" s="62" t="e">
        <f>R255*#REF!</f>
        <v>#REF!</v>
      </c>
      <c r="T255" s="62" t="e">
        <f>S255*#REF!</f>
        <v>#REF!</v>
      </c>
      <c r="U255" s="62" t="e">
        <f>T255*#REF!</f>
        <v>#REF!</v>
      </c>
      <c r="V255" s="62" t="e">
        <f>U255*#REF!</f>
        <v>#REF!</v>
      </c>
      <c r="W255" s="34"/>
      <c r="X255" s="1">
        <f>X254*$E$5</f>
        <v>0</v>
      </c>
      <c r="Y255" s="1">
        <f t="shared" ref="Y255:AA255" si="656">Y254*$E$5</f>
        <v>0</v>
      </c>
      <c r="Z255" s="1">
        <f t="shared" si="656"/>
        <v>0</v>
      </c>
      <c r="AA255" s="1">
        <f t="shared" si="656"/>
        <v>0</v>
      </c>
      <c r="AB255" s="34">
        <f>X255*VLOOKUP($B255,Types!$B$2:$D$13,3,FALSE)*Conv!$I$5*1000*365</f>
        <v>0</v>
      </c>
      <c r="AC255" s="34">
        <f>Y255*VLOOKUP($B255,Types!$B$2:$D$13,3,FALSE)*Conv!$I$5*1000*365</f>
        <v>0</v>
      </c>
      <c r="AD255" s="34">
        <f>Z255*VLOOKUP($B255,Types!$B$2:$D$13,3,FALSE)*Conv!$I$5*1000*365</f>
        <v>0</v>
      </c>
      <c r="AE255" s="34">
        <f>AA255*VLOOKUP($B255,Types!$B$2:$D$13,3,FALSE)*Conv!$I$5*1000*365</f>
        <v>0</v>
      </c>
      <c r="AF255" s="34">
        <f>AB255</f>
        <v>0</v>
      </c>
      <c r="AG255" s="34">
        <f t="shared" ref="AG255:AI255" si="657">AC255</f>
        <v>0</v>
      </c>
      <c r="AH255" s="34">
        <f t="shared" si="657"/>
        <v>0</v>
      </c>
      <c r="AI255" s="34">
        <f t="shared" si="657"/>
        <v>0</v>
      </c>
      <c r="AJ255" s="34"/>
      <c r="AK255" s="34"/>
      <c r="AL255" s="34"/>
    </row>
    <row r="256" spans="1:38">
      <c r="A256" s="1" t="str">
        <f t="shared" ref="A256:A258" si="658">A255</f>
        <v>ULS Diesel (15 ppm)</v>
      </c>
      <c r="B256" s="1" t="str">
        <f>VLOOKUP($A256,Types!$A$2:$C$13,2,FALSE)</f>
        <v>DSU</v>
      </c>
      <c r="C256" s="1">
        <v>2</v>
      </c>
      <c r="D256" s="1">
        <v>4</v>
      </c>
      <c r="E256" s="1" t="str">
        <f t="shared" si="626"/>
        <v>IMPDSUP42</v>
      </c>
      <c r="F256" s="1" t="str">
        <f>CONCATENATE("Imported ",VLOOKUP($A256,Types!$A$2:$C$13,3,FALSE),", PADD ",D256,", Step ",RIGHT(C256,1))</f>
        <v>Imported Distillate-Ultralow Sulfur Highway Diesel (15 ppm), PADD 4, Step 2</v>
      </c>
      <c r="G256" s="1" t="str">
        <f>CONCATENATE(VLOOKUP($A256,Types!$A$2:$C$13,2,FALSE),"P",D256)</f>
        <v>DSUP4</v>
      </c>
      <c r="H256" s="61">
        <f>H254*$C$6</f>
        <v>73.724420000000009</v>
      </c>
      <c r="I256" s="61">
        <f t="shared" ref="I256:K256" si="659">I254*$C$6</f>
        <v>53.759859999999996</v>
      </c>
      <c r="J256" s="61">
        <f t="shared" si="659"/>
        <v>42.620200000000004</v>
      </c>
      <c r="K256" s="61">
        <f t="shared" si="659"/>
        <v>43.864799999999995</v>
      </c>
      <c r="L256" s="62">
        <f>H256*Conv!$J$20/10^6/VLOOKUP($B256,Types!$B$2:$D$13,3,FALSE)/Conv!$I$5</f>
        <v>18.407860739100908</v>
      </c>
      <c r="M256" s="62">
        <f>I256*Conv!$J$20/10^6/VLOOKUP($B256,Types!$B$2:$D$13,3,FALSE)/Conv!$I$5</f>
        <v>13.423015280873843</v>
      </c>
      <c r="N256" s="62" t="e">
        <f>M256*#REF!</f>
        <v>#REF!</v>
      </c>
      <c r="O256" s="62" t="e">
        <f>N256*#REF!</f>
        <v>#REF!</v>
      </c>
      <c r="P256" s="62" t="e">
        <f>O256*#REF!</f>
        <v>#REF!</v>
      </c>
      <c r="Q256" s="62" t="e">
        <f>P256*#REF!</f>
        <v>#REF!</v>
      </c>
      <c r="R256" s="62" t="e">
        <f>Q256*#REF!</f>
        <v>#REF!</v>
      </c>
      <c r="S256" s="62" t="e">
        <f>R256*#REF!</f>
        <v>#REF!</v>
      </c>
      <c r="T256" s="62" t="e">
        <f>S256*#REF!</f>
        <v>#REF!</v>
      </c>
      <c r="U256" s="62" t="e">
        <f>T256*#REF!</f>
        <v>#REF!</v>
      </c>
      <c r="V256" s="62" t="e">
        <f>U256*#REF!</f>
        <v>#REF!</v>
      </c>
      <c r="W256" s="34"/>
      <c r="X256" s="1">
        <f>X254*$E$6</f>
        <v>0</v>
      </c>
      <c r="Y256" s="1">
        <f t="shared" ref="Y256:AA256" si="660">Y254*$E$6</f>
        <v>0</v>
      </c>
      <c r="Z256" s="1">
        <f t="shared" si="660"/>
        <v>0</v>
      </c>
      <c r="AA256" s="1">
        <f t="shared" si="660"/>
        <v>0</v>
      </c>
      <c r="AB256" s="34">
        <f>X256*VLOOKUP($B256,Types!$B$2:$D$13,3,FALSE)*Conv!$I$5*1000*365</f>
        <v>0</v>
      </c>
      <c r="AC256" s="34">
        <f>Y256*VLOOKUP($B256,Types!$B$2:$D$13,3,FALSE)*Conv!$I$5*1000*365</f>
        <v>0</v>
      </c>
      <c r="AD256" s="34">
        <f>Z256*VLOOKUP($B256,Types!$B$2:$D$13,3,FALSE)*Conv!$I$5*1000*365</f>
        <v>0</v>
      </c>
      <c r="AE256" s="34">
        <f>AA256*VLOOKUP($B256,Types!$B$2:$D$13,3,FALSE)*Conv!$I$5*1000*365</f>
        <v>0</v>
      </c>
      <c r="AF256" s="34">
        <f>AB256-AF255</f>
        <v>0</v>
      </c>
      <c r="AG256" s="34">
        <f t="shared" ref="AG256:AI256" si="661">AC256-AG255</f>
        <v>0</v>
      </c>
      <c r="AH256" s="34">
        <f t="shared" si="661"/>
        <v>0</v>
      </c>
      <c r="AI256" s="34">
        <f t="shared" si="661"/>
        <v>0</v>
      </c>
      <c r="AJ256" s="34"/>
      <c r="AK256" s="34"/>
      <c r="AL256" s="34"/>
    </row>
    <row r="257" spans="1:38">
      <c r="A257" s="1" t="str">
        <f t="shared" si="658"/>
        <v>ULS Diesel (15 ppm)</v>
      </c>
      <c r="B257" s="1" t="str">
        <f>VLOOKUP($A257,Types!$A$2:$C$13,2,FALSE)</f>
        <v>DSU</v>
      </c>
      <c r="C257" s="1">
        <v>4</v>
      </c>
      <c r="D257" s="1">
        <v>4</v>
      </c>
      <c r="E257" s="1" t="str">
        <f t="shared" si="626"/>
        <v>IMPDSUP44</v>
      </c>
      <c r="F257" s="1" t="str">
        <f>CONCATENATE("Imported ",VLOOKUP($A257,Types!$A$2:$C$13,3,FALSE),", PADD ",D257,", Step ",RIGHT(C257,1))</f>
        <v>Imported Distillate-Ultralow Sulfur Highway Diesel (15 ppm), PADD 4, Step 4</v>
      </c>
      <c r="G257" s="1" t="str">
        <f>CONCATENATE(VLOOKUP($A257,Types!$A$2:$C$13,2,FALSE),"P",D257)</f>
        <v>DSUP4</v>
      </c>
      <c r="H257" s="61">
        <f>H254*$C$8</f>
        <v>81.999610000000018</v>
      </c>
      <c r="I257" s="61">
        <f t="shared" ref="I257:K257" si="662">I254*$C$8</f>
        <v>59.794130000000003</v>
      </c>
      <c r="J257" s="61">
        <f t="shared" si="662"/>
        <v>47.404100000000007</v>
      </c>
      <c r="K257" s="61">
        <f t="shared" si="662"/>
        <v>48.788400000000003</v>
      </c>
      <c r="L257" s="62">
        <f>H257*Conv!$J$20/10^6/VLOOKUP($B257,Types!$B$2:$D$13,3,FALSE)/Conv!$I$5</f>
        <v>20.474049189408159</v>
      </c>
      <c r="M257" s="62">
        <f>I257*Conv!$J$20/10^6/VLOOKUP($B257,Types!$B$2:$D$13,3,FALSE)/Conv!$I$5</f>
        <v>14.929680261380094</v>
      </c>
      <c r="N257" s="62" t="e">
        <f>M257*#REF!</f>
        <v>#REF!</v>
      </c>
      <c r="O257" s="62" t="e">
        <f>N257*#REF!</f>
        <v>#REF!</v>
      </c>
      <c r="P257" s="62" t="e">
        <f>O257*#REF!</f>
        <v>#REF!</v>
      </c>
      <c r="Q257" s="62" t="e">
        <f>P257*#REF!</f>
        <v>#REF!</v>
      </c>
      <c r="R257" s="62" t="e">
        <f>Q257*#REF!</f>
        <v>#REF!</v>
      </c>
      <c r="S257" s="62" t="e">
        <f>R257*#REF!</f>
        <v>#REF!</v>
      </c>
      <c r="T257" s="62" t="e">
        <f>S257*#REF!</f>
        <v>#REF!</v>
      </c>
      <c r="U257" s="62" t="e">
        <f>T257*#REF!</f>
        <v>#REF!</v>
      </c>
      <c r="V257" s="62" t="e">
        <f>U257*#REF!</f>
        <v>#REF!</v>
      </c>
      <c r="W257" s="34"/>
      <c r="X257" s="1">
        <f>X254*$E$8</f>
        <v>0</v>
      </c>
      <c r="Y257" s="1">
        <f t="shared" ref="Y257:AA257" si="663">Y254*$E$8</f>
        <v>0</v>
      </c>
      <c r="Z257" s="1">
        <f t="shared" si="663"/>
        <v>0</v>
      </c>
      <c r="AA257" s="1">
        <f t="shared" si="663"/>
        <v>0</v>
      </c>
      <c r="AB257" s="34">
        <f>X257*VLOOKUP($B257,Types!$B$2:$D$13,3,FALSE)*Conv!$I$5*1000*365</f>
        <v>0</v>
      </c>
      <c r="AC257" s="34">
        <f>Y257*VLOOKUP($B257,Types!$B$2:$D$13,3,FALSE)*Conv!$I$5*1000*365</f>
        <v>0</v>
      </c>
      <c r="AD257" s="34">
        <f>Z257*VLOOKUP($B257,Types!$B$2:$D$13,3,FALSE)*Conv!$I$5*1000*365</f>
        <v>0</v>
      </c>
      <c r="AE257" s="34">
        <f>AA257*VLOOKUP($B257,Types!$B$2:$D$13,3,FALSE)*Conv!$I$5*1000*365</f>
        <v>0</v>
      </c>
      <c r="AF257" s="34">
        <f>AB257-AB254</f>
        <v>0</v>
      </c>
      <c r="AG257" s="34">
        <f t="shared" ref="AG257:AI257" si="664">AC257-AC254</f>
        <v>0</v>
      </c>
      <c r="AH257" s="34">
        <f t="shared" si="664"/>
        <v>0</v>
      </c>
      <c r="AI257" s="34">
        <f t="shared" si="664"/>
        <v>0</v>
      </c>
      <c r="AJ257" s="34"/>
      <c r="AK257" s="34"/>
      <c r="AL257" s="34"/>
    </row>
    <row r="258" spans="1:38">
      <c r="A258" s="1" t="str">
        <f t="shared" si="658"/>
        <v>ULS Diesel (15 ppm)</v>
      </c>
      <c r="B258" s="1" t="str">
        <f>VLOOKUP($A258,Types!$A$2:$C$13,2,FALSE)</f>
        <v>DSU</v>
      </c>
      <c r="C258" s="1">
        <v>5</v>
      </c>
      <c r="D258" s="1">
        <v>4</v>
      </c>
      <c r="E258" s="1" t="str">
        <f t="shared" si="626"/>
        <v>IMPDSUP45</v>
      </c>
      <c r="F258" s="1" t="str">
        <f>CONCATENATE("Imported ",VLOOKUP($A258,Types!$A$2:$C$13,3,FALSE),", PADD ",D258,", Step ",RIGHT(C258,1))</f>
        <v>Imported Distillate-Ultralow Sulfur Highway Diesel (15 ppm), PADD 4, Step 5</v>
      </c>
      <c r="G258" s="1" t="str">
        <f>CONCATENATE(VLOOKUP($A258,Types!$A$2:$C$13,2,FALSE),"P",D258)</f>
        <v>DSUP4</v>
      </c>
      <c r="H258" s="61">
        <f>H254*$C$9</f>
        <v>97.79770000000002</v>
      </c>
      <c r="I258" s="61">
        <f t="shared" ref="I258:K258" si="665">I254*$C$9</f>
        <v>71.314099999999996</v>
      </c>
      <c r="J258" s="61">
        <f t="shared" si="665"/>
        <v>56.537000000000006</v>
      </c>
      <c r="K258" s="61">
        <f t="shared" si="665"/>
        <v>58.188000000000002</v>
      </c>
      <c r="L258" s="62">
        <f>H258*Conv!$J$20/10^6/VLOOKUP($B258,Types!$B$2:$D$13,3,FALSE)/Conv!$I$5</f>
        <v>24.418590776358354</v>
      </c>
      <c r="M258" s="62">
        <f>I258*Conv!$J$20/10^6/VLOOKUP($B258,Types!$B$2:$D$13,3,FALSE)/Conv!$I$5</f>
        <v>17.806040678710204</v>
      </c>
      <c r="N258" s="62" t="e">
        <f>M258*#REF!</f>
        <v>#REF!</v>
      </c>
      <c r="O258" s="62" t="e">
        <f>N258*#REF!</f>
        <v>#REF!</v>
      </c>
      <c r="P258" s="62" t="e">
        <f>O258*#REF!</f>
        <v>#REF!</v>
      </c>
      <c r="Q258" s="62" t="e">
        <f>P258*#REF!</f>
        <v>#REF!</v>
      </c>
      <c r="R258" s="62" t="e">
        <f>Q258*#REF!</f>
        <v>#REF!</v>
      </c>
      <c r="S258" s="62" t="e">
        <f>R258*#REF!</f>
        <v>#REF!</v>
      </c>
      <c r="T258" s="62" t="e">
        <f>S258*#REF!</f>
        <v>#REF!</v>
      </c>
      <c r="U258" s="62" t="e">
        <f>T258*#REF!</f>
        <v>#REF!</v>
      </c>
      <c r="V258" s="62" t="e">
        <f>U258*#REF!</f>
        <v>#REF!</v>
      </c>
      <c r="W258" s="34"/>
      <c r="X258" s="1">
        <f>X254*$E$9</f>
        <v>0</v>
      </c>
      <c r="Y258" s="1">
        <f t="shared" ref="Y258:AA258" si="666">Y254*$E$9</f>
        <v>0</v>
      </c>
      <c r="Z258" s="1">
        <f t="shared" si="666"/>
        <v>0</v>
      </c>
      <c r="AA258" s="1">
        <f t="shared" si="666"/>
        <v>0</v>
      </c>
      <c r="AB258" s="34">
        <f>X258*VLOOKUP($B258,Types!$B$2:$D$13,3,FALSE)*Conv!$I$5*1000*365</f>
        <v>0</v>
      </c>
      <c r="AC258" s="34">
        <f>Y258*VLOOKUP($B258,Types!$B$2:$D$13,3,FALSE)*Conv!$I$5*1000*365</f>
        <v>0</v>
      </c>
      <c r="AD258" s="34">
        <f>Z258*VLOOKUP($B258,Types!$B$2:$D$13,3,FALSE)*Conv!$I$5*1000*365</f>
        <v>0</v>
      </c>
      <c r="AE258" s="34">
        <f>AA258*VLOOKUP($B258,Types!$B$2:$D$13,3,FALSE)*Conv!$I$5*1000*365</f>
        <v>0</v>
      </c>
      <c r="AF258" s="34">
        <f>AB258-AB257</f>
        <v>0</v>
      </c>
      <c r="AG258" s="34">
        <f t="shared" ref="AG258:AI258" si="667">AC258-AC257</f>
        <v>0</v>
      </c>
      <c r="AH258" s="34">
        <f t="shared" si="667"/>
        <v>0</v>
      </c>
      <c r="AI258" s="34">
        <f t="shared" si="667"/>
        <v>0</v>
      </c>
      <c r="AJ258" s="34"/>
      <c r="AK258" s="34"/>
      <c r="AL258" s="34"/>
    </row>
    <row r="259" spans="1:38">
      <c r="A259" s="1" t="s">
        <v>398</v>
      </c>
      <c r="H259" s="61"/>
      <c r="I259" s="61"/>
      <c r="J259" s="61"/>
      <c r="K259" s="61"/>
      <c r="L259" s="62"/>
      <c r="M259" s="62"/>
      <c r="N259" s="62"/>
      <c r="O259" s="62"/>
      <c r="P259" s="62"/>
      <c r="Q259" s="62"/>
      <c r="R259" s="62"/>
      <c r="S259" s="62"/>
      <c r="T259" s="62"/>
      <c r="U259" s="62"/>
      <c r="V259" s="62"/>
      <c r="W259" s="34"/>
      <c r="AB259" s="34"/>
      <c r="AC259" s="34"/>
      <c r="AD259" s="34"/>
      <c r="AE259" s="34"/>
      <c r="AF259" s="34"/>
      <c r="AG259" s="34"/>
      <c r="AH259" s="34"/>
      <c r="AI259" s="34"/>
      <c r="AJ259" s="34"/>
      <c r="AK259" s="34"/>
      <c r="AL259" s="34"/>
    </row>
    <row r="260" spans="1:38" s="10" customFormat="1">
      <c r="A260" s="10" t="s">
        <v>530</v>
      </c>
      <c r="H260" s="63"/>
      <c r="I260" s="63"/>
      <c r="J260" s="63"/>
      <c r="K260" s="63"/>
      <c r="L260" s="64"/>
      <c r="M260" s="64"/>
      <c r="N260" s="64"/>
      <c r="O260" s="64"/>
      <c r="P260" s="64"/>
      <c r="Q260" s="64"/>
      <c r="R260" s="64"/>
      <c r="S260" s="64"/>
      <c r="T260" s="64"/>
      <c r="U260" s="64"/>
      <c r="V260" s="64"/>
    </row>
    <row r="261" spans="1:38">
      <c r="A261" s="1" t="str">
        <f>'Agg prdcrv'!$A$6</f>
        <v>Reformulated Mogas</v>
      </c>
      <c r="B261" s="1" t="str">
        <f>VLOOKUP($A261,Types!$A$2:$C$13,2,FALSE)</f>
        <v>GSR</v>
      </c>
      <c r="C261" s="1">
        <v>3</v>
      </c>
      <c r="D261" s="1">
        <v>5</v>
      </c>
      <c r="E261" s="1" t="str">
        <f t="shared" ref="E261:E304" si="668">CONCATENATE("IMP",G261,RIGHT(C261,1))</f>
        <v>IMPGSRP53</v>
      </c>
      <c r="F261" s="1" t="str">
        <f>CONCATENATE("Imported ",VLOOKUP($A261,Types!$A$2:$C$13,3,FALSE),", PADD ",D261,", Step ",RIGHT(C261,1))</f>
        <v>Imported Reformulated Gasoline, PADD 5, Step 3</v>
      </c>
      <c r="G261" s="1" t="str">
        <f>CONCATENATE(VLOOKUP($A261,Types!$A$2:$C$13,2,FALSE),"P",D261)</f>
        <v>GSRP5</v>
      </c>
      <c r="H261" s="61">
        <f>SUMIFS('Agg prdcrv NYC'!$P$6:$P$100,'Agg prdcrv NYC'!$A$6:$A$100,'Imp Refined NYC'!$A261,'Agg prdcrv NYC'!$B$6:$B$100,H$11)*K4</f>
        <v>39.479000000000006</v>
      </c>
      <c r="I261" s="61">
        <f>SUMIFS('Agg prdcrv NYC'!$P$6:$P$100,'Agg prdcrv NYC'!$A$6:$A$100,'Imp Refined NYC'!$A261,'Agg prdcrv NYC'!$B$6:$B$100,I$11)*K4</f>
        <v>124.85000000000001</v>
      </c>
      <c r="J261" s="61">
        <f t="array" ref="J261">SUMIFS('Agg prdcrv NYC'!$P$6:$P$100,'Agg prdcrv NYC'!$A$6:$A$100,'Imp Refined NYC'!$A261,'Agg prdcrv NYC'!$B$6:$B$100,J$11)</f>
        <v>113.5</v>
      </c>
      <c r="K261" s="61">
        <f t="array" ref="K261">SUMIFS('Agg prdcrv NYC'!$P$6:$P$100,'Agg prdcrv NYC'!$A$6:$A$100,'Imp Refined NYC'!$A261,'Agg prdcrv NYC'!$B$6:$B$100,K$11)</f>
        <v>113.5</v>
      </c>
      <c r="L261" s="62">
        <f>H261*Conv!$J$20/10^6/VLOOKUP($B261,Types!$B$2:$D$13,3,FALSE)/Conv!$I$5</f>
        <v>11.149279417780168</v>
      </c>
      <c r="M261" s="62">
        <f>I261*Conv!$J$20/10^6/VLOOKUP($B261,Types!$B$2:$D$13,3,FALSE)/Conv!$I$5</f>
        <v>35.258936024465008</v>
      </c>
      <c r="N261" s="62" t="e">
        <f>M261*#REF!</f>
        <v>#REF!</v>
      </c>
      <c r="O261" s="62" t="e">
        <f>N261*#REF!</f>
        <v>#REF!</v>
      </c>
      <c r="P261" s="62" t="e">
        <f>O261*#REF!</f>
        <v>#REF!</v>
      </c>
      <c r="Q261" s="62" t="e">
        <f>P261*#REF!</f>
        <v>#REF!</v>
      </c>
      <c r="R261" s="62" t="e">
        <f>Q261*#REF!</f>
        <v>#REF!</v>
      </c>
      <c r="S261" s="62" t="e">
        <f>R261*#REF!</f>
        <v>#REF!</v>
      </c>
      <c r="T261" s="62" t="e">
        <f>S261*#REF!</f>
        <v>#REF!</v>
      </c>
      <c r="U261" s="62" t="e">
        <f>T261*#REF!</f>
        <v>#REF!</v>
      </c>
      <c r="V261" s="62" t="e">
        <f>U261*#REF!</f>
        <v>#REF!</v>
      </c>
      <c r="W261" s="34"/>
      <c r="X261" s="1">
        <f t="array" ref="X261">SUMIFS('Agg prdcrv NYC'!$H$6:$H$100,'Agg prdcrv NYC'!$A$6:$A$100,'Imp Refined NYC'!$A261,'Agg prdcrv NYC'!$B$6:$B$100,X$11)</f>
        <v>6.45</v>
      </c>
      <c r="Y261" s="1">
        <f t="array" ref="Y261">SUMIFS('Agg prdcrv NYC'!$H$6:$H$100,'Agg prdcrv NYC'!$A$6:$A$100,'Imp Refined NYC'!$A261,'Agg prdcrv NYC'!$B$6:$B$100,Y$11)</f>
        <v>0</v>
      </c>
      <c r="Z261" s="1">
        <f t="array" ref="Z261">SUMIFS('Agg prdcrv NYC'!$H$6:$H$100,'Agg prdcrv NYC'!$A$6:$A$100,'Imp Refined NYC'!$A261,'Agg prdcrv NYC'!$B$6:$B$100,Z$11)</f>
        <v>0</v>
      </c>
      <c r="AA261" s="1">
        <f t="array" ref="AA261">SUMIFS('Agg prdcrv NYC'!$H$6:$H$100,'Agg prdcrv NYC'!$A$6:$A$100,'Imp Refined NYC'!$A261,'Agg prdcrv NYC'!$B$6:$B$100,AA$11)</f>
        <v>0</v>
      </c>
      <c r="AB261" s="34">
        <f>X261*VLOOKUP($B261,Types!$B$2:$D$13,3,FALSE)*Conv!$I$5*1000*365</f>
        <v>12.791907778199999</v>
      </c>
      <c r="AC261" s="34">
        <f>Y261*VLOOKUP($B261,Types!$B$2:$D$13,3,FALSE)*Conv!$I$5*1000*365</f>
        <v>0</v>
      </c>
      <c r="AD261" s="34">
        <f>Z261*VLOOKUP($B261,Types!$B$2:$D$13,3,FALSE)*Conv!$I$5*1000*365</f>
        <v>0</v>
      </c>
      <c r="AE261" s="34">
        <f>AA261*VLOOKUP($B261,Types!$B$2:$D$13,3,FALSE)*Conv!$I$5*1000*365</f>
        <v>0</v>
      </c>
      <c r="AF261" s="34">
        <f>AB261-AB263</f>
        <v>1.2791907778199967</v>
      </c>
      <c r="AG261" s="34">
        <f t="shared" ref="AG261:AI261" si="669">AC261-AC263</f>
        <v>0</v>
      </c>
      <c r="AH261" s="34">
        <f t="shared" si="669"/>
        <v>0</v>
      </c>
      <c r="AI261" s="34">
        <f t="shared" si="669"/>
        <v>0</v>
      </c>
      <c r="AJ261" s="34"/>
      <c r="AK261" s="34"/>
      <c r="AL261" s="34"/>
    </row>
    <row r="262" spans="1:38">
      <c r="A262" s="1" t="str">
        <f>A261</f>
        <v>Reformulated Mogas</v>
      </c>
      <c r="B262" s="1" t="str">
        <f>VLOOKUP($A262,Types!$A$2:$C$13,2,FALSE)</f>
        <v>GSR</v>
      </c>
      <c r="C262" s="1">
        <v>1</v>
      </c>
      <c r="D262" s="1">
        <v>5</v>
      </c>
      <c r="E262" s="1" t="str">
        <f t="shared" si="668"/>
        <v>IMPGSRP51</v>
      </c>
      <c r="F262" s="1" t="str">
        <f>CONCATENATE("Imported ",VLOOKUP($A262,Types!$A$2:$C$13,3,FALSE),", PADD ",D262,", Step ",RIGHT(C262,1))</f>
        <v>Imported Reformulated Gasoline, PADD 5, Step 1</v>
      </c>
      <c r="G262" s="1" t="str">
        <f>CONCATENATE(VLOOKUP($A262,Types!$A$2:$C$13,2,FALSE),"P",D262)</f>
        <v>GSRP5</v>
      </c>
      <c r="H262" s="61">
        <f>H261*$C$5</f>
        <v>37.505050000000004</v>
      </c>
      <c r="I262" s="61">
        <f t="shared" ref="I262:K262" si="670">I261*$C$5</f>
        <v>118.6075</v>
      </c>
      <c r="J262" s="61">
        <f t="shared" si="670"/>
        <v>107.82499999999999</v>
      </c>
      <c r="K262" s="61">
        <f t="shared" si="670"/>
        <v>107.82499999999999</v>
      </c>
      <c r="L262" s="62">
        <f>H262*Conv!$J$20/10^6/VLOOKUP($B262,Types!$B$2:$D$13,3,FALSE)/Conv!$I$5</f>
        <v>10.591815446891161</v>
      </c>
      <c r="M262" s="62">
        <f>I262*Conv!$J$20/10^6/VLOOKUP($B262,Types!$B$2:$D$13,3,FALSE)/Conv!$I$5</f>
        <v>33.495989223241757</v>
      </c>
      <c r="N262" s="62" t="e">
        <f>M262*#REF!</f>
        <v>#REF!</v>
      </c>
      <c r="O262" s="62" t="e">
        <f>N262*#REF!</f>
        <v>#REF!</v>
      </c>
      <c r="P262" s="62" t="e">
        <f>O262*#REF!</f>
        <v>#REF!</v>
      </c>
      <c r="Q262" s="62" t="e">
        <f>P262*#REF!</f>
        <v>#REF!</v>
      </c>
      <c r="R262" s="62" t="e">
        <f>Q262*#REF!</f>
        <v>#REF!</v>
      </c>
      <c r="S262" s="62" t="e">
        <f>R262*#REF!</f>
        <v>#REF!</v>
      </c>
      <c r="T262" s="62" t="e">
        <f>S262*#REF!</f>
        <v>#REF!</v>
      </c>
      <c r="U262" s="62" t="e">
        <f>T262*#REF!</f>
        <v>#REF!</v>
      </c>
      <c r="V262" s="62" t="e">
        <f>U262*#REF!</f>
        <v>#REF!</v>
      </c>
      <c r="W262" s="34"/>
      <c r="X262" s="1">
        <f>X261*$E$5</f>
        <v>5.16</v>
      </c>
      <c r="Y262" s="1">
        <f t="shared" ref="Y262:AA262" si="671">Y261*$E$5</f>
        <v>0</v>
      </c>
      <c r="Z262" s="1">
        <f t="shared" si="671"/>
        <v>0</v>
      </c>
      <c r="AA262" s="1">
        <f t="shared" si="671"/>
        <v>0</v>
      </c>
      <c r="AB262" s="34">
        <f>X262*VLOOKUP($B262,Types!$B$2:$D$13,3,FALSE)*Conv!$I$5*1000*365</f>
        <v>10.23352622256</v>
      </c>
      <c r="AC262" s="34">
        <f>Y262*VLOOKUP($B262,Types!$B$2:$D$13,3,FALSE)*Conv!$I$5*1000*365</f>
        <v>0</v>
      </c>
      <c r="AD262" s="34">
        <f>Z262*VLOOKUP($B262,Types!$B$2:$D$13,3,FALSE)*Conv!$I$5*1000*365</f>
        <v>0</v>
      </c>
      <c r="AE262" s="34">
        <f>AA262*VLOOKUP($B262,Types!$B$2:$D$13,3,FALSE)*Conv!$I$5*1000*365</f>
        <v>0</v>
      </c>
      <c r="AF262" s="34">
        <f>AB262</f>
        <v>10.23352622256</v>
      </c>
      <c r="AG262" s="34">
        <f t="shared" ref="AG262:AI262" si="672">AC262</f>
        <v>0</v>
      </c>
      <c r="AH262" s="34">
        <f t="shared" si="672"/>
        <v>0</v>
      </c>
      <c r="AI262" s="34">
        <f t="shared" si="672"/>
        <v>0</v>
      </c>
      <c r="AJ262" s="34"/>
      <c r="AK262" s="34"/>
      <c r="AL262" s="34"/>
    </row>
    <row r="263" spans="1:38">
      <c r="A263" s="1" t="str">
        <f t="shared" ref="A263:A265" si="673">A262</f>
        <v>Reformulated Mogas</v>
      </c>
      <c r="B263" s="1" t="str">
        <f>VLOOKUP($A263,Types!$A$2:$C$13,2,FALSE)</f>
        <v>GSR</v>
      </c>
      <c r="C263" s="1">
        <v>2</v>
      </c>
      <c r="D263" s="1">
        <v>5</v>
      </c>
      <c r="E263" s="1" t="str">
        <f t="shared" si="668"/>
        <v>IMPGSRP52</v>
      </c>
      <c r="F263" s="1" t="str">
        <f>CONCATENATE("Imported ",VLOOKUP($A263,Types!$A$2:$C$13,3,FALSE),", PADD ",D263,", Step ",RIGHT(C263,1))</f>
        <v>Imported Reformulated Gasoline, PADD 5, Step 2</v>
      </c>
      <c r="G263" s="1" t="str">
        <f>CONCATENATE(VLOOKUP($A263,Types!$A$2:$C$13,2,FALSE),"P",D263)</f>
        <v>GSRP5</v>
      </c>
      <c r="H263" s="61">
        <f>H261*$C$6</f>
        <v>38.689420000000005</v>
      </c>
      <c r="I263" s="61">
        <f t="shared" ref="I263:K263" si="674">I261*$C$6</f>
        <v>122.35300000000001</v>
      </c>
      <c r="J263" s="61">
        <f t="shared" si="674"/>
        <v>111.23</v>
      </c>
      <c r="K263" s="61">
        <f t="shared" si="674"/>
        <v>111.23</v>
      </c>
      <c r="L263" s="62">
        <f>H263*Conv!$J$20/10^6/VLOOKUP($B263,Types!$B$2:$D$13,3,FALSE)/Conv!$I$5</f>
        <v>10.926293829424566</v>
      </c>
      <c r="M263" s="62">
        <f>I263*Conv!$J$20/10^6/VLOOKUP($B263,Types!$B$2:$D$13,3,FALSE)/Conv!$I$5</f>
        <v>34.553757303975701</v>
      </c>
      <c r="N263" s="62" t="e">
        <f>M263*#REF!</f>
        <v>#REF!</v>
      </c>
      <c r="O263" s="62" t="e">
        <f>N263*#REF!</f>
        <v>#REF!</v>
      </c>
      <c r="P263" s="62" t="e">
        <f>O263*#REF!</f>
        <v>#REF!</v>
      </c>
      <c r="Q263" s="62" t="e">
        <f>P263*#REF!</f>
        <v>#REF!</v>
      </c>
      <c r="R263" s="62" t="e">
        <f>Q263*#REF!</f>
        <v>#REF!</v>
      </c>
      <c r="S263" s="62" t="e">
        <f>R263*#REF!</f>
        <v>#REF!</v>
      </c>
      <c r="T263" s="62" t="e">
        <f>S263*#REF!</f>
        <v>#REF!</v>
      </c>
      <c r="U263" s="62" t="e">
        <f>T263*#REF!</f>
        <v>#REF!</v>
      </c>
      <c r="V263" s="62" t="e">
        <f>U263*#REF!</f>
        <v>#REF!</v>
      </c>
      <c r="W263" s="34"/>
      <c r="X263" s="1">
        <f>X261*$E$6</f>
        <v>5.8050000000000006</v>
      </c>
      <c r="Y263" s="1">
        <f t="shared" ref="Y263:AA263" si="675">Y261*$E$6</f>
        <v>0</v>
      </c>
      <c r="Z263" s="1">
        <f t="shared" si="675"/>
        <v>0</v>
      </c>
      <c r="AA263" s="1">
        <f t="shared" si="675"/>
        <v>0</v>
      </c>
      <c r="AB263" s="34">
        <f>X263*VLOOKUP($B263,Types!$B$2:$D$13,3,FALSE)*Conv!$I$5*1000*365</f>
        <v>11.512717000380002</v>
      </c>
      <c r="AC263" s="34">
        <f>Y263*VLOOKUP($B263,Types!$B$2:$D$13,3,FALSE)*Conv!$I$5*1000*365</f>
        <v>0</v>
      </c>
      <c r="AD263" s="34">
        <f>Z263*VLOOKUP($B263,Types!$B$2:$D$13,3,FALSE)*Conv!$I$5*1000*365</f>
        <v>0</v>
      </c>
      <c r="AE263" s="34">
        <f>AA263*VLOOKUP($B263,Types!$B$2:$D$13,3,FALSE)*Conv!$I$5*1000*365</f>
        <v>0</v>
      </c>
      <c r="AF263" s="34">
        <f>AB263-AF262</f>
        <v>1.279190777820002</v>
      </c>
      <c r="AG263" s="34">
        <f t="shared" ref="AG263:AI263" si="676">AC263-AG262</f>
        <v>0</v>
      </c>
      <c r="AH263" s="34">
        <f t="shared" si="676"/>
        <v>0</v>
      </c>
      <c r="AI263" s="34">
        <f t="shared" si="676"/>
        <v>0</v>
      </c>
      <c r="AJ263" s="34"/>
      <c r="AK263" s="34"/>
      <c r="AL263" s="34"/>
    </row>
    <row r="264" spans="1:38">
      <c r="A264" s="1" t="str">
        <f t="shared" si="673"/>
        <v>Reformulated Mogas</v>
      </c>
      <c r="B264" s="1" t="str">
        <f>VLOOKUP($A264,Types!$A$2:$C$13,2,FALSE)</f>
        <v>GSR</v>
      </c>
      <c r="C264" s="1">
        <v>4</v>
      </c>
      <c r="D264" s="1">
        <v>5</v>
      </c>
      <c r="E264" s="1" t="str">
        <f t="shared" si="668"/>
        <v>IMPGSRP54</v>
      </c>
      <c r="F264" s="1" t="str">
        <f>CONCATENATE("Imported ",VLOOKUP($A264,Types!$A$2:$C$13,3,FALSE),", PADD ",D264,", Step ",RIGHT(C264,1))</f>
        <v>Imported Reformulated Gasoline, PADD 5, Step 4</v>
      </c>
      <c r="G264" s="1" t="str">
        <f>CONCATENATE(VLOOKUP($A264,Types!$A$2:$C$13,2,FALSE),"P",D264)</f>
        <v>GSRP5</v>
      </c>
      <c r="H264" s="61">
        <f>H261*$C$8</f>
        <v>43.03211000000001</v>
      </c>
      <c r="I264" s="61">
        <f t="shared" ref="I264:K264" si="677">I261*$C$8</f>
        <v>136.08650000000003</v>
      </c>
      <c r="J264" s="61">
        <f t="shared" si="677"/>
        <v>123.715</v>
      </c>
      <c r="K264" s="61">
        <f t="shared" si="677"/>
        <v>123.715</v>
      </c>
      <c r="L264" s="62">
        <f>H264*Conv!$J$20/10^6/VLOOKUP($B264,Types!$B$2:$D$13,3,FALSE)/Conv!$I$5</f>
        <v>12.152714565380384</v>
      </c>
      <c r="M264" s="62">
        <f>I264*Conv!$J$20/10^6/VLOOKUP($B264,Types!$B$2:$D$13,3,FALSE)/Conv!$I$5</f>
        <v>38.432240266666867</v>
      </c>
      <c r="N264" s="62" t="e">
        <f>M264*#REF!</f>
        <v>#REF!</v>
      </c>
      <c r="O264" s="62" t="e">
        <f>N264*#REF!</f>
        <v>#REF!</v>
      </c>
      <c r="P264" s="62" t="e">
        <f>O264*#REF!</f>
        <v>#REF!</v>
      </c>
      <c r="Q264" s="62" t="e">
        <f>P264*#REF!</f>
        <v>#REF!</v>
      </c>
      <c r="R264" s="62" t="e">
        <f>Q264*#REF!</f>
        <v>#REF!</v>
      </c>
      <c r="S264" s="62" t="e">
        <f>R264*#REF!</f>
        <v>#REF!</v>
      </c>
      <c r="T264" s="62" t="e">
        <f>S264*#REF!</f>
        <v>#REF!</v>
      </c>
      <c r="U264" s="62" t="e">
        <f>T264*#REF!</f>
        <v>#REF!</v>
      </c>
      <c r="V264" s="62" t="e">
        <f>U264*#REF!</f>
        <v>#REF!</v>
      </c>
      <c r="W264" s="34"/>
      <c r="X264" s="1">
        <f>X261*$E$8</f>
        <v>7.74</v>
      </c>
      <c r="Y264" s="1">
        <f t="shared" ref="Y264:AA264" si="678">Y261*$E$8</f>
        <v>0</v>
      </c>
      <c r="Z264" s="1">
        <f t="shared" si="678"/>
        <v>0</v>
      </c>
      <c r="AA264" s="1">
        <f t="shared" si="678"/>
        <v>0</v>
      </c>
      <c r="AB264" s="34">
        <f>X264*VLOOKUP($B264,Types!$B$2:$D$13,3,FALSE)*Conv!$I$5*1000*365</f>
        <v>15.350289333840001</v>
      </c>
      <c r="AC264" s="34">
        <f>Y264*VLOOKUP($B264,Types!$B$2:$D$13,3,FALSE)*Conv!$I$5*1000*365</f>
        <v>0</v>
      </c>
      <c r="AD264" s="34">
        <f>Z264*VLOOKUP($B264,Types!$B$2:$D$13,3,FALSE)*Conv!$I$5*1000*365</f>
        <v>0</v>
      </c>
      <c r="AE264" s="34">
        <f>AA264*VLOOKUP($B264,Types!$B$2:$D$13,3,FALSE)*Conv!$I$5*1000*365</f>
        <v>0</v>
      </c>
      <c r="AF264" s="34">
        <f>AB264-AB261</f>
        <v>2.5583815556400022</v>
      </c>
      <c r="AG264" s="34">
        <f t="shared" ref="AG264:AI264" si="679">AC264-AC261</f>
        <v>0</v>
      </c>
      <c r="AH264" s="34">
        <f t="shared" si="679"/>
        <v>0</v>
      </c>
      <c r="AI264" s="34">
        <f t="shared" si="679"/>
        <v>0</v>
      </c>
      <c r="AJ264" s="34"/>
      <c r="AK264" s="34"/>
      <c r="AL264" s="34"/>
    </row>
    <row r="265" spans="1:38">
      <c r="A265" s="1" t="str">
        <f t="shared" si="673"/>
        <v>Reformulated Mogas</v>
      </c>
      <c r="B265" s="1" t="str">
        <f>VLOOKUP($A265,Types!$A$2:$C$13,2,FALSE)</f>
        <v>GSR</v>
      </c>
      <c r="C265" s="1">
        <v>5</v>
      </c>
      <c r="D265" s="1">
        <v>5</v>
      </c>
      <c r="E265" s="1" t="str">
        <f t="shared" si="668"/>
        <v>IMPGSRP55</v>
      </c>
      <c r="F265" s="1" t="str">
        <f>CONCATENATE("Imported ",VLOOKUP($A265,Types!$A$2:$C$13,3,FALSE),", PADD ",D265,", Step ",RIGHT(C265,1))</f>
        <v>Imported Reformulated Gasoline, PADD 5, Step 5</v>
      </c>
      <c r="G265" s="1" t="str">
        <f>CONCATENATE(VLOOKUP($A265,Types!$A$2:$C$13,2,FALSE),"P",D265)</f>
        <v>GSRP5</v>
      </c>
      <c r="H265" s="61">
        <f>H261*$C$9</f>
        <v>51.322700000000012</v>
      </c>
      <c r="I265" s="61">
        <f t="shared" ref="I265:K265" si="680">I261*$C$9</f>
        <v>162.30500000000001</v>
      </c>
      <c r="J265" s="61">
        <f t="shared" si="680"/>
        <v>147.55000000000001</v>
      </c>
      <c r="K265" s="61">
        <f t="shared" si="680"/>
        <v>147.55000000000001</v>
      </c>
      <c r="L265" s="62">
        <f>H265*Conv!$J$20/10^6/VLOOKUP($B265,Types!$B$2:$D$13,3,FALSE)/Conv!$I$5</f>
        <v>14.494063243114219</v>
      </c>
      <c r="M265" s="62">
        <f>I265*Conv!$J$20/10^6/VLOOKUP($B265,Types!$B$2:$D$13,3,FALSE)/Conv!$I$5</f>
        <v>45.836616831804506</v>
      </c>
      <c r="N265" s="62" t="e">
        <f>M265*#REF!</f>
        <v>#REF!</v>
      </c>
      <c r="O265" s="62" t="e">
        <f>N265*#REF!</f>
        <v>#REF!</v>
      </c>
      <c r="P265" s="62" t="e">
        <f>O265*#REF!</f>
        <v>#REF!</v>
      </c>
      <c r="Q265" s="62" t="e">
        <f>P265*#REF!</f>
        <v>#REF!</v>
      </c>
      <c r="R265" s="62" t="e">
        <f>Q265*#REF!</f>
        <v>#REF!</v>
      </c>
      <c r="S265" s="62" t="e">
        <f>R265*#REF!</f>
        <v>#REF!</v>
      </c>
      <c r="T265" s="62" t="e">
        <f>S265*#REF!</f>
        <v>#REF!</v>
      </c>
      <c r="U265" s="62" t="e">
        <f>T265*#REF!</f>
        <v>#REF!</v>
      </c>
      <c r="V265" s="62" t="e">
        <f>U265*#REF!</f>
        <v>#REF!</v>
      </c>
      <c r="W265" s="34"/>
      <c r="X265" s="1">
        <f>X261*$E$9</f>
        <v>12.9</v>
      </c>
      <c r="Y265" s="1">
        <f t="shared" ref="Y265:AA265" si="681">Y261*$E$9</f>
        <v>0</v>
      </c>
      <c r="Z265" s="1">
        <f t="shared" si="681"/>
        <v>0</v>
      </c>
      <c r="AA265" s="1">
        <f t="shared" si="681"/>
        <v>0</v>
      </c>
      <c r="AB265" s="34">
        <f>X265*VLOOKUP($B265,Types!$B$2:$D$13,3,FALSE)*Conv!$I$5*1000*365</f>
        <v>25.583815556399998</v>
      </c>
      <c r="AC265" s="34">
        <f>Y265*VLOOKUP($B265,Types!$B$2:$D$13,3,FALSE)*Conv!$I$5*1000*365</f>
        <v>0</v>
      </c>
      <c r="AD265" s="34">
        <f>Z265*VLOOKUP($B265,Types!$B$2:$D$13,3,FALSE)*Conv!$I$5*1000*365</f>
        <v>0</v>
      </c>
      <c r="AE265" s="34">
        <f>AA265*VLOOKUP($B265,Types!$B$2:$D$13,3,FALSE)*Conv!$I$5*1000*365</f>
        <v>0</v>
      </c>
      <c r="AF265" s="34">
        <f>AB265-AB264</f>
        <v>10.233526222559997</v>
      </c>
      <c r="AG265" s="34">
        <f t="shared" ref="AG265:AI265" si="682">AC265-AC264</f>
        <v>0</v>
      </c>
      <c r="AH265" s="34">
        <f t="shared" si="682"/>
        <v>0</v>
      </c>
      <c r="AI265" s="34">
        <f t="shared" si="682"/>
        <v>0</v>
      </c>
      <c r="AJ265" s="34"/>
      <c r="AK265" s="34"/>
      <c r="AL265" s="34"/>
    </row>
    <row r="266" spans="1:38">
      <c r="A266" s="1" t="str">
        <f>'Agg prdcrv'!$A$7</f>
        <v>Conventional Mogas</v>
      </c>
      <c r="B266" s="1" t="str">
        <f>VLOOKUP($A266,Types!$A$2:$C$13,2,FALSE)</f>
        <v>GSC</v>
      </c>
      <c r="C266" s="1">
        <v>3</v>
      </c>
      <c r="D266" s="1">
        <v>5</v>
      </c>
      <c r="E266" s="1" t="str">
        <f t="shared" si="668"/>
        <v>IMPGSCP53</v>
      </c>
      <c r="F266" s="1" t="str">
        <f>CONCATENATE("Imported ",VLOOKUP($A266,Types!$A$2:$C$13,3,FALSE),", PADD ",D266,", Step ",RIGHT(C266,1))</f>
        <v>Imported Conventional Gasoline, PADD 5, Step 3</v>
      </c>
      <c r="G266" s="1" t="str">
        <f>CONCATENATE(VLOOKUP($A266,Types!$A$2:$C$13,2,FALSE),"P",D266)</f>
        <v>GSCP5</v>
      </c>
      <c r="H266" s="61">
        <f>SUMIFS('Agg prdcrv NYC'!$P$6:$P$100,'Agg prdcrv NYC'!$A$6:$A$100,'Imp Refined NYC'!$A266,'Agg prdcrv NYC'!$B$6:$B$100,H$11)*K4</f>
        <v>37.323</v>
      </c>
      <c r="I266" s="61">
        <f>SUMIFS('Agg prdcrv NYC'!$P$6:$P$100,'Agg prdcrv NYC'!$A$6:$A$100,'Imp Refined NYC'!$A266,'Agg prdcrv NYC'!$B$6:$B$100,I$11)*K4</f>
        <v>38.28</v>
      </c>
      <c r="J266" s="61">
        <f t="array" ref="J266">SUMIFS('Agg prdcrv NYC'!$P$6:$P$100,'Agg prdcrv NYC'!$A$6:$A$100,'Imp Refined NYC'!$A266,'Agg prdcrv NYC'!$B$6:$B$100,J$11)</f>
        <v>30.68</v>
      </c>
      <c r="K266" s="61">
        <f t="array" ref="K266">SUMIFS('Agg prdcrv NYC'!$P$6:$P$100,'Agg prdcrv NYC'!$A$6:$A$100,'Imp Refined NYC'!$A266,'Agg prdcrv NYC'!$B$6:$B$100,K$11)</f>
        <v>30.65</v>
      </c>
      <c r="L266" s="62">
        <f>H266*Conv!$J$20/10^6/VLOOKUP($B266,Types!$B$2:$D$13,3,FALSE)/Conv!$I$5</f>
        <v>10.333728075581737</v>
      </c>
      <c r="M266" s="62">
        <f>I266*Conv!$J$20/10^6/VLOOKUP($B266,Types!$B$2:$D$13,3,FALSE)/Conv!$I$5</f>
        <v>10.598695462135115</v>
      </c>
      <c r="N266" s="62" t="e">
        <f>M266*#REF!</f>
        <v>#REF!</v>
      </c>
      <c r="O266" s="62" t="e">
        <f>N266*#REF!</f>
        <v>#REF!</v>
      </c>
      <c r="P266" s="62" t="e">
        <f>O266*#REF!</f>
        <v>#REF!</v>
      </c>
      <c r="Q266" s="62" t="e">
        <f>P266*#REF!</f>
        <v>#REF!</v>
      </c>
      <c r="R266" s="62" t="e">
        <f>Q266*#REF!</f>
        <v>#REF!</v>
      </c>
      <c r="S266" s="62" t="e">
        <f>R266*#REF!</f>
        <v>#REF!</v>
      </c>
      <c r="T266" s="62" t="e">
        <f>S266*#REF!</f>
        <v>#REF!</v>
      </c>
      <c r="U266" s="62" t="e">
        <f>T266*#REF!</f>
        <v>#REF!</v>
      </c>
      <c r="V266" s="62" t="e">
        <f>U266*#REF!</f>
        <v>#REF!</v>
      </c>
      <c r="W266" s="34"/>
      <c r="X266" s="1">
        <f t="array" ref="X266">SUMIFS('Agg prdcrv NYC'!$H$6:$H$100,'Agg prdcrv NYC'!$A$6:$A$100,'Imp Refined NYC'!$A266,'Agg prdcrv NYC'!$B$6:$B$100,X$11)</f>
        <v>23.07</v>
      </c>
      <c r="Y266" s="1">
        <f t="array" ref="Y266">SUMIFS('Agg prdcrv NYC'!$H$6:$H$100,'Agg prdcrv NYC'!$A$6:$A$100,'Imp Refined NYC'!$A266,'Agg prdcrv NYC'!$B$6:$B$100,Y$11)</f>
        <v>19.77</v>
      </c>
      <c r="Z266" s="1">
        <f t="array" ref="Z266">SUMIFS('Agg prdcrv NYC'!$H$6:$H$100,'Agg prdcrv NYC'!$A$6:$A$100,'Imp Refined NYC'!$A266,'Agg prdcrv NYC'!$B$6:$B$100,Z$11)</f>
        <v>21.3</v>
      </c>
      <c r="AA266" s="1">
        <f t="array" ref="AA266">SUMIFS('Agg prdcrv NYC'!$H$6:$H$100,'Agg prdcrv NYC'!$A$6:$A$100,'Imp Refined NYC'!$A266,'Agg prdcrv NYC'!$B$6:$B$100,AA$11)</f>
        <v>22.94</v>
      </c>
      <c r="AB266" s="34">
        <f>X266*VLOOKUP($B266,Types!$B$2:$D$13,3,FALSE)*Conv!$I$5*1000*365</f>
        <v>46.668449409602403</v>
      </c>
      <c r="AC266" s="34">
        <f>Y266*VLOOKUP($B266,Types!$B$2:$D$13,3,FALSE)*Conv!$I$5*1000*365</f>
        <v>39.992858466746398</v>
      </c>
      <c r="AD266" s="34">
        <f>Z266*VLOOKUP($B266,Types!$B$2:$D$13,3,FALSE)*Conv!$I$5*1000*365</f>
        <v>43.087905176615998</v>
      </c>
      <c r="AE266" s="34">
        <f>AA266*VLOOKUP($B266,Types!$B$2:$D$13,3,FALSE)*Conv!$I$5*1000*365</f>
        <v>46.405471584580795</v>
      </c>
      <c r="AF266" s="34">
        <f>AB266-AB268</f>
        <v>4.6668449409602459</v>
      </c>
      <c r="AG266" s="34">
        <f t="shared" ref="AG266:AI266" si="683">AC266-AC268</f>
        <v>3.9992858466746455</v>
      </c>
      <c r="AH266" s="34">
        <f t="shared" si="683"/>
        <v>4.308790517661599</v>
      </c>
      <c r="AI266" s="34">
        <f t="shared" si="683"/>
        <v>4.6405471584580766</v>
      </c>
      <c r="AJ266" s="34"/>
      <c r="AK266" s="34"/>
      <c r="AL266" s="34"/>
    </row>
    <row r="267" spans="1:38">
      <c r="A267" s="1" t="str">
        <f>A266</f>
        <v>Conventional Mogas</v>
      </c>
      <c r="B267" s="1" t="str">
        <f>VLOOKUP($A267,Types!$A$2:$C$13,2,FALSE)</f>
        <v>GSC</v>
      </c>
      <c r="C267" s="1">
        <v>1</v>
      </c>
      <c r="D267" s="1">
        <v>5</v>
      </c>
      <c r="E267" s="1" t="str">
        <f t="shared" si="668"/>
        <v>IMPGSCP51</v>
      </c>
      <c r="F267" s="1" t="str">
        <f>CONCATENATE("Imported ",VLOOKUP($A267,Types!$A$2:$C$13,3,FALSE),", PADD ",D267,", Step ",RIGHT(C267,1))</f>
        <v>Imported Conventional Gasoline, PADD 5, Step 1</v>
      </c>
      <c r="G267" s="1" t="str">
        <f>CONCATENATE(VLOOKUP($A267,Types!$A$2:$C$13,2,FALSE),"P",D267)</f>
        <v>GSCP5</v>
      </c>
      <c r="H267" s="61">
        <f>H266*$C$5</f>
        <v>35.456849999999996</v>
      </c>
      <c r="I267" s="61">
        <f t="shared" ref="I267:K267" si="684">I266*$C$5</f>
        <v>36.366</v>
      </c>
      <c r="J267" s="61">
        <f t="shared" si="684"/>
        <v>29.145999999999997</v>
      </c>
      <c r="K267" s="61">
        <f t="shared" si="684"/>
        <v>29.117499999999996</v>
      </c>
      <c r="L267" s="62">
        <f>H267*Conv!$J$20/10^6/VLOOKUP($B267,Types!$B$2:$D$13,3,FALSE)/Conv!$I$5</f>
        <v>9.8170416718026488</v>
      </c>
      <c r="M267" s="62">
        <f>I267*Conv!$J$20/10^6/VLOOKUP($B267,Types!$B$2:$D$13,3,FALSE)/Conv!$I$5</f>
        <v>10.068760689028357</v>
      </c>
      <c r="N267" s="62" t="e">
        <f>M267*#REF!</f>
        <v>#REF!</v>
      </c>
      <c r="O267" s="62" t="e">
        <f>N267*#REF!</f>
        <v>#REF!</v>
      </c>
      <c r="P267" s="62" t="e">
        <f>O267*#REF!</f>
        <v>#REF!</v>
      </c>
      <c r="Q267" s="62" t="e">
        <f>P267*#REF!</f>
        <v>#REF!</v>
      </c>
      <c r="R267" s="62" t="e">
        <f>Q267*#REF!</f>
        <v>#REF!</v>
      </c>
      <c r="S267" s="62" t="e">
        <f>R267*#REF!</f>
        <v>#REF!</v>
      </c>
      <c r="T267" s="62" t="e">
        <f>S267*#REF!</f>
        <v>#REF!</v>
      </c>
      <c r="U267" s="62" t="e">
        <f>T267*#REF!</f>
        <v>#REF!</v>
      </c>
      <c r="V267" s="62" t="e">
        <f>U267*#REF!</f>
        <v>#REF!</v>
      </c>
      <c r="W267" s="34"/>
      <c r="X267" s="1">
        <f>X266*$E$5</f>
        <v>18.456</v>
      </c>
      <c r="Y267" s="1">
        <f t="shared" ref="Y267:AA267" si="685">Y266*$E$5</f>
        <v>15.816000000000001</v>
      </c>
      <c r="Z267" s="1">
        <f t="shared" si="685"/>
        <v>17.040000000000003</v>
      </c>
      <c r="AA267" s="1">
        <f t="shared" si="685"/>
        <v>18.352</v>
      </c>
      <c r="AB267" s="34">
        <f>X267*VLOOKUP($B267,Types!$B$2:$D$13,3,FALSE)*Conv!$I$5*1000*365</f>
        <v>37.334759527681911</v>
      </c>
      <c r="AC267" s="34">
        <f>Y267*VLOOKUP($B267,Types!$B$2:$D$13,3,FALSE)*Conv!$I$5*1000*365</f>
        <v>31.994286773397121</v>
      </c>
      <c r="AD267" s="34">
        <f>Z267*VLOOKUP($B267,Types!$B$2:$D$13,3,FALSE)*Conv!$I$5*1000*365</f>
        <v>34.470324141292807</v>
      </c>
      <c r="AE267" s="34">
        <f>AA267*VLOOKUP($B267,Types!$B$2:$D$13,3,FALSE)*Conv!$I$5*1000*365</f>
        <v>37.124377267664642</v>
      </c>
      <c r="AF267" s="34">
        <f>AB267</f>
        <v>37.334759527681911</v>
      </c>
      <c r="AG267" s="34">
        <f t="shared" ref="AG267:AI267" si="686">AC267</f>
        <v>31.994286773397121</v>
      </c>
      <c r="AH267" s="34">
        <f t="shared" si="686"/>
        <v>34.470324141292807</v>
      </c>
      <c r="AI267" s="34">
        <f t="shared" si="686"/>
        <v>37.124377267664642</v>
      </c>
      <c r="AJ267" s="34"/>
      <c r="AK267" s="34"/>
      <c r="AL267" s="34"/>
    </row>
    <row r="268" spans="1:38">
      <c r="A268" s="1" t="str">
        <f t="shared" ref="A268:A270" si="687">A267</f>
        <v>Conventional Mogas</v>
      </c>
      <c r="B268" s="1" t="str">
        <f>VLOOKUP($A268,Types!$A$2:$C$13,2,FALSE)</f>
        <v>GSC</v>
      </c>
      <c r="C268" s="1">
        <v>2</v>
      </c>
      <c r="D268" s="1">
        <v>5</v>
      </c>
      <c r="E268" s="1" t="str">
        <f t="shared" si="668"/>
        <v>IMPGSCP52</v>
      </c>
      <c r="F268" s="1" t="str">
        <f>CONCATENATE("Imported ",VLOOKUP($A268,Types!$A$2:$C$13,3,FALSE),", PADD ",D268,", Step ",RIGHT(C268,1))</f>
        <v>Imported Conventional Gasoline, PADD 5, Step 2</v>
      </c>
      <c r="G268" s="1" t="str">
        <f>CONCATENATE(VLOOKUP($A268,Types!$A$2:$C$13,2,FALSE),"P",D268)</f>
        <v>GSCP5</v>
      </c>
      <c r="H268" s="61">
        <f>H266*$C$6</f>
        <v>36.576540000000001</v>
      </c>
      <c r="I268" s="61">
        <f t="shared" ref="I268:K268" si="688">I266*$C$6</f>
        <v>37.514400000000002</v>
      </c>
      <c r="J268" s="61">
        <f t="shared" si="688"/>
        <v>30.066399999999998</v>
      </c>
      <c r="K268" s="61">
        <f t="shared" si="688"/>
        <v>30.036999999999999</v>
      </c>
      <c r="L268" s="62">
        <f>H268*Conv!$J$20/10^6/VLOOKUP($B268,Types!$B$2:$D$13,3,FALSE)/Conv!$I$5</f>
        <v>10.1270535140701</v>
      </c>
      <c r="M268" s="62">
        <f>I268*Conv!$J$20/10^6/VLOOKUP($B268,Types!$B$2:$D$13,3,FALSE)/Conv!$I$5</f>
        <v>10.386721552892412</v>
      </c>
      <c r="N268" s="62" t="e">
        <f>M268*#REF!</f>
        <v>#REF!</v>
      </c>
      <c r="O268" s="62" t="e">
        <f>N268*#REF!</f>
        <v>#REF!</v>
      </c>
      <c r="P268" s="62" t="e">
        <f>O268*#REF!</f>
        <v>#REF!</v>
      </c>
      <c r="Q268" s="62" t="e">
        <f>P268*#REF!</f>
        <v>#REF!</v>
      </c>
      <c r="R268" s="62" t="e">
        <f>Q268*#REF!</f>
        <v>#REF!</v>
      </c>
      <c r="S268" s="62" t="e">
        <f>R268*#REF!</f>
        <v>#REF!</v>
      </c>
      <c r="T268" s="62" t="e">
        <f>S268*#REF!</f>
        <v>#REF!</v>
      </c>
      <c r="U268" s="62" t="e">
        <f>T268*#REF!</f>
        <v>#REF!</v>
      </c>
      <c r="V268" s="62" t="e">
        <f>U268*#REF!</f>
        <v>#REF!</v>
      </c>
      <c r="W268" s="34"/>
      <c r="X268" s="1">
        <f>X266*$E$6</f>
        <v>20.763000000000002</v>
      </c>
      <c r="Y268" s="1">
        <f t="shared" ref="Y268:AA268" si="689">Y266*$E$6</f>
        <v>17.792999999999999</v>
      </c>
      <c r="Z268" s="1">
        <f t="shared" si="689"/>
        <v>19.170000000000002</v>
      </c>
      <c r="AA268" s="1">
        <f t="shared" si="689"/>
        <v>20.646000000000001</v>
      </c>
      <c r="AB268" s="34">
        <f>X268*VLOOKUP($B268,Types!$B$2:$D$13,3,FALSE)*Conv!$I$5*1000*365</f>
        <v>42.001604468642157</v>
      </c>
      <c r="AC268" s="34">
        <f>Y268*VLOOKUP($B268,Types!$B$2:$D$13,3,FALSE)*Conv!$I$5*1000*365</f>
        <v>35.993572620071753</v>
      </c>
      <c r="AD268" s="34">
        <f>Z268*VLOOKUP($B268,Types!$B$2:$D$13,3,FALSE)*Conv!$I$5*1000*365</f>
        <v>38.779114658954398</v>
      </c>
      <c r="AE268" s="34">
        <f>AA268*VLOOKUP($B268,Types!$B$2:$D$13,3,FALSE)*Conv!$I$5*1000*365</f>
        <v>41.764924426122718</v>
      </c>
      <c r="AF268" s="34">
        <f>AB268-AF267</f>
        <v>4.6668449409602459</v>
      </c>
      <c r="AG268" s="34">
        <f t="shared" ref="AG268:AI268" si="690">AC268-AG267</f>
        <v>3.9992858466746313</v>
      </c>
      <c r="AH268" s="34">
        <f t="shared" si="690"/>
        <v>4.3087905176615919</v>
      </c>
      <c r="AI268" s="34">
        <f t="shared" si="690"/>
        <v>4.6405471584580766</v>
      </c>
      <c r="AJ268" s="34"/>
      <c r="AK268" s="34"/>
      <c r="AL268" s="34"/>
    </row>
    <row r="269" spans="1:38">
      <c r="A269" s="1" t="str">
        <f t="shared" si="687"/>
        <v>Conventional Mogas</v>
      </c>
      <c r="B269" s="1" t="str">
        <f>VLOOKUP($A269,Types!$A$2:$C$13,2,FALSE)</f>
        <v>GSC</v>
      </c>
      <c r="C269" s="1">
        <v>4</v>
      </c>
      <c r="D269" s="1">
        <v>5</v>
      </c>
      <c r="E269" s="1" t="str">
        <f t="shared" si="668"/>
        <v>IMPGSCP54</v>
      </c>
      <c r="F269" s="1" t="str">
        <f>CONCATENATE("Imported ",VLOOKUP($A269,Types!$A$2:$C$13,3,FALSE),", PADD ",D269,", Step ",RIGHT(C269,1))</f>
        <v>Imported Conventional Gasoline, PADD 5, Step 4</v>
      </c>
      <c r="G269" s="1" t="str">
        <f>CONCATENATE(VLOOKUP($A269,Types!$A$2:$C$13,2,FALSE),"P",D269)</f>
        <v>GSCP5</v>
      </c>
      <c r="H269" s="61">
        <f>H266*$C$8</f>
        <v>40.682070000000003</v>
      </c>
      <c r="I269" s="61">
        <f t="shared" ref="I269:K269" si="691">I266*$C$8</f>
        <v>41.725200000000001</v>
      </c>
      <c r="J269" s="61">
        <f t="shared" si="691"/>
        <v>33.441200000000002</v>
      </c>
      <c r="K269" s="61">
        <f t="shared" si="691"/>
        <v>33.408500000000004</v>
      </c>
      <c r="L269" s="62">
        <f>H269*Conv!$J$20/10^6/VLOOKUP($B269,Types!$B$2:$D$13,3,FALSE)/Conv!$I$5</f>
        <v>11.263763602384094</v>
      </c>
      <c r="M269" s="62">
        <f>I269*Conv!$J$20/10^6/VLOOKUP($B269,Types!$B$2:$D$13,3,FALSE)/Conv!$I$5</f>
        <v>11.552578053727274</v>
      </c>
      <c r="N269" s="62" t="e">
        <f>M269*#REF!</f>
        <v>#REF!</v>
      </c>
      <c r="O269" s="62" t="e">
        <f>N269*#REF!</f>
        <v>#REF!</v>
      </c>
      <c r="P269" s="62" t="e">
        <f>O269*#REF!</f>
        <v>#REF!</v>
      </c>
      <c r="Q269" s="62" t="e">
        <f>P269*#REF!</f>
        <v>#REF!</v>
      </c>
      <c r="R269" s="62" t="e">
        <f>Q269*#REF!</f>
        <v>#REF!</v>
      </c>
      <c r="S269" s="62" t="e">
        <f>R269*#REF!</f>
        <v>#REF!</v>
      </c>
      <c r="T269" s="62" t="e">
        <f>S269*#REF!</f>
        <v>#REF!</v>
      </c>
      <c r="U269" s="62" t="e">
        <f>T269*#REF!</f>
        <v>#REF!</v>
      </c>
      <c r="V269" s="62" t="e">
        <f>U269*#REF!</f>
        <v>#REF!</v>
      </c>
      <c r="W269" s="34"/>
      <c r="X269" s="1">
        <f>X266*$E$8</f>
        <v>27.684000000000001</v>
      </c>
      <c r="Y269" s="1">
        <f t="shared" ref="Y269:AA269" si="692">Y266*$E$8</f>
        <v>23.724</v>
      </c>
      <c r="Z269" s="1">
        <f t="shared" si="692"/>
        <v>25.56</v>
      </c>
      <c r="AA269" s="1">
        <f t="shared" si="692"/>
        <v>27.528000000000002</v>
      </c>
      <c r="AB269" s="34">
        <f>X269*VLOOKUP($B269,Types!$B$2:$D$13,3,FALSE)*Conv!$I$5*1000*365</f>
        <v>56.00213929152288</v>
      </c>
      <c r="AC269" s="34">
        <f>Y269*VLOOKUP($B269,Types!$B$2:$D$13,3,FALSE)*Conv!$I$5*1000*365</f>
        <v>47.991430160095675</v>
      </c>
      <c r="AD269" s="34">
        <f>Z269*VLOOKUP($B269,Types!$B$2:$D$13,3,FALSE)*Conv!$I$5*1000*365</f>
        <v>51.705486211939196</v>
      </c>
      <c r="AE269" s="34">
        <f>AA269*VLOOKUP($B269,Types!$B$2:$D$13,3,FALSE)*Conv!$I$5*1000*365</f>
        <v>55.686565901496962</v>
      </c>
      <c r="AF269" s="34">
        <f>AB269-AB266</f>
        <v>9.3336898819204777</v>
      </c>
      <c r="AG269" s="34">
        <f t="shared" ref="AG269:AI269" si="693">AC269-AC266</f>
        <v>7.9985716933492768</v>
      </c>
      <c r="AH269" s="34">
        <f t="shared" si="693"/>
        <v>8.6175810353231981</v>
      </c>
      <c r="AI269" s="34">
        <f t="shared" si="693"/>
        <v>9.2810943169161675</v>
      </c>
      <c r="AJ269" s="34"/>
      <c r="AK269" s="34"/>
      <c r="AL269" s="34"/>
    </row>
    <row r="270" spans="1:38">
      <c r="A270" s="1" t="str">
        <f t="shared" si="687"/>
        <v>Conventional Mogas</v>
      </c>
      <c r="B270" s="1" t="str">
        <f>VLOOKUP($A270,Types!$A$2:$C$13,2,FALSE)</f>
        <v>GSC</v>
      </c>
      <c r="C270" s="1">
        <v>5</v>
      </c>
      <c r="D270" s="1">
        <v>5</v>
      </c>
      <c r="E270" s="1" t="str">
        <f t="shared" si="668"/>
        <v>IMPGSCP55</v>
      </c>
      <c r="F270" s="1" t="str">
        <f>CONCATENATE("Imported ",VLOOKUP($A270,Types!$A$2:$C$13,3,FALSE),", PADD ",D270,", Step ",RIGHT(C270,1))</f>
        <v>Imported Conventional Gasoline, PADD 5, Step 5</v>
      </c>
      <c r="G270" s="1" t="str">
        <f>CONCATENATE(VLOOKUP($A270,Types!$A$2:$C$13,2,FALSE),"P",D270)</f>
        <v>GSCP5</v>
      </c>
      <c r="H270" s="61">
        <f>H266*$C$9</f>
        <v>48.5199</v>
      </c>
      <c r="I270" s="61">
        <f t="shared" ref="I270:K270" si="694">I266*$C$9</f>
        <v>49.764000000000003</v>
      </c>
      <c r="J270" s="61">
        <f t="shared" si="694"/>
        <v>39.884</v>
      </c>
      <c r="K270" s="61">
        <f t="shared" si="694"/>
        <v>39.844999999999999</v>
      </c>
      <c r="L270" s="62">
        <f>H270*Conv!$J$20/10^6/VLOOKUP($B270,Types!$B$2:$D$13,3,FALSE)/Conv!$I$5</f>
        <v>13.433846498256257</v>
      </c>
      <c r="M270" s="62">
        <f>I270*Conv!$J$20/10^6/VLOOKUP($B270,Types!$B$2:$D$13,3,FALSE)/Conv!$I$5</f>
        <v>13.778304100775649</v>
      </c>
      <c r="N270" s="62" t="e">
        <f>M270*#REF!</f>
        <v>#REF!</v>
      </c>
      <c r="O270" s="62" t="e">
        <f>N270*#REF!</f>
        <v>#REF!</v>
      </c>
      <c r="P270" s="62" t="e">
        <f>O270*#REF!</f>
        <v>#REF!</v>
      </c>
      <c r="Q270" s="62" t="e">
        <f>P270*#REF!</f>
        <v>#REF!</v>
      </c>
      <c r="R270" s="62" t="e">
        <f>Q270*#REF!</f>
        <v>#REF!</v>
      </c>
      <c r="S270" s="62" t="e">
        <f>R270*#REF!</f>
        <v>#REF!</v>
      </c>
      <c r="T270" s="62" t="e">
        <f>S270*#REF!</f>
        <v>#REF!</v>
      </c>
      <c r="U270" s="62" t="e">
        <f>T270*#REF!</f>
        <v>#REF!</v>
      </c>
      <c r="V270" s="62" t="e">
        <f>U270*#REF!</f>
        <v>#REF!</v>
      </c>
      <c r="W270" s="34"/>
      <c r="X270" s="1">
        <f>X266*$E$9</f>
        <v>46.14</v>
      </c>
      <c r="Y270" s="1">
        <f t="shared" ref="Y270:AA270" si="695">Y266*$E$9</f>
        <v>39.54</v>
      </c>
      <c r="Z270" s="1">
        <f t="shared" si="695"/>
        <v>42.6</v>
      </c>
      <c r="AA270" s="1">
        <f t="shared" si="695"/>
        <v>45.88</v>
      </c>
      <c r="AB270" s="34">
        <f>X270*VLOOKUP($B270,Types!$B$2:$D$13,3,FALSE)*Conv!$I$5*1000*365</f>
        <v>93.336898819204805</v>
      </c>
      <c r="AC270" s="34">
        <f>Y270*VLOOKUP($B270,Types!$B$2:$D$13,3,FALSE)*Conv!$I$5*1000*365</f>
        <v>79.985716933492796</v>
      </c>
      <c r="AD270" s="34">
        <f>Z270*VLOOKUP($B270,Types!$B$2:$D$13,3,FALSE)*Conv!$I$5*1000*365</f>
        <v>86.175810353231995</v>
      </c>
      <c r="AE270" s="34">
        <f>AA270*VLOOKUP($B270,Types!$B$2:$D$13,3,FALSE)*Conv!$I$5*1000*365</f>
        <v>92.81094316916159</v>
      </c>
      <c r="AF270" s="34">
        <f>AB270-AB269</f>
        <v>37.334759527681925</v>
      </c>
      <c r="AG270" s="34">
        <f t="shared" ref="AG270:AI270" si="696">AC270-AC269</f>
        <v>31.994286773397121</v>
      </c>
      <c r="AH270" s="34">
        <f t="shared" si="696"/>
        <v>34.470324141292799</v>
      </c>
      <c r="AI270" s="34">
        <f t="shared" si="696"/>
        <v>37.124377267664627</v>
      </c>
      <c r="AJ270" s="34"/>
      <c r="AK270" s="34"/>
      <c r="AL270" s="34"/>
    </row>
    <row r="271" spans="1:38">
      <c r="A271" s="1" t="str">
        <f>'Agg prdcrv'!$A$8</f>
        <v>Heating No. 2</v>
      </c>
      <c r="B271" s="1" t="str">
        <f>VLOOKUP($A271,Types!$A$2:$C$13,2,FALSE)</f>
        <v>DSH</v>
      </c>
      <c r="C271" s="1">
        <v>3</v>
      </c>
      <c r="D271" s="1">
        <v>5</v>
      </c>
      <c r="E271" s="1" t="str">
        <f t="shared" si="668"/>
        <v>IMPDSHP53</v>
      </c>
      <c r="F271" s="1" t="str">
        <f>CONCATENATE("Imported ",VLOOKUP($A271,Types!$A$2:$C$13,3,FALSE),", PADD ",D271,", Step ",RIGHT(C271,1))</f>
        <v>Imported Distillate-Heating Oil No. 2, PADD 5, Step 3</v>
      </c>
      <c r="G271" s="1" t="str">
        <f>CONCATENATE(VLOOKUP($A271,Types!$A$2:$C$13,2,FALSE),"P",D271)</f>
        <v>DSHP5</v>
      </c>
      <c r="H271" s="61">
        <f>SUMIFS('Agg prdcrv NYC'!$P$6:$P$100,'Agg prdcrv NYC'!$A$6:$A$100,'Imp Refined NYC'!$A271,'Agg prdcrv NYC'!$B$6:$B$100,H$11)*K4</f>
        <v>55.671000000000006</v>
      </c>
      <c r="I271" s="61">
        <f>SUMIFS('Agg prdcrv NYC'!$P$6:$P$100,'Agg prdcrv NYC'!$A$6:$A$100,'Imp Refined NYC'!$A271,'Agg prdcrv NYC'!$B$6:$B$100,I$11)*K4</f>
        <v>50.699000000000005</v>
      </c>
      <c r="J271" s="61">
        <f t="array" ref="J271">SUMIFS('Agg prdcrv NYC'!$P$6:$P$100,'Agg prdcrv NYC'!$A$6:$A$100,'Imp Refined NYC'!$A271,'Agg prdcrv NYC'!$B$6:$B$100,J$11)</f>
        <v>37.53</v>
      </c>
      <c r="K271" s="61">
        <f t="array" ref="K271">SUMIFS('Agg prdcrv NYC'!$P$6:$P$100,'Agg prdcrv NYC'!$A$6:$A$100,'Imp Refined NYC'!$A271,'Agg prdcrv NYC'!$B$6:$B$100,K$11)</f>
        <v>40.35</v>
      </c>
      <c r="L271" s="62">
        <f>H271*Conv!$J$20/10^6/VLOOKUP($B271,Types!$B$2:$D$13,3,FALSE)/Conv!$I$5</f>
        <v>13.900197725617737</v>
      </c>
      <c r="M271" s="62">
        <f>I271*Conv!$J$20/10^6/VLOOKUP($B271,Types!$B$2:$D$13,3,FALSE)/Conv!$I$5</f>
        <v>12.658765326491235</v>
      </c>
      <c r="N271" s="62" t="e">
        <f>M271*#REF!</f>
        <v>#REF!</v>
      </c>
      <c r="O271" s="62" t="e">
        <f>N271*#REF!</f>
        <v>#REF!</v>
      </c>
      <c r="P271" s="62" t="e">
        <f>O271*#REF!</f>
        <v>#REF!</v>
      </c>
      <c r="Q271" s="62" t="e">
        <f>P271*#REF!</f>
        <v>#REF!</v>
      </c>
      <c r="R271" s="62" t="e">
        <f>Q271*#REF!</f>
        <v>#REF!</v>
      </c>
      <c r="S271" s="62" t="e">
        <f>R271*#REF!</f>
        <v>#REF!</v>
      </c>
      <c r="T271" s="62" t="e">
        <f>S271*#REF!</f>
        <v>#REF!</v>
      </c>
      <c r="U271" s="62" t="e">
        <f>T271*#REF!</f>
        <v>#REF!</v>
      </c>
      <c r="V271" s="62" t="e">
        <f>U271*#REF!</f>
        <v>#REF!</v>
      </c>
      <c r="W271" s="34"/>
      <c r="X271" s="1">
        <f t="array" ref="X271">SUMIFS('Agg prdcrv NYC'!$H$6:$H$100,'Agg prdcrv NYC'!$A$6:$A$100,'Imp Refined NYC'!$A271,'Agg prdcrv NYC'!$B$6:$B$100,X$11)</f>
        <v>5.07</v>
      </c>
      <c r="Y271" s="1">
        <f t="array" ref="Y271">SUMIFS('Agg prdcrv NYC'!$H$6:$H$100,'Agg prdcrv NYC'!$A$6:$A$100,'Imp Refined NYC'!$A271,'Agg prdcrv NYC'!$B$6:$B$100,Y$11)</f>
        <v>4.91</v>
      </c>
      <c r="Z271" s="1">
        <f t="array" ref="Z271">SUMIFS('Agg prdcrv NYC'!$H$6:$H$100,'Agg prdcrv NYC'!$A$6:$A$100,'Imp Refined NYC'!$A271,'Agg prdcrv NYC'!$B$6:$B$100,Z$11)</f>
        <v>5.42</v>
      </c>
      <c r="AA271" s="1">
        <f t="array" ref="AA271">SUMIFS('Agg prdcrv NYC'!$H$6:$H$100,'Agg prdcrv NYC'!$A$6:$A$100,'Imp Refined NYC'!$A271,'Agg prdcrv NYC'!$B$6:$B$100,AA$11)</f>
        <v>5.98</v>
      </c>
      <c r="AB271" s="34">
        <f>X271*VLOOKUP($B271,Types!$B$2:$D$13,3,FALSE)*Conv!$I$5*1000*365</f>
        <v>11.372927355660002</v>
      </c>
      <c r="AC271" s="34">
        <f>Y271*VLOOKUP($B271,Types!$B$2:$D$13,3,FALSE)*Conv!$I$5*1000*365</f>
        <v>11.01401840558</v>
      </c>
      <c r="AD271" s="34">
        <f>Z271*VLOOKUP($B271,Types!$B$2:$D$13,3,FALSE)*Conv!$I$5*1000*365</f>
        <v>12.158040683959999</v>
      </c>
      <c r="AE271" s="34">
        <f>AA271*VLOOKUP($B271,Types!$B$2:$D$13,3,FALSE)*Conv!$I$5*1000*365</f>
        <v>13.41422200924</v>
      </c>
      <c r="AF271" s="34">
        <f>AB271-AB273</f>
        <v>1.1372927355659996</v>
      </c>
      <c r="AG271" s="34">
        <f t="shared" ref="AG271:AI271" si="697">AC271-AC273</f>
        <v>1.1014018405579993</v>
      </c>
      <c r="AH271" s="34">
        <f t="shared" si="697"/>
        <v>1.2158040683960003</v>
      </c>
      <c r="AI271" s="34">
        <f t="shared" si="697"/>
        <v>1.3414222009239989</v>
      </c>
      <c r="AJ271" s="34"/>
      <c r="AK271" s="34"/>
      <c r="AL271" s="34"/>
    </row>
    <row r="272" spans="1:38">
      <c r="A272" s="1" t="str">
        <f>A271</f>
        <v>Heating No. 2</v>
      </c>
      <c r="B272" s="1" t="str">
        <f>VLOOKUP($A272,Types!$A$2:$C$13,2,FALSE)</f>
        <v>DSH</v>
      </c>
      <c r="C272" s="1">
        <v>1</v>
      </c>
      <c r="D272" s="1">
        <v>5</v>
      </c>
      <c r="E272" s="1" t="str">
        <f t="shared" si="668"/>
        <v>IMPDSHP51</v>
      </c>
      <c r="F272" s="1" t="str">
        <f>CONCATENATE("Imported ",VLOOKUP($A272,Types!$A$2:$C$13,3,FALSE),", PADD ",D272,", Step ",RIGHT(C272,1))</f>
        <v>Imported Distillate-Heating Oil No. 2, PADD 5, Step 1</v>
      </c>
      <c r="G272" s="1" t="str">
        <f>CONCATENATE(VLOOKUP($A272,Types!$A$2:$C$13,2,FALSE),"P",D272)</f>
        <v>DSHP5</v>
      </c>
      <c r="H272" s="61">
        <f>H271*$C$5</f>
        <v>52.887450000000001</v>
      </c>
      <c r="I272" s="61">
        <f t="shared" ref="I272:K272" si="698">I271*$C$5</f>
        <v>48.164050000000003</v>
      </c>
      <c r="J272" s="61">
        <f t="shared" si="698"/>
        <v>35.653500000000001</v>
      </c>
      <c r="K272" s="61">
        <f t="shared" si="698"/>
        <v>38.332499999999996</v>
      </c>
      <c r="L272" s="62">
        <f>H272*Conv!$J$20/10^6/VLOOKUP($B272,Types!$B$2:$D$13,3,FALSE)/Conv!$I$5</f>
        <v>13.205187839336849</v>
      </c>
      <c r="M272" s="62">
        <f>I272*Conv!$J$20/10^6/VLOOKUP($B272,Types!$B$2:$D$13,3,FALSE)/Conv!$I$5</f>
        <v>12.025827060166675</v>
      </c>
      <c r="N272" s="62" t="e">
        <f>M272*#REF!</f>
        <v>#REF!</v>
      </c>
      <c r="O272" s="62" t="e">
        <f>N272*#REF!</f>
        <v>#REF!</v>
      </c>
      <c r="P272" s="62" t="e">
        <f>O272*#REF!</f>
        <v>#REF!</v>
      </c>
      <c r="Q272" s="62" t="e">
        <f>P272*#REF!</f>
        <v>#REF!</v>
      </c>
      <c r="R272" s="62" t="e">
        <f>Q272*#REF!</f>
        <v>#REF!</v>
      </c>
      <c r="S272" s="62" t="e">
        <f>R272*#REF!</f>
        <v>#REF!</v>
      </c>
      <c r="T272" s="62" t="e">
        <f>S272*#REF!</f>
        <v>#REF!</v>
      </c>
      <c r="U272" s="62" t="e">
        <f>T272*#REF!</f>
        <v>#REF!</v>
      </c>
      <c r="V272" s="62" t="e">
        <f>U272*#REF!</f>
        <v>#REF!</v>
      </c>
      <c r="W272" s="34"/>
      <c r="X272" s="1">
        <f>X271*$E$5</f>
        <v>4.056</v>
      </c>
      <c r="Y272" s="1">
        <f t="shared" ref="Y272:AA272" si="699">Y271*$E$5</f>
        <v>3.9280000000000004</v>
      </c>
      <c r="Z272" s="1">
        <f t="shared" si="699"/>
        <v>4.3360000000000003</v>
      </c>
      <c r="AA272" s="1">
        <f t="shared" si="699"/>
        <v>4.7840000000000007</v>
      </c>
      <c r="AB272" s="34">
        <f>X272*VLOOKUP($B272,Types!$B$2:$D$13,3,FALSE)*Conv!$I$5*1000*365</f>
        <v>9.0983418845279989</v>
      </c>
      <c r="AC272" s="34">
        <f>Y272*VLOOKUP($B272,Types!$B$2:$D$13,3,FALSE)*Conv!$I$5*1000*365</f>
        <v>8.8112147244639996</v>
      </c>
      <c r="AD272" s="34">
        <f>Z272*VLOOKUP($B272,Types!$B$2:$D$13,3,FALSE)*Conv!$I$5*1000*365</f>
        <v>9.7264325471679989</v>
      </c>
      <c r="AE272" s="34">
        <f>AA272*VLOOKUP($B272,Types!$B$2:$D$13,3,FALSE)*Conv!$I$5*1000*365</f>
        <v>10.731377607392</v>
      </c>
      <c r="AF272" s="34">
        <f>AB272</f>
        <v>9.0983418845279989</v>
      </c>
      <c r="AG272" s="34">
        <f t="shared" ref="AG272:AI272" si="700">AC272</f>
        <v>8.8112147244639996</v>
      </c>
      <c r="AH272" s="34">
        <f t="shared" si="700"/>
        <v>9.7264325471679989</v>
      </c>
      <c r="AI272" s="34">
        <f t="shared" si="700"/>
        <v>10.731377607392</v>
      </c>
      <c r="AJ272" s="34"/>
      <c r="AK272" s="34"/>
      <c r="AL272" s="34"/>
    </row>
    <row r="273" spans="1:38">
      <c r="A273" s="1" t="str">
        <f t="shared" ref="A273:A275" si="701">A272</f>
        <v>Heating No. 2</v>
      </c>
      <c r="B273" s="1" t="str">
        <f>VLOOKUP($A273,Types!$A$2:$C$13,2,FALSE)</f>
        <v>DSH</v>
      </c>
      <c r="C273" s="1">
        <v>2</v>
      </c>
      <c r="D273" s="1">
        <v>5</v>
      </c>
      <c r="E273" s="1" t="str">
        <f t="shared" si="668"/>
        <v>IMPDSHP52</v>
      </c>
      <c r="F273" s="1" t="str">
        <f>CONCATENATE("Imported ",VLOOKUP($A273,Types!$A$2:$C$13,3,FALSE),", PADD ",D273,", Step ",RIGHT(C273,1))</f>
        <v>Imported Distillate-Heating Oil No. 2, PADD 5, Step 2</v>
      </c>
      <c r="G273" s="1" t="str">
        <f>CONCATENATE(VLOOKUP($A273,Types!$A$2:$C$13,2,FALSE),"P",D273)</f>
        <v>DSHP5</v>
      </c>
      <c r="H273" s="61">
        <f>H271*$C$6</f>
        <v>54.557580000000009</v>
      </c>
      <c r="I273" s="61">
        <f t="shared" ref="I273:K273" si="702">I271*$C$6</f>
        <v>49.685020000000002</v>
      </c>
      <c r="J273" s="61">
        <f t="shared" si="702"/>
        <v>36.779400000000003</v>
      </c>
      <c r="K273" s="61">
        <f t="shared" si="702"/>
        <v>39.542999999999999</v>
      </c>
      <c r="L273" s="62">
        <f>H273*Conv!$J$20/10^6/VLOOKUP($B273,Types!$B$2:$D$13,3,FALSE)/Conv!$I$5</f>
        <v>13.62219377110538</v>
      </c>
      <c r="M273" s="62">
        <f>I273*Conv!$J$20/10^6/VLOOKUP($B273,Types!$B$2:$D$13,3,FALSE)/Conv!$I$5</f>
        <v>12.40559001996141</v>
      </c>
      <c r="N273" s="62" t="e">
        <f>M273*#REF!</f>
        <v>#REF!</v>
      </c>
      <c r="O273" s="62" t="e">
        <f>N273*#REF!</f>
        <v>#REF!</v>
      </c>
      <c r="P273" s="62" t="e">
        <f>O273*#REF!</f>
        <v>#REF!</v>
      </c>
      <c r="Q273" s="62" t="e">
        <f>P273*#REF!</f>
        <v>#REF!</v>
      </c>
      <c r="R273" s="62" t="e">
        <f>Q273*#REF!</f>
        <v>#REF!</v>
      </c>
      <c r="S273" s="62" t="e">
        <f>R273*#REF!</f>
        <v>#REF!</v>
      </c>
      <c r="T273" s="62" t="e">
        <f>S273*#REF!</f>
        <v>#REF!</v>
      </c>
      <c r="U273" s="62" t="e">
        <f>T273*#REF!</f>
        <v>#REF!</v>
      </c>
      <c r="V273" s="62" t="e">
        <f>U273*#REF!</f>
        <v>#REF!</v>
      </c>
      <c r="W273" s="34"/>
      <c r="X273" s="1">
        <f>X271*$E$6</f>
        <v>4.5630000000000006</v>
      </c>
      <c r="Y273" s="1">
        <f t="shared" ref="Y273:AA273" si="703">Y271*$E$6</f>
        <v>4.4190000000000005</v>
      </c>
      <c r="Z273" s="1">
        <f t="shared" si="703"/>
        <v>4.8780000000000001</v>
      </c>
      <c r="AA273" s="1">
        <f t="shared" si="703"/>
        <v>5.3820000000000006</v>
      </c>
      <c r="AB273" s="34">
        <f>X273*VLOOKUP($B273,Types!$B$2:$D$13,3,FALSE)*Conv!$I$5*1000*365</f>
        <v>10.235634620094002</v>
      </c>
      <c r="AC273" s="34">
        <f>Y273*VLOOKUP($B273,Types!$B$2:$D$13,3,FALSE)*Conv!$I$5*1000*365</f>
        <v>9.9126165650220006</v>
      </c>
      <c r="AD273" s="34">
        <f>Z273*VLOOKUP($B273,Types!$B$2:$D$13,3,FALSE)*Conv!$I$5*1000*365</f>
        <v>10.942236615563999</v>
      </c>
      <c r="AE273" s="34">
        <f>AA273*VLOOKUP($B273,Types!$B$2:$D$13,3,FALSE)*Conv!$I$5*1000*365</f>
        <v>12.072799808316001</v>
      </c>
      <c r="AF273" s="34">
        <f>AB273-AF272</f>
        <v>1.1372927355660032</v>
      </c>
      <c r="AG273" s="34">
        <f t="shared" ref="AG273:AI273" si="704">AC273-AG272</f>
        <v>1.1014018405580011</v>
      </c>
      <c r="AH273" s="34">
        <f t="shared" si="704"/>
        <v>1.2158040683960003</v>
      </c>
      <c r="AI273" s="34">
        <f t="shared" si="704"/>
        <v>1.3414222009240007</v>
      </c>
      <c r="AJ273" s="34"/>
      <c r="AK273" s="34"/>
      <c r="AL273" s="34"/>
    </row>
    <row r="274" spans="1:38">
      <c r="A274" s="1" t="str">
        <f t="shared" si="701"/>
        <v>Heating No. 2</v>
      </c>
      <c r="B274" s="1" t="str">
        <f>VLOOKUP($A274,Types!$A$2:$C$13,2,FALSE)</f>
        <v>DSH</v>
      </c>
      <c r="C274" s="1">
        <v>4</v>
      </c>
      <c r="D274" s="1">
        <v>5</v>
      </c>
      <c r="E274" s="1" t="str">
        <f t="shared" si="668"/>
        <v>IMPDSHP54</v>
      </c>
      <c r="F274" s="1" t="str">
        <f>CONCATENATE("Imported ",VLOOKUP($A274,Types!$A$2:$C$13,3,FALSE),", PADD ",D274,", Step ",RIGHT(C274,1))</f>
        <v>Imported Distillate-Heating Oil No. 2, PADD 5, Step 4</v>
      </c>
      <c r="G274" s="1" t="str">
        <f>CONCATENATE(VLOOKUP($A274,Types!$A$2:$C$13,2,FALSE),"P",D274)</f>
        <v>DSHP5</v>
      </c>
      <c r="H274" s="61">
        <f>H271*$C$8</f>
        <v>60.681390000000015</v>
      </c>
      <c r="I274" s="61">
        <f t="shared" ref="I274:K274" si="705">I271*$C$8</f>
        <v>55.261910000000007</v>
      </c>
      <c r="J274" s="61">
        <f t="shared" si="705"/>
        <v>40.907700000000006</v>
      </c>
      <c r="K274" s="61">
        <f t="shared" si="705"/>
        <v>43.981500000000004</v>
      </c>
      <c r="L274" s="62">
        <f>H274*Conv!$J$20/10^6/VLOOKUP($B274,Types!$B$2:$D$13,3,FALSE)/Conv!$I$5</f>
        <v>15.151215520923333</v>
      </c>
      <c r="M274" s="62">
        <f>I274*Conv!$J$20/10^6/VLOOKUP($B274,Types!$B$2:$D$13,3,FALSE)/Conv!$I$5</f>
        <v>13.798054205875449</v>
      </c>
      <c r="N274" s="62" t="e">
        <f>M274*#REF!</f>
        <v>#REF!</v>
      </c>
      <c r="O274" s="62" t="e">
        <f>N274*#REF!</f>
        <v>#REF!</v>
      </c>
      <c r="P274" s="62" t="e">
        <f>O274*#REF!</f>
        <v>#REF!</v>
      </c>
      <c r="Q274" s="62" t="e">
        <f>P274*#REF!</f>
        <v>#REF!</v>
      </c>
      <c r="R274" s="62" t="e">
        <f>Q274*#REF!</f>
        <v>#REF!</v>
      </c>
      <c r="S274" s="62" t="e">
        <f>R274*#REF!</f>
        <v>#REF!</v>
      </c>
      <c r="T274" s="62" t="e">
        <f>S274*#REF!</f>
        <v>#REF!</v>
      </c>
      <c r="U274" s="62" t="e">
        <f>T274*#REF!</f>
        <v>#REF!</v>
      </c>
      <c r="V274" s="62" t="e">
        <f>U274*#REF!</f>
        <v>#REF!</v>
      </c>
      <c r="W274" s="34"/>
      <c r="X274" s="1">
        <f>X271*$E$8</f>
        <v>6.0840000000000005</v>
      </c>
      <c r="Y274" s="1">
        <f t="shared" ref="Y274:AA274" si="706">Y271*$E$8</f>
        <v>5.8920000000000003</v>
      </c>
      <c r="Z274" s="1">
        <f t="shared" si="706"/>
        <v>6.5039999999999996</v>
      </c>
      <c r="AA274" s="1">
        <f t="shared" si="706"/>
        <v>7.1760000000000002</v>
      </c>
      <c r="AB274" s="34">
        <f>X274*VLOOKUP($B274,Types!$B$2:$D$13,3,FALSE)*Conv!$I$5*1000*365</f>
        <v>13.647512826792001</v>
      </c>
      <c r="AC274" s="34">
        <f>Y274*VLOOKUP($B274,Types!$B$2:$D$13,3,FALSE)*Conv!$I$5*1000*365</f>
        <v>13.216822086695998</v>
      </c>
      <c r="AD274" s="34">
        <f>Z274*VLOOKUP($B274,Types!$B$2:$D$13,3,FALSE)*Conv!$I$5*1000*365</f>
        <v>14.589648820751998</v>
      </c>
      <c r="AE274" s="34">
        <f>AA274*VLOOKUP($B274,Types!$B$2:$D$13,3,FALSE)*Conv!$I$5*1000*365</f>
        <v>16.097066411088001</v>
      </c>
      <c r="AF274" s="34">
        <f>AB274-AB271</f>
        <v>2.2745854711319993</v>
      </c>
      <c r="AG274" s="34">
        <f t="shared" ref="AG274:AI274" si="707">AC274-AC271</f>
        <v>2.2028036811159986</v>
      </c>
      <c r="AH274" s="34">
        <f t="shared" si="707"/>
        <v>2.4316081367919988</v>
      </c>
      <c r="AI274" s="34">
        <f t="shared" si="707"/>
        <v>2.6828444018480013</v>
      </c>
      <c r="AJ274" s="34"/>
      <c r="AK274" s="34"/>
      <c r="AL274" s="34"/>
    </row>
    <row r="275" spans="1:38">
      <c r="A275" s="1" t="str">
        <f t="shared" si="701"/>
        <v>Heating No. 2</v>
      </c>
      <c r="B275" s="1" t="str">
        <f>VLOOKUP($A275,Types!$A$2:$C$13,2,FALSE)</f>
        <v>DSH</v>
      </c>
      <c r="C275" s="1">
        <v>5</v>
      </c>
      <c r="D275" s="1">
        <v>5</v>
      </c>
      <c r="E275" s="1" t="str">
        <f t="shared" si="668"/>
        <v>IMPDSHP55</v>
      </c>
      <c r="F275" s="1" t="str">
        <f>CONCATENATE("Imported ",VLOOKUP($A275,Types!$A$2:$C$13,3,FALSE),", PADD ",D275,", Step ",RIGHT(C275,1))</f>
        <v>Imported Distillate-Heating Oil No. 2, PADD 5, Step 5</v>
      </c>
      <c r="G275" s="1" t="str">
        <f>CONCATENATE(VLOOKUP($A275,Types!$A$2:$C$13,2,FALSE),"P",D275)</f>
        <v>DSHP5</v>
      </c>
      <c r="H275" s="61">
        <f>H271*$C$9</f>
        <v>72.37230000000001</v>
      </c>
      <c r="I275" s="61">
        <f t="shared" ref="I275:K275" si="708">I271*$C$9</f>
        <v>65.90870000000001</v>
      </c>
      <c r="J275" s="61">
        <f t="shared" si="708"/>
        <v>48.789000000000001</v>
      </c>
      <c r="K275" s="61">
        <f t="shared" si="708"/>
        <v>52.455000000000005</v>
      </c>
      <c r="L275" s="62">
        <f>H275*Conv!$J$20/10^6/VLOOKUP($B275,Types!$B$2:$D$13,3,FALSE)/Conv!$I$5</f>
        <v>18.070257043303059</v>
      </c>
      <c r="M275" s="62">
        <f>I275*Conv!$J$20/10^6/VLOOKUP($B275,Types!$B$2:$D$13,3,FALSE)/Conv!$I$5</f>
        <v>16.456394924438605</v>
      </c>
      <c r="N275" s="62" t="e">
        <f>M275*#REF!</f>
        <v>#REF!</v>
      </c>
      <c r="O275" s="62" t="e">
        <f>N275*#REF!</f>
        <v>#REF!</v>
      </c>
      <c r="P275" s="62" t="e">
        <f>O275*#REF!</f>
        <v>#REF!</v>
      </c>
      <c r="Q275" s="62" t="e">
        <f>P275*#REF!</f>
        <v>#REF!</v>
      </c>
      <c r="R275" s="62" t="e">
        <f>Q275*#REF!</f>
        <v>#REF!</v>
      </c>
      <c r="S275" s="62" t="e">
        <f>R275*#REF!</f>
        <v>#REF!</v>
      </c>
      <c r="T275" s="62" t="e">
        <f>S275*#REF!</f>
        <v>#REF!</v>
      </c>
      <c r="U275" s="62" t="e">
        <f>T275*#REF!</f>
        <v>#REF!</v>
      </c>
      <c r="V275" s="62" t="e">
        <f>U275*#REF!</f>
        <v>#REF!</v>
      </c>
      <c r="W275" s="34"/>
      <c r="X275" s="1">
        <f>X271*$E$9</f>
        <v>10.14</v>
      </c>
      <c r="Y275" s="1">
        <f t="shared" ref="Y275:AA275" si="709">Y271*$E$9</f>
        <v>9.82</v>
      </c>
      <c r="Z275" s="1">
        <f t="shared" si="709"/>
        <v>10.84</v>
      </c>
      <c r="AA275" s="1">
        <f t="shared" si="709"/>
        <v>11.96</v>
      </c>
      <c r="AB275" s="34">
        <f>X275*VLOOKUP($B275,Types!$B$2:$D$13,3,FALSE)*Conv!$I$5*1000*365</f>
        <v>22.745854711320003</v>
      </c>
      <c r="AC275" s="34">
        <f>Y275*VLOOKUP($B275,Types!$B$2:$D$13,3,FALSE)*Conv!$I$5*1000*365</f>
        <v>22.02803681116</v>
      </c>
      <c r="AD275" s="34">
        <f>Z275*VLOOKUP($B275,Types!$B$2:$D$13,3,FALSE)*Conv!$I$5*1000*365</f>
        <v>24.316081367919999</v>
      </c>
      <c r="AE275" s="34">
        <f>AA275*VLOOKUP($B275,Types!$B$2:$D$13,3,FALSE)*Conv!$I$5*1000*365</f>
        <v>26.828444018479999</v>
      </c>
      <c r="AF275" s="34">
        <f>AB275-AB274</f>
        <v>9.0983418845280024</v>
      </c>
      <c r="AG275" s="34">
        <f t="shared" ref="AG275:AI275" si="710">AC275-AC274</f>
        <v>8.8112147244640013</v>
      </c>
      <c r="AH275" s="34">
        <f t="shared" si="710"/>
        <v>9.7264325471680007</v>
      </c>
      <c r="AI275" s="34">
        <f t="shared" si="710"/>
        <v>10.731377607391998</v>
      </c>
      <c r="AJ275" s="34"/>
      <c r="AK275" s="34"/>
      <c r="AL275" s="34"/>
    </row>
    <row r="276" spans="1:38">
      <c r="A276" s="1" t="str">
        <f>'Agg prdcrv'!$A$9</f>
        <v>LS Diesel (500 ppm)</v>
      </c>
      <c r="B276" s="1" t="str">
        <f>VLOOKUP($A276,Types!$A$2:$C$13,2,FALSE)</f>
        <v>DSL</v>
      </c>
      <c r="C276" s="1">
        <v>3</v>
      </c>
      <c r="D276" s="1">
        <v>5</v>
      </c>
      <c r="E276" s="1" t="str">
        <f t="shared" si="668"/>
        <v>IMPDSLP53</v>
      </c>
      <c r="F276" s="1" t="str">
        <f>CONCATENATE("Imported ",VLOOKUP($A276,Types!$A$2:$C$13,3,FALSE),", PADD ",D276,", Step ",RIGHT(C276,1))</f>
        <v>Imported Distillate-Low Sulfur Highway Diesel (500 ppm), PADD 5, Step 3</v>
      </c>
      <c r="G276" s="1" t="str">
        <f>CONCATENATE(VLOOKUP($A276,Types!$A$2:$C$13,2,FALSE),"P",D276)</f>
        <v>DSLP5</v>
      </c>
      <c r="H276" s="61">
        <f>SUMIFS('Agg prdcrv NYC'!$P$6:$P$100,'Agg prdcrv NYC'!$A$6:$A$100,'Imp Refined NYC'!$A276,'Agg prdcrv NYC'!$B$6:$B$100,H$11)*K4</f>
        <v>64.954999999999998</v>
      </c>
      <c r="I276" s="61">
        <f>SUMIFS('Agg prdcrv NYC'!$P$6:$P$100,'Agg prdcrv NYC'!$A$6:$A$100,'Imp Refined NYC'!$A276,'Agg prdcrv NYC'!$B$6:$B$100,I$11)*K4</f>
        <v>50.875000000000007</v>
      </c>
      <c r="J276" s="61">
        <f t="array" ref="J276">SUMIFS('Agg prdcrv NYC'!$P$6:$P$100,'Agg prdcrv NYC'!$A$6:$A$100,'Imp Refined NYC'!$A276,'Agg prdcrv NYC'!$B$6:$B$100,J$11)</f>
        <v>113.5</v>
      </c>
      <c r="K276" s="61">
        <f t="array" ref="K276">SUMIFS('Agg prdcrv NYC'!$P$6:$P$100,'Agg prdcrv NYC'!$A$6:$A$100,'Imp Refined NYC'!$A276,'Agg prdcrv NYC'!$B$6:$B$100,K$11)</f>
        <v>113.5</v>
      </c>
      <c r="L276" s="62">
        <f>H276*Conv!$J$20/10^6/VLOOKUP($B276,Types!$B$2:$D$13,3,FALSE)/Conv!$I$5</f>
        <v>16.218270612482261</v>
      </c>
      <c r="M276" s="62">
        <f>I276*Conv!$J$20/10^6/VLOOKUP($B276,Types!$B$2:$D$13,3,FALSE)/Conv!$I$5</f>
        <v>12.702709836194831</v>
      </c>
      <c r="N276" s="62" t="e">
        <f>M276*#REF!</f>
        <v>#REF!</v>
      </c>
      <c r="O276" s="62" t="e">
        <f>N276*#REF!</f>
        <v>#REF!</v>
      </c>
      <c r="P276" s="62" t="e">
        <f>O276*#REF!</f>
        <v>#REF!</v>
      </c>
      <c r="Q276" s="62" t="e">
        <f>P276*#REF!</f>
        <v>#REF!</v>
      </c>
      <c r="R276" s="62" t="e">
        <f>Q276*#REF!</f>
        <v>#REF!</v>
      </c>
      <c r="S276" s="62" t="e">
        <f>R276*#REF!</f>
        <v>#REF!</v>
      </c>
      <c r="T276" s="62" t="e">
        <f>S276*#REF!</f>
        <v>#REF!</v>
      </c>
      <c r="U276" s="62" t="e">
        <f>T276*#REF!</f>
        <v>#REF!</v>
      </c>
      <c r="V276" s="62" t="e">
        <f>U276*#REF!</f>
        <v>#REF!</v>
      </c>
      <c r="W276" s="34"/>
      <c r="X276" s="1">
        <f t="array" ref="X276">SUMIFS('Agg prdcrv NYC'!$H$6:$H$100,'Agg prdcrv NYC'!$A$6:$A$100,'Imp Refined NYC'!$A276,'Agg prdcrv NYC'!$B$6:$B$100,X$11)</f>
        <v>13.73</v>
      </c>
      <c r="Y276" s="1">
        <f t="array" ref="Y276">SUMIFS('Agg prdcrv NYC'!$H$6:$H$100,'Agg prdcrv NYC'!$A$6:$A$100,'Imp Refined NYC'!$A276,'Agg prdcrv NYC'!$B$6:$B$100,Y$11)</f>
        <v>4.3</v>
      </c>
      <c r="Z276" s="1">
        <f t="array" ref="Z276">SUMIFS('Agg prdcrv NYC'!$H$6:$H$100,'Agg prdcrv NYC'!$A$6:$A$100,'Imp Refined NYC'!$A276,'Agg prdcrv NYC'!$B$6:$B$100,Z$11)</f>
        <v>1.02</v>
      </c>
      <c r="AA276" s="1">
        <f t="array" ref="AA276">SUMIFS('Agg prdcrv NYC'!$H$6:$H$100,'Agg prdcrv NYC'!$A$6:$A$100,'Imp Refined NYC'!$A276,'Agg prdcrv NYC'!$B$6:$B$100,AA$11)</f>
        <v>0.24</v>
      </c>
      <c r="AB276" s="34">
        <f>X276*VLOOKUP($B276,Types!$B$2:$D$13,3,FALSE)*Conv!$I$5*1000*365</f>
        <v>30.798874278739998</v>
      </c>
      <c r="AC276" s="34">
        <f>Y276*VLOOKUP($B276,Types!$B$2:$D$13,3,FALSE)*Conv!$I$5*1000*365</f>
        <v>9.6456780333999994</v>
      </c>
      <c r="AD276" s="34">
        <f>Z276*VLOOKUP($B276,Types!$B$2:$D$13,3,FALSE)*Conv!$I$5*1000*365</f>
        <v>2.2880445567600001</v>
      </c>
      <c r="AE276" s="34">
        <f>AA276*VLOOKUP($B276,Types!$B$2:$D$13,3,FALSE)*Conv!$I$5*1000*365</f>
        <v>0.53836342511999991</v>
      </c>
      <c r="AF276" s="34">
        <f>AB276-AB278</f>
        <v>3.0798874278739987</v>
      </c>
      <c r="AG276" s="34">
        <f t="shared" ref="AG276:AI276" si="711">AC276-AC278</f>
        <v>0.96456780333999959</v>
      </c>
      <c r="AH276" s="34">
        <f t="shared" si="711"/>
        <v>0.22880445567599983</v>
      </c>
      <c r="AI276" s="34">
        <f t="shared" si="711"/>
        <v>5.3836342511999979E-2</v>
      </c>
      <c r="AJ276" s="34"/>
      <c r="AK276" s="34"/>
      <c r="AL276" s="34"/>
    </row>
    <row r="277" spans="1:38">
      <c r="A277" s="1" t="str">
        <f>A276</f>
        <v>LS Diesel (500 ppm)</v>
      </c>
      <c r="B277" s="1" t="str">
        <f>VLOOKUP($A277,Types!$A$2:$C$13,2,FALSE)</f>
        <v>DSL</v>
      </c>
      <c r="C277" s="1">
        <v>1</v>
      </c>
      <c r="D277" s="1">
        <v>5</v>
      </c>
      <c r="E277" s="1" t="str">
        <f t="shared" si="668"/>
        <v>IMPDSLP51</v>
      </c>
      <c r="F277" s="1" t="str">
        <f>CONCATENATE("Imported ",VLOOKUP($A277,Types!$A$2:$C$13,3,FALSE),", PADD ",D277,", Step ",RIGHT(C277,1))</f>
        <v>Imported Distillate-Low Sulfur Highway Diesel (500 ppm), PADD 5, Step 1</v>
      </c>
      <c r="G277" s="1" t="str">
        <f>CONCATENATE(VLOOKUP($A277,Types!$A$2:$C$13,2,FALSE),"P",D277)</f>
        <v>DSLP5</v>
      </c>
      <c r="H277" s="61">
        <f>H276*$C$5</f>
        <v>61.707249999999995</v>
      </c>
      <c r="I277" s="61">
        <f t="shared" ref="I277:K277" si="712">I276*$C$5</f>
        <v>48.331250000000004</v>
      </c>
      <c r="J277" s="61">
        <f t="shared" si="712"/>
        <v>107.82499999999999</v>
      </c>
      <c r="K277" s="61">
        <f t="shared" si="712"/>
        <v>107.82499999999999</v>
      </c>
      <c r="L277" s="62">
        <f>H277*Conv!$J$20/10^6/VLOOKUP($B277,Types!$B$2:$D$13,3,FALSE)/Conv!$I$5</f>
        <v>15.407357081858146</v>
      </c>
      <c r="M277" s="62">
        <f>I277*Conv!$J$20/10^6/VLOOKUP($B277,Types!$B$2:$D$13,3,FALSE)/Conv!$I$5</f>
        <v>12.067574344385086</v>
      </c>
      <c r="N277" s="62" t="e">
        <f>M277*#REF!</f>
        <v>#REF!</v>
      </c>
      <c r="O277" s="62" t="e">
        <f>N277*#REF!</f>
        <v>#REF!</v>
      </c>
      <c r="P277" s="62" t="e">
        <f>O277*#REF!</f>
        <v>#REF!</v>
      </c>
      <c r="Q277" s="62" t="e">
        <f>P277*#REF!</f>
        <v>#REF!</v>
      </c>
      <c r="R277" s="62" t="e">
        <f>Q277*#REF!</f>
        <v>#REF!</v>
      </c>
      <c r="S277" s="62" t="e">
        <f>R277*#REF!</f>
        <v>#REF!</v>
      </c>
      <c r="T277" s="62" t="e">
        <f>S277*#REF!</f>
        <v>#REF!</v>
      </c>
      <c r="U277" s="62" t="e">
        <f>T277*#REF!</f>
        <v>#REF!</v>
      </c>
      <c r="V277" s="62" t="e">
        <f>U277*#REF!</f>
        <v>#REF!</v>
      </c>
      <c r="W277" s="34"/>
      <c r="X277" s="1">
        <f>X276*$E$5</f>
        <v>10.984000000000002</v>
      </c>
      <c r="Y277" s="1">
        <f t="shared" ref="Y277:AA277" si="713">Y276*$E$5</f>
        <v>3.44</v>
      </c>
      <c r="Z277" s="1">
        <f t="shared" si="713"/>
        <v>0.81600000000000006</v>
      </c>
      <c r="AA277" s="1">
        <f t="shared" si="713"/>
        <v>0.192</v>
      </c>
      <c r="AB277" s="34">
        <f>X277*VLOOKUP($B277,Types!$B$2:$D$13,3,FALSE)*Conv!$I$5*1000*365</f>
        <v>24.639099422992004</v>
      </c>
      <c r="AC277" s="34">
        <f>Y277*VLOOKUP($B277,Types!$B$2:$D$13,3,FALSE)*Conv!$I$5*1000*365</f>
        <v>7.7165424267199993</v>
      </c>
      <c r="AD277" s="34">
        <f>Z277*VLOOKUP($B277,Types!$B$2:$D$13,3,FALSE)*Conv!$I$5*1000*365</f>
        <v>1.8304356454080002</v>
      </c>
      <c r="AE277" s="34">
        <f>AA277*VLOOKUP($B277,Types!$B$2:$D$13,3,FALSE)*Conv!$I$5*1000*365</f>
        <v>0.43069074009599995</v>
      </c>
      <c r="AF277" s="34">
        <f>AB277</f>
        <v>24.639099422992004</v>
      </c>
      <c r="AG277" s="34">
        <f t="shared" ref="AG277:AI277" si="714">AC277</f>
        <v>7.7165424267199993</v>
      </c>
      <c r="AH277" s="34">
        <f t="shared" si="714"/>
        <v>1.8304356454080002</v>
      </c>
      <c r="AI277" s="34">
        <f t="shared" si="714"/>
        <v>0.43069074009599995</v>
      </c>
      <c r="AJ277" s="34"/>
      <c r="AK277" s="34"/>
      <c r="AL277" s="34"/>
    </row>
    <row r="278" spans="1:38">
      <c r="A278" s="1" t="str">
        <f t="shared" ref="A278:A280" si="715">A277</f>
        <v>LS Diesel (500 ppm)</v>
      </c>
      <c r="B278" s="1" t="str">
        <f>VLOOKUP($A278,Types!$A$2:$C$13,2,FALSE)</f>
        <v>DSL</v>
      </c>
      <c r="C278" s="1">
        <v>2</v>
      </c>
      <c r="D278" s="1">
        <v>5</v>
      </c>
      <c r="E278" s="1" t="str">
        <f t="shared" si="668"/>
        <v>IMPDSLP52</v>
      </c>
      <c r="F278" s="1" t="str">
        <f>CONCATENATE("Imported ",VLOOKUP($A278,Types!$A$2:$C$13,3,FALSE),", PADD ",D278,", Step ",RIGHT(C278,1))</f>
        <v>Imported Distillate-Low Sulfur Highway Diesel (500 ppm), PADD 5, Step 2</v>
      </c>
      <c r="G278" s="1" t="str">
        <f>CONCATENATE(VLOOKUP($A278,Types!$A$2:$C$13,2,FALSE),"P",D278)</f>
        <v>DSLP5</v>
      </c>
      <c r="H278" s="61">
        <f>H276*$C$6</f>
        <v>63.655899999999995</v>
      </c>
      <c r="I278" s="61">
        <f t="shared" ref="I278:K278" si="716">I276*$C$6</f>
        <v>49.857500000000009</v>
      </c>
      <c r="J278" s="61">
        <f t="shared" si="716"/>
        <v>111.23</v>
      </c>
      <c r="K278" s="61">
        <f t="shared" si="716"/>
        <v>111.23</v>
      </c>
      <c r="L278" s="62">
        <f>H278*Conv!$J$20/10^6/VLOOKUP($B278,Types!$B$2:$D$13,3,FALSE)/Conv!$I$5</f>
        <v>15.893905200232616</v>
      </c>
      <c r="M278" s="62">
        <f>I278*Conv!$J$20/10^6/VLOOKUP($B278,Types!$B$2:$D$13,3,FALSE)/Conv!$I$5</f>
        <v>12.448655639470932</v>
      </c>
      <c r="N278" s="62" t="e">
        <f>M278*#REF!</f>
        <v>#REF!</v>
      </c>
      <c r="O278" s="62" t="e">
        <f>N278*#REF!</f>
        <v>#REF!</v>
      </c>
      <c r="P278" s="62" t="e">
        <f>O278*#REF!</f>
        <v>#REF!</v>
      </c>
      <c r="Q278" s="62" t="e">
        <f>P278*#REF!</f>
        <v>#REF!</v>
      </c>
      <c r="R278" s="62" t="e">
        <f>Q278*#REF!</f>
        <v>#REF!</v>
      </c>
      <c r="S278" s="62" t="e">
        <f>R278*#REF!</f>
        <v>#REF!</v>
      </c>
      <c r="T278" s="62" t="e">
        <f>S278*#REF!</f>
        <v>#REF!</v>
      </c>
      <c r="U278" s="62" t="e">
        <f>T278*#REF!</f>
        <v>#REF!</v>
      </c>
      <c r="V278" s="62" t="e">
        <f>U278*#REF!</f>
        <v>#REF!</v>
      </c>
      <c r="W278" s="34"/>
      <c r="X278" s="1">
        <f>X276*$E$6</f>
        <v>12.357000000000001</v>
      </c>
      <c r="Y278" s="1">
        <f t="shared" ref="Y278:AA278" si="717">Y276*$E$6</f>
        <v>3.87</v>
      </c>
      <c r="Z278" s="1">
        <f t="shared" si="717"/>
        <v>0.91800000000000004</v>
      </c>
      <c r="AA278" s="1">
        <f t="shared" si="717"/>
        <v>0.216</v>
      </c>
      <c r="AB278" s="34">
        <f>X278*VLOOKUP($B278,Types!$B$2:$D$13,3,FALSE)*Conv!$I$5*1000*365</f>
        <v>27.718986850865999</v>
      </c>
      <c r="AC278" s="34">
        <f>Y278*VLOOKUP($B278,Types!$B$2:$D$13,3,FALSE)*Conv!$I$5*1000*365</f>
        <v>8.6811102300599998</v>
      </c>
      <c r="AD278" s="34">
        <f>Z278*VLOOKUP($B278,Types!$B$2:$D$13,3,FALSE)*Conv!$I$5*1000*365</f>
        <v>2.0592401010840002</v>
      </c>
      <c r="AE278" s="34">
        <f>AA278*VLOOKUP($B278,Types!$B$2:$D$13,3,FALSE)*Conv!$I$5*1000*365</f>
        <v>0.48452708260799993</v>
      </c>
      <c r="AF278" s="34">
        <f>AB278-AF277</f>
        <v>3.0798874278739952</v>
      </c>
      <c r="AG278" s="34">
        <f t="shared" ref="AG278:AI278" si="718">AC278-AG277</f>
        <v>0.96456780334000047</v>
      </c>
      <c r="AH278" s="34">
        <f t="shared" si="718"/>
        <v>0.22880445567600005</v>
      </c>
      <c r="AI278" s="34">
        <f t="shared" si="718"/>
        <v>5.3836342511999979E-2</v>
      </c>
      <c r="AJ278" s="34"/>
      <c r="AK278" s="34"/>
      <c r="AL278" s="34"/>
    </row>
    <row r="279" spans="1:38">
      <c r="A279" s="1" t="str">
        <f t="shared" si="715"/>
        <v>LS Diesel (500 ppm)</v>
      </c>
      <c r="B279" s="1" t="str">
        <f>VLOOKUP($A279,Types!$A$2:$C$13,2,FALSE)</f>
        <v>DSL</v>
      </c>
      <c r="C279" s="1">
        <v>4</v>
      </c>
      <c r="D279" s="1">
        <v>5</v>
      </c>
      <c r="E279" s="1" t="str">
        <f t="shared" si="668"/>
        <v>IMPDSLP54</v>
      </c>
      <c r="F279" s="1" t="str">
        <f>CONCATENATE("Imported ",VLOOKUP($A279,Types!$A$2:$C$13,3,FALSE),", PADD ",D279,", Step ",RIGHT(C279,1))</f>
        <v>Imported Distillate-Low Sulfur Highway Diesel (500 ppm), PADD 5, Step 4</v>
      </c>
      <c r="G279" s="1" t="str">
        <f>CONCATENATE(VLOOKUP($A279,Types!$A$2:$C$13,2,FALSE),"P",D279)</f>
        <v>DSLP5</v>
      </c>
      <c r="H279" s="61">
        <f>H276*$C$8</f>
        <v>70.80095</v>
      </c>
      <c r="I279" s="61">
        <f t="shared" ref="I279:K279" si="719">I276*$C$8</f>
        <v>55.453750000000014</v>
      </c>
      <c r="J279" s="61">
        <f t="shared" si="719"/>
        <v>123.715</v>
      </c>
      <c r="K279" s="61">
        <f t="shared" si="719"/>
        <v>123.715</v>
      </c>
      <c r="L279" s="62">
        <f>H279*Conv!$J$20/10^6/VLOOKUP($B279,Types!$B$2:$D$13,3,FALSE)/Conv!$I$5</f>
        <v>17.677914967605663</v>
      </c>
      <c r="M279" s="62">
        <f>I279*Conv!$J$20/10^6/VLOOKUP($B279,Types!$B$2:$D$13,3,FALSE)/Conv!$I$5</f>
        <v>13.845953721452368</v>
      </c>
      <c r="N279" s="62" t="e">
        <f>M279*#REF!</f>
        <v>#REF!</v>
      </c>
      <c r="O279" s="62" t="e">
        <f>N279*#REF!</f>
        <v>#REF!</v>
      </c>
      <c r="P279" s="62" t="e">
        <f>O279*#REF!</f>
        <v>#REF!</v>
      </c>
      <c r="Q279" s="62" t="e">
        <f>P279*#REF!</f>
        <v>#REF!</v>
      </c>
      <c r="R279" s="62" t="e">
        <f>Q279*#REF!</f>
        <v>#REF!</v>
      </c>
      <c r="S279" s="62" t="e">
        <f>R279*#REF!</f>
        <v>#REF!</v>
      </c>
      <c r="T279" s="62" t="e">
        <f>S279*#REF!</f>
        <v>#REF!</v>
      </c>
      <c r="U279" s="62" t="e">
        <f>T279*#REF!</f>
        <v>#REF!</v>
      </c>
      <c r="V279" s="62" t="e">
        <f>U279*#REF!</f>
        <v>#REF!</v>
      </c>
      <c r="W279" s="34"/>
      <c r="X279" s="1">
        <f>X276*$E$8</f>
        <v>16.475999999999999</v>
      </c>
      <c r="Y279" s="1">
        <f t="shared" ref="Y279:AA279" si="720">Y276*$E$8</f>
        <v>5.1599999999999993</v>
      </c>
      <c r="Z279" s="1">
        <f t="shared" si="720"/>
        <v>1.224</v>
      </c>
      <c r="AA279" s="1">
        <f t="shared" si="720"/>
        <v>0.28799999999999998</v>
      </c>
      <c r="AB279" s="34">
        <f>X279*VLOOKUP($B279,Types!$B$2:$D$13,3,FALSE)*Conv!$I$5*1000*365</f>
        <v>36.958649134487999</v>
      </c>
      <c r="AC279" s="34">
        <f>Y279*VLOOKUP($B279,Types!$B$2:$D$13,3,FALSE)*Conv!$I$5*1000*365</f>
        <v>11.574813640079999</v>
      </c>
      <c r="AD279" s="34">
        <f>Z279*VLOOKUP($B279,Types!$B$2:$D$13,3,FALSE)*Conv!$I$5*1000*365</f>
        <v>2.7456534681120002</v>
      </c>
      <c r="AE279" s="34">
        <f>AA279*VLOOKUP($B279,Types!$B$2:$D$13,3,FALSE)*Conv!$I$5*1000*365</f>
        <v>0.64603611014399998</v>
      </c>
      <c r="AF279" s="34">
        <f>AB279-AB276</f>
        <v>6.159774855748001</v>
      </c>
      <c r="AG279" s="34">
        <f t="shared" ref="AG279:AI279" si="721">AC279-AC276</f>
        <v>1.9291356066799992</v>
      </c>
      <c r="AH279" s="34">
        <f t="shared" si="721"/>
        <v>0.4576089113520001</v>
      </c>
      <c r="AI279" s="34">
        <f t="shared" si="721"/>
        <v>0.10767268502400007</v>
      </c>
      <c r="AJ279" s="34"/>
      <c r="AK279" s="34"/>
      <c r="AL279" s="34"/>
    </row>
    <row r="280" spans="1:38">
      <c r="A280" s="1" t="str">
        <f t="shared" si="715"/>
        <v>LS Diesel (500 ppm)</v>
      </c>
      <c r="B280" s="1" t="str">
        <f>VLOOKUP($A280,Types!$A$2:$C$13,2,FALSE)</f>
        <v>DSL</v>
      </c>
      <c r="C280" s="1">
        <v>5</v>
      </c>
      <c r="D280" s="1">
        <v>5</v>
      </c>
      <c r="E280" s="1" t="str">
        <f t="shared" si="668"/>
        <v>IMPDSLP55</v>
      </c>
      <c r="F280" s="1" t="str">
        <f>CONCATENATE("Imported ",VLOOKUP($A280,Types!$A$2:$C$13,3,FALSE),", PADD ",D280,", Step ",RIGHT(C280,1))</f>
        <v>Imported Distillate-Low Sulfur Highway Diesel (500 ppm), PADD 5, Step 5</v>
      </c>
      <c r="G280" s="1" t="str">
        <f>CONCATENATE(VLOOKUP($A280,Types!$A$2:$C$13,2,FALSE),"P",D280)</f>
        <v>DSLP5</v>
      </c>
      <c r="H280" s="61">
        <f>H276*$C$9</f>
        <v>84.441500000000005</v>
      </c>
      <c r="I280" s="61">
        <f t="shared" ref="I280:K280" si="722">I276*$C$9</f>
        <v>66.137500000000017</v>
      </c>
      <c r="J280" s="61">
        <f t="shared" si="722"/>
        <v>147.55000000000001</v>
      </c>
      <c r="K280" s="61">
        <f t="shared" si="722"/>
        <v>147.55000000000001</v>
      </c>
      <c r="L280" s="62">
        <f>H280*Conv!$J$20/10^6/VLOOKUP($B280,Types!$B$2:$D$13,3,FALSE)/Conv!$I$5</f>
        <v>21.083751796226942</v>
      </c>
      <c r="M280" s="62">
        <f>I280*Conv!$J$20/10^6/VLOOKUP($B280,Types!$B$2:$D$13,3,FALSE)/Conv!$I$5</f>
        <v>16.513522787053279</v>
      </c>
      <c r="N280" s="62" t="e">
        <f>M280*#REF!</f>
        <v>#REF!</v>
      </c>
      <c r="O280" s="62" t="e">
        <f>N280*#REF!</f>
        <v>#REF!</v>
      </c>
      <c r="P280" s="62" t="e">
        <f>O280*#REF!</f>
        <v>#REF!</v>
      </c>
      <c r="Q280" s="62" t="e">
        <f>P280*#REF!</f>
        <v>#REF!</v>
      </c>
      <c r="R280" s="62" t="e">
        <f>Q280*#REF!</f>
        <v>#REF!</v>
      </c>
      <c r="S280" s="62" t="e">
        <f>R280*#REF!</f>
        <v>#REF!</v>
      </c>
      <c r="T280" s="62" t="e">
        <f>S280*#REF!</f>
        <v>#REF!</v>
      </c>
      <c r="U280" s="62" t="e">
        <f>T280*#REF!</f>
        <v>#REF!</v>
      </c>
      <c r="V280" s="62" t="e">
        <f>U280*#REF!</f>
        <v>#REF!</v>
      </c>
      <c r="W280" s="34"/>
      <c r="X280" s="1">
        <f>X276*$E$9</f>
        <v>27.46</v>
      </c>
      <c r="Y280" s="1">
        <f t="shared" ref="Y280:AA280" si="723">Y276*$E$9</f>
        <v>8.6</v>
      </c>
      <c r="Z280" s="1">
        <f t="shared" si="723"/>
        <v>2.04</v>
      </c>
      <c r="AA280" s="1">
        <f t="shared" si="723"/>
        <v>0.48</v>
      </c>
      <c r="AB280" s="34">
        <f>X280*VLOOKUP($B280,Types!$B$2:$D$13,3,FALSE)*Conv!$I$5*1000*365</f>
        <v>61.597748557479996</v>
      </c>
      <c r="AC280" s="34">
        <f>Y280*VLOOKUP($B280,Types!$B$2:$D$13,3,FALSE)*Conv!$I$5*1000*365</f>
        <v>19.291356066799999</v>
      </c>
      <c r="AD280" s="34">
        <f>Z280*VLOOKUP($B280,Types!$B$2:$D$13,3,FALSE)*Conv!$I$5*1000*365</f>
        <v>4.5760891135200001</v>
      </c>
      <c r="AE280" s="34">
        <f>AA280*VLOOKUP($B280,Types!$B$2:$D$13,3,FALSE)*Conv!$I$5*1000*365</f>
        <v>1.0767268502399998</v>
      </c>
      <c r="AF280" s="34">
        <f>AB280-AB279</f>
        <v>24.639099422991997</v>
      </c>
      <c r="AG280" s="34">
        <f t="shared" ref="AG280:AI280" si="724">AC280-AC279</f>
        <v>7.7165424267200002</v>
      </c>
      <c r="AH280" s="34">
        <f t="shared" si="724"/>
        <v>1.830435645408</v>
      </c>
      <c r="AI280" s="34">
        <f t="shared" si="724"/>
        <v>0.43069074009599984</v>
      </c>
      <c r="AJ280" s="34"/>
      <c r="AK280" s="34"/>
      <c r="AL280" s="34"/>
    </row>
    <row r="281" spans="1:38">
      <c r="A281" s="1" t="str">
        <f>'Agg prdcrv'!$A$10</f>
        <v>Low Sulfur Fuel Oil</v>
      </c>
      <c r="B281" s="1" t="str">
        <f>VLOOKUP($A281,Types!$A$2:$C$13,2,FALSE)</f>
        <v>RFL</v>
      </c>
      <c r="C281" s="1">
        <v>3</v>
      </c>
      <c r="D281" s="1">
        <v>5</v>
      </c>
      <c r="E281" s="1" t="str">
        <f t="shared" si="668"/>
        <v>IMPRFLP53</v>
      </c>
      <c r="F281" s="1" t="str">
        <f>CONCATENATE("Imported ",VLOOKUP($A281,Types!$A$2:$C$13,3,FALSE),", PADD ",D281,", Step ",RIGHT(C281,1))</f>
        <v>Imported Low Sulfur Residual Fuel Oil, PADD 5, Step 3</v>
      </c>
      <c r="G281" s="1" t="str">
        <f>CONCATENATE(VLOOKUP($A281,Types!$A$2:$C$13,2,FALSE),"P",D281)</f>
        <v>RFLP5</v>
      </c>
      <c r="H281" s="61">
        <f>SUMIFS('Agg prdcrv NYC'!$P$6:$P$100,'Agg prdcrv NYC'!$A$6:$A$100,'Imp Refined NYC'!$A281,'Agg prdcrv NYC'!$B$6:$B$100,H$11)*K4</f>
        <v>35.816000000000003</v>
      </c>
      <c r="I281" s="61">
        <f>SUMIFS('Agg prdcrv NYC'!$P$6:$P$100,'Agg prdcrv NYC'!$A$6:$A$100,'Imp Refined NYC'!$A281,'Agg prdcrv NYC'!$B$6:$B$100,I$11)*K4</f>
        <v>36.113</v>
      </c>
      <c r="J281" s="61">
        <f t="array" ref="J281">SUMIFS('Agg prdcrv NYC'!$P$6:$P$100,'Agg prdcrv NYC'!$A$6:$A$100,'Imp Refined NYC'!$A281,'Agg prdcrv NYC'!$B$6:$B$100,J$11)</f>
        <v>29.74</v>
      </c>
      <c r="K281" s="61">
        <f t="array" ref="K281">SUMIFS('Agg prdcrv NYC'!$P$6:$P$100,'Agg prdcrv NYC'!$A$6:$A$100,'Imp Refined NYC'!$A281,'Agg prdcrv NYC'!$B$6:$B$100,K$11)</f>
        <v>30.83</v>
      </c>
      <c r="L281" s="62">
        <f>H281*Conv!$J$20/10^6/VLOOKUP($B281,Types!$B$2:$D$13,3,FALSE)/Conv!$I$5</f>
        <v>8.285553124903414</v>
      </c>
      <c r="M281" s="62">
        <f>I281*Conv!$J$20/10^6/VLOOKUP($B281,Types!$B$2:$D$13,3,FALSE)/Conv!$I$5</f>
        <v>8.3542601072045137</v>
      </c>
      <c r="N281" s="62" t="e">
        <f>M281*#REF!</f>
        <v>#REF!</v>
      </c>
      <c r="O281" s="62" t="e">
        <f>N281*#REF!</f>
        <v>#REF!</v>
      </c>
      <c r="P281" s="62" t="e">
        <f>O281*#REF!</f>
        <v>#REF!</v>
      </c>
      <c r="Q281" s="62" t="e">
        <f>P281*#REF!</f>
        <v>#REF!</v>
      </c>
      <c r="R281" s="62" t="e">
        <f>Q281*#REF!</f>
        <v>#REF!</v>
      </c>
      <c r="S281" s="62" t="e">
        <f>R281*#REF!</f>
        <v>#REF!</v>
      </c>
      <c r="T281" s="62" t="e">
        <f>S281*#REF!</f>
        <v>#REF!</v>
      </c>
      <c r="U281" s="62" t="e">
        <f>T281*#REF!</f>
        <v>#REF!</v>
      </c>
      <c r="V281" s="62" t="e">
        <f>U281*#REF!</f>
        <v>#REF!</v>
      </c>
      <c r="W281" s="34"/>
      <c r="X281" s="1">
        <f t="array" ref="X281">SUMIFS('Agg prdcrv NYC'!$H$6:$H$100,'Agg prdcrv NYC'!$A$6:$A$100,'Imp Refined NYC'!$A281,'Agg prdcrv NYC'!$B$6:$B$100,X$11)</f>
        <v>10.5</v>
      </c>
      <c r="Y281" s="1">
        <f t="array" ref="Y281">SUMIFS('Agg prdcrv NYC'!$H$6:$H$100,'Agg prdcrv NYC'!$A$6:$A$100,'Imp Refined NYC'!$A281,'Agg prdcrv NYC'!$B$6:$B$100,Y$11)</f>
        <v>8.66</v>
      </c>
      <c r="Z281" s="1">
        <f t="array" ref="Z281">SUMIFS('Agg prdcrv NYC'!$H$6:$H$100,'Agg prdcrv NYC'!$A$6:$A$100,'Imp Refined NYC'!$A281,'Agg prdcrv NYC'!$B$6:$B$100,Z$11)</f>
        <v>9.56</v>
      </c>
      <c r="AA281" s="1">
        <f t="array" ref="AA281">SUMIFS('Agg prdcrv NYC'!$H$6:$H$100,'Agg prdcrv NYC'!$A$6:$A$100,'Imp Refined NYC'!$A281,'Agg prdcrv NYC'!$B$6:$B$100,AA$11)</f>
        <v>10.56</v>
      </c>
      <c r="AB281" s="34">
        <f>X281*VLOOKUP($B281,Types!$B$2:$D$13,3,FALSE)*Conv!$I$5*1000*365</f>
        <v>25.421497828439993</v>
      </c>
      <c r="AC281" s="34">
        <f>Y281*VLOOKUP($B281,Types!$B$2:$D$13,3,FALSE)*Conv!$I$5*1000*365</f>
        <v>20.966682970884797</v>
      </c>
      <c r="AD281" s="34">
        <f>Z281*VLOOKUP($B281,Types!$B$2:$D$13,3,FALSE)*Conv!$I$5*1000*365</f>
        <v>23.145668499036798</v>
      </c>
      <c r="AE281" s="34">
        <f>AA281*VLOOKUP($B281,Types!$B$2:$D$13,3,FALSE)*Conv!$I$5*1000*365</f>
        <v>25.566763530316798</v>
      </c>
      <c r="AF281" s="34">
        <f>AB281-AB283</f>
        <v>2.5421497828439961</v>
      </c>
      <c r="AG281" s="34">
        <f t="shared" ref="AG281:AI281" si="725">AC281-AC283</f>
        <v>2.0966682970884776</v>
      </c>
      <c r="AH281" s="34">
        <f t="shared" si="725"/>
        <v>2.3145668499036773</v>
      </c>
      <c r="AI281" s="34">
        <f t="shared" si="725"/>
        <v>2.5566763530316727</v>
      </c>
      <c r="AJ281" s="34"/>
      <c r="AK281" s="34"/>
      <c r="AL281" s="34"/>
    </row>
    <row r="282" spans="1:38">
      <c r="A282" s="1" t="str">
        <f>A281</f>
        <v>Low Sulfur Fuel Oil</v>
      </c>
      <c r="B282" s="1" t="str">
        <f>VLOOKUP($A282,Types!$A$2:$C$13,2,FALSE)</f>
        <v>RFL</v>
      </c>
      <c r="C282" s="1">
        <v>1</v>
      </c>
      <c r="D282" s="1">
        <v>5</v>
      </c>
      <c r="E282" s="1" t="str">
        <f t="shared" si="668"/>
        <v>IMPRFLP51</v>
      </c>
      <c r="F282" s="1" t="str">
        <f>CONCATENATE("Imported ",VLOOKUP($A282,Types!$A$2:$C$13,3,FALSE),", PADD ",D282,", Step ",RIGHT(C282,1))</f>
        <v>Imported Low Sulfur Residual Fuel Oil, PADD 5, Step 1</v>
      </c>
      <c r="G282" s="1" t="str">
        <f>CONCATENATE(VLOOKUP($A282,Types!$A$2:$C$13,2,FALSE),"P",D282)</f>
        <v>RFLP5</v>
      </c>
      <c r="H282" s="61">
        <f>H281*$C$5</f>
        <v>34.025199999999998</v>
      </c>
      <c r="I282" s="61">
        <f t="shared" ref="I282:K282" si="726">I281*$C$5</f>
        <v>34.30735</v>
      </c>
      <c r="J282" s="61">
        <f t="shared" si="726"/>
        <v>28.252999999999997</v>
      </c>
      <c r="K282" s="61">
        <f t="shared" si="726"/>
        <v>29.288499999999996</v>
      </c>
      <c r="L282" s="62">
        <f>H282*Conv!$J$20/10^6/VLOOKUP($B282,Types!$B$2:$D$13,3,FALSE)/Conv!$I$5</f>
        <v>7.8712754686582391</v>
      </c>
      <c r="M282" s="62">
        <f>I282*Conv!$J$20/10^6/VLOOKUP($B282,Types!$B$2:$D$13,3,FALSE)/Conv!$I$5</f>
        <v>7.9365471018442895</v>
      </c>
      <c r="N282" s="62" t="e">
        <f>M282*#REF!</f>
        <v>#REF!</v>
      </c>
      <c r="O282" s="62" t="e">
        <f>N282*#REF!</f>
        <v>#REF!</v>
      </c>
      <c r="P282" s="62" t="e">
        <f>O282*#REF!</f>
        <v>#REF!</v>
      </c>
      <c r="Q282" s="62" t="e">
        <f>P282*#REF!</f>
        <v>#REF!</v>
      </c>
      <c r="R282" s="62" t="e">
        <f>Q282*#REF!</f>
        <v>#REF!</v>
      </c>
      <c r="S282" s="62" t="e">
        <f>R282*#REF!</f>
        <v>#REF!</v>
      </c>
      <c r="T282" s="62" t="e">
        <f>S282*#REF!</f>
        <v>#REF!</v>
      </c>
      <c r="U282" s="62" t="e">
        <f>T282*#REF!</f>
        <v>#REF!</v>
      </c>
      <c r="V282" s="62" t="e">
        <f>U282*#REF!</f>
        <v>#REF!</v>
      </c>
      <c r="W282" s="34"/>
      <c r="X282" s="1">
        <f>X281*$E$5</f>
        <v>8.4</v>
      </c>
      <c r="Y282" s="1">
        <f t="shared" ref="Y282:AA282" si="727">Y281*$E$5</f>
        <v>6.9280000000000008</v>
      </c>
      <c r="Z282" s="1">
        <f t="shared" si="727"/>
        <v>7.6480000000000006</v>
      </c>
      <c r="AA282" s="1">
        <f t="shared" si="727"/>
        <v>8.4480000000000004</v>
      </c>
      <c r="AB282" s="34">
        <f>X282*VLOOKUP($B282,Types!$B$2:$D$13,3,FALSE)*Conv!$I$5*1000*365</f>
        <v>20.337198262752</v>
      </c>
      <c r="AC282" s="34">
        <f>Y282*VLOOKUP($B282,Types!$B$2:$D$13,3,FALSE)*Conv!$I$5*1000*365</f>
        <v>16.773346376707838</v>
      </c>
      <c r="AD282" s="34">
        <f>Z282*VLOOKUP($B282,Types!$B$2:$D$13,3,FALSE)*Conv!$I$5*1000*365</f>
        <v>18.51653479922944</v>
      </c>
      <c r="AE282" s="34">
        <f>AA282*VLOOKUP($B282,Types!$B$2:$D$13,3,FALSE)*Conv!$I$5*1000*365</f>
        <v>20.453410824253442</v>
      </c>
      <c r="AF282" s="34">
        <f>AB282</f>
        <v>20.337198262752</v>
      </c>
      <c r="AG282" s="34">
        <f t="shared" ref="AG282:AI282" si="728">AC282</f>
        <v>16.773346376707838</v>
      </c>
      <c r="AH282" s="34">
        <f t="shared" si="728"/>
        <v>18.51653479922944</v>
      </c>
      <c r="AI282" s="34">
        <f t="shared" si="728"/>
        <v>20.453410824253442</v>
      </c>
      <c r="AJ282" s="34"/>
      <c r="AK282" s="34"/>
      <c r="AL282" s="34"/>
    </row>
    <row r="283" spans="1:38">
      <c r="A283" s="1" t="str">
        <f t="shared" ref="A283:A285" si="729">A282</f>
        <v>Low Sulfur Fuel Oil</v>
      </c>
      <c r="B283" s="1" t="str">
        <f>VLOOKUP($A283,Types!$A$2:$C$13,2,FALSE)</f>
        <v>RFL</v>
      </c>
      <c r="C283" s="1">
        <v>2</v>
      </c>
      <c r="D283" s="1">
        <v>5</v>
      </c>
      <c r="E283" s="1" t="str">
        <f t="shared" si="668"/>
        <v>IMPRFLP52</v>
      </c>
      <c r="F283" s="1" t="str">
        <f>CONCATENATE("Imported ",VLOOKUP($A283,Types!$A$2:$C$13,3,FALSE),", PADD ",D283,", Step ",RIGHT(C283,1))</f>
        <v>Imported Low Sulfur Residual Fuel Oil, PADD 5, Step 2</v>
      </c>
      <c r="G283" s="1" t="str">
        <f>CONCATENATE(VLOOKUP($A283,Types!$A$2:$C$13,2,FALSE),"P",D283)</f>
        <v>RFLP5</v>
      </c>
      <c r="H283" s="61">
        <f>H281*$C$6</f>
        <v>35.099679999999999</v>
      </c>
      <c r="I283" s="61">
        <f t="shared" ref="I283:K283" si="730">I281*$C$6</f>
        <v>35.390740000000001</v>
      </c>
      <c r="J283" s="61">
        <f t="shared" si="730"/>
        <v>29.145199999999999</v>
      </c>
      <c r="K283" s="61">
        <f t="shared" si="730"/>
        <v>30.213399999999996</v>
      </c>
      <c r="L283" s="62">
        <f>H283*Conv!$J$20/10^6/VLOOKUP($B283,Types!$B$2:$D$13,3,FALSE)/Conv!$I$5</f>
        <v>8.1198420624053433</v>
      </c>
      <c r="M283" s="62">
        <f>I283*Conv!$J$20/10^6/VLOOKUP($B283,Types!$B$2:$D$13,3,FALSE)/Conv!$I$5</f>
        <v>8.1871749050604254</v>
      </c>
      <c r="N283" s="62" t="e">
        <f>M283*#REF!</f>
        <v>#REF!</v>
      </c>
      <c r="O283" s="62" t="e">
        <f>N283*#REF!</f>
        <v>#REF!</v>
      </c>
      <c r="P283" s="62" t="e">
        <f>O283*#REF!</f>
        <v>#REF!</v>
      </c>
      <c r="Q283" s="62" t="e">
        <f>P283*#REF!</f>
        <v>#REF!</v>
      </c>
      <c r="R283" s="62" t="e">
        <f>Q283*#REF!</f>
        <v>#REF!</v>
      </c>
      <c r="S283" s="62" t="e">
        <f>R283*#REF!</f>
        <v>#REF!</v>
      </c>
      <c r="T283" s="62" t="e">
        <f>S283*#REF!</f>
        <v>#REF!</v>
      </c>
      <c r="U283" s="62" t="e">
        <f>T283*#REF!</f>
        <v>#REF!</v>
      </c>
      <c r="V283" s="62" t="e">
        <f>U283*#REF!</f>
        <v>#REF!</v>
      </c>
      <c r="W283" s="34"/>
      <c r="X283" s="1">
        <f>X281*$E$6</f>
        <v>9.4500000000000011</v>
      </c>
      <c r="Y283" s="1">
        <f t="shared" ref="Y283:AA283" si="731">Y281*$E$6</f>
        <v>7.7940000000000005</v>
      </c>
      <c r="Z283" s="1">
        <f t="shared" si="731"/>
        <v>8.604000000000001</v>
      </c>
      <c r="AA283" s="1">
        <f t="shared" si="731"/>
        <v>9.5040000000000013</v>
      </c>
      <c r="AB283" s="34">
        <f>X283*VLOOKUP($B283,Types!$B$2:$D$13,3,FALSE)*Conv!$I$5*1000*365</f>
        <v>22.879348045595997</v>
      </c>
      <c r="AC283" s="34">
        <f>Y283*VLOOKUP($B283,Types!$B$2:$D$13,3,FALSE)*Conv!$I$5*1000*365</f>
        <v>18.870014673796319</v>
      </c>
      <c r="AD283" s="34">
        <f>Z283*VLOOKUP($B283,Types!$B$2:$D$13,3,FALSE)*Conv!$I$5*1000*365</f>
        <v>20.831101649133121</v>
      </c>
      <c r="AE283" s="34">
        <f>AA283*VLOOKUP($B283,Types!$B$2:$D$13,3,FALSE)*Conv!$I$5*1000*365</f>
        <v>23.010087177285126</v>
      </c>
      <c r="AF283" s="34">
        <f>AB283-AF282</f>
        <v>2.5421497828439961</v>
      </c>
      <c r="AG283" s="34">
        <f t="shared" ref="AG283:AI283" si="732">AC283-AG282</f>
        <v>2.0966682970884811</v>
      </c>
      <c r="AH283" s="34">
        <f t="shared" si="732"/>
        <v>2.3145668499036809</v>
      </c>
      <c r="AI283" s="34">
        <f t="shared" si="732"/>
        <v>2.5566763530316834</v>
      </c>
      <c r="AJ283" s="34"/>
      <c r="AK283" s="34"/>
      <c r="AL283" s="34"/>
    </row>
    <row r="284" spans="1:38">
      <c r="A284" s="1" t="str">
        <f t="shared" si="729"/>
        <v>Low Sulfur Fuel Oil</v>
      </c>
      <c r="B284" s="1" t="str">
        <f>VLOOKUP($A284,Types!$A$2:$C$13,2,FALSE)</f>
        <v>RFL</v>
      </c>
      <c r="C284" s="1">
        <v>4</v>
      </c>
      <c r="D284" s="1">
        <v>5</v>
      </c>
      <c r="E284" s="1" t="str">
        <f t="shared" si="668"/>
        <v>IMPRFLP54</v>
      </c>
      <c r="F284" s="1" t="str">
        <f>CONCATENATE("Imported ",VLOOKUP($A284,Types!$A$2:$C$13,3,FALSE),", PADD ",D284,", Step ",RIGHT(C284,1))</f>
        <v>Imported Low Sulfur Residual Fuel Oil, PADD 5, Step 4</v>
      </c>
      <c r="G284" s="1" t="str">
        <f>CONCATENATE(VLOOKUP($A284,Types!$A$2:$C$13,2,FALSE),"P",D284)</f>
        <v>RFLP5</v>
      </c>
      <c r="H284" s="61">
        <f>H281*$C$8</f>
        <v>39.039440000000006</v>
      </c>
      <c r="I284" s="61">
        <f t="shared" ref="I284:K284" si="733">I281*$C$8</f>
        <v>39.363170000000004</v>
      </c>
      <c r="J284" s="61">
        <f t="shared" si="733"/>
        <v>32.416600000000003</v>
      </c>
      <c r="K284" s="61">
        <f t="shared" si="733"/>
        <v>33.604700000000001</v>
      </c>
      <c r="L284" s="62">
        <f>H284*Conv!$J$20/10^6/VLOOKUP($B284,Types!$B$2:$D$13,3,FALSE)/Conv!$I$5</f>
        <v>9.0312529061447204</v>
      </c>
      <c r="M284" s="62">
        <f>I284*Conv!$J$20/10^6/VLOOKUP($B284,Types!$B$2:$D$13,3,FALSE)/Conv!$I$5</f>
        <v>9.1061435168529226</v>
      </c>
      <c r="N284" s="62" t="e">
        <f>M284*#REF!</f>
        <v>#REF!</v>
      </c>
      <c r="O284" s="62" t="e">
        <f>N284*#REF!</f>
        <v>#REF!</v>
      </c>
      <c r="P284" s="62" t="e">
        <f>O284*#REF!</f>
        <v>#REF!</v>
      </c>
      <c r="Q284" s="62" t="e">
        <f>P284*#REF!</f>
        <v>#REF!</v>
      </c>
      <c r="R284" s="62" t="e">
        <f>Q284*#REF!</f>
        <v>#REF!</v>
      </c>
      <c r="S284" s="62" t="e">
        <f>R284*#REF!</f>
        <v>#REF!</v>
      </c>
      <c r="T284" s="62" t="e">
        <f>S284*#REF!</f>
        <v>#REF!</v>
      </c>
      <c r="U284" s="62" t="e">
        <f>T284*#REF!</f>
        <v>#REF!</v>
      </c>
      <c r="V284" s="62" t="e">
        <f>U284*#REF!</f>
        <v>#REF!</v>
      </c>
      <c r="W284" s="34"/>
      <c r="X284" s="1">
        <f>X281*$E$8</f>
        <v>12.6</v>
      </c>
      <c r="Y284" s="1">
        <f t="shared" ref="Y284:AA284" si="734">Y281*$E$8</f>
        <v>10.391999999999999</v>
      </c>
      <c r="Z284" s="1">
        <f t="shared" si="734"/>
        <v>11.472</v>
      </c>
      <c r="AA284" s="1">
        <f t="shared" si="734"/>
        <v>12.672000000000001</v>
      </c>
      <c r="AB284" s="34">
        <f>X284*VLOOKUP($B284,Types!$B$2:$D$13,3,FALSE)*Conv!$I$5*1000*365</f>
        <v>30.505797394127999</v>
      </c>
      <c r="AC284" s="34">
        <f>Y284*VLOOKUP($B284,Types!$B$2:$D$13,3,FALSE)*Conv!$I$5*1000*365</f>
        <v>25.160019565061752</v>
      </c>
      <c r="AD284" s="34">
        <f>Z284*VLOOKUP($B284,Types!$B$2:$D$13,3,FALSE)*Conv!$I$5*1000*365</f>
        <v>27.774802198844164</v>
      </c>
      <c r="AE284" s="34">
        <f>AA284*VLOOKUP($B284,Types!$B$2:$D$13,3,FALSE)*Conv!$I$5*1000*365</f>
        <v>30.680116236380155</v>
      </c>
      <c r="AF284" s="34">
        <f>AB284-AB281</f>
        <v>5.0842995656880063</v>
      </c>
      <c r="AG284" s="34">
        <f t="shared" ref="AG284:AI284" si="735">AC284-AC281</f>
        <v>4.1933365941769551</v>
      </c>
      <c r="AH284" s="34">
        <f t="shared" si="735"/>
        <v>4.6291336998073653</v>
      </c>
      <c r="AI284" s="34">
        <f t="shared" si="735"/>
        <v>5.1133527060633561</v>
      </c>
      <c r="AJ284" s="34"/>
      <c r="AK284" s="34"/>
      <c r="AL284" s="34"/>
    </row>
    <row r="285" spans="1:38">
      <c r="A285" s="1" t="str">
        <f t="shared" si="729"/>
        <v>Low Sulfur Fuel Oil</v>
      </c>
      <c r="B285" s="1" t="str">
        <f>VLOOKUP($A285,Types!$A$2:$C$13,2,FALSE)</f>
        <v>RFL</v>
      </c>
      <c r="C285" s="1">
        <v>5</v>
      </c>
      <c r="D285" s="1">
        <v>5</v>
      </c>
      <c r="E285" s="1" t="str">
        <f t="shared" si="668"/>
        <v>IMPRFLP55</v>
      </c>
      <c r="F285" s="1" t="str">
        <f>CONCATENATE("Imported ",VLOOKUP($A285,Types!$A$2:$C$13,3,FALSE),", PADD ",D285,", Step ",RIGHT(C285,1))</f>
        <v>Imported Low Sulfur Residual Fuel Oil, PADD 5, Step 5</v>
      </c>
      <c r="G285" s="1" t="str">
        <f>CONCATENATE(VLOOKUP($A285,Types!$A$2:$C$13,2,FALSE),"P",D285)</f>
        <v>RFLP5</v>
      </c>
      <c r="H285" s="61">
        <f>H281*$C$9</f>
        <v>46.560800000000008</v>
      </c>
      <c r="I285" s="61">
        <f t="shared" ref="I285:K285" si="736">I281*$C$9</f>
        <v>46.946899999999999</v>
      </c>
      <c r="J285" s="61">
        <f t="shared" si="736"/>
        <v>38.661999999999999</v>
      </c>
      <c r="K285" s="61">
        <f t="shared" si="736"/>
        <v>40.079000000000001</v>
      </c>
      <c r="L285" s="62">
        <f>H285*Conv!$J$20/10^6/VLOOKUP($B285,Types!$B$2:$D$13,3,FALSE)/Conv!$I$5</f>
        <v>10.771219062374437</v>
      </c>
      <c r="M285" s="62">
        <f>I285*Conv!$J$20/10^6/VLOOKUP($B285,Types!$B$2:$D$13,3,FALSE)/Conv!$I$5</f>
        <v>10.860538139365872</v>
      </c>
      <c r="N285" s="62" t="e">
        <f>M285*#REF!</f>
        <v>#REF!</v>
      </c>
      <c r="O285" s="62" t="e">
        <f>N285*#REF!</f>
        <v>#REF!</v>
      </c>
      <c r="P285" s="62" t="e">
        <f>O285*#REF!</f>
        <v>#REF!</v>
      </c>
      <c r="Q285" s="62" t="e">
        <f>P285*#REF!</f>
        <v>#REF!</v>
      </c>
      <c r="R285" s="62" t="e">
        <f>Q285*#REF!</f>
        <v>#REF!</v>
      </c>
      <c r="S285" s="62" t="e">
        <f>R285*#REF!</f>
        <v>#REF!</v>
      </c>
      <c r="T285" s="62" t="e">
        <f>S285*#REF!</f>
        <v>#REF!</v>
      </c>
      <c r="U285" s="62" t="e">
        <f>T285*#REF!</f>
        <v>#REF!</v>
      </c>
      <c r="V285" s="62" t="e">
        <f>U285*#REF!</f>
        <v>#REF!</v>
      </c>
      <c r="W285" s="34"/>
      <c r="X285" s="1">
        <f>X281*$E$9</f>
        <v>21</v>
      </c>
      <c r="Y285" s="1">
        <f t="shared" ref="Y285:AA285" si="737">Y281*$E$9</f>
        <v>17.32</v>
      </c>
      <c r="Z285" s="1">
        <f t="shared" si="737"/>
        <v>19.12</v>
      </c>
      <c r="AA285" s="1">
        <f t="shared" si="737"/>
        <v>21.12</v>
      </c>
      <c r="AB285" s="34">
        <f>X285*VLOOKUP($B285,Types!$B$2:$D$13,3,FALSE)*Conv!$I$5*1000*365</f>
        <v>50.842995656879985</v>
      </c>
      <c r="AC285" s="34">
        <f>Y285*VLOOKUP($B285,Types!$B$2:$D$13,3,FALSE)*Conv!$I$5*1000*365</f>
        <v>41.933365941769594</v>
      </c>
      <c r="AD285" s="34">
        <f>Z285*VLOOKUP($B285,Types!$B$2:$D$13,3,FALSE)*Conv!$I$5*1000*365</f>
        <v>46.291336998073596</v>
      </c>
      <c r="AE285" s="34">
        <f>AA285*VLOOKUP($B285,Types!$B$2:$D$13,3,FALSE)*Conv!$I$5*1000*365</f>
        <v>51.133527060633597</v>
      </c>
      <c r="AF285" s="34">
        <f>AB285-AB284</f>
        <v>20.337198262751986</v>
      </c>
      <c r="AG285" s="34">
        <f t="shared" ref="AG285:AI285" si="738">AC285-AC284</f>
        <v>16.773346376707842</v>
      </c>
      <c r="AH285" s="34">
        <f t="shared" si="738"/>
        <v>18.516534799229433</v>
      </c>
      <c r="AI285" s="34">
        <f t="shared" si="738"/>
        <v>20.453410824253442</v>
      </c>
      <c r="AJ285" s="34"/>
      <c r="AK285" s="34"/>
      <c r="AL285" s="34"/>
    </row>
    <row r="286" spans="1:38">
      <c r="A286" s="1" t="str">
        <f>'Agg prdcrv'!$A$11</f>
        <v>High Sulfur Fuel Oil</v>
      </c>
      <c r="B286" s="1" t="str">
        <f>VLOOKUP($A286,Types!$A$2:$C$13,2,FALSE)</f>
        <v>RFH</v>
      </c>
      <c r="C286" s="1">
        <v>3</v>
      </c>
      <c r="D286" s="1">
        <v>5</v>
      </c>
      <c r="E286" s="1" t="str">
        <f t="shared" si="668"/>
        <v>IMPRFHP53</v>
      </c>
      <c r="F286" s="1" t="str">
        <f>CONCATENATE("Imported ",VLOOKUP($A286,Types!$A$2:$C$13,3,FALSE),", PADD ",D286,", Step ",RIGHT(C286,1))</f>
        <v>Imported High Sulfur Residual Fuel Oil, PADD 5, Step 3</v>
      </c>
      <c r="G286" s="1" t="str">
        <f>CONCATENATE(VLOOKUP($A286,Types!$A$2:$C$13,2,FALSE),"P",D286)</f>
        <v>RFHP5</v>
      </c>
      <c r="H286" s="61">
        <f>SUMIFS('Agg prdcrv NYC'!$P$6:$P$100,'Agg prdcrv NYC'!$A$6:$A$100,'Imp Refined NYC'!$A286,'Agg prdcrv NYC'!$B$6:$B$100,H$11)*K4</f>
        <v>36.08</v>
      </c>
      <c r="I286" s="61">
        <f>SUMIFS('Agg prdcrv NYC'!$P$6:$P$100,'Agg prdcrv NYC'!$A$6:$A$100,'Imp Refined NYC'!$A286,'Agg prdcrv NYC'!$B$6:$B$100,I$11)*K4</f>
        <v>36.630000000000003</v>
      </c>
      <c r="J286" s="61">
        <f t="array" ref="J286">SUMIFS('Agg prdcrv NYC'!$P$6:$P$100,'Agg prdcrv NYC'!$A$6:$A$100,'Imp Refined NYC'!$A286,'Agg prdcrv NYC'!$B$6:$B$100,J$11)</f>
        <v>29.74</v>
      </c>
      <c r="K286" s="61">
        <f t="array" ref="K286">SUMIFS('Agg prdcrv NYC'!$P$6:$P$100,'Agg prdcrv NYC'!$A$6:$A$100,'Imp Refined NYC'!$A286,'Agg prdcrv NYC'!$B$6:$B$100,K$11)</f>
        <v>30.96</v>
      </c>
      <c r="L286" s="62">
        <f>H286*Conv!$J$20/10^6/VLOOKUP($B286,Types!$B$2:$D$13,3,FALSE)/Conv!$I$5</f>
        <v>8.3466259980599489</v>
      </c>
      <c r="M286" s="62">
        <f>I286*Conv!$J$20/10^6/VLOOKUP($B286,Types!$B$2:$D$13,3,FALSE)/Conv!$I$5</f>
        <v>8.4738611504693981</v>
      </c>
      <c r="N286" s="62" t="e">
        <f>M286*#REF!</f>
        <v>#REF!</v>
      </c>
      <c r="O286" s="62" t="e">
        <f>N286*#REF!</f>
        <v>#REF!</v>
      </c>
      <c r="P286" s="62" t="e">
        <f>O286*#REF!</f>
        <v>#REF!</v>
      </c>
      <c r="Q286" s="62" t="e">
        <f>P286*#REF!</f>
        <v>#REF!</v>
      </c>
      <c r="R286" s="62" t="e">
        <f>Q286*#REF!</f>
        <v>#REF!</v>
      </c>
      <c r="S286" s="62" t="e">
        <f>R286*#REF!</f>
        <v>#REF!</v>
      </c>
      <c r="T286" s="62" t="e">
        <f>S286*#REF!</f>
        <v>#REF!</v>
      </c>
      <c r="U286" s="62" t="e">
        <f>T286*#REF!</f>
        <v>#REF!</v>
      </c>
      <c r="V286" s="62" t="e">
        <f>U286*#REF!</f>
        <v>#REF!</v>
      </c>
      <c r="W286" s="34"/>
      <c r="X286" s="1">
        <f t="array" ref="X286">SUMIFS('Agg prdcrv NYC'!$H$6:$H$100,'Agg prdcrv NYC'!$A$6:$A$100,'Imp Refined NYC'!$A286,'Agg prdcrv NYC'!$B$6:$B$100,X$11)</f>
        <v>31.98</v>
      </c>
      <c r="Y286" s="1">
        <f t="array" ref="Y286">SUMIFS('Agg prdcrv NYC'!$H$6:$H$100,'Agg prdcrv NYC'!$A$6:$A$100,'Imp Refined NYC'!$A286,'Agg prdcrv NYC'!$B$6:$B$100,Y$11)</f>
        <v>28.14</v>
      </c>
      <c r="Z286" s="1">
        <f t="array" ref="Z286">SUMIFS('Agg prdcrv NYC'!$H$6:$H$100,'Agg prdcrv NYC'!$A$6:$A$100,'Imp Refined NYC'!$A286,'Agg prdcrv NYC'!$B$6:$B$100,Z$11)</f>
        <v>26.76</v>
      </c>
      <c r="AA286" s="1">
        <f t="array" ref="AA286">SUMIFS('Agg prdcrv NYC'!$H$6:$H$100,'Agg prdcrv NYC'!$A$6:$A$100,'Imp Refined NYC'!$A286,'Agg prdcrv NYC'!$B$6:$B$100,AA$11)</f>
        <v>25.45</v>
      </c>
      <c r="AB286" s="34">
        <f>X286*VLOOKUP($B286,Types!$B$2:$D$13,3,FALSE)*Conv!$I$5*1000*365</f>
        <v>77.426619100334392</v>
      </c>
      <c r="AC286" s="34">
        <f>Y286*VLOOKUP($B286,Types!$B$2:$D$13,3,FALSE)*Conv!$I$5*1000*365</f>
        <v>68.129614180219193</v>
      </c>
      <c r="AD286" s="34">
        <f>Z286*VLOOKUP($B286,Types!$B$2:$D$13,3,FALSE)*Conv!$I$5*1000*365</f>
        <v>64.788503037052806</v>
      </c>
      <c r="AE286" s="34">
        <f>AA286*VLOOKUP($B286,Types!$B$2:$D$13,3,FALSE)*Conv!$I$5*1000*365</f>
        <v>61.616868546075985</v>
      </c>
      <c r="AF286" s="34">
        <f>AB286-AB288</f>
        <v>7.7426619100334335</v>
      </c>
      <c r="AG286" s="34">
        <f t="shared" ref="AG286:AI286" si="739">AC286-AC288</f>
        <v>6.8129614180219207</v>
      </c>
      <c r="AH286" s="34">
        <f t="shared" si="739"/>
        <v>6.4788503037052863</v>
      </c>
      <c r="AI286" s="34">
        <f t="shared" si="739"/>
        <v>6.1616868546075878</v>
      </c>
      <c r="AJ286" s="34"/>
      <c r="AK286" s="34"/>
      <c r="AL286" s="34"/>
    </row>
    <row r="287" spans="1:38">
      <c r="A287" s="1" t="str">
        <f>A286</f>
        <v>High Sulfur Fuel Oil</v>
      </c>
      <c r="B287" s="1" t="str">
        <f>VLOOKUP($A287,Types!$A$2:$C$13,2,FALSE)</f>
        <v>RFH</v>
      </c>
      <c r="C287" s="1">
        <v>1</v>
      </c>
      <c r="D287" s="1">
        <v>5</v>
      </c>
      <c r="E287" s="1" t="str">
        <f t="shared" si="668"/>
        <v>IMPRFHP51</v>
      </c>
      <c r="F287" s="1" t="str">
        <f>CONCATENATE("Imported ",VLOOKUP($A287,Types!$A$2:$C$13,3,FALSE),", PADD ",D287,", Step ",RIGHT(C287,1))</f>
        <v>Imported High Sulfur Residual Fuel Oil, PADD 5, Step 1</v>
      </c>
      <c r="G287" s="1" t="str">
        <f>CONCATENATE(VLOOKUP($A287,Types!$A$2:$C$13,2,FALSE),"P",D287)</f>
        <v>RFHP5</v>
      </c>
      <c r="H287" s="61">
        <f>H286*$C$5</f>
        <v>34.275999999999996</v>
      </c>
      <c r="I287" s="61">
        <f t="shared" ref="I287:K287" si="740">I286*$C$5</f>
        <v>34.798500000000004</v>
      </c>
      <c r="J287" s="61">
        <f t="shared" si="740"/>
        <v>28.252999999999997</v>
      </c>
      <c r="K287" s="61">
        <f t="shared" si="740"/>
        <v>29.411999999999999</v>
      </c>
      <c r="L287" s="62">
        <f>H287*Conv!$J$20/10^6/VLOOKUP($B287,Types!$B$2:$D$13,3,FALSE)/Conv!$I$5</f>
        <v>7.9292946981569497</v>
      </c>
      <c r="M287" s="62">
        <f>I287*Conv!$J$20/10^6/VLOOKUP($B287,Types!$B$2:$D$13,3,FALSE)/Conv!$I$5</f>
        <v>8.0501680929459294</v>
      </c>
      <c r="N287" s="62" t="e">
        <f>M287*#REF!</f>
        <v>#REF!</v>
      </c>
      <c r="O287" s="62" t="e">
        <f>N287*#REF!</f>
        <v>#REF!</v>
      </c>
      <c r="P287" s="62" t="e">
        <f>O287*#REF!</f>
        <v>#REF!</v>
      </c>
      <c r="Q287" s="62" t="e">
        <f>P287*#REF!</f>
        <v>#REF!</v>
      </c>
      <c r="R287" s="62" t="e">
        <f>Q287*#REF!</f>
        <v>#REF!</v>
      </c>
      <c r="S287" s="62" t="e">
        <f>R287*#REF!</f>
        <v>#REF!</v>
      </c>
      <c r="T287" s="62" t="e">
        <f>S287*#REF!</f>
        <v>#REF!</v>
      </c>
      <c r="U287" s="62" t="e">
        <f>T287*#REF!</f>
        <v>#REF!</v>
      </c>
      <c r="V287" s="62" t="e">
        <f>U287*#REF!</f>
        <v>#REF!</v>
      </c>
      <c r="W287" s="34"/>
      <c r="X287" s="1">
        <f>X286*$E$5</f>
        <v>25.584000000000003</v>
      </c>
      <c r="Y287" s="1">
        <f t="shared" ref="Y287:AA287" si="741">Y286*$E$5</f>
        <v>22.512</v>
      </c>
      <c r="Z287" s="1">
        <f t="shared" si="741"/>
        <v>21.408000000000001</v>
      </c>
      <c r="AA287" s="1">
        <f t="shared" si="741"/>
        <v>20.36</v>
      </c>
      <c r="AB287" s="34">
        <f>X287*VLOOKUP($B287,Types!$B$2:$D$13,3,FALSE)*Conv!$I$5*1000*365</f>
        <v>61.941295280267525</v>
      </c>
      <c r="AC287" s="34">
        <f>Y287*VLOOKUP($B287,Types!$B$2:$D$13,3,FALSE)*Conv!$I$5*1000*365</f>
        <v>54.503691344175365</v>
      </c>
      <c r="AD287" s="34">
        <f>Z287*VLOOKUP($B287,Types!$B$2:$D$13,3,FALSE)*Conv!$I$5*1000*365</f>
        <v>51.830802429642226</v>
      </c>
      <c r="AE287" s="34">
        <f>AA287*VLOOKUP($B287,Types!$B$2:$D$13,3,FALSE)*Conv!$I$5*1000*365</f>
        <v>49.293494836860802</v>
      </c>
      <c r="AF287" s="34">
        <f>AB287</f>
        <v>61.941295280267525</v>
      </c>
      <c r="AG287" s="34">
        <f t="shared" ref="AG287:AI287" si="742">AC287</f>
        <v>54.503691344175365</v>
      </c>
      <c r="AH287" s="34">
        <f t="shared" si="742"/>
        <v>51.830802429642226</v>
      </c>
      <c r="AI287" s="34">
        <f t="shared" si="742"/>
        <v>49.293494836860802</v>
      </c>
      <c r="AJ287" s="34"/>
      <c r="AK287" s="34"/>
      <c r="AL287" s="34"/>
    </row>
    <row r="288" spans="1:38">
      <c r="A288" s="1" t="str">
        <f t="shared" ref="A288:A290" si="743">A287</f>
        <v>High Sulfur Fuel Oil</v>
      </c>
      <c r="B288" s="1" t="str">
        <f>VLOOKUP($A288,Types!$A$2:$C$13,2,FALSE)</f>
        <v>RFH</v>
      </c>
      <c r="C288" s="1">
        <v>2</v>
      </c>
      <c r="D288" s="1">
        <v>5</v>
      </c>
      <c r="E288" s="1" t="str">
        <f t="shared" si="668"/>
        <v>IMPRFHP52</v>
      </c>
      <c r="F288" s="1" t="str">
        <f>CONCATENATE("Imported ",VLOOKUP($A288,Types!$A$2:$C$13,3,FALSE),", PADD ",D288,", Step ",RIGHT(C288,1))</f>
        <v>Imported High Sulfur Residual Fuel Oil, PADD 5, Step 2</v>
      </c>
      <c r="G288" s="1" t="str">
        <f>CONCATENATE(VLOOKUP($A288,Types!$A$2:$C$13,2,FALSE),"P",D288)</f>
        <v>RFHP5</v>
      </c>
      <c r="H288" s="61">
        <f>H286*$C$6</f>
        <v>35.358399999999996</v>
      </c>
      <c r="I288" s="61">
        <f t="shared" ref="I288:K288" si="744">I286*$C$6</f>
        <v>35.897400000000005</v>
      </c>
      <c r="J288" s="61">
        <f t="shared" si="744"/>
        <v>29.145199999999999</v>
      </c>
      <c r="K288" s="61">
        <f t="shared" si="744"/>
        <v>30.340800000000002</v>
      </c>
      <c r="L288" s="62">
        <f>H288*Conv!$J$20/10^6/VLOOKUP($B288,Types!$B$2:$D$13,3,FALSE)/Conv!$I$5</f>
        <v>8.1796934780987485</v>
      </c>
      <c r="M288" s="62">
        <f>I288*Conv!$J$20/10^6/VLOOKUP($B288,Types!$B$2:$D$13,3,FALSE)/Conv!$I$5</f>
        <v>8.3043839274600106</v>
      </c>
      <c r="N288" s="62" t="e">
        <f>M288*#REF!</f>
        <v>#REF!</v>
      </c>
      <c r="O288" s="62" t="e">
        <f>N288*#REF!</f>
        <v>#REF!</v>
      </c>
      <c r="P288" s="62" t="e">
        <f>O288*#REF!</f>
        <v>#REF!</v>
      </c>
      <c r="Q288" s="62" t="e">
        <f>P288*#REF!</f>
        <v>#REF!</v>
      </c>
      <c r="R288" s="62" t="e">
        <f>Q288*#REF!</f>
        <v>#REF!</v>
      </c>
      <c r="S288" s="62" t="e">
        <f>R288*#REF!</f>
        <v>#REF!</v>
      </c>
      <c r="T288" s="62" t="e">
        <f>S288*#REF!</f>
        <v>#REF!</v>
      </c>
      <c r="U288" s="62" t="e">
        <f>T288*#REF!</f>
        <v>#REF!</v>
      </c>
      <c r="V288" s="62" t="e">
        <f>U288*#REF!</f>
        <v>#REF!</v>
      </c>
      <c r="W288" s="34"/>
      <c r="X288" s="1">
        <f>X286*$E$6</f>
        <v>28.782</v>
      </c>
      <c r="Y288" s="1">
        <f t="shared" ref="Y288:AA288" si="745">Y286*$E$6</f>
        <v>25.326000000000001</v>
      </c>
      <c r="Z288" s="1">
        <f t="shared" si="745"/>
        <v>24.084000000000003</v>
      </c>
      <c r="AA288" s="1">
        <f t="shared" si="745"/>
        <v>22.905000000000001</v>
      </c>
      <c r="AB288" s="34">
        <f>X288*VLOOKUP($B288,Types!$B$2:$D$13,3,FALSE)*Conv!$I$5*1000*365</f>
        <v>69.683957190300958</v>
      </c>
      <c r="AC288" s="34">
        <f>Y288*VLOOKUP($B288,Types!$B$2:$D$13,3,FALSE)*Conv!$I$5*1000*365</f>
        <v>61.316652762197272</v>
      </c>
      <c r="AD288" s="34">
        <f>Z288*VLOOKUP($B288,Types!$B$2:$D$13,3,FALSE)*Conv!$I$5*1000*365</f>
        <v>58.309652733347519</v>
      </c>
      <c r="AE288" s="34">
        <f>AA288*VLOOKUP($B288,Types!$B$2:$D$13,3,FALSE)*Conv!$I$5*1000*365</f>
        <v>55.455181691468397</v>
      </c>
      <c r="AF288" s="34">
        <f>AB288-AF287</f>
        <v>7.7426619100334335</v>
      </c>
      <c r="AG288" s="34">
        <f t="shared" ref="AG288:AI288" si="746">AC288-AG287</f>
        <v>6.8129614180219065</v>
      </c>
      <c r="AH288" s="34">
        <f t="shared" si="746"/>
        <v>6.4788503037052934</v>
      </c>
      <c r="AI288" s="34">
        <f t="shared" si="746"/>
        <v>6.1616868546075949</v>
      </c>
      <c r="AJ288" s="34"/>
      <c r="AK288" s="34"/>
      <c r="AL288" s="34"/>
    </row>
    <row r="289" spans="1:38">
      <c r="A289" s="1" t="str">
        <f t="shared" si="743"/>
        <v>High Sulfur Fuel Oil</v>
      </c>
      <c r="B289" s="1" t="str">
        <f>VLOOKUP($A289,Types!$A$2:$C$13,2,FALSE)</f>
        <v>RFH</v>
      </c>
      <c r="C289" s="1">
        <v>4</v>
      </c>
      <c r="D289" s="1">
        <v>5</v>
      </c>
      <c r="E289" s="1" t="str">
        <f t="shared" si="668"/>
        <v>IMPRFHP54</v>
      </c>
      <c r="F289" s="1" t="str">
        <f>CONCATENATE("Imported ",VLOOKUP($A289,Types!$A$2:$C$13,3,FALSE),", PADD ",D289,", Step ",RIGHT(C289,1))</f>
        <v>Imported High Sulfur Residual Fuel Oil, PADD 5, Step 4</v>
      </c>
      <c r="G289" s="1" t="str">
        <f>CONCATENATE(VLOOKUP($A289,Types!$A$2:$C$13,2,FALSE),"P",D289)</f>
        <v>RFHP5</v>
      </c>
      <c r="H289" s="61">
        <f>H286*$C$8</f>
        <v>39.327199999999998</v>
      </c>
      <c r="I289" s="61">
        <f t="shared" ref="I289:K289" si="747">I286*$C$8</f>
        <v>39.926700000000004</v>
      </c>
      <c r="J289" s="61">
        <f t="shared" si="747"/>
        <v>32.416600000000003</v>
      </c>
      <c r="K289" s="61">
        <f t="shared" si="747"/>
        <v>33.746400000000001</v>
      </c>
      <c r="L289" s="62">
        <f>H289*Conv!$J$20/10^6/VLOOKUP($B289,Types!$B$2:$D$13,3,FALSE)/Conv!$I$5</f>
        <v>9.0978223378853436</v>
      </c>
      <c r="M289" s="62">
        <f>I289*Conv!$J$20/10^6/VLOOKUP($B289,Types!$B$2:$D$13,3,FALSE)/Conv!$I$5</f>
        <v>9.2365086540116454</v>
      </c>
      <c r="N289" s="62" t="e">
        <f>M289*#REF!</f>
        <v>#REF!</v>
      </c>
      <c r="O289" s="62" t="e">
        <f>N289*#REF!</f>
        <v>#REF!</v>
      </c>
      <c r="P289" s="62" t="e">
        <f>O289*#REF!</f>
        <v>#REF!</v>
      </c>
      <c r="Q289" s="62" t="e">
        <f>P289*#REF!</f>
        <v>#REF!</v>
      </c>
      <c r="R289" s="62" t="e">
        <f>Q289*#REF!</f>
        <v>#REF!</v>
      </c>
      <c r="S289" s="62" t="e">
        <f>R289*#REF!</f>
        <v>#REF!</v>
      </c>
      <c r="T289" s="62" t="e">
        <f>S289*#REF!</f>
        <v>#REF!</v>
      </c>
      <c r="U289" s="62" t="e">
        <f>T289*#REF!</f>
        <v>#REF!</v>
      </c>
      <c r="V289" s="62" t="e">
        <f>U289*#REF!</f>
        <v>#REF!</v>
      </c>
      <c r="W289" s="34"/>
      <c r="X289" s="1">
        <f>X286*$E$8</f>
        <v>38.375999999999998</v>
      </c>
      <c r="Y289" s="1">
        <f t="shared" ref="Y289:AA289" si="748">Y286*$E$8</f>
        <v>33.768000000000001</v>
      </c>
      <c r="Z289" s="1">
        <f t="shared" si="748"/>
        <v>32.112000000000002</v>
      </c>
      <c r="AA289" s="1">
        <f t="shared" si="748"/>
        <v>30.54</v>
      </c>
      <c r="AB289" s="34">
        <f>X289*VLOOKUP($B289,Types!$B$2:$D$13,3,FALSE)*Conv!$I$5*1000*365</f>
        <v>92.911942920401273</v>
      </c>
      <c r="AC289" s="34">
        <f>Y289*VLOOKUP($B289,Types!$B$2:$D$13,3,FALSE)*Conv!$I$5*1000*365</f>
        <v>81.755537016263034</v>
      </c>
      <c r="AD289" s="34">
        <f>Z289*VLOOKUP($B289,Types!$B$2:$D$13,3,FALSE)*Conv!$I$5*1000*365</f>
        <v>77.74620364446335</v>
      </c>
      <c r="AE289" s="34">
        <f>AA289*VLOOKUP($B289,Types!$B$2:$D$13,3,FALSE)*Conv!$I$5*1000*365</f>
        <v>73.940242255291196</v>
      </c>
      <c r="AF289" s="34">
        <f>AB289-AB286</f>
        <v>15.485323820066881</v>
      </c>
      <c r="AG289" s="34">
        <f t="shared" ref="AG289:AI289" si="749">AC289-AC286</f>
        <v>13.625922836043841</v>
      </c>
      <c r="AH289" s="34">
        <f t="shared" si="749"/>
        <v>12.957700607410544</v>
      </c>
      <c r="AI289" s="34">
        <f t="shared" si="749"/>
        <v>12.323373709215211</v>
      </c>
      <c r="AJ289" s="34"/>
      <c r="AK289" s="34"/>
      <c r="AL289" s="34"/>
    </row>
    <row r="290" spans="1:38">
      <c r="A290" s="1" t="str">
        <f t="shared" si="743"/>
        <v>High Sulfur Fuel Oil</v>
      </c>
      <c r="B290" s="1" t="str">
        <f>VLOOKUP($A290,Types!$A$2:$C$13,2,FALSE)</f>
        <v>RFH</v>
      </c>
      <c r="C290" s="1">
        <v>5</v>
      </c>
      <c r="D290" s="1">
        <v>5</v>
      </c>
      <c r="E290" s="1" t="str">
        <f t="shared" si="668"/>
        <v>IMPRFHP55</v>
      </c>
      <c r="F290" s="1" t="str">
        <f>CONCATENATE("Imported ",VLOOKUP($A290,Types!$A$2:$C$13,3,FALSE),", PADD ",D290,", Step ",RIGHT(C290,1))</f>
        <v>Imported High Sulfur Residual Fuel Oil, PADD 5, Step 5</v>
      </c>
      <c r="G290" s="1" t="str">
        <f>CONCATENATE(VLOOKUP($A290,Types!$A$2:$C$13,2,FALSE),"P",D290)</f>
        <v>RFHP5</v>
      </c>
      <c r="H290" s="61">
        <f>H286*$C$9</f>
        <v>46.903999999999996</v>
      </c>
      <c r="I290" s="61">
        <f t="shared" ref="I290:K290" si="750">I286*$C$9</f>
        <v>47.619000000000007</v>
      </c>
      <c r="J290" s="61">
        <f t="shared" si="750"/>
        <v>38.661999999999999</v>
      </c>
      <c r="K290" s="61">
        <f t="shared" si="750"/>
        <v>40.248000000000005</v>
      </c>
      <c r="L290" s="62">
        <f>H290*Conv!$J$20/10^6/VLOOKUP($B290,Types!$B$2:$D$13,3,FALSE)/Conv!$I$5</f>
        <v>10.850613797477934</v>
      </c>
      <c r="M290" s="62">
        <f>I290*Conv!$J$20/10^6/VLOOKUP($B290,Types!$B$2:$D$13,3,FALSE)/Conv!$I$5</f>
        <v>11.01601949561022</v>
      </c>
      <c r="N290" s="62" t="e">
        <f>M290*#REF!</f>
        <v>#REF!</v>
      </c>
      <c r="O290" s="62" t="e">
        <f>N290*#REF!</f>
        <v>#REF!</v>
      </c>
      <c r="P290" s="62" t="e">
        <f>O290*#REF!</f>
        <v>#REF!</v>
      </c>
      <c r="Q290" s="62" t="e">
        <f>P290*#REF!</f>
        <v>#REF!</v>
      </c>
      <c r="R290" s="62" t="e">
        <f>Q290*#REF!</f>
        <v>#REF!</v>
      </c>
      <c r="S290" s="62" t="e">
        <f>R290*#REF!</f>
        <v>#REF!</v>
      </c>
      <c r="T290" s="62" t="e">
        <f>S290*#REF!</f>
        <v>#REF!</v>
      </c>
      <c r="U290" s="62" t="e">
        <f>T290*#REF!</f>
        <v>#REF!</v>
      </c>
      <c r="V290" s="62" t="e">
        <f>U290*#REF!</f>
        <v>#REF!</v>
      </c>
      <c r="W290" s="34"/>
      <c r="X290" s="1">
        <f>X286*$E$9</f>
        <v>63.96</v>
      </c>
      <c r="Y290" s="1">
        <f t="shared" ref="Y290:AA290" si="751">Y286*$E$9</f>
        <v>56.28</v>
      </c>
      <c r="Z290" s="1">
        <f t="shared" si="751"/>
        <v>53.52</v>
      </c>
      <c r="AA290" s="1">
        <f t="shared" si="751"/>
        <v>50.9</v>
      </c>
      <c r="AB290" s="34">
        <f>X290*VLOOKUP($B290,Types!$B$2:$D$13,3,FALSE)*Conv!$I$5*1000*365</f>
        <v>154.85323820066878</v>
      </c>
      <c r="AC290" s="34">
        <f>Y290*VLOOKUP($B290,Types!$B$2:$D$13,3,FALSE)*Conv!$I$5*1000*365</f>
        <v>136.25922836043839</v>
      </c>
      <c r="AD290" s="34">
        <f>Z290*VLOOKUP($B290,Types!$B$2:$D$13,3,FALSE)*Conv!$I$5*1000*365</f>
        <v>129.57700607410561</v>
      </c>
      <c r="AE290" s="34">
        <f>AA290*VLOOKUP($B290,Types!$B$2:$D$13,3,FALSE)*Conv!$I$5*1000*365</f>
        <v>123.23373709215197</v>
      </c>
      <c r="AF290" s="34">
        <f>AB290-AB289</f>
        <v>61.941295280267511</v>
      </c>
      <c r="AG290" s="34">
        <f t="shared" ref="AG290:AI290" si="752">AC290-AC289</f>
        <v>54.503691344175351</v>
      </c>
      <c r="AH290" s="34">
        <f t="shared" si="752"/>
        <v>51.830802429642262</v>
      </c>
      <c r="AI290" s="34">
        <f t="shared" si="752"/>
        <v>49.293494836860773</v>
      </c>
      <c r="AJ290" s="34"/>
      <c r="AK290" s="34"/>
      <c r="AL290" s="34"/>
    </row>
    <row r="291" spans="1:38">
      <c r="A291" s="1" t="str">
        <f>'Agg prdcrv'!$A$12</f>
        <v>Jet Fuel</v>
      </c>
      <c r="B291" s="1" t="str">
        <f>VLOOKUP($A291,Types!$A$2:$C$13,2,FALSE)</f>
        <v>JTF</v>
      </c>
      <c r="C291" s="1">
        <v>3</v>
      </c>
      <c r="D291" s="1">
        <v>5</v>
      </c>
      <c r="E291" s="1" t="str">
        <f t="shared" si="668"/>
        <v>IMPJTFP53</v>
      </c>
      <c r="F291" s="1" t="str">
        <f>CONCATENATE("Imported ",VLOOKUP($A291,Types!$A$2:$C$13,3,FALSE),", PADD ",D291,", Step ",RIGHT(C291,1))</f>
        <v>Imported Jet Fuel, PADD 5, Step 3</v>
      </c>
      <c r="G291" s="1" t="str">
        <f>CONCATENATE(VLOOKUP($A291,Types!$A$2:$C$13,2,FALSE),"P",D291)</f>
        <v>JTFP5</v>
      </c>
      <c r="H291" s="61">
        <f>SUMIFS('Agg prdcrv NYC'!$P$6:$P$100,'Agg prdcrv NYC'!$A$6:$A$100,'Imp Refined NYC'!$A291,'Agg prdcrv NYC'!$B$6:$B$100,H$11)*K4</f>
        <v>56.573000000000008</v>
      </c>
      <c r="I291" s="61">
        <f>SUMIFS('Agg prdcrv NYC'!$P$6:$P$100,'Agg prdcrv NYC'!$A$6:$A$100,'Imp Refined NYC'!$A291,'Agg prdcrv NYC'!$B$6:$B$100,I$11)*K4</f>
        <v>45.914000000000009</v>
      </c>
      <c r="J291" s="61">
        <f t="array" ref="J291">SUMIFS('Agg prdcrv NYC'!$P$6:$P$100,'Agg prdcrv NYC'!$A$6:$A$100,'Imp Refined NYC'!$A291,'Agg prdcrv NYC'!$B$6:$B$100,J$11)</f>
        <v>36.26</v>
      </c>
      <c r="K291" s="61">
        <f t="array" ref="K291">SUMIFS('Agg prdcrv NYC'!$P$6:$P$100,'Agg prdcrv NYC'!$A$6:$A$100,'Imp Refined NYC'!$A291,'Agg prdcrv NYC'!$B$6:$B$100,K$11)</f>
        <v>38.729999999999997</v>
      </c>
      <c r="L291" s="62">
        <f>H291*Conv!$J$20/10^6/VLOOKUP($B291,Types!$B$2:$D$13,3,FALSE)/Conv!$I$5</f>
        <v>14.511557794174321</v>
      </c>
      <c r="M291" s="62">
        <f>I291*Conv!$J$20/10^6/VLOOKUP($B291,Types!$B$2:$D$13,3,FALSE)/Conv!$I$5</f>
        <v>11.777414394883067</v>
      </c>
      <c r="N291" s="62" t="e">
        <f>M291*#REF!</f>
        <v>#REF!</v>
      </c>
      <c r="O291" s="62" t="e">
        <f>N291*#REF!</f>
        <v>#REF!</v>
      </c>
      <c r="P291" s="62" t="e">
        <f>O291*#REF!</f>
        <v>#REF!</v>
      </c>
      <c r="Q291" s="62" t="e">
        <f>P291*#REF!</f>
        <v>#REF!</v>
      </c>
      <c r="R291" s="62" t="e">
        <f>Q291*#REF!</f>
        <v>#REF!</v>
      </c>
      <c r="S291" s="62" t="e">
        <f>R291*#REF!</f>
        <v>#REF!</v>
      </c>
      <c r="T291" s="62" t="e">
        <f>S291*#REF!</f>
        <v>#REF!</v>
      </c>
      <c r="U291" s="62" t="e">
        <f>T291*#REF!</f>
        <v>#REF!</v>
      </c>
      <c r="V291" s="62" t="e">
        <f>U291*#REF!</f>
        <v>#REF!</v>
      </c>
      <c r="W291" s="34"/>
      <c r="X291" s="1">
        <f t="array" ref="X291">SUMIFS('Agg prdcrv NYC'!$H$6:$H$100,'Agg prdcrv NYC'!$A$6:$A$100,'Imp Refined NYC'!$A291,'Agg prdcrv NYC'!$B$6:$B$100,X$11)</f>
        <v>100.3</v>
      </c>
      <c r="Y291" s="1">
        <f t="array" ref="Y291">SUMIFS('Agg prdcrv NYC'!$H$6:$H$100,'Agg prdcrv NYC'!$A$6:$A$100,'Imp Refined NYC'!$A291,'Agg prdcrv NYC'!$B$6:$B$100,Y$11)</f>
        <v>55.38</v>
      </c>
      <c r="Z291" s="1">
        <f t="array" ref="Z291">SUMIFS('Agg prdcrv NYC'!$H$6:$H$100,'Agg prdcrv NYC'!$A$6:$A$100,'Imp Refined NYC'!$A291,'Agg prdcrv NYC'!$B$6:$B$100,Z$11)</f>
        <v>50.1</v>
      </c>
      <c r="AA291" s="1">
        <f t="array" ref="AA291">SUMIFS('Agg prdcrv NYC'!$H$6:$H$100,'Agg prdcrv NYC'!$A$6:$A$100,'Imp Refined NYC'!$A291,'Agg prdcrv NYC'!$B$6:$B$100,AA$11)</f>
        <v>55.32</v>
      </c>
      <c r="AB291" s="34">
        <f>X291*VLOOKUP($B291,Types!$B$2:$D$13,3,FALSE)*Conv!$I$5*1000*365</f>
        <v>219.00416182344</v>
      </c>
      <c r="AC291" s="34">
        <f>Y291*VLOOKUP($B291,Types!$B$2:$D$13,3,FALSE)*Conv!$I$5*1000*365</f>
        <v>120.92173959902398</v>
      </c>
      <c r="AD291" s="34">
        <f>Z291*VLOOKUP($B291,Types!$B$2:$D$13,3,FALSE)*Conv!$I$5*1000*365</f>
        <v>109.39290635448</v>
      </c>
      <c r="AE291" s="34">
        <f>AA291*VLOOKUP($B291,Types!$B$2:$D$13,3,FALSE)*Conv!$I$5*1000*365</f>
        <v>120.79073013033599</v>
      </c>
      <c r="AF291" s="34">
        <f>AB291-AB293</f>
        <v>21.900416182344031</v>
      </c>
      <c r="AG291" s="34">
        <f t="shared" ref="AG291:AI291" si="753">AC291-AC293</f>
        <v>12.092173959902382</v>
      </c>
      <c r="AH291" s="34">
        <f t="shared" si="753"/>
        <v>10.939290635448017</v>
      </c>
      <c r="AI291" s="34">
        <f t="shared" si="753"/>
        <v>12.079073013033579</v>
      </c>
      <c r="AJ291" s="34"/>
      <c r="AK291" s="34"/>
      <c r="AL291" s="34"/>
    </row>
    <row r="292" spans="1:38">
      <c r="A292" s="1" t="str">
        <f>A291</f>
        <v>Jet Fuel</v>
      </c>
      <c r="B292" s="1" t="str">
        <f>VLOOKUP($A292,Types!$A$2:$C$13,2,FALSE)</f>
        <v>JTF</v>
      </c>
      <c r="C292" s="1">
        <v>1</v>
      </c>
      <c r="D292" s="1">
        <v>5</v>
      </c>
      <c r="E292" s="1" t="str">
        <f t="shared" si="668"/>
        <v>IMPJTFP51</v>
      </c>
      <c r="F292" s="1" t="str">
        <f>CONCATENATE("Imported ",VLOOKUP($A292,Types!$A$2:$C$13,3,FALSE),", PADD ",D292,", Step ",RIGHT(C292,1))</f>
        <v>Imported Jet Fuel, PADD 5, Step 1</v>
      </c>
      <c r="G292" s="1" t="str">
        <f>CONCATENATE(VLOOKUP($A292,Types!$A$2:$C$13,2,FALSE),"P",D292)</f>
        <v>JTFP5</v>
      </c>
      <c r="H292" s="61">
        <f>H291*$C$5</f>
        <v>53.744350000000004</v>
      </c>
      <c r="I292" s="61">
        <f t="shared" ref="I292:K292" si="754">I291*$C$5</f>
        <v>43.618300000000005</v>
      </c>
      <c r="J292" s="61">
        <f t="shared" si="754"/>
        <v>34.446999999999996</v>
      </c>
      <c r="K292" s="61">
        <f t="shared" si="754"/>
        <v>36.793499999999995</v>
      </c>
      <c r="L292" s="62">
        <f>H292*Conv!$J$20/10^6/VLOOKUP($B292,Types!$B$2:$D$13,3,FALSE)/Conv!$I$5</f>
        <v>13.785979904465604</v>
      </c>
      <c r="M292" s="62">
        <f>I292*Conv!$J$20/10^6/VLOOKUP($B292,Types!$B$2:$D$13,3,FALSE)/Conv!$I$5</f>
        <v>11.188543675138913</v>
      </c>
      <c r="N292" s="62" t="e">
        <f>M292*#REF!</f>
        <v>#REF!</v>
      </c>
      <c r="O292" s="62" t="e">
        <f>N292*#REF!</f>
        <v>#REF!</v>
      </c>
      <c r="P292" s="62" t="e">
        <f>O292*#REF!</f>
        <v>#REF!</v>
      </c>
      <c r="Q292" s="62" t="e">
        <f>P292*#REF!</f>
        <v>#REF!</v>
      </c>
      <c r="R292" s="62" t="e">
        <f>Q292*#REF!</f>
        <v>#REF!</v>
      </c>
      <c r="S292" s="62" t="e">
        <f>R292*#REF!</f>
        <v>#REF!</v>
      </c>
      <c r="T292" s="62" t="e">
        <f>S292*#REF!</f>
        <v>#REF!</v>
      </c>
      <c r="U292" s="62" t="e">
        <f>T292*#REF!</f>
        <v>#REF!</v>
      </c>
      <c r="V292" s="62" t="e">
        <f>U292*#REF!</f>
        <v>#REF!</v>
      </c>
      <c r="W292" s="34"/>
      <c r="X292" s="1">
        <f>X291*$E$5</f>
        <v>80.240000000000009</v>
      </c>
      <c r="Y292" s="1">
        <f t="shared" ref="Y292:AA292" si="755">Y291*$E$5</f>
        <v>44.304000000000002</v>
      </c>
      <c r="Z292" s="1">
        <f t="shared" si="755"/>
        <v>40.080000000000005</v>
      </c>
      <c r="AA292" s="1">
        <f t="shared" si="755"/>
        <v>44.256</v>
      </c>
      <c r="AB292" s="34">
        <f>X292*VLOOKUP($B292,Types!$B$2:$D$13,3,FALSE)*Conv!$I$5*1000*365</f>
        <v>175.20332945875202</v>
      </c>
      <c r="AC292" s="34">
        <f>Y292*VLOOKUP($B292,Types!$B$2:$D$13,3,FALSE)*Conv!$I$5*1000*365</f>
        <v>96.737391679219215</v>
      </c>
      <c r="AD292" s="34">
        <f>Z292*VLOOKUP($B292,Types!$B$2:$D$13,3,FALSE)*Conv!$I$5*1000*365</f>
        <v>87.514325083584012</v>
      </c>
      <c r="AE292" s="34">
        <f>AA292*VLOOKUP($B292,Types!$B$2:$D$13,3,FALSE)*Conv!$I$5*1000*365</f>
        <v>96.632584104268801</v>
      </c>
      <c r="AF292" s="34">
        <f>AB292</f>
        <v>175.20332945875202</v>
      </c>
      <c r="AG292" s="34">
        <f t="shared" ref="AG292:AI292" si="756">AC292</f>
        <v>96.737391679219215</v>
      </c>
      <c r="AH292" s="34">
        <f t="shared" si="756"/>
        <v>87.514325083584012</v>
      </c>
      <c r="AI292" s="34">
        <f t="shared" si="756"/>
        <v>96.632584104268801</v>
      </c>
      <c r="AJ292" s="34"/>
      <c r="AK292" s="34"/>
      <c r="AL292" s="34"/>
    </row>
    <row r="293" spans="1:38">
      <c r="A293" s="1" t="str">
        <f t="shared" ref="A293:A295" si="757">A292</f>
        <v>Jet Fuel</v>
      </c>
      <c r="B293" s="1" t="str">
        <f>VLOOKUP($A293,Types!$A$2:$C$13,2,FALSE)</f>
        <v>JTF</v>
      </c>
      <c r="C293" s="1">
        <v>2</v>
      </c>
      <c r="D293" s="1">
        <v>5</v>
      </c>
      <c r="E293" s="1" t="str">
        <f t="shared" si="668"/>
        <v>IMPJTFP52</v>
      </c>
      <c r="F293" s="1" t="str">
        <f>CONCATENATE("Imported ",VLOOKUP($A293,Types!$A$2:$C$13,3,FALSE),", PADD ",D293,", Step ",RIGHT(C293,1))</f>
        <v>Imported Jet Fuel, PADD 5, Step 2</v>
      </c>
      <c r="G293" s="1" t="str">
        <f>CONCATENATE(VLOOKUP($A293,Types!$A$2:$C$13,2,FALSE),"P",D293)</f>
        <v>JTFP5</v>
      </c>
      <c r="H293" s="61">
        <f>H291*$C$6</f>
        <v>55.441540000000003</v>
      </c>
      <c r="I293" s="61">
        <f t="shared" ref="I293:K293" si="758">I291*$C$6</f>
        <v>44.995720000000006</v>
      </c>
      <c r="J293" s="61">
        <f t="shared" si="758"/>
        <v>35.534799999999997</v>
      </c>
      <c r="K293" s="61">
        <f t="shared" si="758"/>
        <v>37.955399999999997</v>
      </c>
      <c r="L293" s="62">
        <f>H293*Conv!$J$20/10^6/VLOOKUP($B293,Types!$B$2:$D$13,3,FALSE)/Conv!$I$5</f>
        <v>14.221326638290833</v>
      </c>
      <c r="M293" s="62">
        <f>I293*Conv!$J$20/10^6/VLOOKUP($B293,Types!$B$2:$D$13,3,FALSE)/Conv!$I$5</f>
        <v>11.541866106985402</v>
      </c>
      <c r="N293" s="62" t="e">
        <f>M293*#REF!</f>
        <v>#REF!</v>
      </c>
      <c r="O293" s="62" t="e">
        <f>N293*#REF!</f>
        <v>#REF!</v>
      </c>
      <c r="P293" s="62" t="e">
        <f>O293*#REF!</f>
        <v>#REF!</v>
      </c>
      <c r="Q293" s="62" t="e">
        <f>P293*#REF!</f>
        <v>#REF!</v>
      </c>
      <c r="R293" s="62" t="e">
        <f>Q293*#REF!</f>
        <v>#REF!</v>
      </c>
      <c r="S293" s="62" t="e">
        <f>R293*#REF!</f>
        <v>#REF!</v>
      </c>
      <c r="T293" s="62" t="e">
        <f>S293*#REF!</f>
        <v>#REF!</v>
      </c>
      <c r="U293" s="62" t="e">
        <f>T293*#REF!</f>
        <v>#REF!</v>
      </c>
      <c r="V293" s="62" t="e">
        <f>U293*#REF!</f>
        <v>#REF!</v>
      </c>
      <c r="W293" s="34"/>
      <c r="X293" s="1">
        <f>X291*$E$6</f>
        <v>90.27</v>
      </c>
      <c r="Y293" s="1">
        <f t="shared" ref="Y293:AA293" si="759">Y291*$E$6</f>
        <v>49.842000000000006</v>
      </c>
      <c r="Z293" s="1">
        <f t="shared" si="759"/>
        <v>45.09</v>
      </c>
      <c r="AA293" s="1">
        <f t="shared" si="759"/>
        <v>49.788000000000004</v>
      </c>
      <c r="AB293" s="34">
        <f>X293*VLOOKUP($B293,Types!$B$2:$D$13,3,FALSE)*Conv!$I$5*1000*365</f>
        <v>197.10374564109597</v>
      </c>
      <c r="AC293" s="34">
        <f>Y293*VLOOKUP($B293,Types!$B$2:$D$13,3,FALSE)*Conv!$I$5*1000*365</f>
        <v>108.8295656391216</v>
      </c>
      <c r="AD293" s="34">
        <f>Z293*VLOOKUP($B293,Types!$B$2:$D$13,3,FALSE)*Conv!$I$5*1000*365</f>
        <v>98.453615719031987</v>
      </c>
      <c r="AE293" s="34">
        <f>AA293*VLOOKUP($B293,Types!$B$2:$D$13,3,FALSE)*Conv!$I$5*1000*365</f>
        <v>108.71165711730241</v>
      </c>
      <c r="AF293" s="34">
        <f>AB293-AF292</f>
        <v>21.900416182343946</v>
      </c>
      <c r="AG293" s="34">
        <f t="shared" ref="AG293:AI293" si="760">AC293-AG292</f>
        <v>12.092173959902382</v>
      </c>
      <c r="AH293" s="34">
        <f t="shared" si="760"/>
        <v>10.939290635447975</v>
      </c>
      <c r="AI293" s="34">
        <f t="shared" si="760"/>
        <v>12.079073013033607</v>
      </c>
      <c r="AJ293" s="34"/>
      <c r="AK293" s="34"/>
      <c r="AL293" s="34"/>
    </row>
    <row r="294" spans="1:38">
      <c r="A294" s="1" t="str">
        <f t="shared" si="757"/>
        <v>Jet Fuel</v>
      </c>
      <c r="B294" s="1" t="str">
        <f>VLOOKUP($A294,Types!$A$2:$C$13,2,FALSE)</f>
        <v>JTF</v>
      </c>
      <c r="C294" s="1">
        <v>4</v>
      </c>
      <c r="D294" s="1">
        <v>5</v>
      </c>
      <c r="E294" s="1" t="str">
        <f t="shared" si="668"/>
        <v>IMPJTFP54</v>
      </c>
      <c r="F294" s="1" t="str">
        <f>CONCATENATE("Imported ",VLOOKUP($A294,Types!$A$2:$C$13,3,FALSE),", PADD ",D294,", Step ",RIGHT(C294,1))</f>
        <v>Imported Jet Fuel, PADD 5, Step 4</v>
      </c>
      <c r="G294" s="1" t="str">
        <f>CONCATENATE(VLOOKUP($A294,Types!$A$2:$C$13,2,FALSE),"P",D294)</f>
        <v>JTFP5</v>
      </c>
      <c r="H294" s="61">
        <f>H291*$C$8</f>
        <v>61.664570000000012</v>
      </c>
      <c r="I294" s="61">
        <f t="shared" ref="I294:K294" si="761">I291*$C$8</f>
        <v>50.046260000000011</v>
      </c>
      <c r="J294" s="61">
        <f t="shared" si="761"/>
        <v>39.523400000000002</v>
      </c>
      <c r="K294" s="61">
        <f t="shared" si="761"/>
        <v>42.215699999999998</v>
      </c>
      <c r="L294" s="62">
        <f>H294*Conv!$J$20/10^6/VLOOKUP($B294,Types!$B$2:$D$13,3,FALSE)/Conv!$I$5</f>
        <v>15.81759799565001</v>
      </c>
      <c r="M294" s="62">
        <f>I294*Conv!$J$20/10^6/VLOOKUP($B294,Types!$B$2:$D$13,3,FALSE)/Conv!$I$5</f>
        <v>12.837381690422541</v>
      </c>
      <c r="N294" s="62" t="e">
        <f>M294*#REF!</f>
        <v>#REF!</v>
      </c>
      <c r="O294" s="62" t="e">
        <f>N294*#REF!</f>
        <v>#REF!</v>
      </c>
      <c r="P294" s="62" t="e">
        <f>O294*#REF!</f>
        <v>#REF!</v>
      </c>
      <c r="Q294" s="62" t="e">
        <f>P294*#REF!</f>
        <v>#REF!</v>
      </c>
      <c r="R294" s="62" t="e">
        <f>Q294*#REF!</f>
        <v>#REF!</v>
      </c>
      <c r="S294" s="62" t="e">
        <f>R294*#REF!</f>
        <v>#REF!</v>
      </c>
      <c r="T294" s="62" t="e">
        <f>S294*#REF!</f>
        <v>#REF!</v>
      </c>
      <c r="U294" s="62" t="e">
        <f>T294*#REF!</f>
        <v>#REF!</v>
      </c>
      <c r="V294" s="62" t="e">
        <f>U294*#REF!</f>
        <v>#REF!</v>
      </c>
      <c r="W294" s="34"/>
      <c r="X294" s="1">
        <f>X291*$E$8</f>
        <v>120.35999999999999</v>
      </c>
      <c r="Y294" s="1">
        <f t="shared" ref="Y294:AA294" si="762">Y291*$E$8</f>
        <v>66.456000000000003</v>
      </c>
      <c r="Z294" s="1">
        <f t="shared" si="762"/>
        <v>60.12</v>
      </c>
      <c r="AA294" s="1">
        <f t="shared" si="762"/>
        <v>66.384</v>
      </c>
      <c r="AB294" s="34">
        <f>X294*VLOOKUP($B294,Types!$B$2:$D$13,3,FALSE)*Conv!$I$5*1000*365</f>
        <v>262.80499418812792</v>
      </c>
      <c r="AC294" s="34">
        <f>Y294*VLOOKUP($B294,Types!$B$2:$D$13,3,FALSE)*Conv!$I$5*1000*365</f>
        <v>145.10608751882879</v>
      </c>
      <c r="AD294" s="34">
        <f>Z294*VLOOKUP($B294,Types!$B$2:$D$13,3,FALSE)*Conv!$I$5*1000*365</f>
        <v>131.27148762537598</v>
      </c>
      <c r="AE294" s="34">
        <f>AA294*VLOOKUP($B294,Types!$B$2:$D$13,3,FALSE)*Conv!$I$5*1000*365</f>
        <v>144.9488761564032</v>
      </c>
      <c r="AF294" s="34">
        <f>AB294-AB291</f>
        <v>43.800832364687921</v>
      </c>
      <c r="AG294" s="34">
        <f t="shared" ref="AG294:AI294" si="763">AC294-AC291</f>
        <v>24.184347919804807</v>
      </c>
      <c r="AH294" s="34">
        <f t="shared" si="763"/>
        <v>21.878581270895978</v>
      </c>
      <c r="AI294" s="34">
        <f t="shared" si="763"/>
        <v>24.158146026067215</v>
      </c>
      <c r="AJ294" s="34"/>
      <c r="AK294" s="34"/>
      <c r="AL294" s="34"/>
    </row>
    <row r="295" spans="1:38">
      <c r="A295" s="1" t="str">
        <f t="shared" si="757"/>
        <v>Jet Fuel</v>
      </c>
      <c r="B295" s="1" t="str">
        <f>VLOOKUP($A295,Types!$A$2:$C$13,2,FALSE)</f>
        <v>JTF</v>
      </c>
      <c r="C295" s="1">
        <v>5</v>
      </c>
      <c r="D295" s="1">
        <v>5</v>
      </c>
      <c r="E295" s="1" t="str">
        <f t="shared" si="668"/>
        <v>IMPJTFP55</v>
      </c>
      <c r="F295" s="1" t="str">
        <f>CONCATENATE("Imported ",VLOOKUP($A295,Types!$A$2:$C$13,3,FALSE),", PADD ",D295,", Step ",RIGHT(C295,1))</f>
        <v>Imported Jet Fuel, PADD 5, Step 5</v>
      </c>
      <c r="G295" s="1" t="str">
        <f>CONCATENATE(VLOOKUP($A295,Types!$A$2:$C$13,2,FALSE),"P",D295)</f>
        <v>JTFP5</v>
      </c>
      <c r="H295" s="61">
        <f>H291*$C$9</f>
        <v>73.544900000000013</v>
      </c>
      <c r="I295" s="61">
        <f t="shared" ref="I295:K295" si="764">I291*$C$9</f>
        <v>59.688200000000016</v>
      </c>
      <c r="J295" s="61">
        <f t="shared" si="764"/>
        <v>47.137999999999998</v>
      </c>
      <c r="K295" s="61">
        <f t="shared" si="764"/>
        <v>50.348999999999997</v>
      </c>
      <c r="L295" s="62">
        <f>H295*Conv!$J$20/10^6/VLOOKUP($B295,Types!$B$2:$D$13,3,FALSE)/Conv!$I$5</f>
        <v>18.865025132426613</v>
      </c>
      <c r="M295" s="62">
        <f>I295*Conv!$J$20/10^6/VLOOKUP($B295,Types!$B$2:$D$13,3,FALSE)/Conv!$I$5</f>
        <v>15.310638713347988</v>
      </c>
      <c r="N295" s="62" t="e">
        <f>M295*#REF!</f>
        <v>#REF!</v>
      </c>
      <c r="O295" s="62" t="e">
        <f>N295*#REF!</f>
        <v>#REF!</v>
      </c>
      <c r="P295" s="62" t="e">
        <f>O295*#REF!</f>
        <v>#REF!</v>
      </c>
      <c r="Q295" s="62" t="e">
        <f>P295*#REF!</f>
        <v>#REF!</v>
      </c>
      <c r="R295" s="62" t="e">
        <f>Q295*#REF!</f>
        <v>#REF!</v>
      </c>
      <c r="S295" s="62" t="e">
        <f>R295*#REF!</f>
        <v>#REF!</v>
      </c>
      <c r="T295" s="62" t="e">
        <f>S295*#REF!</f>
        <v>#REF!</v>
      </c>
      <c r="U295" s="62" t="e">
        <f>T295*#REF!</f>
        <v>#REF!</v>
      </c>
      <c r="V295" s="62" t="e">
        <f>U295*#REF!</f>
        <v>#REF!</v>
      </c>
      <c r="W295" s="34"/>
      <c r="X295" s="1">
        <f>X291*$E$9</f>
        <v>200.6</v>
      </c>
      <c r="Y295" s="1">
        <f t="shared" ref="Y295:AA295" si="765">Y291*$E$9</f>
        <v>110.76</v>
      </c>
      <c r="Z295" s="1">
        <f t="shared" si="765"/>
        <v>100.2</v>
      </c>
      <c r="AA295" s="1">
        <f t="shared" si="765"/>
        <v>110.64</v>
      </c>
      <c r="AB295" s="34">
        <f>X295*VLOOKUP($B295,Types!$B$2:$D$13,3,FALSE)*Conv!$I$5*1000*365</f>
        <v>438.00832364688</v>
      </c>
      <c r="AC295" s="34">
        <f>Y295*VLOOKUP($B295,Types!$B$2:$D$13,3,FALSE)*Conv!$I$5*1000*365</f>
        <v>241.84347919804796</v>
      </c>
      <c r="AD295" s="34">
        <f>Z295*VLOOKUP($B295,Types!$B$2:$D$13,3,FALSE)*Conv!$I$5*1000*365</f>
        <v>218.78581270896001</v>
      </c>
      <c r="AE295" s="34">
        <f>AA295*VLOOKUP($B295,Types!$B$2:$D$13,3,FALSE)*Conv!$I$5*1000*365</f>
        <v>241.58146026067197</v>
      </c>
      <c r="AF295" s="34">
        <f>AB295-AB294</f>
        <v>175.20332945875208</v>
      </c>
      <c r="AG295" s="34">
        <f t="shared" ref="AG295:AI295" si="766">AC295-AC294</f>
        <v>96.737391679219172</v>
      </c>
      <c r="AH295" s="34">
        <f t="shared" si="766"/>
        <v>87.514325083584026</v>
      </c>
      <c r="AI295" s="34">
        <f t="shared" si="766"/>
        <v>96.632584104268773</v>
      </c>
      <c r="AJ295" s="34"/>
      <c r="AK295" s="34"/>
      <c r="AL295" s="34"/>
    </row>
    <row r="296" spans="1:38">
      <c r="A296" s="1" t="str">
        <f>'Agg prdcrv'!$A$13</f>
        <v>LPG</v>
      </c>
      <c r="B296" s="1" t="str">
        <f>VLOOKUP($A296,Types!$A$2:$C$13,2,FALSE)</f>
        <v>LPG</v>
      </c>
      <c r="C296" s="1">
        <v>3</v>
      </c>
      <c r="D296" s="1">
        <v>5</v>
      </c>
      <c r="E296" s="1" t="str">
        <f t="shared" si="668"/>
        <v>IMPLPGP53</v>
      </c>
      <c r="F296" s="1" t="str">
        <f>CONCATENATE("Imported ",VLOOKUP($A296,Types!$A$2:$C$13,3,FALSE),", PADD ",D296,", Step ",RIGHT(C296,1))</f>
        <v>Imported LPG, PADD 5, Step 3</v>
      </c>
      <c r="G296" s="1" t="str">
        <f>CONCATENATE(VLOOKUP($A296,Types!$A$2:$C$13,2,FALSE),"P",D296)</f>
        <v>LPGP5</v>
      </c>
      <c r="H296" s="61">
        <f>SUMIFS('Agg prdcrv NYC'!$P$6:$P$100,'Agg prdcrv NYC'!$A$6:$A$100,'Imp Refined NYC'!$A296,'Agg prdcrv NYC'!$B$6:$B$100,H$11)*K4</f>
        <v>31.691000000000003</v>
      </c>
      <c r="I296" s="61">
        <f>SUMIFS('Agg prdcrv NYC'!$P$6:$P$100,'Agg prdcrv NYC'!$A$6:$A$100,'Imp Refined NYC'!$A296,'Agg prdcrv NYC'!$B$6:$B$100,I$11)*K4</f>
        <v>31.35</v>
      </c>
      <c r="J296" s="61">
        <f t="array" ref="J296">SUMIFS('Agg prdcrv NYC'!$P$6:$P$100,'Agg prdcrv NYC'!$A$6:$A$100,'Imp Refined NYC'!$A296,'Agg prdcrv NYC'!$B$6:$B$100,J$11)</f>
        <v>28.5</v>
      </c>
      <c r="K296" s="61">
        <f t="array" ref="K296">SUMIFS('Agg prdcrv NYC'!$P$6:$P$100,'Agg prdcrv NYC'!$A$6:$A$100,'Imp Refined NYC'!$A296,'Agg prdcrv NYC'!$B$6:$B$100,K$11)</f>
        <v>28.5</v>
      </c>
      <c r="L296" s="62">
        <f>H296*Conv!$J$20/10^6/VLOOKUP($B296,Types!$B$2:$D$13,3,FALSE)/Conv!$I$5</f>
        <v>12.958059311858628</v>
      </c>
      <c r="M296" s="62">
        <f>I296*Conv!$J$20/10^6/VLOOKUP($B296,Types!$B$2:$D$13,3,FALSE)/Conv!$I$5</f>
        <v>12.818628614646682</v>
      </c>
      <c r="N296" s="62" t="e">
        <f>M296*#REF!</f>
        <v>#REF!</v>
      </c>
      <c r="O296" s="62" t="e">
        <f>N296*#REF!</f>
        <v>#REF!</v>
      </c>
      <c r="P296" s="62" t="e">
        <f>O296*#REF!</f>
        <v>#REF!</v>
      </c>
      <c r="Q296" s="62" t="e">
        <f>P296*#REF!</f>
        <v>#REF!</v>
      </c>
      <c r="R296" s="62" t="e">
        <f>Q296*#REF!</f>
        <v>#REF!</v>
      </c>
      <c r="S296" s="62" t="e">
        <f>R296*#REF!</f>
        <v>#REF!</v>
      </c>
      <c r="T296" s="62" t="e">
        <f>S296*#REF!</f>
        <v>#REF!</v>
      </c>
      <c r="U296" s="62" t="e">
        <f>T296*#REF!</f>
        <v>#REF!</v>
      </c>
      <c r="V296" s="62" t="e">
        <f>U296*#REF!</f>
        <v>#REF!</v>
      </c>
      <c r="W296" s="34"/>
      <c r="X296" s="1">
        <f t="array" ref="X296">SUMIFS('Agg prdcrv NYC'!$H$6:$H$100,'Agg prdcrv NYC'!$A$6:$A$100,'Imp Refined NYC'!$A296,'Agg prdcrv NYC'!$B$6:$B$100,X$11)</f>
        <v>7.33</v>
      </c>
      <c r="Y296" s="1">
        <f t="array" ref="Y296">SUMIFS('Agg prdcrv NYC'!$H$6:$H$100,'Agg prdcrv NYC'!$A$6:$A$100,'Imp Refined NYC'!$A296,'Agg prdcrv NYC'!$B$6:$B$100,Y$11)</f>
        <v>1.73</v>
      </c>
      <c r="Z296" s="1">
        <f t="array" ref="Z296">SUMIFS('Agg prdcrv NYC'!$H$6:$H$100,'Agg prdcrv NYC'!$A$6:$A$100,'Imp Refined NYC'!$A296,'Agg prdcrv NYC'!$B$6:$B$100,Z$11)</f>
        <v>1.91</v>
      </c>
      <c r="AA296" s="1">
        <f t="array" ref="AA296">SUMIFS('Agg prdcrv NYC'!$H$6:$H$100,'Agg prdcrv NYC'!$A$6:$A$100,'Imp Refined NYC'!$A296,'Agg prdcrv NYC'!$B$6:$B$100,AA$11)</f>
        <v>2.11</v>
      </c>
      <c r="AB296" s="34">
        <f>X296*VLOOKUP($B296,Types!$B$2:$D$13,3,FALSE)*Conv!$I$5*1000*365</f>
        <v>10.040520238986399</v>
      </c>
      <c r="AC296" s="34">
        <f>Y296*VLOOKUP($B296,Types!$B$2:$D$13,3,FALSE)*Conv!$I$5*1000*365</f>
        <v>2.3697271505383997</v>
      </c>
      <c r="AD296" s="34">
        <f>Z296*VLOOKUP($B296,Types!$B$2:$D$13,3,FALSE)*Conv!$I$5*1000*365</f>
        <v>2.6162883569527997</v>
      </c>
      <c r="AE296" s="34">
        <f>AA296*VLOOKUP($B296,Types!$B$2:$D$13,3,FALSE)*Conv!$I$5*1000*365</f>
        <v>2.8902452529687999</v>
      </c>
      <c r="AF296" s="34">
        <f>AB296-AB298</f>
        <v>1.004052023898641</v>
      </c>
      <c r="AG296" s="34">
        <f t="shared" ref="AG296:AI296" si="767">AC296-AC298</f>
        <v>0.23697271505383988</v>
      </c>
      <c r="AH296" s="34">
        <f t="shared" si="767"/>
        <v>0.2616288356952805</v>
      </c>
      <c r="AI296" s="34">
        <f t="shared" si="767"/>
        <v>0.28902452529687972</v>
      </c>
      <c r="AJ296" s="34"/>
      <c r="AK296" s="34"/>
      <c r="AL296" s="34"/>
    </row>
    <row r="297" spans="1:38">
      <c r="A297" s="1" t="str">
        <f>A296</f>
        <v>LPG</v>
      </c>
      <c r="B297" s="1" t="str">
        <f>VLOOKUP($A297,Types!$A$2:$C$13,2,FALSE)</f>
        <v>LPG</v>
      </c>
      <c r="C297" s="1">
        <v>1</v>
      </c>
      <c r="D297" s="1">
        <v>5</v>
      </c>
      <c r="E297" s="1" t="str">
        <f t="shared" si="668"/>
        <v>IMPLPGP51</v>
      </c>
      <c r="F297" s="1" t="str">
        <f>CONCATENATE("Imported ",VLOOKUP($A297,Types!$A$2:$C$13,3,FALSE),", PADD ",D297,", Step ",RIGHT(C297,1))</f>
        <v>Imported LPG, PADD 5, Step 1</v>
      </c>
      <c r="G297" s="1" t="str">
        <f>CONCATENATE(VLOOKUP($A297,Types!$A$2:$C$13,2,FALSE),"P",D297)</f>
        <v>LPGP5</v>
      </c>
      <c r="H297" s="61">
        <f>H296*$C$5</f>
        <v>30.106450000000002</v>
      </c>
      <c r="I297" s="61">
        <f t="shared" ref="I297:K297" si="768">I296*$C$5</f>
        <v>29.782499999999999</v>
      </c>
      <c r="J297" s="61">
        <f t="shared" si="768"/>
        <v>27.074999999999999</v>
      </c>
      <c r="K297" s="61">
        <f t="shared" si="768"/>
        <v>27.074999999999999</v>
      </c>
      <c r="L297" s="62">
        <f>H297*Conv!$J$20/10^6/VLOOKUP($B297,Types!$B$2:$D$13,3,FALSE)/Conv!$I$5</f>
        <v>12.310156346265698</v>
      </c>
      <c r="M297" s="62">
        <f>I297*Conv!$J$20/10^6/VLOOKUP($B297,Types!$B$2:$D$13,3,FALSE)/Conv!$I$5</f>
        <v>12.177697183914349</v>
      </c>
      <c r="N297" s="62" t="e">
        <f>M297*#REF!</f>
        <v>#REF!</v>
      </c>
      <c r="O297" s="62" t="e">
        <f>N297*#REF!</f>
        <v>#REF!</v>
      </c>
      <c r="P297" s="62" t="e">
        <f>O297*#REF!</f>
        <v>#REF!</v>
      </c>
      <c r="Q297" s="62" t="e">
        <f>P297*#REF!</f>
        <v>#REF!</v>
      </c>
      <c r="R297" s="62" t="e">
        <f>Q297*#REF!</f>
        <v>#REF!</v>
      </c>
      <c r="S297" s="62" t="e">
        <f>R297*#REF!</f>
        <v>#REF!</v>
      </c>
      <c r="T297" s="62" t="e">
        <f>S297*#REF!</f>
        <v>#REF!</v>
      </c>
      <c r="U297" s="62" t="e">
        <f>T297*#REF!</f>
        <v>#REF!</v>
      </c>
      <c r="V297" s="62" t="e">
        <f>U297*#REF!</f>
        <v>#REF!</v>
      </c>
      <c r="W297" s="34"/>
      <c r="X297" s="1">
        <f>X296*$E$5</f>
        <v>5.8640000000000008</v>
      </c>
      <c r="Y297" s="1">
        <f t="shared" ref="Y297:AA297" si="769">Y296*$E$5</f>
        <v>1.3840000000000001</v>
      </c>
      <c r="Z297" s="1">
        <f t="shared" si="769"/>
        <v>1.528</v>
      </c>
      <c r="AA297" s="1">
        <f t="shared" si="769"/>
        <v>1.6879999999999999</v>
      </c>
      <c r="AB297" s="34">
        <f>X297*VLOOKUP($B297,Types!$B$2:$D$13,3,FALSE)*Conv!$I$5*1000*365</f>
        <v>8.032416191189121</v>
      </c>
      <c r="AC297" s="34">
        <f>Y297*VLOOKUP($B297,Types!$B$2:$D$13,3,FALSE)*Conv!$I$5*1000*365</f>
        <v>1.8957817204307199</v>
      </c>
      <c r="AD297" s="34">
        <f>Z297*VLOOKUP($B297,Types!$B$2:$D$13,3,FALSE)*Conv!$I$5*1000*365</f>
        <v>2.0930306855622396</v>
      </c>
      <c r="AE297" s="34">
        <f>AA297*VLOOKUP($B297,Types!$B$2:$D$13,3,FALSE)*Conv!$I$5*1000*365</f>
        <v>2.3121962023750395</v>
      </c>
      <c r="AF297" s="34">
        <f>AB297</f>
        <v>8.032416191189121</v>
      </c>
      <c r="AG297" s="34">
        <f t="shared" ref="AG297:AI297" si="770">AC297</f>
        <v>1.8957817204307199</v>
      </c>
      <c r="AH297" s="34">
        <f t="shared" si="770"/>
        <v>2.0930306855622396</v>
      </c>
      <c r="AI297" s="34">
        <f t="shared" si="770"/>
        <v>2.3121962023750395</v>
      </c>
      <c r="AJ297" s="34"/>
      <c r="AK297" s="34"/>
      <c r="AL297" s="34"/>
    </row>
    <row r="298" spans="1:38">
      <c r="A298" s="1" t="str">
        <f t="shared" ref="A298:A300" si="771">A297</f>
        <v>LPG</v>
      </c>
      <c r="B298" s="1" t="str">
        <f>VLOOKUP($A298,Types!$A$2:$C$13,2,FALSE)</f>
        <v>LPG</v>
      </c>
      <c r="C298" s="1">
        <v>2</v>
      </c>
      <c r="D298" s="1">
        <v>5</v>
      </c>
      <c r="E298" s="1" t="str">
        <f t="shared" si="668"/>
        <v>IMPLPGP52</v>
      </c>
      <c r="F298" s="1" t="str">
        <f>CONCATENATE("Imported ",VLOOKUP($A298,Types!$A$2:$C$13,3,FALSE),", PADD ",D298,", Step ",RIGHT(C298,1))</f>
        <v>Imported LPG, PADD 5, Step 2</v>
      </c>
      <c r="G298" s="1" t="str">
        <f>CONCATENATE(VLOOKUP($A298,Types!$A$2:$C$13,2,FALSE),"P",D298)</f>
        <v>LPGP5</v>
      </c>
      <c r="H298" s="61">
        <f>H296*$C$6</f>
        <v>31.057180000000002</v>
      </c>
      <c r="I298" s="61">
        <f t="shared" ref="I298:K298" si="772">I296*$C$6</f>
        <v>30.723000000000003</v>
      </c>
      <c r="J298" s="61">
        <f t="shared" si="772"/>
        <v>27.93</v>
      </c>
      <c r="K298" s="61">
        <f t="shared" si="772"/>
        <v>27.93</v>
      </c>
      <c r="L298" s="62">
        <f>H298*Conv!$J$20/10^6/VLOOKUP($B298,Types!$B$2:$D$13,3,FALSE)/Conv!$I$5</f>
        <v>12.698898125621454</v>
      </c>
      <c r="M298" s="62">
        <f>I298*Conv!$J$20/10^6/VLOOKUP($B298,Types!$B$2:$D$13,3,FALSE)/Conv!$I$5</f>
        <v>12.56225604235375</v>
      </c>
      <c r="N298" s="62" t="e">
        <f>M298*#REF!</f>
        <v>#REF!</v>
      </c>
      <c r="O298" s="62" t="e">
        <f>N298*#REF!</f>
        <v>#REF!</v>
      </c>
      <c r="P298" s="62" t="e">
        <f>O298*#REF!</f>
        <v>#REF!</v>
      </c>
      <c r="Q298" s="62" t="e">
        <f>P298*#REF!</f>
        <v>#REF!</v>
      </c>
      <c r="R298" s="62" t="e">
        <f>Q298*#REF!</f>
        <v>#REF!</v>
      </c>
      <c r="S298" s="62" t="e">
        <f>R298*#REF!</f>
        <v>#REF!</v>
      </c>
      <c r="T298" s="62" t="e">
        <f>S298*#REF!</f>
        <v>#REF!</v>
      </c>
      <c r="U298" s="62" t="e">
        <f>T298*#REF!</f>
        <v>#REF!</v>
      </c>
      <c r="V298" s="62" t="e">
        <f>U298*#REF!</f>
        <v>#REF!</v>
      </c>
      <c r="W298" s="34"/>
      <c r="X298" s="1">
        <f>X296*$E$6</f>
        <v>6.5970000000000004</v>
      </c>
      <c r="Y298" s="1">
        <f t="shared" ref="Y298:AA298" si="773">Y296*$E$6</f>
        <v>1.5569999999999999</v>
      </c>
      <c r="Z298" s="1">
        <f t="shared" si="773"/>
        <v>1.7189999999999999</v>
      </c>
      <c r="AA298" s="1">
        <f t="shared" si="773"/>
        <v>1.899</v>
      </c>
      <c r="AB298" s="34">
        <f>X298*VLOOKUP($B298,Types!$B$2:$D$13,3,FALSE)*Conv!$I$5*1000*365</f>
        <v>9.0364682150877584</v>
      </c>
      <c r="AC298" s="34">
        <f>Y298*VLOOKUP($B298,Types!$B$2:$D$13,3,FALSE)*Conv!$I$5*1000*365</f>
        <v>2.1327544354845598</v>
      </c>
      <c r="AD298" s="34">
        <f>Z298*VLOOKUP($B298,Types!$B$2:$D$13,3,FALSE)*Conv!$I$5*1000*365</f>
        <v>2.3546595212575192</v>
      </c>
      <c r="AE298" s="34">
        <f>AA298*VLOOKUP($B298,Types!$B$2:$D$13,3,FALSE)*Conv!$I$5*1000*365</f>
        <v>2.6012207276719201</v>
      </c>
      <c r="AF298" s="34">
        <f>AB298-AF297</f>
        <v>1.0040520238986375</v>
      </c>
      <c r="AG298" s="34">
        <f t="shared" ref="AG298:AI298" si="774">AC298-AG297</f>
        <v>0.23697271505383988</v>
      </c>
      <c r="AH298" s="34">
        <f t="shared" si="774"/>
        <v>0.26162883569527962</v>
      </c>
      <c r="AI298" s="34">
        <f t="shared" si="774"/>
        <v>0.28902452529688061</v>
      </c>
      <c r="AJ298" s="34"/>
      <c r="AK298" s="34"/>
      <c r="AL298" s="34"/>
    </row>
    <row r="299" spans="1:38">
      <c r="A299" s="1" t="str">
        <f t="shared" si="771"/>
        <v>LPG</v>
      </c>
      <c r="B299" s="1" t="str">
        <f>VLOOKUP($A299,Types!$A$2:$C$13,2,FALSE)</f>
        <v>LPG</v>
      </c>
      <c r="C299" s="1">
        <v>4</v>
      </c>
      <c r="D299" s="1">
        <v>5</v>
      </c>
      <c r="E299" s="1" t="str">
        <f t="shared" si="668"/>
        <v>IMPLPGP54</v>
      </c>
      <c r="F299" s="1" t="str">
        <f>CONCATENATE("Imported ",VLOOKUP($A299,Types!$A$2:$C$13,3,FALSE),", PADD ",D299,", Step ",RIGHT(C299,1))</f>
        <v>Imported LPG, PADD 5, Step 4</v>
      </c>
      <c r="G299" s="1" t="str">
        <f>CONCATENATE(VLOOKUP($A299,Types!$A$2:$C$13,2,FALSE),"P",D299)</f>
        <v>LPGP5</v>
      </c>
      <c r="H299" s="61">
        <f>H296*$C$8</f>
        <v>34.543190000000003</v>
      </c>
      <c r="I299" s="61">
        <f t="shared" ref="I299:K299" si="775">I296*$C$8</f>
        <v>34.171500000000002</v>
      </c>
      <c r="J299" s="61">
        <f t="shared" si="775"/>
        <v>31.065000000000001</v>
      </c>
      <c r="K299" s="61">
        <f t="shared" si="775"/>
        <v>31.065000000000001</v>
      </c>
      <c r="L299" s="62">
        <f>H299*Conv!$J$20/10^6/VLOOKUP($B299,Types!$B$2:$D$13,3,FALSE)/Conv!$I$5</f>
        <v>14.124284649925904</v>
      </c>
      <c r="M299" s="62">
        <f>I299*Conv!$J$20/10^6/VLOOKUP($B299,Types!$B$2:$D$13,3,FALSE)/Conv!$I$5</f>
        <v>13.972305189964885</v>
      </c>
      <c r="N299" s="62" t="e">
        <f>M299*#REF!</f>
        <v>#REF!</v>
      </c>
      <c r="O299" s="62" t="e">
        <f>N299*#REF!</f>
        <v>#REF!</v>
      </c>
      <c r="P299" s="62" t="e">
        <f>O299*#REF!</f>
        <v>#REF!</v>
      </c>
      <c r="Q299" s="62" t="e">
        <f>P299*#REF!</f>
        <v>#REF!</v>
      </c>
      <c r="R299" s="62" t="e">
        <f>Q299*#REF!</f>
        <v>#REF!</v>
      </c>
      <c r="S299" s="62" t="e">
        <f>R299*#REF!</f>
        <v>#REF!</v>
      </c>
      <c r="T299" s="62" t="e">
        <f>S299*#REF!</f>
        <v>#REF!</v>
      </c>
      <c r="U299" s="62" t="e">
        <f>T299*#REF!</f>
        <v>#REF!</v>
      </c>
      <c r="V299" s="62" t="e">
        <f>U299*#REF!</f>
        <v>#REF!</v>
      </c>
      <c r="W299" s="34"/>
      <c r="X299" s="1">
        <f>X296*$E$8</f>
        <v>8.7959999999999994</v>
      </c>
      <c r="Y299" s="1">
        <f t="shared" ref="Y299:AA299" si="776">Y296*$E$8</f>
        <v>2.0760000000000001</v>
      </c>
      <c r="Z299" s="1">
        <f t="shared" si="776"/>
        <v>2.2919999999999998</v>
      </c>
      <c r="AA299" s="1">
        <f t="shared" si="776"/>
        <v>2.5319999999999996</v>
      </c>
      <c r="AB299" s="34">
        <f>X299*VLOOKUP($B299,Types!$B$2:$D$13,3,FALSE)*Conv!$I$5*1000*365</f>
        <v>12.048624286783678</v>
      </c>
      <c r="AC299" s="34">
        <f>Y299*VLOOKUP($B299,Types!$B$2:$D$13,3,FALSE)*Conv!$I$5*1000*365</f>
        <v>2.8436725806460799</v>
      </c>
      <c r="AD299" s="34">
        <f>Z299*VLOOKUP($B299,Types!$B$2:$D$13,3,FALSE)*Conv!$I$5*1000*365</f>
        <v>3.1395460283433589</v>
      </c>
      <c r="AE299" s="34">
        <f>AA299*VLOOKUP($B299,Types!$B$2:$D$13,3,FALSE)*Conv!$I$5*1000*365</f>
        <v>3.4682943035625589</v>
      </c>
      <c r="AF299" s="34">
        <f>AB299-AB296</f>
        <v>2.0081040477972785</v>
      </c>
      <c r="AG299" s="34">
        <f t="shared" ref="AG299:AI299" si="777">AC299-AC296</f>
        <v>0.4739454301076802</v>
      </c>
      <c r="AH299" s="34">
        <f t="shared" si="777"/>
        <v>0.52325767139055923</v>
      </c>
      <c r="AI299" s="34">
        <f t="shared" si="777"/>
        <v>0.578049050593759</v>
      </c>
      <c r="AJ299" s="34"/>
      <c r="AK299" s="34"/>
      <c r="AL299" s="34"/>
    </row>
    <row r="300" spans="1:38">
      <c r="A300" s="1" t="str">
        <f t="shared" si="771"/>
        <v>LPG</v>
      </c>
      <c r="B300" s="1" t="str">
        <f>VLOOKUP($A300,Types!$A$2:$C$13,2,FALSE)</f>
        <v>LPG</v>
      </c>
      <c r="C300" s="1">
        <v>5</v>
      </c>
      <c r="D300" s="1">
        <v>5</v>
      </c>
      <c r="E300" s="1" t="str">
        <f t="shared" si="668"/>
        <v>IMPLPGP55</v>
      </c>
      <c r="F300" s="1" t="str">
        <f>CONCATENATE("Imported ",VLOOKUP($A300,Types!$A$2:$C$13,3,FALSE),", PADD ",D300,", Step ",RIGHT(C300,1))</f>
        <v>Imported LPG, PADD 5, Step 5</v>
      </c>
      <c r="G300" s="1" t="str">
        <f>CONCATENATE(VLOOKUP($A300,Types!$A$2:$C$13,2,FALSE),"P",D300)</f>
        <v>LPGP5</v>
      </c>
      <c r="H300" s="61">
        <f>H296*$C$9</f>
        <v>41.198300000000003</v>
      </c>
      <c r="I300" s="61">
        <f t="shared" ref="I300:K300" si="778">I296*$C$9</f>
        <v>40.755000000000003</v>
      </c>
      <c r="J300" s="61">
        <f t="shared" si="778"/>
        <v>37.050000000000004</v>
      </c>
      <c r="K300" s="61">
        <f t="shared" si="778"/>
        <v>37.050000000000004</v>
      </c>
      <c r="L300" s="62">
        <f>H300*Conv!$J$20/10^6/VLOOKUP($B300,Types!$B$2:$D$13,3,FALSE)/Conv!$I$5</f>
        <v>16.845477105416219</v>
      </c>
      <c r="M300" s="62">
        <f>I300*Conv!$J$20/10^6/VLOOKUP($B300,Types!$B$2:$D$13,3,FALSE)/Conv!$I$5</f>
        <v>16.664217199040689</v>
      </c>
      <c r="N300" s="62" t="e">
        <f>M300*#REF!</f>
        <v>#REF!</v>
      </c>
      <c r="O300" s="62" t="e">
        <f>N300*#REF!</f>
        <v>#REF!</v>
      </c>
      <c r="P300" s="62" t="e">
        <f>O300*#REF!</f>
        <v>#REF!</v>
      </c>
      <c r="Q300" s="62" t="e">
        <f>P300*#REF!</f>
        <v>#REF!</v>
      </c>
      <c r="R300" s="62" t="e">
        <f>Q300*#REF!</f>
        <v>#REF!</v>
      </c>
      <c r="S300" s="62" t="e">
        <f>R300*#REF!</f>
        <v>#REF!</v>
      </c>
      <c r="T300" s="62" t="e">
        <f>S300*#REF!</f>
        <v>#REF!</v>
      </c>
      <c r="U300" s="62" t="e">
        <f>T300*#REF!</f>
        <v>#REF!</v>
      </c>
      <c r="V300" s="62" t="e">
        <f>U300*#REF!</f>
        <v>#REF!</v>
      </c>
      <c r="W300" s="34"/>
      <c r="X300" s="1">
        <f>X296*$E$9</f>
        <v>14.66</v>
      </c>
      <c r="Y300" s="1">
        <f t="shared" ref="Y300:AA300" si="779">Y296*$E$9</f>
        <v>3.46</v>
      </c>
      <c r="Z300" s="1">
        <f t="shared" si="779"/>
        <v>3.82</v>
      </c>
      <c r="AA300" s="1">
        <f t="shared" si="779"/>
        <v>4.22</v>
      </c>
      <c r="AB300" s="34">
        <f>X300*VLOOKUP($B300,Types!$B$2:$D$13,3,FALSE)*Conv!$I$5*1000*365</f>
        <v>20.081040477972799</v>
      </c>
      <c r="AC300" s="34">
        <f>Y300*VLOOKUP($B300,Types!$B$2:$D$13,3,FALSE)*Conv!$I$5*1000*365</f>
        <v>4.7394543010767993</v>
      </c>
      <c r="AD300" s="34">
        <f>Z300*VLOOKUP($B300,Types!$B$2:$D$13,3,FALSE)*Conv!$I$5*1000*365</f>
        <v>5.2325767139055994</v>
      </c>
      <c r="AE300" s="34">
        <f>AA300*VLOOKUP($B300,Types!$B$2:$D$13,3,FALSE)*Conv!$I$5*1000*365</f>
        <v>5.7804905059375997</v>
      </c>
      <c r="AF300" s="34">
        <f>AB300-AB299</f>
        <v>8.032416191189121</v>
      </c>
      <c r="AG300" s="34">
        <f t="shared" ref="AG300:AI300" si="780">AC300-AC299</f>
        <v>1.8957817204307195</v>
      </c>
      <c r="AH300" s="34">
        <f t="shared" si="780"/>
        <v>2.0930306855622405</v>
      </c>
      <c r="AI300" s="34">
        <f t="shared" si="780"/>
        <v>2.3121962023750409</v>
      </c>
      <c r="AJ300" s="34"/>
      <c r="AK300" s="34"/>
      <c r="AL300" s="34"/>
    </row>
    <row r="301" spans="1:38">
      <c r="A301" s="1" t="str">
        <f>'Agg prdcrv'!$A$14</f>
        <v>Petchem. Feedstocks</v>
      </c>
      <c r="B301" s="1" t="str">
        <f>VLOOKUP($A301,Types!$A$2:$C$13,2,FALSE)</f>
        <v>PFS</v>
      </c>
      <c r="C301" s="1">
        <v>3</v>
      </c>
      <c r="D301" s="1">
        <v>5</v>
      </c>
      <c r="E301" s="1" t="str">
        <f t="shared" si="668"/>
        <v>IMPPFSP53</v>
      </c>
      <c r="F301" s="1" t="str">
        <f>CONCATENATE("Imported ",VLOOKUP($A301,Types!$A$2:$C$13,3,FALSE),", PADD ",D301,", Step ",RIGHT(C301,1))</f>
        <v>Imported Petrochemical Feedstocks, PADD 5, Step 3</v>
      </c>
      <c r="G301" s="1" t="str">
        <f>CONCATENATE(VLOOKUP($A301,Types!$A$2:$C$13,2,FALSE),"P",D301)</f>
        <v>PFSP5</v>
      </c>
      <c r="H301" s="61">
        <f>SUMIFS('Agg prdcrv NYC'!$P$6:$P$100,'Agg prdcrv NYC'!$A$6:$A$100,'Imp Refined NYC'!$A301,'Agg prdcrv NYC'!$B$6:$B$100,H$11)*K4</f>
        <v>31.691000000000003</v>
      </c>
      <c r="I301" s="61">
        <f>SUMIFS('Agg prdcrv NYC'!$P$6:$P$100,'Agg prdcrv NYC'!$A$6:$A$100,'Imp Refined NYC'!$A301,'Agg prdcrv NYC'!$B$6:$B$100,I$11)*K4</f>
        <v>31.35</v>
      </c>
      <c r="J301" s="61">
        <f t="array" ref="J301">SUMIFS('Agg prdcrv NYC'!$P$6:$P$100,'Agg prdcrv NYC'!$A$6:$A$100,'Imp Refined NYC'!$A301,'Agg prdcrv NYC'!$B$6:$B$100,J$11)</f>
        <v>21.68</v>
      </c>
      <c r="K301" s="61">
        <f t="array" ref="K301">SUMIFS('Agg prdcrv NYC'!$P$6:$P$100,'Agg prdcrv NYC'!$A$6:$A$100,'Imp Refined NYC'!$A301,'Agg prdcrv NYC'!$B$6:$B$100,K$11)</f>
        <v>11.24</v>
      </c>
      <c r="L301" s="62">
        <f>H301*Conv!$J$20/10^6/VLOOKUP($B301,Types!$B$2:$D$13,3,FALSE)/Conv!$I$5</f>
        <v>8.0990716872748436</v>
      </c>
      <c r="M301" s="62">
        <f>I301*Conv!$J$20/10^6/VLOOKUP($B301,Types!$B$2:$D$13,3,FALSE)/Conv!$I$5</f>
        <v>8.0119244389910822</v>
      </c>
      <c r="N301" s="62" t="e">
        <f>M301*#REF!</f>
        <v>#REF!</v>
      </c>
      <c r="O301" s="62" t="e">
        <f>N301*#REF!</f>
        <v>#REF!</v>
      </c>
      <c r="P301" s="62" t="e">
        <f>O301*#REF!</f>
        <v>#REF!</v>
      </c>
      <c r="Q301" s="62" t="e">
        <f>P301*#REF!</f>
        <v>#REF!</v>
      </c>
      <c r="R301" s="62" t="e">
        <f>Q301*#REF!</f>
        <v>#REF!</v>
      </c>
      <c r="S301" s="62" t="e">
        <f>R301*#REF!</f>
        <v>#REF!</v>
      </c>
      <c r="T301" s="62" t="e">
        <f>S301*#REF!</f>
        <v>#REF!</v>
      </c>
      <c r="U301" s="62" t="e">
        <f>T301*#REF!</f>
        <v>#REF!</v>
      </c>
      <c r="V301" s="62" t="e">
        <f>U301*#REF!</f>
        <v>#REF!</v>
      </c>
      <c r="W301" s="34"/>
      <c r="X301" s="1">
        <f t="array" ref="X301">SUMIFS('Agg prdcrv NYC'!$H$6:$H$100,'Agg prdcrv NYC'!$A$6:$A$100,'Imp Refined NYC'!$A301,'Agg prdcrv NYC'!$B$6:$B$100,X$11)</f>
        <v>0</v>
      </c>
      <c r="Y301" s="1">
        <f t="array" ref="Y301">SUMIFS('Agg prdcrv NYC'!$H$6:$H$100,'Agg prdcrv NYC'!$A$6:$A$100,'Imp Refined NYC'!$A301,'Agg prdcrv NYC'!$B$6:$B$100,Y$11)</f>
        <v>2.89</v>
      </c>
      <c r="Z301" s="1">
        <f t="array" ref="Z301">SUMIFS('Agg prdcrv NYC'!$H$6:$H$100,'Agg prdcrv NYC'!$A$6:$A$100,'Imp Refined NYC'!$A301,'Agg prdcrv NYC'!$B$6:$B$100,Z$11)</f>
        <v>3.19</v>
      </c>
      <c r="AA301" s="1">
        <f t="array" ref="AA301">SUMIFS('Agg prdcrv NYC'!$H$6:$H$100,'Agg prdcrv NYC'!$A$6:$A$100,'Imp Refined NYC'!$A301,'Agg prdcrv NYC'!$B$6:$B$100,AA$11)</f>
        <v>3.52</v>
      </c>
      <c r="AB301" s="34">
        <f>X301*VLOOKUP($B301,Types!$B$2:$D$13,3,FALSE)*Conv!$I$5*1000*365</f>
        <v>0</v>
      </c>
      <c r="AC301" s="34">
        <f>Y301*VLOOKUP($B301,Types!$B$2:$D$13,3,FALSE)*Conv!$I$5*1000*365</f>
        <v>6.3336608507255994</v>
      </c>
      <c r="AD301" s="34">
        <f>Z301*VLOOKUP($B301,Types!$B$2:$D$13,3,FALSE)*Conv!$I$5*1000*365</f>
        <v>6.9911342954375995</v>
      </c>
      <c r="AE301" s="34">
        <f>AA301*VLOOKUP($B301,Types!$B$2:$D$13,3,FALSE)*Conv!$I$5*1000*365</f>
        <v>7.7143550846207987</v>
      </c>
      <c r="AF301" s="34">
        <f>AB301-AB303</f>
        <v>0</v>
      </c>
      <c r="AG301" s="34">
        <f t="shared" ref="AG301:AI301" si="781">AC301-AC303</f>
        <v>0.63336608507255931</v>
      </c>
      <c r="AH301" s="34">
        <f t="shared" si="781"/>
        <v>0.6991134295437611</v>
      </c>
      <c r="AI301" s="34">
        <f t="shared" si="781"/>
        <v>0.77143550846207809</v>
      </c>
      <c r="AJ301" s="34"/>
      <c r="AK301" s="34"/>
      <c r="AL301" s="34"/>
    </row>
    <row r="302" spans="1:38">
      <c r="A302" s="1" t="str">
        <f>A301</f>
        <v>Petchem. Feedstocks</v>
      </c>
      <c r="B302" s="1" t="str">
        <f>VLOOKUP($A302,Types!$A$2:$C$13,2,FALSE)</f>
        <v>PFS</v>
      </c>
      <c r="C302" s="1">
        <v>1</v>
      </c>
      <c r="D302" s="1">
        <v>5</v>
      </c>
      <c r="E302" s="1" t="str">
        <f t="shared" si="668"/>
        <v>IMPPFSP51</v>
      </c>
      <c r="F302" s="1" t="str">
        <f>CONCATENATE("Imported ",VLOOKUP($A302,Types!$A$2:$C$13,3,FALSE),", PADD ",D302,", Step ",RIGHT(C302,1))</f>
        <v>Imported Petrochemical Feedstocks, PADD 5, Step 1</v>
      </c>
      <c r="G302" s="1" t="str">
        <f>CONCATENATE(VLOOKUP($A302,Types!$A$2:$C$13,2,FALSE),"P",D302)</f>
        <v>PFSP5</v>
      </c>
      <c r="H302" s="61">
        <f>H301*$C$5</f>
        <v>30.106450000000002</v>
      </c>
      <c r="I302" s="61">
        <f t="shared" ref="I302:K302" si="782">I301*$C$5</f>
        <v>29.782499999999999</v>
      </c>
      <c r="J302" s="61">
        <f t="shared" si="782"/>
        <v>20.596</v>
      </c>
      <c r="K302" s="61">
        <f t="shared" si="782"/>
        <v>10.677999999999999</v>
      </c>
      <c r="L302" s="62">
        <f>H302*Conv!$J$20/10^6/VLOOKUP($B302,Types!$B$2:$D$13,3,FALSE)/Conv!$I$5</f>
        <v>7.6941181029111041</v>
      </c>
      <c r="M302" s="62">
        <f>I302*Conv!$J$20/10^6/VLOOKUP($B302,Types!$B$2:$D$13,3,FALSE)/Conv!$I$5</f>
        <v>7.6113282170415273</v>
      </c>
      <c r="N302" s="62" t="e">
        <f>M302*#REF!</f>
        <v>#REF!</v>
      </c>
      <c r="O302" s="62" t="e">
        <f>N302*#REF!</f>
        <v>#REF!</v>
      </c>
      <c r="P302" s="62" t="e">
        <f>O302*#REF!</f>
        <v>#REF!</v>
      </c>
      <c r="Q302" s="62" t="e">
        <f>P302*#REF!</f>
        <v>#REF!</v>
      </c>
      <c r="R302" s="62" t="e">
        <f>Q302*#REF!</f>
        <v>#REF!</v>
      </c>
      <c r="S302" s="62" t="e">
        <f>R302*#REF!</f>
        <v>#REF!</v>
      </c>
      <c r="T302" s="62" t="e">
        <f>S302*#REF!</f>
        <v>#REF!</v>
      </c>
      <c r="U302" s="62" t="e">
        <f>T302*#REF!</f>
        <v>#REF!</v>
      </c>
      <c r="V302" s="62" t="e">
        <f>U302*#REF!</f>
        <v>#REF!</v>
      </c>
      <c r="W302" s="34"/>
      <c r="X302" s="1">
        <f>X301*$E$5</f>
        <v>0</v>
      </c>
      <c r="Y302" s="1">
        <f t="shared" ref="Y302:AA302" si="783">Y301*$E$5</f>
        <v>2.3120000000000003</v>
      </c>
      <c r="Z302" s="1">
        <f t="shared" si="783"/>
        <v>2.552</v>
      </c>
      <c r="AA302" s="1">
        <f t="shared" si="783"/>
        <v>2.8160000000000003</v>
      </c>
      <c r="AB302" s="34">
        <f>X302*VLOOKUP($B302,Types!$B$2:$D$13,3,FALSE)*Conv!$I$5*1000*365</f>
        <v>0</v>
      </c>
      <c r="AC302" s="34">
        <f>Y302*VLOOKUP($B302,Types!$B$2:$D$13,3,FALSE)*Conv!$I$5*1000*365</f>
        <v>5.0669286805804798</v>
      </c>
      <c r="AD302" s="34">
        <f>Z302*VLOOKUP($B302,Types!$B$2:$D$13,3,FALSE)*Conv!$I$5*1000*365</f>
        <v>5.5929074363500799</v>
      </c>
      <c r="AE302" s="34">
        <f>AA302*VLOOKUP($B302,Types!$B$2:$D$13,3,FALSE)*Conv!$I$5*1000*365</f>
        <v>6.1714840676966389</v>
      </c>
      <c r="AF302" s="34">
        <f>AB302</f>
        <v>0</v>
      </c>
      <c r="AG302" s="34">
        <f t="shared" ref="AG302:AI302" si="784">AC302</f>
        <v>5.0669286805804798</v>
      </c>
      <c r="AH302" s="34">
        <f t="shared" si="784"/>
        <v>5.5929074363500799</v>
      </c>
      <c r="AI302" s="34">
        <f t="shared" si="784"/>
        <v>6.1714840676966389</v>
      </c>
      <c r="AJ302" s="34"/>
      <c r="AK302" s="34"/>
      <c r="AL302" s="34"/>
    </row>
    <row r="303" spans="1:38">
      <c r="A303" s="1" t="str">
        <f t="shared" ref="A303:A304" si="785">A302</f>
        <v>Petchem. Feedstocks</v>
      </c>
      <c r="B303" s="1" t="str">
        <f>VLOOKUP($A303,Types!$A$2:$C$13,2,FALSE)</f>
        <v>PFS</v>
      </c>
      <c r="C303" s="1">
        <v>2</v>
      </c>
      <c r="D303" s="1">
        <v>5</v>
      </c>
      <c r="E303" s="1" t="str">
        <f t="shared" si="668"/>
        <v>IMPPFSP52</v>
      </c>
      <c r="F303" s="1" t="str">
        <f>CONCATENATE("Imported ",VLOOKUP($A303,Types!$A$2:$C$13,3,FALSE),", PADD ",D303,", Step ",RIGHT(C303,1))</f>
        <v>Imported Petrochemical Feedstocks, PADD 5, Step 2</v>
      </c>
      <c r="G303" s="1" t="str">
        <f>CONCATENATE(VLOOKUP($A303,Types!$A$2:$C$13,2,FALSE),"P",D303)</f>
        <v>PFSP5</v>
      </c>
      <c r="H303" s="61">
        <f>H301*$C$6</f>
        <v>31.057180000000002</v>
      </c>
      <c r="I303" s="61">
        <f t="shared" ref="I303:K303" si="786">I301*$C$6</f>
        <v>30.723000000000003</v>
      </c>
      <c r="J303" s="61">
        <f t="shared" si="786"/>
        <v>21.246399999999998</v>
      </c>
      <c r="K303" s="61">
        <f t="shared" si="786"/>
        <v>11.0152</v>
      </c>
      <c r="L303" s="62">
        <f>H303*Conv!$J$20/10^6/VLOOKUP($B303,Types!$B$2:$D$13,3,FALSE)/Conv!$I$5</f>
        <v>7.9370902535293482</v>
      </c>
      <c r="M303" s="62">
        <f>I303*Conv!$J$20/10^6/VLOOKUP($B303,Types!$B$2:$D$13,3,FALSE)/Conv!$I$5</f>
        <v>7.8516859502112615</v>
      </c>
      <c r="N303" s="62" t="e">
        <f>M303*#REF!</f>
        <v>#REF!</v>
      </c>
      <c r="O303" s="62" t="e">
        <f>N303*#REF!</f>
        <v>#REF!</v>
      </c>
      <c r="P303" s="62" t="e">
        <f>O303*#REF!</f>
        <v>#REF!</v>
      </c>
      <c r="Q303" s="62" t="e">
        <f>P303*#REF!</f>
        <v>#REF!</v>
      </c>
      <c r="R303" s="62" t="e">
        <f>Q303*#REF!</f>
        <v>#REF!</v>
      </c>
      <c r="S303" s="62" t="e">
        <f>R303*#REF!</f>
        <v>#REF!</v>
      </c>
      <c r="T303" s="62" t="e">
        <f>S303*#REF!</f>
        <v>#REF!</v>
      </c>
      <c r="U303" s="62" t="e">
        <f>T303*#REF!</f>
        <v>#REF!</v>
      </c>
      <c r="V303" s="62" t="e">
        <f>U303*#REF!</f>
        <v>#REF!</v>
      </c>
      <c r="W303" s="34"/>
      <c r="X303" s="1">
        <f>X301*$E$6</f>
        <v>0</v>
      </c>
      <c r="Y303" s="1">
        <f t="shared" ref="Y303:AA303" si="787">Y301*$E$6</f>
        <v>2.601</v>
      </c>
      <c r="Z303" s="1">
        <f t="shared" si="787"/>
        <v>2.871</v>
      </c>
      <c r="AA303" s="1">
        <f t="shared" si="787"/>
        <v>3.1680000000000001</v>
      </c>
      <c r="AB303" s="34">
        <f>X303*VLOOKUP($B303,Types!$B$2:$D$13,3,FALSE)*Conv!$I$5*1000*365</f>
        <v>0</v>
      </c>
      <c r="AC303" s="34">
        <f>Y303*VLOOKUP($B303,Types!$B$2:$D$13,3,FALSE)*Conv!$I$5*1000*365</f>
        <v>5.7002947656530401</v>
      </c>
      <c r="AD303" s="34">
        <f>Z303*VLOOKUP($B303,Types!$B$2:$D$13,3,FALSE)*Conv!$I$5*1000*365</f>
        <v>6.2920208658938384</v>
      </c>
      <c r="AE303" s="34">
        <f>AA303*VLOOKUP($B303,Types!$B$2:$D$13,3,FALSE)*Conv!$I$5*1000*365</f>
        <v>6.9429195761587206</v>
      </c>
      <c r="AF303" s="34">
        <f>AB303-AF302</f>
        <v>0</v>
      </c>
      <c r="AG303" s="34">
        <f t="shared" ref="AG303:AI303" si="788">AC303-AG302</f>
        <v>0.6333660850725602</v>
      </c>
      <c r="AH303" s="34">
        <f t="shared" si="788"/>
        <v>0.69911342954375844</v>
      </c>
      <c r="AI303" s="34">
        <f t="shared" si="788"/>
        <v>0.77143550846208164</v>
      </c>
      <c r="AJ303" s="34"/>
      <c r="AK303" s="34"/>
      <c r="AL303" s="34"/>
    </row>
    <row r="304" spans="1:38">
      <c r="A304" s="1" t="str">
        <f t="shared" si="785"/>
        <v>Petchem. Feedstocks</v>
      </c>
      <c r="B304" s="1" t="str">
        <f>VLOOKUP($A304,Types!$A$2:$C$13,2,FALSE)</f>
        <v>PFS</v>
      </c>
      <c r="C304" s="1">
        <v>4</v>
      </c>
      <c r="D304" s="1">
        <v>5</v>
      </c>
      <c r="E304" s="1" t="str">
        <f t="shared" si="668"/>
        <v>IMPPFSP54</v>
      </c>
      <c r="F304" s="1" t="str">
        <f>CONCATENATE("Imported ",VLOOKUP($A304,Types!$A$2:$C$13,3,FALSE),", PADD ",D304,", Step ",RIGHT(C304,1))</f>
        <v>Imported Petrochemical Feedstocks, PADD 5, Step 4</v>
      </c>
      <c r="G304" s="1" t="str">
        <f>CONCATENATE(VLOOKUP($A304,Types!$A$2:$C$13,2,FALSE),"P",D304)</f>
        <v>PFSP5</v>
      </c>
      <c r="H304" s="61">
        <f>H301*$C$8</f>
        <v>34.543190000000003</v>
      </c>
      <c r="I304" s="61">
        <f t="shared" ref="I304:K304" si="789">I301*$C$8</f>
        <v>34.171500000000002</v>
      </c>
      <c r="J304" s="61">
        <f t="shared" si="789"/>
        <v>23.6312</v>
      </c>
      <c r="K304" s="61">
        <f t="shared" si="789"/>
        <v>12.251600000000002</v>
      </c>
      <c r="L304" s="62">
        <f>H304*Conv!$J$20/10^6/VLOOKUP($B304,Types!$B$2:$D$13,3,FALSE)/Conv!$I$5</f>
        <v>8.827988139129582</v>
      </c>
      <c r="M304" s="62">
        <f>I304*Conv!$J$20/10^6/VLOOKUP($B304,Types!$B$2:$D$13,3,FALSE)/Conv!$I$5</f>
        <v>8.7329976385002794</v>
      </c>
      <c r="N304" s="62" t="e">
        <f>M304*#REF!</f>
        <v>#REF!</v>
      </c>
      <c r="O304" s="62" t="e">
        <f>N304*#REF!</f>
        <v>#REF!</v>
      </c>
      <c r="P304" s="62" t="e">
        <f>O304*#REF!</f>
        <v>#REF!</v>
      </c>
      <c r="Q304" s="62" t="e">
        <f>P304*#REF!</f>
        <v>#REF!</v>
      </c>
      <c r="R304" s="62" t="e">
        <f>Q304*#REF!</f>
        <v>#REF!</v>
      </c>
      <c r="S304" s="62" t="e">
        <f>R304*#REF!</f>
        <v>#REF!</v>
      </c>
      <c r="T304" s="62" t="e">
        <f>S304*#REF!</f>
        <v>#REF!</v>
      </c>
      <c r="U304" s="62" t="e">
        <f>T304*#REF!</f>
        <v>#REF!</v>
      </c>
      <c r="V304" s="62" t="e">
        <f>U304*#REF!</f>
        <v>#REF!</v>
      </c>
      <c r="W304" s="34"/>
      <c r="X304" s="1">
        <f>X301*$E$8</f>
        <v>0</v>
      </c>
      <c r="Y304" s="1">
        <f t="shared" ref="Y304:AA304" si="790">Y301*$E$8</f>
        <v>3.468</v>
      </c>
      <c r="Z304" s="1">
        <f t="shared" si="790"/>
        <v>3.8279999999999998</v>
      </c>
      <c r="AA304" s="1">
        <f t="shared" si="790"/>
        <v>4.2240000000000002</v>
      </c>
      <c r="AB304" s="34">
        <f>X304*VLOOKUP($B304,Types!$B$2:$D$13,3,FALSE)*Conv!$I$5*1000*365</f>
        <v>0</v>
      </c>
      <c r="AC304" s="34">
        <f>Y304*VLOOKUP($B304,Types!$B$2:$D$13,3,FALSE)*Conv!$I$5*1000*365</f>
        <v>7.6003930208707198</v>
      </c>
      <c r="AD304" s="34">
        <f>Z304*VLOOKUP($B304,Types!$B$2:$D$13,3,FALSE)*Conv!$I$5*1000*365</f>
        <v>8.389361154525119</v>
      </c>
      <c r="AE304" s="34">
        <f>AA304*VLOOKUP($B304,Types!$B$2:$D$13,3,FALSE)*Conv!$I$5*1000*365</f>
        <v>9.2572261015449584</v>
      </c>
      <c r="AF304" s="34">
        <f>AB304-AB301</f>
        <v>0</v>
      </c>
      <c r="AG304" s="34">
        <f t="shared" ref="AG304:AI304" si="791">AC304-AC301</f>
        <v>1.2667321701451204</v>
      </c>
      <c r="AH304" s="34">
        <f t="shared" si="791"/>
        <v>1.3982268590875195</v>
      </c>
      <c r="AI304" s="34">
        <f t="shared" si="791"/>
        <v>1.5428710169241597</v>
      </c>
      <c r="AJ304" s="34"/>
      <c r="AK304" s="34"/>
      <c r="AL304" s="34"/>
    </row>
    <row r="305" spans="1:38">
      <c r="A305" s="1" t="str">
        <f>A304</f>
        <v>Petchem. Feedstocks</v>
      </c>
      <c r="B305" s="1" t="str">
        <f>VLOOKUP($A305,Types!$A$2:$C$13,2,FALSE)</f>
        <v>PFS</v>
      </c>
      <c r="C305" s="1">
        <v>5</v>
      </c>
      <c r="D305" s="1">
        <v>5</v>
      </c>
      <c r="E305" s="1" t="str">
        <f>CONCATENATE("IMP",G305,RIGHT(C305,1))</f>
        <v>IMPPFSP55</v>
      </c>
      <c r="F305" s="1" t="str">
        <f>CONCATENATE("Imported ",VLOOKUP($A305,Types!$A$2:$C$13,3,FALSE),", PADD ",D305,", Step ",RIGHT(C305,1))</f>
        <v>Imported Petrochemical Feedstocks, PADD 5, Step 5</v>
      </c>
      <c r="G305" s="1" t="str">
        <f>CONCATENATE(VLOOKUP($A305,Types!$A$2:$C$13,2,FALSE),"P",D305)</f>
        <v>PFSP5</v>
      </c>
      <c r="H305" s="61">
        <f>H301*$C$9</f>
        <v>41.198300000000003</v>
      </c>
      <c r="I305" s="61">
        <f t="shared" ref="I305:K305" si="792">I301*$C$9</f>
        <v>40.755000000000003</v>
      </c>
      <c r="J305" s="61">
        <f t="shared" si="792"/>
        <v>28.184000000000001</v>
      </c>
      <c r="K305" s="61">
        <f t="shared" si="792"/>
        <v>14.612</v>
      </c>
      <c r="L305" s="62">
        <f>H305*Conv!$J$20/10^6/VLOOKUP($B305,Types!$B$2:$D$13,3,FALSE)/Conv!$I$5</f>
        <v>10.5287931934573</v>
      </c>
      <c r="M305" s="62">
        <f>I305*Conv!$J$20/10^6/VLOOKUP($B305,Types!$B$2:$D$13,3,FALSE)/Conv!$I$5</f>
        <v>10.415501770688406</v>
      </c>
      <c r="N305" s="62" t="e">
        <f>M305*#REF!</f>
        <v>#REF!</v>
      </c>
      <c r="O305" s="62" t="e">
        <f>N305*#REF!</f>
        <v>#REF!</v>
      </c>
      <c r="P305" s="62" t="e">
        <f>O305*#REF!</f>
        <v>#REF!</v>
      </c>
      <c r="Q305" s="62" t="e">
        <f>P305*#REF!</f>
        <v>#REF!</v>
      </c>
      <c r="R305" s="62" t="e">
        <f>Q305*#REF!</f>
        <v>#REF!</v>
      </c>
      <c r="S305" s="62" t="e">
        <f>R305*#REF!</f>
        <v>#REF!</v>
      </c>
      <c r="T305" s="62" t="e">
        <f>S305*#REF!</f>
        <v>#REF!</v>
      </c>
      <c r="U305" s="62" t="e">
        <f>T305*#REF!</f>
        <v>#REF!</v>
      </c>
      <c r="V305" s="62" t="e">
        <f>U305*#REF!</f>
        <v>#REF!</v>
      </c>
      <c r="W305" s="34"/>
      <c r="X305" s="1">
        <f>X301*$E$9</f>
        <v>0</v>
      </c>
      <c r="Y305" s="1">
        <f t="shared" ref="Y305:AA305" si="793">Y301*$E$9</f>
        <v>5.78</v>
      </c>
      <c r="Z305" s="1">
        <f t="shared" si="793"/>
        <v>6.38</v>
      </c>
      <c r="AA305" s="1">
        <f t="shared" si="793"/>
        <v>7.04</v>
      </c>
      <c r="AB305" s="34">
        <f>X305*VLOOKUP($B305,Types!$B$2:$D$13,3,FALSE)*Conv!$I$5*1000*365</f>
        <v>0</v>
      </c>
      <c r="AC305" s="34">
        <f>Y305*VLOOKUP($B305,Types!$B$2:$D$13,3,FALSE)*Conv!$I$5*1000*365</f>
        <v>12.667321701451199</v>
      </c>
      <c r="AD305" s="34">
        <f>Z305*VLOOKUP($B305,Types!$B$2:$D$13,3,FALSE)*Conv!$I$5*1000*365</f>
        <v>13.982268590875199</v>
      </c>
      <c r="AE305" s="34">
        <f>AA305*VLOOKUP($B305,Types!$B$2:$D$13,3,FALSE)*Conv!$I$5*1000*365</f>
        <v>15.428710169241597</v>
      </c>
      <c r="AF305" s="34">
        <f>AB305-AB304</f>
        <v>0</v>
      </c>
      <c r="AG305" s="34">
        <f t="shared" ref="AG305:AI305" si="794">AC305-AC304</f>
        <v>5.066928680580479</v>
      </c>
      <c r="AH305" s="34">
        <f t="shared" si="794"/>
        <v>5.5929074363500799</v>
      </c>
      <c r="AI305" s="34">
        <f t="shared" si="794"/>
        <v>6.1714840676966389</v>
      </c>
      <c r="AJ305" s="34"/>
      <c r="AK305" s="34"/>
      <c r="AL305" s="34"/>
    </row>
    <row r="306" spans="1:38">
      <c r="A306" s="1" t="str">
        <f>'Agg prdcrv'!$A$15</f>
        <v>Other Refined Prod.</v>
      </c>
      <c r="B306" s="1" t="str">
        <f>VLOOKUP($A306,Types!$A$2:$C$13,2,FALSE)</f>
        <v>KER</v>
      </c>
      <c r="C306" s="1">
        <v>3</v>
      </c>
      <c r="D306" s="1">
        <v>5</v>
      </c>
      <c r="E306" s="1" t="str">
        <f>CONCATENATE("IMP",G306,RIGHT(C306,1))</f>
        <v>IMPKERP53</v>
      </c>
      <c r="F306" s="1" t="str">
        <f>CONCATENATE("Imported ",VLOOKUP($A306,Types!$A$2:$C$13,3,FALSE),", PADD ",D306,", Step ",RIGHT(C306,1))</f>
        <v>Imported Kerosene and Other Refined Products, PADD 5, Step 3</v>
      </c>
      <c r="G306" s="1" t="str">
        <f>CONCATENATE(VLOOKUP($A306,Types!$A$2:$C$13,2,FALSE),"P",D306)</f>
        <v>KERP5</v>
      </c>
      <c r="H306" s="61">
        <f>SUMIFS('Agg prdcrv NYC'!$P$6:$P$100,'Agg prdcrv NYC'!$A$6:$A$100,'Imp Refined NYC'!$A306,'Agg prdcrv NYC'!$B$6:$B$100,H$11)*K4</f>
        <v>66.099000000000004</v>
      </c>
      <c r="I306" s="61">
        <f>SUMIFS('Agg prdcrv NYC'!$P$6:$P$100,'Agg prdcrv NYC'!$A$6:$A$100,'Imp Refined NYC'!$A306,'Agg prdcrv NYC'!$B$6:$B$100,I$11)*K4</f>
        <v>40.204999999999998</v>
      </c>
      <c r="J306" s="61">
        <f t="array" ref="J306">SUMIFS('Agg prdcrv NYC'!$P$6:$P$100,'Agg prdcrv NYC'!$A$6:$A$100,'Imp Refined NYC'!$A306,'Agg prdcrv NYC'!$B$6:$B$100,J$11)</f>
        <v>32.549999999999997</v>
      </c>
      <c r="K306" s="61">
        <f t="array" ref="K306">SUMIFS('Agg prdcrv NYC'!$P$6:$P$100,'Agg prdcrv NYC'!$A$6:$A$100,'Imp Refined NYC'!$A306,'Agg prdcrv NYC'!$B$6:$B$100,K$11)</f>
        <v>41.27</v>
      </c>
      <c r="L306" s="62">
        <f>H306*Conv!$J$20/10^6/VLOOKUP($B306,Types!$B$2:$D$13,3,FALSE)/Conv!$I$5</f>
        <v>16.955075011703961</v>
      </c>
      <c r="M306" s="62">
        <f>I306*Conv!$J$20/10^6/VLOOKUP($B306,Types!$B$2:$D$13,3,FALSE)/Conv!$I$5</f>
        <v>10.312997032414376</v>
      </c>
      <c r="N306" s="62" t="e">
        <f>M306*#REF!</f>
        <v>#REF!</v>
      </c>
      <c r="O306" s="62" t="e">
        <f>N306*#REF!</f>
        <v>#REF!</v>
      </c>
      <c r="P306" s="62" t="e">
        <f>O306*#REF!</f>
        <v>#REF!</v>
      </c>
      <c r="Q306" s="62" t="e">
        <f>P306*#REF!</f>
        <v>#REF!</v>
      </c>
      <c r="R306" s="62" t="e">
        <f>Q306*#REF!</f>
        <v>#REF!</v>
      </c>
      <c r="S306" s="62" t="e">
        <f>R306*#REF!</f>
        <v>#REF!</v>
      </c>
      <c r="T306" s="62" t="e">
        <f>S306*#REF!</f>
        <v>#REF!</v>
      </c>
      <c r="U306" s="62" t="e">
        <f>T306*#REF!</f>
        <v>#REF!</v>
      </c>
      <c r="V306" s="62" t="e">
        <f>U306*#REF!</f>
        <v>#REF!</v>
      </c>
      <c r="W306" s="34"/>
      <c r="X306" s="1">
        <f t="array" ref="X306">SUMIFS('Agg prdcrv NYC'!$H$6:$H$100,'Agg prdcrv NYC'!$A$6:$A$100,'Imp Refined NYC'!$A306,'Agg prdcrv NYC'!$B$6:$B$100,X$11)</f>
        <v>42</v>
      </c>
      <c r="Y306" s="1">
        <f t="array" ref="Y306">SUMIFS('Agg prdcrv NYC'!$H$6:$H$100,'Agg prdcrv NYC'!$A$6:$A$100,'Imp Refined NYC'!$A306,'Agg prdcrv NYC'!$B$6:$B$100,Y$11)</f>
        <v>27.25</v>
      </c>
      <c r="Z306" s="1">
        <f t="array" ref="Z306">SUMIFS('Agg prdcrv NYC'!$H$6:$H$100,'Agg prdcrv NYC'!$A$6:$A$100,'Imp Refined NYC'!$A306,'Agg prdcrv NYC'!$B$6:$B$100,Z$11)</f>
        <v>29.5</v>
      </c>
      <c r="AA306" s="1">
        <f t="array" ref="AA306">SUMIFS('Agg prdcrv NYC'!$H$6:$H$100,'Agg prdcrv NYC'!$A$6:$A$100,'Imp Refined NYC'!$A306,'Agg prdcrv NYC'!$B$6:$B$100,AA$11)</f>
        <v>31.94</v>
      </c>
      <c r="AB306" s="34">
        <f>X306*VLOOKUP($B306,Types!$B$2:$D$13,3,FALSE)*Conv!$I$5*1000*365</f>
        <v>91.706628081599987</v>
      </c>
      <c r="AC306" s="34">
        <f>Y306*VLOOKUP($B306,Types!$B$2:$D$13,3,FALSE)*Conv!$I$5*1000*365</f>
        <v>59.500133695799995</v>
      </c>
      <c r="AD306" s="34">
        <f>Z306*VLOOKUP($B306,Types!$B$2:$D$13,3,FALSE)*Conv!$I$5*1000*365</f>
        <v>64.412988771599998</v>
      </c>
      <c r="AE306" s="34">
        <f>AA306*VLOOKUP($B306,Types!$B$2:$D$13,3,FALSE)*Conv!$I$5*1000*365</f>
        <v>69.740707164911996</v>
      </c>
      <c r="AF306" s="34">
        <f>AB306-AB308</f>
        <v>9.1706628081599888</v>
      </c>
      <c r="AG306" s="34">
        <f t="shared" ref="AG306:AI306" si="795">AC306-AC308</f>
        <v>5.9500133695799846</v>
      </c>
      <c r="AH306" s="34">
        <f t="shared" si="795"/>
        <v>6.4412988771600013</v>
      </c>
      <c r="AI306" s="34">
        <f t="shared" si="795"/>
        <v>6.9740707164911981</v>
      </c>
      <c r="AJ306" s="34"/>
      <c r="AK306" s="34"/>
      <c r="AL306" s="34"/>
    </row>
    <row r="307" spans="1:38">
      <c r="A307" s="1" t="str">
        <f>A306</f>
        <v>Other Refined Prod.</v>
      </c>
      <c r="B307" s="1" t="str">
        <f>VLOOKUP($A307,Types!$A$2:$C$13,2,FALSE)</f>
        <v>KER</v>
      </c>
      <c r="C307" s="1">
        <v>1</v>
      </c>
      <c r="D307" s="1">
        <v>5</v>
      </c>
      <c r="E307" s="1" t="str">
        <f t="shared" ref="E307:E320" si="796">CONCATENATE("IMP",G307,RIGHT(C307,1))</f>
        <v>IMPKERP51</v>
      </c>
      <c r="F307" s="1" t="str">
        <f>CONCATENATE("Imported ",VLOOKUP($A307,Types!$A$2:$C$13,3,FALSE),", PADD ",D307,", Step ",RIGHT(C307,1))</f>
        <v>Imported Kerosene and Other Refined Products, PADD 5, Step 1</v>
      </c>
      <c r="G307" s="1" t="str">
        <f>CONCATENATE(VLOOKUP($A307,Types!$A$2:$C$13,2,FALSE),"P",D307)</f>
        <v>KERP5</v>
      </c>
      <c r="H307" s="61">
        <f>H306*$C$5</f>
        <v>62.794049999999999</v>
      </c>
      <c r="I307" s="61">
        <f t="shared" ref="I307:K307" si="797">I306*$C$5</f>
        <v>38.194749999999999</v>
      </c>
      <c r="J307" s="61">
        <f t="shared" si="797"/>
        <v>30.922499999999996</v>
      </c>
      <c r="K307" s="61">
        <f t="shared" si="797"/>
        <v>39.206499999999998</v>
      </c>
      <c r="L307" s="62">
        <f>H307*Conv!$J$20/10^6/VLOOKUP($B307,Types!$B$2:$D$13,3,FALSE)/Conv!$I$5</f>
        <v>16.107321261118763</v>
      </c>
      <c r="M307" s="62">
        <f>I307*Conv!$J$20/10^6/VLOOKUP($B307,Types!$B$2:$D$13,3,FALSE)/Conv!$I$5</f>
        <v>9.7973471807936559</v>
      </c>
      <c r="N307" s="62" t="e">
        <f>M307*#REF!</f>
        <v>#REF!</v>
      </c>
      <c r="O307" s="62" t="e">
        <f>N307*#REF!</f>
        <v>#REF!</v>
      </c>
      <c r="P307" s="62" t="e">
        <f>O307*#REF!</f>
        <v>#REF!</v>
      </c>
      <c r="Q307" s="62" t="e">
        <f>P307*#REF!</f>
        <v>#REF!</v>
      </c>
      <c r="R307" s="62" t="e">
        <f>Q307*#REF!</f>
        <v>#REF!</v>
      </c>
      <c r="S307" s="62" t="e">
        <f>R307*#REF!</f>
        <v>#REF!</v>
      </c>
      <c r="T307" s="62" t="e">
        <f>S307*#REF!</f>
        <v>#REF!</v>
      </c>
      <c r="U307" s="62" t="e">
        <f>T307*#REF!</f>
        <v>#REF!</v>
      </c>
      <c r="V307" s="62" t="e">
        <f>U307*#REF!</f>
        <v>#REF!</v>
      </c>
      <c r="W307" s="34"/>
      <c r="X307" s="1">
        <f>X306*$E$5</f>
        <v>33.6</v>
      </c>
      <c r="Y307" s="1">
        <f t="shared" ref="Y307:AA307" si="798">Y306*$E$5</f>
        <v>21.8</v>
      </c>
      <c r="Z307" s="1">
        <f t="shared" si="798"/>
        <v>23.6</v>
      </c>
      <c r="AA307" s="1">
        <f t="shared" si="798"/>
        <v>25.552000000000003</v>
      </c>
      <c r="AB307" s="34">
        <f>X307*VLOOKUP($B307,Types!$B$2:$D$13,3,FALSE)*Conv!$I$5*1000*365</f>
        <v>73.365302465279996</v>
      </c>
      <c r="AC307" s="34">
        <f>Y307*VLOOKUP($B307,Types!$B$2:$D$13,3,FALSE)*Conv!$I$5*1000*365</f>
        <v>47.600106956640005</v>
      </c>
      <c r="AD307" s="34">
        <f>Z307*VLOOKUP($B307,Types!$B$2:$D$13,3,FALSE)*Conv!$I$5*1000*365</f>
        <v>51.53039101728001</v>
      </c>
      <c r="AE307" s="34">
        <f>AA307*VLOOKUP($B307,Types!$B$2:$D$13,3,FALSE)*Conv!$I$5*1000*365</f>
        <v>55.792565731929614</v>
      </c>
      <c r="AF307" s="34">
        <f>AB307</f>
        <v>73.365302465279996</v>
      </c>
      <c r="AG307" s="34">
        <f t="shared" ref="AG307:AI307" si="799">AC307</f>
        <v>47.600106956640005</v>
      </c>
      <c r="AH307" s="34">
        <f t="shared" si="799"/>
        <v>51.53039101728001</v>
      </c>
      <c r="AI307" s="34">
        <f t="shared" si="799"/>
        <v>55.792565731929614</v>
      </c>
      <c r="AJ307" s="34"/>
      <c r="AK307" s="34"/>
      <c r="AL307" s="34"/>
    </row>
    <row r="308" spans="1:38">
      <c r="A308" s="1" t="str">
        <f t="shared" ref="A308:A310" si="800">A307</f>
        <v>Other Refined Prod.</v>
      </c>
      <c r="B308" s="1" t="str">
        <f>VLOOKUP($A308,Types!$A$2:$C$13,2,FALSE)</f>
        <v>KER</v>
      </c>
      <c r="C308" s="1">
        <v>2</v>
      </c>
      <c r="D308" s="1">
        <v>5</v>
      </c>
      <c r="E308" s="1" t="str">
        <f t="shared" si="796"/>
        <v>IMPKERP52</v>
      </c>
      <c r="F308" s="1" t="str">
        <f>CONCATENATE("Imported ",VLOOKUP($A308,Types!$A$2:$C$13,3,FALSE),", PADD ",D308,", Step ",RIGHT(C308,1))</f>
        <v>Imported Kerosene and Other Refined Products, PADD 5, Step 2</v>
      </c>
      <c r="G308" s="1" t="str">
        <f>CONCATENATE(VLOOKUP($A308,Types!$A$2:$C$13,2,FALSE),"P",D308)</f>
        <v>KERP5</v>
      </c>
      <c r="H308" s="61">
        <f>H306*$C$6</f>
        <v>64.777020000000007</v>
      </c>
      <c r="I308" s="61">
        <f t="shared" ref="I308:K308" si="801">I306*$C$6</f>
        <v>39.4009</v>
      </c>
      <c r="J308" s="61">
        <f t="shared" si="801"/>
        <v>31.898999999999997</v>
      </c>
      <c r="K308" s="61">
        <f t="shared" si="801"/>
        <v>40.444600000000001</v>
      </c>
      <c r="L308" s="62">
        <f>H308*Conv!$J$20/10^6/VLOOKUP($B308,Types!$B$2:$D$13,3,FALSE)/Conv!$I$5</f>
        <v>16.615973511469882</v>
      </c>
      <c r="M308" s="62">
        <f>I308*Conv!$J$20/10^6/VLOOKUP($B308,Types!$B$2:$D$13,3,FALSE)/Conv!$I$5</f>
        <v>10.106737091766087</v>
      </c>
      <c r="N308" s="62" t="e">
        <f>M308*#REF!</f>
        <v>#REF!</v>
      </c>
      <c r="O308" s="62" t="e">
        <f>N308*#REF!</f>
        <v>#REF!</v>
      </c>
      <c r="P308" s="62" t="e">
        <f>O308*#REF!</f>
        <v>#REF!</v>
      </c>
      <c r="Q308" s="62" t="e">
        <f>P308*#REF!</f>
        <v>#REF!</v>
      </c>
      <c r="R308" s="62" t="e">
        <f>Q308*#REF!</f>
        <v>#REF!</v>
      </c>
      <c r="S308" s="62" t="e">
        <f>R308*#REF!</f>
        <v>#REF!</v>
      </c>
      <c r="T308" s="62" t="e">
        <f>S308*#REF!</f>
        <v>#REF!</v>
      </c>
      <c r="U308" s="62" t="e">
        <f>T308*#REF!</f>
        <v>#REF!</v>
      </c>
      <c r="V308" s="62" t="e">
        <f>U308*#REF!</f>
        <v>#REF!</v>
      </c>
      <c r="W308" s="34"/>
      <c r="X308" s="1">
        <f>X306*$E$6</f>
        <v>37.800000000000004</v>
      </c>
      <c r="Y308" s="1">
        <f t="shared" ref="Y308:AA308" si="802">Y306*$E$6</f>
        <v>24.525000000000002</v>
      </c>
      <c r="Z308" s="1">
        <f t="shared" si="802"/>
        <v>26.55</v>
      </c>
      <c r="AA308" s="1">
        <f t="shared" si="802"/>
        <v>28.746000000000002</v>
      </c>
      <c r="AB308" s="34">
        <f>X308*VLOOKUP($B308,Types!$B$2:$D$13,3,FALSE)*Conv!$I$5*1000*365</f>
        <v>82.535965273439999</v>
      </c>
      <c r="AC308" s="34">
        <f>Y308*VLOOKUP($B308,Types!$B$2:$D$13,3,FALSE)*Conv!$I$5*1000*365</f>
        <v>53.550120326220011</v>
      </c>
      <c r="AD308" s="34">
        <f>Z308*VLOOKUP($B308,Types!$B$2:$D$13,3,FALSE)*Conv!$I$5*1000*365</f>
        <v>57.971689894439997</v>
      </c>
      <c r="AE308" s="34">
        <f>AA308*VLOOKUP($B308,Types!$B$2:$D$13,3,FALSE)*Conv!$I$5*1000*365</f>
        <v>62.766636448420797</v>
      </c>
      <c r="AF308" s="34">
        <f>AB308-AF307</f>
        <v>9.170662808160003</v>
      </c>
      <c r="AG308" s="34">
        <f t="shared" ref="AG308:AI308" si="803">AC308-AG307</f>
        <v>5.9500133695800059</v>
      </c>
      <c r="AH308" s="34">
        <f t="shared" si="803"/>
        <v>6.4412988771599871</v>
      </c>
      <c r="AI308" s="34">
        <f t="shared" si="803"/>
        <v>6.9740707164911839</v>
      </c>
      <c r="AJ308" s="34"/>
      <c r="AK308" s="34"/>
      <c r="AL308" s="34"/>
    </row>
    <row r="309" spans="1:38">
      <c r="A309" s="1" t="str">
        <f t="shared" si="800"/>
        <v>Other Refined Prod.</v>
      </c>
      <c r="B309" s="1" t="str">
        <f>VLOOKUP($A309,Types!$A$2:$C$13,2,FALSE)</f>
        <v>KER</v>
      </c>
      <c r="C309" s="1">
        <v>4</v>
      </c>
      <c r="D309" s="1">
        <v>5</v>
      </c>
      <c r="E309" s="1" t="str">
        <f t="shared" si="796"/>
        <v>IMPKERP54</v>
      </c>
      <c r="F309" s="1" t="str">
        <f>CONCATENATE("Imported ",VLOOKUP($A309,Types!$A$2:$C$13,3,FALSE),", PADD ",D309,", Step ",RIGHT(C309,1))</f>
        <v>Imported Kerosene and Other Refined Products, PADD 5, Step 4</v>
      </c>
      <c r="G309" s="1" t="str">
        <f>CONCATENATE(VLOOKUP($A309,Types!$A$2:$C$13,2,FALSE),"P",D309)</f>
        <v>KERP5</v>
      </c>
      <c r="H309" s="61">
        <f>H306*$C$8</f>
        <v>72.047910000000016</v>
      </c>
      <c r="I309" s="61">
        <f t="shared" ref="I309:K309" si="804">I306*$C$8</f>
        <v>43.823450000000001</v>
      </c>
      <c r="J309" s="61">
        <f t="shared" si="804"/>
        <v>35.479500000000002</v>
      </c>
      <c r="K309" s="61">
        <f t="shared" si="804"/>
        <v>44.984300000000005</v>
      </c>
      <c r="L309" s="62">
        <f>H309*Conv!$J$20/10^6/VLOOKUP($B309,Types!$B$2:$D$13,3,FALSE)/Conv!$I$5</f>
        <v>18.481031762757318</v>
      </c>
      <c r="M309" s="62">
        <f>I309*Conv!$J$20/10^6/VLOOKUP($B309,Types!$B$2:$D$13,3,FALSE)/Conv!$I$5</f>
        <v>11.241166765331668</v>
      </c>
      <c r="N309" s="62" t="e">
        <f>M309*#REF!</f>
        <v>#REF!</v>
      </c>
      <c r="O309" s="62" t="e">
        <f>N309*#REF!</f>
        <v>#REF!</v>
      </c>
      <c r="P309" s="62" t="e">
        <f>O309*#REF!</f>
        <v>#REF!</v>
      </c>
      <c r="Q309" s="62" t="e">
        <f>P309*#REF!</f>
        <v>#REF!</v>
      </c>
      <c r="R309" s="62" t="e">
        <f>Q309*#REF!</f>
        <v>#REF!</v>
      </c>
      <c r="S309" s="62" t="e">
        <f>R309*#REF!</f>
        <v>#REF!</v>
      </c>
      <c r="T309" s="62" t="e">
        <f>S309*#REF!</f>
        <v>#REF!</v>
      </c>
      <c r="U309" s="62" t="e">
        <f>T309*#REF!</f>
        <v>#REF!</v>
      </c>
      <c r="V309" s="62" t="e">
        <f>U309*#REF!</f>
        <v>#REF!</v>
      </c>
      <c r="W309" s="34"/>
      <c r="X309" s="1">
        <f>X306*$E$8</f>
        <v>50.4</v>
      </c>
      <c r="Y309" s="1">
        <f t="shared" ref="Y309:AA309" si="805">Y306*$E$8</f>
        <v>32.699999999999996</v>
      </c>
      <c r="Z309" s="1">
        <f t="shared" si="805"/>
        <v>35.4</v>
      </c>
      <c r="AA309" s="1">
        <f t="shared" si="805"/>
        <v>38.328000000000003</v>
      </c>
      <c r="AB309" s="34">
        <f>X309*VLOOKUP($B309,Types!$B$2:$D$13,3,FALSE)*Conv!$I$5*1000*365</f>
        <v>110.04795369791997</v>
      </c>
      <c r="AC309" s="34">
        <f>Y309*VLOOKUP($B309,Types!$B$2:$D$13,3,FALSE)*Conv!$I$5*1000*365</f>
        <v>71.400160434959986</v>
      </c>
      <c r="AD309" s="34">
        <f>Z309*VLOOKUP($B309,Types!$B$2:$D$13,3,FALSE)*Conv!$I$5*1000*365</f>
        <v>77.295586525919987</v>
      </c>
      <c r="AE309" s="34">
        <f>AA309*VLOOKUP($B309,Types!$B$2:$D$13,3,FALSE)*Conv!$I$5*1000*365</f>
        <v>83.688848597894392</v>
      </c>
      <c r="AF309" s="34">
        <f>AB309-AB306</f>
        <v>18.341325616319978</v>
      </c>
      <c r="AG309" s="34">
        <f t="shared" ref="AG309:AI309" si="806">AC309-AC306</f>
        <v>11.900026739159991</v>
      </c>
      <c r="AH309" s="34">
        <f t="shared" si="806"/>
        <v>12.882597754319988</v>
      </c>
      <c r="AI309" s="34">
        <f t="shared" si="806"/>
        <v>13.948141432982396</v>
      </c>
      <c r="AJ309" s="34"/>
      <c r="AK309" s="34"/>
      <c r="AL309" s="34"/>
    </row>
    <row r="310" spans="1:38">
      <c r="A310" s="1" t="str">
        <f t="shared" si="800"/>
        <v>Other Refined Prod.</v>
      </c>
      <c r="B310" s="1" t="str">
        <f>VLOOKUP($A310,Types!$A$2:$C$13,2,FALSE)</f>
        <v>KER</v>
      </c>
      <c r="C310" s="1">
        <v>5</v>
      </c>
      <c r="D310" s="1">
        <v>5</v>
      </c>
      <c r="E310" s="1" t="str">
        <f t="shared" si="796"/>
        <v>IMPKERP55</v>
      </c>
      <c r="F310" s="1" t="str">
        <f>CONCATENATE("Imported ",VLOOKUP($A310,Types!$A$2:$C$13,3,FALSE),", PADD ",D310,", Step ",RIGHT(C310,1))</f>
        <v>Imported Kerosene and Other Refined Products, PADD 5, Step 5</v>
      </c>
      <c r="G310" s="1" t="str">
        <f>CONCATENATE(VLOOKUP($A310,Types!$A$2:$C$13,2,FALSE),"P",D310)</f>
        <v>KERP5</v>
      </c>
      <c r="H310" s="61">
        <f>H306*$C$9</f>
        <v>85.928700000000006</v>
      </c>
      <c r="I310" s="61">
        <f t="shared" ref="I310:K310" si="807">I306*$C$9</f>
        <v>52.266500000000001</v>
      </c>
      <c r="J310" s="61">
        <f t="shared" si="807"/>
        <v>42.314999999999998</v>
      </c>
      <c r="K310" s="61">
        <f t="shared" si="807"/>
        <v>53.651000000000003</v>
      </c>
      <c r="L310" s="62">
        <f>H310*Conv!$J$20/10^6/VLOOKUP($B310,Types!$B$2:$D$13,3,FALSE)/Conv!$I$5</f>
        <v>22.041597515215152</v>
      </c>
      <c r="M310" s="62">
        <f>I310*Conv!$J$20/10^6/VLOOKUP($B310,Types!$B$2:$D$13,3,FALSE)/Conv!$I$5</f>
        <v>13.406896142138688</v>
      </c>
      <c r="N310" s="62" t="e">
        <f>M310*#REF!</f>
        <v>#REF!</v>
      </c>
      <c r="O310" s="62" t="e">
        <f>N310*#REF!</f>
        <v>#REF!</v>
      </c>
      <c r="P310" s="62" t="e">
        <f>O310*#REF!</f>
        <v>#REF!</v>
      </c>
      <c r="Q310" s="62" t="e">
        <f>P310*#REF!</f>
        <v>#REF!</v>
      </c>
      <c r="R310" s="62" t="e">
        <f>Q310*#REF!</f>
        <v>#REF!</v>
      </c>
      <c r="S310" s="62" t="e">
        <f>R310*#REF!</f>
        <v>#REF!</v>
      </c>
      <c r="T310" s="62" t="e">
        <f>S310*#REF!</f>
        <v>#REF!</v>
      </c>
      <c r="U310" s="62" t="e">
        <f>T310*#REF!</f>
        <v>#REF!</v>
      </c>
      <c r="V310" s="62" t="e">
        <f>U310*#REF!</f>
        <v>#REF!</v>
      </c>
      <c r="W310" s="34"/>
      <c r="X310" s="1">
        <f>X306*$E$9</f>
        <v>84</v>
      </c>
      <c r="Y310" s="1">
        <f t="shared" ref="Y310:AA310" si="808">Y306*$E$9</f>
        <v>54.5</v>
      </c>
      <c r="Z310" s="1">
        <f t="shared" si="808"/>
        <v>59</v>
      </c>
      <c r="AA310" s="1">
        <f t="shared" si="808"/>
        <v>63.88</v>
      </c>
      <c r="AB310" s="34">
        <f>X310*VLOOKUP($B310,Types!$B$2:$D$13,3,FALSE)*Conv!$I$5*1000*365</f>
        <v>183.41325616319997</v>
      </c>
      <c r="AC310" s="34">
        <f>Y310*VLOOKUP($B310,Types!$B$2:$D$13,3,FALSE)*Conv!$I$5*1000*365</f>
        <v>119.00026739159999</v>
      </c>
      <c r="AD310" s="34">
        <f>Z310*VLOOKUP($B310,Types!$B$2:$D$13,3,FALSE)*Conv!$I$5*1000*365</f>
        <v>128.8259775432</v>
      </c>
      <c r="AE310" s="34">
        <f>AA310*VLOOKUP($B310,Types!$B$2:$D$13,3,FALSE)*Conv!$I$5*1000*365</f>
        <v>139.48141432982399</v>
      </c>
      <c r="AF310" s="34">
        <f>AB310-AB309</f>
        <v>73.36530246528001</v>
      </c>
      <c r="AG310" s="34">
        <f t="shared" ref="AG310:AI310" si="809">AC310-AC309</f>
        <v>47.600106956640005</v>
      </c>
      <c r="AH310" s="34">
        <f t="shared" si="809"/>
        <v>51.53039101728001</v>
      </c>
      <c r="AI310" s="34">
        <f t="shared" si="809"/>
        <v>55.792565731929599</v>
      </c>
      <c r="AJ310" s="34"/>
      <c r="AK310" s="34"/>
      <c r="AL310" s="34"/>
    </row>
    <row r="311" spans="1:38">
      <c r="A311" s="1" t="str">
        <f>'Agg prdcrv'!$A$16</f>
        <v>Methanol</v>
      </c>
      <c r="B311" s="1" t="str">
        <f>VLOOKUP($A311,Types!$A$2:$C$13,2,FALSE)</f>
        <v>MTH</v>
      </c>
      <c r="C311" s="1">
        <v>3</v>
      </c>
      <c r="D311" s="1">
        <v>5</v>
      </c>
      <c r="E311" s="1" t="str">
        <f t="shared" si="796"/>
        <v>IMPMTHP53</v>
      </c>
      <c r="F311" s="1" t="str">
        <f>CONCATENATE("Imported ",VLOOKUP($A311,Types!$A$2:$C$13,3,FALSE),", PADD ",D311,", Step ",RIGHT(C311,1))</f>
        <v>Imported Methanol, PADD 5, Step 3</v>
      </c>
      <c r="G311" s="1" t="str">
        <f>CONCATENATE(VLOOKUP($A311,Types!$A$2:$C$13,2,FALSE),"P",D311)</f>
        <v>MTHP5</v>
      </c>
      <c r="H311" s="61">
        <f>SUMIFS('Agg prdcrv NYC'!$P$6:$P$100,'Agg prdcrv NYC'!$A$6:$A$100,'Imp Refined NYC'!$A311,'Agg prdcrv NYC'!$B$6:$B$100,H$11)*K4</f>
        <v>51.216000000000008</v>
      </c>
      <c r="I311" s="61">
        <f>SUMIFS('Agg prdcrv NYC'!$P$6:$P$100,'Agg prdcrv NYC'!$A$6:$A$100,'Imp Refined NYC'!$A311,'Agg prdcrv NYC'!$B$6:$B$100,I$11)*K4</f>
        <v>50.666000000000004</v>
      </c>
      <c r="J311" s="61">
        <f t="array" ref="J311">SUMIFS('Agg prdcrv NYC'!$P$6:$P$100,'Agg prdcrv NYC'!$A$6:$A$100,'Imp Refined NYC'!$A311,'Agg prdcrv NYC'!$B$6:$B$100,J$11)</f>
        <v>46.06</v>
      </c>
      <c r="K311" s="61">
        <f t="array" ref="K311">SUMIFS('Agg prdcrv NYC'!$P$6:$P$100,'Agg prdcrv NYC'!$A$6:$A$100,'Imp Refined NYC'!$A311,'Agg prdcrv NYC'!$B$6:$B$100,K$11)</f>
        <v>46.06</v>
      </c>
      <c r="L311" s="62">
        <f>H311*Conv!$J$20/10^6/VLOOKUP($B311,Types!$B$2:$D$13,3,FALSE)/Conv!$I$5</f>
        <v>27.118552419476401</v>
      </c>
      <c r="M311" s="62">
        <f>I311*Conv!$J$20/10^6/VLOOKUP($B311,Types!$B$2:$D$13,3,FALSE)/Conv!$I$5</f>
        <v>26.827330851397829</v>
      </c>
      <c r="N311" s="62" t="e">
        <f>M311*#REF!</f>
        <v>#REF!</v>
      </c>
      <c r="O311" s="62" t="e">
        <f>N311*#REF!</f>
        <v>#REF!</v>
      </c>
      <c r="P311" s="62" t="e">
        <f>O311*#REF!</f>
        <v>#REF!</v>
      </c>
      <c r="Q311" s="62" t="e">
        <f>P311*#REF!</f>
        <v>#REF!</v>
      </c>
      <c r="R311" s="62" t="e">
        <f>Q311*#REF!</f>
        <v>#REF!</v>
      </c>
      <c r="S311" s="62" t="e">
        <f>R311*#REF!</f>
        <v>#REF!</v>
      </c>
      <c r="T311" s="62" t="e">
        <f>S311*#REF!</f>
        <v>#REF!</v>
      </c>
      <c r="U311" s="62" t="e">
        <f>T311*#REF!</f>
        <v>#REF!</v>
      </c>
      <c r="V311" s="62" t="e">
        <f>U311*#REF!</f>
        <v>#REF!</v>
      </c>
      <c r="W311" s="34"/>
      <c r="X311" s="1">
        <f t="array" ref="X311">SUMIFS('Agg prdcrv NYC'!$H$6:$H$100,'Agg prdcrv NYC'!$A$6:$A$100,'Imp Refined NYC'!$A311,'Agg prdcrv NYC'!$B$6:$B$100,X$11)</f>
        <v>0.86</v>
      </c>
      <c r="Y311" s="1">
        <f t="array" ref="Y311">SUMIFS('Agg prdcrv NYC'!$H$6:$H$100,'Agg prdcrv NYC'!$A$6:$A$100,'Imp Refined NYC'!$A311,'Agg prdcrv NYC'!$B$6:$B$100,Y$11)</f>
        <v>0.77</v>
      </c>
      <c r="Z311" s="1">
        <f t="array" ref="Z311">SUMIFS('Agg prdcrv NYC'!$H$6:$H$100,'Agg prdcrv NYC'!$A$6:$A$100,'Imp Refined NYC'!$A311,'Agg prdcrv NYC'!$B$6:$B$100,Z$11)</f>
        <v>0.9</v>
      </c>
      <c r="AA311" s="1">
        <f t="array" ref="AA311">SUMIFS('Agg prdcrv NYC'!$H$6:$H$100,'Agg prdcrv NYC'!$A$6:$A$100,'Imp Refined NYC'!$A311,'Agg prdcrv NYC'!$B$6:$B$100,AA$11)</f>
        <v>1.04</v>
      </c>
      <c r="AB311" s="34">
        <f>X311*VLOOKUP($B311,Types!$B$2:$D$13,3,FALSE)*Conv!$I$5*1000*365</f>
        <v>0.90969093294911985</v>
      </c>
      <c r="AC311" s="34">
        <f>Y311*VLOOKUP($B311,Types!$B$2:$D$13,3,FALSE)*Conv!$I$5*1000*365</f>
        <v>0.81449071903583992</v>
      </c>
      <c r="AD311" s="34">
        <f>Z311*VLOOKUP($B311,Types!$B$2:$D$13,3,FALSE)*Conv!$I$5*1000*365</f>
        <v>0.95200213913279985</v>
      </c>
      <c r="AE311" s="34">
        <f>AA311*VLOOKUP($B311,Types!$B$2:$D$13,3,FALSE)*Conv!$I$5*1000*365</f>
        <v>1.1000913607756799</v>
      </c>
      <c r="AF311" s="34">
        <f>AB311-AB313</f>
        <v>9.0969093294911874E-2</v>
      </c>
      <c r="AG311" s="34">
        <f t="shared" ref="AG311:AI311" si="810">AC311-AC313</f>
        <v>8.144907190358408E-2</v>
      </c>
      <c r="AH311" s="34">
        <f t="shared" si="810"/>
        <v>9.5200213913279708E-2</v>
      </c>
      <c r="AI311" s="34">
        <f t="shared" si="810"/>
        <v>0.11000913607756801</v>
      </c>
      <c r="AJ311" s="34"/>
      <c r="AK311" s="34"/>
      <c r="AL311" s="34"/>
    </row>
    <row r="312" spans="1:38">
      <c r="A312" s="1" t="str">
        <f>A311</f>
        <v>Methanol</v>
      </c>
      <c r="B312" s="1" t="str">
        <f>VLOOKUP($A312,Types!$A$2:$C$13,2,FALSE)</f>
        <v>MTH</v>
      </c>
      <c r="C312" s="1">
        <v>1</v>
      </c>
      <c r="D312" s="1">
        <v>5</v>
      </c>
      <c r="E312" s="1" t="str">
        <f t="shared" si="796"/>
        <v>IMPMTHP51</v>
      </c>
      <c r="F312" s="1" t="str">
        <f>CONCATENATE("Imported ",VLOOKUP($A312,Types!$A$2:$C$13,3,FALSE),", PADD ",D312,", Step ",RIGHT(C312,1))</f>
        <v>Imported Methanol, PADD 5, Step 1</v>
      </c>
      <c r="G312" s="1" t="str">
        <f>CONCATENATE(VLOOKUP($A312,Types!$A$2:$C$13,2,FALSE),"P",D312)</f>
        <v>MTHP5</v>
      </c>
      <c r="H312" s="61">
        <f>H311*$C$5</f>
        <v>48.655200000000008</v>
      </c>
      <c r="I312" s="61">
        <f t="shared" ref="I312:K312" si="811">I311*$C$5</f>
        <v>48.1327</v>
      </c>
      <c r="J312" s="61">
        <f t="shared" si="811"/>
        <v>43.756999999999998</v>
      </c>
      <c r="K312" s="61">
        <f t="shared" si="811"/>
        <v>43.756999999999998</v>
      </c>
      <c r="L312" s="62">
        <f>H312*Conv!$J$20/10^6/VLOOKUP($B312,Types!$B$2:$D$13,3,FALSE)/Conv!$I$5</f>
        <v>25.762624798502582</v>
      </c>
      <c r="M312" s="62">
        <f>I312*Conv!$J$20/10^6/VLOOKUP($B312,Types!$B$2:$D$13,3,FALSE)/Conv!$I$5</f>
        <v>25.485964308827935</v>
      </c>
      <c r="N312" s="62" t="e">
        <f>M312*#REF!</f>
        <v>#REF!</v>
      </c>
      <c r="O312" s="62" t="e">
        <f>N312*#REF!</f>
        <v>#REF!</v>
      </c>
      <c r="P312" s="62" t="e">
        <f>O312*#REF!</f>
        <v>#REF!</v>
      </c>
      <c r="Q312" s="62" t="e">
        <f>P312*#REF!</f>
        <v>#REF!</v>
      </c>
      <c r="R312" s="62" t="e">
        <f>Q312*#REF!</f>
        <v>#REF!</v>
      </c>
      <c r="S312" s="62" t="e">
        <f>R312*#REF!</f>
        <v>#REF!</v>
      </c>
      <c r="T312" s="62" t="e">
        <f>S312*#REF!</f>
        <v>#REF!</v>
      </c>
      <c r="U312" s="62" t="e">
        <f>T312*#REF!</f>
        <v>#REF!</v>
      </c>
      <c r="V312" s="62" t="e">
        <f>U312*#REF!</f>
        <v>#REF!</v>
      </c>
      <c r="W312" s="34"/>
      <c r="X312" s="1">
        <f>X311*$E$5</f>
        <v>0.68800000000000006</v>
      </c>
      <c r="Y312" s="1">
        <f t="shared" ref="Y312:AA312" si="812">Y311*$E$5</f>
        <v>0.6160000000000001</v>
      </c>
      <c r="Z312" s="1">
        <f t="shared" si="812"/>
        <v>0.72000000000000008</v>
      </c>
      <c r="AA312" s="1">
        <f t="shared" si="812"/>
        <v>0.83200000000000007</v>
      </c>
      <c r="AB312" s="34">
        <f>X312*VLOOKUP($B312,Types!$B$2:$D$13,3,FALSE)*Conv!$I$5*1000*365</f>
        <v>0.72775274635929599</v>
      </c>
      <c r="AC312" s="34">
        <f>Y312*VLOOKUP($B312,Types!$B$2:$D$13,3,FALSE)*Conv!$I$5*1000*365</f>
        <v>0.65159257522867209</v>
      </c>
      <c r="AD312" s="34">
        <f>Z312*VLOOKUP($B312,Types!$B$2:$D$13,3,FALSE)*Conv!$I$5*1000*365</f>
        <v>0.76160171130623988</v>
      </c>
      <c r="AE312" s="34">
        <f>AA312*VLOOKUP($B312,Types!$B$2:$D$13,3,FALSE)*Conv!$I$5*1000*365</f>
        <v>0.88007308862054401</v>
      </c>
      <c r="AF312" s="34">
        <f>AB312</f>
        <v>0.72775274635929599</v>
      </c>
      <c r="AG312" s="34">
        <f t="shared" ref="AG312:AI312" si="813">AC312</f>
        <v>0.65159257522867209</v>
      </c>
      <c r="AH312" s="34">
        <f t="shared" si="813"/>
        <v>0.76160171130623988</v>
      </c>
      <c r="AI312" s="34">
        <f t="shared" si="813"/>
        <v>0.88007308862054401</v>
      </c>
      <c r="AJ312" s="34"/>
      <c r="AK312" s="34"/>
      <c r="AL312" s="34"/>
    </row>
    <row r="313" spans="1:38">
      <c r="A313" s="1" t="str">
        <f t="shared" ref="A313:A315" si="814">A312</f>
        <v>Methanol</v>
      </c>
      <c r="B313" s="1" t="str">
        <f>VLOOKUP($A313,Types!$A$2:$C$13,2,FALSE)</f>
        <v>MTH</v>
      </c>
      <c r="C313" s="1">
        <v>2</v>
      </c>
      <c r="D313" s="1">
        <v>5</v>
      </c>
      <c r="E313" s="1" t="str">
        <f t="shared" si="796"/>
        <v>IMPMTHP52</v>
      </c>
      <c r="F313" s="1" t="str">
        <f>CONCATENATE("Imported ",VLOOKUP($A313,Types!$A$2:$C$13,3,FALSE),", PADD ",D313,", Step ",RIGHT(C313,1))</f>
        <v>Imported Methanol, PADD 5, Step 2</v>
      </c>
      <c r="G313" s="1" t="str">
        <f>CONCATENATE(VLOOKUP($A313,Types!$A$2:$C$13,2,FALSE),"P",D313)</f>
        <v>MTHP5</v>
      </c>
      <c r="H313" s="61">
        <f>H311*$C$6</f>
        <v>50.191680000000005</v>
      </c>
      <c r="I313" s="61">
        <f t="shared" ref="I313:K313" si="815">I311*$C$6</f>
        <v>49.652680000000004</v>
      </c>
      <c r="J313" s="61">
        <f t="shared" si="815"/>
        <v>45.138800000000003</v>
      </c>
      <c r="K313" s="61">
        <f t="shared" si="815"/>
        <v>45.138800000000003</v>
      </c>
      <c r="L313" s="62">
        <f>H313*Conv!$J$20/10^6/VLOOKUP($B313,Types!$B$2:$D$13,3,FALSE)/Conv!$I$5</f>
        <v>26.576181371086872</v>
      </c>
      <c r="M313" s="62">
        <f>I313*Conv!$J$20/10^6/VLOOKUP($B313,Types!$B$2:$D$13,3,FALSE)/Conv!$I$5</f>
        <v>26.290784234369873</v>
      </c>
      <c r="N313" s="62" t="e">
        <f>M313*#REF!</f>
        <v>#REF!</v>
      </c>
      <c r="O313" s="62" t="e">
        <f>N313*#REF!</f>
        <v>#REF!</v>
      </c>
      <c r="P313" s="62" t="e">
        <f>O313*#REF!</f>
        <v>#REF!</v>
      </c>
      <c r="Q313" s="62" t="e">
        <f>P313*#REF!</f>
        <v>#REF!</v>
      </c>
      <c r="R313" s="62" t="e">
        <f>Q313*#REF!</f>
        <v>#REF!</v>
      </c>
      <c r="S313" s="62" t="e">
        <f>R313*#REF!</f>
        <v>#REF!</v>
      </c>
      <c r="T313" s="62" t="e">
        <f>S313*#REF!</f>
        <v>#REF!</v>
      </c>
      <c r="U313" s="62" t="e">
        <f>T313*#REF!</f>
        <v>#REF!</v>
      </c>
      <c r="V313" s="62" t="e">
        <f>U313*#REF!</f>
        <v>#REF!</v>
      </c>
      <c r="W313" s="34"/>
      <c r="X313" s="1">
        <f>X311*$E$6</f>
        <v>0.77400000000000002</v>
      </c>
      <c r="Y313" s="1">
        <f t="shared" ref="Y313:AA313" si="816">Y311*$E$6</f>
        <v>0.69300000000000006</v>
      </c>
      <c r="Z313" s="1">
        <f t="shared" si="816"/>
        <v>0.81</v>
      </c>
      <c r="AA313" s="1">
        <f t="shared" si="816"/>
        <v>0.93600000000000005</v>
      </c>
      <c r="AB313" s="34">
        <f>X313*VLOOKUP($B313,Types!$B$2:$D$13,3,FALSE)*Conv!$I$5*1000*365</f>
        <v>0.81872183965420797</v>
      </c>
      <c r="AC313" s="34">
        <f>Y313*VLOOKUP($B313,Types!$B$2:$D$13,3,FALSE)*Conv!$I$5*1000*365</f>
        <v>0.73304164713225584</v>
      </c>
      <c r="AD313" s="34">
        <f>Z313*VLOOKUP($B313,Types!$B$2:$D$13,3,FALSE)*Conv!$I$5*1000*365</f>
        <v>0.85680192521952014</v>
      </c>
      <c r="AE313" s="34">
        <f>AA313*VLOOKUP($B313,Types!$B$2:$D$13,3,FALSE)*Conv!$I$5*1000*365</f>
        <v>0.99008222469811191</v>
      </c>
      <c r="AF313" s="34">
        <f>AB313-AF312</f>
        <v>9.0969093294911985E-2</v>
      </c>
      <c r="AG313" s="34">
        <f t="shared" ref="AG313:AI313" si="817">AC313-AG312</f>
        <v>8.1449071903583747E-2</v>
      </c>
      <c r="AH313" s="34">
        <f t="shared" si="817"/>
        <v>9.5200213913280263E-2</v>
      </c>
      <c r="AI313" s="34">
        <f t="shared" si="817"/>
        <v>0.1100091360775679</v>
      </c>
      <c r="AJ313" s="34"/>
      <c r="AK313" s="34"/>
      <c r="AL313" s="34"/>
    </row>
    <row r="314" spans="1:38">
      <c r="A314" s="1" t="str">
        <f t="shared" si="814"/>
        <v>Methanol</v>
      </c>
      <c r="B314" s="1" t="str">
        <f>VLOOKUP($A314,Types!$A$2:$C$13,2,FALSE)</f>
        <v>MTH</v>
      </c>
      <c r="C314" s="1">
        <v>4</v>
      </c>
      <c r="D314" s="1">
        <v>5</v>
      </c>
      <c r="E314" s="1" t="str">
        <f t="shared" si="796"/>
        <v>IMPMTHP54</v>
      </c>
      <c r="F314" s="1" t="str">
        <f>CONCATENATE("Imported ",VLOOKUP($A314,Types!$A$2:$C$13,3,FALSE),", PADD ",D314,", Step ",RIGHT(C314,1))</f>
        <v>Imported Methanol, PADD 5, Step 4</v>
      </c>
      <c r="G314" s="1" t="str">
        <f>CONCATENATE(VLOOKUP($A314,Types!$A$2:$C$13,2,FALSE),"P",D314)</f>
        <v>MTHP5</v>
      </c>
      <c r="H314" s="61">
        <f>H311*$C$8</f>
        <v>55.825440000000015</v>
      </c>
      <c r="I314" s="61">
        <f t="shared" ref="I314:K314" si="818">I311*$C$8</f>
        <v>55.225940000000008</v>
      </c>
      <c r="J314" s="61">
        <f t="shared" si="818"/>
        <v>50.205400000000004</v>
      </c>
      <c r="K314" s="61">
        <f t="shared" si="818"/>
        <v>50.205400000000004</v>
      </c>
      <c r="L314" s="62">
        <f>H314*Conv!$J$20/10^6/VLOOKUP($B314,Types!$B$2:$D$13,3,FALSE)/Conv!$I$5</f>
        <v>29.55922213722928</v>
      </c>
      <c r="M314" s="62">
        <f>I314*Conv!$J$20/10^6/VLOOKUP($B314,Types!$B$2:$D$13,3,FALSE)/Conv!$I$5</f>
        <v>29.24179062802364</v>
      </c>
      <c r="N314" s="62" t="e">
        <f>M314*#REF!</f>
        <v>#REF!</v>
      </c>
      <c r="O314" s="62" t="e">
        <f>N314*#REF!</f>
        <v>#REF!</v>
      </c>
      <c r="P314" s="62" t="e">
        <f>O314*#REF!</f>
        <v>#REF!</v>
      </c>
      <c r="Q314" s="62" t="e">
        <f>P314*#REF!</f>
        <v>#REF!</v>
      </c>
      <c r="R314" s="62" t="e">
        <f>Q314*#REF!</f>
        <v>#REF!</v>
      </c>
      <c r="S314" s="62" t="e">
        <f>R314*#REF!</f>
        <v>#REF!</v>
      </c>
      <c r="T314" s="62" t="e">
        <f>S314*#REF!</f>
        <v>#REF!</v>
      </c>
      <c r="U314" s="62" t="e">
        <f>T314*#REF!</f>
        <v>#REF!</v>
      </c>
      <c r="V314" s="62" t="e">
        <f>U314*#REF!</f>
        <v>#REF!</v>
      </c>
      <c r="W314" s="34"/>
      <c r="X314" s="1">
        <f>X311*$E$8</f>
        <v>1.032</v>
      </c>
      <c r="Y314" s="1">
        <f t="shared" ref="Y314:AA314" si="819">Y311*$E$8</f>
        <v>0.92399999999999993</v>
      </c>
      <c r="Z314" s="1">
        <f t="shared" si="819"/>
        <v>1.08</v>
      </c>
      <c r="AA314" s="1">
        <f t="shared" si="819"/>
        <v>1.248</v>
      </c>
      <c r="AB314" s="34">
        <f>X314*VLOOKUP($B314,Types!$B$2:$D$13,3,FALSE)*Conv!$I$5*1000*365</f>
        <v>1.091629119538944</v>
      </c>
      <c r="AC314" s="34">
        <f>Y314*VLOOKUP($B314,Types!$B$2:$D$13,3,FALSE)*Conv!$I$5*1000*365</f>
        <v>0.97738886284300774</v>
      </c>
      <c r="AD314" s="34">
        <f>Z314*VLOOKUP($B314,Types!$B$2:$D$13,3,FALSE)*Conv!$I$5*1000*365</f>
        <v>1.14240256695936</v>
      </c>
      <c r="AE314" s="34">
        <f>AA314*VLOOKUP($B314,Types!$B$2:$D$13,3,FALSE)*Conv!$I$5*1000*365</f>
        <v>1.3201096329308157</v>
      </c>
      <c r="AF314" s="34">
        <f>AB314-AB311</f>
        <v>0.18193818658982419</v>
      </c>
      <c r="AG314" s="34">
        <f t="shared" ref="AG314:AI314" si="820">AC314-AC311</f>
        <v>0.16289814380716783</v>
      </c>
      <c r="AH314" s="34">
        <f t="shared" si="820"/>
        <v>0.19040042782656019</v>
      </c>
      <c r="AI314" s="34">
        <f t="shared" si="820"/>
        <v>0.22001827215513581</v>
      </c>
      <c r="AJ314" s="34"/>
      <c r="AK314" s="34"/>
      <c r="AL314" s="34"/>
    </row>
    <row r="315" spans="1:38">
      <c r="A315" s="1" t="str">
        <f t="shared" si="814"/>
        <v>Methanol</v>
      </c>
      <c r="B315" s="1" t="str">
        <f>VLOOKUP($A315,Types!$A$2:$C$13,2,FALSE)</f>
        <v>MTH</v>
      </c>
      <c r="C315" s="1">
        <v>5</v>
      </c>
      <c r="D315" s="1">
        <v>5</v>
      </c>
      <c r="E315" s="1" t="str">
        <f t="shared" si="796"/>
        <v>IMPMTHP55</v>
      </c>
      <c r="F315" s="1" t="str">
        <f>CONCATENATE("Imported ",VLOOKUP($A315,Types!$A$2:$C$13,3,FALSE),", PADD ",D315,", Step ",RIGHT(C315,1))</f>
        <v>Imported Methanol, PADD 5, Step 5</v>
      </c>
      <c r="G315" s="1" t="str">
        <f>CONCATENATE(VLOOKUP($A315,Types!$A$2:$C$13,2,FALSE),"P",D315)</f>
        <v>MTHP5</v>
      </c>
      <c r="H315" s="61">
        <f>H311*$C$9</f>
        <v>66.580800000000011</v>
      </c>
      <c r="I315" s="61">
        <f t="shared" ref="I315:K315" si="821">I311*$C$9</f>
        <v>65.865800000000007</v>
      </c>
      <c r="J315" s="61">
        <f t="shared" si="821"/>
        <v>59.878000000000007</v>
      </c>
      <c r="K315" s="61">
        <f t="shared" si="821"/>
        <v>59.878000000000007</v>
      </c>
      <c r="L315" s="62">
        <f>H315*Conv!$J$20/10^6/VLOOKUP($B315,Types!$B$2:$D$13,3,FALSE)/Conv!$I$5</f>
        <v>35.254118145319325</v>
      </c>
      <c r="M315" s="62">
        <f>I315*Conv!$J$20/10^6/VLOOKUP($B315,Types!$B$2:$D$13,3,FALSE)/Conv!$I$5</f>
        <v>34.875530106817173</v>
      </c>
      <c r="N315" s="62" t="e">
        <f>M315*#REF!</f>
        <v>#REF!</v>
      </c>
      <c r="O315" s="62" t="e">
        <f>N315*#REF!</f>
        <v>#REF!</v>
      </c>
      <c r="P315" s="62" t="e">
        <f>O315*#REF!</f>
        <v>#REF!</v>
      </c>
      <c r="Q315" s="62" t="e">
        <f>P315*#REF!</f>
        <v>#REF!</v>
      </c>
      <c r="R315" s="62" t="e">
        <f>Q315*#REF!</f>
        <v>#REF!</v>
      </c>
      <c r="S315" s="62" t="e">
        <f>R315*#REF!</f>
        <v>#REF!</v>
      </c>
      <c r="T315" s="62" t="e">
        <f>S315*#REF!</f>
        <v>#REF!</v>
      </c>
      <c r="U315" s="62" t="e">
        <f>T315*#REF!</f>
        <v>#REF!</v>
      </c>
      <c r="V315" s="62" t="e">
        <f>U315*#REF!</f>
        <v>#REF!</v>
      </c>
      <c r="W315" s="34"/>
      <c r="X315" s="1">
        <f>X311*$E$9</f>
        <v>1.72</v>
      </c>
      <c r="Y315" s="1">
        <f t="shared" ref="Y315:AA315" si="822">Y311*$E$9</f>
        <v>1.54</v>
      </c>
      <c r="Z315" s="1">
        <f t="shared" si="822"/>
        <v>1.8</v>
      </c>
      <c r="AA315" s="1">
        <f t="shared" si="822"/>
        <v>2.08</v>
      </c>
      <c r="AB315" s="34">
        <f>X315*VLOOKUP($B315,Types!$B$2:$D$13,3,FALSE)*Conv!$I$5*1000*365</f>
        <v>1.8193818658982397</v>
      </c>
      <c r="AC315" s="34">
        <f>Y315*VLOOKUP($B315,Types!$B$2:$D$13,3,FALSE)*Conv!$I$5*1000*365</f>
        <v>1.6289814380716798</v>
      </c>
      <c r="AD315" s="34">
        <f>Z315*VLOOKUP($B315,Types!$B$2:$D$13,3,FALSE)*Conv!$I$5*1000*365</f>
        <v>1.9040042782655997</v>
      </c>
      <c r="AE315" s="34">
        <f>AA315*VLOOKUP($B315,Types!$B$2:$D$13,3,FALSE)*Conv!$I$5*1000*365</f>
        <v>2.2001827215513599</v>
      </c>
      <c r="AF315" s="34">
        <f>AB315-AB314</f>
        <v>0.72775274635929565</v>
      </c>
      <c r="AG315" s="34">
        <f t="shared" ref="AG315:AI315" si="823">AC315-AC314</f>
        <v>0.65159257522867209</v>
      </c>
      <c r="AH315" s="34">
        <f t="shared" si="823"/>
        <v>0.76160171130623966</v>
      </c>
      <c r="AI315" s="34">
        <f t="shared" si="823"/>
        <v>0.88007308862054412</v>
      </c>
      <c r="AJ315" s="34"/>
      <c r="AK315" s="34"/>
      <c r="AL315" s="34"/>
    </row>
    <row r="316" spans="1:38">
      <c r="A316" s="1" t="str">
        <f>'Agg prdcrv'!$A$19</f>
        <v>ULS Diesel (15 ppm)</v>
      </c>
      <c r="B316" s="1" t="str">
        <f>VLOOKUP($A316,Types!$A$2:$C$13,2,FALSE)</f>
        <v>DSU</v>
      </c>
      <c r="C316" s="1">
        <v>3</v>
      </c>
      <c r="D316" s="1">
        <v>5</v>
      </c>
      <c r="E316" s="1" t="str">
        <f t="shared" si="796"/>
        <v>IMPDSUP53</v>
      </c>
      <c r="F316" s="1" t="str">
        <f>CONCATENATE("Imported ",VLOOKUP($A316,Types!$A$2:$C$13,3,FALSE),", PADD ",D316,", Step ",RIGHT(C316,1))</f>
        <v>Imported Distillate-Ultralow Sulfur Highway Diesel (15 ppm), PADD 5, Step 3</v>
      </c>
      <c r="G316" s="1" t="str">
        <f>CONCATENATE(VLOOKUP($A316,Types!$A$2:$C$13,2,FALSE),"P",D316)</f>
        <v>DSUP5</v>
      </c>
      <c r="H316" s="61">
        <f>SUMIFS('Agg prdcrv NYC'!$P$6:$P$100,'Agg prdcrv NYC'!$A$6:$A$100,'Imp Refined NYC'!$A316,'Agg prdcrv NYC'!$B$6:$B$100,H$11)*K4</f>
        <v>70.444000000000017</v>
      </c>
      <c r="I316" s="61">
        <f>SUMIFS('Agg prdcrv NYC'!$P$6:$P$100,'Agg prdcrv NYC'!$A$6:$A$100,'Imp Refined NYC'!$A316,'Agg prdcrv NYC'!$B$6:$B$100,I$11)*K4</f>
        <v>54.560000000000009</v>
      </c>
      <c r="J316" s="61">
        <f t="array" ref="J316">SUMIFS('Agg prdcrv NYC'!$P$6:$P$100,'Agg prdcrv NYC'!$A$6:$A$100,'Imp Refined NYC'!$A316,'Agg prdcrv NYC'!$B$6:$B$100,J$11)</f>
        <v>42.21</v>
      </c>
      <c r="K316" s="61">
        <f t="array" ref="K316">SUMIFS('Agg prdcrv NYC'!$P$6:$P$100,'Agg prdcrv NYC'!$A$6:$A$100,'Imp Refined NYC'!$A316,'Agg prdcrv NYC'!$B$6:$B$100,K$11)</f>
        <v>44.43</v>
      </c>
      <c r="L316" s="62">
        <f>H316*Conv!$J$20/10^6/VLOOKUP($B316,Types!$B$2:$D$13,3,FALSE)/Conv!$I$5</f>
        <v>17.588790008863068</v>
      </c>
      <c r="M316" s="62">
        <f>I316*Conv!$J$20/10^6/VLOOKUP($B316,Types!$B$2:$D$13,3,FALSE)/Conv!$I$5</f>
        <v>13.622798008113806</v>
      </c>
      <c r="N316" s="62" t="e">
        <f>M316*#REF!</f>
        <v>#REF!</v>
      </c>
      <c r="O316" s="62" t="e">
        <f>N316*#REF!</f>
        <v>#REF!</v>
      </c>
      <c r="P316" s="62" t="e">
        <f>O316*#REF!</f>
        <v>#REF!</v>
      </c>
      <c r="Q316" s="62" t="e">
        <f>P316*#REF!</f>
        <v>#REF!</v>
      </c>
      <c r="R316" s="62" t="e">
        <f>Q316*#REF!</f>
        <v>#REF!</v>
      </c>
      <c r="S316" s="62" t="e">
        <f>R316*#REF!</f>
        <v>#REF!</v>
      </c>
      <c r="T316" s="62" t="e">
        <f>S316*#REF!</f>
        <v>#REF!</v>
      </c>
      <c r="U316" s="62" t="e">
        <f>T316*#REF!</f>
        <v>#REF!</v>
      </c>
      <c r="V316" s="62" t="e">
        <f>U316*#REF!</f>
        <v>#REF!</v>
      </c>
      <c r="W316" s="34"/>
      <c r="X316" s="1">
        <f t="array" ref="X316">SUMIFS('Agg prdcrv NYC'!$H$6:$H$100,'Agg prdcrv NYC'!$A$6:$A$100,'Imp Refined NYC'!$A316,'Agg prdcrv NYC'!$B$6:$B$100,X$11)</f>
        <v>4.3499999999999996</v>
      </c>
      <c r="Y316" s="1">
        <f t="array" ref="Y316">SUMIFS('Agg prdcrv NYC'!$H$6:$H$100,'Agg prdcrv NYC'!$A$6:$A$100,'Imp Refined NYC'!$A316,'Agg prdcrv NYC'!$B$6:$B$100,Y$11)</f>
        <v>14.48</v>
      </c>
      <c r="Z316" s="1">
        <f t="array" ref="Z316">SUMIFS('Agg prdcrv NYC'!$H$6:$H$100,'Agg prdcrv NYC'!$A$6:$A$100,'Imp Refined NYC'!$A316,'Agg prdcrv NYC'!$B$6:$B$100,Z$11)</f>
        <v>17.190000000000001</v>
      </c>
      <c r="AA316" s="1">
        <f t="array" ref="AA316">SUMIFS('Agg prdcrv NYC'!$H$6:$H$100,'Agg prdcrv NYC'!$A$6:$A$100,'Imp Refined NYC'!$A316,'Agg prdcrv NYC'!$B$6:$B$100,AA$11)</f>
        <v>20.420000000000002</v>
      </c>
      <c r="AB316" s="34">
        <f>X316*VLOOKUP($B316,Types!$B$2:$D$13,3,FALSE)*Conv!$I$5*1000*365</f>
        <v>9.7578370802999981</v>
      </c>
      <c r="AC316" s="34">
        <f>Y316*VLOOKUP($B316,Types!$B$2:$D$13,3,FALSE)*Conv!$I$5*1000*365</f>
        <v>32.481259982239997</v>
      </c>
      <c r="AD316" s="34">
        <f>Z316*VLOOKUP($B316,Types!$B$2:$D$13,3,FALSE)*Conv!$I$5*1000*365</f>
        <v>38.560280324220003</v>
      </c>
      <c r="AE316" s="34">
        <f>AA316*VLOOKUP($B316,Types!$B$2:$D$13,3,FALSE)*Conv!$I$5*1000*365</f>
        <v>45.805754753960002</v>
      </c>
      <c r="AF316" s="34">
        <f>AB316-AB318</f>
        <v>0.97578370802999892</v>
      </c>
      <c r="AG316" s="34">
        <f t="shared" ref="AG316:AI316" si="824">AC316-AC318</f>
        <v>3.2481259982240012</v>
      </c>
      <c r="AH316" s="34">
        <f t="shared" si="824"/>
        <v>3.8560280324220031</v>
      </c>
      <c r="AI316" s="34">
        <f t="shared" si="824"/>
        <v>4.580575475395996</v>
      </c>
      <c r="AJ316" s="34"/>
      <c r="AK316" s="34"/>
      <c r="AL316" s="34"/>
    </row>
    <row r="317" spans="1:38">
      <c r="A317" s="1" t="str">
        <f>A316</f>
        <v>ULS Diesel (15 ppm)</v>
      </c>
      <c r="B317" s="1" t="str">
        <f>VLOOKUP($A317,Types!$A$2:$C$13,2,FALSE)</f>
        <v>DSU</v>
      </c>
      <c r="C317" s="1">
        <v>1</v>
      </c>
      <c r="D317" s="1">
        <v>5</v>
      </c>
      <c r="E317" s="1" t="str">
        <f t="shared" si="796"/>
        <v>IMPDSUP51</v>
      </c>
      <c r="F317" s="1" t="str">
        <f>CONCATENATE("Imported ",VLOOKUP($A317,Types!$A$2:$C$13,3,FALSE),", PADD ",D317,", Step ",RIGHT(C317,1))</f>
        <v>Imported Distillate-Ultralow Sulfur Highway Diesel (15 ppm), PADD 5, Step 1</v>
      </c>
      <c r="G317" s="1" t="str">
        <f>CONCATENATE(VLOOKUP($A317,Types!$A$2:$C$13,2,FALSE),"P",D317)</f>
        <v>DSUP5</v>
      </c>
      <c r="H317" s="61">
        <f>H316*$C$5</f>
        <v>66.921800000000019</v>
      </c>
      <c r="I317" s="61">
        <f t="shared" ref="I317:K317" si="825">I316*$C$5</f>
        <v>51.832000000000008</v>
      </c>
      <c r="J317" s="61">
        <f t="shared" si="825"/>
        <v>40.099499999999999</v>
      </c>
      <c r="K317" s="61">
        <f t="shared" si="825"/>
        <v>42.208500000000001</v>
      </c>
      <c r="L317" s="62">
        <f>H317*Conv!$J$20/10^6/VLOOKUP($B317,Types!$B$2:$D$13,3,FALSE)/Conv!$I$5</f>
        <v>16.709350508419917</v>
      </c>
      <c r="M317" s="62">
        <f>I317*Conv!$J$20/10^6/VLOOKUP($B317,Types!$B$2:$D$13,3,FALSE)/Conv!$I$5</f>
        <v>12.941658107708117</v>
      </c>
      <c r="N317" s="62" t="e">
        <f>M317*#REF!</f>
        <v>#REF!</v>
      </c>
      <c r="O317" s="62" t="e">
        <f>N317*#REF!</f>
        <v>#REF!</v>
      </c>
      <c r="P317" s="62" t="e">
        <f>O317*#REF!</f>
        <v>#REF!</v>
      </c>
      <c r="Q317" s="62" t="e">
        <f>P317*#REF!</f>
        <v>#REF!</v>
      </c>
      <c r="R317" s="62" t="e">
        <f>Q317*#REF!</f>
        <v>#REF!</v>
      </c>
      <c r="S317" s="62" t="e">
        <f>R317*#REF!</f>
        <v>#REF!</v>
      </c>
      <c r="T317" s="62" t="e">
        <f>S317*#REF!</f>
        <v>#REF!</v>
      </c>
      <c r="U317" s="62" t="e">
        <f>T317*#REF!</f>
        <v>#REF!</v>
      </c>
      <c r="V317" s="62" t="e">
        <f>U317*#REF!</f>
        <v>#REF!</v>
      </c>
      <c r="W317" s="34"/>
      <c r="X317" s="1">
        <f>X316*$E$5</f>
        <v>3.48</v>
      </c>
      <c r="Y317" s="1">
        <f t="shared" ref="Y317:AA317" si="826">Y316*$E$5</f>
        <v>11.584000000000001</v>
      </c>
      <c r="Z317" s="1">
        <f t="shared" si="826"/>
        <v>13.752000000000002</v>
      </c>
      <c r="AA317" s="1">
        <f t="shared" si="826"/>
        <v>16.336000000000002</v>
      </c>
      <c r="AB317" s="34">
        <f>X317*VLOOKUP($B317,Types!$B$2:$D$13,3,FALSE)*Conv!$I$5*1000*365</f>
        <v>7.8062696642399994</v>
      </c>
      <c r="AC317" s="34">
        <f>Y317*VLOOKUP($B317,Types!$B$2:$D$13,3,FALSE)*Conv!$I$5*1000*365</f>
        <v>25.985007985792006</v>
      </c>
      <c r="AD317" s="34">
        <f>Z317*VLOOKUP($B317,Types!$B$2:$D$13,3,FALSE)*Conv!$I$5*1000*365</f>
        <v>30.848224259376003</v>
      </c>
      <c r="AE317" s="34">
        <f>AA317*VLOOKUP($B317,Types!$B$2:$D$13,3,FALSE)*Conv!$I$5*1000*365</f>
        <v>36.644603803168003</v>
      </c>
      <c r="AF317" s="34">
        <f>AB317</f>
        <v>7.8062696642399994</v>
      </c>
      <c r="AG317" s="34">
        <f t="shared" ref="AG317:AI317" si="827">AC317</f>
        <v>25.985007985792006</v>
      </c>
      <c r="AH317" s="34">
        <f t="shared" si="827"/>
        <v>30.848224259376003</v>
      </c>
      <c r="AI317" s="34">
        <f t="shared" si="827"/>
        <v>36.644603803168003</v>
      </c>
      <c r="AJ317" s="34"/>
      <c r="AK317" s="34"/>
      <c r="AL317" s="34"/>
    </row>
    <row r="318" spans="1:38">
      <c r="A318" s="1" t="str">
        <f t="shared" ref="A318:A320" si="828">A317</f>
        <v>ULS Diesel (15 ppm)</v>
      </c>
      <c r="B318" s="1" t="str">
        <f>VLOOKUP($A318,Types!$A$2:$C$13,2,FALSE)</f>
        <v>DSU</v>
      </c>
      <c r="C318" s="1">
        <v>2</v>
      </c>
      <c r="D318" s="1">
        <v>5</v>
      </c>
      <c r="E318" s="1" t="str">
        <f t="shared" si="796"/>
        <v>IMPDSUP52</v>
      </c>
      <c r="F318" s="1" t="str">
        <f>CONCATENATE("Imported ",VLOOKUP($A318,Types!$A$2:$C$13,3,FALSE),", PADD ",D318,", Step ",RIGHT(C318,1))</f>
        <v>Imported Distillate-Ultralow Sulfur Highway Diesel (15 ppm), PADD 5, Step 2</v>
      </c>
      <c r="G318" s="1" t="str">
        <f>CONCATENATE(VLOOKUP($A318,Types!$A$2:$C$13,2,FALSE),"P",D318)</f>
        <v>DSUP5</v>
      </c>
      <c r="H318" s="61">
        <f>H316*$C$6</f>
        <v>69.03512000000002</v>
      </c>
      <c r="I318" s="61">
        <f t="shared" ref="I318:K318" si="829">I316*$C$6</f>
        <v>53.468800000000009</v>
      </c>
      <c r="J318" s="61">
        <f t="shared" si="829"/>
        <v>41.3658</v>
      </c>
      <c r="K318" s="61">
        <f t="shared" si="829"/>
        <v>43.541399999999996</v>
      </c>
      <c r="L318" s="62">
        <f>H318*Conv!$J$20/10^6/VLOOKUP($B318,Types!$B$2:$D$13,3,FALSE)/Conv!$I$5</f>
        <v>17.237014208685807</v>
      </c>
      <c r="M318" s="62">
        <f>I318*Conv!$J$20/10^6/VLOOKUP($B318,Types!$B$2:$D$13,3,FALSE)/Conv!$I$5</f>
        <v>13.350342047951532</v>
      </c>
      <c r="N318" s="62" t="e">
        <f>M318*#REF!</f>
        <v>#REF!</v>
      </c>
      <c r="O318" s="62" t="e">
        <f>N318*#REF!</f>
        <v>#REF!</v>
      </c>
      <c r="P318" s="62" t="e">
        <f>O318*#REF!</f>
        <v>#REF!</v>
      </c>
      <c r="Q318" s="62" t="e">
        <f>P318*#REF!</f>
        <v>#REF!</v>
      </c>
      <c r="R318" s="62" t="e">
        <f>Q318*#REF!</f>
        <v>#REF!</v>
      </c>
      <c r="S318" s="62" t="e">
        <f>R318*#REF!</f>
        <v>#REF!</v>
      </c>
      <c r="T318" s="62" t="e">
        <f>S318*#REF!</f>
        <v>#REF!</v>
      </c>
      <c r="U318" s="62" t="e">
        <f>T318*#REF!</f>
        <v>#REF!</v>
      </c>
      <c r="V318" s="62" t="e">
        <f>U318*#REF!</f>
        <v>#REF!</v>
      </c>
      <c r="W318" s="34"/>
      <c r="X318" s="1">
        <f>X316*$E$6</f>
        <v>3.9149999999999996</v>
      </c>
      <c r="Y318" s="1">
        <f t="shared" ref="Y318:AA318" si="830">Y316*$E$6</f>
        <v>13.032</v>
      </c>
      <c r="Z318" s="1">
        <f t="shared" si="830"/>
        <v>15.471000000000002</v>
      </c>
      <c r="AA318" s="1">
        <f t="shared" si="830"/>
        <v>18.378000000000004</v>
      </c>
      <c r="AB318" s="34">
        <f>X318*VLOOKUP($B318,Types!$B$2:$D$13,3,FALSE)*Conv!$I$5*1000*365</f>
        <v>8.7820533722699992</v>
      </c>
      <c r="AC318" s="34">
        <f>Y318*VLOOKUP($B318,Types!$B$2:$D$13,3,FALSE)*Conv!$I$5*1000*365</f>
        <v>29.233133984015996</v>
      </c>
      <c r="AD318" s="34">
        <f>Z318*VLOOKUP($B318,Types!$B$2:$D$13,3,FALSE)*Conv!$I$5*1000*365</f>
        <v>34.704252291797999</v>
      </c>
      <c r="AE318" s="34">
        <f>AA318*VLOOKUP($B318,Types!$B$2:$D$13,3,FALSE)*Conv!$I$5*1000*365</f>
        <v>41.225179278564006</v>
      </c>
      <c r="AF318" s="34">
        <f>AB318-AF317</f>
        <v>0.97578370802999981</v>
      </c>
      <c r="AG318" s="34">
        <f t="shared" ref="AG318:AI318" si="831">AC318-AG317</f>
        <v>3.2481259982239905</v>
      </c>
      <c r="AH318" s="34">
        <f t="shared" si="831"/>
        <v>3.856028032421996</v>
      </c>
      <c r="AI318" s="34">
        <f t="shared" si="831"/>
        <v>4.5805754753960031</v>
      </c>
      <c r="AJ318" s="34"/>
      <c r="AK318" s="34"/>
      <c r="AL318" s="34"/>
    </row>
    <row r="319" spans="1:38">
      <c r="A319" s="1" t="str">
        <f t="shared" si="828"/>
        <v>ULS Diesel (15 ppm)</v>
      </c>
      <c r="B319" s="1" t="str">
        <f>VLOOKUP($A319,Types!$A$2:$C$13,2,FALSE)</f>
        <v>DSU</v>
      </c>
      <c r="C319" s="1">
        <v>4</v>
      </c>
      <c r="D319" s="1">
        <v>5</v>
      </c>
      <c r="E319" s="1" t="str">
        <f t="shared" si="796"/>
        <v>IMPDSUP54</v>
      </c>
      <c r="F319" s="1" t="str">
        <f>CONCATENATE("Imported ",VLOOKUP($A319,Types!$A$2:$C$13,3,FALSE),", PADD ",D319,", Step ",RIGHT(C319,1))</f>
        <v>Imported Distillate-Ultralow Sulfur Highway Diesel (15 ppm), PADD 5, Step 4</v>
      </c>
      <c r="G319" s="1" t="str">
        <f>CONCATENATE(VLOOKUP($A319,Types!$A$2:$C$13,2,FALSE),"P",D319)</f>
        <v>DSUP5</v>
      </c>
      <c r="H319" s="61">
        <f>H316*$C$8</f>
        <v>76.783960000000022</v>
      </c>
      <c r="I319" s="61">
        <f t="shared" ref="I319:K319" si="832">I316*$C$8</f>
        <v>59.470400000000012</v>
      </c>
      <c r="J319" s="61">
        <f t="shared" si="832"/>
        <v>46.008900000000004</v>
      </c>
      <c r="K319" s="61">
        <f t="shared" si="832"/>
        <v>48.428700000000006</v>
      </c>
      <c r="L319" s="62">
        <f>H319*Conv!$J$20/10^6/VLOOKUP($B319,Types!$B$2:$D$13,3,FALSE)/Conv!$I$5</f>
        <v>19.171781109660749</v>
      </c>
      <c r="M319" s="62">
        <f>I319*Conv!$J$20/10^6/VLOOKUP($B319,Types!$B$2:$D$13,3,FALSE)/Conv!$I$5</f>
        <v>14.848849828844047</v>
      </c>
      <c r="N319" s="62" t="e">
        <f>M319*#REF!</f>
        <v>#REF!</v>
      </c>
      <c r="O319" s="62" t="e">
        <f>N319*#REF!</f>
        <v>#REF!</v>
      </c>
      <c r="P319" s="62" t="e">
        <f>O319*#REF!</f>
        <v>#REF!</v>
      </c>
      <c r="Q319" s="62" t="e">
        <f>P319*#REF!</f>
        <v>#REF!</v>
      </c>
      <c r="R319" s="62" t="e">
        <f>Q319*#REF!</f>
        <v>#REF!</v>
      </c>
      <c r="S319" s="62" t="e">
        <f>R319*#REF!</f>
        <v>#REF!</v>
      </c>
      <c r="T319" s="62" t="e">
        <f>S319*#REF!</f>
        <v>#REF!</v>
      </c>
      <c r="U319" s="62" t="e">
        <f>T319*#REF!</f>
        <v>#REF!</v>
      </c>
      <c r="V319" s="62" t="e">
        <f>U319*#REF!</f>
        <v>#REF!</v>
      </c>
      <c r="W319" s="34"/>
      <c r="X319" s="1">
        <f>X316*$E$8</f>
        <v>5.22</v>
      </c>
      <c r="Y319" s="1">
        <f t="shared" ref="Y319:AA319" si="833">Y316*$E$8</f>
        <v>17.376000000000001</v>
      </c>
      <c r="Z319" s="1">
        <f t="shared" si="833"/>
        <v>20.628</v>
      </c>
      <c r="AA319" s="1">
        <f t="shared" si="833"/>
        <v>24.504000000000001</v>
      </c>
      <c r="AB319" s="34">
        <f>X319*VLOOKUP($B319,Types!$B$2:$D$13,3,FALSE)*Conv!$I$5*1000*365</f>
        <v>11.709404496359999</v>
      </c>
      <c r="AC319" s="34">
        <f>Y319*VLOOKUP($B319,Types!$B$2:$D$13,3,FALSE)*Conv!$I$5*1000*365</f>
        <v>38.977511978688</v>
      </c>
      <c r="AD319" s="34">
        <f>Z319*VLOOKUP($B319,Types!$B$2:$D$13,3,FALSE)*Conv!$I$5*1000*365</f>
        <v>46.272336389063994</v>
      </c>
      <c r="AE319" s="34">
        <f>AA319*VLOOKUP($B319,Types!$B$2:$D$13,3,FALSE)*Conv!$I$5*1000*365</f>
        <v>54.966905704751994</v>
      </c>
      <c r="AF319" s="34">
        <f>AB319-AB316</f>
        <v>1.9515674160600014</v>
      </c>
      <c r="AG319" s="34">
        <f t="shared" ref="AG319:AI319" si="834">AC319-AC316</f>
        <v>6.4962519964480023</v>
      </c>
      <c r="AH319" s="34">
        <f t="shared" si="834"/>
        <v>7.712056064843992</v>
      </c>
      <c r="AI319" s="34">
        <f t="shared" si="834"/>
        <v>9.1611509507919919</v>
      </c>
      <c r="AJ319" s="34"/>
      <c r="AK319" s="34"/>
      <c r="AL319" s="34"/>
    </row>
    <row r="320" spans="1:38">
      <c r="A320" s="1" t="str">
        <f t="shared" si="828"/>
        <v>ULS Diesel (15 ppm)</v>
      </c>
      <c r="B320" s="1" t="str">
        <f>VLOOKUP($A320,Types!$A$2:$C$13,2,FALSE)</f>
        <v>DSU</v>
      </c>
      <c r="C320" s="1">
        <v>5</v>
      </c>
      <c r="D320" s="1">
        <v>5</v>
      </c>
      <c r="E320" s="1" t="str">
        <f t="shared" si="796"/>
        <v>IMPDSUP55</v>
      </c>
      <c r="F320" s="1" t="str">
        <f>CONCATENATE("Imported ",VLOOKUP($A320,Types!$A$2:$C$13,3,FALSE),", PADD ",D320,", Step ",RIGHT(C320,1))</f>
        <v>Imported Distillate-Ultralow Sulfur Highway Diesel (15 ppm), PADD 5, Step 5</v>
      </c>
      <c r="G320" s="1" t="str">
        <f>CONCATENATE(VLOOKUP($A320,Types!$A$2:$C$13,2,FALSE),"P",D320)</f>
        <v>DSUP5</v>
      </c>
      <c r="H320" s="61">
        <f>H316*$C$9</f>
        <v>91.577200000000019</v>
      </c>
      <c r="I320" s="61">
        <f t="shared" ref="I320:K320" si="835">I316*$C$9</f>
        <v>70.928000000000011</v>
      </c>
      <c r="J320" s="61">
        <f t="shared" si="835"/>
        <v>54.873000000000005</v>
      </c>
      <c r="K320" s="61">
        <f t="shared" si="835"/>
        <v>57.759</v>
      </c>
      <c r="L320" s="62">
        <f>H320*Conv!$J$20/10^6/VLOOKUP($B320,Types!$B$2:$D$13,3,FALSE)/Conv!$I$5</f>
        <v>22.865427011521987</v>
      </c>
      <c r="M320" s="62">
        <f>I320*Conv!$J$20/10^6/VLOOKUP($B320,Types!$B$2:$D$13,3,FALSE)/Conv!$I$5</f>
        <v>17.709637410547948</v>
      </c>
      <c r="N320" s="62" t="e">
        <f>M320*#REF!</f>
        <v>#REF!</v>
      </c>
      <c r="O320" s="62" t="e">
        <f>N320*#REF!</f>
        <v>#REF!</v>
      </c>
      <c r="P320" s="62" t="e">
        <f>O320*#REF!</f>
        <v>#REF!</v>
      </c>
      <c r="Q320" s="62" t="e">
        <f>P320*#REF!</f>
        <v>#REF!</v>
      </c>
      <c r="R320" s="62" t="e">
        <f>Q320*#REF!</f>
        <v>#REF!</v>
      </c>
      <c r="S320" s="62" t="e">
        <f>R320*#REF!</f>
        <v>#REF!</v>
      </c>
      <c r="T320" s="62" t="e">
        <f>S320*#REF!</f>
        <v>#REF!</v>
      </c>
      <c r="U320" s="62" t="e">
        <f>T320*#REF!</f>
        <v>#REF!</v>
      </c>
      <c r="V320" s="62" t="e">
        <f>U320*#REF!</f>
        <v>#REF!</v>
      </c>
      <c r="W320" s="34"/>
      <c r="X320" s="1">
        <f>X316*$E$9</f>
        <v>8.6999999999999993</v>
      </c>
      <c r="Y320" s="1">
        <f t="shared" ref="Y320:AA320" si="836">Y316*$E$9</f>
        <v>28.96</v>
      </c>
      <c r="Z320" s="1">
        <f t="shared" si="836"/>
        <v>34.380000000000003</v>
      </c>
      <c r="AA320" s="1">
        <f t="shared" si="836"/>
        <v>40.840000000000003</v>
      </c>
      <c r="AB320" s="34">
        <f>X320*VLOOKUP($B320,Types!$B$2:$D$13,3,FALSE)*Conv!$I$5*1000*365</f>
        <v>19.515674160599996</v>
      </c>
      <c r="AC320" s="34">
        <f>Y320*VLOOKUP($B320,Types!$B$2:$D$13,3,FALSE)*Conv!$I$5*1000*365</f>
        <v>64.962519964479995</v>
      </c>
      <c r="AD320" s="34">
        <f>Z320*VLOOKUP($B320,Types!$B$2:$D$13,3,FALSE)*Conv!$I$5*1000*365</f>
        <v>77.120560648440005</v>
      </c>
      <c r="AE320" s="34">
        <f>AA320*VLOOKUP($B320,Types!$B$2:$D$13,3,FALSE)*Conv!$I$5*1000*365</f>
        <v>91.611509507920005</v>
      </c>
      <c r="AF320" s="34">
        <f>AB320-AB319</f>
        <v>7.8062696642399967</v>
      </c>
      <c r="AG320" s="34">
        <f t="shared" ref="AG320:AI320" si="837">AC320-AC319</f>
        <v>25.985007985791995</v>
      </c>
      <c r="AH320" s="34">
        <f t="shared" si="837"/>
        <v>30.848224259376011</v>
      </c>
      <c r="AI320" s="34">
        <f t="shared" si="837"/>
        <v>36.64460380316801</v>
      </c>
      <c r="AJ320" s="34"/>
      <c r="AK320" s="34"/>
      <c r="AL320" s="34"/>
    </row>
    <row r="321" spans="1:38">
      <c r="A321" s="1" t="s">
        <v>398</v>
      </c>
      <c r="L321" s="34"/>
      <c r="M321" s="34"/>
      <c r="N321" s="34"/>
      <c r="O321" s="34"/>
      <c r="P321" s="34"/>
      <c r="Q321" s="34"/>
      <c r="R321" s="34"/>
      <c r="S321" s="34"/>
      <c r="T321" s="34"/>
      <c r="U321" s="34"/>
      <c r="V321" s="34"/>
      <c r="W321" s="34"/>
      <c r="AB321" s="34"/>
      <c r="AC321" s="34"/>
      <c r="AD321" s="34"/>
      <c r="AE321" s="34"/>
      <c r="AF321" s="34"/>
      <c r="AG321" s="34"/>
      <c r="AH321" s="34"/>
      <c r="AI321" s="34"/>
      <c r="AJ321" s="34"/>
      <c r="AK321" s="34"/>
      <c r="AL321" s="34"/>
    </row>
    <row r="322" spans="1:38">
      <c r="L322" s="34"/>
      <c r="M322" s="34"/>
      <c r="N322" s="34"/>
      <c r="O322" s="34"/>
      <c r="P322" s="34"/>
      <c r="Q322" s="34"/>
      <c r="R322" s="34"/>
      <c r="S322" s="34"/>
      <c r="T322" s="34"/>
      <c r="U322" s="34"/>
      <c r="V322" s="34"/>
      <c r="W322" s="34"/>
      <c r="AB322" s="34"/>
      <c r="AC322" s="34"/>
      <c r="AD322" s="34"/>
      <c r="AE322" s="34"/>
      <c r="AF322" s="34"/>
      <c r="AG322" s="34"/>
      <c r="AH322" s="34"/>
      <c r="AI322" s="34"/>
      <c r="AJ322" s="34"/>
      <c r="AK322" s="34"/>
      <c r="AL322" s="34"/>
    </row>
    <row r="323" spans="1:38">
      <c r="L323" s="34"/>
      <c r="M323" s="34"/>
      <c r="N323" s="34"/>
      <c r="O323" s="34"/>
      <c r="P323" s="34"/>
      <c r="Q323" s="34"/>
      <c r="R323" s="34"/>
      <c r="S323" s="34"/>
      <c r="T323" s="34"/>
      <c r="U323" s="34"/>
      <c r="V323" s="34"/>
      <c r="W323" s="34"/>
      <c r="AB323" s="34"/>
      <c r="AC323" s="34"/>
      <c r="AD323" s="34"/>
      <c r="AE323" s="34"/>
      <c r="AF323" s="34"/>
      <c r="AG323" s="34"/>
      <c r="AH323" s="34"/>
      <c r="AI323" s="34"/>
      <c r="AJ323" s="34"/>
      <c r="AK323" s="34"/>
      <c r="AL323" s="34"/>
    </row>
    <row r="324" spans="1:38">
      <c r="L324" s="34"/>
      <c r="M324" s="34"/>
      <c r="N324" s="34"/>
      <c r="O324" s="34"/>
      <c r="P324" s="34"/>
      <c r="Q324" s="34"/>
      <c r="R324" s="34"/>
      <c r="S324" s="34"/>
      <c r="T324" s="34"/>
      <c r="U324" s="34"/>
      <c r="V324" s="34"/>
      <c r="W324" s="34"/>
      <c r="AB324" s="34"/>
      <c r="AC324" s="34"/>
      <c r="AD324" s="34"/>
      <c r="AE324" s="34"/>
      <c r="AF324" s="34"/>
      <c r="AG324" s="34"/>
      <c r="AH324" s="34"/>
      <c r="AI324" s="34"/>
      <c r="AJ324" s="34"/>
      <c r="AK324" s="34"/>
      <c r="AL324" s="34"/>
    </row>
    <row r="325" spans="1:38">
      <c r="L325" s="34"/>
      <c r="M325" s="34"/>
      <c r="N325" s="34"/>
      <c r="O325" s="34"/>
      <c r="P325" s="34"/>
      <c r="Q325" s="34"/>
      <c r="R325" s="34"/>
      <c r="S325" s="34"/>
      <c r="T325" s="34"/>
      <c r="U325" s="34"/>
      <c r="V325" s="34"/>
      <c r="W325" s="34"/>
      <c r="AB325" s="34"/>
      <c r="AC325" s="34"/>
      <c r="AD325" s="34"/>
      <c r="AE325" s="34"/>
      <c r="AF325" s="34"/>
      <c r="AG325" s="34"/>
      <c r="AH325" s="34"/>
      <c r="AI325" s="34"/>
      <c r="AJ325" s="34"/>
      <c r="AK325" s="34"/>
      <c r="AL325" s="34"/>
    </row>
    <row r="326" spans="1:38">
      <c r="L326" s="34"/>
      <c r="M326" s="34"/>
      <c r="N326" s="34"/>
      <c r="O326" s="34"/>
      <c r="P326" s="34"/>
      <c r="Q326" s="34"/>
      <c r="R326" s="34"/>
      <c r="S326" s="34"/>
      <c r="T326" s="34"/>
      <c r="U326" s="34"/>
      <c r="V326" s="34"/>
      <c r="W326" s="34"/>
      <c r="AB326" s="34"/>
      <c r="AC326" s="34"/>
      <c r="AD326" s="34"/>
      <c r="AE326" s="34"/>
      <c r="AF326" s="34"/>
      <c r="AG326" s="34"/>
      <c r="AH326" s="34"/>
      <c r="AI326" s="34"/>
      <c r="AJ326" s="34"/>
      <c r="AK326" s="34"/>
      <c r="AL326" s="34"/>
    </row>
    <row r="327" spans="1:38">
      <c r="L327" s="34"/>
      <c r="M327" s="34"/>
      <c r="N327" s="34"/>
      <c r="O327" s="34"/>
      <c r="P327" s="34"/>
      <c r="Q327" s="34"/>
      <c r="R327" s="34"/>
      <c r="S327" s="34"/>
      <c r="T327" s="34"/>
      <c r="U327" s="34"/>
      <c r="V327" s="34"/>
      <c r="W327" s="34"/>
      <c r="AB327" s="34"/>
      <c r="AC327" s="34"/>
      <c r="AD327" s="34"/>
      <c r="AE327" s="34"/>
      <c r="AF327" s="34"/>
      <c r="AG327" s="34"/>
      <c r="AH327" s="34"/>
      <c r="AI327" s="34"/>
      <c r="AJ327" s="34"/>
      <c r="AK327" s="34"/>
      <c r="AL327" s="34"/>
    </row>
    <row r="328" spans="1:38">
      <c r="L328" s="34"/>
      <c r="M328" s="34"/>
      <c r="N328" s="34"/>
      <c r="O328" s="34"/>
      <c r="P328" s="34"/>
      <c r="Q328" s="34"/>
      <c r="R328" s="34"/>
      <c r="S328" s="34"/>
      <c r="T328" s="34"/>
      <c r="U328" s="34"/>
      <c r="V328" s="34"/>
      <c r="W328" s="34"/>
      <c r="AB328" s="34"/>
      <c r="AC328" s="34"/>
      <c r="AD328" s="34"/>
      <c r="AE328" s="34"/>
      <c r="AF328" s="34"/>
      <c r="AG328" s="34"/>
      <c r="AH328" s="34"/>
      <c r="AI328" s="34"/>
      <c r="AJ328" s="34"/>
      <c r="AK328" s="34"/>
      <c r="AL328" s="34"/>
    </row>
    <row r="329" spans="1:38">
      <c r="L329" s="34"/>
      <c r="M329" s="34"/>
      <c r="N329" s="34"/>
      <c r="O329" s="34"/>
      <c r="P329" s="34"/>
      <c r="Q329" s="34"/>
      <c r="R329" s="34"/>
      <c r="S329" s="34"/>
      <c r="T329" s="34"/>
      <c r="U329" s="34"/>
      <c r="V329" s="34"/>
      <c r="W329" s="34"/>
      <c r="AB329" s="34"/>
      <c r="AC329" s="34"/>
      <c r="AD329" s="34"/>
      <c r="AE329" s="34"/>
      <c r="AF329" s="34"/>
      <c r="AG329" s="34"/>
      <c r="AH329" s="34"/>
      <c r="AI329" s="34"/>
      <c r="AJ329" s="34"/>
      <c r="AK329" s="34"/>
      <c r="AL329" s="34"/>
    </row>
    <row r="330" spans="1:38">
      <c r="L330" s="34"/>
      <c r="M330" s="34"/>
      <c r="N330" s="34"/>
      <c r="O330" s="34"/>
      <c r="P330" s="34"/>
      <c r="Q330" s="34"/>
      <c r="R330" s="34"/>
      <c r="S330" s="34"/>
      <c r="T330" s="34"/>
      <c r="U330" s="34"/>
      <c r="V330" s="34"/>
      <c r="W330" s="34"/>
      <c r="AB330" s="34"/>
      <c r="AC330" s="34"/>
      <c r="AD330" s="34"/>
      <c r="AE330" s="34"/>
      <c r="AF330" s="34"/>
      <c r="AG330" s="34"/>
      <c r="AH330" s="34"/>
      <c r="AI330" s="34"/>
      <c r="AJ330" s="34"/>
      <c r="AK330" s="34"/>
      <c r="AL330" s="34"/>
    </row>
    <row r="331" spans="1:38">
      <c r="L331" s="34"/>
      <c r="M331" s="34"/>
      <c r="N331" s="34"/>
      <c r="O331" s="34"/>
      <c r="P331" s="34"/>
      <c r="Q331" s="34"/>
      <c r="R331" s="34"/>
      <c r="S331" s="34"/>
      <c r="T331" s="34"/>
      <c r="U331" s="34"/>
      <c r="V331" s="34"/>
      <c r="W331" s="34"/>
      <c r="AB331" s="34"/>
      <c r="AC331" s="34"/>
      <c r="AD331" s="34"/>
      <c r="AE331" s="34"/>
      <c r="AF331" s="34"/>
      <c r="AG331" s="34"/>
      <c r="AH331" s="34"/>
      <c r="AI331" s="34"/>
      <c r="AJ331" s="34"/>
      <c r="AK331" s="34"/>
      <c r="AL331" s="34"/>
    </row>
    <row r="332" spans="1:38">
      <c r="L332" s="34"/>
      <c r="M332" s="34"/>
      <c r="N332" s="34"/>
      <c r="O332" s="34"/>
      <c r="P332" s="34"/>
      <c r="Q332" s="34"/>
      <c r="R332" s="34"/>
      <c r="S332" s="34"/>
      <c r="T332" s="34"/>
      <c r="U332" s="34"/>
      <c r="V332" s="34"/>
      <c r="W332" s="34"/>
      <c r="AB332" s="34"/>
      <c r="AC332" s="34"/>
      <c r="AD332" s="34"/>
      <c r="AE332" s="34"/>
      <c r="AF332" s="34"/>
      <c r="AG332" s="34"/>
      <c r="AH332" s="34"/>
      <c r="AI332" s="34"/>
      <c r="AJ332" s="34"/>
      <c r="AK332" s="34"/>
      <c r="AL332" s="34"/>
    </row>
    <row r="333" spans="1:38">
      <c r="L333" s="34"/>
      <c r="M333" s="34"/>
      <c r="N333" s="34"/>
      <c r="O333" s="34"/>
      <c r="P333" s="34"/>
      <c r="Q333" s="34"/>
      <c r="R333" s="34"/>
      <c r="S333" s="34"/>
      <c r="T333" s="34"/>
      <c r="U333" s="34"/>
      <c r="V333" s="34"/>
      <c r="W333" s="34"/>
      <c r="AB333" s="34"/>
      <c r="AC333" s="34"/>
      <c r="AD333" s="34"/>
      <c r="AE333" s="34"/>
      <c r="AF333" s="34"/>
      <c r="AG333" s="34"/>
      <c r="AH333" s="34"/>
      <c r="AI333" s="34"/>
      <c r="AJ333" s="34"/>
      <c r="AK333" s="34"/>
      <c r="AL333" s="34"/>
    </row>
    <row r="334" spans="1:38">
      <c r="L334" s="34"/>
      <c r="M334" s="34"/>
      <c r="N334" s="34"/>
      <c r="O334" s="34"/>
      <c r="P334" s="34"/>
      <c r="Q334" s="34"/>
      <c r="R334" s="34"/>
      <c r="S334" s="34"/>
      <c r="T334" s="34"/>
      <c r="U334" s="34"/>
      <c r="V334" s="34"/>
      <c r="W334" s="34"/>
      <c r="AB334" s="34"/>
      <c r="AC334" s="34"/>
      <c r="AD334" s="34"/>
      <c r="AE334" s="34"/>
      <c r="AF334" s="34"/>
      <c r="AG334" s="34"/>
      <c r="AH334" s="34"/>
      <c r="AI334" s="34"/>
      <c r="AJ334" s="34"/>
      <c r="AK334" s="34"/>
      <c r="AL334" s="34"/>
    </row>
    <row r="335" spans="1:38">
      <c r="L335" s="34"/>
      <c r="M335" s="34"/>
      <c r="N335" s="34"/>
      <c r="O335" s="34"/>
      <c r="P335" s="34"/>
      <c r="Q335" s="34"/>
      <c r="R335" s="34"/>
      <c r="S335" s="34"/>
      <c r="T335" s="34"/>
      <c r="U335" s="34"/>
      <c r="V335" s="34"/>
      <c r="W335" s="34"/>
      <c r="AB335" s="34"/>
      <c r="AC335" s="34"/>
      <c r="AD335" s="34"/>
      <c r="AE335" s="34"/>
      <c r="AF335" s="34"/>
      <c r="AG335" s="34"/>
      <c r="AH335" s="34"/>
      <c r="AI335" s="34"/>
      <c r="AJ335" s="34"/>
      <c r="AK335" s="34"/>
      <c r="AL335" s="34"/>
    </row>
    <row r="336" spans="1:38">
      <c r="L336" s="34"/>
      <c r="M336" s="34"/>
      <c r="N336" s="34"/>
      <c r="O336" s="34"/>
      <c r="P336" s="34"/>
      <c r="Q336" s="34"/>
      <c r="R336" s="34"/>
      <c r="S336" s="34"/>
      <c r="T336" s="34"/>
      <c r="U336" s="34"/>
      <c r="V336" s="34"/>
      <c r="W336" s="34"/>
      <c r="AB336" s="34"/>
      <c r="AC336" s="34"/>
      <c r="AD336" s="34"/>
      <c r="AE336" s="34"/>
      <c r="AF336" s="34"/>
      <c r="AG336" s="34"/>
      <c r="AH336" s="34"/>
      <c r="AI336" s="34"/>
      <c r="AJ336" s="34"/>
      <c r="AK336" s="34"/>
      <c r="AL336" s="34"/>
    </row>
    <row r="337" spans="12:38">
      <c r="L337" s="34"/>
      <c r="M337" s="34"/>
      <c r="N337" s="34"/>
      <c r="O337" s="34"/>
      <c r="P337" s="34"/>
      <c r="Q337" s="34"/>
      <c r="R337" s="34"/>
      <c r="S337" s="34"/>
      <c r="T337" s="34"/>
      <c r="U337" s="34"/>
      <c r="V337" s="34"/>
      <c r="W337" s="34"/>
      <c r="AB337" s="34"/>
      <c r="AC337" s="34"/>
      <c r="AD337" s="34"/>
      <c r="AE337" s="34"/>
      <c r="AF337" s="34"/>
      <c r="AG337" s="34"/>
      <c r="AH337" s="34"/>
      <c r="AI337" s="34"/>
      <c r="AJ337" s="34"/>
      <c r="AK337" s="34"/>
      <c r="AL337" s="34"/>
    </row>
    <row r="338" spans="12:38">
      <c r="L338" s="34"/>
      <c r="M338" s="34"/>
      <c r="N338" s="34"/>
      <c r="O338" s="34"/>
      <c r="P338" s="34"/>
      <c r="Q338" s="34"/>
      <c r="R338" s="34"/>
      <c r="S338" s="34"/>
      <c r="T338" s="34"/>
      <c r="U338" s="34"/>
      <c r="V338" s="34"/>
      <c r="W338" s="34"/>
      <c r="AB338" s="34"/>
      <c r="AC338" s="34"/>
      <c r="AD338" s="34"/>
      <c r="AE338" s="34"/>
      <c r="AF338" s="34"/>
      <c r="AG338" s="34"/>
      <c r="AH338" s="34"/>
      <c r="AI338" s="34"/>
      <c r="AJ338" s="34"/>
      <c r="AK338" s="34"/>
      <c r="AL338" s="34"/>
    </row>
    <row r="339" spans="12:38">
      <c r="L339" s="34"/>
      <c r="M339" s="34"/>
      <c r="N339" s="34"/>
      <c r="O339" s="34"/>
      <c r="P339" s="34"/>
      <c r="Q339" s="34"/>
      <c r="R339" s="34"/>
      <c r="S339" s="34"/>
      <c r="T339" s="34"/>
      <c r="U339" s="34"/>
      <c r="V339" s="34"/>
      <c r="W339" s="34"/>
      <c r="AB339" s="34"/>
      <c r="AC339" s="34"/>
      <c r="AD339" s="34"/>
      <c r="AE339" s="34"/>
      <c r="AF339" s="34"/>
      <c r="AG339" s="34"/>
      <c r="AH339" s="34"/>
      <c r="AI339" s="34"/>
      <c r="AJ339" s="34"/>
      <c r="AK339" s="34"/>
      <c r="AL339" s="34"/>
    </row>
    <row r="340" spans="12:38">
      <c r="L340" s="34"/>
      <c r="M340" s="34"/>
      <c r="N340" s="34"/>
      <c r="O340" s="34"/>
      <c r="P340" s="34"/>
      <c r="Q340" s="34"/>
      <c r="R340" s="34"/>
      <c r="S340" s="34"/>
      <c r="T340" s="34"/>
      <c r="U340" s="34"/>
      <c r="V340" s="34"/>
      <c r="W340" s="34"/>
      <c r="AB340" s="34"/>
      <c r="AC340" s="34"/>
      <c r="AD340" s="34"/>
      <c r="AE340" s="34"/>
      <c r="AF340" s="34"/>
      <c r="AG340" s="34"/>
      <c r="AH340" s="34"/>
      <c r="AI340" s="34"/>
      <c r="AJ340" s="34"/>
      <c r="AK340" s="34"/>
      <c r="AL340" s="34"/>
    </row>
    <row r="341" spans="12:38">
      <c r="L341" s="34"/>
      <c r="M341" s="34"/>
      <c r="N341" s="34"/>
      <c r="O341" s="34"/>
      <c r="P341" s="34"/>
      <c r="Q341" s="34"/>
      <c r="R341" s="34"/>
      <c r="S341" s="34"/>
      <c r="T341" s="34"/>
      <c r="U341" s="34"/>
      <c r="V341" s="34"/>
      <c r="W341" s="34"/>
      <c r="AB341" s="34"/>
      <c r="AC341" s="34"/>
      <c r="AD341" s="34"/>
      <c r="AE341" s="34"/>
      <c r="AF341" s="34"/>
      <c r="AG341" s="34"/>
      <c r="AH341" s="34"/>
      <c r="AI341" s="34"/>
      <c r="AJ341" s="34"/>
      <c r="AK341" s="34"/>
      <c r="AL341" s="34"/>
    </row>
    <row r="342" spans="12:38">
      <c r="L342" s="34"/>
      <c r="M342" s="34"/>
      <c r="N342" s="34"/>
      <c r="O342" s="34"/>
      <c r="P342" s="34"/>
      <c r="Q342" s="34"/>
      <c r="R342" s="34"/>
      <c r="S342" s="34"/>
      <c r="T342" s="34"/>
      <c r="U342" s="34"/>
      <c r="V342" s="34"/>
      <c r="W342" s="34"/>
      <c r="AB342" s="34"/>
      <c r="AC342" s="34"/>
      <c r="AD342" s="34"/>
      <c r="AE342" s="34"/>
      <c r="AF342" s="34"/>
      <c r="AG342" s="34"/>
      <c r="AH342" s="34"/>
      <c r="AI342" s="34"/>
      <c r="AJ342" s="34"/>
      <c r="AK342" s="34"/>
      <c r="AL342" s="34"/>
    </row>
    <row r="343" spans="12:38">
      <c r="L343" s="34"/>
      <c r="M343" s="34"/>
      <c r="N343" s="34"/>
      <c r="O343" s="34"/>
      <c r="P343" s="34"/>
      <c r="Q343" s="34"/>
      <c r="R343" s="34"/>
      <c r="S343" s="34"/>
      <c r="T343" s="34"/>
      <c r="U343" s="34"/>
      <c r="V343" s="34"/>
      <c r="W343" s="34"/>
      <c r="AB343" s="34"/>
      <c r="AC343" s="34"/>
      <c r="AD343" s="34"/>
      <c r="AE343" s="34"/>
      <c r="AF343" s="34"/>
      <c r="AG343" s="34"/>
      <c r="AH343" s="34"/>
      <c r="AI343" s="34"/>
      <c r="AJ343" s="34"/>
      <c r="AK343" s="34"/>
      <c r="AL343" s="34"/>
    </row>
    <row r="344" spans="12:38">
      <c r="L344" s="34"/>
      <c r="M344" s="34"/>
      <c r="N344" s="34"/>
      <c r="O344" s="34"/>
      <c r="P344" s="34"/>
      <c r="Q344" s="34"/>
      <c r="R344" s="34"/>
      <c r="S344" s="34"/>
      <c r="T344" s="34"/>
      <c r="U344" s="34"/>
      <c r="V344" s="34"/>
      <c r="W344" s="34"/>
      <c r="AB344" s="34"/>
      <c r="AC344" s="34"/>
      <c r="AD344" s="34"/>
      <c r="AE344" s="34"/>
      <c r="AF344" s="34"/>
      <c r="AG344" s="34"/>
      <c r="AH344" s="34"/>
      <c r="AI344" s="34"/>
      <c r="AJ344" s="34"/>
      <c r="AK344" s="34"/>
      <c r="AL344" s="34"/>
    </row>
    <row r="345" spans="12:38">
      <c r="L345" s="34"/>
      <c r="M345" s="34"/>
      <c r="N345" s="34"/>
      <c r="O345" s="34"/>
      <c r="P345" s="34"/>
      <c r="Q345" s="34"/>
      <c r="R345" s="34"/>
      <c r="S345" s="34"/>
      <c r="T345" s="34"/>
      <c r="U345" s="34"/>
      <c r="V345" s="34"/>
      <c r="W345" s="34"/>
      <c r="AB345" s="34"/>
      <c r="AC345" s="34"/>
      <c r="AD345" s="34"/>
      <c r="AE345" s="34"/>
      <c r="AF345" s="34"/>
      <c r="AG345" s="34"/>
      <c r="AH345" s="34"/>
      <c r="AI345" s="34"/>
      <c r="AJ345" s="34"/>
      <c r="AK345" s="34"/>
      <c r="AL345" s="34"/>
    </row>
    <row r="346" spans="12:38">
      <c r="L346" s="34"/>
      <c r="M346" s="34"/>
      <c r="N346" s="34"/>
      <c r="O346" s="34"/>
      <c r="P346" s="34"/>
      <c r="Q346" s="34"/>
      <c r="R346" s="34"/>
      <c r="S346" s="34"/>
      <c r="T346" s="34"/>
      <c r="U346" s="34"/>
      <c r="V346" s="34"/>
      <c r="W346" s="34"/>
      <c r="AB346" s="34"/>
      <c r="AC346" s="34"/>
      <c r="AD346" s="34"/>
      <c r="AE346" s="34"/>
      <c r="AF346" s="34"/>
      <c r="AG346" s="34"/>
      <c r="AH346" s="34"/>
      <c r="AI346" s="34"/>
      <c r="AJ346" s="34"/>
      <c r="AK346" s="34"/>
      <c r="AL346" s="34"/>
    </row>
    <row r="347" spans="12:38">
      <c r="L347" s="34"/>
      <c r="M347" s="34"/>
      <c r="N347" s="34"/>
      <c r="O347" s="34"/>
      <c r="P347" s="34"/>
      <c r="Q347" s="34"/>
      <c r="R347" s="34"/>
      <c r="S347" s="34"/>
      <c r="T347" s="34"/>
      <c r="U347" s="34"/>
      <c r="V347" s="34"/>
      <c r="W347" s="34"/>
      <c r="AB347" s="34"/>
      <c r="AC347" s="34"/>
      <c r="AD347" s="34"/>
      <c r="AE347" s="34"/>
      <c r="AF347" s="34"/>
      <c r="AG347" s="34"/>
      <c r="AH347" s="34"/>
      <c r="AI347" s="34"/>
      <c r="AJ347" s="34"/>
      <c r="AK347" s="34"/>
      <c r="AL347" s="34"/>
    </row>
    <row r="348" spans="12:38">
      <c r="L348" s="34"/>
      <c r="M348" s="34"/>
      <c r="N348" s="34"/>
      <c r="O348" s="34"/>
      <c r="P348" s="34"/>
      <c r="Q348" s="34"/>
      <c r="R348" s="34"/>
      <c r="S348" s="34"/>
      <c r="T348" s="34"/>
      <c r="U348" s="34"/>
      <c r="V348" s="34"/>
      <c r="W348" s="34"/>
      <c r="AB348" s="34"/>
      <c r="AC348" s="34"/>
      <c r="AD348" s="34"/>
      <c r="AE348" s="34"/>
      <c r="AF348" s="34"/>
      <c r="AG348" s="34"/>
      <c r="AH348" s="34"/>
      <c r="AI348" s="34"/>
      <c r="AJ348" s="34"/>
      <c r="AK348" s="34"/>
      <c r="AL348" s="34"/>
    </row>
    <row r="349" spans="12:38">
      <c r="L349" s="34"/>
      <c r="M349" s="34"/>
      <c r="N349" s="34"/>
      <c r="O349" s="34"/>
      <c r="P349" s="34"/>
      <c r="Q349" s="34"/>
      <c r="R349" s="34"/>
      <c r="S349" s="34"/>
      <c r="T349" s="34"/>
      <c r="U349" s="34"/>
      <c r="V349" s="34"/>
      <c r="W349" s="34"/>
      <c r="AB349" s="34"/>
      <c r="AC349" s="34"/>
      <c r="AD349" s="34"/>
      <c r="AE349" s="34"/>
      <c r="AF349" s="34"/>
      <c r="AG349" s="34"/>
      <c r="AH349" s="34"/>
      <c r="AI349" s="34"/>
      <c r="AJ349" s="34"/>
      <c r="AK349" s="34"/>
      <c r="AL349" s="34"/>
    </row>
    <row r="350" spans="12:38">
      <c r="L350" s="34"/>
      <c r="M350" s="34"/>
      <c r="N350" s="34"/>
      <c r="O350" s="34"/>
      <c r="P350" s="34"/>
      <c r="Q350" s="34"/>
      <c r="R350" s="34"/>
      <c r="S350" s="34"/>
      <c r="T350" s="34"/>
      <c r="U350" s="34"/>
      <c r="V350" s="34"/>
      <c r="W350" s="34"/>
      <c r="AB350" s="34"/>
      <c r="AC350" s="34"/>
      <c r="AD350" s="34"/>
      <c r="AE350" s="34"/>
      <c r="AF350" s="34"/>
      <c r="AG350" s="34"/>
      <c r="AH350" s="34"/>
      <c r="AI350" s="34"/>
      <c r="AJ350" s="34"/>
      <c r="AK350" s="34"/>
      <c r="AL350" s="34"/>
    </row>
    <row r="351" spans="12:38">
      <c r="L351" s="34"/>
      <c r="M351" s="34"/>
      <c r="N351" s="34"/>
      <c r="O351" s="34"/>
      <c r="P351" s="34"/>
      <c r="Q351" s="34"/>
      <c r="R351" s="34"/>
      <c r="S351" s="34"/>
      <c r="T351" s="34"/>
      <c r="U351" s="34"/>
      <c r="V351" s="34"/>
      <c r="W351" s="34"/>
      <c r="AB351" s="34"/>
      <c r="AC351" s="34"/>
      <c r="AD351" s="34"/>
      <c r="AE351" s="34"/>
      <c r="AF351" s="34"/>
      <c r="AG351" s="34"/>
      <c r="AH351" s="34"/>
      <c r="AI351" s="34"/>
      <c r="AJ351" s="34"/>
      <c r="AK351" s="34"/>
      <c r="AL351" s="34"/>
    </row>
    <row r="352" spans="12:38">
      <c r="L352" s="34"/>
      <c r="M352" s="34"/>
      <c r="N352" s="34"/>
      <c r="O352" s="34"/>
      <c r="P352" s="34"/>
      <c r="Q352" s="34"/>
      <c r="R352" s="34"/>
      <c r="S352" s="34"/>
      <c r="T352" s="34"/>
      <c r="U352" s="34"/>
      <c r="V352" s="34"/>
      <c r="W352" s="34"/>
      <c r="AB352" s="34"/>
      <c r="AC352" s="34"/>
      <c r="AD352" s="34"/>
      <c r="AE352" s="34"/>
      <c r="AF352" s="34"/>
      <c r="AG352" s="34"/>
      <c r="AH352" s="34"/>
      <c r="AI352" s="34"/>
      <c r="AJ352" s="34"/>
      <c r="AK352" s="34"/>
      <c r="AL352" s="34"/>
    </row>
    <row r="353" spans="12:38">
      <c r="L353" s="34"/>
      <c r="M353" s="34"/>
      <c r="N353" s="34"/>
      <c r="O353" s="34"/>
      <c r="P353" s="34"/>
      <c r="Q353" s="34"/>
      <c r="R353" s="34"/>
      <c r="S353" s="34"/>
      <c r="T353" s="34"/>
      <c r="U353" s="34"/>
      <c r="V353" s="34"/>
      <c r="W353" s="34"/>
      <c r="AB353" s="34"/>
      <c r="AC353" s="34"/>
      <c r="AD353" s="34"/>
      <c r="AE353" s="34"/>
      <c r="AF353" s="34"/>
      <c r="AG353" s="34"/>
      <c r="AH353" s="34"/>
      <c r="AI353" s="34"/>
      <c r="AJ353" s="34"/>
      <c r="AK353" s="34"/>
      <c r="AL353" s="34"/>
    </row>
    <row r="354" spans="12:38">
      <c r="L354" s="34"/>
      <c r="M354" s="34"/>
      <c r="N354" s="34"/>
      <c r="O354" s="34"/>
      <c r="P354" s="34"/>
      <c r="Q354" s="34"/>
      <c r="R354" s="34"/>
      <c r="S354" s="34"/>
      <c r="T354" s="34"/>
      <c r="U354" s="34"/>
      <c r="V354" s="34"/>
      <c r="W354" s="34"/>
      <c r="AB354" s="34"/>
      <c r="AC354" s="34"/>
      <c r="AD354" s="34"/>
      <c r="AE354" s="34"/>
      <c r="AF354" s="34"/>
      <c r="AG354" s="34"/>
      <c r="AH354" s="34"/>
      <c r="AI354" s="34"/>
      <c r="AJ354" s="34"/>
      <c r="AK354" s="34"/>
      <c r="AL354" s="34"/>
    </row>
    <row r="355" spans="12:38">
      <c r="L355" s="34"/>
      <c r="M355" s="34"/>
      <c r="N355" s="34"/>
      <c r="O355" s="34"/>
      <c r="P355" s="34"/>
      <c r="Q355" s="34"/>
      <c r="R355" s="34"/>
      <c r="S355" s="34"/>
      <c r="T355" s="34"/>
      <c r="U355" s="34"/>
      <c r="V355" s="34"/>
      <c r="W355" s="34"/>
      <c r="AB355" s="34"/>
      <c r="AC355" s="34"/>
      <c r="AD355" s="34"/>
      <c r="AE355" s="34"/>
      <c r="AF355" s="34"/>
      <c r="AG355" s="34"/>
      <c r="AH355" s="34"/>
      <c r="AI355" s="34"/>
      <c r="AJ355" s="34"/>
      <c r="AK355" s="34"/>
      <c r="AL355" s="34"/>
    </row>
    <row r="356" spans="12:38">
      <c r="L356" s="34"/>
      <c r="M356" s="34"/>
      <c r="N356" s="34"/>
      <c r="O356" s="34"/>
      <c r="P356" s="34"/>
      <c r="Q356" s="34"/>
      <c r="R356" s="34"/>
      <c r="S356" s="34"/>
      <c r="T356" s="34"/>
      <c r="U356" s="34"/>
      <c r="V356" s="34"/>
      <c r="W356" s="34"/>
      <c r="AB356" s="34"/>
      <c r="AC356" s="34"/>
      <c r="AD356" s="34"/>
      <c r="AE356" s="34"/>
      <c r="AF356" s="34"/>
      <c r="AG356" s="34"/>
      <c r="AH356" s="34"/>
      <c r="AI356" s="34"/>
      <c r="AJ356" s="34"/>
      <c r="AK356" s="34"/>
      <c r="AL356" s="34"/>
    </row>
    <row r="357" spans="12:38">
      <c r="L357" s="34"/>
      <c r="M357" s="34"/>
      <c r="N357" s="34"/>
      <c r="O357" s="34"/>
      <c r="P357" s="34"/>
      <c r="Q357" s="34"/>
      <c r="R357" s="34"/>
      <c r="S357" s="34"/>
      <c r="T357" s="34"/>
      <c r="U357" s="34"/>
      <c r="V357" s="34"/>
      <c r="W357" s="34"/>
      <c r="AB357" s="34"/>
      <c r="AC357" s="34"/>
      <c r="AD357" s="34"/>
      <c r="AE357" s="34"/>
      <c r="AF357" s="34"/>
      <c r="AG357" s="34"/>
      <c r="AH357" s="34"/>
      <c r="AI357" s="34"/>
      <c r="AJ357" s="34"/>
      <c r="AK357" s="34"/>
      <c r="AL357" s="34"/>
    </row>
    <row r="358" spans="12:38">
      <c r="L358" s="34"/>
      <c r="M358" s="34"/>
      <c r="N358" s="34"/>
      <c r="O358" s="34"/>
      <c r="P358" s="34"/>
      <c r="Q358" s="34"/>
      <c r="R358" s="34"/>
      <c r="S358" s="34"/>
      <c r="T358" s="34"/>
      <c r="U358" s="34"/>
      <c r="V358" s="34"/>
      <c r="W358" s="34"/>
      <c r="AB358" s="34"/>
      <c r="AC358" s="34"/>
      <c r="AD358" s="34"/>
      <c r="AE358" s="34"/>
      <c r="AF358" s="34"/>
      <c r="AG358" s="34"/>
      <c r="AH358" s="34"/>
      <c r="AI358" s="34"/>
      <c r="AJ358" s="34"/>
      <c r="AK358" s="34"/>
      <c r="AL358" s="34"/>
    </row>
    <row r="359" spans="12:38">
      <c r="L359" s="34"/>
      <c r="M359" s="34"/>
      <c r="N359" s="34"/>
      <c r="O359" s="34"/>
      <c r="P359" s="34"/>
      <c r="Q359" s="34"/>
      <c r="R359" s="34"/>
      <c r="S359" s="34"/>
      <c r="T359" s="34"/>
      <c r="U359" s="34"/>
      <c r="V359" s="34"/>
      <c r="W359" s="34"/>
      <c r="AB359" s="34"/>
      <c r="AC359" s="34"/>
      <c r="AD359" s="34"/>
      <c r="AE359" s="34"/>
      <c r="AF359" s="34"/>
      <c r="AG359" s="34"/>
      <c r="AH359" s="34"/>
      <c r="AI359" s="34"/>
      <c r="AJ359" s="34"/>
      <c r="AK359" s="34"/>
      <c r="AL359" s="34"/>
    </row>
    <row r="360" spans="12:38">
      <c r="L360" s="34"/>
      <c r="M360" s="34"/>
      <c r="N360" s="34"/>
      <c r="O360" s="34"/>
      <c r="P360" s="34"/>
      <c r="Q360" s="34"/>
      <c r="R360" s="34"/>
      <c r="S360" s="34"/>
      <c r="T360" s="34"/>
      <c r="U360" s="34"/>
      <c r="V360" s="34"/>
      <c r="W360" s="34"/>
      <c r="AB360" s="34"/>
      <c r="AC360" s="34"/>
      <c r="AD360" s="34"/>
      <c r="AE360" s="34"/>
      <c r="AF360" s="34"/>
      <c r="AG360" s="34"/>
      <c r="AH360" s="34"/>
      <c r="AI360" s="34"/>
      <c r="AJ360" s="34"/>
      <c r="AK360" s="34"/>
      <c r="AL360" s="34"/>
    </row>
    <row r="361" spans="12:38">
      <c r="L361" s="34"/>
      <c r="M361" s="34"/>
      <c r="N361" s="34"/>
      <c r="O361" s="34"/>
      <c r="P361" s="34"/>
      <c r="Q361" s="34"/>
      <c r="R361" s="34"/>
      <c r="S361" s="34"/>
      <c r="T361" s="34"/>
      <c r="U361" s="34"/>
      <c r="V361" s="34"/>
      <c r="W361" s="34"/>
      <c r="AB361" s="34"/>
      <c r="AC361" s="34"/>
      <c r="AD361" s="34"/>
      <c r="AE361" s="34"/>
      <c r="AF361" s="34"/>
      <c r="AG361" s="34"/>
      <c r="AH361" s="34"/>
      <c r="AI361" s="34"/>
      <c r="AJ361" s="34"/>
      <c r="AK361" s="34"/>
      <c r="AL361" s="34"/>
    </row>
    <row r="362" spans="12:38">
      <c r="L362" s="34"/>
      <c r="M362" s="34"/>
      <c r="N362" s="34"/>
      <c r="O362" s="34"/>
      <c r="P362" s="34"/>
      <c r="Q362" s="34"/>
      <c r="R362" s="34"/>
      <c r="S362" s="34"/>
      <c r="T362" s="34"/>
      <c r="U362" s="34"/>
      <c r="V362" s="34"/>
      <c r="W362" s="34"/>
      <c r="AB362" s="34"/>
      <c r="AC362" s="34"/>
      <c r="AD362" s="34"/>
      <c r="AE362" s="34"/>
      <c r="AF362" s="34"/>
      <c r="AG362" s="34"/>
      <c r="AH362" s="34"/>
      <c r="AI362" s="34"/>
      <c r="AJ362" s="34"/>
      <c r="AK362" s="34"/>
      <c r="AL362" s="34"/>
    </row>
    <row r="363" spans="12:38">
      <c r="L363" s="34"/>
      <c r="M363" s="34"/>
      <c r="N363" s="34"/>
      <c r="O363" s="34"/>
      <c r="P363" s="34"/>
      <c r="Q363" s="34"/>
      <c r="R363" s="34"/>
      <c r="S363" s="34"/>
      <c r="T363" s="34"/>
      <c r="U363" s="34"/>
      <c r="V363" s="34"/>
      <c r="W363" s="34"/>
      <c r="AB363" s="34"/>
      <c r="AC363" s="34"/>
      <c r="AD363" s="34"/>
      <c r="AE363" s="34"/>
      <c r="AF363" s="34"/>
      <c r="AG363" s="34"/>
      <c r="AH363" s="34"/>
      <c r="AI363" s="34"/>
      <c r="AJ363" s="34"/>
      <c r="AK363" s="34"/>
      <c r="AL363" s="34"/>
    </row>
    <row r="364" spans="12:38">
      <c r="L364" s="34"/>
      <c r="M364" s="34"/>
      <c r="N364" s="34"/>
      <c r="O364" s="34"/>
      <c r="P364" s="34"/>
      <c r="Q364" s="34"/>
      <c r="R364" s="34"/>
      <c r="S364" s="34"/>
      <c r="T364" s="34"/>
      <c r="U364" s="34"/>
      <c r="V364" s="34"/>
      <c r="W364" s="34"/>
      <c r="AB364" s="34"/>
      <c r="AC364" s="34"/>
      <c r="AD364" s="34"/>
      <c r="AE364" s="34"/>
      <c r="AF364" s="34"/>
      <c r="AG364" s="34"/>
      <c r="AH364" s="34"/>
      <c r="AI364" s="34"/>
      <c r="AJ364" s="34"/>
      <c r="AK364" s="34"/>
      <c r="AL364" s="34"/>
    </row>
    <row r="365" spans="12:38">
      <c r="L365" s="34"/>
      <c r="M365" s="34"/>
      <c r="N365" s="34"/>
      <c r="O365" s="34"/>
      <c r="P365" s="34"/>
      <c r="Q365" s="34"/>
      <c r="R365" s="34"/>
      <c r="S365" s="34"/>
      <c r="T365" s="34"/>
      <c r="U365" s="34"/>
      <c r="V365" s="34"/>
      <c r="W365" s="34"/>
      <c r="AB365" s="34"/>
      <c r="AC365" s="34"/>
      <c r="AD365" s="34"/>
      <c r="AE365" s="34"/>
      <c r="AF365" s="34"/>
      <c r="AG365" s="34"/>
      <c r="AH365" s="34"/>
      <c r="AI365" s="34"/>
      <c r="AJ365" s="34"/>
      <c r="AK365" s="34"/>
      <c r="AL365" s="34"/>
    </row>
    <row r="366" spans="12:38">
      <c r="L366" s="34"/>
      <c r="M366" s="34"/>
      <c r="N366" s="34"/>
      <c r="O366" s="34"/>
      <c r="P366" s="34"/>
      <c r="Q366" s="34"/>
      <c r="R366" s="34"/>
      <c r="S366" s="34"/>
      <c r="T366" s="34"/>
      <c r="U366" s="34"/>
      <c r="V366" s="34"/>
      <c r="W366" s="34"/>
      <c r="AB366" s="34"/>
      <c r="AC366" s="34"/>
      <c r="AD366" s="34"/>
      <c r="AE366" s="34"/>
      <c r="AF366" s="34"/>
      <c r="AG366" s="34"/>
      <c r="AH366" s="34"/>
      <c r="AI366" s="34"/>
      <c r="AJ366" s="34"/>
      <c r="AK366" s="34"/>
      <c r="AL366" s="34"/>
    </row>
    <row r="367" spans="12:38">
      <c r="L367" s="34"/>
      <c r="M367" s="34"/>
      <c r="N367" s="34"/>
      <c r="O367" s="34"/>
      <c r="P367" s="34"/>
      <c r="Q367" s="34"/>
      <c r="R367" s="34"/>
      <c r="S367" s="34"/>
      <c r="T367" s="34"/>
      <c r="U367" s="34"/>
      <c r="V367" s="34"/>
      <c r="W367" s="34"/>
      <c r="AB367" s="34"/>
      <c r="AC367" s="34"/>
      <c r="AD367" s="34"/>
      <c r="AE367" s="34"/>
      <c r="AF367" s="34"/>
      <c r="AG367" s="34"/>
      <c r="AH367" s="34"/>
      <c r="AI367" s="34"/>
      <c r="AJ367" s="34"/>
      <c r="AK367" s="34"/>
      <c r="AL367" s="34"/>
    </row>
    <row r="368" spans="12:38">
      <c r="L368" s="34"/>
      <c r="M368" s="34"/>
      <c r="N368" s="34"/>
      <c r="O368" s="34"/>
      <c r="P368" s="34"/>
      <c r="Q368" s="34"/>
      <c r="R368" s="34"/>
      <c r="S368" s="34"/>
      <c r="T368" s="34"/>
      <c r="U368" s="34"/>
      <c r="V368" s="34"/>
      <c r="W368" s="34"/>
      <c r="AB368" s="34"/>
      <c r="AC368" s="34"/>
      <c r="AD368" s="34"/>
      <c r="AE368" s="34"/>
      <c r="AF368" s="34"/>
      <c r="AG368" s="34"/>
      <c r="AH368" s="34"/>
      <c r="AI368" s="34"/>
      <c r="AJ368" s="34"/>
      <c r="AK368" s="34"/>
      <c r="AL368" s="34"/>
    </row>
    <row r="369" spans="12:38">
      <c r="L369" s="34"/>
      <c r="M369" s="34"/>
      <c r="N369" s="34"/>
      <c r="O369" s="34"/>
      <c r="P369" s="34"/>
      <c r="Q369" s="34"/>
      <c r="R369" s="34"/>
      <c r="S369" s="34"/>
      <c r="T369" s="34"/>
      <c r="U369" s="34"/>
      <c r="V369" s="34"/>
      <c r="W369" s="34"/>
      <c r="AB369" s="34"/>
      <c r="AC369" s="34"/>
      <c r="AD369" s="34"/>
      <c r="AE369" s="34"/>
      <c r="AF369" s="34"/>
      <c r="AG369" s="34"/>
      <c r="AH369" s="34"/>
      <c r="AI369" s="34"/>
      <c r="AJ369" s="34"/>
      <c r="AK369" s="34"/>
      <c r="AL369" s="34"/>
    </row>
    <row r="370" spans="12:38">
      <c r="L370" s="34"/>
      <c r="M370" s="34"/>
      <c r="N370" s="34"/>
      <c r="O370" s="34"/>
      <c r="P370" s="34"/>
      <c r="Q370" s="34"/>
      <c r="R370" s="34"/>
      <c r="S370" s="34"/>
      <c r="T370" s="34"/>
      <c r="U370" s="34"/>
      <c r="V370" s="34"/>
      <c r="W370" s="34"/>
      <c r="AB370" s="34"/>
      <c r="AC370" s="34"/>
      <c r="AD370" s="34"/>
      <c r="AE370" s="34"/>
      <c r="AF370" s="34"/>
      <c r="AG370" s="34"/>
      <c r="AH370" s="34"/>
      <c r="AI370" s="34"/>
      <c r="AJ370" s="34"/>
      <c r="AK370" s="34"/>
      <c r="AL370" s="34"/>
    </row>
    <row r="371" spans="12:38">
      <c r="L371" s="34"/>
      <c r="M371" s="34"/>
      <c r="N371" s="34"/>
      <c r="O371" s="34"/>
      <c r="P371" s="34"/>
      <c r="Q371" s="34"/>
      <c r="R371" s="34"/>
      <c r="S371" s="34"/>
      <c r="T371" s="34"/>
      <c r="U371" s="34"/>
      <c r="V371" s="34"/>
      <c r="W371" s="34"/>
      <c r="AB371" s="34"/>
      <c r="AC371" s="34"/>
      <c r="AD371" s="34"/>
      <c r="AE371" s="34"/>
      <c r="AF371" s="34"/>
      <c r="AG371" s="34"/>
      <c r="AH371" s="34"/>
      <c r="AI371" s="34"/>
      <c r="AJ371" s="34"/>
      <c r="AK371" s="34"/>
      <c r="AL371" s="34"/>
    </row>
    <row r="372" spans="12:38">
      <c r="L372" s="34"/>
      <c r="M372" s="34"/>
      <c r="N372" s="34"/>
      <c r="O372" s="34"/>
      <c r="P372" s="34"/>
      <c r="Q372" s="34"/>
      <c r="R372" s="34"/>
      <c r="S372" s="34"/>
      <c r="T372" s="34"/>
      <c r="U372" s="34"/>
      <c r="V372" s="34"/>
      <c r="W372" s="34"/>
      <c r="AB372" s="34"/>
      <c r="AC372" s="34"/>
      <c r="AD372" s="34"/>
      <c r="AE372" s="34"/>
      <c r="AF372" s="34"/>
      <c r="AG372" s="34"/>
      <c r="AH372" s="34"/>
      <c r="AI372" s="34"/>
      <c r="AJ372" s="34"/>
      <c r="AK372" s="34"/>
      <c r="AL372" s="34"/>
    </row>
    <row r="373" spans="12:38">
      <c r="L373" s="34"/>
      <c r="M373" s="34"/>
      <c r="N373" s="34"/>
      <c r="O373" s="34"/>
      <c r="P373" s="34"/>
      <c r="Q373" s="34"/>
      <c r="R373" s="34"/>
      <c r="S373" s="34"/>
      <c r="T373" s="34"/>
      <c r="U373" s="34"/>
      <c r="V373" s="34"/>
      <c r="W373" s="34"/>
      <c r="AB373" s="34"/>
      <c r="AC373" s="34"/>
      <c r="AD373" s="34"/>
      <c r="AE373" s="34"/>
      <c r="AF373" s="34"/>
      <c r="AG373" s="34"/>
      <c r="AH373" s="34"/>
      <c r="AI373" s="34"/>
      <c r="AJ373" s="34"/>
      <c r="AK373" s="34"/>
      <c r="AL373" s="34"/>
    </row>
    <row r="374" spans="12:38">
      <c r="L374" s="34"/>
      <c r="M374" s="34"/>
      <c r="N374" s="34"/>
      <c r="O374" s="34"/>
      <c r="P374" s="34"/>
      <c r="Q374" s="34"/>
      <c r="R374" s="34"/>
      <c r="S374" s="34"/>
      <c r="T374" s="34"/>
      <c r="U374" s="34"/>
      <c r="V374" s="34"/>
      <c r="W374" s="34"/>
      <c r="AB374" s="34"/>
      <c r="AC374" s="34"/>
      <c r="AD374" s="34"/>
      <c r="AE374" s="34"/>
      <c r="AF374" s="34"/>
      <c r="AG374" s="34"/>
      <c r="AH374" s="34"/>
      <c r="AI374" s="34"/>
      <c r="AJ374" s="34"/>
      <c r="AK374" s="34"/>
      <c r="AL374" s="34"/>
    </row>
    <row r="375" spans="12:38">
      <c r="L375" s="34"/>
      <c r="M375" s="34"/>
      <c r="N375" s="34"/>
      <c r="O375" s="34"/>
      <c r="P375" s="34"/>
      <c r="Q375" s="34"/>
      <c r="R375" s="34"/>
      <c r="S375" s="34"/>
      <c r="T375" s="34"/>
      <c r="U375" s="34"/>
      <c r="V375" s="34"/>
      <c r="W375" s="34"/>
      <c r="AB375" s="34"/>
      <c r="AC375" s="34"/>
      <c r="AD375" s="34"/>
      <c r="AE375" s="34"/>
      <c r="AF375" s="34"/>
      <c r="AG375" s="34"/>
      <c r="AH375" s="34"/>
      <c r="AI375" s="34"/>
      <c r="AJ375" s="34"/>
      <c r="AK375" s="34"/>
      <c r="AL375" s="34"/>
    </row>
    <row r="376" spans="12:38">
      <c r="L376" s="34"/>
      <c r="M376" s="34"/>
      <c r="N376" s="34"/>
      <c r="O376" s="34"/>
      <c r="P376" s="34"/>
      <c r="Q376" s="34"/>
      <c r="R376" s="34"/>
      <c r="S376" s="34"/>
      <c r="T376" s="34"/>
      <c r="U376" s="34"/>
      <c r="V376" s="34"/>
      <c r="W376" s="34"/>
      <c r="AB376" s="34"/>
      <c r="AC376" s="34"/>
      <c r="AD376" s="34"/>
      <c r="AE376" s="34"/>
      <c r="AF376" s="34"/>
      <c r="AG376" s="34"/>
      <c r="AH376" s="34"/>
      <c r="AI376" s="34"/>
      <c r="AJ376" s="34"/>
      <c r="AK376" s="34"/>
      <c r="AL376" s="34"/>
    </row>
    <row r="377" spans="12:38">
      <c r="L377" s="34"/>
      <c r="M377" s="34"/>
      <c r="N377" s="34"/>
      <c r="O377" s="34"/>
      <c r="P377" s="34"/>
      <c r="Q377" s="34"/>
      <c r="R377" s="34"/>
      <c r="S377" s="34"/>
      <c r="T377" s="34"/>
      <c r="U377" s="34"/>
      <c r="V377" s="34"/>
      <c r="W377" s="34"/>
      <c r="AB377" s="34"/>
      <c r="AC377" s="34"/>
      <c r="AD377" s="34"/>
      <c r="AE377" s="34"/>
      <c r="AF377" s="34"/>
      <c r="AG377" s="34"/>
      <c r="AH377" s="34"/>
      <c r="AI377" s="34"/>
      <c r="AJ377" s="34"/>
      <c r="AK377" s="34"/>
      <c r="AL377" s="34"/>
    </row>
    <row r="378" spans="12:38">
      <c r="L378" s="34"/>
      <c r="M378" s="34"/>
      <c r="N378" s="34"/>
      <c r="O378" s="34"/>
      <c r="P378" s="34"/>
      <c r="Q378" s="34"/>
      <c r="R378" s="34"/>
      <c r="S378" s="34"/>
      <c r="T378" s="34"/>
      <c r="U378" s="34"/>
      <c r="V378" s="34"/>
      <c r="W378" s="34"/>
      <c r="AB378" s="34"/>
      <c r="AC378" s="34"/>
      <c r="AD378" s="34"/>
      <c r="AE378" s="34"/>
      <c r="AF378" s="34"/>
      <c r="AG378" s="34"/>
      <c r="AH378" s="34"/>
      <c r="AI378" s="34"/>
      <c r="AJ378" s="34"/>
      <c r="AK378" s="34"/>
      <c r="AL378" s="34"/>
    </row>
    <row r="379" spans="12:38">
      <c r="L379" s="34"/>
      <c r="M379" s="34"/>
      <c r="N379" s="34"/>
      <c r="O379" s="34"/>
      <c r="P379" s="34"/>
      <c r="Q379" s="34"/>
      <c r="R379" s="34"/>
      <c r="S379" s="34"/>
      <c r="T379" s="34"/>
      <c r="U379" s="34"/>
      <c r="V379" s="34"/>
      <c r="W379" s="34"/>
      <c r="AB379" s="34"/>
      <c r="AC379" s="34"/>
      <c r="AD379" s="34"/>
      <c r="AE379" s="34"/>
      <c r="AF379" s="34"/>
      <c r="AG379" s="34"/>
      <c r="AH379" s="34"/>
      <c r="AI379" s="34"/>
      <c r="AJ379" s="34"/>
      <c r="AK379" s="34"/>
      <c r="AL379" s="34"/>
    </row>
    <row r="380" spans="12:38">
      <c r="L380" s="34"/>
      <c r="M380" s="34"/>
      <c r="N380" s="34"/>
      <c r="O380" s="34"/>
      <c r="P380" s="34"/>
      <c r="Q380" s="34"/>
      <c r="R380" s="34"/>
      <c r="S380" s="34"/>
      <c r="T380" s="34"/>
      <c r="U380" s="34"/>
      <c r="V380" s="34"/>
      <c r="W380" s="34"/>
      <c r="AB380" s="34"/>
      <c r="AC380" s="34"/>
      <c r="AD380" s="34"/>
      <c r="AE380" s="34"/>
      <c r="AF380" s="34"/>
      <c r="AG380" s="34"/>
      <c r="AH380" s="34"/>
      <c r="AI380" s="34"/>
      <c r="AJ380" s="34"/>
      <c r="AK380" s="34"/>
      <c r="AL380" s="34"/>
    </row>
    <row r="381" spans="12:38">
      <c r="L381" s="34"/>
      <c r="M381" s="34"/>
      <c r="N381" s="34"/>
      <c r="O381" s="34"/>
      <c r="P381" s="34"/>
      <c r="Q381" s="34"/>
      <c r="R381" s="34"/>
      <c r="S381" s="34"/>
      <c r="T381" s="34"/>
      <c r="U381" s="34"/>
      <c r="V381" s="34"/>
      <c r="W381" s="34"/>
      <c r="AB381" s="34"/>
      <c r="AC381" s="34"/>
      <c r="AD381" s="34"/>
      <c r="AE381" s="34"/>
      <c r="AF381" s="34"/>
      <c r="AG381" s="34"/>
      <c r="AH381" s="34"/>
      <c r="AI381" s="34"/>
      <c r="AJ381" s="34"/>
      <c r="AK381" s="34"/>
      <c r="AL381" s="34"/>
    </row>
    <row r="382" spans="12:38">
      <c r="L382" s="34"/>
      <c r="M382" s="34"/>
      <c r="N382" s="34"/>
      <c r="O382" s="34"/>
      <c r="P382" s="34"/>
      <c r="Q382" s="34"/>
      <c r="R382" s="34"/>
      <c r="S382" s="34"/>
      <c r="T382" s="34"/>
      <c r="U382" s="34"/>
      <c r="V382" s="34"/>
      <c r="W382" s="34"/>
      <c r="AB382" s="34"/>
      <c r="AC382" s="34"/>
      <c r="AD382" s="34"/>
      <c r="AE382" s="34"/>
      <c r="AF382" s="34"/>
      <c r="AG382" s="34"/>
      <c r="AH382" s="34"/>
      <c r="AI382" s="34"/>
      <c r="AJ382" s="34"/>
      <c r="AK382" s="34"/>
      <c r="AL382" s="34"/>
    </row>
    <row r="383" spans="12:38">
      <c r="L383" s="34"/>
      <c r="M383" s="34"/>
      <c r="N383" s="34"/>
      <c r="O383" s="34"/>
      <c r="P383" s="34"/>
      <c r="Q383" s="34"/>
      <c r="R383" s="34"/>
      <c r="S383" s="34"/>
      <c r="T383" s="34"/>
      <c r="U383" s="34"/>
      <c r="V383" s="34"/>
      <c r="W383" s="34"/>
      <c r="AB383" s="34"/>
      <c r="AC383" s="34"/>
      <c r="AD383" s="34"/>
      <c r="AE383" s="34"/>
      <c r="AF383" s="34"/>
      <c r="AG383" s="34"/>
      <c r="AH383" s="34"/>
      <c r="AI383" s="34"/>
      <c r="AJ383" s="34"/>
      <c r="AK383" s="34"/>
      <c r="AL383" s="34"/>
    </row>
    <row r="384" spans="12:38">
      <c r="L384" s="34"/>
      <c r="M384" s="34"/>
      <c r="N384" s="34"/>
      <c r="O384" s="34"/>
      <c r="P384" s="34"/>
      <c r="Q384" s="34"/>
      <c r="R384" s="34"/>
      <c r="S384" s="34"/>
      <c r="T384" s="34"/>
      <c r="U384" s="34"/>
      <c r="V384" s="34"/>
      <c r="W384" s="34"/>
      <c r="AB384" s="34"/>
      <c r="AC384" s="34"/>
      <c r="AD384" s="34"/>
      <c r="AE384" s="34"/>
      <c r="AF384" s="34"/>
      <c r="AG384" s="34"/>
      <c r="AH384" s="34"/>
      <c r="AI384" s="34"/>
      <c r="AJ384" s="34"/>
      <c r="AK384" s="34"/>
      <c r="AL384" s="34"/>
    </row>
    <row r="385" spans="12:38">
      <c r="L385" s="34"/>
      <c r="M385" s="34"/>
      <c r="N385" s="34"/>
      <c r="O385" s="34"/>
      <c r="P385" s="34"/>
      <c r="Q385" s="34"/>
      <c r="R385" s="34"/>
      <c r="S385" s="34"/>
      <c r="T385" s="34"/>
      <c r="U385" s="34"/>
      <c r="V385" s="34"/>
      <c r="W385" s="34"/>
      <c r="AB385" s="34"/>
      <c r="AC385" s="34"/>
      <c r="AD385" s="34"/>
      <c r="AE385" s="34"/>
      <c r="AF385" s="34"/>
      <c r="AG385" s="34"/>
      <c r="AH385" s="34"/>
      <c r="AI385" s="34"/>
      <c r="AJ385" s="34"/>
      <c r="AK385" s="34"/>
      <c r="AL385" s="34"/>
    </row>
    <row r="386" spans="12:38">
      <c r="L386" s="34"/>
      <c r="M386" s="34"/>
      <c r="N386" s="34"/>
      <c r="O386" s="34"/>
      <c r="P386" s="34"/>
      <c r="Q386" s="34"/>
      <c r="R386" s="34"/>
      <c r="S386" s="34"/>
      <c r="T386" s="34"/>
      <c r="U386" s="34"/>
      <c r="V386" s="34"/>
      <c r="W386" s="34"/>
      <c r="AB386" s="34"/>
      <c r="AC386" s="34"/>
      <c r="AD386" s="34"/>
      <c r="AE386" s="34"/>
      <c r="AF386" s="34"/>
      <c r="AG386" s="34"/>
      <c r="AH386" s="34"/>
      <c r="AI386" s="34"/>
      <c r="AJ386" s="34"/>
      <c r="AK386" s="34"/>
      <c r="AL386" s="34"/>
    </row>
    <row r="387" spans="12:38">
      <c r="L387" s="34"/>
      <c r="M387" s="34"/>
      <c r="N387" s="34"/>
      <c r="O387" s="34"/>
      <c r="P387" s="34"/>
      <c r="Q387" s="34"/>
      <c r="R387" s="34"/>
      <c r="S387" s="34"/>
      <c r="T387" s="34"/>
      <c r="U387" s="34"/>
      <c r="V387" s="34"/>
      <c r="W387" s="34"/>
      <c r="AB387" s="34"/>
      <c r="AC387" s="34"/>
      <c r="AD387" s="34"/>
      <c r="AE387" s="34"/>
      <c r="AF387" s="34"/>
      <c r="AG387" s="34"/>
      <c r="AH387" s="34"/>
      <c r="AI387" s="34"/>
      <c r="AJ387" s="34"/>
      <c r="AK387" s="34"/>
      <c r="AL387" s="34"/>
    </row>
    <row r="388" spans="12:38">
      <c r="L388" s="34"/>
      <c r="M388" s="34"/>
      <c r="N388" s="34"/>
      <c r="O388" s="34"/>
      <c r="P388" s="34"/>
      <c r="Q388" s="34"/>
      <c r="R388" s="34"/>
      <c r="S388" s="34"/>
      <c r="T388" s="34"/>
      <c r="U388" s="34"/>
      <c r="V388" s="34"/>
      <c r="W388" s="34"/>
      <c r="AB388" s="34"/>
      <c r="AC388" s="34"/>
      <c r="AD388" s="34"/>
      <c r="AE388" s="34"/>
      <c r="AF388" s="34"/>
      <c r="AG388" s="34"/>
      <c r="AH388" s="34"/>
      <c r="AI388" s="34"/>
      <c r="AJ388" s="34"/>
      <c r="AK388" s="34"/>
      <c r="AL388" s="34"/>
    </row>
    <row r="389" spans="12:38">
      <c r="L389" s="34"/>
      <c r="M389" s="34"/>
      <c r="N389" s="34"/>
      <c r="O389" s="34"/>
      <c r="P389" s="34"/>
      <c r="Q389" s="34"/>
      <c r="R389" s="34"/>
      <c r="S389" s="34"/>
      <c r="T389" s="34"/>
      <c r="U389" s="34"/>
      <c r="V389" s="34"/>
      <c r="W389" s="34"/>
      <c r="AB389" s="34"/>
      <c r="AC389" s="34"/>
      <c r="AD389" s="34"/>
      <c r="AE389" s="34"/>
      <c r="AF389" s="34"/>
      <c r="AG389" s="34"/>
      <c r="AH389" s="34"/>
      <c r="AI389" s="34"/>
      <c r="AJ389" s="34"/>
      <c r="AK389" s="34"/>
      <c r="AL389" s="34"/>
    </row>
    <row r="390" spans="12:38">
      <c r="L390" s="34"/>
      <c r="M390" s="34"/>
      <c r="N390" s="34"/>
      <c r="O390" s="34"/>
      <c r="P390" s="34"/>
      <c r="Q390" s="34"/>
      <c r="R390" s="34"/>
      <c r="S390" s="34"/>
      <c r="T390" s="34"/>
      <c r="U390" s="34"/>
      <c r="V390" s="34"/>
      <c r="W390" s="34"/>
      <c r="AB390" s="34"/>
      <c r="AC390" s="34"/>
      <c r="AD390" s="34"/>
      <c r="AE390" s="34"/>
      <c r="AF390" s="34"/>
      <c r="AG390" s="34"/>
      <c r="AH390" s="34"/>
      <c r="AI390" s="34"/>
      <c r="AJ390" s="34"/>
      <c r="AK390" s="34"/>
      <c r="AL390" s="34"/>
    </row>
    <row r="391" spans="12:38">
      <c r="L391" s="34"/>
      <c r="M391" s="34"/>
      <c r="N391" s="34"/>
      <c r="O391" s="34"/>
      <c r="P391" s="34"/>
      <c r="Q391" s="34"/>
      <c r="R391" s="34"/>
      <c r="S391" s="34"/>
      <c r="T391" s="34"/>
      <c r="U391" s="34"/>
      <c r="V391" s="34"/>
      <c r="W391" s="34"/>
      <c r="AB391" s="34"/>
      <c r="AC391" s="34"/>
      <c r="AD391" s="34"/>
      <c r="AE391" s="34"/>
      <c r="AF391" s="34"/>
      <c r="AG391" s="34"/>
      <c r="AH391" s="34"/>
      <c r="AI391" s="34"/>
      <c r="AJ391" s="34"/>
      <c r="AK391" s="34"/>
      <c r="AL391" s="34"/>
    </row>
    <row r="392" spans="12:38">
      <c r="L392" s="34"/>
      <c r="M392" s="34"/>
      <c r="N392" s="34"/>
      <c r="O392" s="34"/>
      <c r="P392" s="34"/>
      <c r="Q392" s="34"/>
      <c r="R392" s="34"/>
      <c r="S392" s="34"/>
      <c r="T392" s="34"/>
      <c r="U392" s="34"/>
      <c r="V392" s="34"/>
      <c r="W392" s="34"/>
      <c r="AB392" s="34"/>
      <c r="AC392" s="34"/>
      <c r="AD392" s="34"/>
      <c r="AE392" s="34"/>
      <c r="AF392" s="34"/>
      <c r="AG392" s="34"/>
      <c r="AH392" s="34"/>
      <c r="AI392" s="34"/>
      <c r="AJ392" s="34"/>
      <c r="AK392" s="34"/>
      <c r="AL392" s="34"/>
    </row>
    <row r="393" spans="12:38">
      <c r="L393" s="34"/>
      <c r="M393" s="34"/>
      <c r="N393" s="34"/>
      <c r="O393" s="34"/>
      <c r="P393" s="34"/>
      <c r="Q393" s="34"/>
      <c r="R393" s="34"/>
      <c r="S393" s="34"/>
      <c r="T393" s="34"/>
      <c r="U393" s="34"/>
      <c r="V393" s="34"/>
      <c r="W393" s="34"/>
      <c r="AB393" s="34"/>
      <c r="AC393" s="34"/>
      <c r="AD393" s="34"/>
      <c r="AE393" s="34"/>
      <c r="AF393" s="34"/>
      <c r="AG393" s="34"/>
      <c r="AH393" s="34"/>
      <c r="AI393" s="34"/>
      <c r="AJ393" s="34"/>
      <c r="AK393" s="34"/>
      <c r="AL393" s="34"/>
    </row>
    <row r="394" spans="12:38">
      <c r="L394" s="34"/>
      <c r="M394" s="34"/>
      <c r="N394" s="34"/>
      <c r="O394" s="34"/>
      <c r="P394" s="34"/>
      <c r="Q394" s="34"/>
      <c r="R394" s="34"/>
      <c r="S394" s="34"/>
      <c r="T394" s="34"/>
      <c r="U394" s="34"/>
      <c r="V394" s="34"/>
      <c r="W394" s="34"/>
      <c r="AB394" s="34"/>
      <c r="AC394" s="34"/>
      <c r="AD394" s="34"/>
      <c r="AE394" s="34"/>
      <c r="AF394" s="34"/>
      <c r="AG394" s="34"/>
      <c r="AH394" s="34"/>
      <c r="AI394" s="34"/>
      <c r="AJ394" s="34"/>
      <c r="AK394" s="34"/>
      <c r="AL394" s="34"/>
    </row>
    <row r="395" spans="12:38">
      <c r="L395" s="34"/>
      <c r="M395" s="34"/>
      <c r="N395" s="34"/>
      <c r="O395" s="34"/>
      <c r="P395" s="34"/>
      <c r="Q395" s="34"/>
      <c r="R395" s="34"/>
      <c r="S395" s="34"/>
      <c r="T395" s="34"/>
      <c r="U395" s="34"/>
      <c r="V395" s="34"/>
      <c r="W395" s="34"/>
      <c r="AB395" s="34"/>
      <c r="AC395" s="34"/>
      <c r="AD395" s="34"/>
      <c r="AE395" s="34"/>
      <c r="AF395" s="34"/>
      <c r="AG395" s="34"/>
      <c r="AH395" s="34"/>
      <c r="AI395" s="34"/>
      <c r="AJ395" s="34"/>
      <c r="AK395" s="34"/>
      <c r="AL395" s="34"/>
    </row>
    <row r="396" spans="12:38">
      <c r="L396" s="34"/>
      <c r="M396" s="34"/>
      <c r="N396" s="34"/>
      <c r="O396" s="34"/>
      <c r="P396" s="34"/>
      <c r="Q396" s="34"/>
      <c r="R396" s="34"/>
      <c r="S396" s="34"/>
      <c r="T396" s="34"/>
      <c r="U396" s="34"/>
      <c r="V396" s="34"/>
      <c r="W396" s="34"/>
      <c r="AB396" s="34"/>
      <c r="AC396" s="34"/>
      <c r="AD396" s="34"/>
      <c r="AE396" s="34"/>
      <c r="AF396" s="34"/>
      <c r="AG396" s="34"/>
      <c r="AH396" s="34"/>
      <c r="AI396" s="34"/>
      <c r="AJ396" s="34"/>
      <c r="AK396" s="34"/>
      <c r="AL396" s="34"/>
    </row>
    <row r="397" spans="12:38">
      <c r="L397" s="34"/>
      <c r="M397" s="34"/>
      <c r="N397" s="34"/>
      <c r="O397" s="34"/>
      <c r="P397" s="34"/>
      <c r="Q397" s="34"/>
      <c r="R397" s="34"/>
      <c r="S397" s="34"/>
      <c r="T397" s="34"/>
      <c r="U397" s="34"/>
      <c r="V397" s="34"/>
      <c r="W397" s="34"/>
      <c r="AB397" s="34"/>
      <c r="AC397" s="34"/>
      <c r="AD397" s="34"/>
      <c r="AE397" s="34"/>
      <c r="AF397" s="34"/>
      <c r="AG397" s="34"/>
      <c r="AH397" s="34"/>
      <c r="AI397" s="34"/>
      <c r="AJ397" s="34"/>
      <c r="AK397" s="34"/>
      <c r="AL397" s="34"/>
    </row>
    <row r="398" spans="12:38">
      <c r="L398" s="34"/>
      <c r="M398" s="34"/>
      <c r="N398" s="34"/>
      <c r="O398" s="34"/>
      <c r="P398" s="34"/>
      <c r="Q398" s="34"/>
      <c r="R398" s="34"/>
      <c r="S398" s="34"/>
      <c r="T398" s="34"/>
      <c r="U398" s="34"/>
      <c r="V398" s="34"/>
      <c r="W398" s="34"/>
      <c r="AB398" s="34"/>
      <c r="AC398" s="34"/>
      <c r="AD398" s="34"/>
      <c r="AE398" s="34"/>
      <c r="AF398" s="34"/>
      <c r="AG398" s="34"/>
      <c r="AH398" s="34"/>
      <c r="AI398" s="34"/>
      <c r="AJ398" s="34"/>
      <c r="AK398" s="34"/>
      <c r="AL398" s="34"/>
    </row>
    <row r="399" spans="12:38">
      <c r="L399" s="34"/>
      <c r="M399" s="34"/>
      <c r="N399" s="34"/>
      <c r="O399" s="34"/>
      <c r="P399" s="34"/>
      <c r="Q399" s="34"/>
      <c r="R399" s="34"/>
      <c r="S399" s="34"/>
      <c r="T399" s="34"/>
      <c r="U399" s="34"/>
      <c r="V399" s="34"/>
      <c r="W399" s="34"/>
      <c r="AB399" s="34"/>
      <c r="AC399" s="34"/>
      <c r="AD399" s="34"/>
      <c r="AE399" s="34"/>
      <c r="AF399" s="34"/>
      <c r="AG399" s="34"/>
      <c r="AH399" s="34"/>
      <c r="AI399" s="34"/>
      <c r="AJ399" s="34"/>
      <c r="AK399" s="34"/>
      <c r="AL399" s="34"/>
    </row>
    <row r="400" spans="12:38">
      <c r="L400" s="34"/>
      <c r="M400" s="34"/>
      <c r="N400" s="34"/>
      <c r="O400" s="34"/>
      <c r="P400" s="34"/>
      <c r="Q400" s="34"/>
      <c r="R400" s="34"/>
      <c r="S400" s="34"/>
      <c r="T400" s="34"/>
      <c r="U400" s="34"/>
      <c r="V400" s="34"/>
      <c r="W400" s="34"/>
      <c r="AB400" s="34"/>
      <c r="AC400" s="34"/>
      <c r="AD400" s="34"/>
      <c r="AE400" s="34"/>
      <c r="AF400" s="34"/>
      <c r="AG400" s="34"/>
      <c r="AH400" s="34"/>
      <c r="AI400" s="34"/>
      <c r="AJ400" s="34"/>
      <c r="AK400" s="34"/>
      <c r="AL400" s="34"/>
    </row>
    <row r="401" spans="12:38">
      <c r="L401" s="34"/>
      <c r="M401" s="34"/>
      <c r="N401" s="34"/>
      <c r="O401" s="34"/>
      <c r="P401" s="34"/>
      <c r="Q401" s="34"/>
      <c r="R401" s="34"/>
      <c r="S401" s="34"/>
      <c r="T401" s="34"/>
      <c r="U401" s="34"/>
      <c r="V401" s="34"/>
      <c r="W401" s="34"/>
      <c r="AB401" s="34"/>
      <c r="AC401" s="34"/>
      <c r="AD401" s="34"/>
      <c r="AE401" s="34"/>
      <c r="AF401" s="34"/>
      <c r="AG401" s="34"/>
      <c r="AH401" s="34"/>
      <c r="AI401" s="34"/>
      <c r="AJ401" s="34"/>
      <c r="AK401" s="34"/>
      <c r="AL401" s="34"/>
    </row>
    <row r="402" spans="12:38">
      <c r="L402" s="34"/>
      <c r="M402" s="34"/>
      <c r="N402" s="34"/>
      <c r="O402" s="34"/>
      <c r="P402" s="34"/>
      <c r="Q402" s="34"/>
      <c r="R402" s="34"/>
      <c r="S402" s="34"/>
      <c r="T402" s="34"/>
      <c r="U402" s="34"/>
      <c r="V402" s="34"/>
      <c r="W402" s="34"/>
      <c r="AB402" s="34"/>
      <c r="AC402" s="34"/>
      <c r="AD402" s="34"/>
      <c r="AE402" s="34"/>
      <c r="AF402" s="34"/>
      <c r="AG402" s="34"/>
      <c r="AH402" s="34"/>
      <c r="AI402" s="34"/>
      <c r="AJ402" s="34"/>
      <c r="AK402" s="34"/>
      <c r="AL402" s="34"/>
    </row>
    <row r="403" spans="12:38">
      <c r="L403" s="34"/>
      <c r="M403" s="34"/>
      <c r="N403" s="34"/>
      <c r="O403" s="34"/>
      <c r="P403" s="34"/>
      <c r="Q403" s="34"/>
      <c r="R403" s="34"/>
      <c r="S403" s="34"/>
      <c r="T403" s="34"/>
      <c r="U403" s="34"/>
      <c r="V403" s="34"/>
      <c r="W403" s="34"/>
      <c r="AB403" s="34"/>
      <c r="AC403" s="34"/>
      <c r="AD403" s="34"/>
      <c r="AE403" s="34"/>
      <c r="AF403" s="34"/>
      <c r="AG403" s="34"/>
      <c r="AH403" s="34"/>
      <c r="AI403" s="34"/>
      <c r="AJ403" s="34"/>
      <c r="AK403" s="34"/>
      <c r="AL403" s="34"/>
    </row>
    <row r="404" spans="12:38">
      <c r="L404" s="34"/>
      <c r="M404" s="34"/>
      <c r="N404" s="34"/>
      <c r="O404" s="34"/>
      <c r="P404" s="34"/>
      <c r="Q404" s="34"/>
      <c r="R404" s="34"/>
      <c r="S404" s="34"/>
      <c r="T404" s="34"/>
      <c r="U404" s="34"/>
      <c r="V404" s="34"/>
      <c r="W404" s="34"/>
      <c r="AB404" s="34"/>
      <c r="AC404" s="34"/>
      <c r="AD404" s="34"/>
      <c r="AE404" s="34"/>
      <c r="AF404" s="34"/>
      <c r="AG404" s="34"/>
      <c r="AH404" s="34"/>
      <c r="AI404" s="34"/>
      <c r="AJ404" s="34"/>
      <c r="AK404" s="34"/>
      <c r="AL404" s="34"/>
    </row>
    <row r="405" spans="12:38">
      <c r="L405" s="34"/>
      <c r="M405" s="34"/>
      <c r="N405" s="34"/>
      <c r="O405" s="34"/>
      <c r="P405" s="34"/>
      <c r="Q405" s="34"/>
      <c r="R405" s="34"/>
      <c r="S405" s="34"/>
      <c r="T405" s="34"/>
      <c r="U405" s="34"/>
      <c r="V405" s="34"/>
      <c r="W405" s="34"/>
      <c r="AB405" s="34"/>
      <c r="AC405" s="34"/>
      <c r="AD405" s="34"/>
      <c r="AE405" s="34"/>
      <c r="AF405" s="34"/>
      <c r="AG405" s="34"/>
      <c r="AH405" s="34"/>
      <c r="AI405" s="34"/>
      <c r="AJ405" s="34"/>
      <c r="AK405" s="34"/>
      <c r="AL405" s="34"/>
    </row>
    <row r="406" spans="12:38">
      <c r="L406" s="34"/>
      <c r="M406" s="34"/>
      <c r="N406" s="34"/>
      <c r="O406" s="34"/>
      <c r="P406" s="34"/>
      <c r="Q406" s="34"/>
      <c r="R406" s="34"/>
      <c r="S406" s="34"/>
      <c r="T406" s="34"/>
      <c r="U406" s="34"/>
      <c r="V406" s="34"/>
      <c r="W406" s="34"/>
      <c r="AB406" s="34"/>
      <c r="AC406" s="34"/>
      <c r="AD406" s="34"/>
      <c r="AE406" s="34"/>
      <c r="AF406" s="34"/>
      <c r="AG406" s="34"/>
      <c r="AH406" s="34"/>
      <c r="AI406" s="34"/>
      <c r="AJ406" s="34"/>
      <c r="AK406" s="34"/>
      <c r="AL406" s="34"/>
    </row>
    <row r="407" spans="12:38">
      <c r="L407" s="34"/>
      <c r="M407" s="34"/>
      <c r="N407" s="34"/>
      <c r="O407" s="34"/>
      <c r="P407" s="34"/>
      <c r="Q407" s="34"/>
      <c r="R407" s="34"/>
      <c r="S407" s="34"/>
      <c r="T407" s="34"/>
      <c r="U407" s="34"/>
      <c r="V407" s="34"/>
      <c r="W407" s="34"/>
      <c r="AB407" s="34"/>
      <c r="AC407" s="34"/>
      <c r="AD407" s="34"/>
      <c r="AE407" s="34"/>
      <c r="AF407" s="34"/>
      <c r="AG407" s="34"/>
      <c r="AH407" s="34"/>
      <c r="AI407" s="34"/>
      <c r="AJ407" s="34"/>
      <c r="AK407" s="34"/>
      <c r="AL407" s="34"/>
    </row>
    <row r="408" spans="12:38">
      <c r="L408" s="34"/>
      <c r="M408" s="34"/>
      <c r="N408" s="34"/>
      <c r="O408" s="34"/>
      <c r="P408" s="34"/>
      <c r="Q408" s="34"/>
      <c r="R408" s="34"/>
      <c r="S408" s="34"/>
      <c r="T408" s="34"/>
      <c r="U408" s="34"/>
      <c r="V408" s="34"/>
      <c r="W408" s="34"/>
      <c r="AB408" s="34"/>
      <c r="AC408" s="34"/>
      <c r="AD408" s="34"/>
      <c r="AE408" s="34"/>
      <c r="AF408" s="34"/>
      <c r="AG408" s="34"/>
      <c r="AH408" s="34"/>
      <c r="AI408" s="34"/>
      <c r="AJ408" s="34"/>
      <c r="AK408" s="34"/>
      <c r="AL408" s="34"/>
    </row>
    <row r="409" spans="12:38">
      <c r="L409" s="34"/>
      <c r="M409" s="34"/>
      <c r="N409" s="34"/>
      <c r="O409" s="34"/>
      <c r="P409" s="34"/>
      <c r="Q409" s="34"/>
      <c r="R409" s="34"/>
      <c r="S409" s="34"/>
      <c r="T409" s="34"/>
      <c r="U409" s="34"/>
      <c r="V409" s="34"/>
      <c r="W409" s="34"/>
      <c r="AB409" s="34"/>
      <c r="AC409" s="34"/>
      <c r="AD409" s="34"/>
      <c r="AE409" s="34"/>
      <c r="AF409" s="34"/>
      <c r="AG409" s="34"/>
      <c r="AH409" s="34"/>
      <c r="AI409" s="34"/>
      <c r="AJ409" s="34"/>
      <c r="AK409" s="34"/>
      <c r="AL409" s="34"/>
    </row>
    <row r="410" spans="12:38">
      <c r="L410" s="34"/>
      <c r="M410" s="34"/>
      <c r="N410" s="34"/>
      <c r="O410" s="34"/>
      <c r="P410" s="34"/>
      <c r="Q410" s="34"/>
      <c r="R410" s="34"/>
      <c r="S410" s="34"/>
      <c r="T410" s="34"/>
      <c r="U410" s="34"/>
      <c r="V410" s="34"/>
      <c r="W410" s="34"/>
      <c r="AB410" s="34"/>
      <c r="AC410" s="34"/>
      <c r="AD410" s="34"/>
      <c r="AE410" s="34"/>
      <c r="AF410" s="34"/>
      <c r="AG410" s="34"/>
      <c r="AH410" s="34"/>
      <c r="AI410" s="34"/>
      <c r="AJ410" s="34"/>
      <c r="AK410" s="34"/>
      <c r="AL410" s="34"/>
    </row>
    <row r="411" spans="12:38">
      <c r="L411" s="34"/>
      <c r="M411" s="34"/>
      <c r="N411" s="34"/>
      <c r="O411" s="34"/>
      <c r="P411" s="34"/>
      <c r="Q411" s="34"/>
      <c r="R411" s="34"/>
      <c r="S411" s="34"/>
      <c r="T411" s="34"/>
      <c r="U411" s="34"/>
      <c r="V411" s="34"/>
      <c r="W411" s="34"/>
      <c r="AB411" s="34"/>
      <c r="AC411" s="34"/>
      <c r="AD411" s="34"/>
      <c r="AE411" s="34"/>
      <c r="AF411" s="34"/>
      <c r="AG411" s="34"/>
      <c r="AH411" s="34"/>
      <c r="AI411" s="34"/>
      <c r="AJ411" s="34"/>
      <c r="AK411" s="34"/>
      <c r="AL411" s="34"/>
    </row>
    <row r="412" spans="12:38">
      <c r="L412" s="34"/>
      <c r="M412" s="34"/>
      <c r="N412" s="34"/>
      <c r="O412" s="34"/>
      <c r="P412" s="34"/>
      <c r="Q412" s="34"/>
      <c r="R412" s="34"/>
      <c r="S412" s="34"/>
      <c r="T412" s="34"/>
      <c r="U412" s="34"/>
      <c r="V412" s="34"/>
      <c r="W412" s="34"/>
      <c r="AB412" s="34"/>
      <c r="AC412" s="34"/>
      <c r="AD412" s="34"/>
      <c r="AE412" s="34"/>
      <c r="AF412" s="34"/>
      <c r="AG412" s="34"/>
      <c r="AH412" s="34"/>
      <c r="AI412" s="34"/>
      <c r="AJ412" s="34"/>
      <c r="AK412" s="34"/>
      <c r="AL412" s="34"/>
    </row>
    <row r="413" spans="12:38">
      <c r="L413" s="34"/>
      <c r="M413" s="34"/>
      <c r="N413" s="34"/>
      <c r="O413" s="34"/>
      <c r="P413" s="34"/>
      <c r="Q413" s="34"/>
      <c r="R413" s="34"/>
      <c r="S413" s="34"/>
      <c r="T413" s="34"/>
      <c r="U413" s="34"/>
      <c r="V413" s="34"/>
      <c r="W413" s="34"/>
      <c r="AB413" s="34"/>
      <c r="AC413" s="34"/>
      <c r="AD413" s="34"/>
      <c r="AE413" s="34"/>
      <c r="AF413" s="34"/>
      <c r="AG413" s="34"/>
      <c r="AH413" s="34"/>
      <c r="AI413" s="34"/>
      <c r="AJ413" s="34"/>
      <c r="AK413" s="34"/>
      <c r="AL413" s="34"/>
    </row>
    <row r="414" spans="12:38">
      <c r="L414" s="34"/>
      <c r="M414" s="34"/>
      <c r="N414" s="34"/>
      <c r="O414" s="34"/>
      <c r="P414" s="34"/>
      <c r="Q414" s="34"/>
      <c r="R414" s="34"/>
      <c r="S414" s="34"/>
      <c r="T414" s="34"/>
      <c r="U414" s="34"/>
      <c r="V414" s="34"/>
      <c r="W414" s="34"/>
      <c r="AB414" s="34"/>
      <c r="AC414" s="34"/>
      <c r="AD414" s="34"/>
      <c r="AE414" s="34"/>
      <c r="AF414" s="34"/>
      <c r="AG414" s="34"/>
      <c r="AH414" s="34"/>
      <c r="AI414" s="34"/>
      <c r="AJ414" s="34"/>
      <c r="AK414" s="34"/>
      <c r="AL414" s="34"/>
    </row>
    <row r="415" spans="12:38">
      <c r="L415" s="34"/>
      <c r="M415" s="34"/>
      <c r="N415" s="34"/>
      <c r="O415" s="34"/>
      <c r="P415" s="34"/>
      <c r="Q415" s="34"/>
      <c r="R415" s="34"/>
      <c r="S415" s="34"/>
      <c r="T415" s="34"/>
      <c r="U415" s="34"/>
      <c r="V415" s="34"/>
      <c r="W415" s="34"/>
      <c r="AB415" s="34"/>
      <c r="AC415" s="34"/>
      <c r="AD415" s="34"/>
      <c r="AE415" s="34"/>
      <c r="AF415" s="34"/>
      <c r="AG415" s="34"/>
      <c r="AH415" s="34"/>
      <c r="AI415" s="34"/>
      <c r="AJ415" s="34"/>
      <c r="AK415" s="34"/>
      <c r="AL415" s="34"/>
    </row>
    <row r="416" spans="12:38">
      <c r="L416" s="34"/>
      <c r="M416" s="34"/>
      <c r="N416" s="34"/>
      <c r="O416" s="34"/>
      <c r="P416" s="34"/>
      <c r="Q416" s="34"/>
      <c r="R416" s="34"/>
      <c r="S416" s="34"/>
      <c r="T416" s="34"/>
      <c r="U416" s="34"/>
      <c r="V416" s="34"/>
      <c r="W416" s="34"/>
      <c r="AB416" s="34"/>
      <c r="AC416" s="34"/>
      <c r="AD416" s="34"/>
      <c r="AE416" s="34"/>
      <c r="AF416" s="34"/>
      <c r="AG416" s="34"/>
      <c r="AH416" s="34"/>
      <c r="AI416" s="34"/>
      <c r="AJ416" s="34"/>
      <c r="AK416" s="34"/>
      <c r="AL416" s="34"/>
    </row>
    <row r="417" spans="12:38">
      <c r="L417" s="34"/>
      <c r="M417" s="34"/>
      <c r="N417" s="34"/>
      <c r="O417" s="34"/>
      <c r="P417" s="34"/>
      <c r="Q417" s="34"/>
      <c r="R417" s="34"/>
      <c r="S417" s="34"/>
      <c r="T417" s="34"/>
      <c r="U417" s="34"/>
      <c r="V417" s="34"/>
      <c r="W417" s="34"/>
      <c r="AB417" s="34"/>
      <c r="AC417" s="34"/>
      <c r="AD417" s="34"/>
      <c r="AE417" s="34"/>
      <c r="AF417" s="34"/>
      <c r="AG417" s="34"/>
      <c r="AH417" s="34"/>
      <c r="AI417" s="34"/>
      <c r="AJ417" s="34"/>
      <c r="AK417" s="34"/>
      <c r="AL417" s="34"/>
    </row>
    <row r="418" spans="12:38">
      <c r="L418" s="34"/>
      <c r="M418" s="34"/>
      <c r="N418" s="34"/>
      <c r="O418" s="34"/>
      <c r="P418" s="34"/>
      <c r="Q418" s="34"/>
      <c r="R418" s="34"/>
      <c r="S418" s="34"/>
      <c r="T418" s="34"/>
      <c r="U418" s="34"/>
      <c r="V418" s="34"/>
      <c r="W418" s="34"/>
      <c r="AB418" s="34"/>
      <c r="AC418" s="34"/>
      <c r="AD418" s="34"/>
      <c r="AE418" s="34"/>
      <c r="AF418" s="34"/>
      <c r="AG418" s="34"/>
      <c r="AH418" s="34"/>
      <c r="AI418" s="34"/>
      <c r="AJ418" s="34"/>
      <c r="AK418" s="34"/>
      <c r="AL418" s="34"/>
    </row>
    <row r="419" spans="12:38">
      <c r="L419" s="34"/>
      <c r="M419" s="34"/>
      <c r="N419" s="34"/>
      <c r="O419" s="34"/>
      <c r="P419" s="34"/>
      <c r="Q419" s="34"/>
      <c r="R419" s="34"/>
      <c r="S419" s="34"/>
      <c r="T419" s="34"/>
      <c r="U419" s="34"/>
      <c r="V419" s="34"/>
      <c r="W419" s="34"/>
      <c r="AB419" s="34"/>
      <c r="AC419" s="34"/>
      <c r="AD419" s="34"/>
      <c r="AE419" s="34"/>
      <c r="AF419" s="34"/>
      <c r="AG419" s="34"/>
      <c r="AH419" s="34"/>
      <c r="AI419" s="34"/>
      <c r="AJ419" s="34"/>
      <c r="AK419" s="34"/>
      <c r="AL419" s="34"/>
    </row>
    <row r="420" spans="12:38">
      <c r="L420" s="34"/>
      <c r="M420" s="34"/>
      <c r="N420" s="34"/>
      <c r="O420" s="34"/>
      <c r="P420" s="34"/>
      <c r="Q420" s="34"/>
      <c r="R420" s="34"/>
      <c r="S420" s="34"/>
      <c r="T420" s="34"/>
      <c r="U420" s="34"/>
      <c r="V420" s="34"/>
      <c r="W420" s="34"/>
      <c r="AB420" s="34"/>
      <c r="AC420" s="34"/>
      <c r="AD420" s="34"/>
      <c r="AE420" s="34"/>
      <c r="AF420" s="34"/>
      <c r="AG420" s="34"/>
      <c r="AH420" s="34"/>
      <c r="AI420" s="34"/>
      <c r="AJ420" s="34"/>
      <c r="AK420" s="34"/>
      <c r="AL420" s="34"/>
    </row>
    <row r="421" spans="12:38">
      <c r="L421" s="34"/>
      <c r="M421" s="34"/>
      <c r="N421" s="34"/>
      <c r="O421" s="34"/>
      <c r="P421" s="34"/>
      <c r="Q421" s="34"/>
      <c r="R421" s="34"/>
      <c r="S421" s="34"/>
      <c r="T421" s="34"/>
      <c r="U421" s="34"/>
      <c r="V421" s="34"/>
      <c r="W421" s="34"/>
      <c r="AB421" s="34"/>
      <c r="AC421" s="34"/>
      <c r="AD421" s="34"/>
      <c r="AE421" s="34"/>
      <c r="AF421" s="34"/>
      <c r="AG421" s="34"/>
      <c r="AH421" s="34"/>
      <c r="AI421" s="34"/>
      <c r="AJ421" s="34"/>
      <c r="AK421" s="34"/>
      <c r="AL421" s="34"/>
    </row>
    <row r="422" spans="12:38">
      <c r="L422" s="34"/>
      <c r="M422" s="34"/>
      <c r="N422" s="34"/>
      <c r="O422" s="34"/>
      <c r="P422" s="34"/>
      <c r="Q422" s="34"/>
      <c r="R422" s="34"/>
      <c r="S422" s="34"/>
      <c r="T422" s="34"/>
      <c r="U422" s="34"/>
      <c r="V422" s="34"/>
      <c r="W422" s="34"/>
      <c r="AB422" s="34"/>
      <c r="AC422" s="34"/>
      <c r="AD422" s="34"/>
      <c r="AE422" s="34"/>
      <c r="AF422" s="34"/>
      <c r="AG422" s="34"/>
      <c r="AH422" s="34"/>
      <c r="AI422" s="34"/>
      <c r="AJ422" s="34"/>
      <c r="AK422" s="34"/>
      <c r="AL422" s="34"/>
    </row>
    <row r="423" spans="12:38">
      <c r="L423" s="34"/>
      <c r="M423" s="34"/>
      <c r="N423" s="34"/>
      <c r="O423" s="34"/>
      <c r="P423" s="34"/>
      <c r="Q423" s="34"/>
      <c r="R423" s="34"/>
      <c r="S423" s="34"/>
      <c r="T423" s="34"/>
      <c r="U423" s="34"/>
      <c r="V423" s="34"/>
      <c r="W423" s="34"/>
      <c r="AB423" s="34"/>
      <c r="AC423" s="34"/>
      <c r="AD423" s="34"/>
      <c r="AE423" s="34"/>
      <c r="AF423" s="34"/>
      <c r="AG423" s="34"/>
      <c r="AH423" s="34"/>
      <c r="AI423" s="34"/>
      <c r="AJ423" s="34"/>
      <c r="AK423" s="34"/>
      <c r="AL423" s="34"/>
    </row>
    <row r="424" spans="12:38">
      <c r="L424" s="34"/>
      <c r="M424" s="34"/>
      <c r="N424" s="34"/>
      <c r="O424" s="34"/>
      <c r="P424" s="34"/>
      <c r="Q424" s="34"/>
      <c r="R424" s="34"/>
      <c r="S424" s="34"/>
      <c r="T424" s="34"/>
      <c r="U424" s="34"/>
      <c r="V424" s="34"/>
      <c r="W424" s="34"/>
      <c r="AB424" s="34"/>
      <c r="AC424" s="34"/>
      <c r="AD424" s="34"/>
      <c r="AE424" s="34"/>
      <c r="AF424" s="34"/>
      <c r="AG424" s="34"/>
      <c r="AH424" s="34"/>
      <c r="AI424" s="34"/>
      <c r="AJ424" s="34"/>
      <c r="AK424" s="34"/>
      <c r="AL424" s="34"/>
    </row>
    <row r="425" spans="12:38">
      <c r="L425" s="34"/>
      <c r="M425" s="34"/>
      <c r="N425" s="34"/>
      <c r="O425" s="34"/>
      <c r="P425" s="34"/>
      <c r="Q425" s="34"/>
      <c r="R425" s="34"/>
      <c r="S425" s="34"/>
      <c r="T425" s="34"/>
      <c r="U425" s="34"/>
      <c r="V425" s="34"/>
      <c r="W425" s="34"/>
      <c r="AB425" s="34"/>
      <c r="AC425" s="34"/>
      <c r="AD425" s="34"/>
      <c r="AE425" s="34"/>
      <c r="AF425" s="34"/>
      <c r="AG425" s="34"/>
      <c r="AH425" s="34"/>
      <c r="AI425" s="34"/>
      <c r="AJ425" s="34"/>
      <c r="AK425" s="34"/>
      <c r="AL425" s="34"/>
    </row>
    <row r="426" spans="12:38">
      <c r="L426" s="34"/>
      <c r="M426" s="34"/>
      <c r="N426" s="34"/>
      <c r="O426" s="34"/>
      <c r="P426" s="34"/>
      <c r="Q426" s="34"/>
      <c r="R426" s="34"/>
      <c r="S426" s="34"/>
      <c r="T426" s="34"/>
      <c r="U426" s="34"/>
      <c r="V426" s="34"/>
      <c r="W426" s="34"/>
      <c r="AB426" s="34"/>
      <c r="AC426" s="34"/>
      <c r="AD426" s="34"/>
      <c r="AE426" s="34"/>
      <c r="AF426" s="34"/>
      <c r="AG426" s="34"/>
      <c r="AH426" s="34"/>
      <c r="AI426" s="34"/>
      <c r="AJ426" s="34"/>
      <c r="AK426" s="34"/>
      <c r="AL426" s="34"/>
    </row>
    <row r="427" spans="12:38">
      <c r="L427" s="34"/>
      <c r="M427" s="34"/>
      <c r="N427" s="34"/>
      <c r="O427" s="34"/>
      <c r="P427" s="34"/>
      <c r="Q427" s="34"/>
      <c r="R427" s="34"/>
      <c r="S427" s="34"/>
      <c r="T427" s="34"/>
      <c r="U427" s="34"/>
      <c r="V427" s="34"/>
      <c r="W427" s="34"/>
      <c r="AB427" s="34"/>
      <c r="AC427" s="34"/>
      <c r="AD427" s="34"/>
      <c r="AE427" s="34"/>
      <c r="AF427" s="34"/>
      <c r="AG427" s="34"/>
      <c r="AH427" s="34"/>
      <c r="AI427" s="34"/>
      <c r="AJ427" s="34"/>
      <c r="AK427" s="34"/>
      <c r="AL427" s="34"/>
    </row>
    <row r="428" spans="12:38">
      <c r="L428" s="34"/>
      <c r="M428" s="34"/>
      <c r="N428" s="34"/>
      <c r="O428" s="34"/>
      <c r="P428" s="34"/>
      <c r="Q428" s="34"/>
      <c r="R428" s="34"/>
      <c r="S428" s="34"/>
      <c r="T428" s="34"/>
      <c r="U428" s="34"/>
      <c r="V428" s="34"/>
      <c r="W428" s="34"/>
      <c r="AB428" s="34"/>
      <c r="AC428" s="34"/>
      <c r="AD428" s="34"/>
      <c r="AE428" s="34"/>
      <c r="AF428" s="34"/>
      <c r="AG428" s="34"/>
      <c r="AH428" s="34"/>
      <c r="AI428" s="34"/>
      <c r="AJ428" s="34"/>
      <c r="AK428" s="34"/>
      <c r="AL428" s="34"/>
    </row>
    <row r="429" spans="12:38">
      <c r="L429" s="34"/>
      <c r="M429" s="34"/>
      <c r="N429" s="34"/>
      <c r="O429" s="34"/>
      <c r="P429" s="34"/>
      <c r="Q429" s="34"/>
      <c r="R429" s="34"/>
      <c r="S429" s="34"/>
      <c r="T429" s="34"/>
      <c r="U429" s="34"/>
      <c r="V429" s="34"/>
      <c r="W429" s="34"/>
      <c r="AB429" s="34"/>
      <c r="AC429" s="34"/>
      <c r="AD429" s="34"/>
      <c r="AE429" s="34"/>
      <c r="AF429" s="34"/>
      <c r="AG429" s="34"/>
      <c r="AH429" s="34"/>
      <c r="AI429" s="34"/>
      <c r="AJ429" s="34"/>
      <c r="AK429" s="34"/>
      <c r="AL429" s="34"/>
    </row>
    <row r="430" spans="12:38">
      <c r="L430" s="34"/>
      <c r="M430" s="34"/>
      <c r="N430" s="34"/>
      <c r="O430" s="34"/>
      <c r="P430" s="34"/>
      <c r="Q430" s="34"/>
      <c r="R430" s="34"/>
      <c r="S430" s="34"/>
      <c r="T430" s="34"/>
      <c r="U430" s="34"/>
      <c r="V430" s="34"/>
      <c r="W430" s="34"/>
      <c r="AB430" s="34"/>
      <c r="AC430" s="34"/>
      <c r="AD430" s="34"/>
      <c r="AE430" s="34"/>
      <c r="AF430" s="34"/>
      <c r="AG430" s="34"/>
      <c r="AH430" s="34"/>
      <c r="AI430" s="34"/>
      <c r="AJ430" s="34"/>
      <c r="AK430" s="34"/>
      <c r="AL430" s="34"/>
    </row>
    <row r="431" spans="12:38">
      <c r="L431" s="34"/>
      <c r="M431" s="34"/>
      <c r="N431" s="34"/>
      <c r="O431" s="34"/>
      <c r="P431" s="34"/>
      <c r="Q431" s="34"/>
      <c r="R431" s="34"/>
      <c r="S431" s="34"/>
      <c r="T431" s="34"/>
      <c r="U431" s="34"/>
      <c r="V431" s="34"/>
      <c r="W431" s="34"/>
      <c r="AB431" s="34"/>
      <c r="AC431" s="34"/>
      <c r="AD431" s="34"/>
      <c r="AE431" s="34"/>
      <c r="AF431" s="34"/>
      <c r="AG431" s="34"/>
      <c r="AH431" s="34"/>
      <c r="AI431" s="34"/>
      <c r="AJ431" s="34"/>
      <c r="AK431" s="34"/>
      <c r="AL431" s="34"/>
    </row>
    <row r="432" spans="12:38">
      <c r="L432" s="34"/>
      <c r="M432" s="34"/>
      <c r="N432" s="34"/>
      <c r="O432" s="34"/>
      <c r="P432" s="34"/>
      <c r="Q432" s="34"/>
      <c r="R432" s="34"/>
      <c r="S432" s="34"/>
      <c r="T432" s="34"/>
      <c r="U432" s="34"/>
      <c r="V432" s="34"/>
      <c r="W432" s="34"/>
      <c r="AB432" s="34"/>
      <c r="AC432" s="34"/>
      <c r="AD432" s="34"/>
      <c r="AE432" s="34"/>
      <c r="AF432" s="34"/>
      <c r="AG432" s="34"/>
      <c r="AH432" s="34"/>
      <c r="AI432" s="34"/>
      <c r="AJ432" s="34"/>
      <c r="AK432" s="34"/>
      <c r="AL432" s="34"/>
    </row>
    <row r="433" spans="12:38">
      <c r="L433" s="34"/>
      <c r="M433" s="34"/>
      <c r="N433" s="34"/>
      <c r="O433" s="34"/>
      <c r="P433" s="34"/>
      <c r="Q433" s="34"/>
      <c r="R433" s="34"/>
      <c r="S433" s="34"/>
      <c r="T433" s="34"/>
      <c r="U433" s="34"/>
      <c r="V433" s="34"/>
      <c r="W433" s="34"/>
      <c r="AB433" s="34"/>
      <c r="AC433" s="34"/>
      <c r="AD433" s="34"/>
      <c r="AE433" s="34"/>
      <c r="AF433" s="34"/>
      <c r="AG433" s="34"/>
      <c r="AH433" s="34"/>
      <c r="AI433" s="34"/>
      <c r="AJ433" s="34"/>
      <c r="AK433" s="34"/>
      <c r="AL433" s="34"/>
    </row>
    <row r="434" spans="12:38">
      <c r="L434" s="34"/>
      <c r="M434" s="34"/>
      <c r="N434" s="34"/>
      <c r="O434" s="34"/>
      <c r="P434" s="34"/>
      <c r="Q434" s="34"/>
      <c r="R434" s="34"/>
      <c r="S434" s="34"/>
      <c r="T434" s="34"/>
      <c r="U434" s="34"/>
      <c r="V434" s="34"/>
      <c r="W434" s="34"/>
      <c r="AB434" s="34"/>
      <c r="AC434" s="34"/>
      <c r="AD434" s="34"/>
      <c r="AE434" s="34"/>
      <c r="AF434" s="34"/>
      <c r="AG434" s="34"/>
      <c r="AH434" s="34"/>
      <c r="AI434" s="34"/>
      <c r="AJ434" s="34"/>
      <c r="AK434" s="34"/>
      <c r="AL434" s="34"/>
    </row>
    <row r="435" spans="12:38">
      <c r="L435" s="34"/>
      <c r="M435" s="34"/>
      <c r="N435" s="34"/>
      <c r="O435" s="34"/>
      <c r="P435" s="34"/>
      <c r="Q435" s="34"/>
      <c r="R435" s="34"/>
      <c r="S435" s="34"/>
      <c r="T435" s="34"/>
      <c r="U435" s="34"/>
      <c r="V435" s="34"/>
      <c r="W435" s="34"/>
      <c r="AB435" s="34"/>
      <c r="AC435" s="34"/>
      <c r="AD435" s="34"/>
      <c r="AE435" s="34"/>
      <c r="AF435" s="34"/>
      <c r="AG435" s="34"/>
      <c r="AH435" s="34"/>
      <c r="AI435" s="34"/>
      <c r="AJ435" s="34"/>
      <c r="AK435" s="34"/>
      <c r="AL435" s="34"/>
    </row>
    <row r="436" spans="12:38">
      <c r="L436" s="34"/>
      <c r="M436" s="34"/>
      <c r="N436" s="34"/>
      <c r="O436" s="34"/>
      <c r="P436" s="34"/>
      <c r="Q436" s="34"/>
      <c r="R436" s="34"/>
      <c r="S436" s="34"/>
      <c r="T436" s="34"/>
      <c r="U436" s="34"/>
      <c r="V436" s="34"/>
      <c r="W436" s="34"/>
      <c r="AB436" s="34"/>
      <c r="AC436" s="34"/>
      <c r="AD436" s="34"/>
      <c r="AE436" s="34"/>
      <c r="AF436" s="34"/>
      <c r="AG436" s="34"/>
      <c r="AH436" s="34"/>
      <c r="AI436" s="34"/>
      <c r="AJ436" s="34"/>
      <c r="AK436" s="34"/>
      <c r="AL436" s="34"/>
    </row>
    <row r="437" spans="12:38">
      <c r="L437" s="34"/>
      <c r="M437" s="34"/>
      <c r="N437" s="34"/>
      <c r="O437" s="34"/>
      <c r="P437" s="34"/>
      <c r="Q437" s="34"/>
      <c r="R437" s="34"/>
      <c r="S437" s="34"/>
      <c r="T437" s="34"/>
      <c r="U437" s="34"/>
      <c r="V437" s="34"/>
      <c r="W437" s="34"/>
      <c r="AB437" s="34"/>
      <c r="AC437" s="34"/>
      <c r="AD437" s="34"/>
      <c r="AE437" s="34"/>
      <c r="AF437" s="34"/>
      <c r="AG437" s="34"/>
      <c r="AH437" s="34"/>
      <c r="AI437" s="34"/>
      <c r="AJ437" s="34"/>
      <c r="AK437" s="34"/>
      <c r="AL437" s="34"/>
    </row>
    <row r="438" spans="12:38">
      <c r="L438" s="34"/>
      <c r="M438" s="34"/>
      <c r="N438" s="34"/>
      <c r="O438" s="34"/>
      <c r="P438" s="34"/>
      <c r="Q438" s="34"/>
      <c r="R438" s="34"/>
      <c r="S438" s="34"/>
      <c r="T438" s="34"/>
      <c r="U438" s="34"/>
      <c r="V438" s="34"/>
      <c r="W438" s="34"/>
      <c r="AB438" s="34"/>
      <c r="AC438" s="34"/>
      <c r="AD438" s="34"/>
      <c r="AE438" s="34"/>
      <c r="AF438" s="34"/>
      <c r="AG438" s="34"/>
      <c r="AH438" s="34"/>
      <c r="AI438" s="34"/>
      <c r="AJ438" s="34"/>
      <c r="AK438" s="34"/>
      <c r="AL438" s="34"/>
    </row>
    <row r="439" spans="12:38">
      <c r="L439" s="34"/>
      <c r="M439" s="34"/>
      <c r="N439" s="34"/>
      <c r="O439" s="34"/>
      <c r="P439" s="34"/>
      <c r="Q439" s="34"/>
      <c r="R439" s="34"/>
      <c r="S439" s="34"/>
      <c r="T439" s="34"/>
      <c r="U439" s="34"/>
      <c r="V439" s="34"/>
      <c r="W439" s="34"/>
      <c r="AB439" s="34"/>
      <c r="AC439" s="34"/>
      <c r="AD439" s="34"/>
      <c r="AE439" s="34"/>
      <c r="AF439" s="34"/>
      <c r="AG439" s="34"/>
      <c r="AH439" s="34"/>
      <c r="AI439" s="34"/>
      <c r="AJ439" s="34"/>
      <c r="AK439" s="34"/>
      <c r="AL439" s="34"/>
    </row>
    <row r="440" spans="12:38">
      <c r="L440" s="34"/>
      <c r="M440" s="34"/>
      <c r="N440" s="34"/>
      <c r="O440" s="34"/>
      <c r="P440" s="34"/>
      <c r="Q440" s="34"/>
      <c r="R440" s="34"/>
      <c r="S440" s="34"/>
      <c r="T440" s="34"/>
      <c r="U440" s="34"/>
      <c r="V440" s="34"/>
      <c r="W440" s="34"/>
      <c r="AB440" s="34"/>
      <c r="AC440" s="34"/>
      <c r="AD440" s="34"/>
      <c r="AE440" s="34"/>
      <c r="AF440" s="34"/>
      <c r="AG440" s="34"/>
      <c r="AH440" s="34"/>
      <c r="AI440" s="34"/>
      <c r="AJ440" s="34"/>
      <c r="AK440" s="34"/>
      <c r="AL440" s="34"/>
    </row>
    <row r="441" spans="12:38">
      <c r="L441" s="34"/>
      <c r="M441" s="34"/>
      <c r="N441" s="34"/>
      <c r="O441" s="34"/>
      <c r="P441" s="34"/>
      <c r="Q441" s="34"/>
      <c r="R441" s="34"/>
      <c r="S441" s="34"/>
      <c r="T441" s="34"/>
      <c r="U441" s="34"/>
      <c r="V441" s="34"/>
      <c r="W441" s="34"/>
      <c r="AB441" s="34"/>
      <c r="AC441" s="34"/>
      <c r="AD441" s="34"/>
      <c r="AE441" s="34"/>
      <c r="AF441" s="34"/>
      <c r="AG441" s="34"/>
      <c r="AH441" s="34"/>
      <c r="AI441" s="34"/>
      <c r="AJ441" s="34"/>
      <c r="AK441" s="34"/>
      <c r="AL441" s="34"/>
    </row>
    <row r="442" spans="12:38">
      <c r="L442" s="34"/>
      <c r="M442" s="34"/>
      <c r="N442" s="34"/>
      <c r="O442" s="34"/>
      <c r="P442" s="34"/>
      <c r="Q442" s="34"/>
      <c r="R442" s="34"/>
      <c r="S442" s="34"/>
      <c r="T442" s="34"/>
      <c r="U442" s="34"/>
      <c r="V442" s="34"/>
      <c r="W442" s="34"/>
      <c r="AB442" s="34"/>
      <c r="AC442" s="34"/>
      <c r="AD442" s="34"/>
      <c r="AE442" s="34"/>
      <c r="AF442" s="34"/>
      <c r="AG442" s="34"/>
      <c r="AH442" s="34"/>
      <c r="AI442" s="34"/>
      <c r="AJ442" s="34"/>
      <c r="AK442" s="34"/>
      <c r="AL442" s="34"/>
    </row>
    <row r="443" spans="12:38">
      <c r="L443" s="34"/>
      <c r="M443" s="34"/>
      <c r="N443" s="34"/>
      <c r="O443" s="34"/>
      <c r="P443" s="34"/>
      <c r="Q443" s="34"/>
      <c r="R443" s="34"/>
      <c r="S443" s="34"/>
      <c r="T443" s="34"/>
      <c r="U443" s="34"/>
      <c r="V443" s="34"/>
      <c r="W443" s="34"/>
      <c r="AB443" s="34"/>
      <c r="AC443" s="34"/>
      <c r="AD443" s="34"/>
      <c r="AE443" s="34"/>
      <c r="AF443" s="34"/>
      <c r="AG443" s="34"/>
      <c r="AH443" s="34"/>
      <c r="AI443" s="34"/>
      <c r="AJ443" s="34"/>
      <c r="AK443" s="34"/>
      <c r="AL443" s="34"/>
    </row>
    <row r="444" spans="12:38">
      <c r="L444" s="34"/>
      <c r="M444" s="34"/>
      <c r="N444" s="34"/>
      <c r="O444" s="34"/>
      <c r="P444" s="34"/>
      <c r="Q444" s="34"/>
      <c r="R444" s="34"/>
      <c r="S444" s="34"/>
      <c r="T444" s="34"/>
      <c r="U444" s="34"/>
      <c r="V444" s="34"/>
      <c r="W444" s="34"/>
      <c r="AB444" s="34"/>
      <c r="AC444" s="34"/>
      <c r="AD444" s="34"/>
      <c r="AE444" s="34"/>
      <c r="AF444" s="34"/>
      <c r="AG444" s="34"/>
      <c r="AH444" s="34"/>
      <c r="AI444" s="34"/>
      <c r="AJ444" s="34"/>
      <c r="AK444" s="34"/>
      <c r="AL444" s="34"/>
    </row>
    <row r="445" spans="12:38">
      <c r="L445" s="34"/>
      <c r="M445" s="34"/>
      <c r="N445" s="34"/>
      <c r="O445" s="34"/>
      <c r="P445" s="34"/>
      <c r="Q445" s="34"/>
      <c r="R445" s="34"/>
      <c r="S445" s="34"/>
      <c r="T445" s="34"/>
      <c r="U445" s="34"/>
      <c r="V445" s="34"/>
      <c r="W445" s="34"/>
      <c r="AB445" s="34"/>
      <c r="AC445" s="34"/>
      <c r="AD445" s="34"/>
      <c r="AE445" s="34"/>
      <c r="AF445" s="34"/>
      <c r="AG445" s="34"/>
      <c r="AH445" s="34"/>
      <c r="AI445" s="34"/>
      <c r="AJ445" s="34"/>
      <c r="AK445" s="34"/>
      <c r="AL445" s="34"/>
    </row>
    <row r="446" spans="12:38">
      <c r="L446" s="34"/>
      <c r="M446" s="34"/>
      <c r="N446" s="34"/>
      <c r="O446" s="34"/>
      <c r="P446" s="34"/>
      <c r="Q446" s="34"/>
      <c r="R446" s="34"/>
      <c r="S446" s="34"/>
      <c r="T446" s="34"/>
      <c r="U446" s="34"/>
      <c r="V446" s="34"/>
      <c r="W446" s="34"/>
      <c r="AB446" s="34"/>
      <c r="AC446" s="34"/>
      <c r="AD446" s="34"/>
      <c r="AE446" s="34"/>
      <c r="AF446" s="34"/>
      <c r="AG446" s="34"/>
      <c r="AH446" s="34"/>
      <c r="AI446" s="34"/>
      <c r="AJ446" s="34"/>
      <c r="AK446" s="34"/>
      <c r="AL446" s="34"/>
    </row>
    <row r="447" spans="12:38">
      <c r="L447" s="34"/>
      <c r="M447" s="34"/>
      <c r="N447" s="34"/>
      <c r="O447" s="34"/>
      <c r="P447" s="34"/>
      <c r="Q447" s="34"/>
      <c r="R447" s="34"/>
      <c r="S447" s="34"/>
      <c r="T447" s="34"/>
      <c r="U447" s="34"/>
      <c r="V447" s="34"/>
      <c r="W447" s="34"/>
      <c r="AB447" s="34"/>
      <c r="AC447" s="34"/>
      <c r="AD447" s="34"/>
      <c r="AE447" s="34"/>
      <c r="AF447" s="34"/>
      <c r="AG447" s="34"/>
      <c r="AH447" s="34"/>
      <c r="AI447" s="34"/>
      <c r="AJ447" s="34"/>
      <c r="AK447" s="34"/>
      <c r="AL447" s="34"/>
    </row>
    <row r="448" spans="12:38">
      <c r="L448" s="34"/>
      <c r="M448" s="34"/>
      <c r="N448" s="34"/>
      <c r="O448" s="34"/>
      <c r="P448" s="34"/>
      <c r="Q448" s="34"/>
      <c r="R448" s="34"/>
      <c r="S448" s="34"/>
      <c r="T448" s="34"/>
      <c r="U448" s="34"/>
      <c r="V448" s="34"/>
      <c r="W448" s="34"/>
      <c r="AB448" s="34"/>
      <c r="AC448" s="34"/>
      <c r="AD448" s="34"/>
      <c r="AE448" s="34"/>
      <c r="AF448" s="34"/>
      <c r="AG448" s="34"/>
      <c r="AH448" s="34"/>
      <c r="AI448" s="34"/>
      <c r="AJ448" s="34"/>
      <c r="AK448" s="34"/>
      <c r="AL448" s="34"/>
    </row>
    <row r="449" spans="12:38">
      <c r="L449" s="34"/>
      <c r="M449" s="34"/>
      <c r="N449" s="34"/>
      <c r="O449" s="34"/>
      <c r="P449" s="34"/>
      <c r="Q449" s="34"/>
      <c r="R449" s="34"/>
      <c r="S449" s="34"/>
      <c r="T449" s="34"/>
      <c r="U449" s="34"/>
      <c r="V449" s="34"/>
      <c r="W449" s="34"/>
      <c r="AB449" s="34"/>
      <c r="AC449" s="34"/>
      <c r="AD449" s="34"/>
      <c r="AE449" s="34"/>
      <c r="AF449" s="34"/>
      <c r="AG449" s="34"/>
      <c r="AH449" s="34"/>
      <c r="AI449" s="34"/>
      <c r="AJ449" s="34"/>
      <c r="AK449" s="34"/>
      <c r="AL449" s="34"/>
    </row>
    <row r="450" spans="12:38">
      <c r="L450" s="34"/>
      <c r="M450" s="34"/>
      <c r="N450" s="34"/>
      <c r="O450" s="34"/>
      <c r="P450" s="34"/>
      <c r="Q450" s="34"/>
      <c r="R450" s="34"/>
      <c r="S450" s="34"/>
      <c r="T450" s="34"/>
      <c r="U450" s="34"/>
      <c r="V450" s="34"/>
      <c r="W450" s="34"/>
      <c r="AB450" s="34"/>
      <c r="AC450" s="34"/>
      <c r="AD450" s="34"/>
      <c r="AE450" s="34"/>
      <c r="AF450" s="34"/>
      <c r="AG450" s="34"/>
      <c r="AH450" s="34"/>
      <c r="AI450" s="34"/>
      <c r="AJ450" s="34"/>
      <c r="AK450" s="34"/>
      <c r="AL450" s="34"/>
    </row>
    <row r="451" spans="12:38">
      <c r="L451" s="34"/>
      <c r="M451" s="34"/>
      <c r="N451" s="34"/>
      <c r="O451" s="34"/>
      <c r="P451" s="34"/>
      <c r="Q451" s="34"/>
      <c r="R451" s="34"/>
      <c r="S451" s="34"/>
      <c r="T451" s="34"/>
      <c r="U451" s="34"/>
      <c r="V451" s="34"/>
      <c r="W451" s="34"/>
      <c r="AB451" s="34"/>
      <c r="AC451" s="34"/>
      <c r="AD451" s="34"/>
      <c r="AE451" s="34"/>
      <c r="AF451" s="34"/>
      <c r="AG451" s="34"/>
      <c r="AH451" s="34"/>
      <c r="AI451" s="34"/>
      <c r="AJ451" s="34"/>
      <c r="AK451" s="34"/>
      <c r="AL451" s="34"/>
    </row>
    <row r="452" spans="12:38">
      <c r="L452" s="34"/>
      <c r="M452" s="34"/>
      <c r="N452" s="34"/>
      <c r="O452" s="34"/>
      <c r="P452" s="34"/>
      <c r="Q452" s="34"/>
      <c r="R452" s="34"/>
      <c r="S452" s="34"/>
      <c r="T452" s="34"/>
      <c r="U452" s="34"/>
      <c r="V452" s="34"/>
      <c r="W452" s="34"/>
      <c r="AB452" s="34"/>
      <c r="AC452" s="34"/>
      <c r="AD452" s="34"/>
      <c r="AE452" s="34"/>
      <c r="AF452" s="34"/>
      <c r="AG452" s="34"/>
      <c r="AH452" s="34"/>
      <c r="AI452" s="34"/>
      <c r="AJ452" s="34"/>
      <c r="AK452" s="34"/>
      <c r="AL452" s="34"/>
    </row>
    <row r="453" spans="12:38">
      <c r="L453" s="34"/>
      <c r="M453" s="34"/>
      <c r="N453" s="34"/>
      <c r="O453" s="34"/>
      <c r="P453" s="34"/>
      <c r="Q453" s="34"/>
      <c r="R453" s="34"/>
      <c r="S453" s="34"/>
      <c r="T453" s="34"/>
      <c r="U453" s="34"/>
      <c r="V453" s="34"/>
      <c r="W453" s="34"/>
      <c r="AB453" s="34"/>
      <c r="AC453" s="34"/>
      <c r="AD453" s="34"/>
      <c r="AE453" s="34"/>
      <c r="AF453" s="34"/>
      <c r="AG453" s="34"/>
      <c r="AH453" s="34"/>
      <c r="AI453" s="34"/>
      <c r="AJ453" s="34"/>
      <c r="AK453" s="34"/>
      <c r="AL453" s="34"/>
    </row>
    <row r="454" spans="12:38">
      <c r="L454" s="34"/>
      <c r="M454" s="34"/>
      <c r="N454" s="34"/>
      <c r="O454" s="34"/>
      <c r="P454" s="34"/>
      <c r="Q454" s="34"/>
      <c r="R454" s="34"/>
      <c r="S454" s="34"/>
      <c r="T454" s="34"/>
      <c r="U454" s="34"/>
      <c r="V454" s="34"/>
      <c r="W454" s="34"/>
      <c r="AB454" s="34"/>
      <c r="AC454" s="34"/>
      <c r="AD454" s="34"/>
      <c r="AE454" s="34"/>
      <c r="AF454" s="34"/>
      <c r="AG454" s="34"/>
      <c r="AH454" s="34"/>
      <c r="AI454" s="34"/>
      <c r="AJ454" s="34"/>
      <c r="AK454" s="34"/>
      <c r="AL454" s="34"/>
    </row>
    <row r="455" spans="12:38">
      <c r="L455" s="34"/>
      <c r="M455" s="34"/>
      <c r="N455" s="34"/>
      <c r="O455" s="34"/>
      <c r="P455" s="34"/>
      <c r="Q455" s="34"/>
      <c r="R455" s="34"/>
      <c r="S455" s="34"/>
      <c r="T455" s="34"/>
      <c r="U455" s="34"/>
      <c r="V455" s="34"/>
      <c r="W455" s="34"/>
      <c r="AB455" s="34"/>
      <c r="AC455" s="34"/>
      <c r="AD455" s="34"/>
      <c r="AE455" s="34"/>
      <c r="AF455" s="34"/>
      <c r="AG455" s="34"/>
      <c r="AH455" s="34"/>
      <c r="AI455" s="34"/>
      <c r="AJ455" s="34"/>
      <c r="AK455" s="34"/>
      <c r="AL455" s="34"/>
    </row>
    <row r="456" spans="12:38">
      <c r="L456" s="34"/>
      <c r="M456" s="34"/>
      <c r="N456" s="34"/>
      <c r="O456" s="34"/>
      <c r="P456" s="34"/>
      <c r="Q456" s="34"/>
      <c r="R456" s="34"/>
      <c r="S456" s="34"/>
      <c r="T456" s="34"/>
      <c r="U456" s="34"/>
      <c r="V456" s="34"/>
      <c r="W456" s="34"/>
      <c r="AB456" s="34"/>
      <c r="AC456" s="34"/>
      <c r="AD456" s="34"/>
      <c r="AE456" s="34"/>
      <c r="AF456" s="34"/>
      <c r="AG456" s="34"/>
      <c r="AH456" s="34"/>
      <c r="AI456" s="34"/>
      <c r="AJ456" s="34"/>
      <c r="AK456" s="34"/>
      <c r="AL456" s="34"/>
    </row>
    <row r="457" spans="12:38">
      <c r="L457" s="34"/>
      <c r="M457" s="34"/>
      <c r="N457" s="34"/>
      <c r="O457" s="34"/>
      <c r="P457" s="34"/>
      <c r="Q457" s="34"/>
      <c r="R457" s="34"/>
      <c r="S457" s="34"/>
      <c r="T457" s="34"/>
      <c r="U457" s="34"/>
      <c r="V457" s="34"/>
      <c r="W457" s="34"/>
      <c r="AB457" s="34"/>
      <c r="AC457" s="34"/>
      <c r="AD457" s="34"/>
      <c r="AE457" s="34"/>
      <c r="AF457" s="34"/>
      <c r="AG457" s="34"/>
      <c r="AH457" s="34"/>
      <c r="AI457" s="34"/>
      <c r="AJ457" s="34"/>
      <c r="AK457" s="34"/>
      <c r="AL457" s="34"/>
    </row>
    <row r="458" spans="12:38">
      <c r="L458" s="34"/>
      <c r="M458" s="34"/>
      <c r="N458" s="34"/>
      <c r="O458" s="34"/>
      <c r="P458" s="34"/>
      <c r="Q458" s="34"/>
      <c r="R458" s="34"/>
      <c r="S458" s="34"/>
      <c r="T458" s="34"/>
      <c r="U458" s="34"/>
      <c r="V458" s="34"/>
      <c r="W458" s="34"/>
      <c r="AB458" s="34"/>
      <c r="AC458" s="34"/>
      <c r="AD458" s="34"/>
      <c r="AE458" s="34"/>
      <c r="AF458" s="34"/>
      <c r="AG458" s="34"/>
      <c r="AH458" s="34"/>
      <c r="AI458" s="34"/>
      <c r="AJ458" s="34"/>
      <c r="AK458" s="34"/>
      <c r="AL458" s="34"/>
    </row>
    <row r="459" spans="12:38">
      <c r="L459" s="34"/>
      <c r="M459" s="34"/>
      <c r="N459" s="34"/>
      <c r="O459" s="34"/>
      <c r="P459" s="34"/>
      <c r="Q459" s="34"/>
      <c r="R459" s="34"/>
      <c r="S459" s="34"/>
      <c r="T459" s="34"/>
      <c r="U459" s="34"/>
      <c r="V459" s="34"/>
      <c r="W459" s="34"/>
      <c r="AB459" s="34"/>
      <c r="AC459" s="34"/>
      <c r="AD459" s="34"/>
      <c r="AE459" s="34"/>
      <c r="AF459" s="34"/>
      <c r="AG459" s="34"/>
      <c r="AH459" s="34"/>
      <c r="AI459" s="34"/>
      <c r="AJ459" s="34"/>
      <c r="AK459" s="34"/>
      <c r="AL459" s="34"/>
    </row>
    <row r="460" spans="12:38">
      <c r="L460" s="34"/>
      <c r="M460" s="34"/>
      <c r="N460" s="34"/>
      <c r="O460" s="34"/>
      <c r="P460" s="34"/>
      <c r="Q460" s="34"/>
      <c r="R460" s="34"/>
      <c r="S460" s="34"/>
      <c r="T460" s="34"/>
      <c r="U460" s="34"/>
      <c r="V460" s="34"/>
      <c r="W460" s="34"/>
      <c r="AB460" s="34"/>
      <c r="AC460" s="34"/>
      <c r="AD460" s="34"/>
      <c r="AE460" s="34"/>
      <c r="AF460" s="34"/>
      <c r="AG460" s="34"/>
      <c r="AH460" s="34"/>
      <c r="AI460" s="34"/>
      <c r="AJ460" s="34"/>
      <c r="AK460" s="34"/>
      <c r="AL460" s="34"/>
    </row>
    <row r="461" spans="12:38">
      <c r="L461" s="34"/>
      <c r="M461" s="34"/>
      <c r="N461" s="34"/>
      <c r="O461" s="34"/>
      <c r="P461" s="34"/>
      <c r="Q461" s="34"/>
      <c r="R461" s="34"/>
      <c r="S461" s="34"/>
      <c r="T461" s="34"/>
      <c r="U461" s="34"/>
      <c r="V461" s="34"/>
      <c r="W461" s="34"/>
      <c r="AB461" s="34"/>
      <c r="AC461" s="34"/>
      <c r="AD461" s="34"/>
      <c r="AE461" s="34"/>
      <c r="AF461" s="34"/>
      <c r="AG461" s="34"/>
      <c r="AH461" s="34"/>
      <c r="AI461" s="34"/>
      <c r="AJ461" s="34"/>
      <c r="AK461" s="34"/>
      <c r="AL461" s="34"/>
    </row>
    <row r="462" spans="12:38">
      <c r="L462" s="34"/>
      <c r="M462" s="34"/>
      <c r="N462" s="34"/>
      <c r="O462" s="34"/>
      <c r="P462" s="34"/>
      <c r="Q462" s="34"/>
      <c r="R462" s="34"/>
      <c r="S462" s="34"/>
      <c r="T462" s="34"/>
      <c r="U462" s="34"/>
      <c r="V462" s="34"/>
      <c r="W462" s="34"/>
      <c r="AB462" s="34"/>
      <c r="AC462" s="34"/>
      <c r="AD462" s="34"/>
      <c r="AE462" s="34"/>
      <c r="AF462" s="34"/>
      <c r="AG462" s="34"/>
      <c r="AH462" s="34"/>
      <c r="AI462" s="34"/>
      <c r="AJ462" s="34"/>
      <c r="AK462" s="34"/>
      <c r="AL462" s="34"/>
    </row>
    <row r="463" spans="12:38">
      <c r="L463" s="34"/>
      <c r="M463" s="34"/>
      <c r="N463" s="34"/>
      <c r="O463" s="34"/>
      <c r="P463" s="34"/>
      <c r="Q463" s="34"/>
      <c r="R463" s="34"/>
      <c r="S463" s="34"/>
      <c r="T463" s="34"/>
      <c r="U463" s="34"/>
      <c r="V463" s="34"/>
      <c r="W463" s="34"/>
      <c r="AB463" s="34"/>
      <c r="AC463" s="34"/>
      <c r="AD463" s="34"/>
      <c r="AE463" s="34"/>
      <c r="AF463" s="34"/>
      <c r="AG463" s="34"/>
      <c r="AH463" s="34"/>
      <c r="AI463" s="34"/>
      <c r="AJ463" s="34"/>
      <c r="AK463" s="34"/>
      <c r="AL463" s="34"/>
    </row>
    <row r="464" spans="12:38">
      <c r="L464" s="34"/>
      <c r="M464" s="34"/>
      <c r="N464" s="34"/>
      <c r="O464" s="34"/>
      <c r="P464" s="34"/>
      <c r="Q464" s="34"/>
      <c r="R464" s="34"/>
      <c r="S464" s="34"/>
      <c r="T464" s="34"/>
      <c r="U464" s="34"/>
      <c r="V464" s="34"/>
      <c r="W464" s="34"/>
      <c r="AB464" s="34"/>
      <c r="AC464" s="34"/>
      <c r="AD464" s="34"/>
      <c r="AE464" s="34"/>
      <c r="AF464" s="34"/>
      <c r="AG464" s="34"/>
      <c r="AH464" s="34"/>
      <c r="AI464" s="34"/>
      <c r="AJ464" s="34"/>
      <c r="AK464" s="34"/>
      <c r="AL464" s="34"/>
    </row>
    <row r="465" spans="12:38">
      <c r="L465" s="34"/>
      <c r="M465" s="34"/>
      <c r="N465" s="34"/>
      <c r="O465" s="34"/>
      <c r="P465" s="34"/>
      <c r="Q465" s="34"/>
      <c r="R465" s="34"/>
      <c r="S465" s="34"/>
      <c r="T465" s="34"/>
      <c r="U465" s="34"/>
      <c r="V465" s="34"/>
      <c r="W465" s="34"/>
      <c r="AB465" s="34"/>
      <c r="AC465" s="34"/>
      <c r="AD465" s="34"/>
      <c r="AE465" s="34"/>
      <c r="AF465" s="34"/>
      <c r="AG465" s="34"/>
      <c r="AH465" s="34"/>
      <c r="AI465" s="34"/>
      <c r="AJ465" s="34"/>
      <c r="AK465" s="34"/>
      <c r="AL465" s="34"/>
    </row>
    <row r="466" spans="12:38">
      <c r="L466" s="34"/>
      <c r="M466" s="34"/>
      <c r="N466" s="34"/>
      <c r="O466" s="34"/>
      <c r="P466" s="34"/>
      <c r="Q466" s="34"/>
      <c r="R466" s="34"/>
      <c r="S466" s="34"/>
      <c r="T466" s="34"/>
      <c r="U466" s="34"/>
      <c r="V466" s="34"/>
      <c r="W466" s="34"/>
      <c r="AB466" s="34"/>
      <c r="AC466" s="34"/>
      <c r="AD466" s="34"/>
      <c r="AE466" s="34"/>
      <c r="AF466" s="34"/>
      <c r="AG466" s="34"/>
      <c r="AH466" s="34"/>
      <c r="AI466" s="34"/>
      <c r="AJ466" s="34"/>
      <c r="AK466" s="34"/>
      <c r="AL466" s="34"/>
    </row>
    <row r="467" spans="12:38">
      <c r="L467" s="34"/>
      <c r="M467" s="34"/>
      <c r="N467" s="34"/>
      <c r="O467" s="34"/>
      <c r="P467" s="34"/>
      <c r="Q467" s="34"/>
      <c r="R467" s="34"/>
      <c r="S467" s="34"/>
      <c r="T467" s="34"/>
      <c r="U467" s="34"/>
      <c r="V467" s="34"/>
      <c r="W467" s="34"/>
      <c r="AB467" s="34"/>
      <c r="AC467" s="34"/>
      <c r="AD467" s="34"/>
      <c r="AE467" s="34"/>
      <c r="AF467" s="34"/>
      <c r="AG467" s="34"/>
      <c r="AH467" s="34"/>
      <c r="AI467" s="34"/>
      <c r="AJ467" s="34"/>
      <c r="AK467" s="34"/>
      <c r="AL467" s="34"/>
    </row>
    <row r="468" spans="12:38">
      <c r="L468" s="34"/>
      <c r="M468" s="34"/>
      <c r="N468" s="34"/>
      <c r="O468" s="34"/>
      <c r="P468" s="34"/>
      <c r="Q468" s="34"/>
      <c r="R468" s="34"/>
      <c r="S468" s="34"/>
      <c r="T468" s="34"/>
      <c r="U468" s="34"/>
      <c r="V468" s="34"/>
      <c r="W468" s="34"/>
      <c r="AB468" s="34"/>
      <c r="AC468" s="34"/>
      <c r="AD468" s="34"/>
      <c r="AE468" s="34"/>
      <c r="AF468" s="34"/>
      <c r="AG468" s="34"/>
      <c r="AH468" s="34"/>
      <c r="AI468" s="34"/>
      <c r="AJ468" s="34"/>
      <c r="AK468" s="34"/>
      <c r="AL468" s="34"/>
    </row>
    <row r="469" spans="12:38">
      <c r="L469" s="34"/>
      <c r="M469" s="34"/>
      <c r="N469" s="34"/>
      <c r="O469" s="34"/>
      <c r="P469" s="34"/>
      <c r="Q469" s="34"/>
      <c r="R469" s="34"/>
      <c r="S469" s="34"/>
      <c r="T469" s="34"/>
      <c r="U469" s="34"/>
      <c r="V469" s="34"/>
      <c r="W469" s="34"/>
      <c r="AB469" s="34"/>
      <c r="AC469" s="34"/>
      <c r="AD469" s="34"/>
      <c r="AE469" s="34"/>
      <c r="AF469" s="34"/>
      <c r="AG469" s="34"/>
      <c r="AH469" s="34"/>
      <c r="AI469" s="34"/>
      <c r="AJ469" s="34"/>
      <c r="AK469" s="34"/>
      <c r="AL469" s="34"/>
    </row>
    <row r="470" spans="12:38">
      <c r="L470" s="34"/>
      <c r="M470" s="34"/>
      <c r="N470" s="34"/>
      <c r="O470" s="34"/>
      <c r="P470" s="34"/>
      <c r="Q470" s="34"/>
      <c r="R470" s="34"/>
      <c r="S470" s="34"/>
      <c r="T470" s="34"/>
      <c r="U470" s="34"/>
      <c r="V470" s="34"/>
      <c r="W470" s="34"/>
      <c r="AB470" s="34"/>
      <c r="AC470" s="34"/>
      <c r="AD470" s="34"/>
      <c r="AE470" s="34"/>
      <c r="AF470" s="34"/>
      <c r="AG470" s="34"/>
      <c r="AH470" s="34"/>
      <c r="AI470" s="34"/>
      <c r="AJ470" s="34"/>
      <c r="AK470" s="34"/>
      <c r="AL470" s="34"/>
    </row>
    <row r="471" spans="12:38">
      <c r="L471" s="34"/>
      <c r="M471" s="34"/>
      <c r="N471" s="34"/>
      <c r="O471" s="34"/>
      <c r="P471" s="34"/>
      <c r="Q471" s="34"/>
      <c r="R471" s="34"/>
      <c r="S471" s="34"/>
      <c r="T471" s="34"/>
      <c r="U471" s="34"/>
      <c r="V471" s="34"/>
      <c r="W471" s="34"/>
      <c r="AB471" s="34"/>
      <c r="AC471" s="34"/>
      <c r="AD471" s="34"/>
      <c r="AE471" s="34"/>
      <c r="AF471" s="34"/>
      <c r="AG471" s="34"/>
      <c r="AH471" s="34"/>
      <c r="AI471" s="34"/>
      <c r="AJ471" s="34"/>
      <c r="AK471" s="34"/>
      <c r="AL471" s="34"/>
    </row>
    <row r="472" spans="12:38">
      <c r="L472" s="34"/>
      <c r="M472" s="34"/>
      <c r="N472" s="34"/>
      <c r="O472" s="34"/>
      <c r="P472" s="34"/>
      <c r="Q472" s="34"/>
      <c r="R472" s="34"/>
      <c r="S472" s="34"/>
      <c r="T472" s="34"/>
      <c r="U472" s="34"/>
      <c r="V472" s="34"/>
      <c r="W472" s="34"/>
      <c r="AB472" s="34"/>
      <c r="AC472" s="34"/>
      <c r="AD472" s="34"/>
      <c r="AE472" s="34"/>
      <c r="AF472" s="34"/>
      <c r="AG472" s="34"/>
      <c r="AH472" s="34"/>
      <c r="AI472" s="34"/>
      <c r="AJ472" s="34"/>
      <c r="AK472" s="34"/>
      <c r="AL472" s="34"/>
    </row>
    <row r="473" spans="12:38">
      <c r="L473" s="34"/>
      <c r="M473" s="34"/>
      <c r="N473" s="34"/>
      <c r="O473" s="34"/>
      <c r="P473" s="34"/>
      <c r="Q473" s="34"/>
      <c r="R473" s="34"/>
      <c r="S473" s="34"/>
      <c r="T473" s="34"/>
      <c r="U473" s="34"/>
      <c r="V473" s="34"/>
      <c r="W473" s="34"/>
      <c r="AB473" s="34"/>
      <c r="AC473" s="34"/>
      <c r="AD473" s="34"/>
      <c r="AE473" s="34"/>
      <c r="AF473" s="34"/>
      <c r="AG473" s="34"/>
      <c r="AH473" s="34"/>
      <c r="AI473" s="34"/>
      <c r="AJ473" s="34"/>
      <c r="AK473" s="34"/>
      <c r="AL473" s="34"/>
    </row>
    <row r="474" spans="12:38">
      <c r="L474" s="34"/>
      <c r="M474" s="34"/>
      <c r="N474" s="34"/>
      <c r="O474" s="34"/>
      <c r="P474" s="34"/>
      <c r="Q474" s="34"/>
      <c r="R474" s="34"/>
      <c r="S474" s="34"/>
      <c r="T474" s="34"/>
      <c r="U474" s="34"/>
      <c r="V474" s="34"/>
      <c r="W474" s="34"/>
      <c r="AB474" s="34"/>
      <c r="AC474" s="34"/>
      <c r="AD474" s="34"/>
      <c r="AE474" s="34"/>
      <c r="AF474" s="34"/>
      <c r="AG474" s="34"/>
      <c r="AH474" s="34"/>
      <c r="AI474" s="34"/>
      <c r="AJ474" s="34"/>
      <c r="AK474" s="34"/>
      <c r="AL474" s="34"/>
    </row>
    <row r="475" spans="12:38">
      <c r="L475" s="34"/>
      <c r="M475" s="34"/>
      <c r="N475" s="34"/>
      <c r="O475" s="34"/>
      <c r="P475" s="34"/>
      <c r="Q475" s="34"/>
      <c r="R475" s="34"/>
      <c r="S475" s="34"/>
      <c r="T475" s="34"/>
      <c r="U475" s="34"/>
      <c r="V475" s="34"/>
      <c r="W475" s="34"/>
      <c r="AB475" s="34"/>
      <c r="AC475" s="34"/>
      <c r="AD475" s="34"/>
      <c r="AE475" s="34"/>
      <c r="AF475" s="34"/>
      <c r="AG475" s="34"/>
      <c r="AH475" s="34"/>
      <c r="AI475" s="34"/>
      <c r="AJ475" s="34"/>
      <c r="AK475" s="34"/>
      <c r="AL475" s="34"/>
    </row>
    <row r="476" spans="12:38">
      <c r="L476" s="34"/>
      <c r="M476" s="34"/>
      <c r="N476" s="34"/>
      <c r="O476" s="34"/>
      <c r="P476" s="34"/>
      <c r="Q476" s="34"/>
      <c r="R476" s="34"/>
      <c r="S476" s="34"/>
      <c r="T476" s="34"/>
      <c r="U476" s="34"/>
      <c r="V476" s="34"/>
      <c r="W476" s="34"/>
      <c r="AB476" s="34"/>
      <c r="AC476" s="34"/>
      <c r="AD476" s="34"/>
      <c r="AE476" s="34"/>
      <c r="AF476" s="34"/>
      <c r="AG476" s="34"/>
      <c r="AH476" s="34"/>
      <c r="AI476" s="34"/>
      <c r="AJ476" s="34"/>
      <c r="AK476" s="34"/>
      <c r="AL476" s="34"/>
    </row>
    <row r="477" spans="12:38">
      <c r="L477" s="34"/>
      <c r="M477" s="34"/>
      <c r="N477" s="34"/>
      <c r="O477" s="34"/>
      <c r="P477" s="34"/>
      <c r="Q477" s="34"/>
      <c r="R477" s="34"/>
      <c r="S477" s="34"/>
      <c r="T477" s="34"/>
      <c r="U477" s="34"/>
      <c r="V477" s="34"/>
      <c r="W477" s="34"/>
      <c r="AB477" s="34"/>
      <c r="AC477" s="34"/>
      <c r="AD477" s="34"/>
      <c r="AE477" s="34"/>
      <c r="AF477" s="34"/>
      <c r="AG477" s="34"/>
      <c r="AH477" s="34"/>
      <c r="AI477" s="34"/>
      <c r="AJ477" s="34"/>
      <c r="AK477" s="34"/>
      <c r="AL477" s="34"/>
    </row>
    <row r="478" spans="12:38">
      <c r="L478" s="34"/>
      <c r="M478" s="34"/>
      <c r="N478" s="34"/>
      <c r="O478" s="34"/>
      <c r="P478" s="34"/>
      <c r="Q478" s="34"/>
      <c r="R478" s="34"/>
      <c r="S478" s="34"/>
      <c r="T478" s="34"/>
      <c r="U478" s="34"/>
      <c r="V478" s="34"/>
      <c r="W478" s="34"/>
      <c r="AB478" s="34"/>
      <c r="AC478" s="34"/>
      <c r="AD478" s="34"/>
      <c r="AE478" s="34"/>
      <c r="AF478" s="34"/>
      <c r="AG478" s="34"/>
      <c r="AH478" s="34"/>
      <c r="AI478" s="34"/>
      <c r="AJ478" s="34"/>
      <c r="AK478" s="34"/>
      <c r="AL478" s="34"/>
    </row>
    <row r="479" spans="12:38">
      <c r="L479" s="34"/>
      <c r="M479" s="34"/>
      <c r="N479" s="34"/>
      <c r="O479" s="34"/>
      <c r="P479" s="34"/>
      <c r="Q479" s="34"/>
      <c r="R479" s="34"/>
      <c r="S479" s="34"/>
      <c r="T479" s="34"/>
      <c r="U479" s="34"/>
      <c r="V479" s="34"/>
      <c r="W479" s="34"/>
      <c r="AB479" s="34"/>
      <c r="AC479" s="34"/>
      <c r="AD479" s="34"/>
      <c r="AE479" s="34"/>
      <c r="AF479" s="34"/>
      <c r="AG479" s="34"/>
      <c r="AH479" s="34"/>
      <c r="AI479" s="34"/>
      <c r="AJ479" s="34"/>
      <c r="AK479" s="34"/>
      <c r="AL479" s="34"/>
    </row>
    <row r="480" spans="12:38">
      <c r="L480" s="34"/>
      <c r="M480" s="34"/>
      <c r="N480" s="34"/>
      <c r="O480" s="34"/>
      <c r="P480" s="34"/>
      <c r="Q480" s="34"/>
      <c r="R480" s="34"/>
      <c r="S480" s="34"/>
      <c r="T480" s="34"/>
      <c r="U480" s="34"/>
      <c r="V480" s="34"/>
      <c r="W480" s="34"/>
      <c r="AB480" s="34"/>
      <c r="AC480" s="34"/>
      <c r="AD480" s="34"/>
      <c r="AE480" s="34"/>
      <c r="AF480" s="34"/>
      <c r="AG480" s="34"/>
      <c r="AH480" s="34"/>
      <c r="AI480" s="34"/>
      <c r="AJ480" s="34"/>
      <c r="AK480" s="34"/>
      <c r="AL480" s="34"/>
    </row>
    <row r="481" spans="12:38">
      <c r="L481" s="34"/>
      <c r="M481" s="34"/>
      <c r="N481" s="34"/>
      <c r="O481" s="34"/>
      <c r="P481" s="34"/>
      <c r="Q481" s="34"/>
      <c r="R481" s="34"/>
      <c r="S481" s="34"/>
      <c r="T481" s="34"/>
      <c r="U481" s="34"/>
      <c r="V481" s="34"/>
      <c r="W481" s="34"/>
      <c r="AB481" s="34"/>
      <c r="AC481" s="34"/>
      <c r="AD481" s="34"/>
      <c r="AE481" s="34"/>
      <c r="AF481" s="34"/>
      <c r="AG481" s="34"/>
      <c r="AH481" s="34"/>
      <c r="AI481" s="34"/>
      <c r="AJ481" s="34"/>
      <c r="AK481" s="34"/>
      <c r="AL481" s="34"/>
    </row>
    <row r="482" spans="12:38">
      <c r="L482" s="34"/>
      <c r="M482" s="34"/>
      <c r="N482" s="34"/>
      <c r="O482" s="34"/>
      <c r="P482" s="34"/>
      <c r="Q482" s="34"/>
      <c r="R482" s="34"/>
      <c r="S482" s="34"/>
      <c r="T482" s="34"/>
      <c r="U482" s="34"/>
      <c r="V482" s="34"/>
      <c r="W482" s="34"/>
      <c r="AB482" s="34"/>
      <c r="AC482" s="34"/>
      <c r="AD482" s="34"/>
      <c r="AE482" s="34"/>
      <c r="AF482" s="34"/>
      <c r="AG482" s="34"/>
      <c r="AH482" s="34"/>
      <c r="AI482" s="34"/>
      <c r="AJ482" s="34"/>
      <c r="AK482" s="34"/>
      <c r="AL482" s="34"/>
    </row>
    <row r="483" spans="12:38">
      <c r="L483" s="34"/>
      <c r="M483" s="34"/>
      <c r="N483" s="34"/>
      <c r="O483" s="34"/>
      <c r="P483" s="34"/>
      <c r="Q483" s="34"/>
      <c r="R483" s="34"/>
      <c r="S483" s="34"/>
      <c r="T483" s="34"/>
      <c r="U483" s="34"/>
      <c r="V483" s="34"/>
      <c r="W483" s="34"/>
      <c r="AB483" s="34"/>
      <c r="AC483" s="34"/>
      <c r="AD483" s="34"/>
      <c r="AE483" s="34"/>
      <c r="AF483" s="34"/>
      <c r="AG483" s="34"/>
      <c r="AH483" s="34"/>
      <c r="AI483" s="34"/>
      <c r="AJ483" s="34"/>
      <c r="AK483" s="34"/>
      <c r="AL483" s="34"/>
    </row>
    <row r="484" spans="12:38">
      <c r="L484" s="34"/>
      <c r="M484" s="34"/>
      <c r="N484" s="34"/>
      <c r="O484" s="34"/>
      <c r="P484" s="34"/>
      <c r="Q484" s="34"/>
      <c r="R484" s="34"/>
      <c r="S484" s="34"/>
      <c r="T484" s="34"/>
      <c r="U484" s="34"/>
      <c r="V484" s="34"/>
      <c r="W484" s="34"/>
      <c r="AB484" s="34"/>
      <c r="AC484" s="34"/>
      <c r="AD484" s="34"/>
      <c r="AE484" s="34"/>
      <c r="AF484" s="34"/>
      <c r="AG484" s="34"/>
      <c r="AH484" s="34"/>
      <c r="AI484" s="34"/>
      <c r="AJ484" s="34"/>
      <c r="AK484" s="34"/>
      <c r="AL484" s="34"/>
    </row>
    <row r="485" spans="12:38">
      <c r="L485" s="34"/>
      <c r="M485" s="34"/>
      <c r="N485" s="34"/>
      <c r="O485" s="34"/>
      <c r="P485" s="34"/>
      <c r="Q485" s="34"/>
      <c r="R485" s="34"/>
      <c r="S485" s="34"/>
      <c r="T485" s="34"/>
      <c r="U485" s="34"/>
      <c r="V485" s="34"/>
      <c r="W485" s="34"/>
      <c r="AB485" s="34"/>
      <c r="AC485" s="34"/>
      <c r="AD485" s="34"/>
      <c r="AE485" s="34"/>
      <c r="AF485" s="34"/>
      <c r="AG485" s="34"/>
      <c r="AH485" s="34"/>
      <c r="AI485" s="34"/>
      <c r="AJ485" s="34"/>
      <c r="AK485" s="34"/>
      <c r="AL485" s="34"/>
    </row>
    <row r="486" spans="12:38">
      <c r="L486" s="34"/>
      <c r="M486" s="34"/>
      <c r="N486" s="34"/>
      <c r="O486" s="34"/>
      <c r="P486" s="34"/>
      <c r="Q486" s="34"/>
      <c r="R486" s="34"/>
      <c r="S486" s="34"/>
      <c r="T486" s="34"/>
      <c r="U486" s="34"/>
      <c r="V486" s="34"/>
      <c r="W486" s="34"/>
      <c r="AB486" s="34"/>
      <c r="AC486" s="34"/>
      <c r="AD486" s="34"/>
      <c r="AE486" s="34"/>
      <c r="AF486" s="34"/>
      <c r="AG486" s="34"/>
      <c r="AH486" s="34"/>
      <c r="AI486" s="34"/>
      <c r="AJ486" s="34"/>
      <c r="AK486" s="34"/>
      <c r="AL486" s="34"/>
    </row>
    <row r="487" spans="12:38">
      <c r="L487" s="34"/>
      <c r="M487" s="34"/>
      <c r="N487" s="34"/>
      <c r="O487" s="34"/>
      <c r="P487" s="34"/>
      <c r="Q487" s="34"/>
      <c r="R487" s="34"/>
      <c r="S487" s="34"/>
      <c r="T487" s="34"/>
      <c r="U487" s="34"/>
      <c r="V487" s="34"/>
      <c r="W487" s="34"/>
      <c r="AB487" s="34"/>
      <c r="AC487" s="34"/>
      <c r="AD487" s="34"/>
      <c r="AE487" s="34"/>
      <c r="AF487" s="34"/>
      <c r="AG487" s="34"/>
      <c r="AH487" s="34"/>
      <c r="AI487" s="34"/>
      <c r="AJ487" s="34"/>
      <c r="AK487" s="34"/>
      <c r="AL487" s="34"/>
    </row>
    <row r="488" spans="12:38">
      <c r="L488" s="34"/>
      <c r="M488" s="34"/>
      <c r="N488" s="34"/>
      <c r="O488" s="34"/>
      <c r="P488" s="34"/>
      <c r="Q488" s="34"/>
      <c r="R488" s="34"/>
      <c r="S488" s="34"/>
      <c r="T488" s="34"/>
      <c r="U488" s="34"/>
      <c r="V488" s="34"/>
      <c r="W488" s="34"/>
      <c r="AB488" s="34"/>
      <c r="AC488" s="34"/>
      <c r="AD488" s="34"/>
      <c r="AE488" s="34"/>
      <c r="AF488" s="34"/>
      <c r="AG488" s="34"/>
      <c r="AH488" s="34"/>
      <c r="AI488" s="34"/>
      <c r="AJ488" s="34"/>
      <c r="AK488" s="34"/>
      <c r="AL488" s="34"/>
    </row>
    <row r="489" spans="12:38">
      <c r="L489" s="34"/>
      <c r="M489" s="34"/>
      <c r="N489" s="34"/>
      <c r="O489" s="34"/>
      <c r="P489" s="34"/>
      <c r="Q489" s="34"/>
      <c r="R489" s="34"/>
      <c r="S489" s="34"/>
      <c r="T489" s="34"/>
      <c r="U489" s="34"/>
      <c r="V489" s="34"/>
      <c r="W489" s="34"/>
      <c r="AB489" s="34"/>
      <c r="AC489" s="34"/>
      <c r="AD489" s="34"/>
      <c r="AE489" s="34"/>
      <c r="AF489" s="34"/>
      <c r="AG489" s="34"/>
      <c r="AH489" s="34"/>
      <c r="AI489" s="34"/>
      <c r="AJ489" s="34"/>
      <c r="AK489" s="34"/>
      <c r="AL489" s="34"/>
    </row>
    <row r="490" spans="12:38">
      <c r="L490" s="34"/>
      <c r="M490" s="34"/>
      <c r="N490" s="34"/>
      <c r="O490" s="34"/>
      <c r="P490" s="34"/>
      <c r="Q490" s="34"/>
      <c r="R490" s="34"/>
      <c r="S490" s="34"/>
      <c r="T490" s="34"/>
      <c r="U490" s="34"/>
      <c r="V490" s="34"/>
      <c r="W490" s="34"/>
      <c r="AB490" s="34"/>
      <c r="AC490" s="34"/>
      <c r="AD490" s="34"/>
      <c r="AE490" s="34"/>
      <c r="AF490" s="34"/>
      <c r="AG490" s="34"/>
      <c r="AH490" s="34"/>
      <c r="AI490" s="34"/>
      <c r="AJ490" s="34"/>
      <c r="AK490" s="34"/>
      <c r="AL490" s="34"/>
    </row>
    <row r="491" spans="12:38">
      <c r="L491" s="34"/>
      <c r="M491" s="34"/>
      <c r="N491" s="34"/>
      <c r="O491" s="34"/>
      <c r="P491" s="34"/>
      <c r="Q491" s="34"/>
      <c r="R491" s="34"/>
      <c r="S491" s="34"/>
      <c r="T491" s="34"/>
      <c r="U491" s="34"/>
      <c r="V491" s="34"/>
      <c r="W491" s="34"/>
      <c r="AB491" s="34"/>
      <c r="AC491" s="34"/>
      <c r="AD491" s="34"/>
      <c r="AE491" s="34"/>
      <c r="AF491" s="34"/>
      <c r="AG491" s="34"/>
      <c r="AH491" s="34"/>
      <c r="AI491" s="34"/>
      <c r="AJ491" s="34"/>
      <c r="AK491" s="34"/>
      <c r="AL491" s="34"/>
    </row>
    <row r="492" spans="12:38">
      <c r="L492" s="34"/>
      <c r="M492" s="34"/>
      <c r="N492" s="34"/>
      <c r="O492" s="34"/>
      <c r="P492" s="34"/>
      <c r="Q492" s="34"/>
      <c r="R492" s="34"/>
      <c r="S492" s="34"/>
      <c r="T492" s="34"/>
      <c r="U492" s="34"/>
      <c r="V492" s="34"/>
      <c r="W492" s="34"/>
      <c r="AB492" s="34"/>
      <c r="AC492" s="34"/>
      <c r="AD492" s="34"/>
      <c r="AE492" s="34"/>
      <c r="AF492" s="34"/>
      <c r="AG492" s="34"/>
      <c r="AH492" s="34"/>
      <c r="AI492" s="34"/>
      <c r="AJ492" s="34"/>
      <c r="AK492" s="34"/>
      <c r="AL492" s="34"/>
    </row>
    <row r="493" spans="12:38">
      <c r="L493" s="34"/>
      <c r="M493" s="34"/>
      <c r="N493" s="34"/>
      <c r="O493" s="34"/>
      <c r="P493" s="34"/>
      <c r="Q493" s="34"/>
      <c r="R493" s="34"/>
      <c r="S493" s="34"/>
      <c r="T493" s="34"/>
      <c r="U493" s="34"/>
      <c r="V493" s="34"/>
      <c r="W493" s="34"/>
      <c r="AB493" s="34"/>
      <c r="AC493" s="34"/>
      <c r="AD493" s="34"/>
      <c r="AE493" s="34"/>
      <c r="AF493" s="34"/>
      <c r="AG493" s="34"/>
      <c r="AH493" s="34"/>
      <c r="AI493" s="34"/>
      <c r="AJ493" s="34"/>
      <c r="AK493" s="34"/>
      <c r="AL493" s="34"/>
    </row>
    <row r="494" spans="12:38">
      <c r="L494" s="34"/>
      <c r="M494" s="34"/>
      <c r="N494" s="34"/>
      <c r="O494" s="34"/>
      <c r="P494" s="34"/>
      <c r="Q494" s="34"/>
      <c r="R494" s="34"/>
      <c r="S494" s="34"/>
      <c r="T494" s="34"/>
      <c r="U494" s="34"/>
      <c r="V494" s="34"/>
      <c r="W494" s="34"/>
      <c r="AB494" s="34"/>
      <c r="AC494" s="34"/>
      <c r="AD494" s="34"/>
      <c r="AE494" s="34"/>
      <c r="AF494" s="34"/>
      <c r="AG494" s="34"/>
      <c r="AH494" s="34"/>
      <c r="AI494" s="34"/>
      <c r="AJ494" s="34"/>
      <c r="AK494" s="34"/>
      <c r="AL494" s="34"/>
    </row>
    <row r="495" spans="12:38">
      <c r="L495" s="34"/>
      <c r="M495" s="34"/>
      <c r="N495" s="34"/>
      <c r="O495" s="34"/>
      <c r="P495" s="34"/>
      <c r="Q495" s="34"/>
      <c r="R495" s="34"/>
      <c r="S495" s="34"/>
      <c r="T495" s="34"/>
      <c r="U495" s="34"/>
      <c r="V495" s="34"/>
      <c r="W495" s="34"/>
      <c r="AB495" s="34"/>
      <c r="AC495" s="34"/>
      <c r="AD495" s="34"/>
      <c r="AE495" s="34"/>
      <c r="AF495" s="34"/>
      <c r="AG495" s="34"/>
      <c r="AH495" s="34"/>
      <c r="AI495" s="34"/>
      <c r="AJ495" s="34"/>
      <c r="AK495" s="34"/>
      <c r="AL495" s="34"/>
    </row>
    <row r="496" spans="12:38">
      <c r="L496" s="34"/>
      <c r="M496" s="34"/>
      <c r="N496" s="34"/>
      <c r="O496" s="34"/>
      <c r="P496" s="34"/>
      <c r="Q496" s="34"/>
      <c r="R496" s="34"/>
      <c r="S496" s="34"/>
      <c r="T496" s="34"/>
      <c r="U496" s="34"/>
      <c r="V496" s="34"/>
      <c r="W496" s="34"/>
      <c r="AB496" s="34"/>
      <c r="AC496" s="34"/>
      <c r="AD496" s="34"/>
      <c r="AE496" s="34"/>
      <c r="AF496" s="34"/>
      <c r="AG496" s="34"/>
      <c r="AH496" s="34"/>
      <c r="AI496" s="34"/>
      <c r="AJ496" s="34"/>
      <c r="AK496" s="34"/>
      <c r="AL496" s="34"/>
    </row>
    <row r="497" spans="12:38">
      <c r="L497" s="34"/>
      <c r="M497" s="34"/>
      <c r="N497" s="34"/>
      <c r="O497" s="34"/>
      <c r="P497" s="34"/>
      <c r="Q497" s="34"/>
      <c r="R497" s="34"/>
      <c r="S497" s="34"/>
      <c r="T497" s="34"/>
      <c r="U497" s="34"/>
      <c r="V497" s="34"/>
      <c r="W497" s="34"/>
      <c r="AB497" s="34"/>
      <c r="AC497" s="34"/>
      <c r="AD497" s="34"/>
      <c r="AE497" s="34"/>
      <c r="AF497" s="34"/>
      <c r="AG497" s="34"/>
      <c r="AH497" s="34"/>
      <c r="AI497" s="34"/>
      <c r="AJ497" s="34"/>
      <c r="AK497" s="34"/>
      <c r="AL497" s="34"/>
    </row>
    <row r="498" spans="12:38">
      <c r="L498" s="34"/>
      <c r="M498" s="34"/>
      <c r="N498" s="34"/>
      <c r="O498" s="34"/>
      <c r="P498" s="34"/>
      <c r="Q498" s="34"/>
      <c r="R498" s="34"/>
      <c r="S498" s="34"/>
      <c r="T498" s="34"/>
      <c r="U498" s="34"/>
      <c r="V498" s="34"/>
      <c r="W498" s="34"/>
      <c r="AB498" s="34"/>
      <c r="AC498" s="34"/>
      <c r="AD498" s="34"/>
      <c r="AE498" s="34"/>
      <c r="AF498" s="34"/>
      <c r="AG498" s="34"/>
      <c r="AH498" s="34"/>
      <c r="AI498" s="34"/>
      <c r="AJ498" s="34"/>
      <c r="AK498" s="34"/>
      <c r="AL498" s="34"/>
    </row>
    <row r="499" spans="12:38">
      <c r="L499" s="34"/>
      <c r="M499" s="34"/>
      <c r="N499" s="34"/>
      <c r="O499" s="34"/>
      <c r="P499" s="34"/>
      <c r="Q499" s="34"/>
      <c r="R499" s="34"/>
      <c r="S499" s="34"/>
      <c r="T499" s="34"/>
      <c r="U499" s="34"/>
      <c r="V499" s="34"/>
      <c r="W499" s="34"/>
      <c r="AB499" s="34"/>
      <c r="AC499" s="34"/>
      <c r="AD499" s="34"/>
      <c r="AE499" s="34"/>
      <c r="AF499" s="34"/>
      <c r="AG499" s="34"/>
      <c r="AH499" s="34"/>
      <c r="AI499" s="34"/>
      <c r="AJ499" s="34"/>
      <c r="AK499" s="34"/>
      <c r="AL499" s="34"/>
    </row>
    <row r="500" spans="12:38">
      <c r="L500" s="34"/>
      <c r="M500" s="34"/>
      <c r="N500" s="34"/>
      <c r="O500" s="34"/>
      <c r="P500" s="34"/>
      <c r="Q500" s="34"/>
      <c r="R500" s="34"/>
      <c r="S500" s="34"/>
      <c r="T500" s="34"/>
      <c r="U500" s="34"/>
      <c r="V500" s="34"/>
      <c r="W500" s="34"/>
      <c r="AB500" s="34"/>
      <c r="AC500" s="34"/>
      <c r="AD500" s="34"/>
      <c r="AE500" s="34"/>
      <c r="AF500" s="34"/>
      <c r="AG500" s="34"/>
      <c r="AH500" s="34"/>
      <c r="AI500" s="34"/>
      <c r="AJ500" s="34"/>
      <c r="AK500" s="34"/>
      <c r="AL500" s="34"/>
    </row>
    <row r="501" spans="12:38">
      <c r="L501" s="34"/>
      <c r="M501" s="34"/>
      <c r="N501" s="34"/>
      <c r="O501" s="34"/>
      <c r="P501" s="34"/>
      <c r="Q501" s="34"/>
      <c r="R501" s="34"/>
      <c r="S501" s="34"/>
      <c r="T501" s="34"/>
      <c r="U501" s="34"/>
      <c r="V501" s="34"/>
      <c r="W501" s="34"/>
      <c r="AB501" s="34"/>
      <c r="AC501" s="34"/>
      <c r="AD501" s="34"/>
      <c r="AE501" s="34"/>
      <c r="AF501" s="34"/>
      <c r="AG501" s="34"/>
      <c r="AH501" s="34"/>
      <c r="AI501" s="34"/>
      <c r="AJ501" s="34"/>
      <c r="AK501" s="34"/>
      <c r="AL501" s="34"/>
    </row>
    <row r="502" spans="12:38">
      <c r="L502" s="34"/>
      <c r="M502" s="34"/>
      <c r="N502" s="34"/>
      <c r="O502" s="34"/>
      <c r="P502" s="34"/>
      <c r="Q502" s="34"/>
      <c r="R502" s="34"/>
      <c r="S502" s="34"/>
      <c r="T502" s="34"/>
      <c r="U502" s="34"/>
      <c r="V502" s="34"/>
      <c r="W502" s="34"/>
      <c r="AB502" s="34"/>
      <c r="AC502" s="34"/>
      <c r="AD502" s="34"/>
      <c r="AE502" s="34"/>
      <c r="AF502" s="34"/>
      <c r="AG502" s="34"/>
      <c r="AH502" s="34"/>
      <c r="AI502" s="34"/>
      <c r="AJ502" s="34"/>
      <c r="AK502" s="34"/>
      <c r="AL502" s="34"/>
    </row>
    <row r="503" spans="12:38">
      <c r="L503" s="34"/>
      <c r="M503" s="34"/>
      <c r="N503" s="34"/>
      <c r="O503" s="34"/>
      <c r="P503" s="34"/>
      <c r="Q503" s="34"/>
      <c r="R503" s="34"/>
      <c r="S503" s="34"/>
      <c r="T503" s="34"/>
      <c r="U503" s="34"/>
      <c r="V503" s="34"/>
      <c r="W503" s="34"/>
      <c r="AB503" s="34"/>
      <c r="AC503" s="34"/>
      <c r="AD503" s="34"/>
      <c r="AE503" s="34"/>
      <c r="AF503" s="34"/>
      <c r="AG503" s="34"/>
      <c r="AH503" s="34"/>
      <c r="AI503" s="34"/>
      <c r="AJ503" s="34"/>
      <c r="AK503" s="34"/>
      <c r="AL503" s="34"/>
    </row>
    <row r="504" spans="12:38">
      <c r="L504" s="34"/>
      <c r="M504" s="34"/>
      <c r="N504" s="34"/>
      <c r="O504" s="34"/>
      <c r="P504" s="34"/>
      <c r="Q504" s="34"/>
      <c r="R504" s="34"/>
      <c r="S504" s="34"/>
      <c r="T504" s="34"/>
      <c r="U504" s="34"/>
      <c r="V504" s="34"/>
      <c r="W504" s="34"/>
      <c r="AB504" s="34"/>
      <c r="AC504" s="34"/>
      <c r="AD504" s="34"/>
      <c r="AE504" s="34"/>
      <c r="AF504" s="34"/>
      <c r="AG504" s="34"/>
      <c r="AH504" s="34"/>
      <c r="AI504" s="34"/>
      <c r="AJ504" s="34"/>
      <c r="AK504" s="34"/>
      <c r="AL504" s="34"/>
    </row>
    <row r="505" spans="12:38">
      <c r="L505" s="34"/>
      <c r="M505" s="34"/>
      <c r="N505" s="34"/>
      <c r="O505" s="34"/>
      <c r="P505" s="34"/>
      <c r="Q505" s="34"/>
      <c r="R505" s="34"/>
      <c r="S505" s="34"/>
      <c r="T505" s="34"/>
      <c r="U505" s="34"/>
      <c r="V505" s="34"/>
      <c r="W505" s="34"/>
      <c r="AB505" s="34"/>
      <c r="AC505" s="34"/>
      <c r="AD505" s="34"/>
      <c r="AE505" s="34"/>
      <c r="AF505" s="34"/>
      <c r="AG505" s="34"/>
      <c r="AH505" s="34"/>
      <c r="AI505" s="34"/>
      <c r="AJ505" s="34"/>
      <c r="AK505" s="34"/>
      <c r="AL505" s="34"/>
    </row>
    <row r="506" spans="12:38">
      <c r="L506" s="34"/>
      <c r="M506" s="34"/>
      <c r="N506" s="34"/>
      <c r="O506" s="34"/>
      <c r="P506" s="34"/>
      <c r="Q506" s="34"/>
      <c r="R506" s="34"/>
      <c r="S506" s="34"/>
      <c r="T506" s="34"/>
      <c r="U506" s="34"/>
      <c r="V506" s="34"/>
      <c r="W506" s="34"/>
      <c r="AB506" s="34"/>
      <c r="AC506" s="34"/>
      <c r="AD506" s="34"/>
      <c r="AE506" s="34"/>
      <c r="AF506" s="34"/>
      <c r="AG506" s="34"/>
      <c r="AH506" s="34"/>
      <c r="AI506" s="34"/>
      <c r="AJ506" s="34"/>
      <c r="AK506" s="34"/>
      <c r="AL506" s="34"/>
    </row>
    <row r="507" spans="12:38">
      <c r="L507" s="34"/>
      <c r="M507" s="34"/>
      <c r="N507" s="34"/>
      <c r="O507" s="34"/>
      <c r="P507" s="34"/>
      <c r="Q507" s="34"/>
      <c r="R507" s="34"/>
      <c r="S507" s="34"/>
      <c r="T507" s="34"/>
      <c r="U507" s="34"/>
      <c r="V507" s="34"/>
      <c r="W507" s="34"/>
      <c r="AB507" s="34"/>
      <c r="AC507" s="34"/>
      <c r="AD507" s="34"/>
      <c r="AE507" s="34"/>
      <c r="AF507" s="34"/>
      <c r="AG507" s="34"/>
      <c r="AH507" s="34"/>
      <c r="AI507" s="34"/>
      <c r="AJ507" s="34"/>
      <c r="AK507" s="34"/>
      <c r="AL507" s="34"/>
    </row>
    <row r="508" spans="12:38">
      <c r="L508" s="34"/>
      <c r="M508" s="34"/>
      <c r="N508" s="34"/>
      <c r="O508" s="34"/>
      <c r="P508" s="34"/>
      <c r="Q508" s="34"/>
      <c r="R508" s="34"/>
      <c r="S508" s="34"/>
      <c r="T508" s="34"/>
      <c r="U508" s="34"/>
      <c r="V508" s="34"/>
      <c r="W508" s="34"/>
      <c r="AB508" s="34"/>
      <c r="AC508" s="34"/>
      <c r="AD508" s="34"/>
      <c r="AE508" s="34"/>
      <c r="AF508" s="34"/>
      <c r="AG508" s="34"/>
      <c r="AH508" s="34"/>
      <c r="AI508" s="34"/>
      <c r="AJ508" s="34"/>
      <c r="AK508" s="34"/>
      <c r="AL508" s="34"/>
    </row>
    <row r="509" spans="12:38">
      <c r="L509" s="34"/>
      <c r="M509" s="34"/>
      <c r="N509" s="34"/>
      <c r="O509" s="34"/>
      <c r="P509" s="34"/>
      <c r="Q509" s="34"/>
      <c r="R509" s="34"/>
      <c r="S509" s="34"/>
      <c r="T509" s="34"/>
      <c r="U509" s="34"/>
      <c r="V509" s="34"/>
      <c r="W509" s="34"/>
      <c r="AB509" s="34"/>
      <c r="AC509" s="34"/>
      <c r="AD509" s="34"/>
      <c r="AE509" s="34"/>
      <c r="AF509" s="34"/>
      <c r="AG509" s="34"/>
      <c r="AH509" s="34"/>
      <c r="AI509" s="34"/>
      <c r="AJ509" s="34"/>
      <c r="AK509" s="34"/>
      <c r="AL509" s="34"/>
    </row>
    <row r="510" spans="12:38">
      <c r="L510" s="34"/>
      <c r="M510" s="34"/>
      <c r="N510" s="34"/>
      <c r="O510" s="34"/>
      <c r="P510" s="34"/>
      <c r="Q510" s="34"/>
      <c r="R510" s="34"/>
      <c r="S510" s="34"/>
      <c r="T510" s="34"/>
      <c r="U510" s="34"/>
      <c r="V510" s="34"/>
      <c r="W510" s="34"/>
      <c r="AB510" s="34"/>
      <c r="AC510" s="34"/>
      <c r="AD510" s="34"/>
      <c r="AE510" s="34"/>
      <c r="AF510" s="34"/>
      <c r="AG510" s="34"/>
      <c r="AH510" s="34"/>
      <c r="AI510" s="34"/>
      <c r="AJ510" s="34"/>
      <c r="AK510" s="34"/>
      <c r="AL510" s="34"/>
    </row>
    <row r="511" spans="12:38">
      <c r="L511" s="34"/>
      <c r="M511" s="34"/>
      <c r="N511" s="34"/>
      <c r="O511" s="34"/>
      <c r="P511" s="34"/>
      <c r="Q511" s="34"/>
      <c r="R511" s="34"/>
      <c r="S511" s="34"/>
      <c r="T511" s="34"/>
      <c r="U511" s="34"/>
      <c r="V511" s="34"/>
      <c r="W511" s="34"/>
      <c r="AB511" s="34"/>
      <c r="AC511" s="34"/>
      <c r="AD511" s="34"/>
      <c r="AE511" s="34"/>
      <c r="AF511" s="34"/>
      <c r="AG511" s="34"/>
      <c r="AH511" s="34"/>
      <c r="AI511" s="34"/>
      <c r="AJ511" s="34"/>
      <c r="AK511" s="34"/>
      <c r="AL511" s="34"/>
    </row>
    <row r="512" spans="12:38">
      <c r="L512" s="34"/>
      <c r="M512" s="34"/>
      <c r="N512" s="34"/>
      <c r="O512" s="34"/>
      <c r="P512" s="34"/>
      <c r="Q512" s="34"/>
      <c r="R512" s="34"/>
      <c r="S512" s="34"/>
      <c r="T512" s="34"/>
      <c r="U512" s="34"/>
      <c r="V512" s="34"/>
      <c r="W512" s="34"/>
      <c r="AB512" s="34"/>
      <c r="AC512" s="34"/>
      <c r="AD512" s="34"/>
      <c r="AE512" s="34"/>
      <c r="AF512" s="34"/>
      <c r="AG512" s="34"/>
      <c r="AH512" s="34"/>
      <c r="AI512" s="34"/>
      <c r="AJ512" s="34"/>
      <c r="AK512" s="34"/>
      <c r="AL512" s="34"/>
    </row>
    <row r="513" spans="12:38">
      <c r="L513" s="34"/>
      <c r="M513" s="34"/>
      <c r="N513" s="34"/>
      <c r="O513" s="34"/>
      <c r="P513" s="34"/>
      <c r="Q513" s="34"/>
      <c r="R513" s="34"/>
      <c r="S513" s="34"/>
      <c r="T513" s="34"/>
      <c r="U513" s="34"/>
      <c r="V513" s="34"/>
      <c r="W513" s="34"/>
      <c r="AB513" s="34"/>
      <c r="AC513" s="34"/>
      <c r="AD513" s="34"/>
      <c r="AE513" s="34"/>
      <c r="AF513" s="34"/>
      <c r="AG513" s="34"/>
      <c r="AH513" s="34"/>
      <c r="AI513" s="34"/>
      <c r="AJ513" s="34"/>
      <c r="AK513" s="34"/>
      <c r="AL513" s="34"/>
    </row>
    <row r="514" spans="12:38">
      <c r="L514" s="34"/>
      <c r="M514" s="34"/>
      <c r="N514" s="34"/>
      <c r="O514" s="34"/>
      <c r="P514" s="34"/>
      <c r="Q514" s="34"/>
      <c r="R514" s="34"/>
      <c r="S514" s="34"/>
      <c r="T514" s="34"/>
      <c r="U514" s="34"/>
      <c r="V514" s="34"/>
      <c r="W514" s="34"/>
      <c r="AB514" s="34"/>
      <c r="AC514" s="34"/>
      <c r="AD514" s="34"/>
      <c r="AE514" s="34"/>
      <c r="AF514" s="34"/>
      <c r="AG514" s="34"/>
      <c r="AH514" s="34"/>
      <c r="AI514" s="34"/>
      <c r="AJ514" s="34"/>
      <c r="AK514" s="34"/>
      <c r="AL514" s="34"/>
    </row>
    <row r="515" spans="12:38">
      <c r="L515" s="34"/>
      <c r="M515" s="34"/>
      <c r="N515" s="34"/>
      <c r="O515" s="34"/>
      <c r="P515" s="34"/>
      <c r="Q515" s="34"/>
      <c r="R515" s="34"/>
      <c r="S515" s="34"/>
      <c r="T515" s="34"/>
      <c r="U515" s="34"/>
      <c r="V515" s="34"/>
      <c r="W515" s="34"/>
      <c r="AB515" s="34"/>
      <c r="AC515" s="34"/>
      <c r="AD515" s="34"/>
      <c r="AE515" s="34"/>
      <c r="AF515" s="34"/>
      <c r="AG515" s="34"/>
      <c r="AH515" s="34"/>
      <c r="AI515" s="34"/>
      <c r="AJ515" s="34"/>
      <c r="AK515" s="34"/>
      <c r="AL515" s="34"/>
    </row>
    <row r="516" spans="12:38">
      <c r="L516" s="34"/>
      <c r="M516" s="34"/>
      <c r="N516" s="34"/>
      <c r="O516" s="34"/>
      <c r="P516" s="34"/>
      <c r="Q516" s="34"/>
      <c r="R516" s="34"/>
      <c r="S516" s="34"/>
      <c r="T516" s="34"/>
      <c r="U516" s="34"/>
      <c r="V516" s="34"/>
      <c r="W516" s="34"/>
      <c r="AB516" s="34"/>
      <c r="AC516" s="34"/>
      <c r="AD516" s="34"/>
      <c r="AE516" s="34"/>
      <c r="AF516" s="34"/>
      <c r="AG516" s="34"/>
      <c r="AH516" s="34"/>
      <c r="AI516" s="34"/>
      <c r="AJ516" s="34"/>
      <c r="AK516" s="34"/>
      <c r="AL516" s="34"/>
    </row>
    <row r="517" spans="12:38">
      <c r="L517" s="34"/>
      <c r="M517" s="34"/>
      <c r="N517" s="34"/>
      <c r="O517" s="34"/>
      <c r="P517" s="34"/>
      <c r="Q517" s="34"/>
      <c r="R517" s="34"/>
      <c r="S517" s="34"/>
      <c r="T517" s="34"/>
      <c r="U517" s="34"/>
      <c r="V517" s="34"/>
      <c r="W517" s="34"/>
      <c r="AB517" s="34"/>
      <c r="AC517" s="34"/>
      <c r="AD517" s="34"/>
      <c r="AE517" s="34"/>
      <c r="AF517" s="34"/>
      <c r="AG517" s="34"/>
      <c r="AH517" s="34"/>
      <c r="AI517" s="34"/>
      <c r="AJ517" s="34"/>
      <c r="AK517" s="34"/>
      <c r="AL517" s="34"/>
    </row>
    <row r="518" spans="12:38">
      <c r="L518" s="34"/>
      <c r="M518" s="34"/>
      <c r="N518" s="34"/>
      <c r="O518" s="34"/>
      <c r="P518" s="34"/>
      <c r="Q518" s="34"/>
      <c r="R518" s="34"/>
      <c r="S518" s="34"/>
      <c r="T518" s="34"/>
      <c r="U518" s="34"/>
      <c r="V518" s="34"/>
      <c r="W518" s="34"/>
      <c r="AB518" s="34"/>
      <c r="AC518" s="34"/>
      <c r="AD518" s="34"/>
      <c r="AE518" s="34"/>
      <c r="AF518" s="34"/>
      <c r="AG518" s="34"/>
      <c r="AH518" s="34"/>
      <c r="AI518" s="34"/>
      <c r="AJ518" s="34"/>
      <c r="AK518" s="34"/>
      <c r="AL518" s="34"/>
    </row>
    <row r="519" spans="12:38">
      <c r="L519" s="34"/>
      <c r="M519" s="34"/>
      <c r="N519" s="34"/>
      <c r="O519" s="34"/>
      <c r="P519" s="34"/>
      <c r="Q519" s="34"/>
      <c r="R519" s="34"/>
      <c r="S519" s="34"/>
      <c r="T519" s="34"/>
      <c r="U519" s="34"/>
      <c r="V519" s="34"/>
      <c r="W519" s="34"/>
      <c r="AB519" s="34"/>
      <c r="AC519" s="34"/>
      <c r="AD519" s="34"/>
      <c r="AE519" s="34"/>
      <c r="AF519" s="34"/>
      <c r="AG519" s="34"/>
      <c r="AH519" s="34"/>
      <c r="AI519" s="34"/>
      <c r="AJ519" s="34"/>
      <c r="AK519" s="34"/>
      <c r="AL519" s="34"/>
    </row>
    <row r="520" spans="12:38">
      <c r="L520" s="34"/>
      <c r="M520" s="34"/>
      <c r="N520" s="34"/>
      <c r="O520" s="34"/>
      <c r="P520" s="34"/>
      <c r="Q520" s="34"/>
      <c r="R520" s="34"/>
      <c r="S520" s="34"/>
      <c r="T520" s="34"/>
      <c r="U520" s="34"/>
      <c r="V520" s="34"/>
      <c r="W520" s="34"/>
      <c r="AB520" s="34"/>
      <c r="AC520" s="34"/>
      <c r="AD520" s="34"/>
      <c r="AE520" s="34"/>
      <c r="AF520" s="34"/>
      <c r="AG520" s="34"/>
      <c r="AH520" s="34"/>
      <c r="AI520" s="34"/>
      <c r="AJ520" s="34"/>
      <c r="AK520" s="34"/>
      <c r="AL520" s="34"/>
    </row>
    <row r="521" spans="12:38">
      <c r="L521" s="34"/>
      <c r="M521" s="34"/>
      <c r="N521" s="34"/>
      <c r="O521" s="34"/>
      <c r="P521" s="34"/>
      <c r="Q521" s="34"/>
      <c r="R521" s="34"/>
      <c r="S521" s="34"/>
      <c r="T521" s="34"/>
      <c r="U521" s="34"/>
      <c r="V521" s="34"/>
      <c r="W521" s="34"/>
      <c r="AB521" s="34"/>
      <c r="AC521" s="34"/>
      <c r="AD521" s="34"/>
      <c r="AE521" s="34"/>
      <c r="AF521" s="34"/>
      <c r="AG521" s="34"/>
      <c r="AH521" s="34"/>
      <c r="AI521" s="34"/>
      <c r="AJ521" s="34"/>
      <c r="AK521" s="34"/>
      <c r="AL521" s="34"/>
    </row>
    <row r="522" spans="12:38">
      <c r="L522" s="34"/>
      <c r="M522" s="34"/>
      <c r="N522" s="34"/>
      <c r="O522" s="34"/>
      <c r="P522" s="34"/>
      <c r="Q522" s="34"/>
      <c r="R522" s="34"/>
      <c r="S522" s="34"/>
      <c r="T522" s="34"/>
      <c r="U522" s="34"/>
      <c r="V522" s="34"/>
      <c r="W522" s="34"/>
      <c r="AB522" s="34"/>
      <c r="AC522" s="34"/>
      <c r="AD522" s="34"/>
      <c r="AE522" s="34"/>
      <c r="AF522" s="34"/>
      <c r="AG522" s="34"/>
      <c r="AH522" s="34"/>
      <c r="AI522" s="34"/>
      <c r="AJ522" s="34"/>
      <c r="AK522" s="34"/>
      <c r="AL522" s="34"/>
    </row>
    <row r="523" spans="12:38">
      <c r="L523" s="34"/>
      <c r="M523" s="34"/>
      <c r="N523" s="34"/>
      <c r="O523" s="34"/>
      <c r="P523" s="34"/>
      <c r="Q523" s="34"/>
      <c r="R523" s="34"/>
      <c r="S523" s="34"/>
      <c r="T523" s="34"/>
      <c r="U523" s="34"/>
      <c r="V523" s="34"/>
      <c r="W523" s="34"/>
      <c r="AB523" s="34"/>
      <c r="AC523" s="34"/>
      <c r="AD523" s="34"/>
      <c r="AE523" s="34"/>
      <c r="AF523" s="34"/>
      <c r="AG523" s="34"/>
      <c r="AH523" s="34"/>
      <c r="AI523" s="34"/>
      <c r="AJ523" s="34"/>
      <c r="AK523" s="34"/>
      <c r="AL523" s="34"/>
    </row>
    <row r="524" spans="12:38">
      <c r="L524" s="34"/>
      <c r="M524" s="34"/>
      <c r="N524" s="34"/>
      <c r="O524" s="34"/>
      <c r="P524" s="34"/>
      <c r="Q524" s="34"/>
      <c r="R524" s="34"/>
      <c r="S524" s="34"/>
      <c r="T524" s="34"/>
      <c r="U524" s="34"/>
      <c r="V524" s="34"/>
      <c r="W524" s="34"/>
      <c r="AB524" s="34"/>
      <c r="AC524" s="34"/>
      <c r="AD524" s="34"/>
      <c r="AE524" s="34"/>
      <c r="AF524" s="34"/>
      <c r="AG524" s="34"/>
      <c r="AH524" s="34"/>
      <c r="AI524" s="34"/>
      <c r="AJ524" s="34"/>
      <c r="AK524" s="34"/>
      <c r="AL524" s="34"/>
    </row>
    <row r="525" spans="12:38">
      <c r="L525" s="34"/>
      <c r="M525" s="34"/>
      <c r="N525" s="34"/>
      <c r="O525" s="34"/>
      <c r="P525" s="34"/>
      <c r="Q525" s="34"/>
      <c r="R525" s="34"/>
      <c r="S525" s="34"/>
      <c r="T525" s="34"/>
      <c r="U525" s="34"/>
      <c r="V525" s="34"/>
      <c r="W525" s="34"/>
      <c r="AB525" s="34"/>
      <c r="AC525" s="34"/>
      <c r="AD525" s="34"/>
      <c r="AE525" s="34"/>
      <c r="AF525" s="34"/>
      <c r="AG525" s="34"/>
      <c r="AH525" s="34"/>
      <c r="AI525" s="34"/>
      <c r="AJ525" s="34"/>
      <c r="AK525" s="34"/>
      <c r="AL525" s="34"/>
    </row>
    <row r="526" spans="12:38">
      <c r="L526" s="34"/>
      <c r="M526" s="34"/>
      <c r="N526" s="34"/>
      <c r="O526" s="34"/>
      <c r="P526" s="34"/>
      <c r="Q526" s="34"/>
      <c r="R526" s="34"/>
      <c r="S526" s="34"/>
      <c r="T526" s="34"/>
      <c r="U526" s="34"/>
      <c r="V526" s="34"/>
      <c r="W526" s="34"/>
      <c r="AB526" s="34"/>
      <c r="AC526" s="34"/>
      <c r="AD526" s="34"/>
      <c r="AE526" s="34"/>
      <c r="AF526" s="34"/>
      <c r="AG526" s="34"/>
      <c r="AH526" s="34"/>
      <c r="AI526" s="34"/>
      <c r="AJ526" s="34"/>
      <c r="AK526" s="34"/>
      <c r="AL526" s="34"/>
    </row>
    <row r="527" spans="12:38">
      <c r="L527" s="34"/>
      <c r="M527" s="34"/>
      <c r="N527" s="34"/>
      <c r="O527" s="34"/>
      <c r="P527" s="34"/>
      <c r="Q527" s="34"/>
      <c r="R527" s="34"/>
      <c r="S527" s="34"/>
      <c r="T527" s="34"/>
      <c r="U527" s="34"/>
      <c r="V527" s="34"/>
      <c r="W527" s="34"/>
      <c r="AB527" s="34"/>
      <c r="AC527" s="34"/>
      <c r="AD527" s="34"/>
      <c r="AE527" s="34"/>
      <c r="AF527" s="34"/>
      <c r="AG527" s="34"/>
      <c r="AH527" s="34"/>
      <c r="AI527" s="34"/>
      <c r="AJ527" s="34"/>
      <c r="AK527" s="34"/>
      <c r="AL527" s="34"/>
    </row>
    <row r="528" spans="12:38">
      <c r="L528" s="34"/>
      <c r="M528" s="34"/>
      <c r="N528" s="34"/>
      <c r="O528" s="34"/>
      <c r="P528" s="34"/>
      <c r="Q528" s="34"/>
      <c r="R528" s="34"/>
      <c r="S528" s="34"/>
      <c r="T528" s="34"/>
      <c r="U528" s="34"/>
      <c r="V528" s="34"/>
      <c r="W528" s="34"/>
      <c r="AB528" s="34"/>
      <c r="AC528" s="34"/>
      <c r="AD528" s="34"/>
      <c r="AE528" s="34"/>
      <c r="AF528" s="34"/>
      <c r="AG528" s="34"/>
      <c r="AH528" s="34"/>
      <c r="AI528" s="34"/>
      <c r="AJ528" s="34"/>
      <c r="AK528" s="34"/>
      <c r="AL528" s="34"/>
    </row>
    <row r="529" spans="12:38">
      <c r="L529" s="34"/>
      <c r="M529" s="34"/>
      <c r="N529" s="34"/>
      <c r="O529" s="34"/>
      <c r="P529" s="34"/>
      <c r="Q529" s="34"/>
      <c r="R529" s="34"/>
      <c r="S529" s="34"/>
      <c r="T529" s="34"/>
      <c r="U529" s="34"/>
      <c r="V529" s="34"/>
      <c r="W529" s="34"/>
      <c r="AB529" s="34"/>
      <c r="AC529" s="34"/>
      <c r="AD529" s="34"/>
      <c r="AE529" s="34"/>
      <c r="AF529" s="34"/>
      <c r="AG529" s="34"/>
      <c r="AH529" s="34"/>
      <c r="AI529" s="34"/>
      <c r="AJ529" s="34"/>
      <c r="AK529" s="34"/>
      <c r="AL529" s="34"/>
    </row>
    <row r="530" spans="12:38">
      <c r="L530" s="34"/>
      <c r="M530" s="34"/>
      <c r="N530" s="34"/>
      <c r="O530" s="34"/>
      <c r="P530" s="34"/>
      <c r="Q530" s="34"/>
      <c r="R530" s="34"/>
      <c r="S530" s="34"/>
      <c r="T530" s="34"/>
      <c r="U530" s="34"/>
      <c r="V530" s="34"/>
      <c r="W530" s="34"/>
      <c r="AB530" s="34"/>
      <c r="AC530" s="34"/>
      <c r="AD530" s="34"/>
      <c r="AE530" s="34"/>
      <c r="AF530" s="34"/>
      <c r="AG530" s="34"/>
      <c r="AH530" s="34"/>
      <c r="AI530" s="34"/>
      <c r="AJ530" s="34"/>
      <c r="AK530" s="34"/>
      <c r="AL530" s="34"/>
    </row>
    <row r="531" spans="12:38">
      <c r="L531" s="34"/>
      <c r="M531" s="34"/>
      <c r="N531" s="34"/>
      <c r="O531" s="34"/>
      <c r="P531" s="34"/>
      <c r="Q531" s="34"/>
      <c r="R531" s="34"/>
      <c r="S531" s="34"/>
      <c r="T531" s="34"/>
      <c r="U531" s="34"/>
      <c r="V531" s="34"/>
      <c r="W531" s="34"/>
      <c r="AB531" s="34"/>
      <c r="AC531" s="34"/>
      <c r="AD531" s="34"/>
      <c r="AE531" s="34"/>
      <c r="AF531" s="34"/>
      <c r="AG531" s="34"/>
      <c r="AH531" s="34"/>
      <c r="AI531" s="34"/>
      <c r="AJ531" s="34"/>
      <c r="AK531" s="34"/>
      <c r="AL531" s="34"/>
    </row>
    <row r="532" spans="12:38">
      <c r="L532" s="34"/>
      <c r="M532" s="34"/>
      <c r="N532" s="34"/>
      <c r="O532" s="34"/>
      <c r="P532" s="34"/>
      <c r="Q532" s="34"/>
      <c r="R532" s="34"/>
      <c r="S532" s="34"/>
      <c r="T532" s="34"/>
      <c r="U532" s="34"/>
      <c r="V532" s="34"/>
      <c r="W532" s="34"/>
      <c r="AB532" s="34"/>
      <c r="AC532" s="34"/>
      <c r="AD532" s="34"/>
      <c r="AE532" s="34"/>
      <c r="AF532" s="34"/>
      <c r="AG532" s="34"/>
      <c r="AH532" s="34"/>
      <c r="AI532" s="34"/>
      <c r="AJ532" s="34"/>
      <c r="AK532" s="34"/>
      <c r="AL532" s="34"/>
    </row>
    <row r="533" spans="12:38">
      <c r="L533" s="34"/>
      <c r="M533" s="34"/>
      <c r="N533" s="34"/>
      <c r="O533" s="34"/>
      <c r="P533" s="34"/>
      <c r="Q533" s="34"/>
      <c r="R533" s="34"/>
      <c r="S533" s="34"/>
      <c r="T533" s="34"/>
      <c r="U533" s="34"/>
      <c r="V533" s="34"/>
      <c r="W533" s="34"/>
      <c r="AB533" s="34"/>
      <c r="AC533" s="34"/>
      <c r="AD533" s="34"/>
      <c r="AE533" s="34"/>
      <c r="AF533" s="34"/>
      <c r="AG533" s="34"/>
      <c r="AH533" s="34"/>
      <c r="AI533" s="34"/>
      <c r="AJ533" s="34"/>
      <c r="AK533" s="34"/>
      <c r="AL533" s="34"/>
    </row>
    <row r="534" spans="12:38">
      <c r="L534" s="34"/>
      <c r="M534" s="34"/>
      <c r="N534" s="34"/>
      <c r="O534" s="34"/>
      <c r="P534" s="34"/>
      <c r="Q534" s="34"/>
      <c r="R534" s="34"/>
      <c r="S534" s="34"/>
      <c r="T534" s="34"/>
      <c r="U534" s="34"/>
      <c r="V534" s="34"/>
      <c r="W534" s="34"/>
      <c r="AB534" s="34"/>
      <c r="AC534" s="34"/>
      <c r="AD534" s="34"/>
      <c r="AE534" s="34"/>
      <c r="AF534" s="34"/>
      <c r="AG534" s="34"/>
      <c r="AH534" s="34"/>
      <c r="AI534" s="34"/>
      <c r="AJ534" s="34"/>
      <c r="AK534" s="34"/>
      <c r="AL534" s="34"/>
    </row>
    <row r="535" spans="12:38">
      <c r="L535" s="34"/>
      <c r="M535" s="34"/>
      <c r="N535" s="34"/>
      <c r="O535" s="34"/>
      <c r="P535" s="34"/>
      <c r="Q535" s="34"/>
      <c r="R535" s="34"/>
      <c r="S535" s="34"/>
      <c r="T535" s="34"/>
      <c r="U535" s="34"/>
      <c r="V535" s="34"/>
      <c r="W535" s="34"/>
      <c r="AB535" s="34"/>
      <c r="AC535" s="34"/>
      <c r="AD535" s="34"/>
      <c r="AE535" s="34"/>
      <c r="AF535" s="34"/>
      <c r="AG535" s="34"/>
      <c r="AH535" s="34"/>
      <c r="AI535" s="34"/>
      <c r="AJ535" s="34"/>
      <c r="AK535" s="34"/>
      <c r="AL535" s="34"/>
    </row>
    <row r="536" spans="12:38">
      <c r="L536" s="34"/>
      <c r="M536" s="34"/>
      <c r="N536" s="34"/>
      <c r="O536" s="34"/>
      <c r="P536" s="34"/>
      <c r="Q536" s="34"/>
      <c r="R536" s="34"/>
      <c r="S536" s="34"/>
      <c r="T536" s="34"/>
      <c r="U536" s="34"/>
      <c r="V536" s="34"/>
      <c r="W536" s="34"/>
      <c r="AB536" s="34"/>
      <c r="AC536" s="34"/>
      <c r="AD536" s="34"/>
      <c r="AE536" s="34"/>
      <c r="AF536" s="34"/>
      <c r="AG536" s="34"/>
      <c r="AH536" s="34"/>
      <c r="AI536" s="34"/>
      <c r="AJ536" s="34"/>
      <c r="AK536" s="34"/>
      <c r="AL536" s="34"/>
    </row>
    <row r="537" spans="12:38">
      <c r="L537" s="34"/>
      <c r="M537" s="34"/>
      <c r="N537" s="34"/>
      <c r="O537" s="34"/>
      <c r="P537" s="34"/>
      <c r="Q537" s="34"/>
      <c r="R537" s="34"/>
      <c r="S537" s="34"/>
      <c r="T537" s="34"/>
      <c r="U537" s="34"/>
      <c r="V537" s="34"/>
      <c r="W537" s="34"/>
      <c r="AB537" s="34"/>
      <c r="AC537" s="34"/>
      <c r="AD537" s="34"/>
      <c r="AE537" s="34"/>
      <c r="AF537" s="34"/>
      <c r="AG537" s="34"/>
      <c r="AH537" s="34"/>
      <c r="AI537" s="34"/>
      <c r="AJ537" s="34"/>
      <c r="AK537" s="34"/>
      <c r="AL537" s="34"/>
    </row>
    <row r="538" spans="12:38">
      <c r="L538" s="34"/>
      <c r="M538" s="34"/>
      <c r="N538" s="34"/>
      <c r="O538" s="34"/>
      <c r="P538" s="34"/>
      <c r="Q538" s="34"/>
      <c r="R538" s="34"/>
      <c r="S538" s="34"/>
      <c r="T538" s="34"/>
      <c r="U538" s="34"/>
      <c r="V538" s="34"/>
      <c r="W538" s="34"/>
      <c r="AB538" s="34"/>
      <c r="AC538" s="34"/>
      <c r="AD538" s="34"/>
      <c r="AE538" s="34"/>
      <c r="AF538" s="34"/>
      <c r="AG538" s="34"/>
      <c r="AH538" s="34"/>
      <c r="AI538" s="34"/>
      <c r="AJ538" s="34"/>
      <c r="AK538" s="34"/>
      <c r="AL538" s="34"/>
    </row>
    <row r="539" spans="12:38">
      <c r="L539" s="34"/>
      <c r="M539" s="34"/>
      <c r="N539" s="34"/>
      <c r="O539" s="34"/>
      <c r="P539" s="34"/>
      <c r="Q539" s="34"/>
      <c r="R539" s="34"/>
      <c r="S539" s="34"/>
      <c r="T539" s="34"/>
      <c r="U539" s="34"/>
      <c r="V539" s="34"/>
      <c r="W539" s="34"/>
      <c r="AB539" s="34"/>
      <c r="AC539" s="34"/>
      <c r="AD539" s="34"/>
      <c r="AE539" s="34"/>
      <c r="AF539" s="34"/>
      <c r="AG539" s="34"/>
      <c r="AH539" s="34"/>
      <c r="AI539" s="34"/>
      <c r="AJ539" s="34"/>
      <c r="AK539" s="34"/>
      <c r="AL539" s="34"/>
    </row>
    <row r="540" spans="12:38">
      <c r="L540" s="34"/>
      <c r="M540" s="34"/>
      <c r="N540" s="34"/>
      <c r="O540" s="34"/>
      <c r="P540" s="34"/>
      <c r="Q540" s="34"/>
      <c r="R540" s="34"/>
      <c r="S540" s="34"/>
      <c r="T540" s="34"/>
      <c r="U540" s="34"/>
      <c r="V540" s="34"/>
      <c r="W540" s="34"/>
      <c r="AB540" s="34"/>
      <c r="AC540" s="34"/>
      <c r="AD540" s="34"/>
      <c r="AE540" s="34"/>
      <c r="AF540" s="34"/>
      <c r="AG540" s="34"/>
      <c r="AH540" s="34"/>
      <c r="AI540" s="34"/>
      <c r="AJ540" s="34"/>
      <c r="AK540" s="34"/>
      <c r="AL540" s="34"/>
    </row>
    <row r="541" spans="12:38">
      <c r="L541" s="34"/>
      <c r="M541" s="34"/>
      <c r="N541" s="34"/>
      <c r="O541" s="34"/>
      <c r="P541" s="34"/>
      <c r="Q541" s="34"/>
      <c r="R541" s="34"/>
      <c r="S541" s="34"/>
      <c r="T541" s="34"/>
      <c r="U541" s="34"/>
      <c r="V541" s="34"/>
      <c r="W541" s="34"/>
      <c r="AB541" s="34"/>
      <c r="AC541" s="34"/>
      <c r="AD541" s="34"/>
      <c r="AE541" s="34"/>
      <c r="AF541" s="34"/>
      <c r="AG541" s="34"/>
      <c r="AH541" s="34"/>
      <c r="AI541" s="34"/>
      <c r="AJ541" s="34"/>
      <c r="AK541" s="34"/>
      <c r="AL541" s="34"/>
    </row>
    <row r="542" spans="12:38">
      <c r="L542" s="34"/>
      <c r="M542" s="34"/>
      <c r="N542" s="34"/>
      <c r="O542" s="34"/>
      <c r="P542" s="34"/>
      <c r="Q542" s="34"/>
      <c r="R542" s="34"/>
      <c r="S542" s="34"/>
      <c r="T542" s="34"/>
      <c r="U542" s="34"/>
      <c r="V542" s="34"/>
      <c r="W542" s="34"/>
      <c r="AB542" s="34"/>
      <c r="AC542" s="34"/>
      <c r="AD542" s="34"/>
      <c r="AE542" s="34"/>
      <c r="AF542" s="34"/>
      <c r="AG542" s="34"/>
      <c r="AH542" s="34"/>
      <c r="AI542" s="34"/>
      <c r="AJ542" s="34"/>
      <c r="AK542" s="34"/>
      <c r="AL542" s="34"/>
    </row>
    <row r="543" spans="12:38">
      <c r="L543" s="34"/>
      <c r="M543" s="34"/>
      <c r="N543" s="34"/>
      <c r="O543" s="34"/>
      <c r="P543" s="34"/>
      <c r="Q543" s="34"/>
      <c r="R543" s="34"/>
      <c r="S543" s="34"/>
      <c r="T543" s="34"/>
      <c r="U543" s="34"/>
      <c r="V543" s="34"/>
      <c r="W543" s="34"/>
      <c r="AB543" s="34"/>
      <c r="AC543" s="34"/>
      <c r="AD543" s="34"/>
      <c r="AE543" s="34"/>
      <c r="AF543" s="34"/>
      <c r="AG543" s="34"/>
      <c r="AH543" s="34"/>
      <c r="AI543" s="34"/>
      <c r="AJ543" s="34"/>
      <c r="AK543" s="34"/>
      <c r="AL543" s="34"/>
    </row>
    <row r="544" spans="12:38">
      <c r="L544" s="34"/>
      <c r="M544" s="34"/>
      <c r="N544" s="34"/>
      <c r="O544" s="34"/>
      <c r="P544" s="34"/>
      <c r="Q544" s="34"/>
      <c r="R544" s="34"/>
      <c r="S544" s="34"/>
      <c r="T544" s="34"/>
      <c r="U544" s="34"/>
      <c r="V544" s="34"/>
      <c r="W544" s="34"/>
      <c r="AB544" s="34"/>
      <c r="AC544" s="34"/>
      <c r="AD544" s="34"/>
      <c r="AE544" s="34"/>
      <c r="AF544" s="34"/>
      <c r="AG544" s="34"/>
      <c r="AH544" s="34"/>
      <c r="AI544" s="34"/>
      <c r="AJ544" s="34"/>
      <c r="AK544" s="34"/>
      <c r="AL544" s="34"/>
    </row>
    <row r="545" spans="12:38">
      <c r="L545" s="34"/>
      <c r="M545" s="34"/>
      <c r="N545" s="34"/>
      <c r="O545" s="34"/>
      <c r="P545" s="34"/>
      <c r="Q545" s="34"/>
      <c r="R545" s="34"/>
      <c r="S545" s="34"/>
      <c r="T545" s="34"/>
      <c r="U545" s="34"/>
      <c r="V545" s="34"/>
      <c r="W545" s="34"/>
      <c r="AB545" s="34"/>
      <c r="AC545" s="34"/>
      <c r="AD545" s="34"/>
      <c r="AE545" s="34"/>
      <c r="AF545" s="34"/>
      <c r="AG545" s="34"/>
      <c r="AH545" s="34"/>
      <c r="AI545" s="34"/>
      <c r="AJ545" s="34"/>
      <c r="AK545" s="34"/>
      <c r="AL545" s="34"/>
    </row>
    <row r="546" spans="12:38">
      <c r="L546" s="34"/>
      <c r="M546" s="34"/>
      <c r="N546" s="34"/>
      <c r="O546" s="34"/>
      <c r="P546" s="34"/>
      <c r="Q546" s="34"/>
      <c r="R546" s="34"/>
      <c r="S546" s="34"/>
      <c r="T546" s="34"/>
      <c r="U546" s="34"/>
      <c r="V546" s="34"/>
      <c r="W546" s="34"/>
      <c r="AB546" s="34"/>
      <c r="AC546" s="34"/>
      <c r="AD546" s="34"/>
      <c r="AE546" s="34"/>
      <c r="AF546" s="34"/>
      <c r="AG546" s="34"/>
      <c r="AH546" s="34"/>
      <c r="AI546" s="34"/>
      <c r="AJ546" s="34"/>
      <c r="AK546" s="34"/>
      <c r="AL546" s="34"/>
    </row>
    <row r="547" spans="12:38">
      <c r="L547" s="34"/>
      <c r="M547" s="34"/>
      <c r="N547" s="34"/>
      <c r="O547" s="34"/>
      <c r="P547" s="34"/>
      <c r="Q547" s="34"/>
      <c r="R547" s="34"/>
      <c r="S547" s="34"/>
      <c r="T547" s="34"/>
      <c r="U547" s="34"/>
      <c r="V547" s="34"/>
      <c r="W547" s="34"/>
      <c r="AB547" s="34"/>
      <c r="AC547" s="34"/>
      <c r="AD547" s="34"/>
      <c r="AE547" s="34"/>
      <c r="AF547" s="34"/>
      <c r="AG547" s="34"/>
      <c r="AH547" s="34"/>
      <c r="AI547" s="34"/>
      <c r="AJ547" s="34"/>
      <c r="AK547" s="34"/>
      <c r="AL547" s="34"/>
    </row>
    <row r="548" spans="12:38">
      <c r="L548" s="34"/>
      <c r="M548" s="34"/>
      <c r="N548" s="34"/>
      <c r="O548" s="34"/>
      <c r="P548" s="34"/>
      <c r="Q548" s="34"/>
      <c r="R548" s="34"/>
      <c r="S548" s="34"/>
      <c r="T548" s="34"/>
      <c r="U548" s="34"/>
      <c r="V548" s="34"/>
      <c r="W548" s="34"/>
      <c r="AB548" s="34"/>
      <c r="AC548" s="34"/>
      <c r="AD548" s="34"/>
      <c r="AE548" s="34"/>
      <c r="AF548" s="34"/>
      <c r="AG548" s="34"/>
      <c r="AH548" s="34"/>
      <c r="AI548" s="34"/>
      <c r="AJ548" s="34"/>
      <c r="AK548" s="34"/>
      <c r="AL548" s="34"/>
    </row>
    <row r="549" spans="12:38">
      <c r="L549" s="34"/>
      <c r="M549" s="34"/>
      <c r="N549" s="34"/>
      <c r="O549" s="34"/>
      <c r="P549" s="34"/>
      <c r="Q549" s="34"/>
      <c r="R549" s="34"/>
      <c r="S549" s="34"/>
      <c r="T549" s="34"/>
      <c r="U549" s="34"/>
      <c r="V549" s="34"/>
      <c r="W549" s="34"/>
      <c r="AB549" s="34"/>
      <c r="AC549" s="34"/>
      <c r="AD549" s="34"/>
      <c r="AE549" s="34"/>
      <c r="AF549" s="34"/>
      <c r="AG549" s="34"/>
      <c r="AH549" s="34"/>
      <c r="AI549" s="34"/>
      <c r="AJ549" s="34"/>
      <c r="AK549" s="34"/>
      <c r="AL549" s="34"/>
    </row>
    <row r="550" spans="12:38">
      <c r="L550" s="34"/>
      <c r="M550" s="34"/>
      <c r="N550" s="34"/>
      <c r="O550" s="34"/>
      <c r="P550" s="34"/>
      <c r="Q550" s="34"/>
      <c r="R550" s="34"/>
      <c r="S550" s="34"/>
      <c r="T550" s="34"/>
      <c r="U550" s="34"/>
      <c r="V550" s="34"/>
      <c r="W550" s="34"/>
      <c r="AB550" s="34"/>
      <c r="AC550" s="34"/>
      <c r="AD550" s="34"/>
      <c r="AE550" s="34"/>
      <c r="AF550" s="34"/>
      <c r="AG550" s="34"/>
      <c r="AH550" s="34"/>
      <c r="AI550" s="34"/>
      <c r="AJ550" s="34"/>
      <c r="AK550" s="34"/>
      <c r="AL550" s="34"/>
    </row>
    <row r="551" spans="12:38">
      <c r="L551" s="34"/>
      <c r="M551" s="34"/>
      <c r="N551" s="34"/>
      <c r="O551" s="34"/>
      <c r="P551" s="34"/>
      <c r="Q551" s="34"/>
      <c r="R551" s="34"/>
      <c r="S551" s="34"/>
      <c r="T551" s="34"/>
      <c r="U551" s="34"/>
      <c r="V551" s="34"/>
      <c r="W551" s="34"/>
      <c r="AB551" s="34"/>
      <c r="AC551" s="34"/>
      <c r="AD551" s="34"/>
      <c r="AE551" s="34"/>
      <c r="AF551" s="34"/>
      <c r="AG551" s="34"/>
      <c r="AH551" s="34"/>
      <c r="AI551" s="34"/>
      <c r="AJ551" s="34"/>
      <c r="AK551" s="34"/>
      <c r="AL551" s="34"/>
    </row>
    <row r="552" spans="12:38">
      <c r="L552" s="34"/>
      <c r="M552" s="34"/>
      <c r="N552" s="34"/>
      <c r="O552" s="34"/>
      <c r="P552" s="34"/>
      <c r="Q552" s="34"/>
      <c r="R552" s="34"/>
      <c r="S552" s="34"/>
      <c r="T552" s="34"/>
      <c r="U552" s="34"/>
      <c r="V552" s="34"/>
      <c r="W552" s="34"/>
      <c r="AB552" s="34"/>
      <c r="AC552" s="34"/>
      <c r="AD552" s="34"/>
      <c r="AE552" s="34"/>
      <c r="AF552" s="34"/>
      <c r="AG552" s="34"/>
      <c r="AH552" s="34"/>
      <c r="AI552" s="34"/>
      <c r="AJ552" s="34"/>
      <c r="AK552" s="34"/>
      <c r="AL552" s="34"/>
    </row>
    <row r="553" spans="12:38">
      <c r="L553" s="34"/>
      <c r="M553" s="34"/>
      <c r="N553" s="34"/>
      <c r="O553" s="34"/>
      <c r="P553" s="34"/>
      <c r="Q553" s="34"/>
      <c r="R553" s="34"/>
      <c r="S553" s="34"/>
      <c r="T553" s="34"/>
      <c r="U553" s="34"/>
      <c r="V553" s="34"/>
      <c r="W553" s="34"/>
      <c r="AB553" s="34"/>
      <c r="AC553" s="34"/>
      <c r="AD553" s="34"/>
      <c r="AE553" s="34"/>
      <c r="AF553" s="34"/>
      <c r="AG553" s="34"/>
      <c r="AH553" s="34"/>
      <c r="AI553" s="34"/>
      <c r="AJ553" s="34"/>
      <c r="AK553" s="34"/>
      <c r="AL553" s="34"/>
    </row>
    <row r="554" spans="12:38">
      <c r="L554" s="34"/>
      <c r="M554" s="34"/>
      <c r="N554" s="34"/>
      <c r="O554" s="34"/>
      <c r="P554" s="34"/>
      <c r="Q554" s="34"/>
      <c r="R554" s="34"/>
      <c r="S554" s="34"/>
      <c r="T554" s="34"/>
      <c r="U554" s="34"/>
      <c r="V554" s="34"/>
      <c r="W554" s="34"/>
      <c r="AB554" s="34"/>
      <c r="AC554" s="34"/>
      <c r="AD554" s="34"/>
      <c r="AE554" s="34"/>
      <c r="AF554" s="34"/>
      <c r="AG554" s="34"/>
      <c r="AH554" s="34"/>
      <c r="AI554" s="34"/>
      <c r="AJ554" s="34"/>
      <c r="AK554" s="34"/>
      <c r="AL554" s="34"/>
    </row>
    <row r="555" spans="12:38">
      <c r="L555" s="34"/>
      <c r="M555" s="34"/>
      <c r="N555" s="34"/>
      <c r="O555" s="34"/>
      <c r="P555" s="34"/>
      <c r="Q555" s="34"/>
      <c r="R555" s="34"/>
      <c r="S555" s="34"/>
      <c r="T555" s="34"/>
      <c r="U555" s="34"/>
      <c r="V555" s="34"/>
      <c r="W555" s="34"/>
      <c r="AB555" s="34"/>
      <c r="AC555" s="34"/>
      <c r="AD555" s="34"/>
      <c r="AE555" s="34"/>
      <c r="AF555" s="34"/>
      <c r="AG555" s="34"/>
      <c r="AH555" s="34"/>
      <c r="AI555" s="34"/>
      <c r="AJ555" s="34"/>
      <c r="AK555" s="34"/>
      <c r="AL555" s="34"/>
    </row>
    <row r="556" spans="12:38">
      <c r="L556" s="34"/>
      <c r="M556" s="34"/>
      <c r="N556" s="34"/>
      <c r="O556" s="34"/>
      <c r="P556" s="34"/>
      <c r="Q556" s="34"/>
      <c r="R556" s="34"/>
      <c r="S556" s="34"/>
      <c r="T556" s="34"/>
      <c r="U556" s="34"/>
      <c r="V556" s="34"/>
      <c r="W556" s="34"/>
      <c r="AB556" s="34"/>
      <c r="AC556" s="34"/>
      <c r="AD556" s="34"/>
      <c r="AE556" s="34"/>
      <c r="AF556" s="34"/>
      <c r="AG556" s="34"/>
      <c r="AH556" s="34"/>
      <c r="AI556" s="34"/>
      <c r="AJ556" s="34"/>
      <c r="AK556" s="34"/>
      <c r="AL556" s="34"/>
    </row>
    <row r="557" spans="12:38">
      <c r="L557" s="34"/>
      <c r="M557" s="34"/>
      <c r="N557" s="34"/>
      <c r="O557" s="34"/>
      <c r="P557" s="34"/>
      <c r="Q557" s="34"/>
      <c r="R557" s="34"/>
      <c r="S557" s="34"/>
      <c r="T557" s="34"/>
      <c r="U557" s="34"/>
      <c r="V557" s="34"/>
      <c r="W557" s="34"/>
      <c r="AB557" s="34"/>
      <c r="AC557" s="34"/>
      <c r="AD557" s="34"/>
      <c r="AE557" s="34"/>
      <c r="AF557" s="34"/>
      <c r="AG557" s="34"/>
      <c r="AH557" s="34"/>
      <c r="AI557" s="34"/>
      <c r="AJ557" s="34"/>
      <c r="AK557" s="34"/>
      <c r="AL557" s="34"/>
    </row>
    <row r="558" spans="12:38">
      <c r="L558" s="34"/>
      <c r="M558" s="34"/>
      <c r="N558" s="34"/>
      <c r="O558" s="34"/>
      <c r="P558" s="34"/>
      <c r="Q558" s="34"/>
      <c r="R558" s="34"/>
      <c r="S558" s="34"/>
      <c r="T558" s="34"/>
      <c r="U558" s="34"/>
      <c r="V558" s="34"/>
      <c r="W558" s="34"/>
      <c r="AB558" s="34"/>
      <c r="AC558" s="34"/>
      <c r="AD558" s="34"/>
      <c r="AE558" s="34"/>
      <c r="AF558" s="34"/>
      <c r="AG558" s="34"/>
      <c r="AH558" s="34"/>
      <c r="AI558" s="34"/>
      <c r="AJ558" s="34"/>
      <c r="AK558" s="34"/>
      <c r="AL558" s="34"/>
    </row>
    <row r="559" spans="12:38">
      <c r="L559" s="34"/>
      <c r="M559" s="34"/>
      <c r="N559" s="34"/>
      <c r="O559" s="34"/>
      <c r="P559" s="34"/>
      <c r="Q559" s="34"/>
      <c r="R559" s="34"/>
      <c r="S559" s="34"/>
      <c r="T559" s="34"/>
      <c r="U559" s="34"/>
      <c r="V559" s="34"/>
      <c r="W559" s="34"/>
      <c r="AB559" s="34"/>
      <c r="AC559" s="34"/>
      <c r="AD559" s="34"/>
      <c r="AE559" s="34"/>
      <c r="AF559" s="34"/>
      <c r="AG559" s="34"/>
      <c r="AH559" s="34"/>
      <c r="AI559" s="34"/>
      <c r="AJ559" s="34"/>
      <c r="AK559" s="34"/>
      <c r="AL559" s="34"/>
    </row>
    <row r="560" spans="12:38">
      <c r="L560" s="34"/>
      <c r="M560" s="34"/>
      <c r="N560" s="34"/>
      <c r="O560" s="34"/>
      <c r="P560" s="34"/>
      <c r="Q560" s="34"/>
      <c r="R560" s="34"/>
      <c r="S560" s="34"/>
      <c r="T560" s="34"/>
      <c r="U560" s="34"/>
      <c r="V560" s="34"/>
      <c r="W560" s="34"/>
      <c r="AB560" s="34"/>
      <c r="AC560" s="34"/>
      <c r="AD560" s="34"/>
      <c r="AE560" s="34"/>
      <c r="AF560" s="34"/>
      <c r="AG560" s="34"/>
      <c r="AH560" s="34"/>
      <c r="AI560" s="34"/>
      <c r="AJ560" s="34"/>
      <c r="AK560" s="34"/>
      <c r="AL560" s="34"/>
    </row>
    <row r="561" spans="12:38">
      <c r="L561" s="34"/>
      <c r="M561" s="34"/>
      <c r="N561" s="34"/>
      <c r="O561" s="34"/>
      <c r="P561" s="34"/>
      <c r="Q561" s="34"/>
      <c r="R561" s="34"/>
      <c r="S561" s="34"/>
      <c r="T561" s="34"/>
      <c r="U561" s="34"/>
      <c r="V561" s="34"/>
      <c r="W561" s="34"/>
      <c r="AB561" s="34"/>
      <c r="AC561" s="34"/>
      <c r="AD561" s="34"/>
      <c r="AE561" s="34"/>
      <c r="AF561" s="34"/>
      <c r="AG561" s="34"/>
      <c r="AH561" s="34"/>
      <c r="AI561" s="34"/>
      <c r="AJ561" s="34"/>
      <c r="AK561" s="34"/>
      <c r="AL561" s="34"/>
    </row>
    <row r="562" spans="12:38">
      <c r="L562" s="34"/>
      <c r="M562" s="34"/>
      <c r="N562" s="34"/>
      <c r="O562" s="34"/>
      <c r="P562" s="34"/>
      <c r="Q562" s="34"/>
      <c r="R562" s="34"/>
      <c r="S562" s="34"/>
      <c r="T562" s="34"/>
      <c r="U562" s="34"/>
      <c r="V562" s="34"/>
      <c r="W562" s="34"/>
      <c r="AB562" s="34"/>
      <c r="AC562" s="34"/>
      <c r="AD562" s="34"/>
      <c r="AE562" s="34"/>
      <c r="AF562" s="34"/>
      <c r="AG562" s="34"/>
      <c r="AH562" s="34"/>
      <c r="AI562" s="34"/>
      <c r="AJ562" s="34"/>
      <c r="AK562" s="34"/>
      <c r="AL562" s="34"/>
    </row>
    <row r="563" spans="12:38">
      <c r="L563" s="34"/>
      <c r="M563" s="34"/>
      <c r="N563" s="34"/>
      <c r="O563" s="34"/>
      <c r="P563" s="34"/>
      <c r="Q563" s="34"/>
      <c r="R563" s="34"/>
      <c r="S563" s="34"/>
      <c r="T563" s="34"/>
      <c r="U563" s="34"/>
      <c r="V563" s="34"/>
      <c r="W563" s="34"/>
      <c r="AB563" s="34"/>
      <c r="AC563" s="34"/>
      <c r="AD563" s="34"/>
      <c r="AE563" s="34"/>
      <c r="AF563" s="34"/>
      <c r="AG563" s="34"/>
      <c r="AH563" s="34"/>
      <c r="AI563" s="34"/>
      <c r="AJ563" s="34"/>
      <c r="AK563" s="34"/>
      <c r="AL563" s="34"/>
    </row>
    <row r="564" spans="12:38">
      <c r="L564" s="34"/>
      <c r="M564" s="34"/>
      <c r="N564" s="34"/>
      <c r="O564" s="34"/>
      <c r="P564" s="34"/>
      <c r="Q564" s="34"/>
      <c r="R564" s="34"/>
      <c r="S564" s="34"/>
      <c r="T564" s="34"/>
      <c r="U564" s="34"/>
      <c r="V564" s="34"/>
      <c r="W564" s="34"/>
      <c r="AB564" s="34"/>
      <c r="AC564" s="34"/>
      <c r="AD564" s="34"/>
      <c r="AE564" s="34"/>
      <c r="AF564" s="34"/>
      <c r="AG564" s="34"/>
      <c r="AH564" s="34"/>
      <c r="AI564" s="34"/>
      <c r="AJ564" s="34"/>
      <c r="AK564" s="34"/>
      <c r="AL564" s="34"/>
    </row>
    <row r="565" spans="12:38">
      <c r="L565" s="34"/>
      <c r="M565" s="34"/>
      <c r="N565" s="34"/>
      <c r="O565" s="34"/>
      <c r="P565" s="34"/>
      <c r="Q565" s="34"/>
      <c r="R565" s="34"/>
      <c r="S565" s="34"/>
      <c r="T565" s="34"/>
      <c r="U565" s="34"/>
      <c r="V565" s="34"/>
      <c r="W565" s="34"/>
      <c r="AB565" s="34"/>
      <c r="AC565" s="34"/>
      <c r="AD565" s="34"/>
      <c r="AE565" s="34"/>
      <c r="AF565" s="34"/>
      <c r="AG565" s="34"/>
      <c r="AH565" s="34"/>
      <c r="AI565" s="34"/>
      <c r="AJ565" s="34"/>
      <c r="AK565" s="34"/>
      <c r="AL565" s="34"/>
    </row>
    <row r="566" spans="12:38">
      <c r="L566" s="34"/>
      <c r="M566" s="34"/>
      <c r="N566" s="34"/>
      <c r="O566" s="34"/>
      <c r="P566" s="34"/>
      <c r="Q566" s="34"/>
      <c r="R566" s="34"/>
      <c r="S566" s="34"/>
      <c r="T566" s="34"/>
      <c r="U566" s="34"/>
      <c r="V566" s="34"/>
      <c r="W566" s="34"/>
      <c r="AB566" s="34"/>
      <c r="AC566" s="34"/>
      <c r="AD566" s="34"/>
      <c r="AE566" s="34"/>
      <c r="AF566" s="34"/>
      <c r="AG566" s="34"/>
      <c r="AH566" s="34"/>
      <c r="AI566" s="34"/>
      <c r="AJ566" s="34"/>
      <c r="AK566" s="34"/>
      <c r="AL566" s="34"/>
    </row>
    <row r="567" spans="12:38">
      <c r="L567" s="34"/>
      <c r="M567" s="34"/>
      <c r="N567" s="34"/>
      <c r="O567" s="34"/>
      <c r="P567" s="34"/>
      <c r="Q567" s="34"/>
      <c r="R567" s="34"/>
      <c r="S567" s="34"/>
      <c r="T567" s="34"/>
      <c r="U567" s="34"/>
      <c r="V567" s="34"/>
      <c r="W567" s="34"/>
      <c r="AB567" s="34"/>
      <c r="AC567" s="34"/>
      <c r="AD567" s="34"/>
      <c r="AE567" s="34"/>
      <c r="AF567" s="34"/>
      <c r="AG567" s="34"/>
      <c r="AH567" s="34"/>
      <c r="AI567" s="34"/>
      <c r="AJ567" s="34"/>
      <c r="AK567" s="34"/>
      <c r="AL567" s="34"/>
    </row>
    <row r="568" spans="12:38">
      <c r="L568" s="34"/>
      <c r="M568" s="34"/>
      <c r="N568" s="34"/>
      <c r="O568" s="34"/>
      <c r="P568" s="34"/>
      <c r="Q568" s="34"/>
      <c r="R568" s="34"/>
      <c r="S568" s="34"/>
      <c r="T568" s="34"/>
      <c r="U568" s="34"/>
      <c r="V568" s="34"/>
      <c r="W568" s="34"/>
      <c r="AB568" s="34"/>
      <c r="AC568" s="34"/>
      <c r="AD568" s="34"/>
      <c r="AE568" s="34"/>
      <c r="AF568" s="34"/>
      <c r="AG568" s="34"/>
      <c r="AH568" s="34"/>
      <c r="AI568" s="34"/>
      <c r="AJ568" s="34"/>
      <c r="AK568" s="34"/>
      <c r="AL568" s="34"/>
    </row>
    <row r="569" spans="12:38">
      <c r="L569" s="34"/>
      <c r="M569" s="34"/>
      <c r="N569" s="34"/>
      <c r="O569" s="34"/>
      <c r="P569" s="34"/>
      <c r="Q569" s="34"/>
      <c r="R569" s="34"/>
      <c r="S569" s="34"/>
      <c r="T569" s="34"/>
      <c r="U569" s="34"/>
      <c r="V569" s="34"/>
      <c r="W569" s="34"/>
      <c r="AB569" s="34"/>
      <c r="AC569" s="34"/>
      <c r="AD569" s="34"/>
      <c r="AE569" s="34"/>
      <c r="AF569" s="34"/>
      <c r="AG569" s="34"/>
      <c r="AH569" s="34"/>
      <c r="AI569" s="34"/>
      <c r="AJ569" s="34"/>
      <c r="AK569" s="34"/>
      <c r="AL569" s="34"/>
    </row>
    <row r="570" spans="12:38">
      <c r="L570" s="34"/>
      <c r="M570" s="34"/>
      <c r="N570" s="34"/>
      <c r="O570" s="34"/>
      <c r="P570" s="34"/>
      <c r="Q570" s="34"/>
      <c r="R570" s="34"/>
      <c r="S570" s="34"/>
      <c r="T570" s="34"/>
      <c r="U570" s="34"/>
      <c r="V570" s="34"/>
      <c r="W570" s="34"/>
      <c r="AB570" s="34"/>
      <c r="AC570" s="34"/>
      <c r="AD570" s="34"/>
      <c r="AE570" s="34"/>
      <c r="AF570" s="34"/>
      <c r="AG570" s="34"/>
      <c r="AH570" s="34"/>
      <c r="AI570" s="34"/>
      <c r="AJ570" s="34"/>
      <c r="AK570" s="34"/>
      <c r="AL570" s="34"/>
    </row>
    <row r="571" spans="12:38">
      <c r="L571" s="34"/>
      <c r="M571" s="34"/>
      <c r="N571" s="34"/>
      <c r="O571" s="34"/>
      <c r="P571" s="34"/>
      <c r="Q571" s="34"/>
      <c r="R571" s="34"/>
      <c r="S571" s="34"/>
      <c r="T571" s="34"/>
      <c r="U571" s="34"/>
      <c r="V571" s="34"/>
      <c r="W571" s="34"/>
      <c r="AB571" s="34"/>
      <c r="AC571" s="34"/>
      <c r="AD571" s="34"/>
      <c r="AE571" s="34"/>
      <c r="AF571" s="34"/>
      <c r="AG571" s="34"/>
      <c r="AH571" s="34"/>
      <c r="AI571" s="34"/>
      <c r="AJ571" s="34"/>
      <c r="AK571" s="34"/>
      <c r="AL571" s="34"/>
    </row>
    <row r="572" spans="12:38">
      <c r="L572" s="34"/>
      <c r="M572" s="34"/>
      <c r="N572" s="34"/>
      <c r="O572" s="34"/>
      <c r="P572" s="34"/>
      <c r="Q572" s="34"/>
      <c r="R572" s="34"/>
      <c r="S572" s="34"/>
      <c r="T572" s="34"/>
      <c r="U572" s="34"/>
      <c r="V572" s="34"/>
      <c r="W572" s="34"/>
      <c r="AB572" s="34"/>
      <c r="AC572" s="34"/>
      <c r="AD572" s="34"/>
      <c r="AE572" s="34"/>
      <c r="AF572" s="34"/>
      <c r="AG572" s="34"/>
      <c r="AH572" s="34"/>
      <c r="AI572" s="34"/>
      <c r="AJ572" s="34"/>
      <c r="AK572" s="34"/>
      <c r="AL572" s="34"/>
    </row>
    <row r="573" spans="12:38">
      <c r="L573" s="34"/>
      <c r="M573" s="34"/>
      <c r="N573" s="34"/>
      <c r="O573" s="34"/>
      <c r="P573" s="34"/>
      <c r="Q573" s="34"/>
      <c r="R573" s="34"/>
      <c r="S573" s="34"/>
      <c r="T573" s="34"/>
      <c r="U573" s="34"/>
      <c r="V573" s="34"/>
      <c r="W573" s="34"/>
      <c r="AB573" s="34"/>
      <c r="AC573" s="34"/>
      <c r="AD573" s="34"/>
      <c r="AE573" s="34"/>
      <c r="AF573" s="34"/>
      <c r="AG573" s="34"/>
      <c r="AH573" s="34"/>
      <c r="AI573" s="34"/>
      <c r="AJ573" s="34"/>
      <c r="AK573" s="34"/>
      <c r="AL573" s="34"/>
    </row>
    <row r="574" spans="12:38">
      <c r="L574" s="34"/>
      <c r="M574" s="34"/>
      <c r="N574" s="34"/>
      <c r="O574" s="34"/>
      <c r="P574" s="34"/>
      <c r="Q574" s="34"/>
      <c r="R574" s="34"/>
      <c r="S574" s="34"/>
      <c r="T574" s="34"/>
      <c r="U574" s="34"/>
      <c r="V574" s="34"/>
      <c r="W574" s="34"/>
      <c r="AB574" s="34"/>
      <c r="AC574" s="34"/>
      <c r="AD574" s="34"/>
      <c r="AE574" s="34"/>
      <c r="AF574" s="34"/>
      <c r="AG574" s="34"/>
      <c r="AH574" s="34"/>
      <c r="AI574" s="34"/>
      <c r="AJ574" s="34"/>
      <c r="AK574" s="34"/>
      <c r="AL574" s="34"/>
    </row>
    <row r="575" spans="12:38">
      <c r="L575" s="34"/>
      <c r="M575" s="34"/>
      <c r="N575" s="34"/>
      <c r="O575" s="34"/>
      <c r="P575" s="34"/>
      <c r="Q575" s="34"/>
      <c r="R575" s="34"/>
      <c r="S575" s="34"/>
      <c r="T575" s="34"/>
      <c r="U575" s="34"/>
      <c r="V575" s="34"/>
      <c r="W575" s="34"/>
      <c r="AB575" s="34"/>
      <c r="AC575" s="34"/>
      <c r="AD575" s="34"/>
      <c r="AE575" s="34"/>
      <c r="AF575" s="34"/>
      <c r="AG575" s="34"/>
      <c r="AH575" s="34"/>
      <c r="AI575" s="34"/>
      <c r="AJ575" s="34"/>
      <c r="AK575" s="34"/>
      <c r="AL575" s="34"/>
    </row>
    <row r="576" spans="12:38">
      <c r="L576" s="34"/>
      <c r="M576" s="34"/>
      <c r="N576" s="34"/>
      <c r="O576" s="34"/>
      <c r="P576" s="34"/>
      <c r="Q576" s="34"/>
      <c r="R576" s="34"/>
      <c r="S576" s="34"/>
      <c r="T576" s="34"/>
      <c r="U576" s="34"/>
      <c r="V576" s="34"/>
      <c r="W576" s="34"/>
      <c r="AB576" s="34"/>
      <c r="AC576" s="34"/>
      <c r="AD576" s="34"/>
      <c r="AE576" s="34"/>
      <c r="AF576" s="34"/>
      <c r="AG576" s="34"/>
      <c r="AH576" s="34"/>
      <c r="AI576" s="34"/>
      <c r="AJ576" s="34"/>
      <c r="AK576" s="34"/>
      <c r="AL576" s="34"/>
    </row>
    <row r="577" spans="12:38">
      <c r="L577" s="34"/>
      <c r="M577" s="34"/>
      <c r="N577" s="34"/>
      <c r="O577" s="34"/>
      <c r="P577" s="34"/>
      <c r="Q577" s="34"/>
      <c r="R577" s="34"/>
      <c r="S577" s="34"/>
      <c r="T577" s="34"/>
      <c r="U577" s="34"/>
      <c r="V577" s="34"/>
      <c r="W577" s="34"/>
      <c r="AB577" s="34"/>
      <c r="AC577" s="34"/>
      <c r="AD577" s="34"/>
      <c r="AE577" s="34"/>
      <c r="AF577" s="34"/>
      <c r="AG577" s="34"/>
      <c r="AH577" s="34"/>
      <c r="AI577" s="34"/>
      <c r="AJ577" s="34"/>
      <c r="AK577" s="34"/>
      <c r="AL577" s="34"/>
    </row>
    <row r="578" spans="12:38">
      <c r="L578" s="34"/>
      <c r="M578" s="34"/>
      <c r="N578" s="34"/>
      <c r="O578" s="34"/>
      <c r="P578" s="34"/>
      <c r="Q578" s="34"/>
      <c r="R578" s="34"/>
      <c r="S578" s="34"/>
      <c r="T578" s="34"/>
      <c r="U578" s="34"/>
      <c r="V578" s="34"/>
      <c r="W578" s="34"/>
      <c r="AB578" s="34"/>
      <c r="AC578" s="34"/>
      <c r="AD578" s="34"/>
      <c r="AE578" s="34"/>
      <c r="AF578" s="34"/>
      <c r="AG578" s="34"/>
      <c r="AH578" s="34"/>
      <c r="AI578" s="34"/>
      <c r="AJ578" s="34"/>
      <c r="AK578" s="34"/>
      <c r="AL578" s="34"/>
    </row>
    <row r="579" spans="12:38">
      <c r="L579" s="34"/>
      <c r="M579" s="34"/>
      <c r="N579" s="34"/>
      <c r="O579" s="34"/>
      <c r="P579" s="34"/>
      <c r="Q579" s="34"/>
      <c r="R579" s="34"/>
      <c r="S579" s="34"/>
      <c r="T579" s="34"/>
      <c r="U579" s="34"/>
      <c r="V579" s="34"/>
      <c r="W579" s="34"/>
      <c r="AB579" s="34"/>
      <c r="AC579" s="34"/>
      <c r="AD579" s="34"/>
      <c r="AE579" s="34"/>
      <c r="AF579" s="34"/>
      <c r="AG579" s="34"/>
      <c r="AH579" s="34"/>
      <c r="AI579" s="34"/>
      <c r="AJ579" s="34"/>
      <c r="AK579" s="34"/>
      <c r="AL579" s="34"/>
    </row>
    <row r="580" spans="12:38">
      <c r="L580" s="34"/>
      <c r="M580" s="34"/>
      <c r="N580" s="34"/>
      <c r="O580" s="34"/>
      <c r="P580" s="34"/>
      <c r="Q580" s="34"/>
      <c r="R580" s="34"/>
      <c r="S580" s="34"/>
      <c r="T580" s="34"/>
      <c r="U580" s="34"/>
      <c r="V580" s="34"/>
      <c r="W580" s="34"/>
      <c r="AB580" s="34"/>
      <c r="AC580" s="34"/>
      <c r="AD580" s="34"/>
      <c r="AE580" s="34"/>
      <c r="AF580" s="34"/>
      <c r="AG580" s="34"/>
      <c r="AH580" s="34"/>
      <c r="AI580" s="34"/>
      <c r="AJ580" s="34"/>
      <c r="AK580" s="34"/>
      <c r="AL580" s="34"/>
    </row>
    <row r="581" spans="12:38">
      <c r="L581" s="34"/>
      <c r="M581" s="34"/>
      <c r="N581" s="34"/>
      <c r="O581" s="34"/>
      <c r="P581" s="34"/>
      <c r="Q581" s="34"/>
      <c r="R581" s="34"/>
      <c r="S581" s="34"/>
      <c r="T581" s="34"/>
      <c r="U581" s="34"/>
      <c r="V581" s="34"/>
      <c r="W581" s="34"/>
      <c r="AB581" s="34"/>
      <c r="AC581" s="34"/>
      <c r="AD581" s="34"/>
      <c r="AE581" s="34"/>
      <c r="AF581" s="34"/>
      <c r="AG581" s="34"/>
      <c r="AH581" s="34"/>
      <c r="AI581" s="34"/>
      <c r="AJ581" s="34"/>
      <c r="AK581" s="34"/>
      <c r="AL581" s="34"/>
    </row>
    <row r="582" spans="12:38">
      <c r="L582" s="34"/>
      <c r="M582" s="34"/>
      <c r="N582" s="34"/>
      <c r="O582" s="34"/>
      <c r="P582" s="34"/>
      <c r="Q582" s="34"/>
      <c r="R582" s="34"/>
      <c r="S582" s="34"/>
      <c r="T582" s="34"/>
      <c r="U582" s="34"/>
      <c r="V582" s="34"/>
      <c r="W582" s="34"/>
      <c r="AB582" s="34"/>
      <c r="AC582" s="34"/>
      <c r="AD582" s="34"/>
      <c r="AE582" s="34"/>
      <c r="AF582" s="34"/>
      <c r="AG582" s="34"/>
      <c r="AH582" s="34"/>
      <c r="AI582" s="34"/>
      <c r="AJ582" s="34"/>
      <c r="AK582" s="34"/>
      <c r="AL582" s="34"/>
    </row>
    <row r="583" spans="12:38">
      <c r="L583" s="34"/>
      <c r="M583" s="34"/>
      <c r="N583" s="34"/>
      <c r="O583" s="34"/>
      <c r="P583" s="34"/>
      <c r="Q583" s="34"/>
      <c r="R583" s="34"/>
      <c r="S583" s="34"/>
      <c r="T583" s="34"/>
      <c r="U583" s="34"/>
      <c r="V583" s="34"/>
      <c r="W583" s="34"/>
      <c r="AB583" s="34"/>
      <c r="AC583" s="34"/>
      <c r="AD583" s="34"/>
      <c r="AE583" s="34"/>
      <c r="AF583" s="34"/>
      <c r="AG583" s="34"/>
      <c r="AH583" s="34"/>
      <c r="AI583" s="34"/>
      <c r="AJ583" s="34"/>
      <c r="AK583" s="34"/>
      <c r="AL583" s="34"/>
    </row>
    <row r="584" spans="12:38">
      <c r="L584" s="34"/>
      <c r="M584" s="34"/>
      <c r="N584" s="34"/>
      <c r="O584" s="34"/>
      <c r="P584" s="34"/>
      <c r="Q584" s="34"/>
      <c r="R584" s="34"/>
      <c r="S584" s="34"/>
      <c r="T584" s="34"/>
      <c r="U584" s="34"/>
      <c r="V584" s="34"/>
      <c r="W584" s="34"/>
      <c r="AB584" s="34"/>
      <c r="AC584" s="34"/>
      <c r="AD584" s="34"/>
      <c r="AE584" s="34"/>
      <c r="AF584" s="34"/>
      <c r="AG584" s="34"/>
      <c r="AH584" s="34"/>
      <c r="AI584" s="34"/>
      <c r="AJ584" s="34"/>
      <c r="AK584" s="34"/>
      <c r="AL584" s="34"/>
    </row>
    <row r="585" spans="12:38">
      <c r="L585" s="34"/>
      <c r="M585" s="34"/>
      <c r="N585" s="34"/>
      <c r="O585" s="34"/>
      <c r="P585" s="34"/>
      <c r="Q585" s="34"/>
      <c r="R585" s="34"/>
      <c r="S585" s="34"/>
      <c r="T585" s="34"/>
      <c r="U585" s="34"/>
      <c r="V585" s="34"/>
      <c r="W585" s="34"/>
      <c r="AB585" s="34"/>
      <c r="AC585" s="34"/>
      <c r="AD585" s="34"/>
      <c r="AE585" s="34"/>
      <c r="AF585" s="34"/>
      <c r="AG585" s="34"/>
      <c r="AH585" s="34"/>
      <c r="AI585" s="34"/>
      <c r="AJ585" s="34"/>
      <c r="AK585" s="34"/>
      <c r="AL585" s="34"/>
    </row>
    <row r="586" spans="12:38">
      <c r="L586" s="34"/>
      <c r="M586" s="34"/>
      <c r="N586" s="34"/>
      <c r="O586" s="34"/>
      <c r="P586" s="34"/>
      <c r="Q586" s="34"/>
      <c r="R586" s="34"/>
      <c r="S586" s="34"/>
      <c r="T586" s="34"/>
      <c r="U586" s="34"/>
      <c r="V586" s="34"/>
      <c r="W586" s="34"/>
      <c r="AB586" s="34"/>
      <c r="AC586" s="34"/>
      <c r="AD586" s="34"/>
      <c r="AE586" s="34"/>
      <c r="AF586" s="34"/>
      <c r="AG586" s="34"/>
      <c r="AH586" s="34"/>
      <c r="AI586" s="34"/>
      <c r="AJ586" s="34"/>
      <c r="AK586" s="34"/>
      <c r="AL586" s="34"/>
    </row>
    <row r="587" spans="12:38">
      <c r="L587" s="34"/>
      <c r="M587" s="34"/>
      <c r="N587" s="34"/>
      <c r="O587" s="34"/>
      <c r="P587" s="34"/>
      <c r="Q587" s="34"/>
      <c r="R587" s="34"/>
      <c r="S587" s="34"/>
      <c r="T587" s="34"/>
      <c r="U587" s="34"/>
      <c r="V587" s="34"/>
      <c r="W587" s="34"/>
      <c r="AB587" s="34"/>
      <c r="AC587" s="34"/>
      <c r="AD587" s="34"/>
      <c r="AE587" s="34"/>
      <c r="AF587" s="34"/>
      <c r="AG587" s="34"/>
      <c r="AH587" s="34"/>
      <c r="AI587" s="34"/>
      <c r="AJ587" s="34"/>
      <c r="AK587" s="34"/>
      <c r="AL587" s="34"/>
    </row>
    <row r="588" spans="12:38">
      <c r="L588" s="34"/>
      <c r="M588" s="34"/>
      <c r="N588" s="34"/>
      <c r="O588" s="34"/>
      <c r="P588" s="34"/>
      <c r="Q588" s="34"/>
      <c r="R588" s="34"/>
      <c r="S588" s="34"/>
      <c r="T588" s="34"/>
      <c r="U588" s="34"/>
      <c r="V588" s="34"/>
      <c r="W588" s="34"/>
      <c r="AB588" s="34"/>
      <c r="AC588" s="34"/>
      <c r="AD588" s="34"/>
      <c r="AE588" s="34"/>
      <c r="AF588" s="34"/>
      <c r="AG588" s="34"/>
      <c r="AH588" s="34"/>
      <c r="AI588" s="34"/>
      <c r="AJ588" s="34"/>
      <c r="AK588" s="34"/>
      <c r="AL588" s="34"/>
    </row>
    <row r="589" spans="12:38">
      <c r="L589" s="34"/>
      <c r="M589" s="34"/>
      <c r="N589" s="34"/>
      <c r="O589" s="34"/>
      <c r="P589" s="34"/>
      <c r="Q589" s="34"/>
      <c r="R589" s="34"/>
      <c r="S589" s="34"/>
      <c r="T589" s="34"/>
      <c r="U589" s="34"/>
      <c r="V589" s="34"/>
      <c r="W589" s="34"/>
      <c r="AB589" s="34"/>
      <c r="AC589" s="34"/>
      <c r="AD589" s="34"/>
      <c r="AE589" s="34"/>
      <c r="AF589" s="34"/>
      <c r="AG589" s="34"/>
      <c r="AH589" s="34"/>
      <c r="AI589" s="34"/>
      <c r="AJ589" s="34"/>
      <c r="AK589" s="34"/>
      <c r="AL589" s="34"/>
    </row>
    <row r="590" spans="12:38">
      <c r="L590" s="34"/>
      <c r="M590" s="34"/>
      <c r="N590" s="34"/>
      <c r="O590" s="34"/>
      <c r="P590" s="34"/>
      <c r="Q590" s="34"/>
      <c r="R590" s="34"/>
      <c r="S590" s="34"/>
      <c r="T590" s="34"/>
      <c r="U590" s="34"/>
      <c r="V590" s="34"/>
      <c r="W590" s="34"/>
      <c r="AB590" s="34"/>
      <c r="AC590" s="34"/>
      <c r="AD590" s="34"/>
      <c r="AE590" s="34"/>
      <c r="AF590" s="34"/>
      <c r="AG590" s="34"/>
      <c r="AH590" s="34"/>
      <c r="AI590" s="34"/>
      <c r="AJ590" s="34"/>
      <c r="AK590" s="34"/>
      <c r="AL590" s="34"/>
    </row>
    <row r="591" spans="12:38">
      <c r="L591" s="34"/>
      <c r="M591" s="34"/>
      <c r="N591" s="34"/>
      <c r="O591" s="34"/>
      <c r="P591" s="34"/>
      <c r="Q591" s="34"/>
      <c r="R591" s="34"/>
      <c r="S591" s="34"/>
      <c r="T591" s="34"/>
      <c r="U591" s="34"/>
      <c r="V591" s="34"/>
      <c r="W591" s="34"/>
      <c r="AB591" s="34"/>
      <c r="AC591" s="34"/>
      <c r="AD591" s="34"/>
      <c r="AE591" s="34"/>
      <c r="AF591" s="34"/>
      <c r="AG591" s="34"/>
      <c r="AH591" s="34"/>
      <c r="AI591" s="34"/>
      <c r="AJ591" s="34"/>
      <c r="AK591" s="34"/>
      <c r="AL591" s="34"/>
    </row>
    <row r="592" spans="12:38">
      <c r="L592" s="34"/>
      <c r="M592" s="34"/>
      <c r="N592" s="34"/>
      <c r="O592" s="34"/>
      <c r="P592" s="34"/>
      <c r="Q592" s="34"/>
      <c r="R592" s="34"/>
      <c r="S592" s="34"/>
      <c r="T592" s="34"/>
      <c r="U592" s="34"/>
      <c r="V592" s="34"/>
      <c r="W592" s="34"/>
      <c r="AB592" s="34"/>
      <c r="AC592" s="34"/>
      <c r="AD592" s="34"/>
      <c r="AE592" s="34"/>
      <c r="AF592" s="34"/>
      <c r="AG592" s="34"/>
      <c r="AH592" s="34"/>
      <c r="AI592" s="34"/>
      <c r="AJ592" s="34"/>
      <c r="AK592" s="34"/>
      <c r="AL592" s="34"/>
    </row>
    <row r="593" spans="12:38">
      <c r="L593" s="34"/>
      <c r="M593" s="34"/>
      <c r="N593" s="34"/>
      <c r="O593" s="34"/>
      <c r="P593" s="34"/>
      <c r="Q593" s="34"/>
      <c r="R593" s="34"/>
      <c r="S593" s="34"/>
      <c r="T593" s="34"/>
      <c r="U593" s="34"/>
      <c r="V593" s="34"/>
      <c r="W593" s="34"/>
      <c r="AB593" s="34"/>
      <c r="AC593" s="34"/>
      <c r="AD593" s="34"/>
      <c r="AE593" s="34"/>
      <c r="AF593" s="34"/>
      <c r="AG593" s="34"/>
      <c r="AH593" s="34"/>
      <c r="AI593" s="34"/>
      <c r="AJ593" s="34"/>
      <c r="AK593" s="34"/>
      <c r="AL593" s="34"/>
    </row>
    <row r="594" spans="12:38">
      <c r="L594" s="34"/>
      <c r="M594" s="34"/>
      <c r="N594" s="34"/>
      <c r="O594" s="34"/>
      <c r="P594" s="34"/>
      <c r="Q594" s="34"/>
      <c r="R594" s="34"/>
      <c r="S594" s="34"/>
      <c r="T594" s="34"/>
      <c r="U594" s="34"/>
      <c r="V594" s="34"/>
      <c r="W594" s="34"/>
      <c r="AB594" s="34"/>
      <c r="AC594" s="34"/>
      <c r="AD594" s="34"/>
      <c r="AE594" s="34"/>
      <c r="AF594" s="34"/>
      <c r="AG594" s="34"/>
      <c r="AH594" s="34"/>
      <c r="AI594" s="34"/>
      <c r="AJ594" s="34"/>
      <c r="AK594" s="34"/>
      <c r="AL594" s="34"/>
    </row>
    <row r="595" spans="12:38">
      <c r="L595" s="34"/>
      <c r="M595" s="34"/>
      <c r="N595" s="34"/>
      <c r="O595" s="34"/>
      <c r="P595" s="34"/>
      <c r="Q595" s="34"/>
      <c r="R595" s="34"/>
      <c r="S595" s="34"/>
      <c r="T595" s="34"/>
      <c r="U595" s="34"/>
      <c r="V595" s="34"/>
      <c r="W595" s="34"/>
      <c r="AB595" s="34"/>
      <c r="AC595" s="34"/>
      <c r="AD595" s="34"/>
      <c r="AE595" s="34"/>
      <c r="AF595" s="34"/>
      <c r="AG595" s="34"/>
      <c r="AH595" s="34"/>
      <c r="AI595" s="34"/>
      <c r="AJ595" s="34"/>
      <c r="AK595" s="34"/>
      <c r="AL595" s="34"/>
    </row>
    <row r="596" spans="12:38">
      <c r="L596" s="34"/>
      <c r="M596" s="34"/>
      <c r="N596" s="34"/>
      <c r="O596" s="34"/>
      <c r="P596" s="34"/>
      <c r="Q596" s="34"/>
      <c r="R596" s="34"/>
      <c r="S596" s="34"/>
      <c r="T596" s="34"/>
      <c r="U596" s="34"/>
      <c r="V596" s="34"/>
      <c r="W596" s="34"/>
      <c r="AB596" s="34"/>
      <c r="AC596" s="34"/>
      <c r="AD596" s="34"/>
      <c r="AE596" s="34"/>
      <c r="AF596" s="34"/>
      <c r="AG596" s="34"/>
      <c r="AH596" s="34"/>
      <c r="AI596" s="34"/>
      <c r="AJ596" s="34"/>
      <c r="AK596" s="34"/>
      <c r="AL596" s="34"/>
    </row>
    <row r="597" spans="12:38">
      <c r="L597" s="34"/>
      <c r="M597" s="34"/>
      <c r="N597" s="34"/>
      <c r="O597" s="34"/>
      <c r="P597" s="34"/>
      <c r="Q597" s="34"/>
      <c r="R597" s="34"/>
      <c r="S597" s="34"/>
      <c r="T597" s="34"/>
      <c r="U597" s="34"/>
      <c r="V597" s="34"/>
      <c r="W597" s="34"/>
      <c r="AB597" s="34"/>
      <c r="AC597" s="34"/>
      <c r="AD597" s="34"/>
      <c r="AE597" s="34"/>
      <c r="AF597" s="34"/>
      <c r="AG597" s="34"/>
      <c r="AH597" s="34"/>
      <c r="AI597" s="34"/>
      <c r="AJ597" s="34"/>
      <c r="AK597" s="34"/>
      <c r="AL597" s="34"/>
    </row>
    <row r="598" spans="12:38">
      <c r="L598" s="34"/>
      <c r="M598" s="34"/>
      <c r="N598" s="34"/>
      <c r="O598" s="34"/>
      <c r="P598" s="34"/>
      <c r="Q598" s="34"/>
      <c r="R598" s="34"/>
      <c r="S598" s="34"/>
      <c r="T598" s="34"/>
      <c r="U598" s="34"/>
      <c r="V598" s="34"/>
      <c r="W598" s="34"/>
      <c r="AB598" s="34"/>
      <c r="AC598" s="34"/>
      <c r="AD598" s="34"/>
      <c r="AE598" s="34"/>
      <c r="AF598" s="34"/>
      <c r="AG598" s="34"/>
      <c r="AH598" s="34"/>
      <c r="AI598" s="34"/>
      <c r="AJ598" s="34"/>
      <c r="AK598" s="34"/>
      <c r="AL598" s="34"/>
    </row>
    <row r="599" spans="12:38">
      <c r="L599" s="34"/>
      <c r="M599" s="34"/>
      <c r="N599" s="34"/>
      <c r="O599" s="34"/>
      <c r="P599" s="34"/>
      <c r="Q599" s="34"/>
      <c r="R599" s="34"/>
      <c r="S599" s="34"/>
      <c r="T599" s="34"/>
      <c r="U599" s="34"/>
      <c r="V599" s="34"/>
      <c r="W599" s="34"/>
      <c r="AB599" s="34"/>
      <c r="AC599" s="34"/>
      <c r="AD599" s="34"/>
      <c r="AE599" s="34"/>
      <c r="AF599" s="34"/>
      <c r="AG599" s="34"/>
      <c r="AH599" s="34"/>
      <c r="AI599" s="34"/>
      <c r="AJ599" s="34"/>
      <c r="AK599" s="34"/>
      <c r="AL599" s="34"/>
    </row>
    <row r="600" spans="12:38">
      <c r="L600" s="34"/>
      <c r="M600" s="34"/>
      <c r="N600" s="34"/>
      <c r="O600" s="34"/>
      <c r="P600" s="34"/>
      <c r="Q600" s="34"/>
      <c r="R600" s="34"/>
      <c r="S600" s="34"/>
      <c r="T600" s="34"/>
      <c r="U600" s="34"/>
      <c r="V600" s="34"/>
      <c r="W600" s="34"/>
      <c r="AB600" s="34"/>
      <c r="AC600" s="34"/>
      <c r="AD600" s="34"/>
      <c r="AE600" s="34"/>
      <c r="AF600" s="34"/>
      <c r="AG600" s="34"/>
      <c r="AH600" s="34"/>
      <c r="AI600" s="34"/>
      <c r="AJ600" s="34"/>
      <c r="AK600" s="34"/>
      <c r="AL600" s="34"/>
    </row>
    <row r="601" spans="12:38">
      <c r="L601" s="34"/>
      <c r="M601" s="34"/>
      <c r="N601" s="34"/>
      <c r="O601" s="34"/>
      <c r="P601" s="34"/>
      <c r="Q601" s="34"/>
      <c r="R601" s="34"/>
      <c r="S601" s="34"/>
      <c r="T601" s="34"/>
      <c r="U601" s="34"/>
      <c r="V601" s="34"/>
      <c r="W601" s="34"/>
      <c r="AB601" s="34"/>
      <c r="AC601" s="34"/>
      <c r="AD601" s="34"/>
      <c r="AE601" s="34"/>
      <c r="AF601" s="34"/>
      <c r="AG601" s="34"/>
      <c r="AH601" s="34"/>
      <c r="AI601" s="34"/>
      <c r="AJ601" s="34"/>
      <c r="AK601" s="34"/>
      <c r="AL601" s="34"/>
    </row>
    <row r="602" spans="12:38">
      <c r="L602" s="34"/>
      <c r="M602" s="34"/>
      <c r="N602" s="34"/>
      <c r="O602" s="34"/>
      <c r="P602" s="34"/>
      <c r="Q602" s="34"/>
      <c r="R602" s="34"/>
      <c r="S602" s="34"/>
      <c r="T602" s="34"/>
      <c r="U602" s="34"/>
      <c r="V602" s="34"/>
      <c r="W602" s="34"/>
      <c r="AB602" s="34"/>
      <c r="AC602" s="34"/>
      <c r="AD602" s="34"/>
      <c r="AE602" s="34"/>
      <c r="AF602" s="34"/>
      <c r="AG602" s="34"/>
      <c r="AH602" s="34"/>
      <c r="AI602" s="34"/>
      <c r="AJ602" s="34"/>
      <c r="AK602" s="34"/>
      <c r="AL602" s="34"/>
    </row>
    <row r="603" spans="12:38">
      <c r="L603" s="34"/>
      <c r="M603" s="34"/>
      <c r="N603" s="34"/>
      <c r="O603" s="34"/>
      <c r="P603" s="34"/>
      <c r="Q603" s="34"/>
      <c r="R603" s="34"/>
      <c r="S603" s="34"/>
      <c r="T603" s="34"/>
      <c r="U603" s="34"/>
      <c r="V603" s="34"/>
      <c r="W603" s="34"/>
      <c r="AB603" s="34"/>
      <c r="AC603" s="34"/>
      <c r="AD603" s="34"/>
      <c r="AE603" s="34"/>
      <c r="AF603" s="34"/>
      <c r="AG603" s="34"/>
      <c r="AH603" s="34"/>
      <c r="AI603" s="34"/>
      <c r="AJ603" s="34"/>
      <c r="AK603" s="34"/>
      <c r="AL603" s="34"/>
    </row>
    <row r="604" spans="12:38">
      <c r="L604" s="34"/>
      <c r="M604" s="34"/>
      <c r="N604" s="34"/>
      <c r="O604" s="34"/>
      <c r="P604" s="34"/>
      <c r="Q604" s="34"/>
      <c r="R604" s="34"/>
      <c r="S604" s="34"/>
      <c r="T604" s="34"/>
      <c r="U604" s="34"/>
      <c r="V604" s="34"/>
      <c r="W604" s="34"/>
      <c r="AB604" s="34"/>
      <c r="AC604" s="34"/>
      <c r="AD604" s="34"/>
      <c r="AE604" s="34"/>
      <c r="AF604" s="34"/>
      <c r="AG604" s="34"/>
      <c r="AH604" s="34"/>
      <c r="AI604" s="34"/>
      <c r="AJ604" s="34"/>
      <c r="AK604" s="34"/>
      <c r="AL604" s="34"/>
    </row>
    <row r="605" spans="12:38">
      <c r="L605" s="34"/>
      <c r="M605" s="34"/>
      <c r="N605" s="34"/>
      <c r="O605" s="34"/>
      <c r="P605" s="34"/>
      <c r="Q605" s="34"/>
      <c r="R605" s="34"/>
      <c r="S605" s="34"/>
      <c r="T605" s="34"/>
      <c r="U605" s="34"/>
      <c r="V605" s="34"/>
      <c r="W605" s="34"/>
      <c r="AB605" s="34"/>
      <c r="AC605" s="34"/>
      <c r="AD605" s="34"/>
      <c r="AE605" s="34"/>
      <c r="AF605" s="34"/>
      <c r="AG605" s="34"/>
      <c r="AH605" s="34"/>
      <c r="AI605" s="34"/>
      <c r="AJ605" s="34"/>
      <c r="AK605" s="34"/>
      <c r="AL605" s="34"/>
    </row>
    <row r="606" spans="12:38">
      <c r="L606" s="34"/>
      <c r="M606" s="34"/>
      <c r="N606" s="34"/>
      <c r="O606" s="34"/>
      <c r="P606" s="34"/>
      <c r="Q606" s="34"/>
      <c r="R606" s="34"/>
      <c r="S606" s="34"/>
      <c r="T606" s="34"/>
      <c r="U606" s="34"/>
      <c r="V606" s="34"/>
      <c r="W606" s="34"/>
      <c r="AB606" s="34"/>
      <c r="AC606" s="34"/>
      <c r="AD606" s="34"/>
      <c r="AE606" s="34"/>
      <c r="AF606" s="34"/>
      <c r="AG606" s="34"/>
      <c r="AH606" s="34"/>
      <c r="AI606" s="34"/>
      <c r="AJ606" s="34"/>
      <c r="AK606" s="34"/>
      <c r="AL606" s="34"/>
    </row>
    <row r="607" spans="12:38">
      <c r="L607" s="34"/>
      <c r="M607" s="34"/>
      <c r="N607" s="34"/>
      <c r="O607" s="34"/>
      <c r="P607" s="34"/>
      <c r="Q607" s="34"/>
      <c r="R607" s="34"/>
      <c r="S607" s="34"/>
      <c r="T607" s="34"/>
      <c r="U607" s="34"/>
      <c r="V607" s="34"/>
      <c r="W607" s="34"/>
      <c r="AB607" s="34"/>
      <c r="AC607" s="34"/>
      <c r="AD607" s="34"/>
      <c r="AE607" s="34"/>
      <c r="AF607" s="34"/>
      <c r="AG607" s="34"/>
      <c r="AH607" s="34"/>
      <c r="AI607" s="34"/>
      <c r="AJ607" s="34"/>
      <c r="AK607" s="34"/>
      <c r="AL607" s="34"/>
    </row>
    <row r="608" spans="12:38">
      <c r="L608" s="34"/>
      <c r="M608" s="34"/>
      <c r="N608" s="34"/>
      <c r="O608" s="34"/>
      <c r="P608" s="34"/>
      <c r="Q608" s="34"/>
      <c r="R608" s="34"/>
      <c r="S608" s="34"/>
      <c r="T608" s="34"/>
      <c r="U608" s="34"/>
      <c r="V608" s="34"/>
      <c r="W608" s="34"/>
      <c r="AB608" s="34"/>
      <c r="AC608" s="34"/>
      <c r="AD608" s="34"/>
      <c r="AE608" s="34"/>
      <c r="AF608" s="34"/>
      <c r="AG608" s="34"/>
      <c r="AH608" s="34"/>
      <c r="AI608" s="34"/>
      <c r="AJ608" s="34"/>
      <c r="AK608" s="34"/>
      <c r="AL608" s="34"/>
    </row>
    <row r="609" spans="12:38">
      <c r="L609" s="34"/>
      <c r="M609" s="34"/>
      <c r="N609" s="34"/>
      <c r="O609" s="34"/>
      <c r="P609" s="34"/>
      <c r="Q609" s="34"/>
      <c r="R609" s="34"/>
      <c r="S609" s="34"/>
      <c r="T609" s="34"/>
      <c r="U609" s="34"/>
      <c r="V609" s="34"/>
      <c r="W609" s="34"/>
      <c r="AB609" s="34"/>
      <c r="AC609" s="34"/>
      <c r="AD609" s="34"/>
      <c r="AE609" s="34"/>
      <c r="AF609" s="34"/>
      <c r="AG609" s="34"/>
      <c r="AH609" s="34"/>
      <c r="AI609" s="34"/>
      <c r="AJ609" s="34"/>
      <c r="AK609" s="34"/>
      <c r="AL609" s="34"/>
    </row>
    <row r="610" spans="12:38">
      <c r="L610" s="34"/>
      <c r="M610" s="34"/>
      <c r="N610" s="34"/>
      <c r="O610" s="34"/>
      <c r="P610" s="34"/>
      <c r="Q610" s="34"/>
      <c r="R610" s="34"/>
      <c r="S610" s="34"/>
      <c r="T610" s="34"/>
      <c r="U610" s="34"/>
      <c r="V610" s="34"/>
      <c r="W610" s="34"/>
      <c r="AB610" s="34"/>
      <c r="AC610" s="34"/>
      <c r="AD610" s="34"/>
      <c r="AE610" s="34"/>
      <c r="AF610" s="34"/>
      <c r="AG610" s="34"/>
      <c r="AH610" s="34"/>
      <c r="AI610" s="34"/>
      <c r="AJ610" s="34"/>
      <c r="AK610" s="34"/>
      <c r="AL610" s="34"/>
    </row>
    <row r="611" spans="12:38">
      <c r="L611" s="34"/>
      <c r="M611" s="34"/>
      <c r="N611" s="34"/>
      <c r="O611" s="34"/>
      <c r="P611" s="34"/>
      <c r="Q611" s="34"/>
      <c r="R611" s="34"/>
      <c r="S611" s="34"/>
      <c r="T611" s="34"/>
      <c r="U611" s="34"/>
      <c r="V611" s="34"/>
      <c r="W611" s="34"/>
      <c r="AB611" s="34"/>
      <c r="AC611" s="34"/>
      <c r="AD611" s="34"/>
      <c r="AE611" s="34"/>
      <c r="AF611" s="34"/>
      <c r="AG611" s="34"/>
      <c r="AH611" s="34"/>
      <c r="AI611" s="34"/>
      <c r="AJ611" s="34"/>
      <c r="AK611" s="34"/>
      <c r="AL611" s="34"/>
    </row>
    <row r="612" spans="12:38">
      <c r="L612" s="34"/>
      <c r="M612" s="34"/>
      <c r="N612" s="34"/>
      <c r="O612" s="34"/>
      <c r="P612" s="34"/>
      <c r="Q612" s="34"/>
      <c r="R612" s="34"/>
      <c r="S612" s="34"/>
      <c r="T612" s="34"/>
      <c r="U612" s="34"/>
      <c r="V612" s="34"/>
      <c r="W612" s="34"/>
      <c r="AB612" s="34"/>
      <c r="AC612" s="34"/>
      <c r="AD612" s="34"/>
      <c r="AE612" s="34"/>
      <c r="AF612" s="34"/>
      <c r="AG612" s="34"/>
      <c r="AH612" s="34"/>
      <c r="AI612" s="34"/>
      <c r="AJ612" s="34"/>
      <c r="AK612" s="34"/>
      <c r="AL612" s="34"/>
    </row>
    <row r="613" spans="12:38">
      <c r="L613" s="34"/>
      <c r="M613" s="34"/>
      <c r="N613" s="34"/>
      <c r="O613" s="34"/>
      <c r="P613" s="34"/>
      <c r="Q613" s="34"/>
      <c r="R613" s="34"/>
      <c r="S613" s="34"/>
      <c r="T613" s="34"/>
      <c r="U613" s="34"/>
      <c r="V613" s="34"/>
      <c r="W613" s="34"/>
      <c r="AB613" s="34"/>
      <c r="AC613" s="34"/>
      <c r="AD613" s="34"/>
      <c r="AE613" s="34"/>
      <c r="AF613" s="34"/>
      <c r="AG613" s="34"/>
      <c r="AH613" s="34"/>
      <c r="AI613" s="34"/>
      <c r="AJ613" s="34"/>
      <c r="AK613" s="34"/>
      <c r="AL613" s="34"/>
    </row>
    <row r="614" spans="12:38">
      <c r="L614" s="34"/>
      <c r="M614" s="34"/>
      <c r="N614" s="34"/>
      <c r="O614" s="34"/>
      <c r="P614" s="34"/>
      <c r="Q614" s="34"/>
      <c r="R614" s="34"/>
      <c r="S614" s="34"/>
      <c r="T614" s="34"/>
      <c r="U614" s="34"/>
      <c r="V614" s="34"/>
      <c r="W614" s="34"/>
      <c r="AB614" s="34"/>
      <c r="AC614" s="34"/>
      <c r="AD614" s="34"/>
      <c r="AE614" s="34"/>
      <c r="AF614" s="34"/>
      <c r="AG614" s="34"/>
      <c r="AH614" s="34"/>
      <c r="AI614" s="34"/>
      <c r="AJ614" s="34"/>
      <c r="AK614" s="34"/>
      <c r="AL614" s="34"/>
    </row>
    <row r="615" spans="12:38">
      <c r="L615" s="34"/>
      <c r="M615" s="34"/>
      <c r="N615" s="34"/>
      <c r="O615" s="34"/>
      <c r="P615" s="34"/>
      <c r="Q615" s="34"/>
      <c r="R615" s="34"/>
      <c r="S615" s="34"/>
      <c r="T615" s="34"/>
      <c r="U615" s="34"/>
      <c r="V615" s="34"/>
      <c r="W615" s="34"/>
      <c r="AB615" s="34"/>
      <c r="AC615" s="34"/>
      <c r="AD615" s="34"/>
      <c r="AE615" s="34"/>
      <c r="AF615" s="34"/>
      <c r="AG615" s="34"/>
      <c r="AH615" s="34"/>
      <c r="AI615" s="34"/>
      <c r="AJ615" s="34"/>
      <c r="AK615" s="34"/>
      <c r="AL615" s="34"/>
    </row>
    <row r="616" spans="12:38">
      <c r="L616" s="34"/>
      <c r="M616" s="34"/>
      <c r="N616" s="34"/>
      <c r="O616" s="34"/>
      <c r="P616" s="34"/>
      <c r="Q616" s="34"/>
      <c r="R616" s="34"/>
      <c r="S616" s="34"/>
      <c r="T616" s="34"/>
      <c r="U616" s="34"/>
      <c r="V616" s="34"/>
      <c r="W616" s="34"/>
      <c r="AB616" s="34"/>
      <c r="AC616" s="34"/>
      <c r="AD616" s="34"/>
      <c r="AE616" s="34"/>
      <c r="AF616" s="34"/>
      <c r="AG616" s="34"/>
      <c r="AH616" s="34"/>
      <c r="AI616" s="34"/>
      <c r="AJ616" s="34"/>
      <c r="AK616" s="34"/>
      <c r="AL616" s="34"/>
    </row>
    <row r="617" spans="12:38">
      <c r="L617" s="34"/>
      <c r="M617" s="34"/>
      <c r="N617" s="34"/>
      <c r="O617" s="34"/>
      <c r="P617" s="34"/>
      <c r="Q617" s="34"/>
      <c r="R617" s="34"/>
      <c r="S617" s="34"/>
      <c r="T617" s="34"/>
      <c r="U617" s="34"/>
      <c r="V617" s="34"/>
      <c r="W617" s="34"/>
      <c r="AB617" s="34"/>
      <c r="AC617" s="34"/>
      <c r="AD617" s="34"/>
      <c r="AE617" s="34"/>
      <c r="AF617" s="34"/>
      <c r="AG617" s="34"/>
      <c r="AH617" s="34"/>
      <c r="AI617" s="34"/>
      <c r="AJ617" s="34"/>
      <c r="AK617" s="34"/>
      <c r="AL617" s="34"/>
    </row>
    <row r="618" spans="12:38">
      <c r="L618" s="34"/>
      <c r="M618" s="34"/>
      <c r="N618" s="34"/>
      <c r="O618" s="34"/>
      <c r="P618" s="34"/>
      <c r="Q618" s="34"/>
      <c r="R618" s="34"/>
      <c r="S618" s="34"/>
      <c r="T618" s="34"/>
      <c r="U618" s="34"/>
      <c r="V618" s="34"/>
      <c r="W618" s="34"/>
      <c r="AB618" s="34"/>
      <c r="AC618" s="34"/>
      <c r="AD618" s="34"/>
      <c r="AE618" s="34"/>
      <c r="AF618" s="34"/>
      <c r="AG618" s="34"/>
      <c r="AH618" s="34"/>
      <c r="AI618" s="34"/>
      <c r="AJ618" s="34"/>
      <c r="AK618" s="34"/>
      <c r="AL618" s="34"/>
    </row>
    <row r="619" spans="12:38">
      <c r="L619" s="34"/>
      <c r="M619" s="34"/>
      <c r="N619" s="34"/>
      <c r="O619" s="34"/>
      <c r="P619" s="34"/>
      <c r="Q619" s="34"/>
      <c r="R619" s="34"/>
      <c r="S619" s="34"/>
      <c r="T619" s="34"/>
      <c r="U619" s="34"/>
      <c r="V619" s="34"/>
      <c r="W619" s="34"/>
      <c r="AB619" s="34"/>
      <c r="AC619" s="34"/>
      <c r="AD619" s="34"/>
      <c r="AE619" s="34"/>
      <c r="AF619" s="34"/>
      <c r="AG619" s="34"/>
      <c r="AH619" s="34"/>
      <c r="AI619" s="34"/>
      <c r="AJ619" s="34"/>
      <c r="AK619" s="34"/>
      <c r="AL619" s="34"/>
    </row>
    <row r="620" spans="12:38">
      <c r="L620" s="34"/>
      <c r="M620" s="34"/>
      <c r="N620" s="34"/>
      <c r="O620" s="34"/>
      <c r="P620" s="34"/>
      <c r="Q620" s="34"/>
      <c r="R620" s="34"/>
      <c r="S620" s="34"/>
      <c r="T620" s="34"/>
      <c r="U620" s="34"/>
      <c r="V620" s="34"/>
      <c r="W620" s="34"/>
      <c r="AB620" s="34"/>
      <c r="AC620" s="34"/>
      <c r="AD620" s="34"/>
      <c r="AE620" s="34"/>
      <c r="AF620" s="34"/>
      <c r="AG620" s="34"/>
      <c r="AH620" s="34"/>
      <c r="AI620" s="34"/>
      <c r="AJ620" s="34"/>
      <c r="AK620" s="34"/>
      <c r="AL620" s="34"/>
    </row>
    <row r="621" spans="12:38">
      <c r="L621" s="34"/>
      <c r="M621" s="34"/>
      <c r="N621" s="34"/>
      <c r="O621" s="34"/>
      <c r="P621" s="34"/>
      <c r="Q621" s="34"/>
      <c r="R621" s="34"/>
      <c r="S621" s="34"/>
      <c r="T621" s="34"/>
      <c r="U621" s="34"/>
      <c r="V621" s="34"/>
      <c r="W621" s="34"/>
      <c r="AB621" s="34"/>
      <c r="AC621" s="34"/>
      <c r="AD621" s="34"/>
      <c r="AE621" s="34"/>
      <c r="AF621" s="34"/>
      <c r="AG621" s="34"/>
      <c r="AH621" s="34"/>
      <c r="AI621" s="34"/>
      <c r="AJ621" s="34"/>
      <c r="AK621" s="34"/>
      <c r="AL621" s="34"/>
    </row>
    <row r="622" spans="12:38">
      <c r="L622" s="34"/>
      <c r="M622" s="34"/>
      <c r="N622" s="34"/>
      <c r="O622" s="34"/>
      <c r="P622" s="34"/>
      <c r="Q622" s="34"/>
      <c r="R622" s="34"/>
      <c r="S622" s="34"/>
      <c r="T622" s="34"/>
      <c r="U622" s="34"/>
      <c r="V622" s="34"/>
      <c r="W622" s="34"/>
      <c r="AB622" s="34"/>
      <c r="AC622" s="34"/>
      <c r="AD622" s="34"/>
      <c r="AE622" s="34"/>
      <c r="AF622" s="34"/>
      <c r="AG622" s="34"/>
      <c r="AH622" s="34"/>
      <c r="AI622" s="34"/>
      <c r="AJ622" s="34"/>
      <c r="AK622" s="34"/>
      <c r="AL622" s="34"/>
    </row>
    <row r="623" spans="12:38">
      <c r="L623" s="34"/>
      <c r="M623" s="34"/>
      <c r="N623" s="34"/>
      <c r="O623" s="34"/>
      <c r="P623" s="34"/>
      <c r="Q623" s="34"/>
      <c r="R623" s="34"/>
      <c r="S623" s="34"/>
      <c r="T623" s="34"/>
      <c r="U623" s="34"/>
      <c r="V623" s="34"/>
      <c r="W623" s="34"/>
      <c r="AB623" s="34"/>
      <c r="AC623" s="34"/>
      <c r="AD623" s="34"/>
      <c r="AE623" s="34"/>
      <c r="AF623" s="34"/>
      <c r="AG623" s="34"/>
      <c r="AH623" s="34"/>
      <c r="AI623" s="34"/>
      <c r="AJ623" s="34"/>
      <c r="AK623" s="34"/>
      <c r="AL623" s="34"/>
    </row>
    <row r="624" spans="12:38">
      <c r="L624" s="34"/>
      <c r="M624" s="34"/>
      <c r="N624" s="34"/>
      <c r="O624" s="34"/>
      <c r="P624" s="34"/>
      <c r="Q624" s="34"/>
      <c r="R624" s="34"/>
      <c r="S624" s="34"/>
      <c r="T624" s="34"/>
      <c r="U624" s="34"/>
      <c r="V624" s="34"/>
      <c r="W624" s="34"/>
      <c r="AB624" s="34"/>
      <c r="AC624" s="34"/>
      <c r="AD624" s="34"/>
      <c r="AE624" s="34"/>
      <c r="AF624" s="34"/>
      <c r="AG624" s="34"/>
      <c r="AH624" s="34"/>
      <c r="AI624" s="34"/>
      <c r="AJ624" s="34"/>
      <c r="AK624" s="34"/>
      <c r="AL624" s="34"/>
    </row>
    <row r="625" spans="12:38">
      <c r="L625" s="34"/>
      <c r="M625" s="34"/>
      <c r="N625" s="34"/>
      <c r="O625" s="34"/>
      <c r="P625" s="34"/>
      <c r="Q625" s="34"/>
      <c r="R625" s="34"/>
      <c r="S625" s="34"/>
      <c r="T625" s="34"/>
      <c r="U625" s="34"/>
      <c r="V625" s="34"/>
      <c r="W625" s="34"/>
      <c r="AB625" s="34"/>
      <c r="AC625" s="34"/>
      <c r="AD625" s="34"/>
      <c r="AE625" s="34"/>
      <c r="AF625" s="34"/>
      <c r="AG625" s="34"/>
      <c r="AH625" s="34"/>
      <c r="AI625" s="34"/>
      <c r="AJ625" s="34"/>
      <c r="AK625" s="34"/>
      <c r="AL625" s="34"/>
    </row>
    <row r="626" spans="12:38">
      <c r="L626" s="34"/>
      <c r="M626" s="34"/>
      <c r="N626" s="34"/>
      <c r="O626" s="34"/>
      <c r="P626" s="34"/>
      <c r="Q626" s="34"/>
      <c r="R626" s="34"/>
      <c r="S626" s="34"/>
      <c r="T626" s="34"/>
      <c r="U626" s="34"/>
      <c r="V626" s="34"/>
      <c r="W626" s="34"/>
      <c r="AB626" s="34"/>
      <c r="AC626" s="34"/>
      <c r="AD626" s="34"/>
      <c r="AE626" s="34"/>
      <c r="AF626" s="34"/>
      <c r="AG626" s="34"/>
      <c r="AH626" s="34"/>
      <c r="AI626" s="34"/>
      <c r="AJ626" s="34"/>
      <c r="AK626" s="34"/>
      <c r="AL626" s="34"/>
    </row>
    <row r="627" spans="12:38">
      <c r="L627" s="34"/>
      <c r="M627" s="34"/>
      <c r="N627" s="34"/>
      <c r="O627" s="34"/>
      <c r="P627" s="34"/>
      <c r="Q627" s="34"/>
      <c r="R627" s="34"/>
      <c r="S627" s="34"/>
      <c r="T627" s="34"/>
      <c r="U627" s="34"/>
      <c r="V627" s="34"/>
      <c r="W627" s="34"/>
      <c r="AB627" s="34"/>
      <c r="AC627" s="34"/>
      <c r="AD627" s="34"/>
      <c r="AE627" s="34"/>
      <c r="AF627" s="34"/>
      <c r="AG627" s="34"/>
      <c r="AH627" s="34"/>
      <c r="AI627" s="34"/>
      <c r="AJ627" s="34"/>
      <c r="AK627" s="34"/>
      <c r="AL627" s="34"/>
    </row>
    <row r="628" spans="12:38">
      <c r="L628" s="34"/>
      <c r="M628" s="34"/>
      <c r="N628" s="34"/>
      <c r="O628" s="34"/>
      <c r="P628" s="34"/>
      <c r="Q628" s="34"/>
      <c r="R628" s="34"/>
      <c r="S628" s="34"/>
      <c r="T628" s="34"/>
      <c r="U628" s="34"/>
      <c r="V628" s="34"/>
      <c r="W628" s="34"/>
      <c r="AB628" s="34"/>
      <c r="AC628" s="34"/>
      <c r="AD628" s="34"/>
      <c r="AE628" s="34"/>
      <c r="AF628" s="34"/>
      <c r="AG628" s="34"/>
      <c r="AH628" s="34"/>
      <c r="AI628" s="34"/>
      <c r="AJ628" s="34"/>
      <c r="AK628" s="34"/>
      <c r="AL628" s="34"/>
    </row>
    <row r="629" spans="12:38">
      <c r="L629" s="34"/>
      <c r="M629" s="34"/>
      <c r="N629" s="34"/>
      <c r="O629" s="34"/>
      <c r="P629" s="34"/>
      <c r="Q629" s="34"/>
      <c r="R629" s="34"/>
      <c r="S629" s="34"/>
      <c r="T629" s="34"/>
      <c r="U629" s="34"/>
      <c r="V629" s="34"/>
      <c r="W629" s="34"/>
      <c r="AB629" s="34"/>
      <c r="AC629" s="34"/>
      <c r="AD629" s="34"/>
      <c r="AE629" s="34"/>
      <c r="AF629" s="34"/>
      <c r="AG629" s="34"/>
      <c r="AH629" s="34"/>
      <c r="AI629" s="34"/>
      <c r="AJ629" s="34"/>
      <c r="AK629" s="34"/>
      <c r="AL629" s="34"/>
    </row>
    <row r="630" spans="12:38">
      <c r="L630" s="34"/>
      <c r="M630" s="34"/>
      <c r="N630" s="34"/>
      <c r="O630" s="34"/>
      <c r="P630" s="34"/>
      <c r="Q630" s="34"/>
      <c r="R630" s="34"/>
      <c r="S630" s="34"/>
      <c r="T630" s="34"/>
      <c r="U630" s="34"/>
      <c r="V630" s="34"/>
      <c r="W630" s="34"/>
      <c r="AB630" s="34"/>
      <c r="AC630" s="34"/>
      <c r="AD630" s="34"/>
      <c r="AE630" s="34"/>
      <c r="AF630" s="34"/>
      <c r="AG630" s="34"/>
      <c r="AH630" s="34"/>
      <c r="AI630" s="34"/>
      <c r="AJ630" s="34"/>
      <c r="AK630" s="34"/>
      <c r="AL630" s="34"/>
    </row>
    <row r="631" spans="12:38">
      <c r="L631" s="34"/>
      <c r="M631" s="34"/>
      <c r="N631" s="34"/>
      <c r="O631" s="34"/>
      <c r="P631" s="34"/>
      <c r="Q631" s="34"/>
      <c r="R631" s="34"/>
      <c r="S631" s="34"/>
      <c r="T631" s="34"/>
      <c r="U631" s="34"/>
      <c r="V631" s="34"/>
      <c r="W631" s="34"/>
      <c r="AB631" s="34"/>
      <c r="AC631" s="34"/>
      <c r="AD631" s="34"/>
      <c r="AE631" s="34"/>
      <c r="AF631" s="34"/>
      <c r="AG631" s="34"/>
      <c r="AH631" s="34"/>
      <c r="AI631" s="34"/>
      <c r="AJ631" s="34"/>
      <c r="AK631" s="34"/>
      <c r="AL631" s="34"/>
    </row>
    <row r="632" spans="12:38">
      <c r="L632" s="34"/>
      <c r="M632" s="34"/>
      <c r="N632" s="34"/>
      <c r="O632" s="34"/>
      <c r="P632" s="34"/>
      <c r="Q632" s="34"/>
      <c r="R632" s="34"/>
      <c r="S632" s="34"/>
      <c r="T632" s="34"/>
      <c r="U632" s="34"/>
      <c r="V632" s="34"/>
      <c r="W632" s="34"/>
      <c r="AB632" s="34"/>
      <c r="AC632" s="34"/>
      <c r="AD632" s="34"/>
      <c r="AE632" s="34"/>
      <c r="AF632" s="34"/>
      <c r="AG632" s="34"/>
      <c r="AH632" s="34"/>
      <c r="AI632" s="34"/>
      <c r="AJ632" s="34"/>
      <c r="AK632" s="34"/>
      <c r="AL632" s="34"/>
    </row>
    <row r="633" spans="12:38">
      <c r="L633" s="34"/>
      <c r="M633" s="34"/>
      <c r="N633" s="34"/>
      <c r="O633" s="34"/>
      <c r="P633" s="34"/>
      <c r="Q633" s="34"/>
      <c r="R633" s="34"/>
      <c r="S633" s="34"/>
      <c r="T633" s="34"/>
      <c r="U633" s="34"/>
      <c r="V633" s="34"/>
      <c r="W633" s="34"/>
      <c r="AB633" s="34"/>
      <c r="AC633" s="34"/>
      <c r="AD633" s="34"/>
      <c r="AE633" s="34"/>
      <c r="AF633" s="34"/>
      <c r="AG633" s="34"/>
      <c r="AH633" s="34"/>
      <c r="AI633" s="34"/>
      <c r="AJ633" s="34"/>
      <c r="AK633" s="34"/>
      <c r="AL633" s="34"/>
    </row>
    <row r="634" spans="12:38">
      <c r="L634" s="34"/>
      <c r="M634" s="34"/>
      <c r="N634" s="34"/>
      <c r="O634" s="34"/>
      <c r="P634" s="34"/>
      <c r="Q634" s="34"/>
      <c r="R634" s="34"/>
      <c r="S634" s="34"/>
      <c r="T634" s="34"/>
      <c r="U634" s="34"/>
      <c r="V634" s="34"/>
      <c r="W634" s="34"/>
      <c r="AB634" s="34"/>
      <c r="AC634" s="34"/>
      <c r="AD634" s="34"/>
      <c r="AE634" s="34"/>
      <c r="AF634" s="34"/>
      <c r="AG634" s="34"/>
      <c r="AH634" s="34"/>
      <c r="AI634" s="34"/>
      <c r="AJ634" s="34"/>
      <c r="AK634" s="34"/>
      <c r="AL634" s="34"/>
    </row>
    <row r="635" spans="12:38">
      <c r="L635" s="34"/>
      <c r="M635" s="34"/>
      <c r="N635" s="34"/>
      <c r="O635" s="34"/>
      <c r="P635" s="34"/>
      <c r="Q635" s="34"/>
      <c r="R635" s="34"/>
      <c r="S635" s="34"/>
      <c r="T635" s="34"/>
      <c r="U635" s="34"/>
      <c r="V635" s="34"/>
      <c r="W635" s="34"/>
      <c r="AB635" s="34"/>
      <c r="AC635" s="34"/>
      <c r="AD635" s="34"/>
      <c r="AE635" s="34"/>
      <c r="AF635" s="34"/>
      <c r="AG635" s="34"/>
      <c r="AH635" s="34"/>
      <c r="AI635" s="34"/>
      <c r="AJ635" s="34"/>
      <c r="AK635" s="34"/>
      <c r="AL635" s="34"/>
    </row>
    <row r="636" spans="12:38">
      <c r="L636" s="34"/>
      <c r="M636" s="34"/>
      <c r="N636" s="34"/>
      <c r="O636" s="34"/>
      <c r="P636" s="34"/>
      <c r="Q636" s="34"/>
      <c r="R636" s="34"/>
      <c r="S636" s="34"/>
      <c r="T636" s="34"/>
      <c r="U636" s="34"/>
      <c r="V636" s="34"/>
      <c r="W636" s="34"/>
      <c r="AB636" s="34"/>
      <c r="AC636" s="34"/>
      <c r="AD636" s="34"/>
      <c r="AE636" s="34"/>
      <c r="AF636" s="34"/>
      <c r="AG636" s="34"/>
      <c r="AH636" s="34"/>
      <c r="AI636" s="34"/>
      <c r="AJ636" s="34"/>
      <c r="AK636" s="34"/>
      <c r="AL636" s="34"/>
    </row>
    <row r="637" spans="12:38">
      <c r="L637" s="34"/>
      <c r="M637" s="34"/>
      <c r="N637" s="34"/>
      <c r="O637" s="34"/>
      <c r="P637" s="34"/>
      <c r="Q637" s="34"/>
      <c r="R637" s="34"/>
      <c r="S637" s="34"/>
      <c r="T637" s="34"/>
      <c r="U637" s="34"/>
      <c r="V637" s="34"/>
      <c r="W637" s="34"/>
      <c r="AB637" s="34"/>
      <c r="AC637" s="34"/>
      <c r="AD637" s="34"/>
      <c r="AE637" s="34"/>
      <c r="AF637" s="34"/>
      <c r="AG637" s="34"/>
      <c r="AH637" s="34"/>
      <c r="AI637" s="34"/>
      <c r="AJ637" s="34"/>
      <c r="AK637" s="34"/>
      <c r="AL637" s="34"/>
    </row>
    <row r="638" spans="12:38">
      <c r="L638" s="34"/>
      <c r="M638" s="34"/>
      <c r="N638" s="34"/>
      <c r="O638" s="34"/>
      <c r="P638" s="34"/>
      <c r="Q638" s="34"/>
      <c r="R638" s="34"/>
      <c r="S638" s="34"/>
      <c r="T638" s="34"/>
      <c r="U638" s="34"/>
      <c r="V638" s="34"/>
      <c r="W638" s="34"/>
      <c r="AB638" s="34"/>
      <c r="AC638" s="34"/>
      <c r="AD638" s="34"/>
      <c r="AE638" s="34"/>
      <c r="AF638" s="34"/>
      <c r="AG638" s="34"/>
      <c r="AH638" s="34"/>
      <c r="AI638" s="34"/>
      <c r="AJ638" s="34"/>
      <c r="AK638" s="34"/>
      <c r="AL638" s="34"/>
    </row>
    <row r="639" spans="12:38">
      <c r="L639" s="34"/>
      <c r="M639" s="34"/>
      <c r="N639" s="34"/>
      <c r="O639" s="34"/>
      <c r="P639" s="34"/>
      <c r="Q639" s="34"/>
      <c r="R639" s="34"/>
      <c r="S639" s="34"/>
      <c r="T639" s="34"/>
      <c r="U639" s="34"/>
      <c r="V639" s="34"/>
      <c r="W639" s="34"/>
      <c r="AB639" s="34"/>
      <c r="AC639" s="34"/>
      <c r="AD639" s="34"/>
      <c r="AE639" s="34"/>
      <c r="AF639" s="34"/>
      <c r="AG639" s="34"/>
      <c r="AH639" s="34"/>
      <c r="AI639" s="34"/>
      <c r="AJ639" s="34"/>
      <c r="AK639" s="34"/>
      <c r="AL639" s="34"/>
    </row>
    <row r="640" spans="12:38">
      <c r="L640" s="34"/>
      <c r="M640" s="34"/>
      <c r="N640" s="34"/>
      <c r="O640" s="34"/>
      <c r="P640" s="34"/>
      <c r="Q640" s="34"/>
      <c r="R640" s="34"/>
      <c r="S640" s="34"/>
      <c r="T640" s="34"/>
      <c r="U640" s="34"/>
      <c r="V640" s="34"/>
      <c r="W640" s="34"/>
      <c r="AB640" s="34"/>
      <c r="AC640" s="34"/>
      <c r="AD640" s="34"/>
      <c r="AE640" s="34"/>
      <c r="AF640" s="34"/>
      <c r="AG640" s="34"/>
      <c r="AH640" s="34"/>
      <c r="AI640" s="34"/>
      <c r="AJ640" s="34"/>
      <c r="AK640" s="34"/>
      <c r="AL640" s="34"/>
    </row>
    <row r="641" spans="12:38">
      <c r="L641" s="34"/>
      <c r="M641" s="34"/>
      <c r="N641" s="34"/>
      <c r="O641" s="34"/>
      <c r="P641" s="34"/>
      <c r="Q641" s="34"/>
      <c r="R641" s="34"/>
      <c r="S641" s="34"/>
      <c r="T641" s="34"/>
      <c r="U641" s="34"/>
      <c r="V641" s="34"/>
      <c r="W641" s="34"/>
      <c r="AB641" s="34"/>
      <c r="AC641" s="34"/>
      <c r="AD641" s="34"/>
      <c r="AE641" s="34"/>
      <c r="AF641" s="34"/>
      <c r="AG641" s="34"/>
      <c r="AH641" s="34"/>
      <c r="AI641" s="34"/>
      <c r="AJ641" s="34"/>
      <c r="AK641" s="34"/>
      <c r="AL641" s="34"/>
    </row>
    <row r="642" spans="12:38">
      <c r="L642" s="34"/>
      <c r="M642" s="34"/>
      <c r="N642" s="34"/>
      <c r="O642" s="34"/>
      <c r="P642" s="34"/>
      <c r="Q642" s="34"/>
      <c r="R642" s="34"/>
      <c r="S642" s="34"/>
      <c r="T642" s="34"/>
      <c r="U642" s="34"/>
      <c r="V642" s="34"/>
      <c r="W642" s="34"/>
      <c r="AB642" s="34"/>
      <c r="AC642" s="34"/>
      <c r="AD642" s="34"/>
      <c r="AE642" s="34"/>
      <c r="AF642" s="34"/>
      <c r="AG642" s="34"/>
      <c r="AH642" s="34"/>
      <c r="AI642" s="34"/>
      <c r="AJ642" s="34"/>
      <c r="AK642" s="34"/>
      <c r="AL642" s="34"/>
    </row>
    <row r="643" spans="12:38">
      <c r="L643" s="34"/>
      <c r="M643" s="34"/>
      <c r="N643" s="34"/>
      <c r="O643" s="34"/>
      <c r="P643" s="34"/>
      <c r="Q643" s="34"/>
      <c r="R643" s="34"/>
      <c r="S643" s="34"/>
      <c r="T643" s="34"/>
      <c r="U643" s="34"/>
      <c r="V643" s="34"/>
      <c r="W643" s="34"/>
      <c r="AB643" s="34"/>
      <c r="AC643" s="34"/>
      <c r="AD643" s="34"/>
      <c r="AE643" s="34"/>
      <c r="AF643" s="34"/>
      <c r="AG643" s="34"/>
      <c r="AH643" s="34"/>
      <c r="AI643" s="34"/>
      <c r="AJ643" s="34"/>
      <c r="AK643" s="34"/>
      <c r="AL643" s="34"/>
    </row>
    <row r="644" spans="12:38">
      <c r="L644" s="34"/>
      <c r="M644" s="34"/>
      <c r="N644" s="34"/>
      <c r="O644" s="34"/>
      <c r="P644" s="34"/>
      <c r="Q644" s="34"/>
      <c r="R644" s="34"/>
      <c r="S644" s="34"/>
      <c r="T644" s="34"/>
      <c r="U644" s="34"/>
      <c r="V644" s="34"/>
      <c r="W644" s="34"/>
      <c r="AB644" s="34"/>
      <c r="AC644" s="34"/>
      <c r="AD644" s="34"/>
      <c r="AE644" s="34"/>
      <c r="AF644" s="34"/>
      <c r="AG644" s="34"/>
      <c r="AH644" s="34"/>
      <c r="AI644" s="34"/>
      <c r="AJ644" s="34"/>
      <c r="AK644" s="34"/>
      <c r="AL644" s="34"/>
    </row>
    <row r="645" spans="12:38">
      <c r="L645" s="34"/>
      <c r="M645" s="34"/>
      <c r="N645" s="34"/>
      <c r="O645" s="34"/>
      <c r="P645" s="34"/>
      <c r="Q645" s="34"/>
      <c r="R645" s="34"/>
      <c r="S645" s="34"/>
      <c r="T645" s="34"/>
      <c r="U645" s="34"/>
      <c r="V645" s="34"/>
      <c r="W645" s="34"/>
      <c r="AB645" s="34"/>
      <c r="AC645" s="34"/>
      <c r="AD645" s="34"/>
      <c r="AE645" s="34"/>
      <c r="AF645" s="34"/>
      <c r="AG645" s="34"/>
      <c r="AH645" s="34"/>
      <c r="AI645" s="34"/>
      <c r="AJ645" s="34"/>
      <c r="AK645" s="34"/>
      <c r="AL645" s="34"/>
    </row>
    <row r="646" spans="12:38">
      <c r="L646" s="34"/>
      <c r="M646" s="34"/>
      <c r="N646" s="34"/>
      <c r="O646" s="34"/>
      <c r="P646" s="34"/>
      <c r="Q646" s="34"/>
      <c r="R646" s="34"/>
      <c r="S646" s="34"/>
      <c r="T646" s="34"/>
      <c r="U646" s="34"/>
      <c r="V646" s="34"/>
      <c r="W646" s="34"/>
      <c r="AB646" s="34"/>
      <c r="AC646" s="34"/>
      <c r="AD646" s="34"/>
      <c r="AE646" s="34"/>
      <c r="AF646" s="34"/>
      <c r="AG646" s="34"/>
      <c r="AH646" s="34"/>
      <c r="AI646" s="34"/>
      <c r="AJ646" s="34"/>
      <c r="AK646" s="34"/>
      <c r="AL646" s="34"/>
    </row>
    <row r="647" spans="12:38">
      <c r="L647" s="34"/>
      <c r="M647" s="34"/>
      <c r="N647" s="34"/>
      <c r="O647" s="34"/>
      <c r="P647" s="34"/>
      <c r="Q647" s="34"/>
      <c r="R647" s="34"/>
      <c r="S647" s="34"/>
      <c r="T647" s="34"/>
      <c r="U647" s="34"/>
      <c r="V647" s="34"/>
      <c r="W647" s="34"/>
      <c r="AB647" s="34"/>
      <c r="AC647" s="34"/>
      <c r="AD647" s="34"/>
      <c r="AE647" s="34"/>
      <c r="AF647" s="34"/>
      <c r="AG647" s="34"/>
      <c r="AH647" s="34"/>
      <c r="AI647" s="34"/>
      <c r="AJ647" s="34"/>
      <c r="AK647" s="34"/>
      <c r="AL647" s="34"/>
    </row>
    <row r="648" spans="12:38">
      <c r="L648" s="34"/>
      <c r="M648" s="34"/>
      <c r="N648" s="34"/>
      <c r="O648" s="34"/>
      <c r="P648" s="34"/>
      <c r="Q648" s="34"/>
      <c r="R648" s="34"/>
      <c r="S648" s="34"/>
      <c r="T648" s="34"/>
      <c r="U648" s="34"/>
      <c r="V648" s="34"/>
      <c r="W648" s="34"/>
      <c r="AB648" s="34"/>
      <c r="AC648" s="34"/>
      <c r="AD648" s="34"/>
      <c r="AE648" s="34"/>
      <c r="AF648" s="34"/>
      <c r="AG648" s="34"/>
      <c r="AH648" s="34"/>
      <c r="AI648" s="34"/>
      <c r="AJ648" s="34"/>
      <c r="AK648" s="34"/>
      <c r="AL648" s="34"/>
    </row>
    <row r="649" spans="12:38">
      <c r="L649" s="34"/>
      <c r="M649" s="34"/>
      <c r="N649" s="34"/>
      <c r="O649" s="34"/>
      <c r="P649" s="34"/>
      <c r="Q649" s="34"/>
      <c r="R649" s="34"/>
      <c r="S649" s="34"/>
      <c r="T649" s="34"/>
      <c r="U649" s="34"/>
      <c r="V649" s="34"/>
      <c r="W649" s="34"/>
      <c r="AB649" s="34"/>
      <c r="AC649" s="34"/>
      <c r="AD649" s="34"/>
      <c r="AE649" s="34"/>
      <c r="AF649" s="34"/>
      <c r="AG649" s="34"/>
      <c r="AH649" s="34"/>
      <c r="AI649" s="34"/>
      <c r="AJ649" s="34"/>
      <c r="AK649" s="34"/>
      <c r="AL649" s="34"/>
    </row>
    <row r="650" spans="12:38">
      <c r="L650" s="34"/>
      <c r="M650" s="34"/>
      <c r="N650" s="34"/>
      <c r="O650" s="34"/>
      <c r="P650" s="34"/>
      <c r="Q650" s="34"/>
      <c r="R650" s="34"/>
      <c r="S650" s="34"/>
      <c r="T650" s="34"/>
      <c r="U650" s="34"/>
      <c r="V650" s="34"/>
      <c r="W650" s="34"/>
      <c r="AB650" s="34"/>
      <c r="AC650" s="34"/>
      <c r="AD650" s="34"/>
      <c r="AE650" s="34"/>
      <c r="AF650" s="34"/>
      <c r="AG650" s="34"/>
      <c r="AH650" s="34"/>
      <c r="AI650" s="34"/>
      <c r="AJ650" s="34"/>
      <c r="AK650" s="34"/>
      <c r="AL650" s="34"/>
    </row>
    <row r="651" spans="12:38">
      <c r="L651" s="34"/>
      <c r="M651" s="34"/>
      <c r="N651" s="34"/>
      <c r="O651" s="34"/>
      <c r="P651" s="34"/>
      <c r="Q651" s="34"/>
      <c r="R651" s="34"/>
      <c r="S651" s="34"/>
      <c r="T651" s="34"/>
      <c r="U651" s="34"/>
      <c r="V651" s="34"/>
      <c r="W651" s="34"/>
      <c r="AB651" s="34"/>
      <c r="AC651" s="34"/>
      <c r="AD651" s="34"/>
      <c r="AE651" s="34"/>
      <c r="AF651" s="34"/>
      <c r="AG651" s="34"/>
      <c r="AH651" s="34"/>
      <c r="AI651" s="34"/>
      <c r="AJ651" s="34"/>
      <c r="AK651" s="34"/>
      <c r="AL651" s="34"/>
    </row>
    <row r="652" spans="12:38">
      <c r="L652" s="34"/>
      <c r="M652" s="34"/>
      <c r="N652" s="34"/>
      <c r="O652" s="34"/>
      <c r="P652" s="34"/>
      <c r="Q652" s="34"/>
      <c r="R652" s="34"/>
      <c r="S652" s="34"/>
      <c r="T652" s="34"/>
      <c r="U652" s="34"/>
      <c r="V652" s="34"/>
      <c r="W652" s="34"/>
      <c r="AB652" s="34"/>
      <c r="AC652" s="34"/>
      <c r="AD652" s="34"/>
      <c r="AE652" s="34"/>
      <c r="AF652" s="34"/>
      <c r="AG652" s="34"/>
      <c r="AH652" s="34"/>
      <c r="AI652" s="34"/>
      <c r="AJ652" s="34"/>
      <c r="AK652" s="34"/>
      <c r="AL652" s="34"/>
    </row>
    <row r="653" spans="12:38">
      <c r="L653" s="34"/>
      <c r="M653" s="34"/>
      <c r="N653" s="34"/>
      <c r="O653" s="34"/>
      <c r="P653" s="34"/>
      <c r="Q653" s="34"/>
      <c r="R653" s="34"/>
      <c r="S653" s="34"/>
      <c r="T653" s="34"/>
      <c r="U653" s="34"/>
      <c r="V653" s="34"/>
      <c r="W653" s="34"/>
      <c r="AB653" s="34"/>
      <c r="AC653" s="34"/>
      <c r="AD653" s="34"/>
      <c r="AE653" s="34"/>
      <c r="AF653" s="34"/>
      <c r="AG653" s="34"/>
      <c r="AH653" s="34"/>
      <c r="AI653" s="34"/>
      <c r="AJ653" s="34"/>
      <c r="AK653" s="34"/>
      <c r="AL653" s="34"/>
    </row>
    <row r="654" spans="12:38">
      <c r="L654" s="34"/>
      <c r="M654" s="34"/>
      <c r="N654" s="34"/>
      <c r="O654" s="34"/>
      <c r="P654" s="34"/>
      <c r="Q654" s="34"/>
      <c r="R654" s="34"/>
      <c r="S654" s="34"/>
      <c r="T654" s="34"/>
      <c r="U654" s="34"/>
      <c r="V654" s="34"/>
      <c r="W654" s="34"/>
      <c r="AB654" s="34"/>
      <c r="AC654" s="34"/>
      <c r="AD654" s="34"/>
      <c r="AE654" s="34"/>
      <c r="AF654" s="34"/>
      <c r="AG654" s="34"/>
      <c r="AH654" s="34"/>
      <c r="AI654" s="34"/>
      <c r="AJ654" s="34"/>
      <c r="AK654" s="34"/>
      <c r="AL654" s="34"/>
    </row>
    <row r="655" spans="12:38">
      <c r="L655" s="34"/>
      <c r="M655" s="34"/>
      <c r="N655" s="34"/>
      <c r="O655" s="34"/>
      <c r="P655" s="34"/>
      <c r="Q655" s="34"/>
      <c r="R655" s="34"/>
      <c r="S655" s="34"/>
      <c r="T655" s="34"/>
      <c r="U655" s="34"/>
      <c r="V655" s="34"/>
      <c r="W655" s="34"/>
      <c r="AB655" s="34"/>
      <c r="AC655" s="34"/>
      <c r="AD655" s="34"/>
      <c r="AE655" s="34"/>
      <c r="AF655" s="34"/>
      <c r="AG655" s="34"/>
      <c r="AH655" s="34"/>
      <c r="AI655" s="34"/>
      <c r="AJ655" s="34"/>
      <c r="AK655" s="34"/>
      <c r="AL655" s="34"/>
    </row>
    <row r="656" spans="12:38">
      <c r="L656" s="34"/>
      <c r="M656" s="34"/>
      <c r="N656" s="34"/>
      <c r="O656" s="34"/>
      <c r="P656" s="34"/>
      <c r="Q656" s="34"/>
      <c r="R656" s="34"/>
      <c r="S656" s="34"/>
      <c r="T656" s="34"/>
      <c r="U656" s="34"/>
      <c r="V656" s="34"/>
      <c r="W656" s="34"/>
      <c r="AB656" s="34"/>
      <c r="AC656" s="34"/>
      <c r="AD656" s="34"/>
      <c r="AE656" s="34"/>
      <c r="AF656" s="34"/>
      <c r="AG656" s="34"/>
      <c r="AH656" s="34"/>
      <c r="AI656" s="34"/>
      <c r="AJ656" s="34"/>
      <c r="AK656" s="34"/>
      <c r="AL656" s="34"/>
    </row>
    <row r="657" spans="12:38" s="10" customFormat="1"/>
    <row r="658" spans="12:38">
      <c r="L658" s="34"/>
      <c r="M658" s="34"/>
      <c r="N658" s="34"/>
      <c r="O658" s="34"/>
      <c r="P658" s="34"/>
      <c r="Q658" s="34"/>
      <c r="R658" s="34"/>
      <c r="S658" s="34"/>
      <c r="T658" s="34"/>
      <c r="U658" s="34"/>
      <c r="V658" s="34"/>
      <c r="AB658" s="34"/>
      <c r="AC658" s="34"/>
      <c r="AD658" s="34"/>
      <c r="AE658" s="34"/>
      <c r="AF658" s="34"/>
      <c r="AG658" s="34"/>
      <c r="AH658" s="34"/>
      <c r="AI658" s="34"/>
      <c r="AJ658" s="34"/>
      <c r="AK658" s="34"/>
      <c r="AL658" s="34"/>
    </row>
    <row r="659" spans="12:38">
      <c r="L659" s="34"/>
      <c r="M659" s="34"/>
      <c r="N659" s="34"/>
      <c r="O659" s="34"/>
      <c r="P659" s="34"/>
      <c r="Q659" s="34"/>
      <c r="R659" s="34"/>
      <c r="S659" s="34"/>
      <c r="T659" s="34"/>
      <c r="U659" s="34"/>
      <c r="V659" s="34"/>
      <c r="AB659" s="34"/>
      <c r="AC659" s="34"/>
      <c r="AD659" s="34"/>
      <c r="AE659" s="34"/>
      <c r="AF659" s="34"/>
      <c r="AG659" s="34"/>
      <c r="AH659" s="34"/>
      <c r="AI659" s="34"/>
      <c r="AJ659" s="34"/>
      <c r="AK659" s="34"/>
      <c r="AL659" s="34"/>
    </row>
    <row r="660" spans="12:38">
      <c r="L660" s="34"/>
      <c r="M660" s="34"/>
      <c r="N660" s="34"/>
      <c r="O660" s="34"/>
      <c r="P660" s="34"/>
      <c r="Q660" s="34"/>
      <c r="R660" s="34"/>
      <c r="S660" s="34"/>
      <c r="T660" s="34"/>
      <c r="U660" s="34"/>
      <c r="V660" s="34"/>
      <c r="AB660" s="34"/>
      <c r="AC660" s="34"/>
      <c r="AD660" s="34"/>
      <c r="AE660" s="34"/>
      <c r="AF660" s="34"/>
      <c r="AG660" s="34"/>
      <c r="AH660" s="34"/>
      <c r="AI660" s="34"/>
      <c r="AJ660" s="34"/>
      <c r="AK660" s="34"/>
      <c r="AL660" s="34"/>
    </row>
    <row r="661" spans="12:38">
      <c r="L661" s="34"/>
      <c r="M661" s="34"/>
      <c r="N661" s="34"/>
      <c r="O661" s="34"/>
      <c r="P661" s="34"/>
      <c r="Q661" s="34"/>
      <c r="R661" s="34"/>
      <c r="S661" s="34"/>
      <c r="T661" s="34"/>
      <c r="U661" s="34"/>
      <c r="V661" s="34"/>
      <c r="AB661" s="34"/>
      <c r="AC661" s="34"/>
      <c r="AD661" s="34"/>
      <c r="AE661" s="34"/>
      <c r="AF661" s="34"/>
      <c r="AG661" s="34"/>
      <c r="AH661" s="34"/>
      <c r="AI661" s="34"/>
      <c r="AJ661" s="34"/>
      <c r="AK661" s="34"/>
      <c r="AL661" s="34"/>
    </row>
    <row r="662" spans="12:38">
      <c r="L662" s="34"/>
      <c r="M662" s="34"/>
      <c r="N662" s="34"/>
      <c r="O662" s="34"/>
      <c r="P662" s="34"/>
      <c r="Q662" s="34"/>
      <c r="R662" s="34"/>
      <c r="S662" s="34"/>
      <c r="T662" s="34"/>
      <c r="U662" s="34"/>
      <c r="V662" s="34"/>
      <c r="AB662" s="34"/>
      <c r="AC662" s="34"/>
      <c r="AD662" s="34"/>
      <c r="AE662" s="34"/>
      <c r="AF662" s="34"/>
      <c r="AG662" s="34"/>
      <c r="AH662" s="34"/>
      <c r="AI662" s="34"/>
      <c r="AJ662" s="34"/>
      <c r="AK662" s="34"/>
      <c r="AL662" s="34"/>
    </row>
    <row r="663" spans="12:38">
      <c r="L663" s="34"/>
      <c r="M663" s="34"/>
      <c r="N663" s="34"/>
      <c r="O663" s="34"/>
      <c r="P663" s="34"/>
      <c r="Q663" s="34"/>
      <c r="R663" s="34"/>
      <c r="S663" s="34"/>
      <c r="T663" s="34"/>
      <c r="U663" s="34"/>
      <c r="V663" s="34"/>
      <c r="AB663" s="34"/>
      <c r="AC663" s="34"/>
      <c r="AD663" s="34"/>
      <c r="AE663" s="34"/>
      <c r="AF663" s="34"/>
      <c r="AG663" s="34"/>
      <c r="AH663" s="34"/>
      <c r="AI663" s="34"/>
      <c r="AJ663" s="34"/>
      <c r="AK663" s="34"/>
      <c r="AL663" s="34"/>
    </row>
    <row r="664" spans="12:38">
      <c r="L664" s="34"/>
      <c r="M664" s="34"/>
      <c r="N664" s="34"/>
      <c r="O664" s="34"/>
      <c r="P664" s="34"/>
      <c r="Q664" s="34"/>
      <c r="R664" s="34"/>
      <c r="S664" s="34"/>
      <c r="T664" s="34"/>
      <c r="U664" s="34"/>
      <c r="V664" s="34"/>
      <c r="AB664" s="34"/>
      <c r="AC664" s="34"/>
      <c r="AD664" s="34"/>
      <c r="AE664" s="34"/>
      <c r="AF664" s="34"/>
      <c r="AG664" s="34"/>
      <c r="AH664" s="34"/>
      <c r="AI664" s="34"/>
      <c r="AJ664" s="34"/>
      <c r="AK664" s="34"/>
      <c r="AL664" s="34"/>
    </row>
    <row r="665" spans="12:38">
      <c r="L665" s="34"/>
      <c r="M665" s="34"/>
      <c r="N665" s="34"/>
      <c r="O665" s="34"/>
      <c r="P665" s="34"/>
      <c r="Q665" s="34"/>
      <c r="R665" s="34"/>
      <c r="S665" s="34"/>
      <c r="T665" s="34"/>
      <c r="U665" s="34"/>
      <c r="V665" s="34"/>
      <c r="AB665" s="34"/>
      <c r="AC665" s="34"/>
      <c r="AD665" s="34"/>
      <c r="AE665" s="34"/>
      <c r="AF665" s="34"/>
      <c r="AG665" s="34"/>
      <c r="AH665" s="34"/>
      <c r="AI665" s="34"/>
      <c r="AJ665" s="34"/>
      <c r="AK665" s="34"/>
      <c r="AL665" s="34"/>
    </row>
    <row r="666" spans="12:38">
      <c r="L666" s="34"/>
      <c r="M666" s="34"/>
      <c r="N666" s="34"/>
      <c r="O666" s="34"/>
      <c r="P666" s="34"/>
      <c r="Q666" s="34"/>
      <c r="R666" s="34"/>
      <c r="S666" s="34"/>
      <c r="T666" s="34"/>
      <c r="U666" s="34"/>
      <c r="V666" s="34"/>
      <c r="AB666" s="34"/>
      <c r="AC666" s="34"/>
      <c r="AD666" s="34"/>
      <c r="AE666" s="34"/>
      <c r="AF666" s="34"/>
      <c r="AG666" s="34"/>
      <c r="AH666" s="34"/>
      <c r="AI666" s="34"/>
      <c r="AJ666" s="34"/>
      <c r="AK666" s="34"/>
      <c r="AL666" s="34"/>
    </row>
    <row r="667" spans="12:38">
      <c r="L667" s="34"/>
      <c r="M667" s="34"/>
      <c r="N667" s="34"/>
      <c r="O667" s="34"/>
      <c r="P667" s="34"/>
      <c r="Q667" s="34"/>
      <c r="R667" s="34"/>
      <c r="S667" s="34"/>
      <c r="T667" s="34"/>
      <c r="U667" s="34"/>
      <c r="V667" s="34"/>
      <c r="AB667" s="34"/>
      <c r="AC667" s="34"/>
      <c r="AD667" s="34"/>
      <c r="AE667" s="34"/>
      <c r="AF667" s="34"/>
      <c r="AG667" s="34"/>
      <c r="AH667" s="34"/>
      <c r="AI667" s="34"/>
      <c r="AJ667" s="34"/>
      <c r="AK667" s="34"/>
      <c r="AL667" s="34"/>
    </row>
    <row r="668" spans="12:38">
      <c r="L668" s="34"/>
      <c r="M668" s="34"/>
      <c r="N668" s="34"/>
      <c r="O668" s="34"/>
      <c r="P668" s="34"/>
      <c r="Q668" s="34"/>
      <c r="R668" s="34"/>
      <c r="S668" s="34"/>
      <c r="T668" s="34"/>
      <c r="U668" s="34"/>
      <c r="V668" s="34"/>
      <c r="AB668" s="34"/>
      <c r="AC668" s="34"/>
      <c r="AD668" s="34"/>
      <c r="AE668" s="34"/>
      <c r="AF668" s="34"/>
      <c r="AG668" s="34"/>
      <c r="AH668" s="34"/>
      <c r="AI668" s="34"/>
      <c r="AJ668" s="34"/>
      <c r="AK668" s="34"/>
      <c r="AL668" s="34"/>
    </row>
    <row r="669" spans="12:38">
      <c r="L669" s="34"/>
      <c r="M669" s="34"/>
      <c r="N669" s="34"/>
      <c r="O669" s="34"/>
      <c r="P669" s="34"/>
      <c r="Q669" s="34"/>
      <c r="R669" s="34"/>
      <c r="S669" s="34"/>
      <c r="T669" s="34"/>
      <c r="U669" s="34"/>
      <c r="V669" s="34"/>
      <c r="AB669" s="34"/>
      <c r="AC669" s="34"/>
      <c r="AD669" s="34"/>
      <c r="AE669" s="34"/>
      <c r="AF669" s="34"/>
      <c r="AG669" s="34"/>
      <c r="AH669" s="34"/>
      <c r="AI669" s="34"/>
      <c r="AJ669" s="34"/>
      <c r="AK669" s="34"/>
      <c r="AL669" s="34"/>
    </row>
    <row r="670" spans="12:38">
      <c r="L670" s="34"/>
      <c r="M670" s="34"/>
      <c r="N670" s="34"/>
      <c r="O670" s="34"/>
      <c r="P670" s="34"/>
      <c r="Q670" s="34"/>
      <c r="R670" s="34"/>
      <c r="S670" s="34"/>
      <c r="T670" s="34"/>
      <c r="U670" s="34"/>
      <c r="V670" s="34"/>
      <c r="AB670" s="34"/>
      <c r="AC670" s="34"/>
      <c r="AD670" s="34"/>
      <c r="AE670" s="34"/>
      <c r="AF670" s="34"/>
      <c r="AG670" s="34"/>
      <c r="AH670" s="34"/>
      <c r="AI670" s="34"/>
      <c r="AJ670" s="34"/>
      <c r="AK670" s="34"/>
      <c r="AL670" s="34"/>
    </row>
    <row r="671" spans="12:38">
      <c r="L671" s="34"/>
      <c r="M671" s="34"/>
      <c r="N671" s="34"/>
      <c r="O671" s="34"/>
      <c r="P671" s="34"/>
      <c r="Q671" s="34"/>
      <c r="R671" s="34"/>
      <c r="S671" s="34"/>
      <c r="T671" s="34"/>
      <c r="U671" s="34"/>
      <c r="V671" s="34"/>
      <c r="AB671" s="34"/>
      <c r="AC671" s="34"/>
      <c r="AD671" s="34"/>
      <c r="AE671" s="34"/>
      <c r="AF671" s="34"/>
      <c r="AG671" s="34"/>
      <c r="AH671" s="34"/>
      <c r="AI671" s="34"/>
      <c r="AJ671" s="34"/>
      <c r="AK671" s="34"/>
      <c r="AL671" s="34"/>
    </row>
    <row r="672" spans="12:38">
      <c r="L672" s="34"/>
      <c r="M672" s="34"/>
      <c r="N672" s="34"/>
      <c r="O672" s="34"/>
      <c r="P672" s="34"/>
      <c r="Q672" s="34"/>
      <c r="R672" s="34"/>
      <c r="S672" s="34"/>
      <c r="T672" s="34"/>
      <c r="U672" s="34"/>
      <c r="V672" s="34"/>
      <c r="AB672" s="34"/>
      <c r="AC672" s="34"/>
      <c r="AD672" s="34"/>
      <c r="AE672" s="34"/>
      <c r="AF672" s="34"/>
      <c r="AG672" s="34"/>
      <c r="AH672" s="34"/>
      <c r="AI672" s="34"/>
      <c r="AJ672" s="34"/>
      <c r="AK672" s="34"/>
      <c r="AL672" s="34"/>
    </row>
    <row r="673" spans="12:38">
      <c r="L673" s="34"/>
      <c r="M673" s="34"/>
      <c r="N673" s="34"/>
      <c r="O673" s="34"/>
      <c r="P673" s="34"/>
      <c r="Q673" s="34"/>
      <c r="R673" s="34"/>
      <c r="S673" s="34"/>
      <c r="T673" s="34"/>
      <c r="U673" s="34"/>
      <c r="V673" s="34"/>
      <c r="AB673" s="34"/>
      <c r="AC673" s="34"/>
      <c r="AD673" s="34"/>
      <c r="AE673" s="34"/>
      <c r="AF673" s="34"/>
      <c r="AG673" s="34"/>
      <c r="AH673" s="34"/>
      <c r="AI673" s="34"/>
      <c r="AJ673" s="34"/>
      <c r="AK673" s="34"/>
      <c r="AL673" s="34"/>
    </row>
    <row r="674" spans="12:38">
      <c r="L674" s="34"/>
      <c r="M674" s="34"/>
      <c r="N674" s="34"/>
      <c r="O674" s="34"/>
      <c r="P674" s="34"/>
      <c r="Q674" s="34"/>
      <c r="R674" s="34"/>
      <c r="S674" s="34"/>
      <c r="T674" s="34"/>
      <c r="U674" s="34"/>
      <c r="V674" s="34"/>
      <c r="AB674" s="34"/>
      <c r="AC674" s="34"/>
      <c r="AD674" s="34"/>
      <c r="AE674" s="34"/>
      <c r="AF674" s="34"/>
      <c r="AG674" s="34"/>
      <c r="AH674" s="34"/>
      <c r="AI674" s="34"/>
      <c r="AJ674" s="34"/>
      <c r="AK674" s="34"/>
      <c r="AL674" s="34"/>
    </row>
    <row r="675" spans="12:38">
      <c r="L675" s="34"/>
      <c r="M675" s="34"/>
      <c r="N675" s="34"/>
      <c r="O675" s="34"/>
      <c r="P675" s="34"/>
      <c r="Q675" s="34"/>
      <c r="R675" s="34"/>
      <c r="S675" s="34"/>
      <c r="T675" s="34"/>
      <c r="U675" s="34"/>
      <c r="V675" s="34"/>
      <c r="AB675" s="34"/>
      <c r="AC675" s="34"/>
      <c r="AD675" s="34"/>
      <c r="AE675" s="34"/>
      <c r="AF675" s="34"/>
      <c r="AG675" s="34"/>
      <c r="AH675" s="34"/>
      <c r="AI675" s="34"/>
      <c r="AJ675" s="34"/>
      <c r="AK675" s="34"/>
      <c r="AL675" s="34"/>
    </row>
    <row r="676" spans="12:38">
      <c r="L676" s="34"/>
      <c r="M676" s="34"/>
      <c r="N676" s="34"/>
      <c r="O676" s="34"/>
      <c r="P676" s="34"/>
      <c r="Q676" s="34"/>
      <c r="R676" s="34"/>
      <c r="S676" s="34"/>
      <c r="T676" s="34"/>
      <c r="U676" s="34"/>
      <c r="V676" s="34"/>
      <c r="AB676" s="34"/>
      <c r="AC676" s="34"/>
      <c r="AD676" s="34"/>
      <c r="AE676" s="34"/>
      <c r="AF676" s="34"/>
      <c r="AG676" s="34"/>
      <c r="AH676" s="34"/>
      <c r="AI676" s="34"/>
      <c r="AJ676" s="34"/>
      <c r="AK676" s="34"/>
      <c r="AL676" s="34"/>
    </row>
    <row r="677" spans="12:38">
      <c r="L677" s="34"/>
      <c r="M677" s="34"/>
      <c r="N677" s="34"/>
      <c r="O677" s="34"/>
      <c r="P677" s="34"/>
      <c r="Q677" s="34"/>
      <c r="R677" s="34"/>
      <c r="S677" s="34"/>
      <c r="T677" s="34"/>
      <c r="U677" s="34"/>
      <c r="V677" s="34"/>
      <c r="AB677" s="34"/>
      <c r="AC677" s="34"/>
      <c r="AD677" s="34"/>
      <c r="AE677" s="34"/>
      <c r="AF677" s="34"/>
      <c r="AG677" s="34"/>
      <c r="AH677" s="34"/>
      <c r="AI677" s="34"/>
      <c r="AJ677" s="34"/>
      <c r="AK677" s="34"/>
      <c r="AL677" s="34"/>
    </row>
    <row r="678" spans="12:38">
      <c r="L678" s="34"/>
      <c r="M678" s="34"/>
      <c r="N678" s="34"/>
      <c r="O678" s="34"/>
      <c r="P678" s="34"/>
      <c r="Q678" s="34"/>
      <c r="R678" s="34"/>
      <c r="S678" s="34"/>
      <c r="T678" s="34"/>
      <c r="U678" s="34"/>
      <c r="V678" s="34"/>
      <c r="AB678" s="34"/>
      <c r="AC678" s="34"/>
      <c r="AD678" s="34"/>
      <c r="AE678" s="34"/>
      <c r="AF678" s="34"/>
      <c r="AG678" s="34"/>
      <c r="AH678" s="34"/>
      <c r="AI678" s="34"/>
      <c r="AJ678" s="34"/>
      <c r="AK678" s="34"/>
      <c r="AL678" s="34"/>
    </row>
    <row r="679" spans="12:38">
      <c r="L679" s="34"/>
      <c r="M679" s="34"/>
      <c r="N679" s="34"/>
      <c r="O679" s="34"/>
      <c r="P679" s="34"/>
      <c r="Q679" s="34"/>
      <c r="R679" s="34"/>
      <c r="S679" s="34"/>
      <c r="T679" s="34"/>
      <c r="U679" s="34"/>
      <c r="V679" s="34"/>
      <c r="AB679" s="34"/>
      <c r="AC679" s="34"/>
      <c r="AD679" s="34"/>
      <c r="AE679" s="34"/>
      <c r="AF679" s="34"/>
      <c r="AG679" s="34"/>
      <c r="AH679" s="34"/>
      <c r="AI679" s="34"/>
      <c r="AJ679" s="34"/>
      <c r="AK679" s="34"/>
      <c r="AL679" s="34"/>
    </row>
    <row r="680" spans="12:38">
      <c r="L680" s="34"/>
      <c r="M680" s="34"/>
      <c r="N680" s="34"/>
      <c r="O680" s="34"/>
      <c r="P680" s="34"/>
      <c r="Q680" s="34"/>
      <c r="R680" s="34"/>
      <c r="S680" s="34"/>
      <c r="T680" s="34"/>
      <c r="U680" s="34"/>
      <c r="V680" s="34"/>
      <c r="AB680" s="34"/>
      <c r="AC680" s="34"/>
      <c r="AD680" s="34"/>
      <c r="AE680" s="34"/>
      <c r="AF680" s="34"/>
      <c r="AG680" s="34"/>
      <c r="AH680" s="34"/>
      <c r="AI680" s="34"/>
      <c r="AJ680" s="34"/>
      <c r="AK680" s="34"/>
      <c r="AL680" s="34"/>
    </row>
    <row r="681" spans="12:38">
      <c r="L681" s="34"/>
      <c r="M681" s="34"/>
      <c r="N681" s="34"/>
      <c r="O681" s="34"/>
      <c r="P681" s="34"/>
      <c r="Q681" s="34"/>
      <c r="R681" s="34"/>
      <c r="S681" s="34"/>
      <c r="T681" s="34"/>
      <c r="U681" s="34"/>
      <c r="V681" s="34"/>
      <c r="AB681" s="34"/>
      <c r="AC681" s="34"/>
      <c r="AD681" s="34"/>
      <c r="AE681" s="34"/>
      <c r="AF681" s="34"/>
      <c r="AG681" s="34"/>
      <c r="AH681" s="34"/>
      <c r="AI681" s="34"/>
      <c r="AJ681" s="34"/>
      <c r="AK681" s="34"/>
      <c r="AL681" s="34"/>
    </row>
    <row r="682" spans="12:38">
      <c r="L682" s="34"/>
      <c r="M682" s="34"/>
      <c r="N682" s="34"/>
      <c r="O682" s="34"/>
      <c r="P682" s="34"/>
      <c r="Q682" s="34"/>
      <c r="R682" s="34"/>
      <c r="S682" s="34"/>
      <c r="T682" s="34"/>
      <c r="U682" s="34"/>
      <c r="V682" s="34"/>
      <c r="AB682" s="34"/>
      <c r="AC682" s="34"/>
      <c r="AD682" s="34"/>
      <c r="AE682" s="34"/>
      <c r="AF682" s="34"/>
      <c r="AG682" s="34"/>
      <c r="AH682" s="34"/>
      <c r="AI682" s="34"/>
      <c r="AJ682" s="34"/>
      <c r="AK682" s="34"/>
      <c r="AL682" s="34"/>
    </row>
    <row r="683" spans="12:38">
      <c r="L683" s="34"/>
      <c r="M683" s="34"/>
      <c r="N683" s="34"/>
      <c r="O683" s="34"/>
      <c r="P683" s="34"/>
      <c r="Q683" s="34"/>
      <c r="R683" s="34"/>
      <c r="S683" s="34"/>
      <c r="T683" s="34"/>
      <c r="U683" s="34"/>
      <c r="V683" s="34"/>
      <c r="AB683" s="34"/>
      <c r="AC683" s="34"/>
      <c r="AD683" s="34"/>
      <c r="AE683" s="34"/>
      <c r="AF683" s="34"/>
      <c r="AG683" s="34"/>
      <c r="AH683" s="34"/>
      <c r="AI683" s="34"/>
      <c r="AJ683" s="34"/>
      <c r="AK683" s="34"/>
      <c r="AL683" s="34"/>
    </row>
    <row r="684" spans="12:38">
      <c r="L684" s="34"/>
      <c r="M684" s="34"/>
      <c r="N684" s="34"/>
      <c r="O684" s="34"/>
      <c r="P684" s="34"/>
      <c r="Q684" s="34"/>
      <c r="R684" s="34"/>
      <c r="S684" s="34"/>
      <c r="T684" s="34"/>
      <c r="U684" s="34"/>
      <c r="V684" s="34"/>
      <c r="AB684" s="34"/>
      <c r="AC684" s="34"/>
      <c r="AD684" s="34"/>
      <c r="AE684" s="34"/>
      <c r="AF684" s="34"/>
      <c r="AG684" s="34"/>
      <c r="AH684" s="34"/>
      <c r="AI684" s="34"/>
      <c r="AJ684" s="34"/>
      <c r="AK684" s="34"/>
      <c r="AL684" s="34"/>
    </row>
    <row r="685" spans="12:38">
      <c r="L685" s="34"/>
      <c r="M685" s="34"/>
      <c r="N685" s="34"/>
      <c r="O685" s="34"/>
      <c r="P685" s="34"/>
      <c r="Q685" s="34"/>
      <c r="R685" s="34"/>
      <c r="S685" s="34"/>
      <c r="T685" s="34"/>
      <c r="U685" s="34"/>
      <c r="V685" s="34"/>
      <c r="AB685" s="34"/>
      <c r="AC685" s="34"/>
      <c r="AD685" s="34"/>
      <c r="AE685" s="34"/>
      <c r="AF685" s="34"/>
      <c r="AG685" s="34"/>
      <c r="AH685" s="34"/>
      <c r="AI685" s="34"/>
      <c r="AJ685" s="34"/>
      <c r="AK685" s="34"/>
      <c r="AL685" s="34"/>
    </row>
    <row r="686" spans="12:38">
      <c r="L686" s="34"/>
      <c r="M686" s="34"/>
      <c r="N686" s="34"/>
      <c r="O686" s="34"/>
      <c r="P686" s="34"/>
      <c r="Q686" s="34"/>
      <c r="R686" s="34"/>
      <c r="S686" s="34"/>
      <c r="T686" s="34"/>
      <c r="U686" s="34"/>
      <c r="V686" s="34"/>
      <c r="AB686" s="34"/>
      <c r="AC686" s="34"/>
      <c r="AD686" s="34"/>
      <c r="AE686" s="34"/>
      <c r="AF686" s="34"/>
      <c r="AG686" s="34"/>
      <c r="AH686" s="34"/>
      <c r="AI686" s="34"/>
      <c r="AJ686" s="34"/>
      <c r="AK686" s="34"/>
      <c r="AL686" s="34"/>
    </row>
    <row r="687" spans="12:38">
      <c r="L687" s="34"/>
      <c r="M687" s="34"/>
      <c r="N687" s="34"/>
      <c r="O687" s="34"/>
      <c r="P687" s="34"/>
      <c r="Q687" s="34"/>
      <c r="R687" s="34"/>
      <c r="S687" s="34"/>
      <c r="T687" s="34"/>
      <c r="U687" s="34"/>
      <c r="V687" s="34"/>
      <c r="AB687" s="34"/>
      <c r="AC687" s="34"/>
      <c r="AD687" s="34"/>
      <c r="AE687" s="34"/>
      <c r="AF687" s="34"/>
      <c r="AG687" s="34"/>
      <c r="AH687" s="34"/>
      <c r="AI687" s="34"/>
      <c r="AJ687" s="34"/>
      <c r="AK687" s="34"/>
      <c r="AL687" s="34"/>
    </row>
    <row r="688" spans="12:38">
      <c r="L688" s="34"/>
      <c r="M688" s="34"/>
      <c r="N688" s="34"/>
      <c r="O688" s="34"/>
      <c r="P688" s="34"/>
      <c r="Q688" s="34"/>
      <c r="R688" s="34"/>
      <c r="S688" s="34"/>
      <c r="T688" s="34"/>
      <c r="U688" s="34"/>
      <c r="V688" s="34"/>
      <c r="AB688" s="34"/>
      <c r="AC688" s="34"/>
      <c r="AD688" s="34"/>
      <c r="AE688" s="34"/>
      <c r="AF688" s="34"/>
      <c r="AG688" s="34"/>
      <c r="AH688" s="34"/>
      <c r="AI688" s="34"/>
      <c r="AJ688" s="34"/>
      <c r="AK688" s="34"/>
      <c r="AL688" s="34"/>
    </row>
    <row r="689" spans="12:38">
      <c r="L689" s="34"/>
      <c r="M689" s="34"/>
      <c r="N689" s="34"/>
      <c r="O689" s="34"/>
      <c r="P689" s="34"/>
      <c r="Q689" s="34"/>
      <c r="R689" s="34"/>
      <c r="S689" s="34"/>
      <c r="T689" s="34"/>
      <c r="U689" s="34"/>
      <c r="V689" s="34"/>
      <c r="AB689" s="34"/>
      <c r="AC689" s="34"/>
      <c r="AD689" s="34"/>
      <c r="AE689" s="34"/>
      <c r="AF689" s="34"/>
      <c r="AG689" s="34"/>
      <c r="AH689" s="34"/>
      <c r="AI689" s="34"/>
      <c r="AJ689" s="34"/>
      <c r="AK689" s="34"/>
      <c r="AL689" s="34"/>
    </row>
    <row r="690" spans="12:38">
      <c r="L690" s="34"/>
      <c r="M690" s="34"/>
      <c r="N690" s="34"/>
      <c r="O690" s="34"/>
      <c r="P690" s="34"/>
      <c r="Q690" s="34"/>
      <c r="R690" s="34"/>
      <c r="S690" s="34"/>
      <c r="T690" s="34"/>
      <c r="U690" s="34"/>
      <c r="V690" s="34"/>
      <c r="AB690" s="34"/>
      <c r="AC690" s="34"/>
      <c r="AD690" s="34"/>
      <c r="AE690" s="34"/>
      <c r="AF690" s="34"/>
      <c r="AG690" s="34"/>
      <c r="AH690" s="34"/>
      <c r="AI690" s="34"/>
      <c r="AJ690" s="34"/>
      <c r="AK690" s="34"/>
      <c r="AL690" s="34"/>
    </row>
    <row r="691" spans="12:38">
      <c r="L691" s="34"/>
      <c r="M691" s="34"/>
      <c r="N691" s="34"/>
      <c r="O691" s="34"/>
      <c r="P691" s="34"/>
      <c r="Q691" s="34"/>
      <c r="R691" s="34"/>
      <c r="S691" s="34"/>
      <c r="T691" s="34"/>
      <c r="U691" s="34"/>
      <c r="V691" s="34"/>
      <c r="AB691" s="34"/>
      <c r="AC691" s="34"/>
      <c r="AD691" s="34"/>
      <c r="AE691" s="34"/>
      <c r="AF691" s="34"/>
      <c r="AG691" s="34"/>
      <c r="AH691" s="34"/>
      <c r="AI691" s="34"/>
      <c r="AJ691" s="34"/>
      <c r="AK691" s="34"/>
      <c r="AL691" s="34"/>
    </row>
    <row r="692" spans="12:38">
      <c r="L692" s="34"/>
      <c r="M692" s="34"/>
      <c r="N692" s="34"/>
      <c r="O692" s="34"/>
      <c r="P692" s="34"/>
      <c r="Q692" s="34"/>
      <c r="R692" s="34"/>
      <c r="S692" s="34"/>
      <c r="T692" s="34"/>
      <c r="U692" s="34"/>
      <c r="V692" s="34"/>
      <c r="AB692" s="34"/>
      <c r="AC692" s="34"/>
      <c r="AD692" s="34"/>
      <c r="AE692" s="34"/>
      <c r="AF692" s="34"/>
      <c r="AG692" s="34"/>
      <c r="AH692" s="34"/>
      <c r="AI692" s="34"/>
      <c r="AJ692" s="34"/>
      <c r="AK692" s="34"/>
      <c r="AL692" s="34"/>
    </row>
    <row r="693" spans="12:38">
      <c r="L693" s="34"/>
      <c r="M693" s="34"/>
      <c r="N693" s="34"/>
      <c r="O693" s="34"/>
      <c r="P693" s="34"/>
      <c r="Q693" s="34"/>
      <c r="R693" s="34"/>
      <c r="S693" s="34"/>
      <c r="T693" s="34"/>
      <c r="U693" s="34"/>
      <c r="V693" s="34"/>
      <c r="AB693" s="34"/>
      <c r="AC693" s="34"/>
      <c r="AD693" s="34"/>
      <c r="AE693" s="34"/>
      <c r="AF693" s="34"/>
      <c r="AG693" s="34"/>
      <c r="AH693" s="34"/>
      <c r="AI693" s="34"/>
      <c r="AJ693" s="34"/>
      <c r="AK693" s="34"/>
      <c r="AL693" s="34"/>
    </row>
    <row r="694" spans="12:38">
      <c r="L694" s="34"/>
      <c r="M694" s="34"/>
      <c r="N694" s="34"/>
      <c r="O694" s="34"/>
      <c r="P694" s="34"/>
      <c r="Q694" s="34"/>
      <c r="R694" s="34"/>
      <c r="S694" s="34"/>
      <c r="T694" s="34"/>
      <c r="U694" s="34"/>
      <c r="V694" s="34"/>
      <c r="AB694" s="34"/>
      <c r="AC694" s="34"/>
      <c r="AD694" s="34"/>
      <c r="AE694" s="34"/>
      <c r="AF694" s="34"/>
      <c r="AG694" s="34"/>
      <c r="AH694" s="34"/>
      <c r="AI694" s="34"/>
      <c r="AJ694" s="34"/>
      <c r="AK694" s="34"/>
      <c r="AL694" s="34"/>
    </row>
    <row r="695" spans="12:38">
      <c r="L695" s="34"/>
      <c r="M695" s="34"/>
      <c r="N695" s="34"/>
      <c r="O695" s="34"/>
      <c r="P695" s="34"/>
      <c r="Q695" s="34"/>
      <c r="R695" s="34"/>
      <c r="S695" s="34"/>
      <c r="T695" s="34"/>
      <c r="U695" s="34"/>
      <c r="V695" s="34"/>
      <c r="AB695" s="34"/>
      <c r="AC695" s="34"/>
      <c r="AD695" s="34"/>
      <c r="AE695" s="34"/>
      <c r="AF695" s="34"/>
      <c r="AG695" s="34"/>
      <c r="AH695" s="34"/>
      <c r="AI695" s="34"/>
      <c r="AJ695" s="34"/>
      <c r="AK695" s="34"/>
      <c r="AL695" s="34"/>
    </row>
    <row r="696" spans="12:38">
      <c r="L696" s="34"/>
      <c r="M696" s="34"/>
      <c r="N696" s="34"/>
      <c r="O696" s="34"/>
      <c r="P696" s="34"/>
      <c r="Q696" s="34"/>
      <c r="R696" s="34"/>
      <c r="S696" s="34"/>
      <c r="T696" s="34"/>
      <c r="U696" s="34"/>
      <c r="V696" s="34"/>
      <c r="AB696" s="34"/>
      <c r="AC696" s="34"/>
      <c r="AD696" s="34"/>
      <c r="AE696" s="34"/>
      <c r="AF696" s="34"/>
      <c r="AG696" s="34"/>
      <c r="AH696" s="34"/>
      <c r="AI696" s="34"/>
      <c r="AJ696" s="34"/>
      <c r="AK696" s="34"/>
      <c r="AL696" s="34"/>
    </row>
    <row r="697" spans="12:38">
      <c r="L697" s="34"/>
      <c r="M697" s="34"/>
      <c r="N697" s="34"/>
      <c r="O697" s="34"/>
      <c r="P697" s="34"/>
      <c r="Q697" s="34"/>
      <c r="R697" s="34"/>
      <c r="S697" s="34"/>
      <c r="T697" s="34"/>
      <c r="U697" s="34"/>
      <c r="V697" s="34"/>
      <c r="AB697" s="34"/>
      <c r="AC697" s="34"/>
      <c r="AD697" s="34"/>
      <c r="AE697" s="34"/>
      <c r="AF697" s="34"/>
      <c r="AG697" s="34"/>
      <c r="AH697" s="34"/>
      <c r="AI697" s="34"/>
      <c r="AJ697" s="34"/>
      <c r="AK697" s="34"/>
      <c r="AL697" s="34"/>
    </row>
    <row r="698" spans="12:38">
      <c r="L698" s="34"/>
      <c r="M698" s="34"/>
      <c r="N698" s="34"/>
      <c r="O698" s="34"/>
      <c r="P698" s="34"/>
      <c r="Q698" s="34"/>
      <c r="R698" s="34"/>
      <c r="S698" s="34"/>
      <c r="T698" s="34"/>
      <c r="U698" s="34"/>
      <c r="V698" s="34"/>
      <c r="AB698" s="34"/>
      <c r="AC698" s="34"/>
      <c r="AD698" s="34"/>
      <c r="AE698" s="34"/>
      <c r="AF698" s="34"/>
      <c r="AG698" s="34"/>
      <c r="AH698" s="34"/>
      <c r="AI698" s="34"/>
      <c r="AJ698" s="34"/>
      <c r="AK698" s="34"/>
      <c r="AL698" s="34"/>
    </row>
    <row r="699" spans="12:38">
      <c r="L699" s="34"/>
      <c r="M699" s="34"/>
      <c r="N699" s="34"/>
      <c r="O699" s="34"/>
      <c r="P699" s="34"/>
      <c r="Q699" s="34"/>
      <c r="R699" s="34"/>
      <c r="S699" s="34"/>
      <c r="T699" s="34"/>
      <c r="U699" s="34"/>
      <c r="V699" s="34"/>
      <c r="AB699" s="34"/>
      <c r="AC699" s="34"/>
      <c r="AD699" s="34"/>
      <c r="AE699" s="34"/>
      <c r="AF699" s="34"/>
      <c r="AG699" s="34"/>
      <c r="AH699" s="34"/>
      <c r="AI699" s="34"/>
      <c r="AJ699" s="34"/>
      <c r="AK699" s="34"/>
      <c r="AL699" s="34"/>
    </row>
    <row r="700" spans="12:38">
      <c r="L700" s="34"/>
      <c r="M700" s="34"/>
      <c r="N700" s="34"/>
      <c r="O700" s="34"/>
      <c r="P700" s="34"/>
      <c r="Q700" s="34"/>
      <c r="R700" s="34"/>
      <c r="S700" s="34"/>
      <c r="T700" s="34"/>
      <c r="U700" s="34"/>
      <c r="V700" s="34"/>
      <c r="AB700" s="34"/>
      <c r="AC700" s="34"/>
      <c r="AD700" s="34"/>
      <c r="AE700" s="34"/>
      <c r="AF700" s="34"/>
      <c r="AG700" s="34"/>
      <c r="AH700" s="34"/>
      <c r="AI700" s="34"/>
      <c r="AJ700" s="34"/>
      <c r="AK700" s="34"/>
      <c r="AL700" s="34"/>
    </row>
    <row r="701" spans="12:38">
      <c r="L701" s="34"/>
      <c r="M701" s="34"/>
      <c r="N701" s="34"/>
      <c r="O701" s="34"/>
      <c r="P701" s="34"/>
      <c r="Q701" s="34"/>
      <c r="R701" s="34"/>
      <c r="S701" s="34"/>
      <c r="T701" s="34"/>
      <c r="U701" s="34"/>
      <c r="V701" s="34"/>
      <c r="AB701" s="34"/>
      <c r="AC701" s="34"/>
      <c r="AD701" s="34"/>
      <c r="AE701" s="34"/>
      <c r="AF701" s="34"/>
      <c r="AG701" s="34"/>
      <c r="AH701" s="34"/>
      <c r="AI701" s="34"/>
      <c r="AJ701" s="34"/>
      <c r="AK701" s="34"/>
      <c r="AL701" s="34"/>
    </row>
    <row r="702" spans="12:38">
      <c r="L702" s="34"/>
      <c r="M702" s="34"/>
      <c r="N702" s="34"/>
      <c r="O702" s="34"/>
      <c r="P702" s="34"/>
      <c r="Q702" s="34"/>
      <c r="R702" s="34"/>
      <c r="S702" s="34"/>
      <c r="T702" s="34"/>
      <c r="U702" s="34"/>
      <c r="V702" s="34"/>
      <c r="AB702" s="34"/>
      <c r="AC702" s="34"/>
      <c r="AD702" s="34"/>
      <c r="AE702" s="34"/>
      <c r="AF702" s="34"/>
      <c r="AG702" s="34"/>
      <c r="AH702" s="34"/>
      <c r="AI702" s="34"/>
      <c r="AJ702" s="34"/>
      <c r="AK702" s="34"/>
      <c r="AL702" s="34"/>
    </row>
    <row r="703" spans="12:38">
      <c r="L703" s="34"/>
      <c r="M703" s="34"/>
      <c r="N703" s="34"/>
      <c r="O703" s="34"/>
      <c r="P703" s="34"/>
      <c r="Q703" s="34"/>
      <c r="R703" s="34"/>
      <c r="S703" s="34"/>
      <c r="T703" s="34"/>
      <c r="U703" s="34"/>
      <c r="V703" s="34"/>
      <c r="AB703" s="34"/>
      <c r="AC703" s="34"/>
      <c r="AD703" s="34"/>
      <c r="AE703" s="34"/>
      <c r="AF703" s="34"/>
      <c r="AG703" s="34"/>
      <c r="AH703" s="34"/>
      <c r="AI703" s="34"/>
      <c r="AJ703" s="34"/>
      <c r="AK703" s="34"/>
      <c r="AL703" s="34"/>
    </row>
    <row r="704" spans="12:38">
      <c r="L704" s="34"/>
      <c r="M704" s="34"/>
      <c r="N704" s="34"/>
      <c r="O704" s="34"/>
      <c r="P704" s="34"/>
      <c r="Q704" s="34"/>
      <c r="R704" s="34"/>
      <c r="S704" s="34"/>
      <c r="T704" s="34"/>
      <c r="U704" s="34"/>
      <c r="V704" s="34"/>
      <c r="AB704" s="34"/>
      <c r="AC704" s="34"/>
      <c r="AD704" s="34"/>
      <c r="AE704" s="34"/>
      <c r="AF704" s="34"/>
      <c r="AG704" s="34"/>
      <c r="AH704" s="34"/>
      <c r="AI704" s="34"/>
      <c r="AJ704" s="34"/>
      <c r="AK704" s="34"/>
      <c r="AL704" s="34"/>
    </row>
    <row r="705" spans="12:38">
      <c r="L705" s="34"/>
      <c r="M705" s="34"/>
      <c r="N705" s="34"/>
      <c r="O705" s="34"/>
      <c r="P705" s="34"/>
      <c r="Q705" s="34"/>
      <c r="R705" s="34"/>
      <c r="S705" s="34"/>
      <c r="T705" s="34"/>
      <c r="U705" s="34"/>
      <c r="V705" s="34"/>
      <c r="AB705" s="34"/>
      <c r="AC705" s="34"/>
      <c r="AD705" s="34"/>
      <c r="AE705" s="34"/>
      <c r="AF705" s="34"/>
      <c r="AG705" s="34"/>
      <c r="AH705" s="34"/>
      <c r="AI705" s="34"/>
      <c r="AJ705" s="34"/>
      <c r="AK705" s="34"/>
      <c r="AL705" s="34"/>
    </row>
    <row r="706" spans="12:38">
      <c r="L706" s="34"/>
      <c r="M706" s="34"/>
      <c r="N706" s="34"/>
      <c r="O706" s="34"/>
      <c r="P706" s="34"/>
      <c r="Q706" s="34"/>
      <c r="R706" s="34"/>
      <c r="S706" s="34"/>
      <c r="T706" s="34"/>
      <c r="U706" s="34"/>
      <c r="V706" s="34"/>
      <c r="AB706" s="34"/>
      <c r="AC706" s="34"/>
      <c r="AD706" s="34"/>
      <c r="AE706" s="34"/>
      <c r="AF706" s="34"/>
      <c r="AG706" s="34"/>
      <c r="AH706" s="34"/>
      <c r="AI706" s="34"/>
      <c r="AJ706" s="34"/>
      <c r="AK706" s="34"/>
      <c r="AL706" s="34"/>
    </row>
    <row r="707" spans="12:38">
      <c r="L707" s="34"/>
      <c r="M707" s="34"/>
      <c r="N707" s="34"/>
      <c r="O707" s="34"/>
      <c r="P707" s="34"/>
      <c r="Q707" s="34"/>
      <c r="R707" s="34"/>
      <c r="S707" s="34"/>
      <c r="T707" s="34"/>
      <c r="U707" s="34"/>
      <c r="V707" s="34"/>
      <c r="AB707" s="34"/>
      <c r="AC707" s="34"/>
      <c r="AD707" s="34"/>
      <c r="AE707" s="34"/>
      <c r="AF707" s="34"/>
      <c r="AG707" s="34"/>
      <c r="AH707" s="34"/>
      <c r="AI707" s="34"/>
      <c r="AJ707" s="34"/>
      <c r="AK707" s="34"/>
      <c r="AL707" s="34"/>
    </row>
    <row r="708" spans="12:38">
      <c r="L708" s="34"/>
      <c r="M708" s="34"/>
      <c r="N708" s="34"/>
      <c r="O708" s="34"/>
      <c r="P708" s="34"/>
      <c r="Q708" s="34"/>
      <c r="R708" s="34"/>
      <c r="S708" s="34"/>
      <c r="T708" s="34"/>
      <c r="U708" s="34"/>
      <c r="V708" s="34"/>
      <c r="AB708" s="34"/>
      <c r="AC708" s="34"/>
      <c r="AD708" s="34"/>
      <c r="AE708" s="34"/>
      <c r="AF708" s="34"/>
      <c r="AG708" s="34"/>
      <c r="AH708" s="34"/>
      <c r="AI708" s="34"/>
      <c r="AJ708" s="34"/>
      <c r="AK708" s="34"/>
      <c r="AL708" s="34"/>
    </row>
    <row r="709" spans="12:38">
      <c r="L709" s="34"/>
      <c r="M709" s="34"/>
      <c r="N709" s="34"/>
      <c r="O709" s="34"/>
      <c r="P709" s="34"/>
      <c r="Q709" s="34"/>
      <c r="R709" s="34"/>
      <c r="S709" s="34"/>
      <c r="T709" s="34"/>
      <c r="U709" s="34"/>
      <c r="V709" s="34"/>
      <c r="AB709" s="34"/>
      <c r="AC709" s="34"/>
      <c r="AD709" s="34"/>
      <c r="AE709" s="34"/>
      <c r="AF709" s="34"/>
      <c r="AG709" s="34"/>
      <c r="AH709" s="34"/>
      <c r="AI709" s="34"/>
      <c r="AJ709" s="34"/>
      <c r="AK709" s="34"/>
      <c r="AL709" s="34"/>
    </row>
    <row r="710" spans="12:38">
      <c r="L710" s="34"/>
      <c r="M710" s="34"/>
      <c r="N710" s="34"/>
      <c r="O710" s="34"/>
      <c r="P710" s="34"/>
      <c r="Q710" s="34"/>
      <c r="R710" s="34"/>
      <c r="S710" s="34"/>
      <c r="T710" s="34"/>
      <c r="U710" s="34"/>
      <c r="V710" s="34"/>
      <c r="AB710" s="34"/>
      <c r="AC710" s="34"/>
      <c r="AD710" s="34"/>
      <c r="AE710" s="34"/>
      <c r="AF710" s="34"/>
      <c r="AG710" s="34"/>
      <c r="AH710" s="34"/>
      <c r="AI710" s="34"/>
      <c r="AJ710" s="34"/>
      <c r="AK710" s="34"/>
      <c r="AL710" s="34"/>
    </row>
    <row r="711" spans="12:38">
      <c r="L711" s="34"/>
      <c r="M711" s="34"/>
      <c r="N711" s="34"/>
      <c r="O711" s="34"/>
      <c r="P711" s="34"/>
      <c r="Q711" s="34"/>
      <c r="R711" s="34"/>
      <c r="S711" s="34"/>
      <c r="T711" s="34"/>
      <c r="U711" s="34"/>
      <c r="V711" s="34"/>
      <c r="AB711" s="34"/>
      <c r="AC711" s="34"/>
      <c r="AD711" s="34"/>
      <c r="AE711" s="34"/>
      <c r="AF711" s="34"/>
      <c r="AG711" s="34"/>
      <c r="AH711" s="34"/>
      <c r="AI711" s="34"/>
      <c r="AJ711" s="34"/>
      <c r="AK711" s="34"/>
      <c r="AL711" s="34"/>
    </row>
    <row r="712" spans="12:38">
      <c r="L712" s="34"/>
      <c r="M712" s="34"/>
      <c r="N712" s="34"/>
      <c r="O712" s="34"/>
      <c r="P712" s="34"/>
      <c r="Q712" s="34"/>
      <c r="R712" s="34"/>
      <c r="S712" s="34"/>
      <c r="T712" s="34"/>
      <c r="U712" s="34"/>
      <c r="V712" s="34"/>
      <c r="AB712" s="34"/>
      <c r="AC712" s="34"/>
      <c r="AD712" s="34"/>
      <c r="AE712" s="34"/>
      <c r="AF712" s="34"/>
      <c r="AG712" s="34"/>
      <c r="AH712" s="34"/>
      <c r="AI712" s="34"/>
      <c r="AJ712" s="34"/>
      <c r="AK712" s="34"/>
      <c r="AL712" s="34"/>
    </row>
    <row r="713" spans="12:38">
      <c r="L713" s="34"/>
      <c r="M713" s="34"/>
      <c r="N713" s="34"/>
      <c r="O713" s="34"/>
      <c r="P713" s="34"/>
      <c r="Q713" s="34"/>
      <c r="R713" s="34"/>
      <c r="S713" s="34"/>
      <c r="T713" s="34"/>
      <c r="U713" s="34"/>
      <c r="V713" s="34"/>
      <c r="AB713" s="34"/>
      <c r="AC713" s="34"/>
      <c r="AD713" s="34"/>
      <c r="AE713" s="34"/>
      <c r="AF713" s="34"/>
      <c r="AG713" s="34"/>
      <c r="AH713" s="34"/>
      <c r="AI713" s="34"/>
      <c r="AJ713" s="34"/>
      <c r="AK713" s="34"/>
      <c r="AL713" s="34"/>
    </row>
    <row r="714" spans="12:38">
      <c r="L714" s="34"/>
      <c r="M714" s="34"/>
      <c r="N714" s="34"/>
      <c r="O714" s="34"/>
      <c r="P714" s="34"/>
      <c r="Q714" s="34"/>
      <c r="R714" s="34"/>
      <c r="S714" s="34"/>
      <c r="T714" s="34"/>
      <c r="U714" s="34"/>
      <c r="V714" s="34"/>
      <c r="AB714" s="34"/>
      <c r="AC714" s="34"/>
      <c r="AD714" s="34"/>
      <c r="AE714" s="34"/>
      <c r="AF714" s="34"/>
      <c r="AG714" s="34"/>
      <c r="AH714" s="34"/>
      <c r="AI714" s="34"/>
      <c r="AJ714" s="34"/>
      <c r="AK714" s="34"/>
      <c r="AL714" s="34"/>
    </row>
    <row r="715" spans="12:38">
      <c r="L715" s="34"/>
      <c r="M715" s="34"/>
      <c r="N715" s="34"/>
      <c r="O715" s="34"/>
      <c r="P715" s="34"/>
      <c r="Q715" s="34"/>
      <c r="R715" s="34"/>
      <c r="S715" s="34"/>
      <c r="T715" s="34"/>
      <c r="U715" s="34"/>
      <c r="V715" s="34"/>
      <c r="AB715" s="34"/>
      <c r="AC715" s="34"/>
      <c r="AD715" s="34"/>
      <c r="AE715" s="34"/>
      <c r="AF715" s="34"/>
      <c r="AG715" s="34"/>
      <c r="AH715" s="34"/>
      <c r="AI715" s="34"/>
      <c r="AJ715" s="34"/>
      <c r="AK715" s="34"/>
      <c r="AL715" s="34"/>
    </row>
    <row r="716" spans="12:38">
      <c r="L716" s="34"/>
      <c r="M716" s="34"/>
      <c r="N716" s="34"/>
      <c r="O716" s="34"/>
      <c r="P716" s="34"/>
      <c r="Q716" s="34"/>
      <c r="R716" s="34"/>
      <c r="S716" s="34"/>
      <c r="T716" s="34"/>
      <c r="U716" s="34"/>
      <c r="V716" s="34"/>
      <c r="AB716" s="34"/>
      <c r="AC716" s="34"/>
      <c r="AD716" s="34"/>
      <c r="AE716" s="34"/>
      <c r="AF716" s="34"/>
      <c r="AG716" s="34"/>
      <c r="AH716" s="34"/>
      <c r="AI716" s="34"/>
      <c r="AJ716" s="34"/>
      <c r="AK716" s="34"/>
      <c r="AL716" s="34"/>
    </row>
    <row r="717" spans="12:38">
      <c r="L717" s="34"/>
      <c r="M717" s="34"/>
      <c r="N717" s="34"/>
      <c r="O717" s="34"/>
      <c r="P717" s="34"/>
      <c r="Q717" s="34"/>
      <c r="R717" s="34"/>
      <c r="S717" s="34"/>
      <c r="T717" s="34"/>
      <c r="U717" s="34"/>
      <c r="V717" s="34"/>
      <c r="AB717" s="34"/>
      <c r="AC717" s="34"/>
      <c r="AD717" s="34"/>
      <c r="AE717" s="34"/>
      <c r="AF717" s="34"/>
      <c r="AG717" s="34"/>
      <c r="AH717" s="34"/>
      <c r="AI717" s="34"/>
      <c r="AJ717" s="34"/>
      <c r="AK717" s="34"/>
      <c r="AL717" s="34"/>
    </row>
    <row r="718" spans="12:38">
      <c r="L718" s="34"/>
      <c r="M718" s="34"/>
      <c r="N718" s="34"/>
      <c r="O718" s="34"/>
      <c r="P718" s="34"/>
      <c r="Q718" s="34"/>
      <c r="R718" s="34"/>
      <c r="S718" s="34"/>
      <c r="T718" s="34"/>
      <c r="U718" s="34"/>
      <c r="V718" s="34"/>
      <c r="AB718" s="34"/>
      <c r="AC718" s="34"/>
      <c r="AD718" s="34"/>
      <c r="AE718" s="34"/>
      <c r="AF718" s="34"/>
      <c r="AG718" s="34"/>
      <c r="AH718" s="34"/>
      <c r="AI718" s="34"/>
      <c r="AJ718" s="34"/>
      <c r="AK718" s="34"/>
      <c r="AL718" s="34"/>
    </row>
    <row r="719" spans="12:38">
      <c r="L719" s="34"/>
      <c r="M719" s="34"/>
      <c r="N719" s="34"/>
      <c r="O719" s="34"/>
      <c r="P719" s="34"/>
      <c r="Q719" s="34"/>
      <c r="R719" s="34"/>
      <c r="S719" s="34"/>
      <c r="T719" s="34"/>
      <c r="U719" s="34"/>
      <c r="V719" s="34"/>
      <c r="AB719" s="34"/>
      <c r="AC719" s="34"/>
      <c r="AD719" s="34"/>
      <c r="AE719" s="34"/>
      <c r="AF719" s="34"/>
      <c r="AG719" s="34"/>
      <c r="AH719" s="34"/>
      <c r="AI719" s="34"/>
      <c r="AJ719" s="34"/>
      <c r="AK719" s="34"/>
      <c r="AL719" s="34"/>
    </row>
    <row r="720" spans="12:38">
      <c r="L720" s="34"/>
      <c r="M720" s="34"/>
      <c r="N720" s="34"/>
      <c r="O720" s="34"/>
      <c r="P720" s="34"/>
      <c r="Q720" s="34"/>
      <c r="R720" s="34"/>
      <c r="S720" s="34"/>
      <c r="T720" s="34"/>
      <c r="U720" s="34"/>
      <c r="V720" s="34"/>
      <c r="AB720" s="34"/>
      <c r="AC720" s="34"/>
      <c r="AD720" s="34"/>
      <c r="AE720" s="34"/>
      <c r="AF720" s="34"/>
      <c r="AG720" s="34"/>
      <c r="AH720" s="34"/>
      <c r="AI720" s="34"/>
      <c r="AJ720" s="34"/>
      <c r="AK720" s="34"/>
      <c r="AL720" s="34"/>
    </row>
    <row r="721" spans="12:38">
      <c r="L721" s="34"/>
      <c r="M721" s="34"/>
      <c r="N721" s="34"/>
      <c r="O721" s="34"/>
      <c r="P721" s="34"/>
      <c r="Q721" s="34"/>
      <c r="R721" s="34"/>
      <c r="S721" s="34"/>
      <c r="T721" s="34"/>
      <c r="U721" s="34"/>
      <c r="V721" s="34"/>
      <c r="AB721" s="34"/>
      <c r="AC721" s="34"/>
      <c r="AD721" s="34"/>
      <c r="AE721" s="34"/>
      <c r="AF721" s="34"/>
      <c r="AG721" s="34"/>
      <c r="AH721" s="34"/>
      <c r="AI721" s="34"/>
      <c r="AJ721" s="34"/>
      <c r="AK721" s="34"/>
      <c r="AL721" s="34"/>
    </row>
    <row r="722" spans="12:38">
      <c r="L722" s="34"/>
      <c r="M722" s="34"/>
      <c r="N722" s="34"/>
      <c r="O722" s="34"/>
      <c r="P722" s="34"/>
      <c r="Q722" s="34"/>
      <c r="R722" s="34"/>
      <c r="S722" s="34"/>
      <c r="T722" s="34"/>
      <c r="U722" s="34"/>
      <c r="V722" s="34"/>
      <c r="AB722" s="34"/>
      <c r="AC722" s="34"/>
      <c r="AD722" s="34"/>
      <c r="AE722" s="34"/>
      <c r="AF722" s="34"/>
      <c r="AG722" s="34"/>
      <c r="AH722" s="34"/>
      <c r="AI722" s="34"/>
      <c r="AJ722" s="34"/>
      <c r="AK722" s="34"/>
      <c r="AL722" s="34"/>
    </row>
    <row r="723" spans="12:38">
      <c r="L723" s="34"/>
      <c r="M723" s="34"/>
      <c r="N723" s="34"/>
      <c r="O723" s="34"/>
      <c r="P723" s="34"/>
      <c r="Q723" s="34"/>
      <c r="R723" s="34"/>
      <c r="S723" s="34"/>
      <c r="T723" s="34"/>
      <c r="U723" s="34"/>
      <c r="V723" s="34"/>
      <c r="AB723" s="34"/>
      <c r="AC723" s="34"/>
      <c r="AD723" s="34"/>
      <c r="AE723" s="34"/>
      <c r="AF723" s="34"/>
      <c r="AG723" s="34"/>
      <c r="AH723" s="34"/>
      <c r="AI723" s="34"/>
      <c r="AJ723" s="34"/>
      <c r="AK723" s="34"/>
      <c r="AL723" s="34"/>
    </row>
    <row r="724" spans="12:38">
      <c r="L724" s="34"/>
      <c r="M724" s="34"/>
      <c r="N724" s="34"/>
      <c r="O724" s="34"/>
      <c r="P724" s="34"/>
      <c r="Q724" s="34"/>
      <c r="R724" s="34"/>
      <c r="S724" s="34"/>
      <c r="T724" s="34"/>
      <c r="U724" s="34"/>
      <c r="V724" s="34"/>
      <c r="AB724" s="34"/>
      <c r="AC724" s="34"/>
      <c r="AD724" s="34"/>
      <c r="AE724" s="34"/>
      <c r="AF724" s="34"/>
      <c r="AG724" s="34"/>
      <c r="AH724" s="34"/>
      <c r="AI724" s="34"/>
      <c r="AJ724" s="34"/>
      <c r="AK724" s="34"/>
      <c r="AL724" s="34"/>
    </row>
    <row r="725" spans="12:38">
      <c r="L725" s="34"/>
      <c r="M725" s="34"/>
      <c r="N725" s="34"/>
      <c r="O725" s="34"/>
      <c r="P725" s="34"/>
      <c r="Q725" s="34"/>
      <c r="R725" s="34"/>
      <c r="S725" s="34"/>
      <c r="T725" s="34"/>
      <c r="U725" s="34"/>
      <c r="V725" s="34"/>
      <c r="AB725" s="34"/>
      <c r="AC725" s="34"/>
      <c r="AD725" s="34"/>
      <c r="AE725" s="34"/>
      <c r="AF725" s="34"/>
      <c r="AG725" s="34"/>
      <c r="AH725" s="34"/>
      <c r="AI725" s="34"/>
      <c r="AJ725" s="34"/>
      <c r="AK725" s="34"/>
      <c r="AL725" s="34"/>
    </row>
    <row r="726" spans="12:38">
      <c r="L726" s="34"/>
      <c r="M726" s="34"/>
      <c r="N726" s="34"/>
      <c r="O726" s="34"/>
      <c r="P726" s="34"/>
      <c r="Q726" s="34"/>
      <c r="R726" s="34"/>
      <c r="S726" s="34"/>
      <c r="T726" s="34"/>
      <c r="U726" s="34"/>
      <c r="V726" s="34"/>
      <c r="AB726" s="34"/>
      <c r="AC726" s="34"/>
      <c r="AD726" s="34"/>
      <c r="AE726" s="34"/>
      <c r="AF726" s="34"/>
      <c r="AG726" s="34"/>
      <c r="AH726" s="34"/>
      <c r="AI726" s="34"/>
      <c r="AJ726" s="34"/>
      <c r="AK726" s="34"/>
      <c r="AL726" s="34"/>
    </row>
    <row r="727" spans="12:38">
      <c r="L727" s="34"/>
      <c r="M727" s="34"/>
      <c r="N727" s="34"/>
      <c r="O727" s="34"/>
      <c r="P727" s="34"/>
      <c r="Q727" s="34"/>
      <c r="R727" s="34"/>
      <c r="S727" s="34"/>
      <c r="T727" s="34"/>
      <c r="U727" s="34"/>
      <c r="V727" s="34"/>
      <c r="AB727" s="34"/>
      <c r="AC727" s="34"/>
      <c r="AD727" s="34"/>
      <c r="AE727" s="34"/>
      <c r="AF727" s="34"/>
      <c r="AG727" s="34"/>
      <c r="AH727" s="34"/>
      <c r="AI727" s="34"/>
      <c r="AJ727" s="34"/>
      <c r="AK727" s="34"/>
      <c r="AL727" s="34"/>
    </row>
    <row r="728" spans="12:38">
      <c r="L728" s="34"/>
      <c r="M728" s="34"/>
      <c r="N728" s="34"/>
      <c r="O728" s="34"/>
      <c r="P728" s="34"/>
      <c r="Q728" s="34"/>
      <c r="R728" s="34"/>
      <c r="S728" s="34"/>
      <c r="T728" s="34"/>
      <c r="U728" s="34"/>
      <c r="V728" s="34"/>
      <c r="AB728" s="34"/>
      <c r="AC728" s="34"/>
      <c r="AD728" s="34"/>
      <c r="AE728" s="34"/>
      <c r="AF728" s="34"/>
      <c r="AG728" s="34"/>
      <c r="AH728" s="34"/>
      <c r="AI728" s="34"/>
      <c r="AJ728" s="34"/>
      <c r="AK728" s="34"/>
      <c r="AL728" s="34"/>
    </row>
    <row r="729" spans="12:38">
      <c r="L729" s="34"/>
      <c r="M729" s="34"/>
      <c r="N729" s="34"/>
      <c r="O729" s="34"/>
      <c r="P729" s="34"/>
      <c r="Q729" s="34"/>
      <c r="R729" s="34"/>
      <c r="S729" s="34"/>
      <c r="T729" s="34"/>
      <c r="U729" s="34"/>
      <c r="V729" s="34"/>
      <c r="AB729" s="34"/>
      <c r="AC729" s="34"/>
      <c r="AD729" s="34"/>
      <c r="AE729" s="34"/>
      <c r="AF729" s="34"/>
      <c r="AG729" s="34"/>
      <c r="AH729" s="34"/>
      <c r="AI729" s="34"/>
      <c r="AJ729" s="34"/>
      <c r="AK729" s="34"/>
      <c r="AL729" s="34"/>
    </row>
    <row r="730" spans="12:38">
      <c r="L730" s="34"/>
      <c r="M730" s="34"/>
      <c r="N730" s="34"/>
      <c r="O730" s="34"/>
      <c r="P730" s="34"/>
      <c r="Q730" s="34"/>
      <c r="R730" s="34"/>
      <c r="S730" s="34"/>
      <c r="T730" s="34"/>
      <c r="U730" s="34"/>
      <c r="V730" s="34"/>
      <c r="AB730" s="34"/>
      <c r="AC730" s="34"/>
      <c r="AD730" s="34"/>
      <c r="AE730" s="34"/>
      <c r="AF730" s="34"/>
      <c r="AG730" s="34"/>
      <c r="AH730" s="34"/>
      <c r="AI730" s="34"/>
      <c r="AJ730" s="34"/>
      <c r="AK730" s="34"/>
      <c r="AL730" s="34"/>
    </row>
    <row r="731" spans="12:38">
      <c r="L731" s="34"/>
      <c r="M731" s="34"/>
      <c r="N731" s="34"/>
      <c r="O731" s="34"/>
      <c r="P731" s="34"/>
      <c r="Q731" s="34"/>
      <c r="R731" s="34"/>
      <c r="S731" s="34"/>
      <c r="T731" s="34"/>
      <c r="U731" s="34"/>
      <c r="V731" s="34"/>
      <c r="AB731" s="34"/>
      <c r="AC731" s="34"/>
      <c r="AD731" s="34"/>
      <c r="AE731" s="34"/>
      <c r="AF731" s="34"/>
      <c r="AG731" s="34"/>
      <c r="AH731" s="34"/>
      <c r="AI731" s="34"/>
      <c r="AJ731" s="34"/>
      <c r="AK731" s="34"/>
      <c r="AL731" s="34"/>
    </row>
    <row r="732" spans="12:38">
      <c r="L732" s="34"/>
      <c r="M732" s="34"/>
      <c r="N732" s="34"/>
      <c r="O732" s="34"/>
      <c r="P732" s="34"/>
      <c r="Q732" s="34"/>
      <c r="R732" s="34"/>
      <c r="S732" s="34"/>
      <c r="T732" s="34"/>
      <c r="U732" s="34"/>
      <c r="V732" s="34"/>
      <c r="AB732" s="34"/>
      <c r="AC732" s="34"/>
      <c r="AD732" s="34"/>
      <c r="AE732" s="34"/>
      <c r="AF732" s="34"/>
      <c r="AG732" s="34"/>
      <c r="AH732" s="34"/>
      <c r="AI732" s="34"/>
      <c r="AJ732" s="34"/>
      <c r="AK732" s="34"/>
      <c r="AL732" s="34"/>
    </row>
    <row r="733" spans="12:38">
      <c r="L733" s="34"/>
      <c r="M733" s="34"/>
      <c r="N733" s="34"/>
      <c r="O733" s="34"/>
      <c r="P733" s="34"/>
      <c r="Q733" s="34"/>
      <c r="R733" s="34"/>
      <c r="S733" s="34"/>
      <c r="T733" s="34"/>
      <c r="U733" s="34"/>
      <c r="V733" s="34"/>
      <c r="AB733" s="34"/>
      <c r="AC733" s="34"/>
      <c r="AD733" s="34"/>
      <c r="AE733" s="34"/>
      <c r="AF733" s="34"/>
      <c r="AG733" s="34"/>
      <c r="AH733" s="34"/>
      <c r="AI733" s="34"/>
      <c r="AJ733" s="34"/>
      <c r="AK733" s="34"/>
      <c r="AL733" s="34"/>
    </row>
    <row r="734" spans="12:38">
      <c r="L734" s="34"/>
      <c r="M734" s="34"/>
      <c r="N734" s="34"/>
      <c r="O734" s="34"/>
      <c r="P734" s="34"/>
      <c r="Q734" s="34"/>
      <c r="R734" s="34"/>
      <c r="S734" s="34"/>
      <c r="T734" s="34"/>
      <c r="U734" s="34"/>
      <c r="V734" s="34"/>
      <c r="AB734" s="34"/>
      <c r="AC734" s="34"/>
      <c r="AD734" s="34"/>
      <c r="AE734" s="34"/>
      <c r="AF734" s="34"/>
      <c r="AG734" s="34"/>
      <c r="AH734" s="34"/>
      <c r="AI734" s="34"/>
      <c r="AJ734" s="34"/>
      <c r="AK734" s="34"/>
      <c r="AL734" s="34"/>
    </row>
    <row r="735" spans="12:38">
      <c r="L735" s="34"/>
      <c r="M735" s="34"/>
      <c r="N735" s="34"/>
      <c r="O735" s="34"/>
      <c r="P735" s="34"/>
      <c r="Q735" s="34"/>
      <c r="R735" s="34"/>
      <c r="S735" s="34"/>
      <c r="T735" s="34"/>
      <c r="U735" s="34"/>
      <c r="V735" s="34"/>
      <c r="AB735" s="34"/>
      <c r="AC735" s="34"/>
      <c r="AD735" s="34"/>
      <c r="AE735" s="34"/>
      <c r="AF735" s="34"/>
      <c r="AG735" s="34"/>
      <c r="AH735" s="34"/>
      <c r="AI735" s="34"/>
      <c r="AJ735" s="34"/>
      <c r="AK735" s="34"/>
      <c r="AL735" s="34"/>
    </row>
    <row r="736" spans="12:38">
      <c r="L736" s="34"/>
      <c r="M736" s="34"/>
      <c r="N736" s="34"/>
      <c r="O736" s="34"/>
      <c r="P736" s="34"/>
      <c r="Q736" s="34"/>
      <c r="R736" s="34"/>
      <c r="S736" s="34"/>
      <c r="T736" s="34"/>
      <c r="U736" s="34"/>
      <c r="V736" s="34"/>
      <c r="AB736" s="34"/>
      <c r="AC736" s="34"/>
      <c r="AD736" s="34"/>
      <c r="AE736" s="34"/>
      <c r="AF736" s="34"/>
      <c r="AG736" s="34"/>
      <c r="AH736" s="34"/>
      <c r="AI736" s="34"/>
      <c r="AJ736" s="34"/>
      <c r="AK736" s="34"/>
      <c r="AL736" s="34"/>
    </row>
    <row r="737" spans="12:38">
      <c r="L737" s="34"/>
      <c r="M737" s="34"/>
      <c r="N737" s="34"/>
      <c r="O737" s="34"/>
      <c r="P737" s="34"/>
      <c r="Q737" s="34"/>
      <c r="R737" s="34"/>
      <c r="S737" s="34"/>
      <c r="T737" s="34"/>
      <c r="U737" s="34"/>
      <c r="V737" s="34"/>
      <c r="AB737" s="34"/>
      <c r="AC737" s="34"/>
      <c r="AD737" s="34"/>
      <c r="AE737" s="34"/>
      <c r="AF737" s="34"/>
      <c r="AG737" s="34"/>
      <c r="AH737" s="34"/>
      <c r="AI737" s="34"/>
      <c r="AJ737" s="34"/>
      <c r="AK737" s="34"/>
      <c r="AL737" s="34"/>
    </row>
    <row r="738" spans="12:38">
      <c r="L738" s="34"/>
      <c r="M738" s="34"/>
      <c r="N738" s="34"/>
      <c r="O738" s="34"/>
      <c r="P738" s="34"/>
      <c r="Q738" s="34"/>
      <c r="R738" s="34"/>
      <c r="S738" s="34"/>
      <c r="T738" s="34"/>
      <c r="U738" s="34"/>
      <c r="V738" s="34"/>
      <c r="AB738" s="34"/>
      <c r="AC738" s="34"/>
      <c r="AD738" s="34"/>
      <c r="AE738" s="34"/>
      <c r="AF738" s="34"/>
      <c r="AG738" s="34"/>
      <c r="AH738" s="34"/>
      <c r="AI738" s="34"/>
      <c r="AJ738" s="34"/>
      <c r="AK738" s="34"/>
      <c r="AL738" s="34"/>
    </row>
    <row r="739" spans="12:38">
      <c r="L739" s="34"/>
      <c r="M739" s="34"/>
      <c r="N739" s="34"/>
      <c r="O739" s="34"/>
      <c r="P739" s="34"/>
      <c r="Q739" s="34"/>
      <c r="R739" s="34"/>
      <c r="S739" s="34"/>
      <c r="T739" s="34"/>
      <c r="U739" s="34"/>
      <c r="V739" s="34"/>
      <c r="AB739" s="34"/>
      <c r="AC739" s="34"/>
      <c r="AD739" s="34"/>
      <c r="AE739" s="34"/>
      <c r="AF739" s="34"/>
      <c r="AG739" s="34"/>
      <c r="AH739" s="34"/>
      <c r="AI739" s="34"/>
      <c r="AJ739" s="34"/>
      <c r="AK739" s="34"/>
      <c r="AL739" s="34"/>
    </row>
    <row r="740" spans="12:38">
      <c r="L740" s="34"/>
      <c r="M740" s="34"/>
      <c r="N740" s="34"/>
      <c r="O740" s="34"/>
      <c r="P740" s="34"/>
      <c r="Q740" s="34"/>
      <c r="R740" s="34"/>
      <c r="S740" s="34"/>
      <c r="T740" s="34"/>
      <c r="U740" s="34"/>
      <c r="V740" s="34"/>
      <c r="AB740" s="34"/>
      <c r="AC740" s="34"/>
      <c r="AD740" s="34"/>
      <c r="AE740" s="34"/>
      <c r="AF740" s="34"/>
      <c r="AG740" s="34"/>
      <c r="AH740" s="34"/>
      <c r="AI740" s="34"/>
      <c r="AJ740" s="34"/>
      <c r="AK740" s="34"/>
      <c r="AL740" s="34"/>
    </row>
    <row r="741" spans="12:38">
      <c r="L741" s="34"/>
      <c r="M741" s="34"/>
      <c r="N741" s="34"/>
      <c r="O741" s="34"/>
      <c r="P741" s="34"/>
      <c r="Q741" s="34"/>
      <c r="R741" s="34"/>
      <c r="S741" s="34"/>
      <c r="T741" s="34"/>
      <c r="U741" s="34"/>
      <c r="V741" s="34"/>
      <c r="AB741" s="34"/>
      <c r="AC741" s="34"/>
      <c r="AD741" s="34"/>
      <c r="AE741" s="34"/>
      <c r="AF741" s="34"/>
      <c r="AG741" s="34"/>
      <c r="AH741" s="34"/>
      <c r="AI741" s="34"/>
      <c r="AJ741" s="34"/>
      <c r="AK741" s="34"/>
      <c r="AL741" s="34"/>
    </row>
    <row r="742" spans="12:38">
      <c r="L742" s="34"/>
      <c r="M742" s="34"/>
      <c r="N742" s="34"/>
      <c r="O742" s="34"/>
      <c r="P742" s="34"/>
      <c r="Q742" s="34"/>
      <c r="R742" s="34"/>
      <c r="S742" s="34"/>
      <c r="T742" s="34"/>
      <c r="U742" s="34"/>
      <c r="V742" s="34"/>
      <c r="AB742" s="34"/>
      <c r="AC742" s="34"/>
      <c r="AD742" s="34"/>
      <c r="AE742" s="34"/>
      <c r="AF742" s="34"/>
      <c r="AG742" s="34"/>
      <c r="AH742" s="34"/>
      <c r="AI742" s="34"/>
      <c r="AJ742" s="34"/>
      <c r="AK742" s="34"/>
      <c r="AL742" s="34"/>
    </row>
    <row r="743" spans="12:38">
      <c r="L743" s="34"/>
      <c r="M743" s="34"/>
      <c r="N743" s="34"/>
      <c r="O743" s="34"/>
      <c r="P743" s="34"/>
      <c r="Q743" s="34"/>
      <c r="R743" s="34"/>
      <c r="S743" s="34"/>
      <c r="T743" s="34"/>
      <c r="U743" s="34"/>
      <c r="V743" s="34"/>
      <c r="AB743" s="34"/>
      <c r="AC743" s="34"/>
      <c r="AD743" s="34"/>
      <c r="AE743" s="34"/>
      <c r="AF743" s="34"/>
      <c r="AG743" s="34"/>
      <c r="AH743" s="34"/>
      <c r="AI743" s="34"/>
      <c r="AJ743" s="34"/>
      <c r="AK743" s="34"/>
      <c r="AL743" s="34"/>
    </row>
    <row r="744" spans="12:38">
      <c r="L744" s="34"/>
      <c r="M744" s="34"/>
      <c r="N744" s="34"/>
      <c r="O744" s="34"/>
      <c r="P744" s="34"/>
      <c r="Q744" s="34"/>
      <c r="R744" s="34"/>
      <c r="S744" s="34"/>
      <c r="T744" s="34"/>
      <c r="U744" s="34"/>
      <c r="V744" s="34"/>
      <c r="AB744" s="34"/>
      <c r="AC744" s="34"/>
      <c r="AD744" s="34"/>
      <c r="AE744" s="34"/>
      <c r="AF744" s="34"/>
      <c r="AG744" s="34"/>
      <c r="AH744" s="34"/>
      <c r="AI744" s="34"/>
      <c r="AJ744" s="34"/>
      <c r="AK744" s="34"/>
      <c r="AL744" s="34"/>
    </row>
    <row r="745" spans="12:38">
      <c r="L745" s="34"/>
      <c r="M745" s="34"/>
      <c r="N745" s="34"/>
      <c r="O745" s="34"/>
      <c r="P745" s="34"/>
      <c r="Q745" s="34"/>
      <c r="R745" s="34"/>
      <c r="S745" s="34"/>
      <c r="T745" s="34"/>
      <c r="U745" s="34"/>
      <c r="V745" s="34"/>
      <c r="AB745" s="34"/>
      <c r="AC745" s="34"/>
      <c r="AD745" s="34"/>
      <c r="AE745" s="34"/>
      <c r="AF745" s="34"/>
      <c r="AG745" s="34"/>
      <c r="AH745" s="34"/>
      <c r="AI745" s="34"/>
      <c r="AJ745" s="34"/>
      <c r="AK745" s="34"/>
      <c r="AL745" s="34"/>
    </row>
    <row r="746" spans="12:38">
      <c r="L746" s="34"/>
      <c r="M746" s="34"/>
      <c r="N746" s="34"/>
      <c r="O746" s="34"/>
      <c r="P746" s="34"/>
      <c r="Q746" s="34"/>
      <c r="R746" s="34"/>
      <c r="S746" s="34"/>
      <c r="T746" s="34"/>
      <c r="U746" s="34"/>
      <c r="V746" s="34"/>
      <c r="AB746" s="34"/>
      <c r="AC746" s="34"/>
      <c r="AD746" s="34"/>
      <c r="AE746" s="34"/>
      <c r="AF746" s="34"/>
      <c r="AG746" s="34"/>
      <c r="AH746" s="34"/>
      <c r="AI746" s="34"/>
      <c r="AJ746" s="34"/>
      <c r="AK746" s="34"/>
      <c r="AL746" s="34"/>
    </row>
    <row r="747" spans="12:38">
      <c r="L747" s="34"/>
      <c r="M747" s="34"/>
      <c r="N747" s="34"/>
      <c r="O747" s="34"/>
      <c r="P747" s="34"/>
      <c r="Q747" s="34"/>
      <c r="R747" s="34"/>
      <c r="S747" s="34"/>
      <c r="T747" s="34"/>
      <c r="U747" s="34"/>
      <c r="V747" s="34"/>
      <c r="AB747" s="34"/>
      <c r="AC747" s="34"/>
      <c r="AD747" s="34"/>
      <c r="AE747" s="34"/>
      <c r="AF747" s="34"/>
      <c r="AG747" s="34"/>
      <c r="AH747" s="34"/>
      <c r="AI747" s="34"/>
      <c r="AJ747" s="34"/>
      <c r="AK747" s="34"/>
      <c r="AL747" s="34"/>
    </row>
    <row r="748" spans="12:38">
      <c r="L748" s="34"/>
      <c r="M748" s="34"/>
      <c r="N748" s="34"/>
      <c r="O748" s="34"/>
      <c r="P748" s="34"/>
      <c r="Q748" s="34"/>
      <c r="R748" s="34"/>
      <c r="S748" s="34"/>
      <c r="T748" s="34"/>
      <c r="U748" s="34"/>
      <c r="V748" s="34"/>
      <c r="AB748" s="34"/>
      <c r="AC748" s="34"/>
      <c r="AD748" s="34"/>
      <c r="AE748" s="34"/>
      <c r="AF748" s="34"/>
      <c r="AG748" s="34"/>
      <c r="AH748" s="34"/>
      <c r="AI748" s="34"/>
      <c r="AJ748" s="34"/>
      <c r="AK748" s="34"/>
      <c r="AL748" s="34"/>
    </row>
    <row r="749" spans="12:38">
      <c r="L749" s="34"/>
      <c r="M749" s="34"/>
      <c r="N749" s="34"/>
      <c r="O749" s="34"/>
      <c r="P749" s="34"/>
      <c r="Q749" s="34"/>
      <c r="R749" s="34"/>
      <c r="S749" s="34"/>
      <c r="T749" s="34"/>
      <c r="U749" s="34"/>
      <c r="V749" s="34"/>
      <c r="AB749" s="34"/>
      <c r="AC749" s="34"/>
      <c r="AD749" s="34"/>
      <c r="AE749" s="34"/>
      <c r="AF749" s="34"/>
      <c r="AG749" s="34"/>
      <c r="AH749" s="34"/>
      <c r="AI749" s="34"/>
      <c r="AJ749" s="34"/>
      <c r="AK749" s="34"/>
      <c r="AL749" s="34"/>
    </row>
    <row r="750" spans="12:38">
      <c r="L750" s="34"/>
      <c r="M750" s="34"/>
      <c r="N750" s="34"/>
      <c r="O750" s="34"/>
      <c r="P750" s="34"/>
      <c r="Q750" s="34"/>
      <c r="R750" s="34"/>
      <c r="S750" s="34"/>
      <c r="T750" s="34"/>
      <c r="U750" s="34"/>
      <c r="V750" s="34"/>
      <c r="AB750" s="34"/>
      <c r="AC750" s="34"/>
      <c r="AD750" s="34"/>
      <c r="AE750" s="34"/>
      <c r="AF750" s="34"/>
      <c r="AG750" s="34"/>
      <c r="AH750" s="34"/>
      <c r="AI750" s="34"/>
      <c r="AJ750" s="34"/>
      <c r="AK750" s="34"/>
      <c r="AL750" s="34"/>
    </row>
    <row r="751" spans="12:38">
      <c r="L751" s="34"/>
      <c r="M751" s="34"/>
      <c r="N751" s="34"/>
      <c r="O751" s="34"/>
      <c r="P751" s="34"/>
      <c r="Q751" s="34"/>
      <c r="R751" s="34"/>
      <c r="S751" s="34"/>
      <c r="T751" s="34"/>
      <c r="U751" s="34"/>
      <c r="V751" s="34"/>
      <c r="AB751" s="34"/>
      <c r="AC751" s="34"/>
      <c r="AD751" s="34"/>
      <c r="AE751" s="34"/>
      <c r="AF751" s="34"/>
      <c r="AG751" s="34"/>
      <c r="AH751" s="34"/>
      <c r="AI751" s="34"/>
      <c r="AJ751" s="34"/>
      <c r="AK751" s="34"/>
      <c r="AL751" s="34"/>
    </row>
    <row r="752" spans="12:38">
      <c r="L752" s="34"/>
      <c r="M752" s="34"/>
      <c r="N752" s="34"/>
      <c r="O752" s="34"/>
      <c r="P752" s="34"/>
      <c r="Q752" s="34"/>
      <c r="R752" s="34"/>
      <c r="S752" s="34"/>
      <c r="T752" s="34"/>
      <c r="U752" s="34"/>
      <c r="V752" s="34"/>
      <c r="AB752" s="34"/>
      <c r="AC752" s="34"/>
      <c r="AD752" s="34"/>
      <c r="AE752" s="34"/>
      <c r="AF752" s="34"/>
      <c r="AG752" s="34"/>
      <c r="AH752" s="34"/>
      <c r="AI752" s="34"/>
      <c r="AJ752" s="34"/>
      <c r="AK752" s="34"/>
      <c r="AL752" s="34"/>
    </row>
    <row r="753" spans="12:38">
      <c r="L753" s="34"/>
      <c r="M753" s="34"/>
      <c r="N753" s="34"/>
      <c r="O753" s="34"/>
      <c r="P753" s="34"/>
      <c r="Q753" s="34"/>
      <c r="R753" s="34"/>
      <c r="S753" s="34"/>
      <c r="T753" s="34"/>
      <c r="U753" s="34"/>
      <c r="V753" s="34"/>
      <c r="AB753" s="34"/>
      <c r="AC753" s="34"/>
      <c r="AD753" s="34"/>
      <c r="AE753" s="34"/>
      <c r="AF753" s="34"/>
      <c r="AG753" s="34"/>
      <c r="AH753" s="34"/>
      <c r="AI753" s="34"/>
      <c r="AJ753" s="34"/>
      <c r="AK753" s="34"/>
      <c r="AL753" s="34"/>
    </row>
    <row r="754" spans="12:38">
      <c r="L754" s="34"/>
      <c r="M754" s="34"/>
      <c r="N754" s="34"/>
      <c r="O754" s="34"/>
      <c r="P754" s="34"/>
      <c r="Q754" s="34"/>
      <c r="R754" s="34"/>
      <c r="S754" s="34"/>
      <c r="T754" s="34"/>
      <c r="U754" s="34"/>
      <c r="V754" s="34"/>
      <c r="AB754" s="34"/>
      <c r="AC754" s="34"/>
      <c r="AD754" s="34"/>
      <c r="AE754" s="34"/>
      <c r="AF754" s="34"/>
      <c r="AG754" s="34"/>
      <c r="AH754" s="34"/>
      <c r="AI754" s="34"/>
      <c r="AJ754" s="34"/>
      <c r="AK754" s="34"/>
      <c r="AL754" s="34"/>
    </row>
    <row r="755" spans="12:38">
      <c r="L755" s="34"/>
      <c r="M755" s="34"/>
      <c r="N755" s="34"/>
      <c r="O755" s="34"/>
      <c r="P755" s="34"/>
      <c r="Q755" s="34"/>
      <c r="R755" s="34"/>
      <c r="S755" s="34"/>
      <c r="T755" s="34"/>
      <c r="U755" s="34"/>
      <c r="V755" s="34"/>
      <c r="AB755" s="34"/>
      <c r="AC755" s="34"/>
      <c r="AD755" s="34"/>
      <c r="AE755" s="34"/>
      <c r="AF755" s="34"/>
      <c r="AG755" s="34"/>
      <c r="AH755" s="34"/>
      <c r="AI755" s="34"/>
      <c r="AJ755" s="34"/>
      <c r="AK755" s="34"/>
      <c r="AL755" s="34"/>
    </row>
    <row r="756" spans="12:38">
      <c r="L756" s="34"/>
      <c r="M756" s="34"/>
      <c r="N756" s="34"/>
      <c r="O756" s="34"/>
      <c r="P756" s="34"/>
      <c r="Q756" s="34"/>
      <c r="R756" s="34"/>
      <c r="S756" s="34"/>
      <c r="T756" s="34"/>
      <c r="U756" s="34"/>
      <c r="V756" s="34"/>
      <c r="AB756" s="34"/>
      <c r="AC756" s="34"/>
      <c r="AD756" s="34"/>
      <c r="AE756" s="34"/>
      <c r="AF756" s="34"/>
      <c r="AG756" s="34"/>
      <c r="AH756" s="34"/>
      <c r="AI756" s="34"/>
      <c r="AJ756" s="34"/>
      <c r="AK756" s="34"/>
      <c r="AL756" s="34"/>
    </row>
    <row r="757" spans="12:38">
      <c r="L757" s="34"/>
      <c r="M757" s="34"/>
      <c r="N757" s="34"/>
      <c r="O757" s="34"/>
      <c r="P757" s="34"/>
      <c r="Q757" s="34"/>
      <c r="R757" s="34"/>
      <c r="S757" s="34"/>
      <c r="T757" s="34"/>
      <c r="U757" s="34"/>
      <c r="V757" s="34"/>
      <c r="AB757" s="34"/>
      <c r="AC757" s="34"/>
      <c r="AD757" s="34"/>
      <c r="AE757" s="34"/>
      <c r="AF757" s="34"/>
      <c r="AG757" s="34"/>
      <c r="AH757" s="34"/>
      <c r="AI757" s="34"/>
      <c r="AJ757" s="34"/>
      <c r="AK757" s="34"/>
      <c r="AL757" s="34"/>
    </row>
    <row r="758" spans="12:38">
      <c r="L758" s="34"/>
      <c r="M758" s="34"/>
      <c r="N758" s="34"/>
      <c r="O758" s="34"/>
      <c r="P758" s="34"/>
      <c r="Q758" s="34"/>
      <c r="R758" s="34"/>
      <c r="S758" s="34"/>
      <c r="T758" s="34"/>
      <c r="U758" s="34"/>
      <c r="V758" s="34"/>
      <c r="AB758" s="34"/>
      <c r="AC758" s="34"/>
      <c r="AD758" s="34"/>
      <c r="AE758" s="34"/>
      <c r="AF758" s="34"/>
      <c r="AG758" s="34"/>
      <c r="AH758" s="34"/>
      <c r="AI758" s="34"/>
      <c r="AJ758" s="34"/>
      <c r="AK758" s="34"/>
      <c r="AL758" s="34"/>
    </row>
    <row r="759" spans="12:38">
      <c r="L759" s="34"/>
      <c r="M759" s="34"/>
      <c r="N759" s="34"/>
      <c r="O759" s="34"/>
      <c r="P759" s="34"/>
      <c r="Q759" s="34"/>
      <c r="R759" s="34"/>
      <c r="S759" s="34"/>
      <c r="T759" s="34"/>
      <c r="U759" s="34"/>
      <c r="V759" s="34"/>
      <c r="AB759" s="34"/>
      <c r="AC759" s="34"/>
      <c r="AD759" s="34"/>
      <c r="AE759" s="34"/>
      <c r="AF759" s="34"/>
      <c r="AG759" s="34"/>
      <c r="AH759" s="34"/>
      <c r="AI759" s="34"/>
      <c r="AJ759" s="34"/>
      <c r="AK759" s="34"/>
      <c r="AL759" s="34"/>
    </row>
    <row r="760" spans="12:38">
      <c r="L760" s="34"/>
      <c r="M760" s="34"/>
      <c r="N760" s="34"/>
      <c r="O760" s="34"/>
      <c r="P760" s="34"/>
      <c r="Q760" s="34"/>
      <c r="R760" s="34"/>
      <c r="S760" s="34"/>
      <c r="T760" s="34"/>
      <c r="U760" s="34"/>
      <c r="V760" s="34"/>
      <c r="AB760" s="34"/>
      <c r="AC760" s="34"/>
      <c r="AD760" s="34"/>
      <c r="AE760" s="34"/>
      <c r="AF760" s="34"/>
      <c r="AG760" s="34"/>
      <c r="AH760" s="34"/>
      <c r="AI760" s="34"/>
      <c r="AJ760" s="34"/>
      <c r="AK760" s="34"/>
      <c r="AL760" s="34"/>
    </row>
    <row r="761" spans="12:38">
      <c r="L761" s="34"/>
      <c r="M761" s="34"/>
      <c r="N761" s="34"/>
      <c r="O761" s="34"/>
      <c r="P761" s="34"/>
      <c r="Q761" s="34"/>
      <c r="R761" s="34"/>
      <c r="S761" s="34"/>
      <c r="T761" s="34"/>
      <c r="U761" s="34"/>
      <c r="V761" s="34"/>
      <c r="AB761" s="34"/>
      <c r="AC761" s="34"/>
      <c r="AD761" s="34"/>
      <c r="AE761" s="34"/>
      <c r="AF761" s="34"/>
      <c r="AG761" s="34"/>
      <c r="AH761" s="34"/>
      <c r="AI761" s="34"/>
      <c r="AJ761" s="34"/>
      <c r="AK761" s="34"/>
      <c r="AL761" s="34"/>
    </row>
    <row r="762" spans="12:38">
      <c r="L762" s="34"/>
      <c r="M762" s="34"/>
      <c r="N762" s="34"/>
      <c r="O762" s="34"/>
      <c r="P762" s="34"/>
      <c r="Q762" s="34"/>
      <c r="R762" s="34"/>
      <c r="S762" s="34"/>
      <c r="T762" s="34"/>
      <c r="U762" s="34"/>
      <c r="V762" s="34"/>
      <c r="AB762" s="34"/>
      <c r="AC762" s="34"/>
      <c r="AD762" s="34"/>
      <c r="AE762" s="34"/>
      <c r="AF762" s="34"/>
      <c r="AG762" s="34"/>
      <c r="AH762" s="34"/>
      <c r="AI762" s="34"/>
      <c r="AJ762" s="34"/>
      <c r="AK762" s="34"/>
      <c r="AL762" s="34"/>
    </row>
    <row r="763" spans="12:38">
      <c r="L763" s="34"/>
      <c r="M763" s="34"/>
      <c r="N763" s="34"/>
      <c r="O763" s="34"/>
      <c r="P763" s="34"/>
      <c r="Q763" s="34"/>
      <c r="R763" s="34"/>
      <c r="S763" s="34"/>
      <c r="T763" s="34"/>
      <c r="U763" s="34"/>
      <c r="V763" s="34"/>
      <c r="AB763" s="34"/>
      <c r="AC763" s="34"/>
      <c r="AD763" s="34"/>
      <c r="AE763" s="34"/>
      <c r="AF763" s="34"/>
      <c r="AG763" s="34"/>
      <c r="AH763" s="34"/>
      <c r="AI763" s="34"/>
      <c r="AJ763" s="34"/>
      <c r="AK763" s="34"/>
      <c r="AL763" s="34"/>
    </row>
    <row r="764" spans="12:38">
      <c r="L764" s="34"/>
      <c r="M764" s="34"/>
      <c r="N764" s="34"/>
      <c r="O764" s="34"/>
      <c r="P764" s="34"/>
      <c r="Q764" s="34"/>
      <c r="R764" s="34"/>
      <c r="S764" s="34"/>
      <c r="T764" s="34"/>
      <c r="U764" s="34"/>
      <c r="V764" s="34"/>
      <c r="AB764" s="34"/>
      <c r="AC764" s="34"/>
      <c r="AD764" s="34"/>
      <c r="AE764" s="34"/>
      <c r="AF764" s="34"/>
      <c r="AG764" s="34"/>
      <c r="AH764" s="34"/>
      <c r="AI764" s="34"/>
      <c r="AJ764" s="34"/>
      <c r="AK764" s="34"/>
      <c r="AL764" s="34"/>
    </row>
    <row r="765" spans="12:38">
      <c r="L765" s="34"/>
      <c r="M765" s="34"/>
      <c r="N765" s="34"/>
      <c r="O765" s="34"/>
      <c r="P765" s="34"/>
      <c r="Q765" s="34"/>
      <c r="R765" s="34"/>
      <c r="S765" s="34"/>
      <c r="T765" s="34"/>
      <c r="U765" s="34"/>
      <c r="V765" s="34"/>
      <c r="AB765" s="34"/>
      <c r="AC765" s="34"/>
      <c r="AD765" s="34"/>
      <c r="AE765" s="34"/>
      <c r="AF765" s="34"/>
      <c r="AG765" s="34"/>
      <c r="AH765" s="34"/>
      <c r="AI765" s="34"/>
      <c r="AJ765" s="34"/>
      <c r="AK765" s="34"/>
      <c r="AL765" s="34"/>
    </row>
    <row r="766" spans="12:38">
      <c r="L766" s="34"/>
      <c r="M766" s="34"/>
      <c r="N766" s="34"/>
      <c r="O766" s="34"/>
      <c r="P766" s="34"/>
      <c r="Q766" s="34"/>
      <c r="R766" s="34"/>
      <c r="S766" s="34"/>
      <c r="T766" s="34"/>
      <c r="U766" s="34"/>
      <c r="V766" s="34"/>
      <c r="AB766" s="34"/>
      <c r="AC766" s="34"/>
      <c r="AD766" s="34"/>
      <c r="AE766" s="34"/>
      <c r="AF766" s="34"/>
      <c r="AG766" s="34"/>
      <c r="AH766" s="34"/>
      <c r="AI766" s="34"/>
      <c r="AJ766" s="34"/>
      <c r="AK766" s="34"/>
      <c r="AL766" s="34"/>
    </row>
    <row r="767" spans="12:38">
      <c r="L767" s="34"/>
      <c r="M767" s="34"/>
      <c r="N767" s="34"/>
      <c r="O767" s="34"/>
      <c r="P767" s="34"/>
      <c r="Q767" s="34"/>
      <c r="R767" s="34"/>
      <c r="S767" s="34"/>
      <c r="T767" s="34"/>
      <c r="U767" s="34"/>
      <c r="V767" s="34"/>
      <c r="AB767" s="34"/>
      <c r="AC767" s="34"/>
      <c r="AD767" s="34"/>
      <c r="AE767" s="34"/>
      <c r="AF767" s="34"/>
      <c r="AG767" s="34"/>
      <c r="AH767" s="34"/>
      <c r="AI767" s="34"/>
      <c r="AJ767" s="34"/>
      <c r="AK767" s="34"/>
      <c r="AL767" s="34"/>
    </row>
    <row r="768" spans="12:38">
      <c r="L768" s="34"/>
      <c r="M768" s="34"/>
      <c r="N768" s="34"/>
      <c r="O768" s="34"/>
      <c r="P768" s="34"/>
      <c r="Q768" s="34"/>
      <c r="R768" s="34"/>
      <c r="S768" s="34"/>
      <c r="T768" s="34"/>
      <c r="U768" s="34"/>
      <c r="V768" s="34"/>
      <c r="AB768" s="34"/>
      <c r="AC768" s="34"/>
      <c r="AD768" s="34"/>
      <c r="AE768" s="34"/>
      <c r="AF768" s="34"/>
      <c r="AG768" s="34"/>
      <c r="AH768" s="34"/>
      <c r="AI768" s="34"/>
      <c r="AJ768" s="34"/>
      <c r="AK768" s="34"/>
      <c r="AL768" s="34"/>
    </row>
    <row r="769" spans="12:38">
      <c r="L769" s="34"/>
      <c r="M769" s="34"/>
      <c r="N769" s="34"/>
      <c r="O769" s="34"/>
      <c r="P769" s="34"/>
      <c r="Q769" s="34"/>
      <c r="R769" s="34"/>
      <c r="S769" s="34"/>
      <c r="T769" s="34"/>
      <c r="U769" s="34"/>
      <c r="V769" s="34"/>
      <c r="AB769" s="34"/>
      <c r="AC769" s="34"/>
      <c r="AD769" s="34"/>
      <c r="AE769" s="34"/>
      <c r="AF769" s="34"/>
      <c r="AG769" s="34"/>
      <c r="AH769" s="34"/>
      <c r="AI769" s="34"/>
      <c r="AJ769" s="34"/>
      <c r="AK769" s="34"/>
      <c r="AL769" s="34"/>
    </row>
    <row r="770" spans="12:38">
      <c r="L770" s="34"/>
      <c r="M770" s="34"/>
      <c r="N770" s="34"/>
      <c r="O770" s="34"/>
      <c r="P770" s="34"/>
      <c r="Q770" s="34"/>
      <c r="R770" s="34"/>
      <c r="S770" s="34"/>
      <c r="T770" s="34"/>
      <c r="U770" s="34"/>
      <c r="V770" s="34"/>
      <c r="AB770" s="34"/>
      <c r="AC770" s="34"/>
      <c r="AD770" s="34"/>
      <c r="AE770" s="34"/>
      <c r="AF770" s="34"/>
      <c r="AG770" s="34"/>
      <c r="AH770" s="34"/>
      <c r="AI770" s="34"/>
      <c r="AJ770" s="34"/>
      <c r="AK770" s="34"/>
      <c r="AL770" s="34"/>
    </row>
    <row r="771" spans="12:38">
      <c r="L771" s="34"/>
      <c r="M771" s="34"/>
      <c r="N771" s="34"/>
      <c r="O771" s="34"/>
      <c r="P771" s="34"/>
      <c r="Q771" s="34"/>
      <c r="R771" s="34"/>
      <c r="S771" s="34"/>
      <c r="T771" s="34"/>
      <c r="U771" s="34"/>
      <c r="V771" s="34"/>
      <c r="AB771" s="34"/>
      <c r="AC771" s="34"/>
      <c r="AD771" s="34"/>
      <c r="AE771" s="34"/>
      <c r="AF771" s="34"/>
      <c r="AG771" s="34"/>
      <c r="AH771" s="34"/>
      <c r="AI771" s="34"/>
      <c r="AJ771" s="34"/>
      <c r="AK771" s="34"/>
      <c r="AL771" s="34"/>
    </row>
    <row r="772" spans="12:38">
      <c r="L772" s="34"/>
      <c r="M772" s="34"/>
      <c r="N772" s="34"/>
      <c r="O772" s="34"/>
      <c r="P772" s="34"/>
      <c r="Q772" s="34"/>
      <c r="R772" s="34"/>
      <c r="S772" s="34"/>
      <c r="T772" s="34"/>
      <c r="U772" s="34"/>
      <c r="V772" s="34"/>
      <c r="AB772" s="34"/>
      <c r="AC772" s="34"/>
      <c r="AD772" s="34"/>
      <c r="AE772" s="34"/>
      <c r="AF772" s="34"/>
      <c r="AG772" s="34"/>
      <c r="AH772" s="34"/>
      <c r="AI772" s="34"/>
      <c r="AJ772" s="34"/>
      <c r="AK772" s="34"/>
      <c r="AL772" s="34"/>
    </row>
    <row r="773" spans="12:38">
      <c r="L773" s="34"/>
      <c r="M773" s="34"/>
      <c r="N773" s="34"/>
      <c r="O773" s="34"/>
      <c r="P773" s="34"/>
      <c r="Q773" s="34"/>
      <c r="R773" s="34"/>
      <c r="S773" s="34"/>
      <c r="T773" s="34"/>
      <c r="U773" s="34"/>
      <c r="V773" s="34"/>
      <c r="AB773" s="34"/>
      <c r="AC773" s="34"/>
      <c r="AD773" s="34"/>
      <c r="AE773" s="34"/>
      <c r="AF773" s="34"/>
      <c r="AG773" s="34"/>
      <c r="AH773" s="34"/>
      <c r="AI773" s="34"/>
      <c r="AJ773" s="34"/>
      <c r="AK773" s="34"/>
      <c r="AL773" s="34"/>
    </row>
    <row r="774" spans="12:38">
      <c r="L774" s="34"/>
      <c r="M774" s="34"/>
      <c r="N774" s="34"/>
      <c r="O774" s="34"/>
      <c r="P774" s="34"/>
      <c r="Q774" s="34"/>
      <c r="R774" s="34"/>
      <c r="S774" s="34"/>
      <c r="T774" s="34"/>
      <c r="U774" s="34"/>
      <c r="V774" s="34"/>
      <c r="AB774" s="34"/>
      <c r="AC774" s="34"/>
      <c r="AD774" s="34"/>
      <c r="AE774" s="34"/>
      <c r="AF774" s="34"/>
      <c r="AG774" s="34"/>
      <c r="AH774" s="34"/>
      <c r="AI774" s="34"/>
      <c r="AJ774" s="34"/>
      <c r="AK774" s="34"/>
      <c r="AL774" s="34"/>
    </row>
    <row r="775" spans="12:38">
      <c r="L775" s="34"/>
      <c r="M775" s="34"/>
      <c r="N775" s="34"/>
      <c r="O775" s="34"/>
      <c r="P775" s="34"/>
      <c r="Q775" s="34"/>
      <c r="R775" s="34"/>
      <c r="S775" s="34"/>
      <c r="T775" s="34"/>
      <c r="U775" s="34"/>
      <c r="V775" s="34"/>
      <c r="AB775" s="34"/>
      <c r="AC775" s="34"/>
      <c r="AD775" s="34"/>
      <c r="AE775" s="34"/>
      <c r="AF775" s="34"/>
      <c r="AG775" s="34"/>
      <c r="AH775" s="34"/>
      <c r="AI775" s="34"/>
      <c r="AJ775" s="34"/>
      <c r="AK775" s="34"/>
      <c r="AL775" s="34"/>
    </row>
    <row r="776" spans="12:38">
      <c r="L776" s="34"/>
      <c r="M776" s="34"/>
      <c r="N776" s="34"/>
      <c r="O776" s="34"/>
      <c r="P776" s="34"/>
      <c r="Q776" s="34"/>
      <c r="R776" s="34"/>
      <c r="S776" s="34"/>
      <c r="T776" s="34"/>
      <c r="U776" s="34"/>
      <c r="V776" s="34"/>
      <c r="AB776" s="34"/>
      <c r="AC776" s="34"/>
      <c r="AD776" s="34"/>
      <c r="AE776" s="34"/>
      <c r="AF776" s="34"/>
      <c r="AG776" s="34"/>
      <c r="AH776" s="34"/>
      <c r="AI776" s="34"/>
      <c r="AJ776" s="34"/>
      <c r="AK776" s="34"/>
      <c r="AL776" s="34"/>
    </row>
    <row r="777" spans="12:38">
      <c r="L777" s="34"/>
      <c r="M777" s="34"/>
      <c r="N777" s="34"/>
      <c r="O777" s="34"/>
      <c r="P777" s="34"/>
      <c r="Q777" s="34"/>
      <c r="R777" s="34"/>
      <c r="S777" s="34"/>
      <c r="T777" s="34"/>
      <c r="U777" s="34"/>
      <c r="V777" s="34"/>
      <c r="AB777" s="34"/>
      <c r="AC777" s="34"/>
      <c r="AD777" s="34"/>
      <c r="AE777" s="34"/>
      <c r="AF777" s="34"/>
      <c r="AG777" s="34"/>
      <c r="AH777" s="34"/>
      <c r="AI777" s="34"/>
      <c r="AJ777" s="34"/>
      <c r="AK777" s="34"/>
      <c r="AL777" s="34"/>
    </row>
    <row r="778" spans="12:38">
      <c r="L778" s="34"/>
      <c r="M778" s="34"/>
      <c r="N778" s="34"/>
      <c r="O778" s="34"/>
      <c r="P778" s="34"/>
      <c r="Q778" s="34"/>
      <c r="R778" s="34"/>
      <c r="S778" s="34"/>
      <c r="T778" s="34"/>
      <c r="U778" s="34"/>
      <c r="V778" s="34"/>
      <c r="AB778" s="34"/>
      <c r="AC778" s="34"/>
      <c r="AD778" s="34"/>
      <c r="AE778" s="34"/>
      <c r="AF778" s="34"/>
      <c r="AG778" s="34"/>
      <c r="AH778" s="34"/>
      <c r="AI778" s="34"/>
      <c r="AJ778" s="34"/>
      <c r="AK778" s="34"/>
      <c r="AL778" s="34"/>
    </row>
    <row r="779" spans="12:38">
      <c r="L779" s="34"/>
      <c r="M779" s="34"/>
      <c r="N779" s="34"/>
      <c r="O779" s="34"/>
      <c r="P779" s="34"/>
      <c r="Q779" s="34"/>
      <c r="R779" s="34"/>
      <c r="S779" s="34"/>
      <c r="T779" s="34"/>
      <c r="U779" s="34"/>
      <c r="V779" s="34"/>
      <c r="AB779" s="34"/>
      <c r="AC779" s="34"/>
      <c r="AD779" s="34"/>
      <c r="AE779" s="34"/>
      <c r="AF779" s="34"/>
      <c r="AG779" s="34"/>
      <c r="AH779" s="34"/>
      <c r="AI779" s="34"/>
      <c r="AJ779" s="34"/>
      <c r="AK779" s="34"/>
      <c r="AL779" s="34"/>
    </row>
    <row r="780" spans="12:38">
      <c r="L780" s="34"/>
      <c r="M780" s="34"/>
      <c r="N780" s="34"/>
      <c r="O780" s="34"/>
      <c r="P780" s="34"/>
      <c r="Q780" s="34"/>
      <c r="R780" s="34"/>
      <c r="S780" s="34"/>
      <c r="T780" s="34"/>
      <c r="U780" s="34"/>
      <c r="V780" s="34"/>
      <c r="AB780" s="34"/>
      <c r="AC780" s="34"/>
      <c r="AD780" s="34"/>
      <c r="AE780" s="34"/>
      <c r="AF780" s="34"/>
      <c r="AG780" s="34"/>
      <c r="AH780" s="34"/>
      <c r="AI780" s="34"/>
      <c r="AJ780" s="34"/>
      <c r="AK780" s="34"/>
      <c r="AL780" s="34"/>
    </row>
    <row r="781" spans="12:38">
      <c r="L781" s="34"/>
      <c r="M781" s="34"/>
      <c r="N781" s="34"/>
      <c r="O781" s="34"/>
      <c r="P781" s="34"/>
      <c r="Q781" s="34"/>
      <c r="R781" s="34"/>
      <c r="S781" s="34"/>
      <c r="T781" s="34"/>
      <c r="U781" s="34"/>
      <c r="V781" s="34"/>
      <c r="AB781" s="34"/>
      <c r="AC781" s="34"/>
      <c r="AD781" s="34"/>
      <c r="AE781" s="34"/>
      <c r="AF781" s="34"/>
      <c r="AG781" s="34"/>
      <c r="AH781" s="34"/>
      <c r="AI781" s="34"/>
      <c r="AJ781" s="34"/>
      <c r="AK781" s="34"/>
      <c r="AL781" s="34"/>
    </row>
    <row r="782" spans="12:38">
      <c r="L782" s="34"/>
      <c r="M782" s="34"/>
      <c r="N782" s="34"/>
      <c r="O782" s="34"/>
      <c r="P782" s="34"/>
      <c r="Q782" s="34"/>
      <c r="R782" s="34"/>
      <c r="S782" s="34"/>
      <c r="T782" s="34"/>
      <c r="U782" s="34"/>
      <c r="V782" s="34"/>
      <c r="AB782" s="34"/>
      <c r="AC782" s="34"/>
      <c r="AD782" s="34"/>
      <c r="AE782" s="34"/>
      <c r="AF782" s="34"/>
      <c r="AG782" s="34"/>
      <c r="AH782" s="34"/>
      <c r="AI782" s="34"/>
      <c r="AJ782" s="34"/>
      <c r="AK782" s="34"/>
      <c r="AL782" s="34"/>
    </row>
    <row r="783" spans="12:38">
      <c r="L783" s="34"/>
      <c r="M783" s="34"/>
      <c r="N783" s="34"/>
      <c r="O783" s="34"/>
      <c r="P783" s="34"/>
      <c r="Q783" s="34"/>
      <c r="R783" s="34"/>
      <c r="S783" s="34"/>
      <c r="T783" s="34"/>
      <c r="U783" s="34"/>
      <c r="V783" s="34"/>
      <c r="AB783" s="34"/>
      <c r="AC783" s="34"/>
      <c r="AD783" s="34"/>
      <c r="AE783" s="34"/>
      <c r="AF783" s="34"/>
      <c r="AG783" s="34"/>
      <c r="AH783" s="34"/>
      <c r="AI783" s="34"/>
      <c r="AJ783" s="34"/>
      <c r="AK783" s="34"/>
      <c r="AL783" s="34"/>
    </row>
    <row r="784" spans="12:38">
      <c r="L784" s="34"/>
      <c r="M784" s="34"/>
      <c r="N784" s="34"/>
      <c r="O784" s="34"/>
      <c r="P784" s="34"/>
      <c r="Q784" s="34"/>
      <c r="R784" s="34"/>
      <c r="S784" s="34"/>
      <c r="T784" s="34"/>
      <c r="U784" s="34"/>
      <c r="V784" s="34"/>
      <c r="AB784" s="34"/>
      <c r="AC784" s="34"/>
      <c r="AD784" s="34"/>
      <c r="AE784" s="34"/>
      <c r="AF784" s="34"/>
      <c r="AG784" s="34"/>
      <c r="AH784" s="34"/>
      <c r="AI784" s="34"/>
      <c r="AJ784" s="34"/>
      <c r="AK784" s="34"/>
      <c r="AL784" s="34"/>
    </row>
    <row r="785" spans="12:38">
      <c r="L785" s="34"/>
      <c r="M785" s="34"/>
      <c r="N785" s="34"/>
      <c r="O785" s="34"/>
      <c r="P785" s="34"/>
      <c r="Q785" s="34"/>
      <c r="R785" s="34"/>
      <c r="S785" s="34"/>
      <c r="T785" s="34"/>
      <c r="U785" s="34"/>
      <c r="V785" s="34"/>
      <c r="AB785" s="34"/>
      <c r="AC785" s="34"/>
      <c r="AD785" s="34"/>
      <c r="AE785" s="34"/>
      <c r="AF785" s="34"/>
      <c r="AG785" s="34"/>
      <c r="AH785" s="34"/>
      <c r="AI785" s="34"/>
      <c r="AJ785" s="34"/>
      <c r="AK785" s="34"/>
      <c r="AL785" s="34"/>
    </row>
    <row r="786" spans="12:38">
      <c r="L786" s="34"/>
      <c r="M786" s="34"/>
      <c r="N786" s="34"/>
      <c r="O786" s="34"/>
      <c r="P786" s="34"/>
      <c r="Q786" s="34"/>
      <c r="R786" s="34"/>
      <c r="S786" s="34"/>
      <c r="T786" s="34"/>
      <c r="U786" s="34"/>
      <c r="V786" s="34"/>
      <c r="AB786" s="34"/>
      <c r="AC786" s="34"/>
      <c r="AD786" s="34"/>
      <c r="AE786" s="34"/>
      <c r="AF786" s="34"/>
      <c r="AG786" s="34"/>
      <c r="AH786" s="34"/>
      <c r="AI786" s="34"/>
      <c r="AJ786" s="34"/>
      <c r="AK786" s="34"/>
      <c r="AL786" s="34"/>
    </row>
    <row r="787" spans="12:38">
      <c r="L787" s="34"/>
      <c r="M787" s="34"/>
      <c r="N787" s="34"/>
      <c r="O787" s="34"/>
      <c r="P787" s="34"/>
      <c r="Q787" s="34"/>
      <c r="R787" s="34"/>
      <c r="S787" s="34"/>
      <c r="T787" s="34"/>
      <c r="U787" s="34"/>
      <c r="V787" s="34"/>
      <c r="AB787" s="34"/>
      <c r="AC787" s="34"/>
      <c r="AD787" s="34"/>
      <c r="AE787" s="34"/>
      <c r="AF787" s="34"/>
      <c r="AG787" s="34"/>
      <c r="AH787" s="34"/>
      <c r="AI787" s="34"/>
      <c r="AJ787" s="34"/>
      <c r="AK787" s="34"/>
      <c r="AL787" s="34"/>
    </row>
    <row r="788" spans="12:38">
      <c r="L788" s="34"/>
      <c r="M788" s="34"/>
      <c r="N788" s="34"/>
      <c r="O788" s="34"/>
      <c r="P788" s="34"/>
      <c r="Q788" s="34"/>
      <c r="R788" s="34"/>
      <c r="S788" s="34"/>
      <c r="T788" s="34"/>
      <c r="U788" s="34"/>
      <c r="V788" s="34"/>
      <c r="AB788" s="34"/>
      <c r="AC788" s="34"/>
      <c r="AD788" s="34"/>
      <c r="AE788" s="34"/>
      <c r="AF788" s="34"/>
      <c r="AG788" s="34"/>
      <c r="AH788" s="34"/>
      <c r="AI788" s="34"/>
      <c r="AJ788" s="34"/>
      <c r="AK788" s="34"/>
      <c r="AL788" s="34"/>
    </row>
    <row r="789" spans="12:38">
      <c r="L789" s="34"/>
      <c r="M789" s="34"/>
      <c r="N789" s="34"/>
      <c r="O789" s="34"/>
      <c r="P789" s="34"/>
      <c r="Q789" s="34"/>
      <c r="R789" s="34"/>
      <c r="S789" s="34"/>
      <c r="T789" s="34"/>
      <c r="U789" s="34"/>
      <c r="V789" s="34"/>
      <c r="AB789" s="34"/>
      <c r="AC789" s="34"/>
      <c r="AD789" s="34"/>
      <c r="AE789" s="34"/>
      <c r="AF789" s="34"/>
      <c r="AG789" s="34"/>
      <c r="AH789" s="34"/>
      <c r="AI789" s="34"/>
      <c r="AJ789" s="34"/>
      <c r="AK789" s="34"/>
      <c r="AL789" s="34"/>
    </row>
    <row r="790" spans="12:38">
      <c r="L790" s="34"/>
      <c r="M790" s="34"/>
      <c r="N790" s="34"/>
      <c r="O790" s="34"/>
      <c r="P790" s="34"/>
      <c r="Q790" s="34"/>
      <c r="R790" s="34"/>
      <c r="S790" s="34"/>
      <c r="T790" s="34"/>
      <c r="U790" s="34"/>
      <c r="V790" s="34"/>
      <c r="AB790" s="34"/>
      <c r="AC790" s="34"/>
      <c r="AD790" s="34"/>
      <c r="AE790" s="34"/>
      <c r="AF790" s="34"/>
      <c r="AG790" s="34"/>
      <c r="AH790" s="34"/>
      <c r="AI790" s="34"/>
      <c r="AJ790" s="34"/>
      <c r="AK790" s="34"/>
      <c r="AL790" s="34"/>
    </row>
    <row r="791" spans="12:38">
      <c r="L791" s="34"/>
      <c r="M791" s="34"/>
      <c r="N791" s="34"/>
      <c r="O791" s="34"/>
      <c r="P791" s="34"/>
      <c r="Q791" s="34"/>
      <c r="R791" s="34"/>
      <c r="S791" s="34"/>
      <c r="T791" s="34"/>
      <c r="U791" s="34"/>
      <c r="V791" s="34"/>
      <c r="AB791" s="34"/>
      <c r="AC791" s="34"/>
      <c r="AD791" s="34"/>
      <c r="AE791" s="34"/>
      <c r="AF791" s="34"/>
      <c r="AG791" s="34"/>
      <c r="AH791" s="34"/>
      <c r="AI791" s="34"/>
      <c r="AJ791" s="34"/>
      <c r="AK791" s="34"/>
      <c r="AL791" s="34"/>
    </row>
    <row r="792" spans="12:38">
      <c r="L792" s="34"/>
      <c r="M792" s="34"/>
      <c r="N792" s="34"/>
      <c r="O792" s="34"/>
      <c r="P792" s="34"/>
      <c r="Q792" s="34"/>
      <c r="R792" s="34"/>
      <c r="S792" s="34"/>
      <c r="T792" s="34"/>
      <c r="U792" s="34"/>
      <c r="V792" s="34"/>
      <c r="AB792" s="34"/>
      <c r="AC792" s="34"/>
      <c r="AD792" s="34"/>
      <c r="AE792" s="34"/>
      <c r="AF792" s="34"/>
      <c r="AG792" s="34"/>
      <c r="AH792" s="34"/>
      <c r="AI792" s="34"/>
      <c r="AJ792" s="34"/>
      <c r="AK792" s="34"/>
      <c r="AL792" s="34"/>
    </row>
    <row r="793" spans="12:38">
      <c r="L793" s="34"/>
      <c r="M793" s="34"/>
      <c r="N793" s="34"/>
      <c r="O793" s="34"/>
      <c r="P793" s="34"/>
      <c r="Q793" s="34"/>
      <c r="R793" s="34"/>
      <c r="S793" s="34"/>
      <c r="T793" s="34"/>
      <c r="U793" s="34"/>
      <c r="V793" s="34"/>
      <c r="AB793" s="34"/>
      <c r="AC793" s="34"/>
      <c r="AD793" s="34"/>
      <c r="AE793" s="34"/>
      <c r="AF793" s="34"/>
      <c r="AG793" s="34"/>
      <c r="AH793" s="34"/>
      <c r="AI793" s="34"/>
      <c r="AJ793" s="34"/>
      <c r="AK793" s="34"/>
      <c r="AL793" s="34"/>
    </row>
    <row r="794" spans="12:38">
      <c r="L794" s="34"/>
      <c r="M794" s="34"/>
      <c r="N794" s="34"/>
      <c r="O794" s="34"/>
      <c r="P794" s="34"/>
      <c r="Q794" s="34"/>
      <c r="R794" s="34"/>
      <c r="S794" s="34"/>
      <c r="T794" s="34"/>
      <c r="U794" s="34"/>
      <c r="V794" s="34"/>
      <c r="AB794" s="34"/>
      <c r="AC794" s="34"/>
      <c r="AD794" s="34"/>
      <c r="AE794" s="34"/>
      <c r="AF794" s="34"/>
      <c r="AG794" s="34"/>
      <c r="AH794" s="34"/>
      <c r="AI794" s="34"/>
      <c r="AJ794" s="34"/>
      <c r="AK794" s="34"/>
      <c r="AL794" s="34"/>
    </row>
    <row r="795" spans="12:38">
      <c r="L795" s="34"/>
      <c r="M795" s="34"/>
      <c r="N795" s="34"/>
      <c r="O795" s="34"/>
      <c r="P795" s="34"/>
      <c r="Q795" s="34"/>
      <c r="R795" s="34"/>
      <c r="S795" s="34"/>
      <c r="T795" s="34"/>
      <c r="U795" s="34"/>
      <c r="V795" s="34"/>
      <c r="AB795" s="34"/>
      <c r="AC795" s="34"/>
      <c r="AD795" s="34"/>
      <c r="AE795" s="34"/>
      <c r="AF795" s="34"/>
      <c r="AG795" s="34"/>
      <c r="AH795" s="34"/>
      <c r="AI795" s="34"/>
      <c r="AJ795" s="34"/>
      <c r="AK795" s="34"/>
      <c r="AL795" s="34"/>
    </row>
    <row r="796" spans="12:38">
      <c r="L796" s="34"/>
      <c r="M796" s="34"/>
      <c r="N796" s="34"/>
      <c r="O796" s="34"/>
      <c r="P796" s="34"/>
      <c r="Q796" s="34"/>
      <c r="R796" s="34"/>
      <c r="S796" s="34"/>
      <c r="T796" s="34"/>
      <c r="U796" s="34"/>
      <c r="V796" s="34"/>
      <c r="AB796" s="34"/>
      <c r="AC796" s="34"/>
      <c r="AD796" s="34"/>
      <c r="AE796" s="34"/>
      <c r="AF796" s="34"/>
      <c r="AG796" s="34"/>
      <c r="AH796" s="34"/>
      <c r="AI796" s="34"/>
      <c r="AJ796" s="34"/>
      <c r="AK796" s="34"/>
      <c r="AL796" s="34"/>
    </row>
    <row r="797" spans="12:38">
      <c r="L797" s="34"/>
      <c r="M797" s="34"/>
      <c r="N797" s="34"/>
      <c r="O797" s="34"/>
      <c r="P797" s="34"/>
      <c r="Q797" s="34"/>
      <c r="R797" s="34"/>
      <c r="S797" s="34"/>
      <c r="T797" s="34"/>
      <c r="U797" s="34"/>
      <c r="V797" s="34"/>
      <c r="AB797" s="34"/>
      <c r="AC797" s="34"/>
      <c r="AD797" s="34"/>
      <c r="AE797" s="34"/>
      <c r="AF797" s="34"/>
      <c r="AG797" s="34"/>
      <c r="AH797" s="34"/>
      <c r="AI797" s="34"/>
      <c r="AJ797" s="34"/>
      <c r="AK797" s="34"/>
      <c r="AL797" s="34"/>
    </row>
    <row r="798" spans="12:38">
      <c r="L798" s="34"/>
      <c r="M798" s="34"/>
      <c r="N798" s="34"/>
      <c r="O798" s="34"/>
      <c r="P798" s="34"/>
      <c r="Q798" s="34"/>
      <c r="R798" s="34"/>
      <c r="S798" s="34"/>
      <c r="T798" s="34"/>
      <c r="U798" s="34"/>
      <c r="V798" s="34"/>
      <c r="AB798" s="34"/>
      <c r="AC798" s="34"/>
      <c r="AD798" s="34"/>
      <c r="AE798" s="34"/>
      <c r="AF798" s="34"/>
      <c r="AG798" s="34"/>
      <c r="AH798" s="34"/>
      <c r="AI798" s="34"/>
      <c r="AJ798" s="34"/>
      <c r="AK798" s="34"/>
      <c r="AL798" s="34"/>
    </row>
    <row r="799" spans="12:38">
      <c r="L799" s="34"/>
      <c r="M799" s="34"/>
      <c r="N799" s="34"/>
      <c r="O799" s="34"/>
      <c r="P799" s="34"/>
      <c r="Q799" s="34"/>
      <c r="R799" s="34"/>
      <c r="S799" s="34"/>
      <c r="T799" s="34"/>
      <c r="U799" s="34"/>
      <c r="V799" s="34"/>
      <c r="AB799" s="34"/>
      <c r="AC799" s="34"/>
      <c r="AD799" s="34"/>
      <c r="AE799" s="34"/>
      <c r="AF799" s="34"/>
      <c r="AG799" s="34"/>
      <c r="AH799" s="34"/>
      <c r="AI799" s="34"/>
      <c r="AJ799" s="34"/>
      <c r="AK799" s="34"/>
      <c r="AL799" s="34"/>
    </row>
    <row r="800" spans="12:38">
      <c r="L800" s="34"/>
      <c r="M800" s="34"/>
      <c r="N800" s="34"/>
      <c r="O800" s="34"/>
      <c r="P800" s="34"/>
      <c r="Q800" s="34"/>
      <c r="R800" s="34"/>
      <c r="S800" s="34"/>
      <c r="T800" s="34"/>
      <c r="U800" s="34"/>
      <c r="V800" s="34"/>
      <c r="AB800" s="34"/>
      <c r="AC800" s="34"/>
      <c r="AD800" s="34"/>
      <c r="AE800" s="34"/>
      <c r="AF800" s="34"/>
      <c r="AG800" s="34"/>
      <c r="AH800" s="34"/>
      <c r="AI800" s="34"/>
      <c r="AJ800" s="34"/>
      <c r="AK800" s="34"/>
      <c r="AL800" s="34"/>
    </row>
    <row r="801" spans="12:38">
      <c r="L801" s="34"/>
      <c r="M801" s="34"/>
      <c r="N801" s="34"/>
      <c r="O801" s="34"/>
      <c r="P801" s="34"/>
      <c r="Q801" s="34"/>
      <c r="R801" s="34"/>
      <c r="S801" s="34"/>
      <c r="T801" s="34"/>
      <c r="U801" s="34"/>
      <c r="V801" s="34"/>
      <c r="AB801" s="34"/>
      <c r="AC801" s="34"/>
      <c r="AD801" s="34"/>
      <c r="AE801" s="34"/>
      <c r="AF801" s="34"/>
      <c r="AG801" s="34"/>
      <c r="AH801" s="34"/>
      <c r="AI801" s="34"/>
      <c r="AJ801" s="34"/>
      <c r="AK801" s="34"/>
      <c r="AL801" s="34"/>
    </row>
    <row r="802" spans="12:38">
      <c r="L802" s="34"/>
      <c r="M802" s="34"/>
      <c r="N802" s="34"/>
      <c r="O802" s="34"/>
      <c r="P802" s="34"/>
      <c r="Q802" s="34"/>
      <c r="R802" s="34"/>
      <c r="S802" s="34"/>
      <c r="T802" s="34"/>
      <c r="U802" s="34"/>
      <c r="V802" s="34"/>
      <c r="AB802" s="34"/>
      <c r="AC802" s="34"/>
      <c r="AD802" s="34"/>
      <c r="AE802" s="34"/>
      <c r="AF802" s="34"/>
      <c r="AG802" s="34"/>
      <c r="AH802" s="34"/>
      <c r="AI802" s="34"/>
      <c r="AJ802" s="34"/>
      <c r="AK802" s="34"/>
      <c r="AL802" s="34"/>
    </row>
    <row r="803" spans="12:38">
      <c r="L803" s="34"/>
      <c r="M803" s="34"/>
      <c r="N803" s="34"/>
      <c r="O803" s="34"/>
      <c r="P803" s="34"/>
      <c r="Q803" s="34"/>
      <c r="R803" s="34"/>
      <c r="S803" s="34"/>
      <c r="T803" s="34"/>
      <c r="U803" s="34"/>
      <c r="V803" s="34"/>
      <c r="AB803" s="34"/>
      <c r="AC803" s="34"/>
      <c r="AD803" s="34"/>
      <c r="AE803" s="34"/>
      <c r="AF803" s="34"/>
      <c r="AG803" s="34"/>
      <c r="AH803" s="34"/>
      <c r="AI803" s="34"/>
      <c r="AJ803" s="34"/>
      <c r="AK803" s="34"/>
      <c r="AL803" s="34"/>
    </row>
    <row r="804" spans="12:38">
      <c r="L804" s="34"/>
      <c r="M804" s="34"/>
      <c r="N804" s="34"/>
      <c r="O804" s="34"/>
      <c r="P804" s="34"/>
      <c r="Q804" s="34"/>
      <c r="R804" s="34"/>
      <c r="S804" s="34"/>
      <c r="T804" s="34"/>
      <c r="U804" s="34"/>
      <c r="V804" s="34"/>
      <c r="AB804" s="34"/>
      <c r="AC804" s="34"/>
      <c r="AD804" s="34"/>
      <c r="AE804" s="34"/>
      <c r="AF804" s="34"/>
      <c r="AG804" s="34"/>
      <c r="AH804" s="34"/>
      <c r="AI804" s="34"/>
      <c r="AJ804" s="34"/>
      <c r="AK804" s="34"/>
      <c r="AL804" s="34"/>
    </row>
    <row r="805" spans="12:38">
      <c r="L805" s="34"/>
      <c r="M805" s="34"/>
      <c r="N805" s="34"/>
      <c r="O805" s="34"/>
      <c r="P805" s="34"/>
      <c r="Q805" s="34"/>
      <c r="R805" s="34"/>
      <c r="S805" s="34"/>
      <c r="T805" s="34"/>
      <c r="U805" s="34"/>
      <c r="V805" s="34"/>
      <c r="AB805" s="34"/>
      <c r="AC805" s="34"/>
      <c r="AD805" s="34"/>
      <c r="AE805" s="34"/>
      <c r="AF805" s="34"/>
      <c r="AG805" s="34"/>
      <c r="AH805" s="34"/>
      <c r="AI805" s="34"/>
      <c r="AJ805" s="34"/>
      <c r="AK805" s="34"/>
      <c r="AL805" s="34"/>
    </row>
    <row r="806" spans="12:38">
      <c r="L806" s="34"/>
      <c r="M806" s="34"/>
      <c r="N806" s="34"/>
      <c r="O806" s="34"/>
      <c r="P806" s="34"/>
      <c r="Q806" s="34"/>
      <c r="R806" s="34"/>
      <c r="S806" s="34"/>
      <c r="T806" s="34"/>
      <c r="U806" s="34"/>
      <c r="V806" s="34"/>
      <c r="AB806" s="34"/>
      <c r="AC806" s="34"/>
      <c r="AD806" s="34"/>
      <c r="AE806" s="34"/>
      <c r="AF806" s="34"/>
      <c r="AG806" s="34"/>
      <c r="AH806" s="34"/>
      <c r="AI806" s="34"/>
      <c r="AJ806" s="34"/>
      <c r="AK806" s="34"/>
      <c r="AL806" s="34"/>
    </row>
    <row r="807" spans="12:38">
      <c r="L807" s="34"/>
      <c r="M807" s="34"/>
      <c r="N807" s="34"/>
      <c r="O807" s="34"/>
      <c r="P807" s="34"/>
      <c r="Q807" s="34"/>
      <c r="R807" s="34"/>
      <c r="S807" s="34"/>
      <c r="T807" s="34"/>
      <c r="U807" s="34"/>
      <c r="V807" s="34"/>
      <c r="AB807" s="34"/>
      <c r="AC807" s="34"/>
      <c r="AD807" s="34"/>
      <c r="AE807" s="34"/>
      <c r="AF807" s="34"/>
      <c r="AG807" s="34"/>
      <c r="AH807" s="34"/>
      <c r="AI807" s="34"/>
      <c r="AJ807" s="34"/>
      <c r="AK807" s="34"/>
      <c r="AL807" s="34"/>
    </row>
    <row r="808" spans="12:38">
      <c r="L808" s="34"/>
      <c r="M808" s="34"/>
      <c r="N808" s="34"/>
      <c r="O808" s="34"/>
      <c r="P808" s="34"/>
      <c r="Q808" s="34"/>
      <c r="R808" s="34"/>
      <c r="S808" s="34"/>
      <c r="T808" s="34"/>
      <c r="U808" s="34"/>
      <c r="V808" s="34"/>
      <c r="AB808" s="34"/>
      <c r="AC808" s="34"/>
      <c r="AD808" s="34"/>
      <c r="AE808" s="34"/>
      <c r="AF808" s="34"/>
      <c r="AG808" s="34"/>
      <c r="AH808" s="34"/>
      <c r="AI808" s="34"/>
      <c r="AJ808" s="34"/>
      <c r="AK808" s="34"/>
      <c r="AL808" s="34"/>
    </row>
    <row r="809" spans="12:38">
      <c r="L809" s="34"/>
      <c r="M809" s="34"/>
      <c r="N809" s="34"/>
      <c r="O809" s="34"/>
      <c r="P809" s="34"/>
      <c r="Q809" s="34"/>
      <c r="R809" s="34"/>
      <c r="S809" s="34"/>
      <c r="T809" s="34"/>
      <c r="U809" s="34"/>
      <c r="V809" s="34"/>
      <c r="AB809" s="34"/>
      <c r="AC809" s="34"/>
      <c r="AD809" s="34"/>
      <c r="AE809" s="34"/>
      <c r="AF809" s="34"/>
      <c r="AG809" s="34"/>
      <c r="AH809" s="34"/>
      <c r="AI809" s="34"/>
      <c r="AJ809" s="34"/>
      <c r="AK809" s="34"/>
      <c r="AL809" s="34"/>
    </row>
    <row r="810" spans="12:38">
      <c r="L810" s="34"/>
      <c r="M810" s="34"/>
      <c r="N810" s="34"/>
      <c r="O810" s="34"/>
      <c r="P810" s="34"/>
      <c r="Q810" s="34"/>
      <c r="R810" s="34"/>
      <c r="S810" s="34"/>
      <c r="T810" s="34"/>
      <c r="U810" s="34"/>
      <c r="V810" s="34"/>
      <c r="AB810" s="34"/>
      <c r="AC810" s="34"/>
      <c r="AD810" s="34"/>
      <c r="AE810" s="34"/>
      <c r="AF810" s="34"/>
      <c r="AG810" s="34"/>
      <c r="AH810" s="34"/>
      <c r="AI810" s="34"/>
      <c r="AJ810" s="34"/>
      <c r="AK810" s="34"/>
      <c r="AL810" s="34"/>
    </row>
    <row r="811" spans="12:38">
      <c r="L811" s="34"/>
      <c r="M811" s="34"/>
      <c r="N811" s="34"/>
      <c r="O811" s="34"/>
      <c r="P811" s="34"/>
      <c r="Q811" s="34"/>
      <c r="R811" s="34"/>
      <c r="S811" s="34"/>
      <c r="T811" s="34"/>
      <c r="U811" s="34"/>
      <c r="V811" s="34"/>
      <c r="AB811" s="34"/>
      <c r="AC811" s="34"/>
      <c r="AD811" s="34"/>
      <c r="AE811" s="34"/>
      <c r="AF811" s="34"/>
      <c r="AG811" s="34"/>
      <c r="AH811" s="34"/>
      <c r="AI811" s="34"/>
      <c r="AJ811" s="34"/>
      <c r="AK811" s="34"/>
      <c r="AL811" s="34"/>
    </row>
    <row r="812" spans="12:38">
      <c r="L812" s="34"/>
      <c r="M812" s="34"/>
      <c r="N812" s="34"/>
      <c r="O812" s="34"/>
      <c r="P812" s="34"/>
      <c r="Q812" s="34"/>
      <c r="R812" s="34"/>
      <c r="S812" s="34"/>
      <c r="T812" s="34"/>
      <c r="U812" s="34"/>
      <c r="V812" s="34"/>
      <c r="AB812" s="34"/>
      <c r="AC812" s="34"/>
      <c r="AD812" s="34"/>
      <c r="AE812" s="34"/>
      <c r="AF812" s="34"/>
      <c r="AG812" s="34"/>
      <c r="AH812" s="34"/>
      <c r="AI812" s="34"/>
      <c r="AJ812" s="34"/>
      <c r="AK812" s="34"/>
      <c r="AL812" s="34"/>
    </row>
    <row r="813" spans="12:38">
      <c r="L813" s="34"/>
      <c r="M813" s="34"/>
      <c r="N813" s="34"/>
      <c r="O813" s="34"/>
      <c r="P813" s="34"/>
      <c r="Q813" s="34"/>
      <c r="R813" s="34"/>
      <c r="S813" s="34"/>
      <c r="T813" s="34"/>
      <c r="U813" s="34"/>
      <c r="V813" s="34"/>
      <c r="AB813" s="34"/>
      <c r="AC813" s="34"/>
      <c r="AD813" s="34"/>
      <c r="AE813" s="34"/>
      <c r="AF813" s="34"/>
      <c r="AG813" s="34"/>
      <c r="AH813" s="34"/>
      <c r="AI813" s="34"/>
      <c r="AJ813" s="34"/>
      <c r="AK813" s="34"/>
      <c r="AL813" s="34"/>
    </row>
    <row r="814" spans="12:38">
      <c r="L814" s="34"/>
      <c r="M814" s="34"/>
      <c r="N814" s="34"/>
      <c r="O814" s="34"/>
      <c r="P814" s="34"/>
      <c r="Q814" s="34"/>
      <c r="R814" s="34"/>
      <c r="S814" s="34"/>
      <c r="T814" s="34"/>
      <c r="U814" s="34"/>
      <c r="V814" s="34"/>
      <c r="AB814" s="34"/>
      <c r="AC814" s="34"/>
      <c r="AD814" s="34"/>
      <c r="AE814" s="34"/>
      <c r="AF814" s="34"/>
      <c r="AG814" s="34"/>
      <c r="AH814" s="34"/>
      <c r="AI814" s="34"/>
      <c r="AJ814" s="34"/>
      <c r="AK814" s="34"/>
      <c r="AL814" s="34"/>
    </row>
    <row r="815" spans="12:38">
      <c r="L815" s="34"/>
      <c r="M815" s="34"/>
      <c r="N815" s="34"/>
      <c r="O815" s="34"/>
      <c r="P815" s="34"/>
      <c r="Q815" s="34"/>
      <c r="R815" s="34"/>
      <c r="S815" s="34"/>
      <c r="T815" s="34"/>
      <c r="U815" s="34"/>
      <c r="V815" s="34"/>
      <c r="AB815" s="34"/>
      <c r="AC815" s="34"/>
      <c r="AD815" s="34"/>
      <c r="AE815" s="34"/>
      <c r="AF815" s="34"/>
      <c r="AG815" s="34"/>
      <c r="AH815" s="34"/>
      <c r="AI815" s="34"/>
      <c r="AJ815" s="34"/>
      <c r="AK815" s="34"/>
      <c r="AL815" s="34"/>
    </row>
    <row r="816" spans="12:38">
      <c r="L816" s="34"/>
      <c r="M816" s="34"/>
      <c r="N816" s="34"/>
      <c r="O816" s="34"/>
      <c r="P816" s="34"/>
      <c r="Q816" s="34"/>
      <c r="R816" s="34"/>
      <c r="S816" s="34"/>
      <c r="T816" s="34"/>
      <c r="U816" s="34"/>
      <c r="V816" s="34"/>
      <c r="AB816" s="34"/>
      <c r="AC816" s="34"/>
      <c r="AD816" s="34"/>
      <c r="AE816" s="34"/>
      <c r="AF816" s="34"/>
      <c r="AG816" s="34"/>
      <c r="AH816" s="34"/>
      <c r="AI816" s="34"/>
      <c r="AJ816" s="34"/>
      <c r="AK816" s="34"/>
      <c r="AL816" s="34"/>
    </row>
    <row r="817" spans="12:38">
      <c r="L817" s="34"/>
      <c r="M817" s="34"/>
      <c r="N817" s="34"/>
      <c r="O817" s="34"/>
      <c r="P817" s="34"/>
      <c r="Q817" s="34"/>
      <c r="R817" s="34"/>
      <c r="S817" s="34"/>
      <c r="T817" s="34"/>
      <c r="U817" s="34"/>
      <c r="V817" s="34"/>
      <c r="AB817" s="34"/>
      <c r="AC817" s="34"/>
      <c r="AD817" s="34"/>
      <c r="AE817" s="34"/>
      <c r="AF817" s="34"/>
      <c r="AG817" s="34"/>
      <c r="AH817" s="34"/>
      <c r="AI817" s="34"/>
      <c r="AJ817" s="34"/>
      <c r="AK817" s="34"/>
      <c r="AL817" s="34"/>
    </row>
    <row r="818" spans="12:38">
      <c r="L818" s="34"/>
      <c r="M818" s="34"/>
      <c r="N818" s="34"/>
      <c r="O818" s="34"/>
      <c r="P818" s="34"/>
      <c r="Q818" s="34"/>
      <c r="R818" s="34"/>
      <c r="S818" s="34"/>
      <c r="T818" s="34"/>
      <c r="U818" s="34"/>
      <c r="V818" s="34"/>
      <c r="AB818" s="34"/>
      <c r="AC818" s="34"/>
      <c r="AD818" s="34"/>
      <c r="AE818" s="34"/>
      <c r="AF818" s="34"/>
      <c r="AG818" s="34"/>
      <c r="AH818" s="34"/>
      <c r="AI818" s="34"/>
      <c r="AJ818" s="34"/>
      <c r="AK818" s="34"/>
      <c r="AL818" s="34"/>
    </row>
    <row r="819" spans="12:38">
      <c r="L819" s="34"/>
      <c r="M819" s="34"/>
      <c r="N819" s="34"/>
      <c r="O819" s="34"/>
      <c r="P819" s="34"/>
      <c r="Q819" s="34"/>
      <c r="R819" s="34"/>
      <c r="S819" s="34"/>
      <c r="T819" s="34"/>
      <c r="U819" s="34"/>
      <c r="V819" s="34"/>
      <c r="AB819" s="34"/>
      <c r="AC819" s="34"/>
      <c r="AD819" s="34"/>
      <c r="AE819" s="34"/>
      <c r="AF819" s="34"/>
      <c r="AG819" s="34"/>
      <c r="AH819" s="34"/>
      <c r="AI819" s="34"/>
      <c r="AJ819" s="34"/>
      <c r="AK819" s="34"/>
      <c r="AL819" s="34"/>
    </row>
    <row r="820" spans="12:38">
      <c r="L820" s="34"/>
      <c r="M820" s="34"/>
      <c r="N820" s="34"/>
      <c r="O820" s="34"/>
      <c r="P820" s="34"/>
      <c r="Q820" s="34"/>
      <c r="R820" s="34"/>
      <c r="S820" s="34"/>
      <c r="T820" s="34"/>
      <c r="U820" s="34"/>
      <c r="V820" s="34"/>
      <c r="AB820" s="34"/>
      <c r="AC820" s="34"/>
      <c r="AD820" s="34"/>
      <c r="AE820" s="34"/>
      <c r="AF820" s="34"/>
      <c r="AG820" s="34"/>
      <c r="AH820" s="34"/>
      <c r="AI820" s="34"/>
      <c r="AJ820" s="34"/>
      <c r="AK820" s="34"/>
      <c r="AL820" s="34"/>
    </row>
    <row r="821" spans="12:38">
      <c r="L821" s="34"/>
      <c r="M821" s="34"/>
      <c r="N821" s="34"/>
      <c r="O821" s="34"/>
      <c r="P821" s="34"/>
      <c r="Q821" s="34"/>
      <c r="R821" s="34"/>
      <c r="S821" s="34"/>
      <c r="T821" s="34"/>
      <c r="U821" s="34"/>
      <c r="V821" s="34"/>
      <c r="AB821" s="34"/>
      <c r="AC821" s="34"/>
      <c r="AD821" s="34"/>
      <c r="AE821" s="34"/>
      <c r="AF821" s="34"/>
      <c r="AG821" s="34"/>
      <c r="AH821" s="34"/>
      <c r="AI821" s="34"/>
      <c r="AJ821" s="34"/>
      <c r="AK821" s="34"/>
      <c r="AL821" s="34"/>
    </row>
    <row r="822" spans="12:38">
      <c r="L822" s="34"/>
      <c r="M822" s="34"/>
      <c r="N822" s="34"/>
      <c r="O822" s="34"/>
      <c r="P822" s="34"/>
      <c r="Q822" s="34"/>
      <c r="R822" s="34"/>
      <c r="S822" s="34"/>
      <c r="T822" s="34"/>
      <c r="U822" s="34"/>
      <c r="V822" s="34"/>
      <c r="AB822" s="34"/>
      <c r="AC822" s="34"/>
      <c r="AD822" s="34"/>
      <c r="AE822" s="34"/>
      <c r="AF822" s="34"/>
      <c r="AG822" s="34"/>
      <c r="AH822" s="34"/>
      <c r="AI822" s="34"/>
      <c r="AJ822" s="34"/>
      <c r="AK822" s="34"/>
      <c r="AL822" s="34"/>
    </row>
    <row r="823" spans="12:38">
      <c r="L823" s="34"/>
      <c r="M823" s="34"/>
      <c r="N823" s="34"/>
      <c r="O823" s="34"/>
      <c r="P823" s="34"/>
      <c r="Q823" s="34"/>
      <c r="R823" s="34"/>
      <c r="S823" s="34"/>
      <c r="T823" s="34"/>
      <c r="U823" s="34"/>
      <c r="V823" s="34"/>
      <c r="AB823" s="34"/>
      <c r="AC823" s="34"/>
      <c r="AD823" s="34"/>
      <c r="AE823" s="34"/>
      <c r="AF823" s="34"/>
      <c r="AG823" s="34"/>
      <c r="AH823" s="34"/>
      <c r="AI823" s="34"/>
      <c r="AJ823" s="34"/>
      <c r="AK823" s="34"/>
      <c r="AL823" s="34"/>
    </row>
    <row r="824" spans="12:38">
      <c r="L824" s="34"/>
      <c r="M824" s="34"/>
      <c r="N824" s="34"/>
      <c r="O824" s="34"/>
      <c r="P824" s="34"/>
      <c r="Q824" s="34"/>
      <c r="R824" s="34"/>
      <c r="S824" s="34"/>
      <c r="T824" s="34"/>
      <c r="U824" s="34"/>
      <c r="V824" s="34"/>
      <c r="AB824" s="34"/>
      <c r="AC824" s="34"/>
      <c r="AD824" s="34"/>
      <c r="AE824" s="34"/>
      <c r="AF824" s="34"/>
      <c r="AG824" s="34"/>
      <c r="AH824" s="34"/>
      <c r="AI824" s="34"/>
      <c r="AJ824" s="34"/>
      <c r="AK824" s="34"/>
      <c r="AL824" s="34"/>
    </row>
    <row r="825" spans="12:38">
      <c r="L825" s="34"/>
      <c r="M825" s="34"/>
      <c r="N825" s="34"/>
      <c r="O825" s="34"/>
      <c r="P825" s="34"/>
      <c r="Q825" s="34"/>
      <c r="R825" s="34"/>
      <c r="S825" s="34"/>
      <c r="T825" s="34"/>
      <c r="U825" s="34"/>
      <c r="V825" s="34"/>
      <c r="AB825" s="34"/>
      <c r="AC825" s="34"/>
      <c r="AD825" s="34"/>
      <c r="AE825" s="34"/>
      <c r="AF825" s="34"/>
      <c r="AG825" s="34"/>
      <c r="AH825" s="34"/>
      <c r="AI825" s="34"/>
      <c r="AJ825" s="34"/>
      <c r="AK825" s="34"/>
      <c r="AL825" s="34"/>
    </row>
    <row r="826" spans="12:38">
      <c r="L826" s="34"/>
      <c r="M826" s="34"/>
      <c r="N826" s="34"/>
      <c r="O826" s="34"/>
      <c r="P826" s="34"/>
      <c r="Q826" s="34"/>
      <c r="R826" s="34"/>
      <c r="S826" s="34"/>
      <c r="T826" s="34"/>
      <c r="U826" s="34"/>
      <c r="V826" s="34"/>
      <c r="AB826" s="34"/>
      <c r="AC826" s="34"/>
      <c r="AD826" s="34"/>
      <c r="AE826" s="34"/>
      <c r="AF826" s="34"/>
      <c r="AG826" s="34"/>
      <c r="AH826" s="34"/>
      <c r="AI826" s="34"/>
      <c r="AJ826" s="34"/>
      <c r="AK826" s="34"/>
      <c r="AL826" s="34"/>
    </row>
    <row r="827" spans="12:38">
      <c r="L827" s="34"/>
      <c r="M827" s="34"/>
      <c r="N827" s="34"/>
      <c r="O827" s="34"/>
      <c r="P827" s="34"/>
      <c r="Q827" s="34"/>
      <c r="R827" s="34"/>
      <c r="S827" s="34"/>
      <c r="T827" s="34"/>
      <c r="U827" s="34"/>
      <c r="V827" s="34"/>
      <c r="AB827" s="34"/>
      <c r="AC827" s="34"/>
      <c r="AD827" s="34"/>
      <c r="AE827" s="34"/>
      <c r="AF827" s="34"/>
      <c r="AG827" s="34"/>
      <c r="AH827" s="34"/>
      <c r="AI827" s="34"/>
      <c r="AJ827" s="34"/>
      <c r="AK827" s="34"/>
      <c r="AL827" s="34"/>
    </row>
    <row r="828" spans="12:38">
      <c r="L828" s="34"/>
      <c r="M828" s="34"/>
      <c r="N828" s="34"/>
      <c r="O828" s="34"/>
      <c r="P828" s="34"/>
      <c r="Q828" s="34"/>
      <c r="R828" s="34"/>
      <c r="S828" s="34"/>
      <c r="T828" s="34"/>
      <c r="U828" s="34"/>
      <c r="V828" s="34"/>
      <c r="AB828" s="34"/>
      <c r="AC828" s="34"/>
      <c r="AD828" s="34"/>
      <c r="AE828" s="34"/>
      <c r="AF828" s="34"/>
      <c r="AG828" s="34"/>
      <c r="AH828" s="34"/>
      <c r="AI828" s="34"/>
      <c r="AJ828" s="34"/>
      <c r="AK828" s="34"/>
      <c r="AL828" s="34"/>
    </row>
    <row r="829" spans="12:38">
      <c r="L829" s="34"/>
      <c r="M829" s="34"/>
      <c r="N829" s="34"/>
      <c r="O829" s="34"/>
      <c r="P829" s="34"/>
      <c r="Q829" s="34"/>
      <c r="R829" s="34"/>
      <c r="S829" s="34"/>
      <c r="T829" s="34"/>
      <c r="U829" s="34"/>
      <c r="V829" s="34"/>
      <c r="AB829" s="34"/>
      <c r="AC829" s="34"/>
      <c r="AD829" s="34"/>
      <c r="AE829" s="34"/>
      <c r="AF829" s="34"/>
      <c r="AG829" s="34"/>
      <c r="AH829" s="34"/>
      <c r="AI829" s="34"/>
      <c r="AJ829" s="34"/>
      <c r="AK829" s="34"/>
      <c r="AL829" s="34"/>
    </row>
    <row r="830" spans="12:38">
      <c r="L830" s="34"/>
      <c r="M830" s="34"/>
      <c r="N830" s="34"/>
      <c r="O830" s="34"/>
      <c r="P830" s="34"/>
      <c r="Q830" s="34"/>
      <c r="R830" s="34"/>
      <c r="S830" s="34"/>
      <c r="T830" s="34"/>
      <c r="U830" s="34"/>
      <c r="V830" s="34"/>
      <c r="AB830" s="34"/>
      <c r="AC830" s="34"/>
      <c r="AD830" s="34"/>
      <c r="AE830" s="34"/>
      <c r="AF830" s="34"/>
      <c r="AG830" s="34"/>
      <c r="AH830" s="34"/>
      <c r="AI830" s="34"/>
      <c r="AJ830" s="34"/>
      <c r="AK830" s="34"/>
      <c r="AL830" s="34"/>
    </row>
    <row r="831" spans="12:38">
      <c r="L831" s="34"/>
      <c r="M831" s="34"/>
      <c r="N831" s="34"/>
      <c r="O831" s="34"/>
      <c r="P831" s="34"/>
      <c r="Q831" s="34"/>
      <c r="R831" s="34"/>
      <c r="S831" s="34"/>
      <c r="T831" s="34"/>
      <c r="U831" s="34"/>
      <c r="V831" s="34"/>
      <c r="AB831" s="34"/>
      <c r="AC831" s="34"/>
      <c r="AD831" s="34"/>
      <c r="AE831" s="34"/>
      <c r="AF831" s="34"/>
      <c r="AG831" s="34"/>
      <c r="AH831" s="34"/>
      <c r="AI831" s="34"/>
      <c r="AJ831" s="34"/>
      <c r="AK831" s="34"/>
      <c r="AL831" s="34"/>
    </row>
    <row r="832" spans="12:38">
      <c r="L832" s="34"/>
      <c r="M832" s="34"/>
      <c r="N832" s="34"/>
      <c r="O832" s="34"/>
      <c r="P832" s="34"/>
      <c r="Q832" s="34"/>
      <c r="R832" s="34"/>
      <c r="S832" s="34"/>
      <c r="T832" s="34"/>
      <c r="U832" s="34"/>
      <c r="V832" s="34"/>
      <c r="AB832" s="34"/>
      <c r="AC832" s="34"/>
      <c r="AD832" s="34"/>
      <c r="AE832" s="34"/>
      <c r="AF832" s="34"/>
      <c r="AG832" s="34"/>
      <c r="AH832" s="34"/>
      <c r="AI832" s="34"/>
      <c r="AJ832" s="34"/>
      <c r="AK832" s="34"/>
      <c r="AL832" s="34"/>
    </row>
    <row r="833" spans="12:38">
      <c r="L833" s="34"/>
      <c r="M833" s="34"/>
      <c r="N833" s="34"/>
      <c r="O833" s="34"/>
      <c r="P833" s="34"/>
      <c r="Q833" s="34"/>
      <c r="R833" s="34"/>
      <c r="S833" s="34"/>
      <c r="T833" s="34"/>
      <c r="U833" s="34"/>
      <c r="V833" s="34"/>
      <c r="AB833" s="34"/>
      <c r="AC833" s="34"/>
      <c r="AD833" s="34"/>
      <c r="AE833" s="34"/>
      <c r="AF833" s="34"/>
      <c r="AG833" s="34"/>
      <c r="AH833" s="34"/>
      <c r="AI833" s="34"/>
      <c r="AJ833" s="34"/>
      <c r="AK833" s="34"/>
      <c r="AL833" s="34"/>
    </row>
    <row r="834" spans="12:38">
      <c r="L834" s="34"/>
      <c r="M834" s="34"/>
      <c r="N834" s="34"/>
      <c r="O834" s="34"/>
      <c r="P834" s="34"/>
      <c r="Q834" s="34"/>
      <c r="R834" s="34"/>
      <c r="S834" s="34"/>
      <c r="T834" s="34"/>
      <c r="U834" s="34"/>
      <c r="V834" s="34"/>
      <c r="AB834" s="34"/>
      <c r="AC834" s="34"/>
      <c r="AD834" s="34"/>
      <c r="AE834" s="34"/>
      <c r="AF834" s="34"/>
      <c r="AG834" s="34"/>
      <c r="AH834" s="34"/>
      <c r="AI834" s="34"/>
      <c r="AJ834" s="34"/>
      <c r="AK834" s="34"/>
      <c r="AL834" s="34"/>
    </row>
    <row r="835" spans="12:38">
      <c r="L835" s="34"/>
      <c r="M835" s="34"/>
      <c r="N835" s="34"/>
      <c r="O835" s="34"/>
      <c r="P835" s="34"/>
      <c r="Q835" s="34"/>
      <c r="R835" s="34"/>
      <c r="S835" s="34"/>
      <c r="T835" s="34"/>
      <c r="U835" s="34"/>
      <c r="V835" s="34"/>
      <c r="AB835" s="34"/>
      <c r="AC835" s="34"/>
      <c r="AD835" s="34"/>
      <c r="AE835" s="34"/>
      <c r="AF835" s="34"/>
      <c r="AG835" s="34"/>
      <c r="AH835" s="34"/>
      <c r="AI835" s="34"/>
      <c r="AJ835" s="34"/>
      <c r="AK835" s="34"/>
      <c r="AL835" s="34"/>
    </row>
    <row r="836" spans="12:38">
      <c r="L836" s="34"/>
      <c r="M836" s="34"/>
      <c r="N836" s="34"/>
      <c r="O836" s="34"/>
      <c r="P836" s="34"/>
      <c r="Q836" s="34"/>
      <c r="R836" s="34"/>
      <c r="S836" s="34"/>
      <c r="T836" s="34"/>
      <c r="U836" s="34"/>
      <c r="V836" s="34"/>
      <c r="AB836" s="34"/>
      <c r="AC836" s="34"/>
      <c r="AD836" s="34"/>
      <c r="AE836" s="34"/>
      <c r="AF836" s="34"/>
      <c r="AG836" s="34"/>
      <c r="AH836" s="34"/>
      <c r="AI836" s="34"/>
      <c r="AJ836" s="34"/>
      <c r="AK836" s="34"/>
      <c r="AL836" s="34"/>
    </row>
    <row r="837" spans="12:38">
      <c r="L837" s="34"/>
      <c r="M837" s="34"/>
      <c r="N837" s="34"/>
      <c r="O837" s="34"/>
      <c r="P837" s="34"/>
      <c r="Q837" s="34"/>
      <c r="R837" s="34"/>
      <c r="S837" s="34"/>
      <c r="T837" s="34"/>
      <c r="U837" s="34"/>
      <c r="V837" s="34"/>
      <c r="AB837" s="34"/>
      <c r="AC837" s="34"/>
      <c r="AD837" s="34"/>
      <c r="AE837" s="34"/>
      <c r="AF837" s="34"/>
      <c r="AG837" s="34"/>
      <c r="AH837" s="34"/>
      <c r="AI837" s="34"/>
      <c r="AJ837" s="34"/>
      <c r="AK837" s="34"/>
      <c r="AL837" s="34"/>
    </row>
    <row r="838" spans="12:38">
      <c r="L838" s="34"/>
      <c r="M838" s="34"/>
      <c r="N838" s="34"/>
      <c r="O838" s="34"/>
      <c r="P838" s="34"/>
      <c r="Q838" s="34"/>
      <c r="R838" s="34"/>
      <c r="S838" s="34"/>
      <c r="T838" s="34"/>
      <c r="U838" s="34"/>
      <c r="V838" s="34"/>
      <c r="AB838" s="34"/>
      <c r="AC838" s="34"/>
      <c r="AD838" s="34"/>
      <c r="AE838" s="34"/>
      <c r="AF838" s="34"/>
      <c r="AG838" s="34"/>
      <c r="AH838" s="34"/>
      <c r="AI838" s="34"/>
      <c r="AJ838" s="34"/>
      <c r="AK838" s="34"/>
      <c r="AL838" s="34"/>
    </row>
    <row r="839" spans="12:38">
      <c r="L839" s="34"/>
      <c r="M839" s="34"/>
      <c r="N839" s="34"/>
      <c r="O839" s="34"/>
      <c r="P839" s="34"/>
      <c r="Q839" s="34"/>
      <c r="R839" s="34"/>
      <c r="S839" s="34"/>
      <c r="T839" s="34"/>
      <c r="U839" s="34"/>
      <c r="V839" s="34"/>
      <c r="AB839" s="34"/>
      <c r="AC839" s="34"/>
      <c r="AD839" s="34"/>
      <c r="AE839" s="34"/>
      <c r="AF839" s="34"/>
      <c r="AG839" s="34"/>
      <c r="AH839" s="34"/>
      <c r="AI839" s="34"/>
      <c r="AJ839" s="34"/>
      <c r="AK839" s="34"/>
      <c r="AL839" s="34"/>
    </row>
    <row r="840" spans="12:38">
      <c r="L840" s="34"/>
      <c r="M840" s="34"/>
      <c r="N840" s="34"/>
      <c r="O840" s="34"/>
      <c r="P840" s="34"/>
      <c r="Q840" s="34"/>
      <c r="R840" s="34"/>
      <c r="S840" s="34"/>
      <c r="T840" s="34"/>
      <c r="U840" s="34"/>
      <c r="V840" s="34"/>
      <c r="AB840" s="34"/>
      <c r="AC840" s="34"/>
      <c r="AD840" s="34"/>
      <c r="AE840" s="34"/>
      <c r="AF840" s="34"/>
      <c r="AG840" s="34"/>
      <c r="AH840" s="34"/>
      <c r="AI840" s="34"/>
      <c r="AJ840" s="34"/>
      <c r="AK840" s="34"/>
      <c r="AL840" s="34"/>
    </row>
    <row r="841" spans="12:38">
      <c r="L841" s="34"/>
      <c r="M841" s="34"/>
      <c r="N841" s="34"/>
      <c r="O841" s="34"/>
      <c r="P841" s="34"/>
      <c r="Q841" s="34"/>
      <c r="R841" s="34"/>
      <c r="S841" s="34"/>
      <c r="T841" s="34"/>
      <c r="U841" s="34"/>
      <c r="V841" s="34"/>
      <c r="AB841" s="34"/>
      <c r="AC841" s="34"/>
      <c r="AD841" s="34"/>
      <c r="AE841" s="34"/>
      <c r="AF841" s="34"/>
      <c r="AG841" s="34"/>
      <c r="AH841" s="34"/>
      <c r="AI841" s="34"/>
      <c r="AJ841" s="34"/>
      <c r="AK841" s="34"/>
      <c r="AL841" s="34"/>
    </row>
    <row r="842" spans="12:38">
      <c r="L842" s="34"/>
      <c r="M842" s="34"/>
      <c r="N842" s="34"/>
      <c r="O842" s="34"/>
      <c r="P842" s="34"/>
      <c r="Q842" s="34"/>
      <c r="R842" s="34"/>
      <c r="S842" s="34"/>
      <c r="T842" s="34"/>
      <c r="U842" s="34"/>
      <c r="V842" s="34"/>
      <c r="AB842" s="34"/>
      <c r="AC842" s="34"/>
      <c r="AD842" s="34"/>
      <c r="AE842" s="34"/>
      <c r="AF842" s="34"/>
      <c r="AG842" s="34"/>
      <c r="AH842" s="34"/>
      <c r="AI842" s="34"/>
      <c r="AJ842" s="34"/>
      <c r="AK842" s="34"/>
      <c r="AL842" s="34"/>
    </row>
    <row r="843" spans="12:38">
      <c r="L843" s="34"/>
      <c r="M843" s="34"/>
      <c r="N843" s="34"/>
      <c r="O843" s="34"/>
      <c r="P843" s="34"/>
      <c r="Q843" s="34"/>
      <c r="R843" s="34"/>
      <c r="S843" s="34"/>
      <c r="T843" s="34"/>
      <c r="U843" s="34"/>
      <c r="V843" s="34"/>
      <c r="AB843" s="34"/>
      <c r="AC843" s="34"/>
      <c r="AD843" s="34"/>
      <c r="AE843" s="34"/>
      <c r="AF843" s="34"/>
      <c r="AG843" s="34"/>
      <c r="AH843" s="34"/>
      <c r="AI843" s="34"/>
      <c r="AJ843" s="34"/>
      <c r="AK843" s="34"/>
      <c r="AL843" s="34"/>
    </row>
    <row r="844" spans="12:38">
      <c r="L844" s="34"/>
      <c r="M844" s="34"/>
      <c r="N844" s="34"/>
      <c r="O844" s="34"/>
      <c r="P844" s="34"/>
      <c r="Q844" s="34"/>
      <c r="R844" s="34"/>
      <c r="S844" s="34"/>
      <c r="T844" s="34"/>
      <c r="U844" s="34"/>
      <c r="V844" s="34"/>
      <c r="AB844" s="34"/>
      <c r="AC844" s="34"/>
      <c r="AD844" s="34"/>
      <c r="AE844" s="34"/>
      <c r="AF844" s="34"/>
      <c r="AG844" s="34"/>
      <c r="AH844" s="34"/>
      <c r="AI844" s="34"/>
      <c r="AJ844" s="34"/>
      <c r="AK844" s="34"/>
      <c r="AL844" s="34"/>
    </row>
    <row r="845" spans="12:38">
      <c r="L845" s="34"/>
      <c r="M845" s="34"/>
      <c r="N845" s="34"/>
      <c r="O845" s="34"/>
      <c r="P845" s="34"/>
      <c r="Q845" s="34"/>
      <c r="R845" s="34"/>
      <c r="S845" s="34"/>
      <c r="T845" s="34"/>
      <c r="U845" s="34"/>
      <c r="V845" s="34"/>
      <c r="AB845" s="34"/>
      <c r="AC845" s="34"/>
      <c r="AD845" s="34"/>
      <c r="AE845" s="34"/>
      <c r="AF845" s="34"/>
      <c r="AG845" s="34"/>
      <c r="AH845" s="34"/>
      <c r="AI845" s="34"/>
      <c r="AJ845" s="34"/>
      <c r="AK845" s="34"/>
      <c r="AL845" s="34"/>
    </row>
    <row r="846" spans="12:38">
      <c r="L846" s="34"/>
      <c r="M846" s="34"/>
      <c r="N846" s="34"/>
      <c r="O846" s="34"/>
      <c r="P846" s="34"/>
      <c r="Q846" s="34"/>
      <c r="R846" s="34"/>
      <c r="S846" s="34"/>
      <c r="T846" s="34"/>
      <c r="U846" s="34"/>
      <c r="V846" s="34"/>
      <c r="AB846" s="34"/>
      <c r="AC846" s="34"/>
      <c r="AD846" s="34"/>
      <c r="AE846" s="34"/>
      <c r="AF846" s="34"/>
      <c r="AG846" s="34"/>
      <c r="AH846" s="34"/>
      <c r="AI846" s="34"/>
      <c r="AJ846" s="34"/>
      <c r="AK846" s="34"/>
      <c r="AL846" s="34"/>
    </row>
    <row r="847" spans="12:38">
      <c r="L847" s="34"/>
      <c r="M847" s="34"/>
      <c r="N847" s="34"/>
      <c r="O847" s="34"/>
      <c r="P847" s="34"/>
      <c r="Q847" s="34"/>
      <c r="R847" s="34"/>
      <c r="S847" s="34"/>
      <c r="T847" s="34"/>
      <c r="U847" s="34"/>
      <c r="V847" s="34"/>
      <c r="AB847" s="34"/>
      <c r="AC847" s="34"/>
      <c r="AD847" s="34"/>
      <c r="AE847" s="34"/>
      <c r="AF847" s="34"/>
      <c r="AG847" s="34"/>
      <c r="AH847" s="34"/>
      <c r="AI847" s="34"/>
      <c r="AJ847" s="34"/>
      <c r="AK847" s="34"/>
      <c r="AL847" s="34"/>
    </row>
    <row r="848" spans="12:38">
      <c r="L848" s="34"/>
      <c r="M848" s="34"/>
      <c r="N848" s="34"/>
      <c r="O848" s="34"/>
      <c r="P848" s="34"/>
      <c r="Q848" s="34"/>
      <c r="R848" s="34"/>
      <c r="S848" s="34"/>
      <c r="T848" s="34"/>
      <c r="U848" s="34"/>
      <c r="V848" s="34"/>
      <c r="AB848" s="34"/>
      <c r="AC848" s="34"/>
      <c r="AD848" s="34"/>
      <c r="AE848" s="34"/>
      <c r="AF848" s="34"/>
      <c r="AG848" s="34"/>
      <c r="AH848" s="34"/>
      <c r="AI848" s="34"/>
      <c r="AJ848" s="34"/>
      <c r="AK848" s="34"/>
      <c r="AL848" s="34"/>
    </row>
    <row r="849" spans="12:38">
      <c r="L849" s="34"/>
      <c r="M849" s="34"/>
      <c r="N849" s="34"/>
      <c r="O849" s="34"/>
      <c r="P849" s="34"/>
      <c r="Q849" s="34"/>
      <c r="R849" s="34"/>
      <c r="S849" s="34"/>
      <c r="T849" s="34"/>
      <c r="U849" s="34"/>
      <c r="V849" s="34"/>
      <c r="AB849" s="34"/>
      <c r="AC849" s="34"/>
      <c r="AD849" s="34"/>
      <c r="AE849" s="34"/>
      <c r="AF849" s="34"/>
      <c r="AG849" s="34"/>
      <c r="AH849" s="34"/>
      <c r="AI849" s="34"/>
      <c r="AJ849" s="34"/>
      <c r="AK849" s="34"/>
      <c r="AL849" s="34"/>
    </row>
    <row r="850" spans="12:38">
      <c r="L850" s="34"/>
      <c r="M850" s="34"/>
      <c r="N850" s="34"/>
      <c r="O850" s="34"/>
      <c r="P850" s="34"/>
      <c r="Q850" s="34"/>
      <c r="R850" s="34"/>
      <c r="S850" s="34"/>
      <c r="T850" s="34"/>
      <c r="U850" s="34"/>
      <c r="V850" s="34"/>
      <c r="AB850" s="34"/>
      <c r="AC850" s="34"/>
      <c r="AD850" s="34"/>
      <c r="AE850" s="34"/>
      <c r="AF850" s="34"/>
      <c r="AG850" s="34"/>
      <c r="AH850" s="34"/>
      <c r="AI850" s="34"/>
      <c r="AJ850" s="34"/>
      <c r="AK850" s="34"/>
      <c r="AL850" s="34"/>
    </row>
    <row r="851" spans="12:38">
      <c r="L851" s="34"/>
      <c r="M851" s="34"/>
      <c r="N851" s="34"/>
      <c r="O851" s="34"/>
      <c r="P851" s="34"/>
      <c r="Q851" s="34"/>
      <c r="R851" s="34"/>
      <c r="S851" s="34"/>
      <c r="T851" s="34"/>
      <c r="U851" s="34"/>
      <c r="V851" s="34"/>
      <c r="AB851" s="34"/>
      <c r="AC851" s="34"/>
      <c r="AD851" s="34"/>
      <c r="AE851" s="34"/>
      <c r="AF851" s="34"/>
      <c r="AG851" s="34"/>
      <c r="AH851" s="34"/>
      <c r="AI851" s="34"/>
      <c r="AJ851" s="34"/>
      <c r="AK851" s="34"/>
      <c r="AL851" s="34"/>
    </row>
    <row r="852" spans="12:38">
      <c r="L852" s="34"/>
      <c r="M852" s="34"/>
      <c r="N852" s="34"/>
      <c r="O852" s="34"/>
      <c r="P852" s="34"/>
      <c r="Q852" s="34"/>
      <c r="R852" s="34"/>
      <c r="S852" s="34"/>
      <c r="T852" s="34"/>
      <c r="U852" s="34"/>
      <c r="V852" s="34"/>
      <c r="AB852" s="34"/>
      <c r="AC852" s="34"/>
      <c r="AD852" s="34"/>
      <c r="AE852" s="34"/>
      <c r="AF852" s="34"/>
      <c r="AG852" s="34"/>
      <c r="AH852" s="34"/>
      <c r="AI852" s="34"/>
      <c r="AJ852" s="34"/>
      <c r="AK852" s="34"/>
      <c r="AL852" s="34"/>
    </row>
    <row r="853" spans="12:38">
      <c r="L853" s="34"/>
      <c r="M853" s="34"/>
      <c r="N853" s="34"/>
      <c r="O853" s="34"/>
      <c r="P853" s="34"/>
      <c r="Q853" s="34"/>
      <c r="R853" s="34"/>
      <c r="S853" s="34"/>
      <c r="T853" s="34"/>
      <c r="U853" s="34"/>
      <c r="V853" s="34"/>
      <c r="AB853" s="34"/>
      <c r="AC853" s="34"/>
      <c r="AD853" s="34"/>
      <c r="AE853" s="34"/>
      <c r="AF853" s="34"/>
      <c r="AG853" s="34"/>
      <c r="AH853" s="34"/>
      <c r="AI853" s="34"/>
      <c r="AJ853" s="34"/>
      <c r="AK853" s="34"/>
      <c r="AL853" s="34"/>
    </row>
    <row r="854" spans="12:38">
      <c r="L854" s="34"/>
      <c r="M854" s="34"/>
      <c r="N854" s="34"/>
      <c r="O854" s="34"/>
      <c r="P854" s="34"/>
      <c r="Q854" s="34"/>
      <c r="R854" s="34"/>
      <c r="S854" s="34"/>
      <c r="T854" s="34"/>
      <c r="U854" s="34"/>
      <c r="V854" s="34"/>
      <c r="AB854" s="34"/>
      <c r="AC854" s="34"/>
      <c r="AD854" s="34"/>
      <c r="AE854" s="34"/>
      <c r="AF854" s="34"/>
      <c r="AG854" s="34"/>
      <c r="AH854" s="34"/>
      <c r="AI854" s="34"/>
      <c r="AJ854" s="34"/>
      <c r="AK854" s="34"/>
      <c r="AL854" s="34"/>
    </row>
    <row r="855" spans="12:38">
      <c r="L855" s="34"/>
      <c r="M855" s="34"/>
      <c r="N855" s="34"/>
      <c r="O855" s="34"/>
      <c r="P855" s="34"/>
      <c r="Q855" s="34"/>
      <c r="R855" s="34"/>
      <c r="S855" s="34"/>
      <c r="T855" s="34"/>
      <c r="U855" s="34"/>
      <c r="V855" s="34"/>
      <c r="AB855" s="34"/>
      <c r="AC855" s="34"/>
      <c r="AD855" s="34"/>
      <c r="AE855" s="34"/>
      <c r="AF855" s="34"/>
      <c r="AG855" s="34"/>
      <c r="AH855" s="34"/>
      <c r="AI855" s="34"/>
      <c r="AJ855" s="34"/>
      <c r="AK855" s="34"/>
      <c r="AL855" s="34"/>
    </row>
    <row r="856" spans="12:38">
      <c r="L856" s="34"/>
      <c r="M856" s="34"/>
      <c r="N856" s="34"/>
      <c r="O856" s="34"/>
      <c r="P856" s="34"/>
      <c r="Q856" s="34"/>
      <c r="R856" s="34"/>
      <c r="S856" s="34"/>
      <c r="T856" s="34"/>
      <c r="U856" s="34"/>
      <c r="V856" s="34"/>
      <c r="AB856" s="34"/>
      <c r="AC856" s="34"/>
      <c r="AD856" s="34"/>
      <c r="AE856" s="34"/>
      <c r="AF856" s="34"/>
      <c r="AG856" s="34"/>
      <c r="AH856" s="34"/>
      <c r="AI856" s="34"/>
      <c r="AJ856" s="34"/>
      <c r="AK856" s="34"/>
      <c r="AL856" s="34"/>
    </row>
    <row r="857" spans="12:38">
      <c r="L857" s="34"/>
      <c r="M857" s="34"/>
      <c r="N857" s="34"/>
      <c r="O857" s="34"/>
      <c r="P857" s="34"/>
      <c r="Q857" s="34"/>
      <c r="R857" s="34"/>
      <c r="S857" s="34"/>
      <c r="T857" s="34"/>
      <c r="U857" s="34"/>
      <c r="V857" s="34"/>
      <c r="AB857" s="34"/>
      <c r="AC857" s="34"/>
      <c r="AD857" s="34"/>
      <c r="AE857" s="34"/>
      <c r="AF857" s="34"/>
      <c r="AG857" s="34"/>
      <c r="AH857" s="34"/>
      <c r="AI857" s="34"/>
      <c r="AJ857" s="34"/>
      <c r="AK857" s="34"/>
      <c r="AL857" s="34"/>
    </row>
    <row r="858" spans="12:38">
      <c r="L858" s="34"/>
      <c r="M858" s="34"/>
      <c r="N858" s="34"/>
      <c r="O858" s="34"/>
      <c r="P858" s="34"/>
      <c r="Q858" s="34"/>
      <c r="R858" s="34"/>
      <c r="S858" s="34"/>
      <c r="T858" s="34"/>
      <c r="U858" s="34"/>
      <c r="V858" s="34"/>
      <c r="AB858" s="34"/>
      <c r="AC858" s="34"/>
      <c r="AD858" s="34"/>
      <c r="AE858" s="34"/>
      <c r="AF858" s="34"/>
      <c r="AG858" s="34"/>
      <c r="AH858" s="34"/>
      <c r="AI858" s="34"/>
      <c r="AJ858" s="34"/>
      <c r="AK858" s="34"/>
      <c r="AL858" s="34"/>
    </row>
    <row r="859" spans="12:38">
      <c r="L859" s="34"/>
      <c r="M859" s="34"/>
      <c r="N859" s="34"/>
      <c r="O859" s="34"/>
      <c r="P859" s="34"/>
      <c r="Q859" s="34"/>
      <c r="R859" s="34"/>
      <c r="S859" s="34"/>
      <c r="T859" s="34"/>
      <c r="U859" s="34"/>
      <c r="V859" s="34"/>
      <c r="AB859" s="34"/>
      <c r="AC859" s="34"/>
      <c r="AD859" s="34"/>
      <c r="AE859" s="34"/>
      <c r="AF859" s="34"/>
      <c r="AG859" s="34"/>
      <c r="AH859" s="34"/>
      <c r="AI859" s="34"/>
      <c r="AJ859" s="34"/>
      <c r="AK859" s="34"/>
      <c r="AL859" s="34"/>
    </row>
    <row r="860" spans="12:38">
      <c r="L860" s="34"/>
      <c r="M860" s="34"/>
      <c r="N860" s="34"/>
      <c r="O860" s="34"/>
      <c r="P860" s="34"/>
      <c r="Q860" s="34"/>
      <c r="R860" s="34"/>
      <c r="S860" s="34"/>
      <c r="T860" s="34"/>
      <c r="U860" s="34"/>
      <c r="V860" s="34"/>
      <c r="AB860" s="34"/>
      <c r="AC860" s="34"/>
      <c r="AD860" s="34"/>
      <c r="AE860" s="34"/>
      <c r="AF860" s="34"/>
      <c r="AG860" s="34"/>
      <c r="AH860" s="34"/>
      <c r="AI860" s="34"/>
      <c r="AJ860" s="34"/>
      <c r="AK860" s="34"/>
      <c r="AL860" s="34"/>
    </row>
    <row r="861" spans="12:38">
      <c r="L861" s="34"/>
      <c r="M861" s="34"/>
      <c r="N861" s="34"/>
      <c r="O861" s="34"/>
      <c r="P861" s="34"/>
      <c r="Q861" s="34"/>
      <c r="R861" s="34"/>
      <c r="S861" s="34"/>
      <c r="T861" s="34"/>
      <c r="U861" s="34"/>
      <c r="V861" s="34"/>
      <c r="AB861" s="34"/>
      <c r="AC861" s="34"/>
      <c r="AD861" s="34"/>
      <c r="AE861" s="34"/>
      <c r="AF861" s="34"/>
      <c r="AG861" s="34"/>
      <c r="AH861" s="34"/>
      <c r="AI861" s="34"/>
      <c r="AJ861" s="34"/>
      <c r="AK861" s="34"/>
      <c r="AL861" s="34"/>
    </row>
    <row r="862" spans="12:38">
      <c r="L862" s="34"/>
      <c r="M862" s="34"/>
      <c r="N862" s="34"/>
      <c r="O862" s="34"/>
      <c r="P862" s="34"/>
      <c r="Q862" s="34"/>
      <c r="R862" s="34"/>
      <c r="S862" s="34"/>
      <c r="T862" s="34"/>
      <c r="U862" s="34"/>
      <c r="V862" s="34"/>
      <c r="AB862" s="34"/>
      <c r="AC862" s="34"/>
      <c r="AD862" s="34"/>
      <c r="AE862" s="34"/>
      <c r="AF862" s="34"/>
      <c r="AG862" s="34"/>
      <c r="AH862" s="34"/>
      <c r="AI862" s="34"/>
      <c r="AJ862" s="34"/>
      <c r="AK862" s="34"/>
      <c r="AL862" s="34"/>
    </row>
    <row r="863" spans="12:38">
      <c r="L863" s="34"/>
      <c r="M863" s="34"/>
      <c r="N863" s="34"/>
      <c r="O863" s="34"/>
      <c r="P863" s="34"/>
      <c r="Q863" s="34"/>
      <c r="R863" s="34"/>
      <c r="S863" s="34"/>
      <c r="T863" s="34"/>
      <c r="U863" s="34"/>
      <c r="V863" s="34"/>
      <c r="AB863" s="34"/>
      <c r="AC863" s="34"/>
      <c r="AD863" s="34"/>
      <c r="AE863" s="34"/>
      <c r="AF863" s="34"/>
      <c r="AG863" s="34"/>
      <c r="AH863" s="34"/>
      <c r="AI863" s="34"/>
      <c r="AJ863" s="34"/>
      <c r="AK863" s="34"/>
      <c r="AL863" s="34"/>
    </row>
    <row r="864" spans="12:38">
      <c r="L864" s="34"/>
      <c r="M864" s="34"/>
      <c r="N864" s="34"/>
      <c r="O864" s="34"/>
      <c r="P864" s="34"/>
      <c r="Q864" s="34"/>
      <c r="R864" s="34"/>
      <c r="S864" s="34"/>
      <c r="T864" s="34"/>
      <c r="U864" s="34"/>
      <c r="V864" s="34"/>
      <c r="AB864" s="34"/>
      <c r="AC864" s="34"/>
      <c r="AD864" s="34"/>
      <c r="AE864" s="34"/>
      <c r="AF864" s="34"/>
      <c r="AG864" s="34"/>
      <c r="AH864" s="34"/>
      <c r="AI864" s="34"/>
      <c r="AJ864" s="34"/>
      <c r="AK864" s="34"/>
      <c r="AL864" s="34"/>
    </row>
    <row r="865" spans="12:38">
      <c r="L865" s="34"/>
      <c r="M865" s="34"/>
      <c r="N865" s="34"/>
      <c r="O865" s="34"/>
      <c r="P865" s="34"/>
      <c r="Q865" s="34"/>
      <c r="R865" s="34"/>
      <c r="S865" s="34"/>
      <c r="T865" s="34"/>
      <c r="U865" s="34"/>
      <c r="V865" s="34"/>
      <c r="AB865" s="34"/>
      <c r="AC865" s="34"/>
      <c r="AD865" s="34"/>
      <c r="AE865" s="34"/>
      <c r="AF865" s="34"/>
      <c r="AG865" s="34"/>
      <c r="AH865" s="34"/>
      <c r="AI865" s="34"/>
      <c r="AJ865" s="34"/>
      <c r="AK865" s="34"/>
      <c r="AL865" s="34"/>
    </row>
    <row r="866" spans="12:38">
      <c r="L866" s="34"/>
      <c r="M866" s="34"/>
      <c r="N866" s="34"/>
      <c r="O866" s="34"/>
      <c r="P866" s="34"/>
      <c r="Q866" s="34"/>
      <c r="R866" s="34"/>
      <c r="S866" s="34"/>
      <c r="T866" s="34"/>
      <c r="U866" s="34"/>
      <c r="V866" s="34"/>
      <c r="AB866" s="34"/>
      <c r="AC866" s="34"/>
      <c r="AD866" s="34"/>
      <c r="AE866" s="34"/>
      <c r="AF866" s="34"/>
      <c r="AG866" s="34"/>
      <c r="AH866" s="34"/>
      <c r="AI866" s="34"/>
      <c r="AJ866" s="34"/>
      <c r="AK866" s="34"/>
      <c r="AL866" s="34"/>
    </row>
    <row r="867" spans="12:38">
      <c r="L867" s="34"/>
      <c r="M867" s="34"/>
      <c r="N867" s="34"/>
      <c r="O867" s="34"/>
      <c r="P867" s="34"/>
      <c r="Q867" s="34"/>
      <c r="R867" s="34"/>
      <c r="S867" s="34"/>
      <c r="T867" s="34"/>
      <c r="U867" s="34"/>
      <c r="V867" s="34"/>
      <c r="AB867" s="34"/>
      <c r="AC867" s="34"/>
      <c r="AD867" s="34"/>
      <c r="AE867" s="34"/>
      <c r="AF867" s="34"/>
      <c r="AG867" s="34"/>
      <c r="AH867" s="34"/>
      <c r="AI867" s="34"/>
      <c r="AJ867" s="34"/>
      <c r="AK867" s="34"/>
      <c r="AL867" s="34"/>
    </row>
    <row r="868" spans="12:38">
      <c r="L868" s="34"/>
      <c r="M868" s="34"/>
      <c r="N868" s="34"/>
      <c r="O868" s="34"/>
      <c r="P868" s="34"/>
      <c r="Q868" s="34"/>
      <c r="R868" s="34"/>
      <c r="S868" s="34"/>
      <c r="T868" s="34"/>
      <c r="U868" s="34"/>
      <c r="V868" s="34"/>
      <c r="AB868" s="34"/>
      <c r="AC868" s="34"/>
      <c r="AD868" s="34"/>
      <c r="AE868" s="34"/>
      <c r="AF868" s="34"/>
      <c r="AG868" s="34"/>
      <c r="AH868" s="34"/>
      <c r="AI868" s="34"/>
      <c r="AJ868" s="34"/>
      <c r="AK868" s="34"/>
      <c r="AL868" s="34"/>
    </row>
    <row r="869" spans="12:38">
      <c r="L869" s="34"/>
      <c r="M869" s="34"/>
      <c r="N869" s="34"/>
      <c r="O869" s="34"/>
      <c r="P869" s="34"/>
      <c r="Q869" s="34"/>
      <c r="R869" s="34"/>
      <c r="S869" s="34"/>
      <c r="T869" s="34"/>
      <c r="U869" s="34"/>
      <c r="V869" s="34"/>
      <c r="AB869" s="34"/>
      <c r="AC869" s="34"/>
      <c r="AD869" s="34"/>
      <c r="AE869" s="34"/>
      <c r="AF869" s="34"/>
      <c r="AG869" s="34"/>
      <c r="AH869" s="34"/>
      <c r="AI869" s="34"/>
      <c r="AJ869" s="34"/>
      <c r="AK869" s="34"/>
      <c r="AL869" s="34"/>
    </row>
    <row r="870" spans="12:38">
      <c r="L870" s="34"/>
      <c r="M870" s="34"/>
      <c r="N870" s="34"/>
      <c r="O870" s="34"/>
      <c r="P870" s="34"/>
      <c r="Q870" s="34"/>
      <c r="R870" s="34"/>
      <c r="S870" s="34"/>
      <c r="T870" s="34"/>
      <c r="U870" s="34"/>
      <c r="V870" s="34"/>
      <c r="AB870" s="34"/>
      <c r="AC870" s="34"/>
      <c r="AD870" s="34"/>
      <c r="AE870" s="34"/>
      <c r="AF870" s="34"/>
      <c r="AG870" s="34"/>
      <c r="AH870" s="34"/>
      <c r="AI870" s="34"/>
      <c r="AJ870" s="34"/>
      <c r="AK870" s="34"/>
      <c r="AL870" s="34"/>
    </row>
    <row r="871" spans="12:38">
      <c r="L871" s="34"/>
      <c r="M871" s="34"/>
      <c r="N871" s="34"/>
      <c r="O871" s="34"/>
      <c r="P871" s="34"/>
      <c r="Q871" s="34"/>
      <c r="R871" s="34"/>
      <c r="S871" s="34"/>
      <c r="T871" s="34"/>
      <c r="U871" s="34"/>
      <c r="V871" s="34"/>
      <c r="AB871" s="34"/>
      <c r="AC871" s="34"/>
      <c r="AD871" s="34"/>
      <c r="AE871" s="34"/>
      <c r="AF871" s="34"/>
      <c r="AG871" s="34"/>
      <c r="AH871" s="34"/>
      <c r="AI871" s="34"/>
      <c r="AJ871" s="34"/>
      <c r="AK871" s="34"/>
      <c r="AL871" s="34"/>
    </row>
    <row r="872" spans="12:38">
      <c r="L872" s="34"/>
      <c r="M872" s="34"/>
      <c r="N872" s="34"/>
      <c r="O872" s="34"/>
      <c r="P872" s="34"/>
      <c r="Q872" s="34"/>
      <c r="R872" s="34"/>
      <c r="S872" s="34"/>
      <c r="T872" s="34"/>
      <c r="U872" s="34"/>
      <c r="V872" s="34"/>
      <c r="AB872" s="34"/>
      <c r="AC872" s="34"/>
      <c r="AD872" s="34"/>
      <c r="AE872" s="34"/>
      <c r="AF872" s="34"/>
      <c r="AG872" s="34"/>
      <c r="AH872" s="34"/>
      <c r="AI872" s="34"/>
      <c r="AJ872" s="34"/>
      <c r="AK872" s="34"/>
      <c r="AL872" s="34"/>
    </row>
    <row r="873" spans="12:38">
      <c r="L873" s="34"/>
      <c r="M873" s="34"/>
      <c r="N873" s="34"/>
      <c r="O873" s="34"/>
      <c r="P873" s="34"/>
      <c r="Q873" s="34"/>
      <c r="R873" s="34"/>
      <c r="S873" s="34"/>
      <c r="T873" s="34"/>
      <c r="U873" s="34"/>
      <c r="V873" s="34"/>
      <c r="AB873" s="34"/>
      <c r="AC873" s="34"/>
      <c r="AD873" s="34"/>
      <c r="AE873" s="34"/>
      <c r="AF873" s="34"/>
      <c r="AG873" s="34"/>
      <c r="AH873" s="34"/>
      <c r="AI873" s="34"/>
      <c r="AJ873" s="34"/>
      <c r="AK873" s="34"/>
      <c r="AL873" s="34"/>
    </row>
    <row r="874" spans="12:38">
      <c r="L874" s="34"/>
      <c r="M874" s="34"/>
      <c r="N874" s="34"/>
      <c r="O874" s="34"/>
      <c r="P874" s="34"/>
      <c r="Q874" s="34"/>
      <c r="R874" s="34"/>
      <c r="S874" s="34"/>
      <c r="T874" s="34"/>
      <c r="U874" s="34"/>
      <c r="V874" s="34"/>
      <c r="AB874" s="34"/>
      <c r="AC874" s="34"/>
      <c r="AD874" s="34"/>
      <c r="AE874" s="34"/>
      <c r="AF874" s="34"/>
      <c r="AG874" s="34"/>
      <c r="AH874" s="34"/>
      <c r="AI874" s="34"/>
      <c r="AJ874" s="34"/>
      <c r="AK874" s="34"/>
      <c r="AL874" s="34"/>
    </row>
    <row r="875" spans="12:38">
      <c r="L875" s="34"/>
      <c r="M875" s="34"/>
      <c r="N875" s="34"/>
      <c r="O875" s="34"/>
      <c r="P875" s="34"/>
      <c r="Q875" s="34"/>
      <c r="R875" s="34"/>
      <c r="S875" s="34"/>
      <c r="T875" s="34"/>
      <c r="U875" s="34"/>
      <c r="V875" s="34"/>
      <c r="AB875" s="34"/>
      <c r="AC875" s="34"/>
      <c r="AD875" s="34"/>
      <c r="AE875" s="34"/>
      <c r="AF875" s="34"/>
      <c r="AG875" s="34"/>
      <c r="AH875" s="34"/>
      <c r="AI875" s="34"/>
      <c r="AJ875" s="34"/>
      <c r="AK875" s="34"/>
      <c r="AL875" s="34"/>
    </row>
    <row r="876" spans="12:38">
      <c r="L876" s="34"/>
      <c r="M876" s="34"/>
      <c r="N876" s="34"/>
      <c r="O876" s="34"/>
      <c r="P876" s="34"/>
      <c r="Q876" s="34"/>
      <c r="R876" s="34"/>
      <c r="S876" s="34"/>
      <c r="T876" s="34"/>
      <c r="U876" s="34"/>
      <c r="V876" s="34"/>
      <c r="AB876" s="34"/>
      <c r="AC876" s="34"/>
      <c r="AD876" s="34"/>
      <c r="AE876" s="34"/>
      <c r="AF876" s="34"/>
      <c r="AG876" s="34"/>
      <c r="AH876" s="34"/>
      <c r="AI876" s="34"/>
      <c r="AJ876" s="34"/>
      <c r="AK876" s="34"/>
      <c r="AL876" s="34"/>
    </row>
    <row r="877" spans="12:38">
      <c r="L877" s="34"/>
      <c r="M877" s="34"/>
      <c r="N877" s="34"/>
      <c r="O877" s="34"/>
      <c r="P877" s="34"/>
      <c r="Q877" s="34"/>
      <c r="R877" s="34"/>
      <c r="S877" s="34"/>
      <c r="T877" s="34"/>
      <c r="U877" s="34"/>
      <c r="V877" s="34"/>
      <c r="AB877" s="34"/>
      <c r="AC877" s="34"/>
      <c r="AD877" s="34"/>
      <c r="AE877" s="34"/>
      <c r="AF877" s="34"/>
      <c r="AG877" s="34"/>
      <c r="AH877" s="34"/>
      <c r="AI877" s="34"/>
      <c r="AJ877" s="34"/>
      <c r="AK877" s="34"/>
      <c r="AL877" s="34"/>
    </row>
    <row r="878" spans="12:38">
      <c r="L878" s="34"/>
      <c r="M878" s="34"/>
      <c r="N878" s="34"/>
      <c r="O878" s="34"/>
      <c r="P878" s="34"/>
      <c r="Q878" s="34"/>
      <c r="R878" s="34"/>
      <c r="S878" s="34"/>
      <c r="T878" s="34"/>
      <c r="U878" s="34"/>
      <c r="V878" s="34"/>
      <c r="AB878" s="34"/>
      <c r="AC878" s="34"/>
      <c r="AD878" s="34"/>
      <c r="AE878" s="34"/>
      <c r="AF878" s="34"/>
      <c r="AG878" s="34"/>
      <c r="AH878" s="34"/>
      <c r="AI878" s="34"/>
      <c r="AJ878" s="34"/>
      <c r="AK878" s="34"/>
      <c r="AL878" s="34"/>
    </row>
    <row r="879" spans="12:38">
      <c r="L879" s="34"/>
      <c r="M879" s="34"/>
      <c r="N879" s="34"/>
      <c r="O879" s="34"/>
      <c r="P879" s="34"/>
      <c r="Q879" s="34"/>
      <c r="R879" s="34"/>
      <c r="S879" s="34"/>
      <c r="T879" s="34"/>
      <c r="U879" s="34"/>
      <c r="V879" s="34"/>
      <c r="AB879" s="34"/>
      <c r="AC879" s="34"/>
      <c r="AD879" s="34"/>
      <c r="AE879" s="34"/>
      <c r="AF879" s="34"/>
      <c r="AG879" s="34"/>
      <c r="AH879" s="34"/>
      <c r="AI879" s="34"/>
      <c r="AJ879" s="34"/>
      <c r="AK879" s="34"/>
      <c r="AL879" s="34"/>
    </row>
    <row r="880" spans="12:38">
      <c r="L880" s="34"/>
      <c r="M880" s="34"/>
      <c r="N880" s="34"/>
      <c r="O880" s="34"/>
      <c r="P880" s="34"/>
      <c r="Q880" s="34"/>
      <c r="R880" s="34"/>
      <c r="S880" s="34"/>
      <c r="T880" s="34"/>
      <c r="U880" s="34"/>
      <c r="V880" s="34"/>
      <c r="AB880" s="34"/>
      <c r="AC880" s="34"/>
      <c r="AD880" s="34"/>
      <c r="AE880" s="34"/>
      <c r="AF880" s="34"/>
      <c r="AG880" s="34"/>
      <c r="AH880" s="34"/>
      <c r="AI880" s="34"/>
      <c r="AJ880" s="34"/>
      <c r="AK880" s="34"/>
      <c r="AL880" s="34"/>
    </row>
    <row r="881" spans="12:38">
      <c r="L881" s="34"/>
      <c r="M881" s="34"/>
      <c r="N881" s="34"/>
      <c r="O881" s="34"/>
      <c r="P881" s="34"/>
      <c r="Q881" s="34"/>
      <c r="R881" s="34"/>
      <c r="S881" s="34"/>
      <c r="T881" s="34"/>
      <c r="U881" s="34"/>
      <c r="V881" s="34"/>
      <c r="AB881" s="34"/>
      <c r="AC881" s="34"/>
      <c r="AD881" s="34"/>
      <c r="AE881" s="34"/>
      <c r="AF881" s="34"/>
      <c r="AG881" s="34"/>
      <c r="AH881" s="34"/>
      <c r="AI881" s="34"/>
      <c r="AJ881" s="34"/>
      <c r="AK881" s="34"/>
      <c r="AL881" s="34"/>
    </row>
    <row r="882" spans="12:38">
      <c r="L882" s="34"/>
      <c r="M882" s="34"/>
      <c r="N882" s="34"/>
      <c r="O882" s="34"/>
      <c r="P882" s="34"/>
      <c r="Q882" s="34"/>
      <c r="R882" s="34"/>
      <c r="S882" s="34"/>
      <c r="T882" s="34"/>
      <c r="U882" s="34"/>
      <c r="V882" s="34"/>
      <c r="AB882" s="34"/>
      <c r="AC882" s="34"/>
      <c r="AD882" s="34"/>
      <c r="AE882" s="34"/>
      <c r="AF882" s="34"/>
      <c r="AG882" s="34"/>
      <c r="AH882" s="34"/>
      <c r="AI882" s="34"/>
      <c r="AJ882" s="34"/>
      <c r="AK882" s="34"/>
      <c r="AL882" s="34"/>
    </row>
    <row r="883" spans="12:38">
      <c r="L883" s="34"/>
      <c r="M883" s="34"/>
      <c r="N883" s="34"/>
      <c r="O883" s="34"/>
      <c r="P883" s="34"/>
      <c r="Q883" s="34"/>
      <c r="R883" s="34"/>
      <c r="S883" s="34"/>
      <c r="T883" s="34"/>
      <c r="U883" s="34"/>
      <c r="V883" s="34"/>
      <c r="AB883" s="34"/>
      <c r="AC883" s="34"/>
      <c r="AD883" s="34"/>
      <c r="AE883" s="34"/>
      <c r="AF883" s="34"/>
      <c r="AG883" s="34"/>
      <c r="AH883" s="34"/>
      <c r="AI883" s="34"/>
      <c r="AJ883" s="34"/>
      <c r="AK883" s="34"/>
      <c r="AL883" s="34"/>
    </row>
    <row r="884" spans="12:38">
      <c r="L884" s="34"/>
      <c r="M884" s="34"/>
      <c r="N884" s="34"/>
      <c r="O884" s="34"/>
      <c r="P884" s="34"/>
      <c r="Q884" s="34"/>
      <c r="R884" s="34"/>
      <c r="S884" s="34"/>
      <c r="T884" s="34"/>
      <c r="U884" s="34"/>
      <c r="V884" s="34"/>
      <c r="AB884" s="34"/>
      <c r="AC884" s="34"/>
      <c r="AD884" s="34"/>
      <c r="AE884" s="34"/>
      <c r="AF884" s="34"/>
      <c r="AG884" s="34"/>
      <c r="AH884" s="34"/>
      <c r="AI884" s="34"/>
      <c r="AJ884" s="34"/>
      <c r="AK884" s="34"/>
      <c r="AL884" s="34"/>
    </row>
    <row r="885" spans="12:38">
      <c r="L885" s="34"/>
      <c r="M885" s="34"/>
      <c r="N885" s="34"/>
      <c r="O885" s="34"/>
      <c r="P885" s="34"/>
      <c r="Q885" s="34"/>
      <c r="R885" s="34"/>
      <c r="S885" s="34"/>
      <c r="T885" s="34"/>
      <c r="U885" s="34"/>
      <c r="V885" s="34"/>
      <c r="AB885" s="34"/>
      <c r="AC885" s="34"/>
      <c r="AD885" s="34"/>
      <c r="AE885" s="34"/>
      <c r="AF885" s="34"/>
      <c r="AG885" s="34"/>
      <c r="AH885" s="34"/>
      <c r="AI885" s="34"/>
      <c r="AJ885" s="34"/>
      <c r="AK885" s="34"/>
      <c r="AL885" s="34"/>
    </row>
    <row r="886" spans="12:38">
      <c r="L886" s="34"/>
      <c r="M886" s="34"/>
      <c r="N886" s="34"/>
      <c r="O886" s="34"/>
      <c r="P886" s="34"/>
      <c r="Q886" s="34"/>
      <c r="R886" s="34"/>
      <c r="S886" s="34"/>
      <c r="T886" s="34"/>
      <c r="U886" s="34"/>
      <c r="V886" s="34"/>
      <c r="AB886" s="34"/>
      <c r="AC886" s="34"/>
      <c r="AD886" s="34"/>
      <c r="AE886" s="34"/>
      <c r="AF886" s="34"/>
      <c r="AG886" s="34"/>
      <c r="AH886" s="34"/>
      <c r="AI886" s="34"/>
      <c r="AJ886" s="34"/>
      <c r="AK886" s="34"/>
      <c r="AL886" s="34"/>
    </row>
    <row r="887" spans="12:38">
      <c r="L887" s="34"/>
      <c r="M887" s="34"/>
      <c r="N887" s="34"/>
      <c r="O887" s="34"/>
      <c r="P887" s="34"/>
      <c r="Q887" s="34"/>
      <c r="R887" s="34"/>
      <c r="S887" s="34"/>
      <c r="T887" s="34"/>
      <c r="U887" s="34"/>
      <c r="V887" s="34"/>
      <c r="AB887" s="34"/>
      <c r="AC887" s="34"/>
      <c r="AD887" s="34"/>
      <c r="AE887" s="34"/>
      <c r="AF887" s="34"/>
      <c r="AG887" s="34"/>
      <c r="AH887" s="34"/>
      <c r="AI887" s="34"/>
      <c r="AJ887" s="34"/>
      <c r="AK887" s="34"/>
      <c r="AL887" s="34"/>
    </row>
    <row r="888" spans="12:38">
      <c r="L888" s="34"/>
      <c r="M888" s="34"/>
      <c r="N888" s="34"/>
      <c r="O888" s="34"/>
      <c r="P888" s="34"/>
      <c r="Q888" s="34"/>
      <c r="R888" s="34"/>
      <c r="S888" s="34"/>
      <c r="T888" s="34"/>
      <c r="U888" s="34"/>
      <c r="V888" s="34"/>
      <c r="AB888" s="34"/>
      <c r="AC888" s="34"/>
      <c r="AD888" s="34"/>
      <c r="AE888" s="34"/>
      <c r="AF888" s="34"/>
      <c r="AG888" s="34"/>
      <c r="AH888" s="34"/>
      <c r="AI888" s="34"/>
      <c r="AJ888" s="34"/>
      <c r="AK888" s="34"/>
      <c r="AL888" s="34"/>
    </row>
    <row r="889" spans="12:38">
      <c r="L889" s="34"/>
      <c r="M889" s="34"/>
      <c r="N889" s="34"/>
      <c r="O889" s="34"/>
      <c r="P889" s="34"/>
      <c r="Q889" s="34"/>
      <c r="R889" s="34"/>
      <c r="S889" s="34"/>
      <c r="T889" s="34"/>
      <c r="U889" s="34"/>
      <c r="V889" s="34"/>
      <c r="AB889" s="34"/>
      <c r="AC889" s="34"/>
      <c r="AD889" s="34"/>
      <c r="AE889" s="34"/>
      <c r="AF889" s="34"/>
      <c r="AG889" s="34"/>
      <c r="AH889" s="34"/>
      <c r="AI889" s="34"/>
      <c r="AJ889" s="34"/>
      <c r="AK889" s="34"/>
      <c r="AL889" s="34"/>
    </row>
    <row r="890" spans="12:38">
      <c r="L890" s="34"/>
      <c r="M890" s="34"/>
      <c r="N890" s="34"/>
      <c r="O890" s="34"/>
      <c r="P890" s="34"/>
      <c r="Q890" s="34"/>
      <c r="R890" s="34"/>
      <c r="S890" s="34"/>
      <c r="T890" s="34"/>
      <c r="U890" s="34"/>
      <c r="V890" s="34"/>
      <c r="AB890" s="34"/>
      <c r="AC890" s="34"/>
      <c r="AD890" s="34"/>
      <c r="AE890" s="34"/>
      <c r="AF890" s="34"/>
      <c r="AG890" s="34"/>
      <c r="AH890" s="34"/>
      <c r="AI890" s="34"/>
      <c r="AJ890" s="34"/>
      <c r="AK890" s="34"/>
      <c r="AL890" s="34"/>
    </row>
    <row r="891" spans="12:38">
      <c r="L891" s="34"/>
      <c r="M891" s="34"/>
      <c r="N891" s="34"/>
      <c r="O891" s="34"/>
      <c r="P891" s="34"/>
      <c r="Q891" s="34"/>
      <c r="R891" s="34"/>
      <c r="S891" s="34"/>
      <c r="T891" s="34"/>
      <c r="U891" s="34"/>
      <c r="V891" s="34"/>
      <c r="AB891" s="34"/>
      <c r="AC891" s="34"/>
      <c r="AD891" s="34"/>
      <c r="AE891" s="34"/>
      <c r="AF891" s="34"/>
      <c r="AG891" s="34"/>
      <c r="AH891" s="34"/>
      <c r="AI891" s="34"/>
      <c r="AJ891" s="34"/>
      <c r="AK891" s="34"/>
      <c r="AL891" s="34"/>
    </row>
    <row r="892" spans="12:38">
      <c r="L892" s="34"/>
      <c r="M892" s="34"/>
      <c r="N892" s="34"/>
      <c r="O892" s="34"/>
      <c r="P892" s="34"/>
      <c r="Q892" s="34"/>
      <c r="R892" s="34"/>
      <c r="S892" s="34"/>
      <c r="T892" s="34"/>
      <c r="U892" s="34"/>
      <c r="V892" s="34"/>
      <c r="AB892" s="34"/>
      <c r="AC892" s="34"/>
      <c r="AD892" s="34"/>
      <c r="AE892" s="34"/>
      <c r="AF892" s="34"/>
      <c r="AG892" s="34"/>
      <c r="AH892" s="34"/>
      <c r="AI892" s="34"/>
      <c r="AJ892" s="34"/>
      <c r="AK892" s="34"/>
      <c r="AL892" s="34"/>
    </row>
    <row r="893" spans="12:38">
      <c r="L893" s="34"/>
      <c r="M893" s="34"/>
      <c r="N893" s="34"/>
      <c r="O893" s="34"/>
      <c r="P893" s="34"/>
      <c r="Q893" s="34"/>
      <c r="R893" s="34"/>
      <c r="S893" s="34"/>
      <c r="T893" s="34"/>
      <c r="U893" s="34"/>
      <c r="V893" s="34"/>
      <c r="AB893" s="34"/>
      <c r="AC893" s="34"/>
      <c r="AD893" s="34"/>
      <c r="AE893" s="34"/>
      <c r="AF893" s="34"/>
      <c r="AG893" s="34"/>
      <c r="AH893" s="34"/>
      <c r="AI893" s="34"/>
      <c r="AJ893" s="34"/>
      <c r="AK893" s="34"/>
      <c r="AL893" s="34"/>
    </row>
    <row r="894" spans="12:38">
      <c r="L894" s="34"/>
      <c r="M894" s="34"/>
      <c r="N894" s="34"/>
      <c r="O894" s="34"/>
      <c r="P894" s="34"/>
      <c r="Q894" s="34"/>
      <c r="R894" s="34"/>
      <c r="S894" s="34"/>
      <c r="T894" s="34"/>
      <c r="U894" s="34"/>
      <c r="V894" s="34"/>
      <c r="AB894" s="34"/>
      <c r="AC894" s="34"/>
      <c r="AD894" s="34"/>
      <c r="AE894" s="34"/>
      <c r="AF894" s="34"/>
      <c r="AG894" s="34"/>
      <c r="AH894" s="34"/>
      <c r="AI894" s="34"/>
      <c r="AJ894" s="34"/>
      <c r="AK894" s="34"/>
      <c r="AL894" s="34"/>
    </row>
    <row r="895" spans="12:38">
      <c r="L895" s="34"/>
      <c r="M895" s="34"/>
      <c r="N895" s="34"/>
      <c r="O895" s="34"/>
      <c r="P895" s="34"/>
      <c r="Q895" s="34"/>
      <c r="R895" s="34"/>
      <c r="S895" s="34"/>
      <c r="T895" s="34"/>
      <c r="U895" s="34"/>
      <c r="V895" s="34"/>
      <c r="AB895" s="34"/>
      <c r="AC895" s="34"/>
      <c r="AD895" s="34"/>
      <c r="AE895" s="34"/>
      <c r="AF895" s="34"/>
      <c r="AG895" s="34"/>
      <c r="AH895" s="34"/>
      <c r="AI895" s="34"/>
      <c r="AJ895" s="34"/>
      <c r="AK895" s="34"/>
      <c r="AL895" s="34"/>
    </row>
    <row r="896" spans="12:38">
      <c r="L896" s="34"/>
      <c r="M896" s="34"/>
      <c r="N896" s="34"/>
      <c r="O896" s="34"/>
      <c r="P896" s="34"/>
      <c r="Q896" s="34"/>
      <c r="R896" s="34"/>
      <c r="S896" s="34"/>
      <c r="T896" s="34"/>
      <c r="U896" s="34"/>
      <c r="V896" s="34"/>
      <c r="AB896" s="34"/>
      <c r="AC896" s="34"/>
      <c r="AD896" s="34"/>
      <c r="AE896" s="34"/>
      <c r="AF896" s="34"/>
      <c r="AG896" s="34"/>
      <c r="AH896" s="34"/>
      <c r="AI896" s="34"/>
      <c r="AJ896" s="34"/>
      <c r="AK896" s="34"/>
      <c r="AL896" s="34"/>
    </row>
    <row r="897" spans="12:38">
      <c r="L897" s="34"/>
      <c r="M897" s="34"/>
      <c r="N897" s="34"/>
      <c r="O897" s="34"/>
      <c r="P897" s="34"/>
      <c r="Q897" s="34"/>
      <c r="R897" s="34"/>
      <c r="S897" s="34"/>
      <c r="T897" s="34"/>
      <c r="U897" s="34"/>
      <c r="V897" s="34"/>
      <c r="AB897" s="34"/>
      <c r="AC897" s="34"/>
      <c r="AD897" s="34"/>
      <c r="AE897" s="34"/>
      <c r="AF897" s="34"/>
      <c r="AG897" s="34"/>
      <c r="AH897" s="34"/>
      <c r="AI897" s="34"/>
      <c r="AJ897" s="34"/>
      <c r="AK897" s="34"/>
      <c r="AL897" s="34"/>
    </row>
    <row r="898" spans="12:38">
      <c r="L898" s="34"/>
      <c r="M898" s="34"/>
      <c r="N898" s="34"/>
      <c r="O898" s="34"/>
      <c r="P898" s="34"/>
      <c r="Q898" s="34"/>
      <c r="R898" s="34"/>
      <c r="S898" s="34"/>
      <c r="T898" s="34"/>
      <c r="U898" s="34"/>
      <c r="V898" s="34"/>
      <c r="AB898" s="34"/>
      <c r="AC898" s="34"/>
      <c r="AD898" s="34"/>
      <c r="AE898" s="34"/>
      <c r="AF898" s="34"/>
      <c r="AG898" s="34"/>
      <c r="AH898" s="34"/>
      <c r="AI898" s="34"/>
      <c r="AJ898" s="34"/>
      <c r="AK898" s="34"/>
      <c r="AL898" s="34"/>
    </row>
    <row r="899" spans="12:38">
      <c r="L899" s="34"/>
      <c r="M899" s="34"/>
      <c r="N899" s="34"/>
      <c r="O899" s="34"/>
      <c r="P899" s="34"/>
      <c r="Q899" s="34"/>
      <c r="R899" s="34"/>
      <c r="S899" s="34"/>
      <c r="T899" s="34"/>
      <c r="U899" s="34"/>
      <c r="V899" s="34"/>
      <c r="AB899" s="34"/>
      <c r="AC899" s="34"/>
      <c r="AD899" s="34"/>
      <c r="AE899" s="34"/>
      <c r="AF899" s="34"/>
      <c r="AG899" s="34"/>
      <c r="AH899" s="34"/>
      <c r="AI899" s="34"/>
      <c r="AJ899" s="34"/>
      <c r="AK899" s="34"/>
      <c r="AL899" s="34"/>
    </row>
    <row r="900" spans="12:38">
      <c r="L900" s="34"/>
      <c r="M900" s="34"/>
      <c r="N900" s="34"/>
      <c r="O900" s="34"/>
      <c r="P900" s="34"/>
      <c r="Q900" s="34"/>
      <c r="R900" s="34"/>
      <c r="S900" s="34"/>
      <c r="T900" s="34"/>
      <c r="U900" s="34"/>
      <c r="V900" s="34"/>
      <c r="AB900" s="34"/>
      <c r="AC900" s="34"/>
      <c r="AD900" s="34"/>
      <c r="AE900" s="34"/>
      <c r="AF900" s="34"/>
      <c r="AG900" s="34"/>
      <c r="AH900" s="34"/>
      <c r="AI900" s="34"/>
      <c r="AJ900" s="34"/>
      <c r="AK900" s="34"/>
      <c r="AL900" s="34"/>
    </row>
    <row r="901" spans="12:38">
      <c r="L901" s="34"/>
      <c r="M901" s="34"/>
      <c r="N901" s="34"/>
      <c r="O901" s="34"/>
      <c r="P901" s="34"/>
      <c r="Q901" s="34"/>
      <c r="R901" s="34"/>
      <c r="S901" s="34"/>
      <c r="T901" s="34"/>
      <c r="U901" s="34"/>
      <c r="V901" s="34"/>
      <c r="AB901" s="34"/>
      <c r="AC901" s="34"/>
      <c r="AD901" s="34"/>
      <c r="AE901" s="34"/>
      <c r="AF901" s="34"/>
      <c r="AG901" s="34"/>
      <c r="AH901" s="34"/>
      <c r="AI901" s="34"/>
      <c r="AJ901" s="34"/>
      <c r="AK901" s="34"/>
      <c r="AL901" s="34"/>
    </row>
    <row r="902" spans="12:38">
      <c r="L902" s="34"/>
      <c r="M902" s="34"/>
      <c r="N902" s="34"/>
      <c r="O902" s="34"/>
      <c r="P902" s="34"/>
      <c r="Q902" s="34"/>
      <c r="R902" s="34"/>
      <c r="S902" s="34"/>
      <c r="T902" s="34"/>
      <c r="U902" s="34"/>
      <c r="V902" s="34"/>
      <c r="AB902" s="34"/>
      <c r="AC902" s="34"/>
      <c r="AD902" s="34"/>
      <c r="AE902" s="34"/>
      <c r="AF902" s="34"/>
      <c r="AG902" s="34"/>
      <c r="AH902" s="34"/>
      <c r="AI902" s="34"/>
      <c r="AJ902" s="34"/>
      <c r="AK902" s="34"/>
      <c r="AL902" s="34"/>
    </row>
    <row r="903" spans="12:38">
      <c r="L903" s="34"/>
      <c r="M903" s="34"/>
      <c r="N903" s="34"/>
      <c r="O903" s="34"/>
      <c r="P903" s="34"/>
      <c r="Q903" s="34"/>
      <c r="R903" s="34"/>
      <c r="S903" s="34"/>
      <c r="T903" s="34"/>
      <c r="U903" s="34"/>
      <c r="V903" s="34"/>
      <c r="AB903" s="34"/>
      <c r="AC903" s="34"/>
      <c r="AD903" s="34"/>
      <c r="AE903" s="34"/>
      <c r="AF903" s="34"/>
      <c r="AG903" s="34"/>
      <c r="AH903" s="34"/>
      <c r="AI903" s="34"/>
      <c r="AJ903" s="34"/>
      <c r="AK903" s="34"/>
      <c r="AL903" s="34"/>
    </row>
    <row r="904" spans="12:38">
      <c r="L904" s="34"/>
      <c r="M904" s="34"/>
      <c r="N904" s="34"/>
      <c r="O904" s="34"/>
      <c r="P904" s="34"/>
      <c r="Q904" s="34"/>
      <c r="R904" s="34"/>
      <c r="S904" s="34"/>
      <c r="T904" s="34"/>
      <c r="U904" s="34"/>
      <c r="V904" s="34"/>
      <c r="AB904" s="34"/>
      <c r="AC904" s="34"/>
      <c r="AD904" s="34"/>
      <c r="AE904" s="34"/>
      <c r="AF904" s="34"/>
      <c r="AG904" s="34"/>
      <c r="AH904" s="34"/>
      <c r="AI904" s="34"/>
      <c r="AJ904" s="34"/>
      <c r="AK904" s="34"/>
      <c r="AL904" s="34"/>
    </row>
    <row r="905" spans="12:38">
      <c r="L905" s="34"/>
      <c r="M905" s="34"/>
      <c r="N905" s="34"/>
      <c r="O905" s="34"/>
      <c r="P905" s="34"/>
      <c r="Q905" s="34"/>
      <c r="R905" s="34"/>
      <c r="S905" s="34"/>
      <c r="T905" s="34"/>
      <c r="U905" s="34"/>
      <c r="V905" s="34"/>
      <c r="AB905" s="34"/>
      <c r="AC905" s="34"/>
      <c r="AD905" s="34"/>
      <c r="AE905" s="34"/>
      <c r="AF905" s="34"/>
      <c r="AG905" s="34"/>
      <c r="AH905" s="34"/>
      <c r="AI905" s="34"/>
      <c r="AJ905" s="34"/>
      <c r="AK905" s="34"/>
      <c r="AL905" s="34"/>
    </row>
    <row r="906" spans="12:38">
      <c r="L906" s="34"/>
      <c r="M906" s="34"/>
      <c r="N906" s="34"/>
      <c r="O906" s="34"/>
      <c r="P906" s="34"/>
      <c r="Q906" s="34"/>
      <c r="R906" s="34"/>
      <c r="S906" s="34"/>
      <c r="T906" s="34"/>
      <c r="U906" s="34"/>
      <c r="V906" s="34"/>
      <c r="AB906" s="34"/>
      <c r="AC906" s="34"/>
      <c r="AD906" s="34"/>
      <c r="AE906" s="34"/>
      <c r="AF906" s="34"/>
      <c r="AG906" s="34"/>
      <c r="AH906" s="34"/>
      <c r="AI906" s="34"/>
      <c r="AJ906" s="34"/>
      <c r="AK906" s="34"/>
      <c r="AL906" s="34"/>
    </row>
    <row r="907" spans="12:38">
      <c r="L907" s="34"/>
      <c r="M907" s="34"/>
      <c r="N907" s="34"/>
      <c r="O907" s="34"/>
      <c r="P907" s="34"/>
      <c r="Q907" s="34"/>
      <c r="R907" s="34"/>
      <c r="S907" s="34"/>
      <c r="T907" s="34"/>
      <c r="U907" s="34"/>
      <c r="V907" s="34"/>
      <c r="AB907" s="34"/>
      <c r="AC907" s="34"/>
      <c r="AD907" s="34"/>
      <c r="AE907" s="34"/>
      <c r="AF907" s="34"/>
      <c r="AG907" s="34"/>
      <c r="AH907" s="34"/>
      <c r="AI907" s="34"/>
      <c r="AJ907" s="34"/>
      <c r="AK907" s="34"/>
      <c r="AL907" s="34"/>
    </row>
    <row r="908" spans="12:38">
      <c r="L908" s="34"/>
      <c r="M908" s="34"/>
      <c r="N908" s="34"/>
      <c r="O908" s="34"/>
      <c r="P908" s="34"/>
      <c r="Q908" s="34"/>
      <c r="R908" s="34"/>
      <c r="S908" s="34"/>
      <c r="T908" s="34"/>
      <c r="U908" s="34"/>
      <c r="V908" s="34"/>
      <c r="AB908" s="34"/>
      <c r="AC908" s="34"/>
      <c r="AD908" s="34"/>
      <c r="AE908" s="34"/>
      <c r="AF908" s="34"/>
      <c r="AG908" s="34"/>
      <c r="AH908" s="34"/>
      <c r="AI908" s="34"/>
      <c r="AJ908" s="34"/>
      <c r="AK908" s="34"/>
      <c r="AL908" s="34"/>
    </row>
    <row r="909" spans="12:38">
      <c r="L909" s="34"/>
      <c r="M909" s="34"/>
      <c r="N909" s="34"/>
      <c r="O909" s="34"/>
      <c r="P909" s="34"/>
      <c r="Q909" s="34"/>
      <c r="R909" s="34"/>
      <c r="S909" s="34"/>
      <c r="T909" s="34"/>
      <c r="U909" s="34"/>
      <c r="V909" s="34"/>
      <c r="AB909" s="34"/>
      <c r="AC909" s="34"/>
      <c r="AD909" s="34"/>
      <c r="AE909" s="34"/>
      <c r="AF909" s="34"/>
      <c r="AG909" s="34"/>
      <c r="AH909" s="34"/>
      <c r="AI909" s="34"/>
      <c r="AJ909" s="34"/>
      <c r="AK909" s="34"/>
      <c r="AL909" s="34"/>
    </row>
    <row r="910" spans="12:38">
      <c r="L910" s="34"/>
      <c r="M910" s="34"/>
      <c r="N910" s="34"/>
      <c r="O910" s="34"/>
      <c r="P910" s="34"/>
      <c r="Q910" s="34"/>
      <c r="R910" s="34"/>
      <c r="S910" s="34"/>
      <c r="T910" s="34"/>
      <c r="U910" s="34"/>
      <c r="V910" s="34"/>
      <c r="AB910" s="34"/>
      <c r="AC910" s="34"/>
      <c r="AD910" s="34"/>
      <c r="AE910" s="34"/>
      <c r="AF910" s="34"/>
      <c r="AG910" s="34"/>
      <c r="AH910" s="34"/>
      <c r="AI910" s="34"/>
      <c r="AJ910" s="34"/>
      <c r="AK910" s="34"/>
      <c r="AL910" s="34"/>
    </row>
    <row r="911" spans="12:38">
      <c r="L911" s="34"/>
      <c r="M911" s="34"/>
      <c r="N911" s="34"/>
      <c r="O911" s="34"/>
      <c r="P911" s="34"/>
      <c r="Q911" s="34"/>
      <c r="R911" s="34"/>
      <c r="S911" s="34"/>
      <c r="T911" s="34"/>
      <c r="U911" s="34"/>
      <c r="V911" s="34"/>
      <c r="AB911" s="34"/>
      <c r="AC911" s="34"/>
      <c r="AD911" s="34"/>
      <c r="AE911" s="34"/>
      <c r="AF911" s="34"/>
      <c r="AG911" s="34"/>
      <c r="AH911" s="34"/>
      <c r="AI911" s="34"/>
      <c r="AJ911" s="34"/>
      <c r="AK911" s="34"/>
      <c r="AL911" s="34"/>
    </row>
    <row r="912" spans="12:38">
      <c r="L912" s="34"/>
      <c r="M912" s="34"/>
      <c r="N912" s="34"/>
      <c r="O912" s="34"/>
      <c r="P912" s="34"/>
      <c r="Q912" s="34"/>
      <c r="R912" s="34"/>
      <c r="S912" s="34"/>
      <c r="T912" s="34"/>
      <c r="U912" s="34"/>
      <c r="V912" s="34"/>
      <c r="AB912" s="34"/>
      <c r="AC912" s="34"/>
      <c r="AD912" s="34"/>
      <c r="AE912" s="34"/>
      <c r="AF912" s="34"/>
      <c r="AG912" s="34"/>
      <c r="AH912" s="34"/>
      <c r="AI912" s="34"/>
      <c r="AJ912" s="34"/>
      <c r="AK912" s="34"/>
      <c r="AL912" s="34"/>
    </row>
    <row r="913" spans="12:38">
      <c r="L913" s="34"/>
      <c r="M913" s="34"/>
      <c r="N913" s="34"/>
      <c r="O913" s="34"/>
      <c r="P913" s="34"/>
      <c r="Q913" s="34"/>
      <c r="R913" s="34"/>
      <c r="S913" s="34"/>
      <c r="T913" s="34"/>
      <c r="U913" s="34"/>
      <c r="V913" s="34"/>
      <c r="AB913" s="34"/>
      <c r="AC913" s="34"/>
      <c r="AD913" s="34"/>
      <c r="AE913" s="34"/>
      <c r="AF913" s="34"/>
      <c r="AG913" s="34"/>
      <c r="AH913" s="34"/>
      <c r="AI913" s="34"/>
      <c r="AJ913" s="34"/>
      <c r="AK913" s="34"/>
      <c r="AL913" s="34"/>
    </row>
    <row r="914" spans="12:38">
      <c r="L914" s="34"/>
      <c r="M914" s="34"/>
      <c r="N914" s="34"/>
      <c r="O914" s="34"/>
      <c r="P914" s="34"/>
      <c r="Q914" s="34"/>
      <c r="R914" s="34"/>
      <c r="S914" s="34"/>
      <c r="T914" s="34"/>
      <c r="U914" s="34"/>
      <c r="V914" s="34"/>
      <c r="AB914" s="34"/>
      <c r="AC914" s="34"/>
      <c r="AD914" s="34"/>
      <c r="AE914" s="34"/>
      <c r="AF914" s="34"/>
      <c r="AG914" s="34"/>
      <c r="AH914" s="34"/>
      <c r="AI914" s="34"/>
      <c r="AJ914" s="34"/>
      <c r="AK914" s="34"/>
      <c r="AL914" s="34"/>
    </row>
    <row r="915" spans="12:38">
      <c r="L915" s="34"/>
      <c r="M915" s="34"/>
      <c r="N915" s="34"/>
      <c r="O915" s="34"/>
      <c r="P915" s="34"/>
      <c r="Q915" s="34"/>
      <c r="R915" s="34"/>
      <c r="S915" s="34"/>
      <c r="T915" s="34"/>
      <c r="U915" s="34"/>
      <c r="V915" s="34"/>
      <c r="AB915" s="34"/>
      <c r="AC915" s="34"/>
      <c r="AD915" s="34"/>
      <c r="AE915" s="34"/>
      <c r="AF915" s="34"/>
      <c r="AG915" s="34"/>
      <c r="AH915" s="34"/>
      <c r="AI915" s="34"/>
      <c r="AJ915" s="34"/>
      <c r="AK915" s="34"/>
      <c r="AL915" s="34"/>
    </row>
    <row r="916" spans="12:38">
      <c r="L916" s="34"/>
      <c r="M916" s="34"/>
      <c r="N916" s="34"/>
      <c r="O916" s="34"/>
      <c r="P916" s="34"/>
      <c r="Q916" s="34"/>
      <c r="R916" s="34"/>
      <c r="S916" s="34"/>
      <c r="T916" s="34"/>
      <c r="U916" s="34"/>
      <c r="V916" s="34"/>
      <c r="AB916" s="34"/>
      <c r="AC916" s="34"/>
      <c r="AD916" s="34"/>
      <c r="AE916" s="34"/>
      <c r="AF916" s="34"/>
      <c r="AG916" s="34"/>
      <c r="AH916" s="34"/>
      <c r="AI916" s="34"/>
      <c r="AJ916" s="34"/>
      <c r="AK916" s="34"/>
      <c r="AL916" s="34"/>
    </row>
    <row r="917" spans="12:38">
      <c r="L917" s="34"/>
      <c r="M917" s="34"/>
      <c r="N917" s="34"/>
      <c r="O917" s="34"/>
      <c r="P917" s="34"/>
      <c r="Q917" s="34"/>
      <c r="R917" s="34"/>
      <c r="S917" s="34"/>
      <c r="T917" s="34"/>
      <c r="U917" s="34"/>
      <c r="V917" s="34"/>
      <c r="AB917" s="34"/>
      <c r="AC917" s="34"/>
      <c r="AD917" s="34"/>
      <c r="AE917" s="34"/>
      <c r="AF917" s="34"/>
      <c r="AG917" s="34"/>
      <c r="AH917" s="34"/>
      <c r="AI917" s="34"/>
      <c r="AJ917" s="34"/>
      <c r="AK917" s="34"/>
      <c r="AL917" s="34"/>
    </row>
    <row r="918" spans="12:38">
      <c r="L918" s="34"/>
      <c r="M918" s="34"/>
      <c r="N918" s="34"/>
      <c r="O918" s="34"/>
      <c r="P918" s="34"/>
      <c r="Q918" s="34"/>
      <c r="R918" s="34"/>
      <c r="S918" s="34"/>
      <c r="T918" s="34"/>
      <c r="U918" s="34"/>
      <c r="V918" s="34"/>
      <c r="AB918" s="34"/>
      <c r="AC918" s="34"/>
      <c r="AD918" s="34"/>
      <c r="AE918" s="34"/>
      <c r="AF918" s="34"/>
      <c r="AG918" s="34"/>
      <c r="AH918" s="34"/>
      <c r="AI918" s="34"/>
      <c r="AJ918" s="34"/>
      <c r="AK918" s="34"/>
      <c r="AL918" s="34"/>
    </row>
    <row r="919" spans="12:38">
      <c r="L919" s="34"/>
      <c r="M919" s="34"/>
      <c r="N919" s="34"/>
      <c r="O919" s="34"/>
      <c r="P919" s="34"/>
      <c r="Q919" s="34"/>
      <c r="R919" s="34"/>
      <c r="S919" s="34"/>
      <c r="T919" s="34"/>
      <c r="U919" s="34"/>
      <c r="V919" s="34"/>
      <c r="AB919" s="34"/>
      <c r="AC919" s="34"/>
      <c r="AD919" s="34"/>
      <c r="AE919" s="34"/>
      <c r="AF919" s="34"/>
      <c r="AG919" s="34"/>
      <c r="AH919" s="34"/>
      <c r="AI919" s="34"/>
      <c r="AJ919" s="34"/>
      <c r="AK919" s="34"/>
      <c r="AL919" s="34"/>
    </row>
    <row r="920" spans="12:38">
      <c r="L920" s="34"/>
      <c r="M920" s="34"/>
      <c r="N920" s="34"/>
      <c r="O920" s="34"/>
      <c r="P920" s="34"/>
      <c r="Q920" s="34"/>
      <c r="R920" s="34"/>
      <c r="S920" s="34"/>
      <c r="T920" s="34"/>
      <c r="U920" s="34"/>
      <c r="V920" s="34"/>
      <c r="AB920" s="34"/>
      <c r="AC920" s="34"/>
      <c r="AD920" s="34"/>
      <c r="AE920" s="34"/>
      <c r="AF920" s="34"/>
      <c r="AG920" s="34"/>
      <c r="AH920" s="34"/>
      <c r="AI920" s="34"/>
      <c r="AJ920" s="34"/>
      <c r="AK920" s="34"/>
      <c r="AL920" s="34"/>
    </row>
    <row r="921" spans="12:38">
      <c r="L921" s="34"/>
      <c r="M921" s="34"/>
      <c r="N921" s="34"/>
      <c r="O921" s="34"/>
      <c r="P921" s="34"/>
      <c r="Q921" s="34"/>
      <c r="R921" s="34"/>
      <c r="S921" s="34"/>
      <c r="T921" s="34"/>
      <c r="U921" s="34"/>
      <c r="V921" s="34"/>
      <c r="AB921" s="34"/>
      <c r="AC921" s="34"/>
      <c r="AD921" s="34"/>
      <c r="AE921" s="34"/>
      <c r="AF921" s="34"/>
      <c r="AG921" s="34"/>
      <c r="AH921" s="34"/>
      <c r="AI921" s="34"/>
      <c r="AJ921" s="34"/>
      <c r="AK921" s="34"/>
      <c r="AL921" s="34"/>
    </row>
    <row r="922" spans="12:38">
      <c r="L922" s="34"/>
      <c r="M922" s="34"/>
      <c r="N922" s="34"/>
      <c r="O922" s="34"/>
      <c r="P922" s="34"/>
      <c r="Q922" s="34"/>
      <c r="R922" s="34"/>
      <c r="S922" s="34"/>
      <c r="T922" s="34"/>
      <c r="U922" s="34"/>
      <c r="V922" s="34"/>
      <c r="AB922" s="34"/>
      <c r="AC922" s="34"/>
      <c r="AD922" s="34"/>
      <c r="AE922" s="34"/>
      <c r="AF922" s="34"/>
      <c r="AG922" s="34"/>
      <c r="AH922" s="34"/>
      <c r="AI922" s="34"/>
      <c r="AJ922" s="34"/>
      <c r="AK922" s="34"/>
      <c r="AL922" s="34"/>
    </row>
    <row r="923" spans="12:38">
      <c r="L923" s="34"/>
      <c r="M923" s="34"/>
      <c r="N923" s="34"/>
      <c r="O923" s="34"/>
      <c r="P923" s="34"/>
      <c r="Q923" s="34"/>
      <c r="R923" s="34"/>
      <c r="S923" s="34"/>
      <c r="T923" s="34"/>
      <c r="U923" s="34"/>
      <c r="V923" s="34"/>
      <c r="AB923" s="34"/>
      <c r="AC923" s="34"/>
      <c r="AD923" s="34"/>
      <c r="AE923" s="34"/>
      <c r="AF923" s="34"/>
      <c r="AG923" s="34"/>
      <c r="AH923" s="34"/>
      <c r="AI923" s="34"/>
      <c r="AJ923" s="34"/>
      <c r="AK923" s="34"/>
      <c r="AL923" s="34"/>
    </row>
    <row r="924" spans="12:38">
      <c r="L924" s="34"/>
      <c r="M924" s="34"/>
      <c r="N924" s="34"/>
      <c r="O924" s="34"/>
      <c r="P924" s="34"/>
      <c r="Q924" s="34"/>
      <c r="R924" s="34"/>
      <c r="S924" s="34"/>
      <c r="T924" s="34"/>
      <c r="U924" s="34"/>
      <c r="V924" s="34"/>
      <c r="AB924" s="34"/>
      <c r="AC924" s="34"/>
      <c r="AD924" s="34"/>
      <c r="AE924" s="34"/>
      <c r="AF924" s="34"/>
      <c r="AG924" s="34"/>
      <c r="AH924" s="34"/>
      <c r="AI924" s="34"/>
      <c r="AJ924" s="34"/>
      <c r="AK924" s="34"/>
      <c r="AL924" s="34"/>
    </row>
    <row r="925" spans="12:38">
      <c r="L925" s="34"/>
      <c r="M925" s="34"/>
      <c r="N925" s="34"/>
      <c r="O925" s="34"/>
      <c r="P925" s="34"/>
      <c r="Q925" s="34"/>
      <c r="R925" s="34"/>
      <c r="S925" s="34"/>
      <c r="T925" s="34"/>
      <c r="U925" s="34"/>
      <c r="V925" s="34"/>
      <c r="AB925" s="34"/>
      <c r="AC925" s="34"/>
      <c r="AD925" s="34"/>
      <c r="AE925" s="34"/>
      <c r="AF925" s="34"/>
      <c r="AG925" s="34"/>
      <c r="AH925" s="34"/>
      <c r="AI925" s="34"/>
      <c r="AJ925" s="34"/>
      <c r="AK925" s="34"/>
      <c r="AL925" s="34"/>
    </row>
    <row r="926" spans="12:38">
      <c r="L926" s="34"/>
      <c r="M926" s="34"/>
      <c r="N926" s="34"/>
      <c r="O926" s="34"/>
      <c r="P926" s="34"/>
      <c r="Q926" s="34"/>
      <c r="R926" s="34"/>
      <c r="S926" s="34"/>
      <c r="T926" s="34"/>
      <c r="U926" s="34"/>
      <c r="V926" s="34"/>
      <c r="AB926" s="34"/>
      <c r="AC926" s="34"/>
      <c r="AD926" s="34"/>
      <c r="AE926" s="34"/>
      <c r="AF926" s="34"/>
      <c r="AG926" s="34"/>
      <c r="AH926" s="34"/>
      <c r="AI926" s="34"/>
      <c r="AJ926" s="34"/>
      <c r="AK926" s="34"/>
      <c r="AL926" s="34"/>
    </row>
    <row r="927" spans="12:38">
      <c r="L927" s="34"/>
      <c r="M927" s="34"/>
      <c r="N927" s="34"/>
      <c r="O927" s="34"/>
      <c r="P927" s="34"/>
      <c r="Q927" s="34"/>
      <c r="R927" s="34"/>
      <c r="S927" s="34"/>
      <c r="T927" s="34"/>
      <c r="U927" s="34"/>
      <c r="V927" s="34"/>
      <c r="AB927" s="34"/>
      <c r="AC927" s="34"/>
      <c r="AD927" s="34"/>
      <c r="AE927" s="34"/>
      <c r="AF927" s="34"/>
      <c r="AG927" s="34"/>
      <c r="AH927" s="34"/>
      <c r="AI927" s="34"/>
      <c r="AJ927" s="34"/>
      <c r="AK927" s="34"/>
      <c r="AL927" s="34"/>
    </row>
    <row r="928" spans="12:38">
      <c r="L928" s="34"/>
      <c r="M928" s="34"/>
      <c r="N928" s="34"/>
      <c r="O928" s="34"/>
      <c r="P928" s="34"/>
      <c r="Q928" s="34"/>
      <c r="R928" s="34"/>
      <c r="S928" s="34"/>
      <c r="T928" s="34"/>
      <c r="U928" s="34"/>
      <c r="V928" s="34"/>
      <c r="AB928" s="34"/>
      <c r="AC928" s="34"/>
      <c r="AD928" s="34"/>
      <c r="AE928" s="34"/>
      <c r="AF928" s="34"/>
      <c r="AG928" s="34"/>
      <c r="AH928" s="34"/>
      <c r="AI928" s="34"/>
      <c r="AJ928" s="34"/>
      <c r="AK928" s="34"/>
      <c r="AL928" s="34"/>
    </row>
    <row r="929" spans="12:38">
      <c r="L929" s="34"/>
      <c r="M929" s="34"/>
      <c r="N929" s="34"/>
      <c r="O929" s="34"/>
      <c r="P929" s="34"/>
      <c r="Q929" s="34"/>
      <c r="R929" s="34"/>
      <c r="S929" s="34"/>
      <c r="T929" s="34"/>
      <c r="U929" s="34"/>
      <c r="V929" s="34"/>
      <c r="AB929" s="34"/>
      <c r="AC929" s="34"/>
      <c r="AD929" s="34"/>
      <c r="AE929" s="34"/>
      <c r="AF929" s="34"/>
      <c r="AG929" s="34"/>
      <c r="AH929" s="34"/>
      <c r="AI929" s="34"/>
      <c r="AJ929" s="34"/>
      <c r="AK929" s="34"/>
      <c r="AL929" s="34"/>
    </row>
    <row r="930" spans="12:38">
      <c r="L930" s="34"/>
      <c r="M930" s="34"/>
      <c r="N930" s="34"/>
      <c r="O930" s="34"/>
      <c r="P930" s="34"/>
      <c r="Q930" s="34"/>
      <c r="R930" s="34"/>
      <c r="S930" s="34"/>
      <c r="T930" s="34"/>
      <c r="U930" s="34"/>
      <c r="V930" s="34"/>
      <c r="AB930" s="34"/>
      <c r="AC930" s="34"/>
      <c r="AD930" s="34"/>
      <c r="AE930" s="34"/>
      <c r="AF930" s="34"/>
      <c r="AG930" s="34"/>
      <c r="AH930" s="34"/>
      <c r="AI930" s="34"/>
      <c r="AJ930" s="34"/>
      <c r="AK930" s="34"/>
      <c r="AL930" s="34"/>
    </row>
    <row r="931" spans="12:38">
      <c r="L931" s="34"/>
      <c r="M931" s="34"/>
      <c r="N931" s="34"/>
      <c r="O931" s="34"/>
      <c r="P931" s="34"/>
      <c r="Q931" s="34"/>
      <c r="R931" s="34"/>
      <c r="S931" s="34"/>
      <c r="T931" s="34"/>
      <c r="U931" s="34"/>
      <c r="V931" s="34"/>
      <c r="AB931" s="34"/>
      <c r="AC931" s="34"/>
      <c r="AD931" s="34"/>
      <c r="AE931" s="34"/>
      <c r="AF931" s="34"/>
      <c r="AG931" s="34"/>
      <c r="AH931" s="34"/>
      <c r="AI931" s="34"/>
      <c r="AJ931" s="34"/>
      <c r="AK931" s="34"/>
      <c r="AL931" s="34"/>
    </row>
    <row r="932" spans="12:38">
      <c r="L932" s="34"/>
      <c r="M932" s="34"/>
      <c r="N932" s="34"/>
      <c r="O932" s="34"/>
      <c r="P932" s="34"/>
      <c r="Q932" s="34"/>
      <c r="R932" s="34"/>
      <c r="S932" s="34"/>
      <c r="T932" s="34"/>
      <c r="U932" s="34"/>
      <c r="V932" s="34"/>
      <c r="AB932" s="34"/>
      <c r="AC932" s="34"/>
      <c r="AD932" s="34"/>
      <c r="AE932" s="34"/>
      <c r="AF932" s="34"/>
      <c r="AG932" s="34"/>
      <c r="AH932" s="34"/>
      <c r="AI932" s="34"/>
      <c r="AJ932" s="34"/>
      <c r="AK932" s="34"/>
      <c r="AL932" s="34"/>
    </row>
    <row r="933" spans="12:38">
      <c r="L933" s="34"/>
      <c r="M933" s="34"/>
      <c r="N933" s="34"/>
      <c r="O933" s="34"/>
      <c r="P933" s="34"/>
      <c r="Q933" s="34"/>
      <c r="R933" s="34"/>
      <c r="S933" s="34"/>
      <c r="T933" s="34"/>
      <c r="U933" s="34"/>
      <c r="V933" s="34"/>
      <c r="AB933" s="34"/>
      <c r="AC933" s="34"/>
      <c r="AD933" s="34"/>
      <c r="AE933" s="34"/>
      <c r="AF933" s="34"/>
      <c r="AG933" s="34"/>
      <c r="AH933" s="34"/>
      <c r="AI933" s="34"/>
      <c r="AJ933" s="34"/>
      <c r="AK933" s="34"/>
      <c r="AL933" s="34"/>
    </row>
    <row r="934" spans="12:38">
      <c r="L934" s="34"/>
      <c r="M934" s="34"/>
      <c r="N934" s="34"/>
      <c r="O934" s="34"/>
      <c r="P934" s="34"/>
      <c r="Q934" s="34"/>
      <c r="R934" s="34"/>
      <c r="S934" s="34"/>
      <c r="T934" s="34"/>
      <c r="U934" s="34"/>
      <c r="V934" s="34"/>
      <c r="AB934" s="34"/>
      <c r="AC934" s="34"/>
      <c r="AD934" s="34"/>
      <c r="AE934" s="34"/>
      <c r="AF934" s="34"/>
      <c r="AG934" s="34"/>
      <c r="AH934" s="34"/>
      <c r="AI934" s="34"/>
      <c r="AJ934" s="34"/>
      <c r="AK934" s="34"/>
      <c r="AL934" s="34"/>
    </row>
    <row r="935" spans="12:38">
      <c r="L935" s="34"/>
      <c r="M935" s="34"/>
      <c r="N935" s="34"/>
      <c r="O935" s="34"/>
      <c r="P935" s="34"/>
      <c r="Q935" s="34"/>
      <c r="R935" s="34"/>
      <c r="S935" s="34"/>
      <c r="T935" s="34"/>
      <c r="U935" s="34"/>
      <c r="V935" s="34"/>
      <c r="AB935" s="34"/>
      <c r="AC935" s="34"/>
      <c r="AD935" s="34"/>
      <c r="AE935" s="34"/>
      <c r="AF935" s="34"/>
      <c r="AG935" s="34"/>
      <c r="AH935" s="34"/>
      <c r="AI935" s="34"/>
      <c r="AJ935" s="34"/>
      <c r="AK935" s="34"/>
      <c r="AL935" s="34"/>
    </row>
    <row r="936" spans="12:38">
      <c r="L936" s="34"/>
      <c r="M936" s="34"/>
      <c r="N936" s="34"/>
      <c r="O936" s="34"/>
      <c r="P936" s="34"/>
      <c r="Q936" s="34"/>
      <c r="R936" s="34"/>
      <c r="S936" s="34"/>
      <c r="T936" s="34"/>
      <c r="U936" s="34"/>
      <c r="V936" s="34"/>
      <c r="AB936" s="34"/>
      <c r="AC936" s="34"/>
      <c r="AD936" s="34"/>
      <c r="AE936" s="34"/>
      <c r="AF936" s="34"/>
      <c r="AG936" s="34"/>
      <c r="AH936" s="34"/>
      <c r="AI936" s="34"/>
      <c r="AJ936" s="34"/>
      <c r="AK936" s="34"/>
      <c r="AL936" s="34"/>
    </row>
    <row r="937" spans="12:38">
      <c r="L937" s="34"/>
      <c r="M937" s="34"/>
      <c r="N937" s="34"/>
      <c r="O937" s="34"/>
      <c r="P937" s="34"/>
      <c r="Q937" s="34"/>
      <c r="R937" s="34"/>
      <c r="S937" s="34"/>
      <c r="T937" s="34"/>
      <c r="U937" s="34"/>
      <c r="V937" s="34"/>
      <c r="AB937" s="34"/>
      <c r="AC937" s="34"/>
      <c r="AD937" s="34"/>
      <c r="AE937" s="34"/>
      <c r="AF937" s="34"/>
      <c r="AG937" s="34"/>
      <c r="AH937" s="34"/>
      <c r="AI937" s="34"/>
      <c r="AJ937" s="34"/>
      <c r="AK937" s="34"/>
      <c r="AL937" s="34"/>
    </row>
    <row r="938" spans="12:38">
      <c r="L938" s="34"/>
      <c r="M938" s="34"/>
      <c r="N938" s="34"/>
      <c r="O938" s="34"/>
      <c r="P938" s="34"/>
      <c r="Q938" s="34"/>
      <c r="R938" s="34"/>
      <c r="S938" s="34"/>
      <c r="T938" s="34"/>
      <c r="U938" s="34"/>
      <c r="V938" s="34"/>
      <c r="AB938" s="34"/>
      <c r="AC938" s="34"/>
      <c r="AD938" s="34"/>
      <c r="AE938" s="34"/>
      <c r="AF938" s="34"/>
      <c r="AG938" s="34"/>
      <c r="AH938" s="34"/>
      <c r="AI938" s="34"/>
      <c r="AJ938" s="34"/>
      <c r="AK938" s="34"/>
      <c r="AL938" s="34"/>
    </row>
    <row r="939" spans="12:38">
      <c r="L939" s="34"/>
      <c r="M939" s="34"/>
      <c r="N939" s="34"/>
      <c r="O939" s="34"/>
      <c r="P939" s="34"/>
      <c r="Q939" s="34"/>
      <c r="R939" s="34"/>
      <c r="S939" s="34"/>
      <c r="T939" s="34"/>
      <c r="U939" s="34"/>
      <c r="V939" s="34"/>
      <c r="AB939" s="34"/>
      <c r="AC939" s="34"/>
      <c r="AD939" s="34"/>
      <c r="AE939" s="34"/>
      <c r="AF939" s="34"/>
      <c r="AG939" s="34"/>
      <c r="AH939" s="34"/>
      <c r="AI939" s="34"/>
      <c r="AJ939" s="34"/>
      <c r="AK939" s="34"/>
      <c r="AL939" s="34"/>
    </row>
    <row r="940" spans="12:38">
      <c r="L940" s="34"/>
      <c r="M940" s="34"/>
      <c r="N940" s="34"/>
      <c r="O940" s="34"/>
      <c r="P940" s="34"/>
      <c r="Q940" s="34"/>
      <c r="R940" s="34"/>
      <c r="S940" s="34"/>
      <c r="T940" s="34"/>
      <c r="U940" s="34"/>
      <c r="V940" s="34"/>
      <c r="AB940" s="34"/>
      <c r="AC940" s="34"/>
      <c r="AD940" s="34"/>
      <c r="AE940" s="34"/>
      <c r="AF940" s="34"/>
      <c r="AG940" s="34"/>
      <c r="AH940" s="34"/>
      <c r="AI940" s="34"/>
      <c r="AJ940" s="34"/>
      <c r="AK940" s="34"/>
      <c r="AL940" s="34"/>
    </row>
    <row r="941" spans="12:38">
      <c r="L941" s="34"/>
      <c r="M941" s="34"/>
      <c r="N941" s="34"/>
      <c r="O941" s="34"/>
      <c r="P941" s="34"/>
      <c r="Q941" s="34"/>
      <c r="R941" s="34"/>
      <c r="S941" s="34"/>
      <c r="T941" s="34"/>
      <c r="U941" s="34"/>
      <c r="V941" s="34"/>
      <c r="AB941" s="34"/>
      <c r="AC941" s="34"/>
      <c r="AD941" s="34"/>
      <c r="AE941" s="34"/>
      <c r="AF941" s="34"/>
      <c r="AG941" s="34"/>
      <c r="AH941" s="34"/>
      <c r="AI941" s="34"/>
      <c r="AJ941" s="34"/>
      <c r="AK941" s="34"/>
      <c r="AL941" s="34"/>
    </row>
    <row r="942" spans="12:38">
      <c r="L942" s="34"/>
      <c r="M942" s="34"/>
      <c r="N942" s="34"/>
      <c r="O942" s="34"/>
      <c r="P942" s="34"/>
      <c r="Q942" s="34"/>
      <c r="R942" s="34"/>
      <c r="S942" s="34"/>
      <c r="T942" s="34"/>
      <c r="U942" s="34"/>
      <c r="V942" s="34"/>
      <c r="AB942" s="34"/>
      <c r="AC942" s="34"/>
      <c r="AD942" s="34"/>
      <c r="AE942" s="34"/>
      <c r="AF942" s="34"/>
      <c r="AG942" s="34"/>
      <c r="AH942" s="34"/>
      <c r="AI942" s="34"/>
      <c r="AJ942" s="34"/>
      <c r="AK942" s="34"/>
      <c r="AL942" s="34"/>
    </row>
    <row r="943" spans="12:38">
      <c r="L943" s="34"/>
      <c r="M943" s="34"/>
      <c r="N943" s="34"/>
      <c r="O943" s="34"/>
      <c r="P943" s="34"/>
      <c r="Q943" s="34"/>
      <c r="R943" s="34"/>
      <c r="S943" s="34"/>
      <c r="T943" s="34"/>
      <c r="U943" s="34"/>
      <c r="V943" s="34"/>
      <c r="AB943" s="34"/>
      <c r="AC943" s="34"/>
      <c r="AD943" s="34"/>
      <c r="AE943" s="34"/>
      <c r="AF943" s="34"/>
      <c r="AG943" s="34"/>
      <c r="AH943" s="34"/>
      <c r="AI943" s="34"/>
      <c r="AJ943" s="34"/>
      <c r="AK943" s="34"/>
      <c r="AL943" s="34"/>
    </row>
    <row r="944" spans="12:38">
      <c r="L944" s="34"/>
      <c r="M944" s="34"/>
      <c r="N944" s="34"/>
      <c r="O944" s="34"/>
      <c r="P944" s="34"/>
      <c r="Q944" s="34"/>
      <c r="R944" s="34"/>
      <c r="S944" s="34"/>
      <c r="T944" s="34"/>
      <c r="U944" s="34"/>
      <c r="V944" s="34"/>
      <c r="AB944" s="34"/>
      <c r="AC944" s="34"/>
      <c r="AD944" s="34"/>
      <c r="AE944" s="34"/>
      <c r="AF944" s="34"/>
      <c r="AG944" s="34"/>
      <c r="AH944" s="34"/>
      <c r="AI944" s="34"/>
      <c r="AJ944" s="34"/>
      <c r="AK944" s="34"/>
      <c r="AL944" s="34"/>
    </row>
    <row r="945" spans="12:38">
      <c r="L945" s="34"/>
      <c r="M945" s="34"/>
      <c r="N945" s="34"/>
      <c r="O945" s="34"/>
      <c r="P945" s="34"/>
      <c r="Q945" s="34"/>
      <c r="R945" s="34"/>
      <c r="S945" s="34"/>
      <c r="T945" s="34"/>
      <c r="U945" s="34"/>
      <c r="V945" s="34"/>
      <c r="AB945" s="34"/>
      <c r="AC945" s="34"/>
      <c r="AD945" s="34"/>
      <c r="AE945" s="34"/>
      <c r="AF945" s="34"/>
      <c r="AG945" s="34"/>
      <c r="AH945" s="34"/>
      <c r="AI945" s="34"/>
      <c r="AJ945" s="34"/>
      <c r="AK945" s="34"/>
      <c r="AL945" s="34"/>
    </row>
    <row r="946" spans="12:38">
      <c r="L946" s="34"/>
      <c r="M946" s="34"/>
      <c r="N946" s="34"/>
      <c r="O946" s="34"/>
      <c r="P946" s="34"/>
      <c r="Q946" s="34"/>
      <c r="R946" s="34"/>
      <c r="S946" s="34"/>
      <c r="T946" s="34"/>
      <c r="U946" s="34"/>
      <c r="V946" s="34"/>
      <c r="AB946" s="34"/>
      <c r="AC946" s="34"/>
      <c r="AD946" s="34"/>
      <c r="AE946" s="34"/>
      <c r="AF946" s="34"/>
      <c r="AG946" s="34"/>
      <c r="AH946" s="34"/>
      <c r="AI946" s="34"/>
      <c r="AJ946" s="34"/>
      <c r="AK946" s="34"/>
      <c r="AL946" s="34"/>
    </row>
    <row r="947" spans="12:38">
      <c r="L947" s="34"/>
      <c r="M947" s="34"/>
      <c r="N947" s="34"/>
      <c r="O947" s="34"/>
      <c r="P947" s="34"/>
      <c r="Q947" s="34"/>
      <c r="R947" s="34"/>
      <c r="S947" s="34"/>
      <c r="T947" s="34"/>
      <c r="U947" s="34"/>
      <c r="V947" s="34"/>
      <c r="AB947" s="34"/>
      <c r="AC947" s="34"/>
      <c r="AD947" s="34"/>
      <c r="AE947" s="34"/>
      <c r="AF947" s="34"/>
      <c r="AG947" s="34"/>
      <c r="AH947" s="34"/>
      <c r="AI947" s="34"/>
      <c r="AJ947" s="34"/>
      <c r="AK947" s="34"/>
      <c r="AL947" s="34"/>
    </row>
    <row r="948" spans="12:38">
      <c r="L948" s="34"/>
      <c r="M948" s="34"/>
      <c r="N948" s="34"/>
      <c r="O948" s="34"/>
      <c r="P948" s="34"/>
      <c r="Q948" s="34"/>
      <c r="R948" s="34"/>
      <c r="S948" s="34"/>
      <c r="T948" s="34"/>
      <c r="U948" s="34"/>
      <c r="V948" s="34"/>
      <c r="AB948" s="34"/>
      <c r="AC948" s="34"/>
      <c r="AD948" s="34"/>
      <c r="AE948" s="34"/>
      <c r="AF948" s="34"/>
      <c r="AG948" s="34"/>
      <c r="AH948" s="34"/>
      <c r="AI948" s="34"/>
      <c r="AJ948" s="34"/>
      <c r="AK948" s="34"/>
      <c r="AL948" s="34"/>
    </row>
    <row r="949" spans="12:38">
      <c r="L949" s="34"/>
      <c r="M949" s="34"/>
      <c r="N949" s="34"/>
      <c r="O949" s="34"/>
      <c r="P949" s="34"/>
      <c r="Q949" s="34"/>
      <c r="R949" s="34"/>
      <c r="S949" s="34"/>
      <c r="T949" s="34"/>
      <c r="U949" s="34"/>
      <c r="V949" s="34"/>
      <c r="AB949" s="34"/>
      <c r="AC949" s="34"/>
      <c r="AD949" s="34"/>
      <c r="AE949" s="34"/>
      <c r="AF949" s="34"/>
      <c r="AG949" s="34"/>
      <c r="AH949" s="34"/>
      <c r="AI949" s="34"/>
      <c r="AJ949" s="34"/>
      <c r="AK949" s="34"/>
      <c r="AL949" s="34"/>
    </row>
    <row r="950" spans="12:38">
      <c r="L950" s="34"/>
      <c r="M950" s="34"/>
      <c r="N950" s="34"/>
      <c r="O950" s="34"/>
      <c r="P950" s="34"/>
      <c r="Q950" s="34"/>
      <c r="R950" s="34"/>
      <c r="S950" s="34"/>
      <c r="T950" s="34"/>
      <c r="U950" s="34"/>
      <c r="V950" s="34"/>
      <c r="AB950" s="34"/>
      <c r="AC950" s="34"/>
      <c r="AD950" s="34"/>
      <c r="AE950" s="34"/>
      <c r="AF950" s="34"/>
      <c r="AG950" s="34"/>
      <c r="AH950" s="34"/>
      <c r="AI950" s="34"/>
      <c r="AJ950" s="34"/>
      <c r="AK950" s="34"/>
      <c r="AL950" s="34"/>
    </row>
    <row r="951" spans="12:38">
      <c r="L951" s="34"/>
      <c r="M951" s="34"/>
      <c r="N951" s="34"/>
      <c r="O951" s="34"/>
      <c r="P951" s="34"/>
      <c r="Q951" s="34"/>
      <c r="R951" s="34"/>
      <c r="S951" s="34"/>
      <c r="T951" s="34"/>
      <c r="U951" s="34"/>
      <c r="V951" s="34"/>
      <c r="AB951" s="34"/>
      <c r="AC951" s="34"/>
      <c r="AD951" s="34"/>
      <c r="AE951" s="34"/>
      <c r="AF951" s="34"/>
      <c r="AG951" s="34"/>
      <c r="AH951" s="34"/>
      <c r="AI951" s="34"/>
      <c r="AJ951" s="34"/>
      <c r="AK951" s="34"/>
      <c r="AL951" s="34"/>
    </row>
    <row r="952" spans="12:38">
      <c r="L952" s="34"/>
      <c r="M952" s="34"/>
      <c r="N952" s="34"/>
      <c r="O952" s="34"/>
      <c r="P952" s="34"/>
      <c r="Q952" s="34"/>
      <c r="R952" s="34"/>
      <c r="S952" s="34"/>
      <c r="T952" s="34"/>
      <c r="U952" s="34"/>
      <c r="V952" s="34"/>
      <c r="AB952" s="34"/>
      <c r="AC952" s="34"/>
      <c r="AD952" s="34"/>
      <c r="AE952" s="34"/>
      <c r="AF952" s="34"/>
      <c r="AG952" s="34"/>
      <c r="AH952" s="34"/>
      <c r="AI952" s="34"/>
      <c r="AJ952" s="34"/>
      <c r="AK952" s="34"/>
      <c r="AL952" s="34"/>
    </row>
    <row r="953" spans="12:38">
      <c r="L953" s="34"/>
      <c r="M953" s="34"/>
      <c r="N953" s="34"/>
      <c r="O953" s="34"/>
      <c r="P953" s="34"/>
      <c r="Q953" s="34"/>
      <c r="R953" s="34"/>
      <c r="S953" s="34"/>
      <c r="T953" s="34"/>
      <c r="U953" s="34"/>
      <c r="V953" s="34"/>
      <c r="AB953" s="34"/>
      <c r="AC953" s="34"/>
      <c r="AD953" s="34"/>
      <c r="AE953" s="34"/>
      <c r="AF953" s="34"/>
      <c r="AG953" s="34"/>
      <c r="AH953" s="34"/>
      <c r="AI953" s="34"/>
      <c r="AJ953" s="34"/>
      <c r="AK953" s="34"/>
      <c r="AL953" s="34"/>
    </row>
    <row r="954" spans="12:38">
      <c r="L954" s="34"/>
      <c r="M954" s="34"/>
      <c r="N954" s="34"/>
      <c r="O954" s="34"/>
      <c r="P954" s="34"/>
      <c r="Q954" s="34"/>
      <c r="R954" s="34"/>
      <c r="S954" s="34"/>
      <c r="T954" s="34"/>
      <c r="U954" s="34"/>
      <c r="V954" s="34"/>
      <c r="AB954" s="34"/>
      <c r="AC954" s="34"/>
      <c r="AD954" s="34"/>
      <c r="AE954" s="34"/>
      <c r="AF954" s="34"/>
      <c r="AG954" s="34"/>
      <c r="AH954" s="34"/>
      <c r="AI954" s="34"/>
      <c r="AJ954" s="34"/>
      <c r="AK954" s="34"/>
      <c r="AL954" s="34"/>
    </row>
    <row r="955" spans="12:38">
      <c r="L955" s="34"/>
      <c r="M955" s="34"/>
      <c r="N955" s="34"/>
      <c r="O955" s="34"/>
      <c r="P955" s="34"/>
      <c r="Q955" s="34"/>
      <c r="R955" s="34"/>
      <c r="S955" s="34"/>
      <c r="T955" s="34"/>
      <c r="U955" s="34"/>
      <c r="V955" s="34"/>
      <c r="AB955" s="34"/>
      <c r="AC955" s="34"/>
      <c r="AD955" s="34"/>
      <c r="AE955" s="34"/>
      <c r="AF955" s="34"/>
      <c r="AG955" s="34"/>
      <c r="AH955" s="34"/>
      <c r="AI955" s="34"/>
      <c r="AJ955" s="34"/>
      <c r="AK955" s="34"/>
      <c r="AL955" s="34"/>
    </row>
    <row r="956" spans="12:38">
      <c r="L956" s="34"/>
      <c r="M956" s="34"/>
      <c r="N956" s="34"/>
      <c r="O956" s="34"/>
      <c r="P956" s="34"/>
      <c r="Q956" s="34"/>
      <c r="R956" s="34"/>
      <c r="S956" s="34"/>
      <c r="T956" s="34"/>
      <c r="U956" s="34"/>
      <c r="V956" s="34"/>
      <c r="AB956" s="34"/>
      <c r="AC956" s="34"/>
      <c r="AD956" s="34"/>
      <c r="AE956" s="34"/>
      <c r="AF956" s="34"/>
      <c r="AG956" s="34"/>
      <c r="AH956" s="34"/>
      <c r="AI956" s="34"/>
      <c r="AJ956" s="34"/>
      <c r="AK956" s="34"/>
      <c r="AL956" s="34"/>
    </row>
    <row r="957" spans="12:38">
      <c r="L957" s="34"/>
      <c r="M957" s="34"/>
      <c r="N957" s="34"/>
      <c r="O957" s="34"/>
      <c r="P957" s="34"/>
      <c r="Q957" s="34"/>
      <c r="R957" s="34"/>
      <c r="S957" s="34"/>
      <c r="T957" s="34"/>
      <c r="U957" s="34"/>
      <c r="V957" s="34"/>
      <c r="AB957" s="34"/>
      <c r="AC957" s="34"/>
      <c r="AD957" s="34"/>
      <c r="AE957" s="34"/>
      <c r="AF957" s="34"/>
      <c r="AG957" s="34"/>
      <c r="AH957" s="34"/>
      <c r="AI957" s="34"/>
      <c r="AJ957" s="34"/>
      <c r="AK957" s="34"/>
      <c r="AL957" s="34"/>
    </row>
    <row r="958" spans="12:38">
      <c r="L958" s="34"/>
      <c r="M958" s="34"/>
      <c r="N958" s="34"/>
      <c r="O958" s="34"/>
      <c r="P958" s="34"/>
      <c r="Q958" s="34"/>
      <c r="R958" s="34"/>
      <c r="S958" s="34"/>
      <c r="T958" s="34"/>
      <c r="U958" s="34"/>
      <c r="V958" s="34"/>
      <c r="AB958" s="34"/>
      <c r="AC958" s="34"/>
      <c r="AD958" s="34"/>
      <c r="AE958" s="34"/>
      <c r="AF958" s="34"/>
      <c r="AG958" s="34"/>
      <c r="AH958" s="34"/>
      <c r="AI958" s="34"/>
      <c r="AJ958" s="34"/>
      <c r="AK958" s="34"/>
      <c r="AL958" s="34"/>
    </row>
    <row r="959" spans="12:38">
      <c r="L959" s="34"/>
      <c r="M959" s="34"/>
      <c r="N959" s="34"/>
      <c r="O959" s="34"/>
      <c r="P959" s="34"/>
      <c r="Q959" s="34"/>
      <c r="R959" s="34"/>
      <c r="S959" s="34"/>
      <c r="T959" s="34"/>
      <c r="U959" s="34"/>
      <c r="V959" s="34"/>
      <c r="AB959" s="34"/>
      <c r="AC959" s="34"/>
      <c r="AD959" s="34"/>
      <c r="AE959" s="34"/>
      <c r="AF959" s="34"/>
      <c r="AG959" s="34"/>
      <c r="AH959" s="34"/>
      <c r="AI959" s="34"/>
      <c r="AJ959" s="34"/>
      <c r="AK959" s="34"/>
      <c r="AL959" s="34"/>
    </row>
    <row r="960" spans="12:38">
      <c r="L960" s="34"/>
      <c r="M960" s="34"/>
      <c r="N960" s="34"/>
      <c r="O960" s="34"/>
      <c r="P960" s="34"/>
      <c r="Q960" s="34"/>
      <c r="R960" s="34"/>
      <c r="S960" s="34"/>
      <c r="T960" s="34"/>
      <c r="U960" s="34"/>
      <c r="V960" s="34"/>
      <c r="AB960" s="34"/>
      <c r="AC960" s="34"/>
      <c r="AD960" s="34"/>
      <c r="AE960" s="34"/>
      <c r="AF960" s="34"/>
      <c r="AG960" s="34"/>
      <c r="AH960" s="34"/>
      <c r="AI960" s="34"/>
      <c r="AJ960" s="34"/>
      <c r="AK960" s="34"/>
      <c r="AL960" s="34"/>
    </row>
    <row r="961" spans="12:38">
      <c r="L961" s="34"/>
      <c r="M961" s="34"/>
      <c r="N961" s="34"/>
      <c r="O961" s="34"/>
      <c r="P961" s="34"/>
      <c r="Q961" s="34"/>
      <c r="R961" s="34"/>
      <c r="S961" s="34"/>
      <c r="T961" s="34"/>
      <c r="U961" s="34"/>
      <c r="V961" s="34"/>
      <c r="AB961" s="34"/>
      <c r="AC961" s="34"/>
      <c r="AD961" s="34"/>
      <c r="AE961" s="34"/>
      <c r="AF961" s="34"/>
      <c r="AG961" s="34"/>
      <c r="AH961" s="34"/>
      <c r="AI961" s="34"/>
      <c r="AJ961" s="34"/>
      <c r="AK961" s="34"/>
      <c r="AL961" s="34"/>
    </row>
    <row r="962" spans="12:38">
      <c r="L962" s="34"/>
      <c r="M962" s="34"/>
      <c r="N962" s="34"/>
      <c r="O962" s="34"/>
      <c r="P962" s="34"/>
      <c r="Q962" s="34"/>
      <c r="R962" s="34"/>
      <c r="S962" s="34"/>
      <c r="T962" s="34"/>
      <c r="U962" s="34"/>
      <c r="V962" s="34"/>
      <c r="AB962" s="34"/>
      <c r="AC962" s="34"/>
      <c r="AD962" s="34"/>
      <c r="AE962" s="34"/>
      <c r="AF962" s="34"/>
      <c r="AG962" s="34"/>
      <c r="AH962" s="34"/>
      <c r="AI962" s="34"/>
      <c r="AJ962" s="34"/>
      <c r="AK962" s="34"/>
      <c r="AL962" s="34"/>
    </row>
    <row r="963" spans="12:38">
      <c r="L963" s="34"/>
      <c r="M963" s="34"/>
      <c r="N963" s="34"/>
      <c r="O963" s="34"/>
      <c r="P963" s="34"/>
      <c r="Q963" s="34"/>
      <c r="R963" s="34"/>
      <c r="S963" s="34"/>
      <c r="T963" s="34"/>
      <c r="U963" s="34"/>
      <c r="V963" s="34"/>
      <c r="AB963" s="34"/>
      <c r="AC963" s="34"/>
      <c r="AD963" s="34"/>
      <c r="AE963" s="34"/>
      <c r="AF963" s="34"/>
      <c r="AG963" s="34"/>
      <c r="AH963" s="34"/>
      <c r="AI963" s="34"/>
      <c r="AJ963" s="34"/>
      <c r="AK963" s="34"/>
      <c r="AL963" s="34"/>
    </row>
    <row r="964" spans="12:38">
      <c r="L964" s="34"/>
      <c r="M964" s="34"/>
      <c r="N964" s="34"/>
      <c r="O964" s="34"/>
      <c r="P964" s="34"/>
      <c r="Q964" s="34"/>
      <c r="R964" s="34"/>
      <c r="S964" s="34"/>
      <c r="T964" s="34"/>
      <c r="U964" s="34"/>
      <c r="V964" s="34"/>
      <c r="AB964" s="34"/>
      <c r="AC964" s="34"/>
      <c r="AD964" s="34"/>
      <c r="AE964" s="34"/>
      <c r="AF964" s="34"/>
      <c r="AG964" s="34"/>
      <c r="AH964" s="34"/>
      <c r="AI964" s="34"/>
      <c r="AJ964" s="34"/>
      <c r="AK964" s="34"/>
      <c r="AL964" s="34"/>
    </row>
    <row r="965" spans="12:38">
      <c r="L965" s="34"/>
      <c r="M965" s="34"/>
      <c r="N965" s="34"/>
      <c r="O965" s="34"/>
      <c r="P965" s="34"/>
      <c r="Q965" s="34"/>
      <c r="R965" s="34"/>
      <c r="S965" s="34"/>
      <c r="T965" s="34"/>
      <c r="U965" s="34"/>
      <c r="V965" s="34"/>
      <c r="AB965" s="34"/>
      <c r="AC965" s="34"/>
      <c r="AD965" s="34"/>
      <c r="AE965" s="34"/>
      <c r="AF965" s="34"/>
      <c r="AG965" s="34"/>
      <c r="AH965" s="34"/>
      <c r="AI965" s="34"/>
      <c r="AJ965" s="34"/>
      <c r="AK965" s="34"/>
      <c r="AL965" s="34"/>
    </row>
    <row r="966" spans="12:38">
      <c r="L966" s="34"/>
      <c r="M966" s="34"/>
      <c r="N966" s="34"/>
      <c r="O966" s="34"/>
      <c r="P966" s="34"/>
      <c r="Q966" s="34"/>
      <c r="R966" s="34"/>
      <c r="S966" s="34"/>
      <c r="T966" s="34"/>
      <c r="U966" s="34"/>
      <c r="V966" s="34"/>
      <c r="AB966" s="34"/>
      <c r="AC966" s="34"/>
      <c r="AD966" s="34"/>
      <c r="AE966" s="34"/>
      <c r="AF966" s="34"/>
      <c r="AG966" s="34"/>
      <c r="AH966" s="34"/>
      <c r="AI966" s="34"/>
      <c r="AJ966" s="34"/>
      <c r="AK966" s="34"/>
      <c r="AL966" s="34"/>
    </row>
    <row r="967" spans="12:38">
      <c r="L967" s="34"/>
      <c r="M967" s="34"/>
      <c r="N967" s="34"/>
      <c r="O967" s="34"/>
      <c r="P967" s="34"/>
      <c r="Q967" s="34"/>
      <c r="R967" s="34"/>
      <c r="S967" s="34"/>
      <c r="T967" s="34"/>
      <c r="U967" s="34"/>
      <c r="V967" s="34"/>
      <c r="AB967" s="34"/>
      <c r="AC967" s="34"/>
      <c r="AD967" s="34"/>
      <c r="AE967" s="34"/>
      <c r="AF967" s="34"/>
      <c r="AG967" s="34"/>
      <c r="AH967" s="34"/>
      <c r="AI967" s="34"/>
      <c r="AJ967" s="34"/>
      <c r="AK967" s="34"/>
      <c r="AL967" s="34"/>
    </row>
    <row r="968" spans="12:38">
      <c r="L968" s="34"/>
      <c r="M968" s="34"/>
      <c r="N968" s="34"/>
      <c r="O968" s="34"/>
      <c r="P968" s="34"/>
      <c r="Q968" s="34"/>
      <c r="R968" s="34"/>
      <c r="S968" s="34"/>
      <c r="T968" s="34"/>
      <c r="U968" s="34"/>
      <c r="V968" s="34"/>
      <c r="AB968" s="34"/>
      <c r="AC968" s="34"/>
      <c r="AD968" s="34"/>
      <c r="AE968" s="34"/>
      <c r="AF968" s="34"/>
      <c r="AG968" s="34"/>
      <c r="AH968" s="34"/>
      <c r="AI968" s="34"/>
      <c r="AJ968" s="34"/>
      <c r="AK968" s="34"/>
      <c r="AL968" s="34"/>
    </row>
    <row r="969" spans="12:38">
      <c r="L969" s="34"/>
      <c r="M969" s="34"/>
      <c r="N969" s="34"/>
      <c r="O969" s="34"/>
      <c r="P969" s="34"/>
      <c r="Q969" s="34"/>
      <c r="R969" s="34"/>
      <c r="S969" s="34"/>
      <c r="T969" s="34"/>
      <c r="U969" s="34"/>
      <c r="V969" s="34"/>
      <c r="AB969" s="34"/>
      <c r="AC969" s="34"/>
      <c r="AD969" s="34"/>
      <c r="AE969" s="34"/>
      <c r="AF969" s="34"/>
      <c r="AG969" s="34"/>
      <c r="AH969" s="34"/>
      <c r="AI969" s="34"/>
      <c r="AJ969" s="34"/>
      <c r="AK969" s="34"/>
      <c r="AL969" s="34"/>
    </row>
    <row r="970" spans="12:38">
      <c r="L970" s="34"/>
      <c r="M970" s="34"/>
      <c r="N970" s="34"/>
      <c r="O970" s="34"/>
      <c r="P970" s="34"/>
      <c r="Q970" s="34"/>
      <c r="R970" s="34"/>
      <c r="S970" s="34"/>
      <c r="T970" s="34"/>
      <c r="U970" s="34"/>
      <c r="V970" s="34"/>
      <c r="AB970" s="34"/>
      <c r="AC970" s="34"/>
      <c r="AD970" s="34"/>
      <c r="AE970" s="34"/>
      <c r="AF970" s="34"/>
      <c r="AG970" s="34"/>
      <c r="AH970" s="34"/>
      <c r="AI970" s="34"/>
      <c r="AJ970" s="34"/>
      <c r="AK970" s="34"/>
      <c r="AL970" s="34"/>
    </row>
    <row r="971" spans="12:38">
      <c r="L971" s="34"/>
      <c r="M971" s="34"/>
      <c r="N971" s="34"/>
      <c r="O971" s="34"/>
      <c r="P971" s="34"/>
      <c r="Q971" s="34"/>
      <c r="R971" s="34"/>
      <c r="S971" s="34"/>
      <c r="T971" s="34"/>
      <c r="U971" s="34"/>
      <c r="V971" s="34"/>
      <c r="AB971" s="34"/>
      <c r="AC971" s="34"/>
      <c r="AD971" s="34"/>
      <c r="AE971" s="34"/>
      <c r="AF971" s="34"/>
      <c r="AG971" s="34"/>
      <c r="AH971" s="34"/>
      <c r="AI971" s="34"/>
      <c r="AJ971" s="34"/>
      <c r="AK971" s="34"/>
      <c r="AL971" s="34"/>
    </row>
    <row r="972" spans="12:38">
      <c r="L972" s="34"/>
      <c r="M972" s="34"/>
      <c r="N972" s="34"/>
      <c r="O972" s="34"/>
      <c r="P972" s="34"/>
      <c r="Q972" s="34"/>
      <c r="R972" s="34"/>
      <c r="S972" s="34"/>
      <c r="T972" s="34"/>
      <c r="U972" s="34"/>
      <c r="V972" s="34"/>
      <c r="AB972" s="34"/>
      <c r="AC972" s="34"/>
      <c r="AD972" s="34"/>
      <c r="AE972" s="34"/>
      <c r="AF972" s="34"/>
      <c r="AG972" s="34"/>
      <c r="AH972" s="34"/>
      <c r="AI972" s="34"/>
      <c r="AJ972" s="34"/>
      <c r="AK972" s="34"/>
      <c r="AL972" s="34"/>
    </row>
    <row r="973" spans="12:38">
      <c r="L973" s="34"/>
      <c r="M973" s="34"/>
      <c r="N973" s="34"/>
      <c r="O973" s="34"/>
      <c r="P973" s="34"/>
      <c r="Q973" s="34"/>
      <c r="R973" s="34"/>
      <c r="S973" s="34"/>
      <c r="T973" s="34"/>
      <c r="U973" s="34"/>
      <c r="V973" s="34"/>
      <c r="AB973" s="34"/>
      <c r="AC973" s="34"/>
      <c r="AD973" s="34"/>
      <c r="AE973" s="34"/>
      <c r="AF973" s="34"/>
      <c r="AG973" s="34"/>
      <c r="AH973" s="34"/>
      <c r="AI973" s="34"/>
      <c r="AJ973" s="34"/>
      <c r="AK973" s="34"/>
      <c r="AL973" s="34"/>
    </row>
    <row r="974" spans="12:38">
      <c r="L974" s="34"/>
      <c r="M974" s="34"/>
      <c r="N974" s="34"/>
      <c r="O974" s="34"/>
      <c r="P974" s="34"/>
      <c r="Q974" s="34"/>
      <c r="R974" s="34"/>
      <c r="S974" s="34"/>
      <c r="T974" s="34"/>
      <c r="U974" s="34"/>
      <c r="V974" s="34"/>
      <c r="AB974" s="34"/>
      <c r="AC974" s="34"/>
      <c r="AD974" s="34"/>
      <c r="AE974" s="34"/>
      <c r="AF974" s="34"/>
      <c r="AG974" s="34"/>
      <c r="AH974" s="34"/>
      <c r="AI974" s="34"/>
      <c r="AJ974" s="34"/>
      <c r="AK974" s="34"/>
      <c r="AL974" s="34"/>
    </row>
    <row r="975" spans="12:38">
      <c r="L975" s="34"/>
      <c r="M975" s="34"/>
      <c r="N975" s="34"/>
      <c r="O975" s="34"/>
      <c r="P975" s="34"/>
      <c r="Q975" s="34"/>
      <c r="R975" s="34"/>
      <c r="S975" s="34"/>
      <c r="T975" s="34"/>
      <c r="U975" s="34"/>
      <c r="V975" s="34"/>
      <c r="AB975" s="34"/>
      <c r="AC975" s="34"/>
      <c r="AD975" s="34"/>
      <c r="AE975" s="34"/>
      <c r="AF975" s="34"/>
      <c r="AG975" s="34"/>
      <c r="AH975" s="34"/>
      <c r="AI975" s="34"/>
      <c r="AJ975" s="34"/>
      <c r="AK975" s="34"/>
      <c r="AL975" s="34"/>
    </row>
    <row r="976" spans="12:38">
      <c r="L976" s="34"/>
      <c r="M976" s="34"/>
      <c r="N976" s="34"/>
      <c r="O976" s="34"/>
      <c r="P976" s="34"/>
      <c r="Q976" s="34"/>
      <c r="R976" s="34"/>
      <c r="S976" s="34"/>
      <c r="T976" s="34"/>
      <c r="U976" s="34"/>
      <c r="V976" s="34"/>
      <c r="AB976" s="34"/>
      <c r="AC976" s="34"/>
      <c r="AD976" s="34"/>
      <c r="AE976" s="34"/>
      <c r="AF976" s="34"/>
      <c r="AG976" s="34"/>
      <c r="AH976" s="34"/>
      <c r="AI976" s="34"/>
      <c r="AJ976" s="34"/>
      <c r="AK976" s="34"/>
      <c r="AL976" s="34"/>
    </row>
    <row r="977" spans="12:38">
      <c r="L977" s="34"/>
      <c r="M977" s="34"/>
      <c r="N977" s="34"/>
      <c r="O977" s="34"/>
      <c r="P977" s="34"/>
      <c r="Q977" s="34"/>
      <c r="R977" s="34"/>
      <c r="S977" s="34"/>
      <c r="T977" s="34"/>
      <c r="U977" s="34"/>
      <c r="V977" s="34"/>
      <c r="AB977" s="34"/>
      <c r="AC977" s="34"/>
      <c r="AD977" s="34"/>
      <c r="AE977" s="34"/>
      <c r="AF977" s="34"/>
      <c r="AG977" s="34"/>
      <c r="AH977" s="34"/>
      <c r="AI977" s="34"/>
      <c r="AJ977" s="34"/>
      <c r="AK977" s="34"/>
      <c r="AL977" s="34"/>
    </row>
    <row r="978" spans="12:38">
      <c r="L978" s="34"/>
      <c r="M978" s="34"/>
      <c r="N978" s="34"/>
      <c r="O978" s="34"/>
      <c r="P978" s="34"/>
      <c r="Q978" s="34"/>
      <c r="R978" s="34"/>
      <c r="S978" s="34"/>
      <c r="T978" s="34"/>
      <c r="U978" s="34"/>
      <c r="V978" s="34"/>
      <c r="AB978" s="34"/>
      <c r="AC978" s="34"/>
      <c r="AD978" s="34"/>
      <c r="AE978" s="34"/>
      <c r="AF978" s="34"/>
      <c r="AG978" s="34"/>
      <c r="AH978" s="34"/>
      <c r="AI978" s="34"/>
      <c r="AJ978" s="34"/>
      <c r="AK978" s="34"/>
      <c r="AL978" s="34"/>
    </row>
    <row r="979" spans="12:38">
      <c r="L979" s="34"/>
      <c r="M979" s="34"/>
      <c r="N979" s="34"/>
      <c r="O979" s="34"/>
      <c r="P979" s="34"/>
      <c r="Q979" s="34"/>
      <c r="R979" s="34"/>
      <c r="S979" s="34"/>
      <c r="T979" s="34"/>
      <c r="U979" s="34"/>
      <c r="V979" s="34"/>
      <c r="AB979" s="34"/>
      <c r="AC979" s="34"/>
      <c r="AD979" s="34"/>
      <c r="AE979" s="34"/>
      <c r="AF979" s="34"/>
      <c r="AG979" s="34"/>
      <c r="AH979" s="34"/>
      <c r="AI979" s="34"/>
      <c r="AJ979" s="34"/>
      <c r="AK979" s="34"/>
      <c r="AL979" s="34"/>
    </row>
    <row r="980" spans="12:38">
      <c r="L980" s="34"/>
      <c r="M980" s="34"/>
      <c r="N980" s="34"/>
      <c r="O980" s="34"/>
      <c r="P980" s="34"/>
      <c r="Q980" s="34"/>
      <c r="R980" s="34"/>
      <c r="S980" s="34"/>
      <c r="T980" s="34"/>
      <c r="U980" s="34"/>
      <c r="V980" s="34"/>
      <c r="AB980" s="34"/>
      <c r="AC980" s="34"/>
      <c r="AD980" s="34"/>
      <c r="AE980" s="34"/>
      <c r="AF980" s="34"/>
      <c r="AG980" s="34"/>
      <c r="AH980" s="34"/>
      <c r="AI980" s="34"/>
      <c r="AJ980" s="34"/>
      <c r="AK980" s="34"/>
      <c r="AL980" s="34"/>
    </row>
    <row r="981" spans="12:38">
      <c r="L981" s="34"/>
      <c r="M981" s="34"/>
      <c r="N981" s="34"/>
      <c r="O981" s="34"/>
      <c r="P981" s="34"/>
      <c r="Q981" s="34"/>
      <c r="R981" s="34"/>
      <c r="S981" s="34"/>
      <c r="T981" s="34"/>
      <c r="U981" s="34"/>
      <c r="V981" s="34"/>
      <c r="AB981" s="34"/>
      <c r="AC981" s="34"/>
      <c r="AD981" s="34"/>
      <c r="AE981" s="34"/>
      <c r="AF981" s="34"/>
      <c r="AG981" s="34"/>
      <c r="AH981" s="34"/>
      <c r="AI981" s="34"/>
      <c r="AJ981" s="34"/>
      <c r="AK981" s="34"/>
      <c r="AL981" s="34"/>
    </row>
    <row r="982" spans="12:38">
      <c r="L982" s="34"/>
      <c r="M982" s="34"/>
      <c r="N982" s="34"/>
      <c r="O982" s="34"/>
      <c r="P982" s="34"/>
      <c r="Q982" s="34"/>
      <c r="R982" s="34"/>
      <c r="S982" s="34"/>
      <c r="T982" s="34"/>
      <c r="U982" s="34"/>
      <c r="V982" s="34"/>
      <c r="AB982" s="34"/>
      <c r="AC982" s="34"/>
      <c r="AD982" s="34"/>
      <c r="AE982" s="34"/>
      <c r="AF982" s="34"/>
      <c r="AG982" s="34"/>
      <c r="AH982" s="34"/>
      <c r="AI982" s="34"/>
      <c r="AJ982" s="34"/>
      <c r="AK982" s="34"/>
      <c r="AL982" s="34"/>
    </row>
    <row r="983" spans="12:38">
      <c r="L983" s="34"/>
      <c r="M983" s="34"/>
      <c r="N983" s="34"/>
      <c r="O983" s="34"/>
      <c r="P983" s="34"/>
      <c r="Q983" s="34"/>
      <c r="R983" s="34"/>
      <c r="S983" s="34"/>
      <c r="T983" s="34"/>
      <c r="U983" s="34"/>
      <c r="V983" s="34"/>
      <c r="AB983" s="34"/>
      <c r="AC983" s="34"/>
      <c r="AD983" s="34"/>
      <c r="AE983" s="34"/>
      <c r="AF983" s="34"/>
      <c r="AG983" s="34"/>
      <c r="AH983" s="34"/>
      <c r="AI983" s="34"/>
      <c r="AJ983" s="34"/>
      <c r="AK983" s="34"/>
      <c r="AL983" s="34"/>
    </row>
    <row r="984" spans="12:38">
      <c r="L984" s="34"/>
      <c r="M984" s="34"/>
      <c r="N984" s="34"/>
      <c r="O984" s="34"/>
      <c r="P984" s="34"/>
      <c r="Q984" s="34"/>
      <c r="R984" s="34"/>
      <c r="S984" s="34"/>
      <c r="T984" s="34"/>
      <c r="U984" s="34"/>
      <c r="V984" s="34"/>
      <c r="AB984" s="34"/>
      <c r="AC984" s="34"/>
      <c r="AD984" s="34"/>
      <c r="AE984" s="34"/>
      <c r="AF984" s="34"/>
      <c r="AG984" s="34"/>
      <c r="AH984" s="34"/>
      <c r="AI984" s="34"/>
      <c r="AJ984" s="34"/>
      <c r="AK984" s="34"/>
      <c r="AL984" s="34"/>
    </row>
    <row r="985" spans="12:38">
      <c r="L985" s="34"/>
      <c r="M985" s="34"/>
      <c r="N985" s="34"/>
      <c r="O985" s="34"/>
      <c r="P985" s="34"/>
      <c r="Q985" s="34"/>
      <c r="R985" s="34"/>
      <c r="S985" s="34"/>
      <c r="T985" s="34"/>
      <c r="U985" s="34"/>
      <c r="V985" s="34"/>
      <c r="AB985" s="34"/>
      <c r="AC985" s="34"/>
      <c r="AD985" s="34"/>
      <c r="AE985" s="34"/>
      <c r="AF985" s="34"/>
      <c r="AG985" s="34"/>
      <c r="AH985" s="34"/>
      <c r="AI985" s="34"/>
      <c r="AJ985" s="34"/>
      <c r="AK985" s="34"/>
      <c r="AL985" s="34"/>
    </row>
    <row r="986" spans="12:38">
      <c r="L986" s="34"/>
      <c r="M986" s="34"/>
      <c r="N986" s="34"/>
      <c r="O986" s="34"/>
      <c r="P986" s="34"/>
      <c r="Q986" s="34"/>
      <c r="R986" s="34"/>
      <c r="S986" s="34"/>
      <c r="T986" s="34"/>
      <c r="U986" s="34"/>
      <c r="V986" s="34"/>
      <c r="AB986" s="34"/>
      <c r="AC986" s="34"/>
      <c r="AD986" s="34"/>
      <c r="AE986" s="34"/>
      <c r="AF986" s="34"/>
      <c r="AG986" s="34"/>
      <c r="AH986" s="34"/>
      <c r="AI986" s="34"/>
      <c r="AJ986" s="34"/>
      <c r="AK986" s="34"/>
      <c r="AL986" s="34"/>
    </row>
    <row r="987" spans="12:38">
      <c r="L987" s="34"/>
      <c r="M987" s="34"/>
      <c r="N987" s="34"/>
      <c r="O987" s="34"/>
      <c r="P987" s="34"/>
      <c r="Q987" s="34"/>
      <c r="R987" s="34"/>
      <c r="S987" s="34"/>
      <c r="T987" s="34"/>
      <c r="U987" s="34"/>
      <c r="V987" s="34"/>
      <c r="AB987" s="34"/>
      <c r="AC987" s="34"/>
      <c r="AD987" s="34"/>
      <c r="AE987" s="34"/>
      <c r="AF987" s="34"/>
      <c r="AG987" s="34"/>
      <c r="AH987" s="34"/>
      <c r="AI987" s="34"/>
      <c r="AJ987" s="34"/>
      <c r="AK987" s="34"/>
      <c r="AL987" s="34"/>
    </row>
    <row r="988" spans="12:38">
      <c r="L988" s="34"/>
      <c r="M988" s="34"/>
      <c r="N988" s="34"/>
      <c r="O988" s="34"/>
      <c r="P988" s="34"/>
      <c r="Q988" s="34"/>
      <c r="R988" s="34"/>
      <c r="S988" s="34"/>
      <c r="T988" s="34"/>
      <c r="U988" s="34"/>
      <c r="V988" s="34"/>
      <c r="AB988" s="34"/>
      <c r="AC988" s="34"/>
      <c r="AD988" s="34"/>
      <c r="AE988" s="34"/>
      <c r="AF988" s="34"/>
      <c r="AG988" s="34"/>
      <c r="AH988" s="34"/>
      <c r="AI988" s="34"/>
      <c r="AJ988" s="34"/>
      <c r="AK988" s="34"/>
      <c r="AL988" s="34"/>
    </row>
    <row r="989" spans="12:38">
      <c r="L989" s="34"/>
      <c r="M989" s="34"/>
      <c r="N989" s="34"/>
      <c r="O989" s="34"/>
      <c r="P989" s="34"/>
      <c r="Q989" s="34"/>
      <c r="R989" s="34"/>
      <c r="S989" s="34"/>
      <c r="T989" s="34"/>
      <c r="U989" s="34"/>
      <c r="V989" s="34"/>
      <c r="AB989" s="34"/>
      <c r="AC989" s="34"/>
      <c r="AD989" s="34"/>
      <c r="AE989" s="34"/>
      <c r="AF989" s="34"/>
      <c r="AG989" s="34"/>
      <c r="AH989" s="34"/>
      <c r="AI989" s="34"/>
      <c r="AJ989" s="34"/>
      <c r="AK989" s="34"/>
      <c r="AL989" s="34"/>
    </row>
    <row r="990" spans="12:38">
      <c r="L990" s="34"/>
      <c r="M990" s="34"/>
      <c r="N990" s="34"/>
      <c r="O990" s="34"/>
      <c r="P990" s="34"/>
      <c r="Q990" s="34"/>
      <c r="R990" s="34"/>
      <c r="S990" s="34"/>
      <c r="T990" s="34"/>
      <c r="U990" s="34"/>
      <c r="V990" s="34"/>
      <c r="AB990" s="34"/>
      <c r="AC990" s="34"/>
      <c r="AD990" s="34"/>
      <c r="AE990" s="34"/>
      <c r="AF990" s="34"/>
      <c r="AG990" s="34"/>
      <c r="AH990" s="34"/>
      <c r="AI990" s="34"/>
      <c r="AJ990" s="34"/>
      <c r="AK990" s="34"/>
      <c r="AL990" s="34"/>
    </row>
    <row r="991" spans="12:38">
      <c r="L991" s="34"/>
      <c r="M991" s="34"/>
      <c r="N991" s="34"/>
      <c r="O991" s="34"/>
      <c r="P991" s="34"/>
      <c r="Q991" s="34"/>
      <c r="R991" s="34"/>
      <c r="S991" s="34"/>
      <c r="T991" s="34"/>
      <c r="U991" s="34"/>
      <c r="V991" s="34"/>
      <c r="AB991" s="34"/>
      <c r="AC991" s="34"/>
      <c r="AD991" s="34"/>
      <c r="AE991" s="34"/>
      <c r="AF991" s="34"/>
      <c r="AG991" s="34"/>
      <c r="AH991" s="34"/>
      <c r="AI991" s="34"/>
      <c r="AJ991" s="34"/>
      <c r="AK991" s="34"/>
      <c r="AL991" s="34"/>
    </row>
    <row r="992" spans="12:38">
      <c r="L992" s="34"/>
      <c r="M992" s="34"/>
      <c r="N992" s="34"/>
      <c r="O992" s="34"/>
      <c r="P992" s="34"/>
      <c r="Q992" s="34"/>
      <c r="R992" s="34"/>
      <c r="S992" s="34"/>
      <c r="T992" s="34"/>
      <c r="U992" s="34"/>
      <c r="V992" s="34"/>
      <c r="AB992" s="34"/>
      <c r="AC992" s="34"/>
      <c r="AD992" s="34"/>
      <c r="AE992" s="34"/>
      <c r="AF992" s="34"/>
      <c r="AG992" s="34"/>
      <c r="AH992" s="34"/>
      <c r="AI992" s="34"/>
      <c r="AJ992" s="34"/>
      <c r="AK992" s="34"/>
      <c r="AL992" s="34"/>
    </row>
    <row r="993" spans="12:38">
      <c r="L993" s="34"/>
      <c r="M993" s="34"/>
      <c r="N993" s="34"/>
      <c r="O993" s="34"/>
      <c r="P993" s="34"/>
      <c r="Q993" s="34"/>
      <c r="R993" s="34"/>
      <c r="S993" s="34"/>
      <c r="T993" s="34"/>
      <c r="U993" s="34"/>
      <c r="V993" s="34"/>
      <c r="AB993" s="34"/>
      <c r="AC993" s="34"/>
      <c r="AD993" s="34"/>
      <c r="AE993" s="34"/>
      <c r="AF993" s="34"/>
      <c r="AG993" s="34"/>
      <c r="AH993" s="34"/>
      <c r="AI993" s="34"/>
      <c r="AJ993" s="34"/>
      <c r="AK993" s="34"/>
      <c r="AL993" s="34"/>
    </row>
    <row r="994" spans="12:38">
      <c r="L994" s="34"/>
      <c r="M994" s="34"/>
      <c r="N994" s="34"/>
      <c r="O994" s="34"/>
      <c r="P994" s="34"/>
      <c r="Q994" s="34"/>
      <c r="R994" s="34"/>
      <c r="S994" s="34"/>
      <c r="T994" s="34"/>
      <c r="U994" s="34"/>
      <c r="V994" s="34"/>
      <c r="AB994" s="34"/>
      <c r="AC994" s="34"/>
      <c r="AD994" s="34"/>
      <c r="AE994" s="34"/>
      <c r="AF994" s="34"/>
      <c r="AG994" s="34"/>
      <c r="AH994" s="34"/>
      <c r="AI994" s="34"/>
      <c r="AJ994" s="34"/>
      <c r="AK994" s="34"/>
      <c r="AL994" s="34"/>
    </row>
    <row r="995" spans="12:38">
      <c r="L995" s="34"/>
      <c r="M995" s="34"/>
      <c r="N995" s="34"/>
      <c r="O995" s="34"/>
      <c r="P995" s="34"/>
      <c r="Q995" s="34"/>
      <c r="R995" s="34"/>
      <c r="S995" s="34"/>
      <c r="T995" s="34"/>
      <c r="U995" s="34"/>
      <c r="V995" s="34"/>
      <c r="AB995" s="34"/>
      <c r="AC995" s="34"/>
      <c r="AD995" s="34"/>
      <c r="AE995" s="34"/>
      <c r="AF995" s="34"/>
      <c r="AG995" s="34"/>
      <c r="AH995" s="34"/>
      <c r="AI995" s="34"/>
      <c r="AJ995" s="34"/>
      <c r="AK995" s="34"/>
      <c r="AL995" s="34"/>
    </row>
    <row r="996" spans="12:38">
      <c r="L996" s="34"/>
      <c r="M996" s="34"/>
      <c r="N996" s="34"/>
      <c r="O996" s="34"/>
      <c r="P996" s="34"/>
      <c r="Q996" s="34"/>
      <c r="R996" s="34"/>
      <c r="S996" s="34"/>
      <c r="T996" s="34"/>
      <c r="U996" s="34"/>
      <c r="V996" s="34"/>
      <c r="AB996" s="34"/>
      <c r="AC996" s="34"/>
      <c r="AD996" s="34"/>
      <c r="AE996" s="34"/>
      <c r="AF996" s="34"/>
      <c r="AG996" s="34"/>
      <c r="AH996" s="34"/>
      <c r="AI996" s="34"/>
      <c r="AJ996" s="34"/>
      <c r="AK996" s="34"/>
      <c r="AL996" s="34"/>
    </row>
    <row r="997" spans="12:38">
      <c r="L997" s="34"/>
      <c r="M997" s="34"/>
      <c r="N997" s="34"/>
      <c r="O997" s="34"/>
      <c r="P997" s="34"/>
      <c r="Q997" s="34"/>
      <c r="R997" s="34"/>
      <c r="S997" s="34"/>
      <c r="T997" s="34"/>
      <c r="U997" s="34"/>
      <c r="V997" s="34"/>
      <c r="AB997" s="34"/>
      <c r="AC997" s="34"/>
      <c r="AD997" s="34"/>
      <c r="AE997" s="34"/>
      <c r="AF997" s="34"/>
      <c r="AG997" s="34"/>
      <c r="AH997" s="34"/>
      <c r="AI997" s="34"/>
      <c r="AJ997" s="34"/>
      <c r="AK997" s="34"/>
      <c r="AL997" s="34"/>
    </row>
    <row r="998" spans="12:38">
      <c r="L998" s="34"/>
      <c r="M998" s="34"/>
      <c r="N998" s="34"/>
      <c r="O998" s="34"/>
      <c r="P998" s="34"/>
      <c r="Q998" s="34"/>
      <c r="R998" s="34"/>
      <c r="S998" s="34"/>
      <c r="T998" s="34"/>
      <c r="U998" s="34"/>
      <c r="V998" s="34"/>
      <c r="AB998" s="34"/>
      <c r="AC998" s="34"/>
      <c r="AD998" s="34"/>
      <c r="AE998" s="34"/>
      <c r="AF998" s="34"/>
      <c r="AG998" s="34"/>
      <c r="AH998" s="34"/>
      <c r="AI998" s="34"/>
      <c r="AJ998" s="34"/>
      <c r="AK998" s="34"/>
      <c r="AL998" s="34"/>
    </row>
    <row r="999" spans="12:38">
      <c r="L999" s="34"/>
      <c r="M999" s="34"/>
      <c r="N999" s="34"/>
      <c r="O999" s="34"/>
      <c r="P999" s="34"/>
      <c r="Q999" s="34"/>
      <c r="R999" s="34"/>
      <c r="S999" s="34"/>
      <c r="T999" s="34"/>
      <c r="U999" s="34"/>
      <c r="V999" s="34"/>
      <c r="AB999" s="34"/>
      <c r="AC999" s="34"/>
      <c r="AD999" s="34"/>
      <c r="AE999" s="34"/>
      <c r="AF999" s="34"/>
      <c r="AG999" s="34"/>
      <c r="AH999" s="34"/>
      <c r="AI999" s="34"/>
      <c r="AJ999" s="34"/>
      <c r="AK999" s="34"/>
      <c r="AL999" s="34"/>
    </row>
    <row r="1000" spans="12:38">
      <c r="L1000" s="34"/>
      <c r="M1000" s="34"/>
      <c r="N1000" s="34"/>
      <c r="O1000" s="34"/>
      <c r="P1000" s="34"/>
      <c r="Q1000" s="34"/>
      <c r="R1000" s="34"/>
      <c r="S1000" s="34"/>
      <c r="T1000" s="34"/>
      <c r="U1000" s="34"/>
      <c r="V1000" s="34"/>
      <c r="AB1000" s="34"/>
      <c r="AC1000" s="34"/>
      <c r="AD1000" s="34"/>
      <c r="AE1000" s="34"/>
      <c r="AF1000" s="34"/>
      <c r="AG1000" s="34"/>
      <c r="AH1000" s="34"/>
      <c r="AI1000" s="34"/>
      <c r="AJ1000" s="34"/>
      <c r="AK1000" s="34"/>
      <c r="AL1000" s="34"/>
    </row>
    <row r="1001" spans="12:38">
      <c r="L1001" s="34"/>
      <c r="M1001" s="34"/>
      <c r="N1001" s="34"/>
      <c r="O1001" s="34"/>
      <c r="P1001" s="34"/>
      <c r="Q1001" s="34"/>
      <c r="R1001" s="34"/>
      <c r="S1001" s="34"/>
      <c r="T1001" s="34"/>
      <c r="U1001" s="34"/>
      <c r="V1001" s="34"/>
      <c r="AB1001" s="34"/>
      <c r="AC1001" s="34"/>
      <c r="AD1001" s="34"/>
      <c r="AE1001" s="34"/>
      <c r="AF1001" s="34"/>
      <c r="AG1001" s="34"/>
      <c r="AH1001" s="34"/>
      <c r="AI1001" s="34"/>
      <c r="AJ1001" s="34"/>
      <c r="AK1001" s="34"/>
      <c r="AL1001" s="34"/>
    </row>
    <row r="1002" spans="12:38">
      <c r="L1002" s="34"/>
      <c r="M1002" s="34"/>
      <c r="N1002" s="34"/>
      <c r="O1002" s="34"/>
      <c r="P1002" s="34"/>
      <c r="Q1002" s="34"/>
      <c r="R1002" s="34"/>
      <c r="S1002" s="34"/>
      <c r="T1002" s="34"/>
      <c r="U1002" s="34"/>
      <c r="V1002" s="34"/>
      <c r="AB1002" s="34"/>
      <c r="AC1002" s="34"/>
      <c r="AD1002" s="34"/>
      <c r="AE1002" s="34"/>
      <c r="AF1002" s="34"/>
      <c r="AG1002" s="34"/>
      <c r="AH1002" s="34"/>
      <c r="AI1002" s="34"/>
      <c r="AJ1002" s="34"/>
      <c r="AK1002" s="34"/>
      <c r="AL1002" s="34"/>
    </row>
    <row r="1003" spans="12:38">
      <c r="L1003" s="34"/>
      <c r="M1003" s="34"/>
      <c r="N1003" s="34"/>
      <c r="O1003" s="34"/>
      <c r="P1003" s="34"/>
      <c r="Q1003" s="34"/>
      <c r="R1003" s="34"/>
      <c r="S1003" s="34"/>
      <c r="T1003" s="34"/>
      <c r="U1003" s="34"/>
      <c r="V1003" s="34"/>
      <c r="AB1003" s="34"/>
      <c r="AC1003" s="34"/>
      <c r="AD1003" s="34"/>
      <c r="AE1003" s="34"/>
      <c r="AF1003" s="34"/>
      <c r="AG1003" s="34"/>
      <c r="AH1003" s="34"/>
      <c r="AI1003" s="34"/>
      <c r="AJ1003" s="34"/>
      <c r="AK1003" s="34"/>
      <c r="AL1003" s="34"/>
    </row>
    <row r="1004" spans="12:38">
      <c r="L1004" s="34"/>
      <c r="M1004" s="34"/>
      <c r="N1004" s="34"/>
      <c r="O1004" s="34"/>
      <c r="P1004" s="34"/>
      <c r="Q1004" s="34"/>
      <c r="R1004" s="34"/>
      <c r="S1004" s="34"/>
      <c r="T1004" s="34"/>
      <c r="U1004" s="34"/>
      <c r="V1004" s="34"/>
      <c r="AB1004" s="34"/>
      <c r="AC1004" s="34"/>
      <c r="AD1004" s="34"/>
      <c r="AE1004" s="34"/>
      <c r="AF1004" s="34"/>
      <c r="AG1004" s="34"/>
      <c r="AH1004" s="34"/>
      <c r="AI1004" s="34"/>
      <c r="AJ1004" s="34"/>
      <c r="AK1004" s="34"/>
      <c r="AL1004" s="34"/>
    </row>
    <row r="1005" spans="12:38">
      <c r="L1005" s="34"/>
      <c r="M1005" s="34"/>
      <c r="N1005" s="34"/>
      <c r="O1005" s="34"/>
      <c r="P1005" s="34"/>
      <c r="Q1005" s="34"/>
      <c r="R1005" s="34"/>
      <c r="S1005" s="34"/>
      <c r="T1005" s="34"/>
      <c r="U1005" s="34"/>
      <c r="V1005" s="34"/>
      <c r="AB1005" s="34"/>
      <c r="AC1005" s="34"/>
      <c r="AD1005" s="34"/>
      <c r="AE1005" s="34"/>
      <c r="AF1005" s="34"/>
      <c r="AG1005" s="34"/>
      <c r="AH1005" s="34"/>
      <c r="AI1005" s="34"/>
      <c r="AJ1005" s="34"/>
      <c r="AK1005" s="34"/>
      <c r="AL1005" s="34"/>
    </row>
    <row r="1006" spans="12:38">
      <c r="L1006" s="34"/>
      <c r="M1006" s="34"/>
      <c r="N1006" s="34"/>
      <c r="O1006" s="34"/>
      <c r="P1006" s="34"/>
      <c r="Q1006" s="34"/>
      <c r="R1006" s="34"/>
      <c r="S1006" s="34"/>
      <c r="T1006" s="34"/>
      <c r="U1006" s="34"/>
      <c r="V1006" s="34"/>
      <c r="AB1006" s="34"/>
      <c r="AC1006" s="34"/>
      <c r="AD1006" s="34"/>
      <c r="AE1006" s="34"/>
      <c r="AF1006" s="34"/>
      <c r="AG1006" s="34"/>
      <c r="AH1006" s="34"/>
      <c r="AI1006" s="34"/>
      <c r="AJ1006" s="34"/>
      <c r="AK1006" s="34"/>
      <c r="AL1006" s="34"/>
    </row>
    <row r="1007" spans="12:38">
      <c r="L1007" s="34"/>
      <c r="M1007" s="34"/>
      <c r="N1007" s="34"/>
      <c r="O1007" s="34"/>
      <c r="P1007" s="34"/>
      <c r="Q1007" s="34"/>
      <c r="R1007" s="34"/>
      <c r="S1007" s="34"/>
      <c r="T1007" s="34"/>
      <c r="U1007" s="34"/>
      <c r="V1007" s="34"/>
      <c r="AB1007" s="34"/>
      <c r="AC1007" s="34"/>
      <c r="AD1007" s="34"/>
      <c r="AE1007" s="34"/>
      <c r="AF1007" s="34"/>
      <c r="AG1007" s="34"/>
      <c r="AH1007" s="34"/>
      <c r="AI1007" s="34"/>
      <c r="AJ1007" s="34"/>
      <c r="AK1007" s="34"/>
      <c r="AL1007" s="34"/>
    </row>
    <row r="1008" spans="12:38">
      <c r="L1008" s="34"/>
      <c r="M1008" s="34"/>
      <c r="N1008" s="34"/>
      <c r="O1008" s="34"/>
      <c r="P1008" s="34"/>
      <c r="Q1008" s="34"/>
      <c r="R1008" s="34"/>
      <c r="S1008" s="34"/>
      <c r="T1008" s="34"/>
      <c r="U1008" s="34"/>
      <c r="V1008" s="34"/>
      <c r="AB1008" s="34"/>
      <c r="AC1008" s="34"/>
      <c r="AD1008" s="34"/>
      <c r="AE1008" s="34"/>
      <c r="AF1008" s="34"/>
      <c r="AG1008" s="34"/>
      <c r="AH1008" s="34"/>
      <c r="AI1008" s="34"/>
      <c r="AJ1008" s="34"/>
      <c r="AK1008" s="34"/>
      <c r="AL1008" s="34"/>
    </row>
    <row r="1009" spans="12:38">
      <c r="L1009" s="34"/>
      <c r="M1009" s="34"/>
      <c r="N1009" s="34"/>
      <c r="O1009" s="34"/>
      <c r="P1009" s="34"/>
      <c r="Q1009" s="34"/>
      <c r="R1009" s="34"/>
      <c r="S1009" s="34"/>
      <c r="T1009" s="34"/>
      <c r="U1009" s="34"/>
      <c r="V1009" s="34"/>
      <c r="AB1009" s="34"/>
      <c r="AC1009" s="34"/>
      <c r="AD1009" s="34"/>
      <c r="AE1009" s="34"/>
      <c r="AF1009" s="34"/>
      <c r="AG1009" s="34"/>
      <c r="AH1009" s="34"/>
      <c r="AI1009" s="34"/>
      <c r="AJ1009" s="34"/>
      <c r="AK1009" s="34"/>
      <c r="AL1009" s="34"/>
    </row>
    <row r="1010" spans="12:38">
      <c r="L1010" s="34"/>
      <c r="M1010" s="34"/>
      <c r="N1010" s="34"/>
      <c r="O1010" s="34"/>
      <c r="P1010" s="34"/>
      <c r="Q1010" s="34"/>
      <c r="R1010" s="34"/>
      <c r="S1010" s="34"/>
      <c r="T1010" s="34"/>
      <c r="U1010" s="34"/>
      <c r="V1010" s="34"/>
      <c r="AB1010" s="34"/>
      <c r="AC1010" s="34"/>
      <c r="AD1010" s="34"/>
      <c r="AE1010" s="34"/>
      <c r="AF1010" s="34"/>
      <c r="AG1010" s="34"/>
      <c r="AH1010" s="34"/>
      <c r="AI1010" s="34"/>
      <c r="AJ1010" s="34"/>
      <c r="AK1010" s="34"/>
      <c r="AL1010" s="34"/>
    </row>
    <row r="1011" spans="12:38">
      <c r="L1011" s="34"/>
      <c r="M1011" s="34"/>
      <c r="N1011" s="34"/>
      <c r="O1011" s="34"/>
      <c r="P1011" s="34"/>
      <c r="Q1011" s="34"/>
      <c r="R1011" s="34"/>
      <c r="S1011" s="34"/>
      <c r="T1011" s="34"/>
      <c r="U1011" s="34"/>
      <c r="V1011" s="34"/>
      <c r="AB1011" s="34"/>
      <c r="AC1011" s="34"/>
      <c r="AD1011" s="34"/>
      <c r="AE1011" s="34"/>
      <c r="AF1011" s="34"/>
      <c r="AG1011" s="34"/>
      <c r="AH1011" s="34"/>
      <c r="AI1011" s="34"/>
      <c r="AJ1011" s="34"/>
      <c r="AK1011" s="34"/>
      <c r="AL1011" s="34"/>
    </row>
    <row r="1012" spans="12:38">
      <c r="L1012" s="34"/>
      <c r="M1012" s="34"/>
      <c r="N1012" s="34"/>
      <c r="O1012" s="34"/>
      <c r="P1012" s="34"/>
      <c r="Q1012" s="34"/>
      <c r="R1012" s="34"/>
      <c r="S1012" s="34"/>
      <c r="T1012" s="34"/>
      <c r="U1012" s="34"/>
      <c r="V1012" s="34"/>
      <c r="AB1012" s="34"/>
      <c r="AC1012" s="34"/>
      <c r="AD1012" s="34"/>
      <c r="AE1012" s="34"/>
      <c r="AF1012" s="34"/>
      <c r="AG1012" s="34"/>
      <c r="AH1012" s="34"/>
      <c r="AI1012" s="34"/>
      <c r="AJ1012" s="34"/>
      <c r="AK1012" s="34"/>
      <c r="AL1012" s="34"/>
    </row>
    <row r="1013" spans="12:38">
      <c r="L1013" s="34"/>
      <c r="M1013" s="34"/>
      <c r="N1013" s="34"/>
      <c r="O1013" s="34"/>
      <c r="P1013" s="34"/>
      <c r="Q1013" s="34"/>
      <c r="R1013" s="34"/>
      <c r="S1013" s="34"/>
      <c r="T1013" s="34"/>
      <c r="U1013" s="34"/>
      <c r="V1013" s="34"/>
      <c r="AB1013" s="34"/>
      <c r="AC1013" s="34"/>
      <c r="AD1013" s="34"/>
      <c r="AE1013" s="34"/>
      <c r="AF1013" s="34"/>
      <c r="AG1013" s="34"/>
      <c r="AH1013" s="34"/>
      <c r="AI1013" s="34"/>
      <c r="AJ1013" s="34"/>
      <c r="AK1013" s="34"/>
      <c r="AL1013" s="34"/>
    </row>
    <row r="1014" spans="12:38">
      <c r="L1014" s="34"/>
      <c r="M1014" s="34"/>
      <c r="N1014" s="34"/>
      <c r="O1014" s="34"/>
      <c r="P1014" s="34"/>
      <c r="Q1014" s="34"/>
      <c r="R1014" s="34"/>
      <c r="S1014" s="34"/>
      <c r="T1014" s="34"/>
      <c r="U1014" s="34"/>
      <c r="V1014" s="34"/>
      <c r="AB1014" s="34"/>
      <c r="AC1014" s="34"/>
      <c r="AD1014" s="34"/>
      <c r="AE1014" s="34"/>
      <c r="AF1014" s="34"/>
      <c r="AG1014" s="34"/>
      <c r="AH1014" s="34"/>
      <c r="AI1014" s="34"/>
      <c r="AJ1014" s="34"/>
      <c r="AK1014" s="34"/>
      <c r="AL1014" s="34"/>
    </row>
    <row r="1015" spans="12:38">
      <c r="L1015" s="34"/>
      <c r="M1015" s="34"/>
      <c r="N1015" s="34"/>
      <c r="O1015" s="34"/>
      <c r="P1015" s="34"/>
      <c r="Q1015" s="34"/>
      <c r="R1015" s="34"/>
      <c r="S1015" s="34"/>
      <c r="T1015" s="34"/>
      <c r="U1015" s="34"/>
      <c r="V1015" s="34"/>
      <c r="AB1015" s="34"/>
      <c r="AC1015" s="34"/>
      <c r="AD1015" s="34"/>
      <c r="AE1015" s="34"/>
      <c r="AF1015" s="34"/>
      <c r="AG1015" s="34"/>
      <c r="AH1015" s="34"/>
      <c r="AI1015" s="34"/>
      <c r="AJ1015" s="34"/>
      <c r="AK1015" s="34"/>
      <c r="AL1015" s="34"/>
    </row>
    <row r="1016" spans="12:38">
      <c r="L1016" s="34"/>
      <c r="M1016" s="34"/>
      <c r="N1016" s="34"/>
      <c r="O1016" s="34"/>
      <c r="P1016" s="34"/>
      <c r="Q1016" s="34"/>
      <c r="R1016" s="34"/>
      <c r="S1016" s="34"/>
      <c r="T1016" s="34"/>
      <c r="U1016" s="34"/>
      <c r="V1016" s="34"/>
      <c r="AB1016" s="34"/>
      <c r="AC1016" s="34"/>
      <c r="AD1016" s="34"/>
      <c r="AE1016" s="34"/>
      <c r="AF1016" s="34"/>
      <c r="AG1016" s="34"/>
      <c r="AH1016" s="34"/>
      <c r="AI1016" s="34"/>
      <c r="AJ1016" s="34"/>
      <c r="AK1016" s="34"/>
      <c r="AL1016" s="34"/>
    </row>
    <row r="1017" spans="12:38">
      <c r="L1017" s="34"/>
      <c r="M1017" s="34"/>
      <c r="N1017" s="34"/>
      <c r="O1017" s="34"/>
      <c r="P1017" s="34"/>
      <c r="Q1017" s="34"/>
      <c r="R1017" s="34"/>
      <c r="S1017" s="34"/>
      <c r="T1017" s="34"/>
      <c r="U1017" s="34"/>
      <c r="V1017" s="34"/>
      <c r="AB1017" s="34"/>
      <c r="AC1017" s="34"/>
      <c r="AD1017" s="34"/>
      <c r="AE1017" s="34"/>
      <c r="AF1017" s="34"/>
      <c r="AG1017" s="34"/>
      <c r="AH1017" s="34"/>
      <c r="AI1017" s="34"/>
      <c r="AJ1017" s="34"/>
      <c r="AK1017" s="34"/>
      <c r="AL1017" s="34"/>
    </row>
    <row r="1018" spans="12:38">
      <c r="L1018" s="34"/>
      <c r="M1018" s="34"/>
      <c r="N1018" s="34"/>
      <c r="O1018" s="34"/>
      <c r="P1018" s="34"/>
      <c r="Q1018" s="34"/>
      <c r="R1018" s="34"/>
      <c r="S1018" s="34"/>
      <c r="T1018" s="34"/>
      <c r="U1018" s="34"/>
      <c r="V1018" s="34"/>
      <c r="AB1018" s="34"/>
      <c r="AC1018" s="34"/>
      <c r="AD1018" s="34"/>
      <c r="AE1018" s="34"/>
      <c r="AF1018" s="34"/>
      <c r="AG1018" s="34"/>
      <c r="AH1018" s="34"/>
      <c r="AI1018" s="34"/>
      <c r="AJ1018" s="34"/>
      <c r="AK1018" s="34"/>
      <c r="AL1018" s="34"/>
    </row>
    <row r="1019" spans="12:38">
      <c r="L1019" s="34"/>
      <c r="M1019" s="34"/>
      <c r="N1019" s="34"/>
      <c r="O1019" s="34"/>
      <c r="P1019" s="34"/>
      <c r="Q1019" s="34"/>
      <c r="R1019" s="34"/>
      <c r="S1019" s="34"/>
      <c r="T1019" s="34"/>
      <c r="U1019" s="34"/>
      <c r="V1019" s="34"/>
      <c r="AB1019" s="34"/>
      <c r="AC1019" s="34"/>
      <c r="AD1019" s="34"/>
      <c r="AE1019" s="34"/>
      <c r="AF1019" s="34"/>
      <c r="AG1019" s="34"/>
      <c r="AH1019" s="34"/>
      <c r="AI1019" s="34"/>
      <c r="AJ1019" s="34"/>
      <c r="AK1019" s="34"/>
      <c r="AL1019" s="34"/>
    </row>
    <row r="1020" spans="12:38">
      <c r="L1020" s="34"/>
      <c r="M1020" s="34"/>
      <c r="N1020" s="34"/>
      <c r="O1020" s="34"/>
      <c r="P1020" s="34"/>
      <c r="Q1020" s="34"/>
      <c r="R1020" s="34"/>
      <c r="S1020" s="34"/>
      <c r="T1020" s="34"/>
      <c r="U1020" s="34"/>
      <c r="V1020" s="34"/>
      <c r="AB1020" s="34"/>
      <c r="AC1020" s="34"/>
      <c r="AD1020" s="34"/>
      <c r="AE1020" s="34"/>
      <c r="AF1020" s="34"/>
      <c r="AG1020" s="34"/>
      <c r="AH1020" s="34"/>
      <c r="AI1020" s="34"/>
      <c r="AJ1020" s="34"/>
      <c r="AK1020" s="34"/>
      <c r="AL1020" s="34"/>
    </row>
    <row r="1021" spans="12:38">
      <c r="L1021" s="34"/>
      <c r="M1021" s="34"/>
      <c r="N1021" s="34"/>
      <c r="O1021" s="34"/>
      <c r="P1021" s="34"/>
      <c r="Q1021" s="34"/>
      <c r="R1021" s="34"/>
      <c r="S1021" s="34"/>
      <c r="T1021" s="34"/>
      <c r="U1021" s="34"/>
      <c r="V1021" s="34"/>
      <c r="AB1021" s="34"/>
      <c r="AC1021" s="34"/>
      <c r="AD1021" s="34"/>
      <c r="AE1021" s="34"/>
      <c r="AF1021" s="34"/>
      <c r="AG1021" s="34"/>
      <c r="AH1021" s="34"/>
      <c r="AI1021" s="34"/>
      <c r="AJ1021" s="34"/>
      <c r="AK1021" s="34"/>
      <c r="AL1021" s="34"/>
    </row>
    <row r="1022" spans="12:38">
      <c r="L1022" s="34"/>
      <c r="M1022" s="34"/>
      <c r="N1022" s="34"/>
      <c r="O1022" s="34"/>
      <c r="P1022" s="34"/>
      <c r="Q1022" s="34"/>
      <c r="R1022" s="34"/>
      <c r="S1022" s="34"/>
      <c r="T1022" s="34"/>
      <c r="U1022" s="34"/>
      <c r="V1022" s="34"/>
      <c r="AB1022" s="34"/>
      <c r="AC1022" s="34"/>
      <c r="AD1022" s="34"/>
      <c r="AE1022" s="34"/>
      <c r="AF1022" s="34"/>
      <c r="AG1022" s="34"/>
      <c r="AH1022" s="34"/>
      <c r="AI1022" s="34"/>
      <c r="AJ1022" s="34"/>
      <c r="AK1022" s="34"/>
      <c r="AL1022" s="34"/>
    </row>
    <row r="1023" spans="12:38">
      <c r="L1023" s="34"/>
      <c r="M1023" s="34"/>
      <c r="N1023" s="34"/>
      <c r="O1023" s="34"/>
      <c r="P1023" s="34"/>
      <c r="Q1023" s="34"/>
      <c r="R1023" s="34"/>
      <c r="S1023" s="34"/>
      <c r="T1023" s="34"/>
      <c r="U1023" s="34"/>
      <c r="V1023" s="34"/>
      <c r="AB1023" s="34"/>
      <c r="AC1023" s="34"/>
      <c r="AD1023" s="34"/>
      <c r="AE1023" s="34"/>
      <c r="AF1023" s="34"/>
      <c r="AG1023" s="34"/>
      <c r="AH1023" s="34"/>
      <c r="AI1023" s="34"/>
      <c r="AJ1023" s="34"/>
      <c r="AK1023" s="34"/>
      <c r="AL1023" s="34"/>
    </row>
    <row r="1024" spans="12:38">
      <c r="L1024" s="34"/>
      <c r="M1024" s="34"/>
      <c r="N1024" s="34"/>
      <c r="O1024" s="34"/>
      <c r="P1024" s="34"/>
      <c r="Q1024" s="34"/>
      <c r="R1024" s="34"/>
      <c r="S1024" s="34"/>
      <c r="T1024" s="34"/>
      <c r="U1024" s="34"/>
      <c r="V1024" s="34"/>
      <c r="AB1024" s="34"/>
      <c r="AC1024" s="34"/>
      <c r="AD1024" s="34"/>
      <c r="AE1024" s="34"/>
      <c r="AF1024" s="34"/>
      <c r="AG1024" s="34"/>
      <c r="AH1024" s="34"/>
      <c r="AI1024" s="34"/>
      <c r="AJ1024" s="34"/>
      <c r="AK1024" s="34"/>
      <c r="AL1024" s="34"/>
    </row>
    <row r="1025" spans="12:38">
      <c r="L1025" s="34"/>
      <c r="M1025" s="34"/>
      <c r="N1025" s="34"/>
      <c r="O1025" s="34"/>
      <c r="P1025" s="34"/>
      <c r="Q1025" s="34"/>
      <c r="R1025" s="34"/>
      <c r="S1025" s="34"/>
      <c r="T1025" s="34"/>
      <c r="U1025" s="34"/>
      <c r="V1025" s="34"/>
      <c r="AB1025" s="34"/>
      <c r="AC1025" s="34"/>
      <c r="AD1025" s="34"/>
      <c r="AE1025" s="34"/>
      <c r="AF1025" s="34"/>
      <c r="AG1025" s="34"/>
      <c r="AH1025" s="34"/>
      <c r="AI1025" s="34"/>
      <c r="AJ1025" s="34"/>
      <c r="AK1025" s="34"/>
      <c r="AL1025" s="34"/>
    </row>
    <row r="1026" spans="12:38">
      <c r="L1026" s="34"/>
      <c r="M1026" s="34"/>
      <c r="N1026" s="34"/>
      <c r="O1026" s="34"/>
      <c r="P1026" s="34"/>
      <c r="Q1026" s="34"/>
      <c r="R1026" s="34"/>
      <c r="S1026" s="34"/>
      <c r="T1026" s="34"/>
      <c r="U1026" s="34"/>
      <c r="V1026" s="34"/>
      <c r="AB1026" s="34"/>
      <c r="AC1026" s="34"/>
      <c r="AD1026" s="34"/>
      <c r="AE1026" s="34"/>
      <c r="AF1026" s="34"/>
      <c r="AG1026" s="34"/>
      <c r="AH1026" s="34"/>
      <c r="AI1026" s="34"/>
      <c r="AJ1026" s="34"/>
      <c r="AK1026" s="34"/>
      <c r="AL1026" s="34"/>
    </row>
    <row r="1027" spans="12:38">
      <c r="L1027" s="34"/>
      <c r="M1027" s="34"/>
      <c r="N1027" s="34"/>
      <c r="O1027" s="34"/>
      <c r="P1027" s="34"/>
      <c r="Q1027" s="34"/>
      <c r="R1027" s="34"/>
      <c r="S1027" s="34"/>
      <c r="T1027" s="34"/>
      <c r="U1027" s="34"/>
      <c r="V1027" s="34"/>
      <c r="AB1027" s="34"/>
      <c r="AC1027" s="34"/>
      <c r="AD1027" s="34"/>
      <c r="AE1027" s="34"/>
      <c r="AF1027" s="34"/>
      <c r="AG1027" s="34"/>
      <c r="AH1027" s="34"/>
      <c r="AI1027" s="34"/>
      <c r="AJ1027" s="34"/>
      <c r="AK1027" s="34"/>
      <c r="AL1027" s="34"/>
    </row>
    <row r="1028" spans="12:38">
      <c r="L1028" s="34"/>
      <c r="M1028" s="34"/>
      <c r="N1028" s="34"/>
      <c r="O1028" s="34"/>
      <c r="P1028" s="34"/>
      <c r="Q1028" s="34"/>
      <c r="R1028" s="34"/>
      <c r="S1028" s="34"/>
      <c r="T1028" s="34"/>
      <c r="U1028" s="34"/>
      <c r="V1028" s="34"/>
      <c r="AB1028" s="34"/>
      <c r="AC1028" s="34"/>
      <c r="AD1028" s="34"/>
      <c r="AE1028" s="34"/>
      <c r="AF1028" s="34"/>
      <c r="AG1028" s="34"/>
      <c r="AH1028" s="34"/>
      <c r="AI1028" s="34"/>
      <c r="AJ1028" s="34"/>
      <c r="AK1028" s="34"/>
      <c r="AL1028" s="34"/>
    </row>
    <row r="1029" spans="12:38">
      <c r="L1029" s="34"/>
      <c r="M1029" s="34"/>
      <c r="N1029" s="34"/>
      <c r="O1029" s="34"/>
      <c r="P1029" s="34"/>
      <c r="Q1029" s="34"/>
      <c r="R1029" s="34"/>
      <c r="S1029" s="34"/>
      <c r="T1029" s="34"/>
      <c r="U1029" s="34"/>
      <c r="V1029" s="34"/>
      <c r="AB1029" s="34"/>
      <c r="AC1029" s="34"/>
      <c r="AD1029" s="34"/>
      <c r="AE1029" s="34"/>
      <c r="AF1029" s="34"/>
      <c r="AG1029" s="34"/>
      <c r="AH1029" s="34"/>
      <c r="AI1029" s="34"/>
      <c r="AJ1029" s="34"/>
      <c r="AK1029" s="34"/>
      <c r="AL1029" s="34"/>
    </row>
    <row r="1030" spans="12:38">
      <c r="L1030" s="34"/>
      <c r="M1030" s="34"/>
      <c r="N1030" s="34"/>
      <c r="O1030" s="34"/>
      <c r="P1030" s="34"/>
      <c r="Q1030" s="34"/>
      <c r="R1030" s="34"/>
      <c r="S1030" s="34"/>
      <c r="T1030" s="34"/>
      <c r="U1030" s="34"/>
      <c r="V1030" s="34"/>
      <c r="AB1030" s="34"/>
      <c r="AC1030" s="34"/>
      <c r="AD1030" s="34"/>
      <c r="AE1030" s="34"/>
      <c r="AF1030" s="34"/>
      <c r="AG1030" s="34"/>
      <c r="AH1030" s="34"/>
      <c r="AI1030" s="34"/>
      <c r="AJ1030" s="34"/>
      <c r="AK1030" s="34"/>
      <c r="AL1030" s="34"/>
    </row>
    <row r="1031" spans="12:38">
      <c r="L1031" s="34"/>
      <c r="M1031" s="34"/>
      <c r="N1031" s="34"/>
      <c r="O1031" s="34"/>
      <c r="P1031" s="34"/>
      <c r="Q1031" s="34"/>
      <c r="R1031" s="34"/>
      <c r="S1031" s="34"/>
      <c r="T1031" s="34"/>
      <c r="U1031" s="34"/>
      <c r="V1031" s="34"/>
      <c r="AB1031" s="34"/>
      <c r="AC1031" s="34"/>
      <c r="AD1031" s="34"/>
      <c r="AE1031" s="34"/>
      <c r="AF1031" s="34"/>
      <c r="AG1031" s="34"/>
      <c r="AH1031" s="34"/>
      <c r="AI1031" s="34"/>
      <c r="AJ1031" s="34"/>
      <c r="AK1031" s="34"/>
      <c r="AL1031" s="34"/>
    </row>
    <row r="1032" spans="12:38">
      <c r="L1032" s="34"/>
      <c r="M1032" s="34"/>
      <c r="N1032" s="34"/>
      <c r="O1032" s="34"/>
      <c r="P1032" s="34"/>
      <c r="Q1032" s="34"/>
      <c r="R1032" s="34"/>
      <c r="S1032" s="34"/>
      <c r="T1032" s="34"/>
      <c r="U1032" s="34"/>
      <c r="V1032" s="34"/>
      <c r="AB1032" s="34"/>
      <c r="AC1032" s="34"/>
      <c r="AD1032" s="34"/>
      <c r="AE1032" s="34"/>
      <c r="AF1032" s="34"/>
      <c r="AG1032" s="34"/>
      <c r="AH1032" s="34"/>
      <c r="AI1032" s="34"/>
      <c r="AJ1032" s="34"/>
      <c r="AK1032" s="34"/>
      <c r="AL1032" s="34"/>
    </row>
    <row r="1033" spans="12:38">
      <c r="L1033" s="34"/>
      <c r="M1033" s="34"/>
      <c r="N1033" s="34"/>
      <c r="O1033" s="34"/>
      <c r="P1033" s="34"/>
      <c r="Q1033" s="34"/>
      <c r="R1033" s="34"/>
      <c r="S1033" s="34"/>
      <c r="T1033" s="34"/>
      <c r="U1033" s="34"/>
      <c r="V1033" s="34"/>
      <c r="AB1033" s="34"/>
      <c r="AC1033" s="34"/>
      <c r="AD1033" s="34"/>
      <c r="AE1033" s="34"/>
      <c r="AF1033" s="34"/>
      <c r="AG1033" s="34"/>
      <c r="AH1033" s="34"/>
      <c r="AI1033" s="34"/>
      <c r="AJ1033" s="34"/>
      <c r="AK1033" s="34"/>
      <c r="AL1033" s="34"/>
    </row>
    <row r="1034" spans="12:38">
      <c r="L1034" s="34"/>
      <c r="M1034" s="34"/>
      <c r="N1034" s="34"/>
      <c r="O1034" s="34"/>
      <c r="P1034" s="34"/>
      <c r="Q1034" s="34"/>
      <c r="R1034" s="34"/>
      <c r="S1034" s="34"/>
      <c r="T1034" s="34"/>
      <c r="U1034" s="34"/>
      <c r="V1034" s="34"/>
      <c r="AB1034" s="34"/>
      <c r="AC1034" s="34"/>
      <c r="AD1034" s="34"/>
      <c r="AE1034" s="34"/>
      <c r="AF1034" s="34"/>
      <c r="AG1034" s="34"/>
      <c r="AH1034" s="34"/>
      <c r="AI1034" s="34"/>
      <c r="AJ1034" s="34"/>
      <c r="AK1034" s="34"/>
      <c r="AL1034" s="34"/>
    </row>
    <row r="1035" spans="12:38">
      <c r="L1035" s="34"/>
      <c r="M1035" s="34"/>
      <c r="N1035" s="34"/>
      <c r="O1035" s="34"/>
      <c r="P1035" s="34"/>
      <c r="Q1035" s="34"/>
      <c r="R1035" s="34"/>
      <c r="S1035" s="34"/>
      <c r="T1035" s="34"/>
      <c r="U1035" s="34"/>
      <c r="V1035" s="34"/>
      <c r="AB1035" s="34"/>
      <c r="AC1035" s="34"/>
      <c r="AD1035" s="34"/>
      <c r="AE1035" s="34"/>
      <c r="AF1035" s="34"/>
      <c r="AG1035" s="34"/>
      <c r="AH1035" s="34"/>
      <c r="AI1035" s="34"/>
      <c r="AJ1035" s="34"/>
      <c r="AK1035" s="34"/>
      <c r="AL1035" s="34"/>
    </row>
    <row r="1036" spans="12:38">
      <c r="L1036" s="34"/>
      <c r="M1036" s="34"/>
      <c r="N1036" s="34"/>
      <c r="O1036" s="34"/>
      <c r="P1036" s="34"/>
      <c r="Q1036" s="34"/>
      <c r="R1036" s="34"/>
      <c r="S1036" s="34"/>
      <c r="T1036" s="34"/>
      <c r="U1036" s="34"/>
      <c r="V1036" s="34"/>
      <c r="AB1036" s="34"/>
      <c r="AC1036" s="34"/>
      <c r="AD1036" s="34"/>
      <c r="AE1036" s="34"/>
      <c r="AF1036" s="34"/>
      <c r="AG1036" s="34"/>
      <c r="AH1036" s="34"/>
      <c r="AI1036" s="34"/>
      <c r="AJ1036" s="34"/>
      <c r="AK1036" s="34"/>
      <c r="AL1036" s="34"/>
    </row>
    <row r="1037" spans="12:38">
      <c r="L1037" s="34"/>
      <c r="M1037" s="34"/>
      <c r="N1037" s="34"/>
      <c r="O1037" s="34"/>
      <c r="P1037" s="34"/>
      <c r="Q1037" s="34"/>
      <c r="R1037" s="34"/>
      <c r="S1037" s="34"/>
      <c r="T1037" s="34"/>
      <c r="U1037" s="34"/>
      <c r="V1037" s="34"/>
      <c r="AB1037" s="34"/>
      <c r="AC1037" s="34"/>
      <c r="AD1037" s="34"/>
      <c r="AE1037" s="34"/>
      <c r="AF1037" s="34"/>
      <c r="AG1037" s="34"/>
      <c r="AH1037" s="34"/>
      <c r="AI1037" s="34"/>
      <c r="AJ1037" s="34"/>
      <c r="AK1037" s="34"/>
      <c r="AL1037" s="34"/>
    </row>
    <row r="1038" spans="12:38">
      <c r="L1038" s="34"/>
      <c r="M1038" s="34"/>
      <c r="N1038" s="34"/>
      <c r="O1038" s="34"/>
      <c r="P1038" s="34"/>
      <c r="Q1038" s="34"/>
      <c r="R1038" s="34"/>
      <c r="S1038" s="34"/>
      <c r="T1038" s="34"/>
      <c r="U1038" s="34"/>
      <c r="V1038" s="34"/>
      <c r="AB1038" s="34"/>
      <c r="AC1038" s="34"/>
      <c r="AD1038" s="34"/>
      <c r="AE1038" s="34"/>
      <c r="AF1038" s="34"/>
      <c r="AG1038" s="34"/>
      <c r="AH1038" s="34"/>
      <c r="AI1038" s="34"/>
      <c r="AJ1038" s="34"/>
      <c r="AK1038" s="34"/>
      <c r="AL1038" s="34"/>
    </row>
    <row r="1039" spans="12:38">
      <c r="L1039" s="34"/>
      <c r="M1039" s="34"/>
      <c r="N1039" s="34"/>
      <c r="O1039" s="34"/>
      <c r="P1039" s="34"/>
      <c r="Q1039" s="34"/>
      <c r="R1039" s="34"/>
      <c r="S1039" s="34"/>
      <c r="T1039" s="34"/>
      <c r="U1039" s="34"/>
      <c r="V1039" s="34"/>
      <c r="AB1039" s="34"/>
      <c r="AC1039" s="34"/>
      <c r="AD1039" s="34"/>
      <c r="AE1039" s="34"/>
      <c r="AF1039" s="34"/>
      <c r="AG1039" s="34"/>
      <c r="AH1039" s="34"/>
      <c r="AI1039" s="34"/>
      <c r="AJ1039" s="34"/>
      <c r="AK1039" s="34"/>
      <c r="AL1039" s="34"/>
    </row>
    <row r="1040" spans="12:38">
      <c r="L1040" s="34"/>
      <c r="M1040" s="34"/>
      <c r="N1040" s="34"/>
      <c r="O1040" s="34"/>
      <c r="P1040" s="34"/>
      <c r="Q1040" s="34"/>
      <c r="R1040" s="34"/>
      <c r="S1040" s="34"/>
      <c r="T1040" s="34"/>
      <c r="U1040" s="34"/>
      <c r="V1040" s="34"/>
      <c r="AB1040" s="34"/>
      <c r="AC1040" s="34"/>
      <c r="AD1040" s="34"/>
      <c r="AE1040" s="34"/>
      <c r="AF1040" s="34"/>
      <c r="AG1040" s="34"/>
      <c r="AH1040" s="34"/>
      <c r="AI1040" s="34"/>
      <c r="AJ1040" s="34"/>
      <c r="AK1040" s="34"/>
      <c r="AL1040" s="34"/>
    </row>
    <row r="1041" spans="12:38">
      <c r="L1041" s="34"/>
      <c r="M1041" s="34"/>
      <c r="N1041" s="34"/>
      <c r="O1041" s="34"/>
      <c r="P1041" s="34"/>
      <c r="Q1041" s="34"/>
      <c r="R1041" s="34"/>
      <c r="S1041" s="34"/>
      <c r="T1041" s="34"/>
      <c r="U1041" s="34"/>
      <c r="V1041" s="34"/>
      <c r="AB1041" s="34"/>
      <c r="AC1041" s="34"/>
      <c r="AD1041" s="34"/>
      <c r="AE1041" s="34"/>
      <c r="AF1041" s="34"/>
      <c r="AG1041" s="34"/>
      <c r="AH1041" s="34"/>
      <c r="AI1041" s="34"/>
      <c r="AJ1041" s="34"/>
      <c r="AK1041" s="34"/>
      <c r="AL1041" s="34"/>
    </row>
    <row r="1042" spans="12:38">
      <c r="L1042" s="34"/>
      <c r="M1042" s="34"/>
      <c r="N1042" s="34"/>
      <c r="O1042" s="34"/>
      <c r="P1042" s="34"/>
      <c r="Q1042" s="34"/>
      <c r="R1042" s="34"/>
      <c r="S1042" s="34"/>
      <c r="T1042" s="34"/>
      <c r="U1042" s="34"/>
      <c r="V1042" s="34"/>
      <c r="AB1042" s="34"/>
      <c r="AC1042" s="34"/>
      <c r="AD1042" s="34"/>
      <c r="AE1042" s="34"/>
      <c r="AF1042" s="34"/>
      <c r="AG1042" s="34"/>
      <c r="AH1042" s="34"/>
      <c r="AI1042" s="34"/>
      <c r="AJ1042" s="34"/>
      <c r="AK1042" s="34"/>
      <c r="AL1042" s="34"/>
    </row>
    <row r="1043" spans="12:38">
      <c r="L1043" s="34"/>
      <c r="M1043" s="34"/>
      <c r="N1043" s="34"/>
      <c r="O1043" s="34"/>
      <c r="P1043" s="34"/>
      <c r="Q1043" s="34"/>
      <c r="R1043" s="34"/>
      <c r="S1043" s="34"/>
      <c r="T1043" s="34"/>
      <c r="U1043" s="34"/>
      <c r="V1043" s="34"/>
      <c r="AB1043" s="34"/>
      <c r="AC1043" s="34"/>
      <c r="AD1043" s="34"/>
      <c r="AE1043" s="34"/>
      <c r="AF1043" s="34"/>
      <c r="AG1043" s="34"/>
      <c r="AH1043" s="34"/>
      <c r="AI1043" s="34"/>
      <c r="AJ1043" s="34"/>
      <c r="AK1043" s="34"/>
      <c r="AL1043" s="34"/>
    </row>
    <row r="1044" spans="12:38">
      <c r="L1044" s="34"/>
      <c r="M1044" s="34"/>
      <c r="N1044" s="34"/>
      <c r="O1044" s="34"/>
      <c r="P1044" s="34"/>
      <c r="Q1044" s="34"/>
      <c r="R1044" s="34"/>
      <c r="S1044" s="34"/>
      <c r="T1044" s="34"/>
      <c r="U1044" s="34"/>
      <c r="V1044" s="34"/>
      <c r="AB1044" s="34"/>
      <c r="AC1044" s="34"/>
      <c r="AD1044" s="34"/>
      <c r="AE1044" s="34"/>
      <c r="AF1044" s="34"/>
      <c r="AG1044" s="34"/>
      <c r="AH1044" s="34"/>
      <c r="AI1044" s="34"/>
      <c r="AJ1044" s="34"/>
      <c r="AK1044" s="34"/>
      <c r="AL1044" s="34"/>
    </row>
    <row r="1045" spans="12:38">
      <c r="L1045" s="34"/>
      <c r="M1045" s="34"/>
      <c r="N1045" s="34"/>
      <c r="O1045" s="34"/>
      <c r="P1045" s="34"/>
      <c r="Q1045" s="34"/>
      <c r="R1045" s="34"/>
      <c r="S1045" s="34"/>
      <c r="T1045" s="34"/>
      <c r="U1045" s="34"/>
      <c r="V1045" s="34"/>
      <c r="AB1045" s="34"/>
      <c r="AC1045" s="34"/>
      <c r="AD1045" s="34"/>
      <c r="AE1045" s="34"/>
      <c r="AF1045" s="34"/>
      <c r="AG1045" s="34"/>
      <c r="AH1045" s="34"/>
      <c r="AI1045" s="34"/>
      <c r="AJ1045" s="34"/>
      <c r="AK1045" s="34"/>
      <c r="AL1045" s="34"/>
    </row>
    <row r="1046" spans="12:38">
      <c r="L1046" s="34"/>
      <c r="M1046" s="34"/>
      <c r="N1046" s="34"/>
      <c r="O1046" s="34"/>
      <c r="P1046" s="34"/>
      <c r="Q1046" s="34"/>
      <c r="R1046" s="34"/>
      <c r="S1046" s="34"/>
      <c r="T1046" s="34"/>
      <c r="U1046" s="34"/>
      <c r="V1046" s="34"/>
      <c r="AB1046" s="34"/>
      <c r="AC1046" s="34"/>
      <c r="AD1046" s="34"/>
      <c r="AE1046" s="34"/>
      <c r="AF1046" s="34"/>
      <c r="AG1046" s="34"/>
      <c r="AH1046" s="34"/>
      <c r="AI1046" s="34"/>
      <c r="AJ1046" s="34"/>
      <c r="AK1046" s="34"/>
      <c r="AL1046" s="34"/>
    </row>
    <row r="1047" spans="12:38">
      <c r="L1047" s="34"/>
      <c r="M1047" s="34"/>
      <c r="N1047" s="34"/>
      <c r="O1047" s="34"/>
      <c r="P1047" s="34"/>
      <c r="Q1047" s="34"/>
      <c r="R1047" s="34"/>
      <c r="S1047" s="34"/>
      <c r="T1047" s="34"/>
      <c r="U1047" s="34"/>
      <c r="V1047" s="34"/>
      <c r="AB1047" s="34"/>
      <c r="AC1047" s="34"/>
      <c r="AD1047" s="34"/>
      <c r="AE1047" s="34"/>
      <c r="AF1047" s="34"/>
      <c r="AG1047" s="34"/>
      <c r="AH1047" s="34"/>
      <c r="AI1047" s="34"/>
      <c r="AJ1047" s="34"/>
      <c r="AK1047" s="34"/>
      <c r="AL1047" s="34"/>
    </row>
    <row r="1048" spans="12:38">
      <c r="L1048" s="34"/>
      <c r="M1048" s="34"/>
      <c r="N1048" s="34"/>
      <c r="O1048" s="34"/>
      <c r="P1048" s="34"/>
      <c r="Q1048" s="34"/>
      <c r="R1048" s="34"/>
      <c r="S1048" s="34"/>
      <c r="T1048" s="34"/>
      <c r="U1048" s="34"/>
      <c r="V1048" s="34"/>
      <c r="AB1048" s="34"/>
      <c r="AC1048" s="34"/>
      <c r="AD1048" s="34"/>
      <c r="AE1048" s="34"/>
      <c r="AF1048" s="34"/>
      <c r="AG1048" s="34"/>
      <c r="AH1048" s="34"/>
      <c r="AI1048" s="34"/>
      <c r="AJ1048" s="34"/>
      <c r="AK1048" s="34"/>
      <c r="AL1048" s="34"/>
    </row>
    <row r="1049" spans="12:38">
      <c r="L1049" s="34"/>
      <c r="M1049" s="34"/>
      <c r="N1049" s="34"/>
      <c r="O1049" s="34"/>
      <c r="P1049" s="34"/>
      <c r="Q1049" s="34"/>
      <c r="R1049" s="34"/>
      <c r="S1049" s="34"/>
      <c r="T1049" s="34"/>
      <c r="U1049" s="34"/>
      <c r="V1049" s="34"/>
      <c r="AB1049" s="34"/>
      <c r="AC1049" s="34"/>
      <c r="AD1049" s="34"/>
      <c r="AE1049" s="34"/>
      <c r="AF1049" s="34"/>
      <c r="AG1049" s="34"/>
      <c r="AH1049" s="34"/>
      <c r="AI1049" s="34"/>
      <c r="AJ1049" s="34"/>
      <c r="AK1049" s="34"/>
      <c r="AL1049" s="34"/>
    </row>
    <row r="1050" spans="12:38">
      <c r="L1050" s="34"/>
      <c r="M1050" s="34"/>
      <c r="N1050" s="34"/>
      <c r="O1050" s="34"/>
      <c r="P1050" s="34"/>
      <c r="Q1050" s="34"/>
      <c r="R1050" s="34"/>
      <c r="S1050" s="34"/>
      <c r="T1050" s="34"/>
      <c r="U1050" s="34"/>
      <c r="V1050" s="34"/>
      <c r="AB1050" s="34"/>
      <c r="AC1050" s="34"/>
      <c r="AD1050" s="34"/>
      <c r="AE1050" s="34"/>
      <c r="AF1050" s="34"/>
      <c r="AG1050" s="34"/>
      <c r="AH1050" s="34"/>
      <c r="AI1050" s="34"/>
      <c r="AJ1050" s="34"/>
      <c r="AK1050" s="34"/>
      <c r="AL1050" s="34"/>
    </row>
    <row r="1051" spans="12:38">
      <c r="L1051" s="34"/>
      <c r="M1051" s="34"/>
      <c r="N1051" s="34"/>
      <c r="O1051" s="34"/>
      <c r="P1051" s="34"/>
      <c r="Q1051" s="34"/>
      <c r="R1051" s="34"/>
      <c r="S1051" s="34"/>
      <c r="T1051" s="34"/>
      <c r="U1051" s="34"/>
      <c r="V1051" s="34"/>
      <c r="AB1051" s="34"/>
      <c r="AC1051" s="34"/>
      <c r="AD1051" s="34"/>
      <c r="AE1051" s="34"/>
      <c r="AF1051" s="34"/>
      <c r="AG1051" s="34"/>
      <c r="AH1051" s="34"/>
      <c r="AI1051" s="34"/>
      <c r="AJ1051" s="34"/>
      <c r="AK1051" s="34"/>
      <c r="AL1051" s="34"/>
    </row>
    <row r="1052" spans="12:38">
      <c r="L1052" s="34"/>
      <c r="M1052" s="34"/>
      <c r="N1052" s="34"/>
      <c r="O1052" s="34"/>
      <c r="P1052" s="34"/>
      <c r="Q1052" s="34"/>
      <c r="R1052" s="34"/>
      <c r="S1052" s="34"/>
      <c r="T1052" s="34"/>
      <c r="U1052" s="34"/>
      <c r="V1052" s="34"/>
      <c r="AB1052" s="34"/>
      <c r="AC1052" s="34"/>
      <c r="AD1052" s="34"/>
      <c r="AE1052" s="34"/>
      <c r="AF1052" s="34"/>
      <c r="AG1052" s="34"/>
      <c r="AH1052" s="34"/>
      <c r="AI1052" s="34"/>
      <c r="AJ1052" s="34"/>
      <c r="AK1052" s="34"/>
      <c r="AL1052" s="34"/>
    </row>
    <row r="1053" spans="12:38">
      <c r="L1053" s="34"/>
      <c r="M1053" s="34"/>
      <c r="N1053" s="34"/>
      <c r="O1053" s="34"/>
      <c r="P1053" s="34"/>
      <c r="Q1053" s="34"/>
      <c r="R1053" s="34"/>
      <c r="S1053" s="34"/>
      <c r="T1053" s="34"/>
      <c r="U1053" s="34"/>
      <c r="V1053" s="34"/>
      <c r="AB1053" s="34"/>
      <c r="AC1053" s="34"/>
      <c r="AD1053" s="34"/>
      <c r="AE1053" s="34"/>
      <c r="AF1053" s="34"/>
      <c r="AG1053" s="34"/>
      <c r="AH1053" s="34"/>
      <c r="AI1053" s="34"/>
      <c r="AJ1053" s="34"/>
      <c r="AK1053" s="34"/>
      <c r="AL1053" s="34"/>
    </row>
    <row r="1054" spans="12:38">
      <c r="L1054" s="34"/>
      <c r="M1054" s="34"/>
      <c r="N1054" s="34"/>
      <c r="O1054" s="34"/>
      <c r="P1054" s="34"/>
      <c r="Q1054" s="34"/>
      <c r="R1054" s="34"/>
      <c r="S1054" s="34"/>
      <c r="T1054" s="34"/>
      <c r="U1054" s="34"/>
      <c r="V1054" s="34"/>
      <c r="AB1054" s="34"/>
      <c r="AC1054" s="34"/>
      <c r="AD1054" s="34"/>
      <c r="AE1054" s="34"/>
      <c r="AF1054" s="34"/>
      <c r="AG1054" s="34"/>
      <c r="AH1054" s="34"/>
      <c r="AI1054" s="34"/>
      <c r="AJ1054" s="34"/>
      <c r="AK1054" s="34"/>
      <c r="AL1054" s="34"/>
    </row>
    <row r="1055" spans="12:38">
      <c r="L1055" s="34"/>
      <c r="M1055" s="34"/>
      <c r="N1055" s="34"/>
      <c r="O1055" s="34"/>
      <c r="P1055" s="34"/>
      <c r="Q1055" s="34"/>
      <c r="R1055" s="34"/>
      <c r="S1055" s="34"/>
      <c r="T1055" s="34"/>
      <c r="U1055" s="34"/>
      <c r="V1055" s="34"/>
      <c r="AB1055" s="34"/>
      <c r="AC1055" s="34"/>
      <c r="AD1055" s="34"/>
      <c r="AE1055" s="34"/>
      <c r="AF1055" s="34"/>
      <c r="AG1055" s="34"/>
      <c r="AH1055" s="34"/>
      <c r="AI1055" s="34"/>
      <c r="AJ1055" s="34"/>
      <c r="AK1055" s="34"/>
      <c r="AL1055" s="34"/>
    </row>
    <row r="1056" spans="12:38">
      <c r="L1056" s="34"/>
      <c r="M1056" s="34"/>
      <c r="N1056" s="34"/>
      <c r="O1056" s="34"/>
      <c r="P1056" s="34"/>
      <c r="Q1056" s="34"/>
      <c r="R1056" s="34"/>
      <c r="S1056" s="34"/>
      <c r="T1056" s="34"/>
      <c r="U1056" s="34"/>
      <c r="V1056" s="34"/>
      <c r="AB1056" s="34"/>
      <c r="AC1056" s="34"/>
      <c r="AD1056" s="34"/>
      <c r="AE1056" s="34"/>
      <c r="AF1056" s="34"/>
      <c r="AG1056" s="34"/>
      <c r="AH1056" s="34"/>
      <c r="AI1056" s="34"/>
      <c r="AJ1056" s="34"/>
      <c r="AK1056" s="34"/>
      <c r="AL1056" s="34"/>
    </row>
    <row r="1057" spans="12:38">
      <c r="L1057" s="34"/>
      <c r="M1057" s="34"/>
      <c r="N1057" s="34"/>
      <c r="O1057" s="34"/>
      <c r="P1057" s="34"/>
      <c r="Q1057" s="34"/>
      <c r="R1057" s="34"/>
      <c r="S1057" s="34"/>
      <c r="T1057" s="34"/>
      <c r="U1057" s="34"/>
      <c r="V1057" s="34"/>
      <c r="AB1057" s="34"/>
      <c r="AC1057" s="34"/>
      <c r="AD1057" s="34"/>
      <c r="AE1057" s="34"/>
      <c r="AF1057" s="34"/>
      <c r="AG1057" s="34"/>
      <c r="AH1057" s="34"/>
      <c r="AI1057" s="34"/>
      <c r="AJ1057" s="34"/>
      <c r="AK1057" s="34"/>
      <c r="AL1057" s="34"/>
    </row>
    <row r="1058" spans="12:38">
      <c r="L1058" s="34"/>
      <c r="M1058" s="34"/>
      <c r="N1058" s="34"/>
      <c r="O1058" s="34"/>
      <c r="P1058" s="34"/>
      <c r="Q1058" s="34"/>
      <c r="R1058" s="34"/>
      <c r="S1058" s="34"/>
      <c r="T1058" s="34"/>
      <c r="U1058" s="34"/>
      <c r="V1058" s="34"/>
      <c r="AB1058" s="34"/>
      <c r="AC1058" s="34"/>
      <c r="AD1058" s="34"/>
      <c r="AE1058" s="34"/>
      <c r="AF1058" s="34"/>
      <c r="AG1058" s="34"/>
      <c r="AH1058" s="34"/>
      <c r="AI1058" s="34"/>
      <c r="AJ1058" s="34"/>
      <c r="AK1058" s="34"/>
      <c r="AL1058" s="34"/>
    </row>
    <row r="1059" spans="12:38">
      <c r="L1059" s="34"/>
      <c r="M1059" s="34"/>
      <c r="N1059" s="34"/>
      <c r="O1059" s="34"/>
      <c r="P1059" s="34"/>
      <c r="Q1059" s="34"/>
      <c r="R1059" s="34"/>
      <c r="S1059" s="34"/>
      <c r="T1059" s="34"/>
      <c r="U1059" s="34"/>
      <c r="V1059" s="34"/>
      <c r="AB1059" s="34"/>
      <c r="AC1059" s="34"/>
      <c r="AD1059" s="34"/>
      <c r="AE1059" s="34"/>
      <c r="AF1059" s="34"/>
      <c r="AG1059" s="34"/>
      <c r="AH1059" s="34"/>
      <c r="AI1059" s="34"/>
      <c r="AJ1059" s="34"/>
      <c r="AK1059" s="34"/>
      <c r="AL1059" s="34"/>
    </row>
    <row r="1060" spans="12:38">
      <c r="L1060" s="34"/>
      <c r="M1060" s="34"/>
      <c r="N1060" s="34"/>
      <c r="O1060" s="34"/>
      <c r="P1060" s="34"/>
      <c r="Q1060" s="34"/>
      <c r="R1060" s="34"/>
      <c r="S1060" s="34"/>
      <c r="T1060" s="34"/>
      <c r="U1060" s="34"/>
      <c r="V1060" s="34"/>
      <c r="AB1060" s="34"/>
      <c r="AC1060" s="34"/>
      <c r="AD1060" s="34"/>
      <c r="AE1060" s="34"/>
      <c r="AF1060" s="34"/>
      <c r="AG1060" s="34"/>
      <c r="AH1060" s="34"/>
      <c r="AI1060" s="34"/>
      <c r="AJ1060" s="34"/>
      <c r="AK1060" s="34"/>
      <c r="AL1060" s="34"/>
    </row>
    <row r="1061" spans="12:38">
      <c r="L1061" s="34"/>
      <c r="M1061" s="34"/>
      <c r="N1061" s="34"/>
      <c r="O1061" s="34"/>
      <c r="P1061" s="34"/>
      <c r="Q1061" s="34"/>
      <c r="R1061" s="34"/>
      <c r="S1061" s="34"/>
      <c r="T1061" s="34"/>
      <c r="U1061" s="34"/>
      <c r="V1061" s="34"/>
      <c r="AB1061" s="34"/>
      <c r="AC1061" s="34"/>
      <c r="AD1061" s="34"/>
      <c r="AE1061" s="34"/>
      <c r="AF1061" s="34"/>
      <c r="AG1061" s="34"/>
      <c r="AH1061" s="34"/>
      <c r="AI1061" s="34"/>
      <c r="AJ1061" s="34"/>
      <c r="AK1061" s="34"/>
      <c r="AL1061" s="34"/>
    </row>
    <row r="1062" spans="12:38">
      <c r="L1062" s="34"/>
      <c r="M1062" s="34"/>
      <c r="N1062" s="34"/>
      <c r="O1062" s="34"/>
      <c r="P1062" s="34"/>
      <c r="Q1062" s="34"/>
      <c r="R1062" s="34"/>
      <c r="S1062" s="34"/>
      <c r="T1062" s="34"/>
      <c r="U1062" s="34"/>
      <c r="V1062" s="34"/>
      <c r="AB1062" s="34"/>
      <c r="AC1062" s="34"/>
      <c r="AD1062" s="34"/>
      <c r="AE1062" s="34"/>
      <c r="AF1062" s="34"/>
      <c r="AG1062" s="34"/>
      <c r="AH1062" s="34"/>
      <c r="AI1062" s="34"/>
      <c r="AJ1062" s="34"/>
      <c r="AK1062" s="34"/>
      <c r="AL1062" s="34"/>
    </row>
    <row r="1063" spans="12:38">
      <c r="L1063" s="34"/>
      <c r="M1063" s="34"/>
      <c r="N1063" s="34"/>
      <c r="O1063" s="34"/>
      <c r="P1063" s="34"/>
      <c r="Q1063" s="34"/>
      <c r="R1063" s="34"/>
      <c r="S1063" s="34"/>
      <c r="T1063" s="34"/>
      <c r="U1063" s="34"/>
      <c r="V1063" s="34"/>
      <c r="AB1063" s="34"/>
      <c r="AC1063" s="34"/>
      <c r="AD1063" s="34"/>
      <c r="AE1063" s="34"/>
      <c r="AF1063" s="34"/>
      <c r="AG1063" s="34"/>
      <c r="AH1063" s="34"/>
      <c r="AI1063" s="34"/>
      <c r="AJ1063" s="34"/>
      <c r="AK1063" s="34"/>
      <c r="AL1063" s="34"/>
    </row>
    <row r="1064" spans="12:38">
      <c r="L1064" s="34"/>
      <c r="M1064" s="34"/>
      <c r="N1064" s="34"/>
      <c r="O1064" s="34"/>
      <c r="P1064" s="34"/>
      <c r="Q1064" s="34"/>
      <c r="R1064" s="34"/>
      <c r="S1064" s="34"/>
      <c r="T1064" s="34"/>
      <c r="U1064" s="34"/>
      <c r="V1064" s="34"/>
      <c r="AB1064" s="34"/>
      <c r="AC1064" s="34"/>
      <c r="AD1064" s="34"/>
      <c r="AE1064" s="34"/>
      <c r="AF1064" s="34"/>
      <c r="AG1064" s="34"/>
      <c r="AH1064" s="34"/>
      <c r="AI1064" s="34"/>
      <c r="AJ1064" s="34"/>
      <c r="AK1064" s="34"/>
      <c r="AL1064" s="34"/>
    </row>
    <row r="1065" spans="12:38">
      <c r="L1065" s="34"/>
      <c r="M1065" s="34"/>
      <c r="N1065" s="34"/>
      <c r="O1065" s="34"/>
      <c r="P1065" s="34"/>
      <c r="Q1065" s="34"/>
      <c r="R1065" s="34"/>
      <c r="S1065" s="34"/>
      <c r="T1065" s="34"/>
      <c r="U1065" s="34"/>
      <c r="V1065" s="34"/>
      <c r="AB1065" s="34"/>
      <c r="AC1065" s="34"/>
      <c r="AD1065" s="34"/>
      <c r="AE1065" s="34"/>
      <c r="AF1065" s="34"/>
      <c r="AG1065" s="34"/>
      <c r="AH1065" s="34"/>
      <c r="AI1065" s="34"/>
      <c r="AJ1065" s="34"/>
      <c r="AK1065" s="34"/>
      <c r="AL1065" s="34"/>
    </row>
    <row r="1066" spans="12:38">
      <c r="L1066" s="34"/>
      <c r="M1066" s="34"/>
      <c r="N1066" s="34"/>
      <c r="O1066" s="34"/>
      <c r="P1066" s="34"/>
      <c r="Q1066" s="34"/>
      <c r="R1066" s="34"/>
      <c r="S1066" s="34"/>
      <c r="T1066" s="34"/>
      <c r="U1066" s="34"/>
      <c r="V1066" s="34"/>
      <c r="AB1066" s="34"/>
      <c r="AC1066" s="34"/>
      <c r="AD1066" s="34"/>
      <c r="AE1066" s="34"/>
      <c r="AF1066" s="34"/>
      <c r="AG1066" s="34"/>
      <c r="AH1066" s="34"/>
      <c r="AI1066" s="34"/>
      <c r="AJ1066" s="34"/>
      <c r="AK1066" s="34"/>
      <c r="AL1066" s="34"/>
    </row>
    <row r="1067" spans="12:38">
      <c r="L1067" s="34"/>
      <c r="M1067" s="34"/>
      <c r="N1067" s="34"/>
      <c r="O1067" s="34"/>
      <c r="P1067" s="34"/>
      <c r="Q1067" s="34"/>
      <c r="R1067" s="34"/>
      <c r="S1067" s="34"/>
      <c r="T1067" s="34"/>
      <c r="U1067" s="34"/>
      <c r="V1067" s="34"/>
      <c r="AB1067" s="34"/>
      <c r="AC1067" s="34"/>
      <c r="AD1067" s="34"/>
      <c r="AE1067" s="34"/>
      <c r="AF1067" s="34"/>
      <c r="AG1067" s="34"/>
      <c r="AH1067" s="34"/>
      <c r="AI1067" s="34"/>
      <c r="AJ1067" s="34"/>
      <c r="AK1067" s="34"/>
      <c r="AL1067" s="34"/>
    </row>
    <row r="1068" spans="12:38">
      <c r="L1068" s="34"/>
      <c r="M1068" s="34"/>
      <c r="N1068" s="34"/>
      <c r="O1068" s="34"/>
      <c r="P1068" s="34"/>
      <c r="Q1068" s="34"/>
      <c r="R1068" s="34"/>
      <c r="S1068" s="34"/>
      <c r="T1068" s="34"/>
      <c r="U1068" s="34"/>
      <c r="V1068" s="34"/>
      <c r="AB1068" s="34"/>
      <c r="AC1068" s="34"/>
      <c r="AD1068" s="34"/>
      <c r="AE1068" s="34"/>
      <c r="AF1068" s="34"/>
      <c r="AG1068" s="34"/>
      <c r="AH1068" s="34"/>
      <c r="AI1068" s="34"/>
      <c r="AJ1068" s="34"/>
      <c r="AK1068" s="34"/>
      <c r="AL1068" s="34"/>
    </row>
    <row r="1069" spans="12:38">
      <c r="L1069" s="34"/>
      <c r="M1069" s="34"/>
      <c r="N1069" s="34"/>
      <c r="O1069" s="34"/>
      <c r="P1069" s="34"/>
      <c r="Q1069" s="34"/>
      <c r="R1069" s="34"/>
      <c r="S1069" s="34"/>
      <c r="T1069" s="34"/>
      <c r="U1069" s="34"/>
      <c r="V1069" s="34"/>
      <c r="AB1069" s="34"/>
      <c r="AC1069" s="34"/>
      <c r="AD1069" s="34"/>
      <c r="AE1069" s="34"/>
      <c r="AF1069" s="34"/>
      <c r="AG1069" s="34"/>
      <c r="AH1069" s="34"/>
      <c r="AI1069" s="34"/>
      <c r="AJ1069" s="34"/>
      <c r="AK1069" s="34"/>
      <c r="AL1069" s="34"/>
    </row>
    <row r="1070" spans="12:38">
      <c r="L1070" s="34"/>
      <c r="M1070" s="34"/>
      <c r="N1070" s="34"/>
      <c r="O1070" s="34"/>
      <c r="P1070" s="34"/>
      <c r="Q1070" s="34"/>
      <c r="R1070" s="34"/>
      <c r="S1070" s="34"/>
      <c r="T1070" s="34"/>
      <c r="U1070" s="34"/>
      <c r="V1070" s="34"/>
      <c r="AB1070" s="34"/>
      <c r="AC1070" s="34"/>
      <c r="AD1070" s="34"/>
      <c r="AE1070" s="34"/>
      <c r="AF1070" s="34"/>
      <c r="AG1070" s="34"/>
      <c r="AH1070" s="34"/>
      <c r="AI1070" s="34"/>
      <c r="AJ1070" s="34"/>
      <c r="AK1070" s="34"/>
      <c r="AL1070" s="34"/>
    </row>
    <row r="1071" spans="12:38">
      <c r="L1071" s="34"/>
      <c r="M1071" s="34"/>
      <c r="N1071" s="34"/>
      <c r="O1071" s="34"/>
      <c r="P1071" s="34"/>
      <c r="Q1071" s="34"/>
      <c r="R1071" s="34"/>
      <c r="S1071" s="34"/>
      <c r="T1071" s="34"/>
      <c r="U1071" s="34"/>
      <c r="V1071" s="34"/>
      <c r="AB1071" s="34"/>
      <c r="AC1071" s="34"/>
      <c r="AD1071" s="34"/>
      <c r="AE1071" s="34"/>
      <c r="AF1071" s="34"/>
      <c r="AG1071" s="34"/>
      <c r="AH1071" s="34"/>
      <c r="AI1071" s="34"/>
      <c r="AJ1071" s="34"/>
      <c r="AK1071" s="34"/>
      <c r="AL1071" s="34"/>
    </row>
    <row r="1072" spans="12:38">
      <c r="L1072" s="34"/>
      <c r="M1072" s="34"/>
      <c r="N1072" s="34"/>
      <c r="O1072" s="34"/>
      <c r="P1072" s="34"/>
      <c r="Q1072" s="34"/>
      <c r="R1072" s="34"/>
      <c r="S1072" s="34"/>
      <c r="T1072" s="34"/>
      <c r="U1072" s="34"/>
      <c r="V1072" s="34"/>
      <c r="AB1072" s="34"/>
      <c r="AC1072" s="34"/>
      <c r="AD1072" s="34"/>
      <c r="AE1072" s="34"/>
      <c r="AF1072" s="34"/>
      <c r="AG1072" s="34"/>
      <c r="AH1072" s="34"/>
      <c r="AI1072" s="34"/>
      <c r="AJ1072" s="34"/>
      <c r="AK1072" s="34"/>
      <c r="AL1072" s="34"/>
    </row>
    <row r="1073" spans="12:38">
      <c r="L1073" s="34"/>
      <c r="M1073" s="34"/>
      <c r="N1073" s="34"/>
      <c r="O1073" s="34"/>
      <c r="P1073" s="34"/>
      <c r="Q1073" s="34"/>
      <c r="R1073" s="34"/>
      <c r="S1073" s="34"/>
      <c r="T1073" s="34"/>
      <c r="U1073" s="34"/>
      <c r="V1073" s="34"/>
      <c r="AB1073" s="34"/>
      <c r="AC1073" s="34"/>
      <c r="AD1073" s="34"/>
      <c r="AE1073" s="34"/>
      <c r="AF1073" s="34"/>
      <c r="AG1073" s="34"/>
      <c r="AH1073" s="34"/>
      <c r="AI1073" s="34"/>
      <c r="AJ1073" s="34"/>
      <c r="AK1073" s="34"/>
      <c r="AL1073" s="34"/>
    </row>
    <row r="1074" spans="12:38">
      <c r="L1074" s="34"/>
      <c r="M1074" s="34"/>
      <c r="N1074" s="34"/>
      <c r="O1074" s="34"/>
      <c r="P1074" s="34"/>
      <c r="Q1074" s="34"/>
      <c r="R1074" s="34"/>
      <c r="S1074" s="34"/>
      <c r="T1074" s="34"/>
      <c r="U1074" s="34"/>
      <c r="V1074" s="34"/>
      <c r="AB1074" s="34"/>
      <c r="AC1074" s="34"/>
      <c r="AD1074" s="34"/>
      <c r="AE1074" s="34"/>
      <c r="AF1074" s="34"/>
      <c r="AG1074" s="34"/>
      <c r="AH1074" s="34"/>
      <c r="AI1074" s="34"/>
      <c r="AJ1074" s="34"/>
      <c r="AK1074" s="34"/>
      <c r="AL1074" s="34"/>
    </row>
    <row r="1075" spans="12:38">
      <c r="L1075" s="34"/>
      <c r="M1075" s="34"/>
      <c r="N1075" s="34"/>
      <c r="O1075" s="34"/>
      <c r="P1075" s="34"/>
      <c r="Q1075" s="34"/>
      <c r="R1075" s="34"/>
      <c r="S1075" s="34"/>
      <c r="T1075" s="34"/>
      <c r="U1075" s="34"/>
      <c r="V1075" s="34"/>
      <c r="AB1075" s="34"/>
      <c r="AC1075" s="34"/>
      <c r="AD1075" s="34"/>
      <c r="AE1075" s="34"/>
      <c r="AF1075" s="34"/>
      <c r="AG1075" s="34"/>
      <c r="AH1075" s="34"/>
      <c r="AI1075" s="34"/>
      <c r="AJ1075" s="34"/>
      <c r="AK1075" s="34"/>
      <c r="AL1075" s="34"/>
    </row>
    <row r="1076" spans="12:38">
      <c r="L1076" s="34"/>
      <c r="M1076" s="34"/>
      <c r="N1076" s="34"/>
      <c r="O1076" s="34"/>
      <c r="P1076" s="34"/>
      <c r="Q1076" s="34"/>
      <c r="R1076" s="34"/>
      <c r="S1076" s="34"/>
      <c r="T1076" s="34"/>
      <c r="U1076" s="34"/>
      <c r="V1076" s="34"/>
      <c r="AB1076" s="34"/>
      <c r="AC1076" s="34"/>
      <c r="AD1076" s="34"/>
      <c r="AE1076" s="34"/>
      <c r="AF1076" s="34"/>
      <c r="AG1076" s="34"/>
      <c r="AH1076" s="34"/>
      <c r="AI1076" s="34"/>
      <c r="AJ1076" s="34"/>
      <c r="AK1076" s="34"/>
      <c r="AL1076" s="34"/>
    </row>
    <row r="1077" spans="12:38">
      <c r="L1077" s="34"/>
      <c r="M1077" s="34"/>
      <c r="N1077" s="34"/>
      <c r="O1077" s="34"/>
      <c r="P1077" s="34"/>
      <c r="Q1077" s="34"/>
      <c r="R1077" s="34"/>
      <c r="S1077" s="34"/>
      <c r="T1077" s="34"/>
      <c r="U1077" s="34"/>
      <c r="V1077" s="34"/>
      <c r="AB1077" s="34"/>
      <c r="AC1077" s="34"/>
      <c r="AD1077" s="34"/>
      <c r="AE1077" s="34"/>
      <c r="AF1077" s="34"/>
      <c r="AG1077" s="34"/>
      <c r="AH1077" s="34"/>
      <c r="AI1077" s="34"/>
      <c r="AJ1077" s="34"/>
      <c r="AK1077" s="34"/>
      <c r="AL1077" s="34"/>
    </row>
    <row r="1078" spans="12:38">
      <c r="L1078" s="34"/>
      <c r="M1078" s="34"/>
      <c r="N1078" s="34"/>
      <c r="O1078" s="34"/>
      <c r="P1078" s="34"/>
      <c r="Q1078" s="34"/>
      <c r="R1078" s="34"/>
      <c r="S1078" s="34"/>
      <c r="T1078" s="34"/>
      <c r="U1078" s="34"/>
      <c r="V1078" s="34"/>
      <c r="AB1078" s="34"/>
      <c r="AC1078" s="34"/>
      <c r="AD1078" s="34"/>
      <c r="AE1078" s="34"/>
      <c r="AF1078" s="34"/>
      <c r="AG1078" s="34"/>
      <c r="AH1078" s="34"/>
      <c r="AI1078" s="34"/>
      <c r="AJ1078" s="34"/>
      <c r="AK1078" s="34"/>
      <c r="AL1078" s="34"/>
    </row>
    <row r="1079" spans="12:38">
      <c r="L1079" s="34"/>
      <c r="M1079" s="34"/>
      <c r="N1079" s="34"/>
      <c r="O1079" s="34"/>
      <c r="P1079" s="34"/>
      <c r="Q1079" s="34"/>
      <c r="R1079" s="34"/>
      <c r="S1079" s="34"/>
      <c r="T1079" s="34"/>
      <c r="U1079" s="34"/>
      <c r="V1079" s="34"/>
      <c r="AB1079" s="34"/>
      <c r="AC1079" s="34"/>
      <c r="AD1079" s="34"/>
      <c r="AE1079" s="34"/>
      <c r="AF1079" s="34"/>
      <c r="AG1079" s="34"/>
      <c r="AH1079" s="34"/>
      <c r="AI1079" s="34"/>
      <c r="AJ1079" s="34"/>
      <c r="AK1079" s="34"/>
      <c r="AL1079" s="34"/>
    </row>
    <row r="1080" spans="12:38">
      <c r="L1080" s="34"/>
      <c r="M1080" s="34"/>
      <c r="N1080" s="34"/>
      <c r="O1080" s="34"/>
      <c r="P1080" s="34"/>
      <c r="Q1080" s="34"/>
      <c r="R1080" s="34"/>
      <c r="S1080" s="34"/>
      <c r="T1080" s="34"/>
      <c r="U1080" s="34"/>
      <c r="V1080" s="34"/>
      <c r="AB1080" s="34"/>
      <c r="AC1080" s="34"/>
      <c r="AD1080" s="34"/>
      <c r="AE1080" s="34"/>
      <c r="AF1080" s="34"/>
      <c r="AG1080" s="34"/>
      <c r="AH1080" s="34"/>
      <c r="AI1080" s="34"/>
      <c r="AJ1080" s="34"/>
      <c r="AK1080" s="34"/>
      <c r="AL1080" s="34"/>
    </row>
    <row r="1081" spans="12:38">
      <c r="L1081" s="34"/>
      <c r="M1081" s="34"/>
      <c r="N1081" s="34"/>
      <c r="O1081" s="34"/>
      <c r="P1081" s="34"/>
      <c r="Q1081" s="34"/>
      <c r="R1081" s="34"/>
      <c r="S1081" s="34"/>
      <c r="T1081" s="34"/>
      <c r="U1081" s="34"/>
      <c r="V1081" s="34"/>
      <c r="AB1081" s="34"/>
      <c r="AC1081" s="34"/>
      <c r="AD1081" s="34"/>
      <c r="AE1081" s="34"/>
      <c r="AF1081" s="34"/>
      <c r="AG1081" s="34"/>
      <c r="AH1081" s="34"/>
      <c r="AI1081" s="34"/>
      <c r="AJ1081" s="34"/>
      <c r="AK1081" s="34"/>
      <c r="AL1081" s="34"/>
    </row>
    <row r="1082" spans="12:38">
      <c r="L1082" s="34"/>
      <c r="M1082" s="34"/>
      <c r="N1082" s="34"/>
      <c r="O1082" s="34"/>
      <c r="P1082" s="34"/>
      <c r="Q1082" s="34"/>
      <c r="R1082" s="34"/>
      <c r="S1082" s="34"/>
      <c r="T1082" s="34"/>
      <c r="U1082" s="34"/>
      <c r="V1082" s="34"/>
      <c r="AB1082" s="34"/>
      <c r="AC1082" s="34"/>
      <c r="AD1082" s="34"/>
      <c r="AE1082" s="34"/>
      <c r="AF1082" s="34"/>
      <c r="AG1082" s="34"/>
      <c r="AH1082" s="34"/>
      <c r="AI1082" s="34"/>
      <c r="AJ1082" s="34"/>
      <c r="AK1082" s="34"/>
      <c r="AL1082" s="34"/>
    </row>
    <row r="1083" spans="12:38">
      <c r="L1083" s="34"/>
      <c r="M1083" s="34"/>
      <c r="N1083" s="34"/>
      <c r="O1083" s="34"/>
      <c r="P1083" s="34"/>
      <c r="Q1083" s="34"/>
      <c r="R1083" s="34"/>
      <c r="S1083" s="34"/>
      <c r="T1083" s="34"/>
      <c r="U1083" s="34"/>
      <c r="V1083" s="34"/>
      <c r="AB1083" s="34"/>
      <c r="AC1083" s="34"/>
      <c r="AD1083" s="34"/>
      <c r="AE1083" s="34"/>
      <c r="AF1083" s="34"/>
      <c r="AG1083" s="34"/>
      <c r="AH1083" s="34"/>
      <c r="AI1083" s="34"/>
      <c r="AJ1083" s="34"/>
      <c r="AK1083" s="34"/>
      <c r="AL1083" s="34"/>
    </row>
    <row r="1084" spans="12:38">
      <c r="L1084" s="34"/>
      <c r="M1084" s="34"/>
      <c r="N1084" s="34"/>
      <c r="O1084" s="34"/>
      <c r="P1084" s="34"/>
      <c r="Q1084" s="34"/>
      <c r="R1084" s="34"/>
      <c r="S1084" s="34"/>
      <c r="T1084" s="34"/>
      <c r="U1084" s="34"/>
      <c r="V1084" s="34"/>
      <c r="AB1084" s="34"/>
      <c r="AC1084" s="34"/>
      <c r="AD1084" s="34"/>
      <c r="AE1084" s="34"/>
      <c r="AF1084" s="34"/>
      <c r="AG1084" s="34"/>
      <c r="AH1084" s="34"/>
      <c r="AI1084" s="34"/>
      <c r="AJ1084" s="34"/>
      <c r="AK1084" s="34"/>
      <c r="AL1084" s="34"/>
    </row>
    <row r="1085" spans="12:38">
      <c r="L1085" s="34"/>
      <c r="M1085" s="34"/>
      <c r="N1085" s="34"/>
      <c r="O1085" s="34"/>
      <c r="P1085" s="34"/>
      <c r="Q1085" s="34"/>
      <c r="R1085" s="34"/>
      <c r="S1085" s="34"/>
      <c r="T1085" s="34"/>
      <c r="U1085" s="34"/>
      <c r="V1085" s="34"/>
      <c r="AB1085" s="34"/>
      <c r="AC1085" s="34"/>
      <c r="AD1085" s="34"/>
      <c r="AE1085" s="34"/>
      <c r="AF1085" s="34"/>
      <c r="AG1085" s="34"/>
      <c r="AH1085" s="34"/>
      <c r="AI1085" s="34"/>
      <c r="AJ1085" s="34"/>
      <c r="AK1085" s="34"/>
      <c r="AL1085" s="34"/>
    </row>
    <row r="1086" spans="12:38">
      <c r="L1086" s="34"/>
      <c r="M1086" s="34"/>
      <c r="N1086" s="34"/>
      <c r="O1086" s="34"/>
      <c r="P1086" s="34"/>
      <c r="Q1086" s="34"/>
      <c r="R1086" s="34"/>
      <c r="S1086" s="34"/>
      <c r="T1086" s="34"/>
      <c r="U1086" s="34"/>
      <c r="V1086" s="34"/>
      <c r="AB1086" s="34"/>
      <c r="AC1086" s="34"/>
      <c r="AD1086" s="34"/>
      <c r="AE1086" s="34"/>
      <c r="AF1086" s="34"/>
      <c r="AG1086" s="34"/>
      <c r="AH1086" s="34"/>
      <c r="AI1086" s="34"/>
      <c r="AJ1086" s="34"/>
      <c r="AK1086" s="34"/>
      <c r="AL1086" s="34"/>
    </row>
    <row r="1087" spans="12:38">
      <c r="L1087" s="34"/>
      <c r="M1087" s="34"/>
      <c r="N1087" s="34"/>
      <c r="O1087" s="34"/>
      <c r="P1087" s="34"/>
      <c r="Q1087" s="34"/>
      <c r="R1087" s="34"/>
      <c r="S1087" s="34"/>
      <c r="T1087" s="34"/>
      <c r="U1087" s="34"/>
      <c r="V1087" s="34"/>
      <c r="AB1087" s="34"/>
      <c r="AC1087" s="34"/>
      <c r="AD1087" s="34"/>
      <c r="AE1087" s="34"/>
      <c r="AF1087" s="34"/>
      <c r="AG1087" s="34"/>
      <c r="AH1087" s="34"/>
      <c r="AI1087" s="34"/>
      <c r="AJ1087" s="34"/>
      <c r="AK1087" s="34"/>
      <c r="AL1087" s="34"/>
    </row>
    <row r="1088" spans="12:38">
      <c r="L1088" s="34"/>
      <c r="M1088" s="34"/>
      <c r="N1088" s="34"/>
      <c r="O1088" s="34"/>
      <c r="P1088" s="34"/>
      <c r="Q1088" s="34"/>
      <c r="R1088" s="34"/>
      <c r="S1088" s="34"/>
      <c r="T1088" s="34"/>
      <c r="U1088" s="34"/>
      <c r="V1088" s="34"/>
      <c r="AB1088" s="34"/>
      <c r="AC1088" s="34"/>
      <c r="AD1088" s="34"/>
      <c r="AE1088" s="34"/>
      <c r="AF1088" s="34"/>
      <c r="AG1088" s="34"/>
      <c r="AH1088" s="34"/>
      <c r="AI1088" s="34"/>
      <c r="AJ1088" s="34"/>
      <c r="AK1088" s="34"/>
      <c r="AL1088" s="34"/>
    </row>
    <row r="1089" spans="12:38">
      <c r="L1089" s="34"/>
      <c r="M1089" s="34"/>
      <c r="N1089" s="34"/>
      <c r="O1089" s="34"/>
      <c r="P1089" s="34"/>
      <c r="Q1089" s="34"/>
      <c r="R1089" s="34"/>
      <c r="S1089" s="34"/>
      <c r="T1089" s="34"/>
      <c r="U1089" s="34"/>
      <c r="V1089" s="34"/>
      <c r="AB1089" s="34"/>
      <c r="AC1089" s="34"/>
      <c r="AD1089" s="34"/>
      <c r="AE1089" s="34"/>
      <c r="AF1089" s="34"/>
      <c r="AG1089" s="34"/>
      <c r="AH1089" s="34"/>
      <c r="AI1089" s="34"/>
      <c r="AJ1089" s="34"/>
      <c r="AK1089" s="34"/>
      <c r="AL1089" s="34"/>
    </row>
    <row r="1090" spans="12:38">
      <c r="L1090" s="34"/>
      <c r="M1090" s="34"/>
      <c r="N1090" s="34"/>
      <c r="O1090" s="34"/>
      <c r="P1090" s="34"/>
      <c r="Q1090" s="34"/>
      <c r="R1090" s="34"/>
      <c r="S1090" s="34"/>
      <c r="T1090" s="34"/>
      <c r="U1090" s="34"/>
      <c r="V1090" s="34"/>
      <c r="AB1090" s="34"/>
      <c r="AC1090" s="34"/>
      <c r="AD1090" s="34"/>
      <c r="AE1090" s="34"/>
      <c r="AF1090" s="34"/>
      <c r="AG1090" s="34"/>
      <c r="AH1090" s="34"/>
      <c r="AI1090" s="34"/>
      <c r="AJ1090" s="34"/>
      <c r="AK1090" s="34"/>
      <c r="AL1090" s="34"/>
    </row>
    <row r="1091" spans="12:38">
      <c r="L1091" s="34"/>
      <c r="M1091" s="34"/>
      <c r="N1091" s="34"/>
      <c r="O1091" s="34"/>
      <c r="P1091" s="34"/>
      <c r="Q1091" s="34"/>
      <c r="R1091" s="34"/>
      <c r="S1091" s="34"/>
      <c r="T1091" s="34"/>
      <c r="U1091" s="34"/>
      <c r="V1091" s="34"/>
      <c r="AB1091" s="34"/>
      <c r="AC1091" s="34"/>
      <c r="AD1091" s="34"/>
      <c r="AE1091" s="34"/>
      <c r="AF1091" s="34"/>
      <c r="AG1091" s="34"/>
      <c r="AH1091" s="34"/>
      <c r="AI1091" s="34"/>
      <c r="AJ1091" s="34"/>
      <c r="AK1091" s="34"/>
      <c r="AL1091" s="34"/>
    </row>
    <row r="1092" spans="12:38">
      <c r="L1092" s="34"/>
      <c r="M1092" s="34"/>
      <c r="N1092" s="34"/>
      <c r="O1092" s="34"/>
      <c r="P1092" s="34"/>
      <c r="Q1092" s="34"/>
      <c r="R1092" s="34"/>
      <c r="S1092" s="34"/>
      <c r="T1092" s="34"/>
      <c r="U1092" s="34"/>
      <c r="V1092" s="34"/>
      <c r="AB1092" s="34"/>
      <c r="AC1092" s="34"/>
      <c r="AD1092" s="34"/>
      <c r="AE1092" s="34"/>
      <c r="AF1092" s="34"/>
      <c r="AG1092" s="34"/>
      <c r="AH1092" s="34"/>
      <c r="AI1092" s="34"/>
      <c r="AJ1092" s="34"/>
      <c r="AK1092" s="34"/>
      <c r="AL1092" s="34"/>
    </row>
    <row r="1093" spans="12:38">
      <c r="L1093" s="34"/>
      <c r="M1093" s="34"/>
      <c r="N1093" s="34"/>
      <c r="O1093" s="34"/>
      <c r="P1093" s="34"/>
      <c r="Q1093" s="34"/>
      <c r="R1093" s="34"/>
      <c r="S1093" s="34"/>
      <c r="T1093" s="34"/>
      <c r="U1093" s="34"/>
      <c r="V1093" s="34"/>
      <c r="AB1093" s="34"/>
      <c r="AC1093" s="34"/>
      <c r="AD1093" s="34"/>
      <c r="AE1093" s="34"/>
      <c r="AF1093" s="34"/>
      <c r="AG1093" s="34"/>
      <c r="AH1093" s="34"/>
      <c r="AI1093" s="34"/>
      <c r="AJ1093" s="34"/>
      <c r="AK1093" s="34"/>
      <c r="AL1093" s="34"/>
    </row>
    <row r="1094" spans="12:38">
      <c r="L1094" s="34"/>
      <c r="M1094" s="34"/>
      <c r="N1094" s="34"/>
      <c r="O1094" s="34"/>
      <c r="P1094" s="34"/>
      <c r="Q1094" s="34"/>
      <c r="R1094" s="34"/>
      <c r="S1094" s="34"/>
      <c r="T1094" s="34"/>
      <c r="U1094" s="34"/>
      <c r="V1094" s="34"/>
      <c r="AB1094" s="34"/>
      <c r="AC1094" s="34"/>
      <c r="AD1094" s="34"/>
      <c r="AE1094" s="34"/>
      <c r="AF1094" s="34"/>
      <c r="AG1094" s="34"/>
      <c r="AH1094" s="34"/>
      <c r="AI1094" s="34"/>
      <c r="AJ1094" s="34"/>
      <c r="AK1094" s="34"/>
      <c r="AL1094" s="34"/>
    </row>
    <row r="1095" spans="12:38">
      <c r="L1095" s="34"/>
      <c r="M1095" s="34"/>
      <c r="N1095" s="34"/>
      <c r="O1095" s="34"/>
      <c r="P1095" s="34"/>
      <c r="Q1095" s="34"/>
      <c r="R1095" s="34"/>
      <c r="S1095" s="34"/>
      <c r="T1095" s="34"/>
      <c r="U1095" s="34"/>
      <c r="V1095" s="34"/>
      <c r="AB1095" s="34"/>
      <c r="AC1095" s="34"/>
      <c r="AD1095" s="34"/>
      <c r="AE1095" s="34"/>
      <c r="AF1095" s="34"/>
      <c r="AG1095" s="34"/>
      <c r="AH1095" s="34"/>
      <c r="AI1095" s="34"/>
      <c r="AJ1095" s="34"/>
      <c r="AK1095" s="34"/>
      <c r="AL1095" s="34"/>
    </row>
    <row r="1096" spans="12:38">
      <c r="L1096" s="34"/>
      <c r="M1096" s="34"/>
      <c r="N1096" s="34"/>
      <c r="O1096" s="34"/>
      <c r="P1096" s="34"/>
      <c r="Q1096" s="34"/>
      <c r="R1096" s="34"/>
      <c r="S1096" s="34"/>
      <c r="T1096" s="34"/>
      <c r="U1096" s="34"/>
      <c r="V1096" s="34"/>
      <c r="AB1096" s="34"/>
      <c r="AC1096" s="34"/>
      <c r="AD1096" s="34"/>
      <c r="AE1096" s="34"/>
      <c r="AF1096" s="34"/>
      <c r="AG1096" s="34"/>
      <c r="AH1096" s="34"/>
      <c r="AI1096" s="34"/>
      <c r="AJ1096" s="34"/>
      <c r="AK1096" s="34"/>
      <c r="AL1096" s="34"/>
    </row>
    <row r="1097" spans="12:38">
      <c r="L1097" s="34"/>
      <c r="M1097" s="34"/>
      <c r="N1097" s="34"/>
      <c r="O1097" s="34"/>
      <c r="P1097" s="34"/>
      <c r="Q1097" s="34"/>
      <c r="R1097" s="34"/>
      <c r="S1097" s="34"/>
      <c r="T1097" s="34"/>
      <c r="U1097" s="34"/>
      <c r="V1097" s="34"/>
      <c r="AB1097" s="34"/>
      <c r="AC1097" s="34"/>
      <c r="AD1097" s="34"/>
      <c r="AE1097" s="34"/>
      <c r="AF1097" s="34"/>
      <c r="AG1097" s="34"/>
      <c r="AH1097" s="34"/>
      <c r="AI1097" s="34"/>
      <c r="AJ1097" s="34"/>
      <c r="AK1097" s="34"/>
      <c r="AL1097" s="34"/>
    </row>
    <row r="1098" spans="12:38">
      <c r="L1098" s="34"/>
      <c r="M1098" s="34"/>
      <c r="N1098" s="34"/>
      <c r="O1098" s="34"/>
      <c r="P1098" s="34"/>
      <c r="Q1098" s="34"/>
      <c r="R1098" s="34"/>
      <c r="S1098" s="34"/>
      <c r="T1098" s="34"/>
      <c r="U1098" s="34"/>
      <c r="V1098" s="34"/>
      <c r="AB1098" s="34"/>
      <c r="AC1098" s="34"/>
      <c r="AD1098" s="34"/>
      <c r="AE1098" s="34"/>
      <c r="AF1098" s="34"/>
      <c r="AG1098" s="34"/>
      <c r="AH1098" s="34"/>
      <c r="AI1098" s="34"/>
      <c r="AJ1098" s="34"/>
      <c r="AK1098" s="34"/>
      <c r="AL1098" s="34"/>
    </row>
    <row r="1099" spans="12:38">
      <c r="L1099" s="34"/>
      <c r="M1099" s="34"/>
      <c r="N1099" s="34"/>
      <c r="O1099" s="34"/>
      <c r="P1099" s="34"/>
      <c r="Q1099" s="34"/>
      <c r="R1099" s="34"/>
      <c r="S1099" s="34"/>
      <c r="T1099" s="34"/>
      <c r="U1099" s="34"/>
      <c r="V1099" s="34"/>
      <c r="AB1099" s="34"/>
      <c r="AC1099" s="34"/>
      <c r="AD1099" s="34"/>
      <c r="AE1099" s="34"/>
      <c r="AF1099" s="34"/>
      <c r="AG1099" s="34"/>
      <c r="AH1099" s="34"/>
      <c r="AI1099" s="34"/>
      <c r="AJ1099" s="34"/>
      <c r="AK1099" s="34"/>
      <c r="AL1099" s="34"/>
    </row>
    <row r="1100" spans="12:38">
      <c r="L1100" s="34"/>
      <c r="M1100" s="34"/>
      <c r="N1100" s="34"/>
      <c r="O1100" s="34"/>
      <c r="P1100" s="34"/>
      <c r="Q1100" s="34"/>
      <c r="R1100" s="34"/>
      <c r="S1100" s="34"/>
      <c r="T1100" s="34"/>
      <c r="U1100" s="34"/>
      <c r="V1100" s="34"/>
      <c r="AB1100" s="34"/>
      <c r="AC1100" s="34"/>
      <c r="AD1100" s="34"/>
      <c r="AE1100" s="34"/>
      <c r="AF1100" s="34"/>
      <c r="AG1100" s="34"/>
      <c r="AH1100" s="34"/>
      <c r="AI1100" s="34"/>
      <c r="AJ1100" s="34"/>
      <c r="AK1100" s="34"/>
      <c r="AL1100" s="34"/>
    </row>
    <row r="1101" spans="12:38">
      <c r="L1101" s="34"/>
      <c r="M1101" s="34"/>
      <c r="N1101" s="34"/>
      <c r="O1101" s="34"/>
      <c r="P1101" s="34"/>
      <c r="Q1101" s="34"/>
      <c r="R1101" s="34"/>
      <c r="S1101" s="34"/>
      <c r="T1101" s="34"/>
      <c r="U1101" s="34"/>
      <c r="V1101" s="34"/>
      <c r="AB1101" s="34"/>
      <c r="AC1101" s="34"/>
      <c r="AD1101" s="34"/>
      <c r="AE1101" s="34"/>
      <c r="AF1101" s="34"/>
      <c r="AG1101" s="34"/>
      <c r="AH1101" s="34"/>
      <c r="AI1101" s="34"/>
      <c r="AJ1101" s="34"/>
      <c r="AK1101" s="34"/>
      <c r="AL1101" s="34"/>
    </row>
    <row r="1102" spans="12:38">
      <c r="L1102" s="34"/>
      <c r="M1102" s="34"/>
      <c r="N1102" s="34"/>
      <c r="O1102" s="34"/>
      <c r="P1102" s="34"/>
      <c r="Q1102" s="34"/>
      <c r="R1102" s="34"/>
      <c r="S1102" s="34"/>
      <c r="T1102" s="34"/>
      <c r="U1102" s="34"/>
      <c r="V1102" s="34"/>
      <c r="AB1102" s="34"/>
      <c r="AC1102" s="34"/>
      <c r="AD1102" s="34"/>
      <c r="AE1102" s="34"/>
      <c r="AF1102" s="34"/>
      <c r="AG1102" s="34"/>
      <c r="AH1102" s="34"/>
      <c r="AI1102" s="34"/>
      <c r="AJ1102" s="34"/>
      <c r="AK1102" s="34"/>
      <c r="AL1102" s="34"/>
    </row>
    <row r="1103" spans="12:38">
      <c r="L1103" s="34"/>
      <c r="M1103" s="34"/>
      <c r="N1103" s="34"/>
      <c r="O1103" s="34"/>
      <c r="P1103" s="34"/>
      <c r="Q1103" s="34"/>
      <c r="R1103" s="34"/>
      <c r="S1103" s="34"/>
      <c r="T1103" s="34"/>
      <c r="U1103" s="34"/>
      <c r="V1103" s="34"/>
      <c r="AB1103" s="34"/>
      <c r="AC1103" s="34"/>
      <c r="AD1103" s="34"/>
      <c r="AE1103" s="34"/>
      <c r="AF1103" s="34"/>
      <c r="AG1103" s="34"/>
      <c r="AH1103" s="34"/>
      <c r="AI1103" s="34"/>
      <c r="AJ1103" s="34"/>
      <c r="AK1103" s="34"/>
      <c r="AL1103" s="34"/>
    </row>
    <row r="1104" spans="12:38">
      <c r="L1104" s="34"/>
      <c r="M1104" s="34"/>
      <c r="N1104" s="34"/>
      <c r="O1104" s="34"/>
      <c r="P1104" s="34"/>
      <c r="Q1104" s="34"/>
      <c r="R1104" s="34"/>
      <c r="S1104" s="34"/>
      <c r="T1104" s="34"/>
      <c r="U1104" s="34"/>
      <c r="V1104" s="34"/>
      <c r="AB1104" s="34"/>
      <c r="AC1104" s="34"/>
      <c r="AD1104" s="34"/>
      <c r="AE1104" s="34"/>
      <c r="AF1104" s="34"/>
      <c r="AG1104" s="34"/>
      <c r="AH1104" s="34"/>
      <c r="AI1104" s="34"/>
      <c r="AJ1104" s="34"/>
      <c r="AK1104" s="34"/>
      <c r="AL1104" s="34"/>
    </row>
    <row r="1105" spans="12:38">
      <c r="L1105" s="34"/>
      <c r="M1105" s="34"/>
      <c r="N1105" s="34"/>
      <c r="O1105" s="34"/>
      <c r="P1105" s="34"/>
      <c r="Q1105" s="34"/>
      <c r="R1105" s="34"/>
      <c r="S1105" s="34"/>
      <c r="T1105" s="34"/>
      <c r="U1105" s="34"/>
      <c r="V1105" s="34"/>
      <c r="AB1105" s="34"/>
      <c r="AC1105" s="34"/>
      <c r="AD1105" s="34"/>
      <c r="AE1105" s="34"/>
      <c r="AF1105" s="34"/>
      <c r="AG1105" s="34"/>
      <c r="AH1105" s="34"/>
      <c r="AI1105" s="34"/>
      <c r="AJ1105" s="34"/>
      <c r="AK1105" s="34"/>
      <c r="AL1105" s="34"/>
    </row>
    <row r="1106" spans="12:38">
      <c r="L1106" s="34"/>
      <c r="M1106" s="34"/>
      <c r="N1106" s="34"/>
      <c r="O1106" s="34"/>
      <c r="P1106" s="34"/>
      <c r="Q1106" s="34"/>
      <c r="R1106" s="34"/>
      <c r="S1106" s="34"/>
      <c r="T1106" s="34"/>
      <c r="U1106" s="34"/>
      <c r="V1106" s="34"/>
      <c r="AB1106" s="34"/>
      <c r="AC1106" s="34"/>
      <c r="AD1106" s="34"/>
      <c r="AE1106" s="34"/>
      <c r="AF1106" s="34"/>
      <c r="AG1106" s="34"/>
      <c r="AH1106" s="34"/>
      <c r="AI1106" s="34"/>
      <c r="AJ1106" s="34"/>
      <c r="AK1106" s="34"/>
      <c r="AL1106" s="34"/>
    </row>
    <row r="1107" spans="12:38">
      <c r="L1107" s="34"/>
      <c r="M1107" s="34"/>
      <c r="N1107" s="34"/>
      <c r="O1107" s="34"/>
      <c r="P1107" s="34"/>
      <c r="Q1107" s="34"/>
      <c r="R1107" s="34"/>
      <c r="S1107" s="34"/>
      <c r="T1107" s="34"/>
      <c r="U1107" s="34"/>
      <c r="V1107" s="34"/>
      <c r="AB1107" s="34"/>
      <c r="AC1107" s="34"/>
      <c r="AD1107" s="34"/>
      <c r="AE1107" s="34"/>
      <c r="AF1107" s="34"/>
      <c r="AG1107" s="34"/>
      <c r="AH1107" s="34"/>
      <c r="AI1107" s="34"/>
      <c r="AJ1107" s="34"/>
      <c r="AK1107" s="34"/>
      <c r="AL1107" s="34"/>
    </row>
    <row r="1108" spans="12:38">
      <c r="L1108" s="34"/>
      <c r="M1108" s="34"/>
      <c r="N1108" s="34"/>
      <c r="O1108" s="34"/>
      <c r="P1108" s="34"/>
      <c r="Q1108" s="34"/>
      <c r="R1108" s="34"/>
      <c r="S1108" s="34"/>
      <c r="T1108" s="34"/>
      <c r="U1108" s="34"/>
      <c r="V1108" s="34"/>
      <c r="AB1108" s="34"/>
      <c r="AC1108" s="34"/>
      <c r="AD1108" s="34"/>
      <c r="AE1108" s="34"/>
      <c r="AF1108" s="34"/>
      <c r="AG1108" s="34"/>
      <c r="AH1108" s="34"/>
      <c r="AI1108" s="34"/>
      <c r="AJ1108" s="34"/>
      <c r="AK1108" s="34"/>
      <c r="AL1108" s="34"/>
    </row>
    <row r="1109" spans="12:38">
      <c r="L1109" s="34"/>
      <c r="M1109" s="34"/>
      <c r="N1109" s="34"/>
      <c r="O1109" s="34"/>
      <c r="P1109" s="34"/>
      <c r="Q1109" s="34"/>
      <c r="R1109" s="34"/>
      <c r="S1109" s="34"/>
      <c r="T1109" s="34"/>
      <c r="U1109" s="34"/>
      <c r="V1109" s="34"/>
      <c r="AB1109" s="34"/>
      <c r="AC1109" s="34"/>
      <c r="AD1109" s="34"/>
      <c r="AE1109" s="34"/>
      <c r="AF1109" s="34"/>
      <c r="AG1109" s="34"/>
      <c r="AH1109" s="34"/>
      <c r="AI1109" s="34"/>
      <c r="AJ1109" s="34"/>
      <c r="AK1109" s="34"/>
      <c r="AL1109" s="34"/>
    </row>
    <row r="1110" spans="12:38">
      <c r="L1110" s="34"/>
      <c r="M1110" s="34"/>
      <c r="N1110" s="34"/>
      <c r="O1110" s="34"/>
      <c r="P1110" s="34"/>
      <c r="Q1110" s="34"/>
      <c r="R1110" s="34"/>
      <c r="S1110" s="34"/>
      <c r="T1110" s="34"/>
      <c r="U1110" s="34"/>
      <c r="V1110" s="34"/>
      <c r="AB1110" s="34"/>
      <c r="AC1110" s="34"/>
      <c r="AD1110" s="34"/>
      <c r="AE1110" s="34"/>
      <c r="AF1110" s="34"/>
      <c r="AG1110" s="34"/>
      <c r="AH1110" s="34"/>
      <c r="AI1110" s="34"/>
      <c r="AJ1110" s="34"/>
      <c r="AK1110" s="34"/>
      <c r="AL1110" s="34"/>
    </row>
    <row r="1111" spans="12:38">
      <c r="L1111" s="34"/>
      <c r="M1111" s="34"/>
      <c r="N1111" s="34"/>
      <c r="O1111" s="34"/>
      <c r="P1111" s="34"/>
      <c r="Q1111" s="34"/>
      <c r="R1111" s="34"/>
      <c r="S1111" s="34"/>
      <c r="T1111" s="34"/>
      <c r="U1111" s="34"/>
      <c r="V1111" s="34"/>
      <c r="AB1111" s="34"/>
      <c r="AC1111" s="34"/>
      <c r="AD1111" s="34"/>
      <c r="AE1111" s="34"/>
      <c r="AF1111" s="34"/>
      <c r="AG1111" s="34"/>
      <c r="AH1111" s="34"/>
      <c r="AI1111" s="34"/>
      <c r="AJ1111" s="34"/>
      <c r="AK1111" s="34"/>
      <c r="AL1111" s="34"/>
    </row>
    <row r="1112" spans="12:38">
      <c r="L1112" s="34"/>
      <c r="M1112" s="34"/>
      <c r="N1112" s="34"/>
      <c r="O1112" s="34"/>
      <c r="P1112" s="34"/>
      <c r="Q1112" s="34"/>
      <c r="R1112" s="34"/>
      <c r="S1112" s="34"/>
      <c r="T1112" s="34"/>
      <c r="U1112" s="34"/>
      <c r="V1112" s="34"/>
      <c r="AB1112" s="34"/>
      <c r="AC1112" s="34"/>
      <c r="AD1112" s="34"/>
      <c r="AE1112" s="34"/>
      <c r="AF1112" s="34"/>
      <c r="AG1112" s="34"/>
      <c r="AH1112" s="34"/>
      <c r="AI1112" s="34"/>
      <c r="AJ1112" s="34"/>
      <c r="AK1112" s="34"/>
      <c r="AL1112" s="34"/>
    </row>
    <row r="1113" spans="12:38">
      <c r="L1113" s="34"/>
      <c r="M1113" s="34"/>
      <c r="N1113" s="34"/>
      <c r="O1113" s="34"/>
      <c r="P1113" s="34"/>
      <c r="Q1113" s="34"/>
      <c r="R1113" s="34"/>
      <c r="S1113" s="34"/>
      <c r="T1113" s="34"/>
      <c r="U1113" s="34"/>
      <c r="V1113" s="34"/>
      <c r="AB1113" s="34"/>
      <c r="AC1113" s="34"/>
      <c r="AD1113" s="34"/>
      <c r="AE1113" s="34"/>
      <c r="AF1113" s="34"/>
      <c r="AG1113" s="34"/>
      <c r="AH1113" s="34"/>
      <c r="AI1113" s="34"/>
      <c r="AJ1113" s="34"/>
      <c r="AK1113" s="34"/>
      <c r="AL1113" s="34"/>
    </row>
    <row r="1114" spans="12:38">
      <c r="L1114" s="34"/>
      <c r="M1114" s="34"/>
      <c r="N1114" s="34"/>
      <c r="O1114" s="34"/>
      <c r="P1114" s="34"/>
      <c r="Q1114" s="34"/>
      <c r="R1114" s="34"/>
      <c r="S1114" s="34"/>
      <c r="T1114" s="34"/>
      <c r="U1114" s="34"/>
      <c r="V1114" s="34"/>
      <c r="AB1114" s="34"/>
      <c r="AC1114" s="34"/>
      <c r="AD1114" s="34"/>
      <c r="AE1114" s="34"/>
      <c r="AF1114" s="34"/>
      <c r="AG1114" s="34"/>
      <c r="AH1114" s="34"/>
      <c r="AI1114" s="34"/>
      <c r="AJ1114" s="34"/>
      <c r="AK1114" s="34"/>
      <c r="AL1114" s="34"/>
    </row>
    <row r="1115" spans="12:38">
      <c r="L1115" s="34"/>
      <c r="M1115" s="34"/>
      <c r="N1115" s="34"/>
      <c r="O1115" s="34"/>
      <c r="P1115" s="34"/>
      <c r="Q1115" s="34"/>
      <c r="R1115" s="34"/>
      <c r="S1115" s="34"/>
      <c r="T1115" s="34"/>
      <c r="U1115" s="34"/>
      <c r="V1115" s="34"/>
      <c r="AB1115" s="34"/>
      <c r="AC1115" s="34"/>
      <c r="AD1115" s="34"/>
      <c r="AE1115" s="34"/>
      <c r="AF1115" s="34"/>
      <c r="AG1115" s="34"/>
      <c r="AH1115" s="34"/>
      <c r="AI1115" s="34"/>
      <c r="AJ1115" s="34"/>
      <c r="AK1115" s="34"/>
      <c r="AL1115" s="34"/>
    </row>
    <row r="1116" spans="12:38">
      <c r="L1116" s="34"/>
      <c r="M1116" s="34"/>
      <c r="N1116" s="34"/>
      <c r="O1116" s="34"/>
      <c r="P1116" s="34"/>
      <c r="Q1116" s="34"/>
      <c r="R1116" s="34"/>
      <c r="S1116" s="34"/>
      <c r="T1116" s="34"/>
      <c r="U1116" s="34"/>
      <c r="V1116" s="34"/>
      <c r="AB1116" s="34"/>
      <c r="AC1116" s="34"/>
      <c r="AD1116" s="34"/>
      <c r="AE1116" s="34"/>
      <c r="AF1116" s="34"/>
      <c r="AG1116" s="34"/>
      <c r="AH1116" s="34"/>
      <c r="AI1116" s="34"/>
      <c r="AJ1116" s="34"/>
      <c r="AK1116" s="34"/>
      <c r="AL1116" s="34"/>
    </row>
    <row r="1117" spans="12:38">
      <c r="L1117" s="34"/>
      <c r="M1117" s="34"/>
      <c r="N1117" s="34"/>
      <c r="O1117" s="34"/>
      <c r="P1117" s="34"/>
      <c r="Q1117" s="34"/>
      <c r="R1117" s="34"/>
      <c r="S1117" s="34"/>
      <c r="T1117" s="34"/>
      <c r="U1117" s="34"/>
      <c r="V1117" s="34"/>
      <c r="AB1117" s="34"/>
      <c r="AC1117" s="34"/>
      <c r="AD1117" s="34"/>
      <c r="AE1117" s="34"/>
      <c r="AF1117" s="34"/>
      <c r="AG1117" s="34"/>
      <c r="AH1117" s="34"/>
      <c r="AI1117" s="34"/>
      <c r="AJ1117" s="34"/>
      <c r="AK1117" s="34"/>
      <c r="AL1117" s="34"/>
    </row>
    <row r="1118" spans="12:38">
      <c r="L1118" s="34"/>
      <c r="M1118" s="34"/>
      <c r="N1118" s="34"/>
      <c r="O1118" s="34"/>
      <c r="P1118" s="34"/>
      <c r="Q1118" s="34"/>
      <c r="R1118" s="34"/>
      <c r="S1118" s="34"/>
      <c r="T1118" s="34"/>
      <c r="U1118" s="34"/>
      <c r="V1118" s="34"/>
      <c r="AB1118" s="34"/>
      <c r="AC1118" s="34"/>
      <c r="AD1118" s="34"/>
      <c r="AE1118" s="34"/>
      <c r="AF1118" s="34"/>
      <c r="AG1118" s="34"/>
      <c r="AH1118" s="34"/>
      <c r="AI1118" s="34"/>
      <c r="AJ1118" s="34"/>
      <c r="AK1118" s="34"/>
      <c r="AL1118" s="34"/>
    </row>
    <row r="1119" spans="12:38">
      <c r="L1119" s="34"/>
      <c r="M1119" s="34"/>
      <c r="N1119" s="34"/>
      <c r="O1119" s="34"/>
      <c r="P1119" s="34"/>
      <c r="Q1119" s="34"/>
      <c r="R1119" s="34"/>
      <c r="S1119" s="34"/>
      <c r="T1119" s="34"/>
      <c r="U1119" s="34"/>
      <c r="V1119" s="34"/>
      <c r="AB1119" s="34"/>
      <c r="AC1119" s="34"/>
      <c r="AD1119" s="34"/>
      <c r="AE1119" s="34"/>
      <c r="AF1119" s="34"/>
      <c r="AG1119" s="34"/>
      <c r="AH1119" s="34"/>
      <c r="AI1119" s="34"/>
      <c r="AJ1119" s="34"/>
      <c r="AK1119" s="34"/>
      <c r="AL1119" s="34"/>
    </row>
    <row r="1120" spans="12:38">
      <c r="L1120" s="34"/>
      <c r="M1120" s="34"/>
      <c r="N1120" s="34"/>
      <c r="O1120" s="34"/>
      <c r="P1120" s="34"/>
      <c r="Q1120" s="34"/>
      <c r="R1120" s="34"/>
      <c r="S1120" s="34"/>
      <c r="T1120" s="34"/>
      <c r="U1120" s="34"/>
      <c r="V1120" s="34"/>
      <c r="AB1120" s="34"/>
      <c r="AC1120" s="34"/>
      <c r="AD1120" s="34"/>
      <c r="AE1120" s="34"/>
      <c r="AF1120" s="34"/>
      <c r="AG1120" s="34"/>
      <c r="AH1120" s="34"/>
      <c r="AI1120" s="34"/>
      <c r="AJ1120" s="34"/>
      <c r="AK1120" s="34"/>
      <c r="AL1120" s="34"/>
    </row>
    <row r="1121" spans="12:38">
      <c r="L1121" s="34"/>
      <c r="M1121" s="34"/>
      <c r="N1121" s="34"/>
      <c r="O1121" s="34"/>
      <c r="P1121" s="34"/>
      <c r="Q1121" s="34"/>
      <c r="R1121" s="34"/>
      <c r="S1121" s="34"/>
      <c r="T1121" s="34"/>
      <c r="U1121" s="34"/>
      <c r="V1121" s="34"/>
      <c r="AB1121" s="34"/>
      <c r="AC1121" s="34"/>
      <c r="AD1121" s="34"/>
      <c r="AE1121" s="34"/>
      <c r="AF1121" s="34"/>
      <c r="AG1121" s="34"/>
      <c r="AH1121" s="34"/>
      <c r="AI1121" s="34"/>
      <c r="AJ1121" s="34"/>
      <c r="AK1121" s="34"/>
      <c r="AL1121" s="34"/>
    </row>
    <row r="1122" spans="12:38">
      <c r="L1122" s="34"/>
      <c r="M1122" s="34"/>
      <c r="N1122" s="34"/>
      <c r="O1122" s="34"/>
      <c r="P1122" s="34"/>
      <c r="Q1122" s="34"/>
      <c r="R1122" s="34"/>
      <c r="S1122" s="34"/>
      <c r="T1122" s="34"/>
      <c r="U1122" s="34"/>
      <c r="V1122" s="34"/>
      <c r="AB1122" s="34"/>
      <c r="AC1122" s="34"/>
      <c r="AD1122" s="34"/>
      <c r="AE1122" s="34"/>
      <c r="AF1122" s="34"/>
      <c r="AG1122" s="34"/>
      <c r="AH1122" s="34"/>
      <c r="AI1122" s="34"/>
      <c r="AJ1122" s="34"/>
      <c r="AK1122" s="34"/>
      <c r="AL1122" s="34"/>
    </row>
    <row r="1123" spans="12:38">
      <c r="L1123" s="34"/>
      <c r="M1123" s="34"/>
      <c r="N1123" s="34"/>
      <c r="O1123" s="34"/>
      <c r="P1123" s="34"/>
      <c r="Q1123" s="34"/>
      <c r="R1123" s="34"/>
      <c r="S1123" s="34"/>
      <c r="T1123" s="34"/>
      <c r="U1123" s="34"/>
      <c r="V1123" s="34"/>
      <c r="AB1123" s="34"/>
      <c r="AC1123" s="34"/>
      <c r="AD1123" s="34"/>
      <c r="AE1123" s="34"/>
      <c r="AF1123" s="34"/>
      <c r="AG1123" s="34"/>
      <c r="AH1123" s="34"/>
      <c r="AI1123" s="34"/>
      <c r="AJ1123" s="34"/>
      <c r="AK1123" s="34"/>
      <c r="AL1123" s="34"/>
    </row>
    <row r="1124" spans="12:38">
      <c r="L1124" s="34"/>
      <c r="M1124" s="34"/>
      <c r="N1124" s="34"/>
      <c r="O1124" s="34"/>
      <c r="P1124" s="34"/>
      <c r="Q1124" s="34"/>
      <c r="R1124" s="34"/>
      <c r="S1124" s="34"/>
      <c r="T1124" s="34"/>
      <c r="U1124" s="34"/>
      <c r="V1124" s="34"/>
      <c r="AB1124" s="34"/>
      <c r="AC1124" s="34"/>
      <c r="AD1124" s="34"/>
      <c r="AE1124" s="34"/>
      <c r="AF1124" s="34"/>
      <c r="AG1124" s="34"/>
      <c r="AH1124" s="34"/>
      <c r="AI1124" s="34"/>
      <c r="AJ1124" s="34"/>
      <c r="AK1124" s="34"/>
      <c r="AL1124" s="34"/>
    </row>
    <row r="1125" spans="12:38">
      <c r="L1125" s="34"/>
      <c r="M1125" s="34"/>
      <c r="N1125" s="34"/>
      <c r="O1125" s="34"/>
      <c r="P1125" s="34"/>
      <c r="Q1125" s="34"/>
      <c r="R1125" s="34"/>
      <c r="S1125" s="34"/>
      <c r="T1125" s="34"/>
      <c r="U1125" s="34"/>
      <c r="V1125" s="34"/>
      <c r="AB1125" s="34"/>
      <c r="AC1125" s="34"/>
      <c r="AD1125" s="34"/>
      <c r="AE1125" s="34"/>
      <c r="AF1125" s="34"/>
      <c r="AG1125" s="34"/>
      <c r="AH1125" s="34"/>
      <c r="AI1125" s="34"/>
      <c r="AJ1125" s="34"/>
      <c r="AK1125" s="34"/>
      <c r="AL1125" s="34"/>
    </row>
    <row r="1126" spans="12:38">
      <c r="L1126" s="34"/>
      <c r="M1126" s="34"/>
      <c r="N1126" s="34"/>
      <c r="O1126" s="34"/>
      <c r="P1126" s="34"/>
      <c r="Q1126" s="34"/>
      <c r="R1126" s="34"/>
      <c r="S1126" s="34"/>
      <c r="T1126" s="34"/>
      <c r="U1126" s="34"/>
      <c r="V1126" s="34"/>
      <c r="AB1126" s="34"/>
      <c r="AC1126" s="34"/>
      <c r="AD1126" s="34"/>
      <c r="AE1126" s="34"/>
      <c r="AF1126" s="34"/>
      <c r="AG1126" s="34"/>
      <c r="AH1126" s="34"/>
      <c r="AI1126" s="34"/>
      <c r="AJ1126" s="34"/>
      <c r="AK1126" s="34"/>
      <c r="AL1126" s="34"/>
    </row>
    <row r="1127" spans="12:38">
      <c r="L1127" s="34"/>
      <c r="M1127" s="34"/>
      <c r="N1127" s="34"/>
      <c r="O1127" s="34"/>
      <c r="P1127" s="34"/>
      <c r="Q1127" s="34"/>
      <c r="R1127" s="34"/>
      <c r="S1127" s="34"/>
      <c r="T1127" s="34"/>
      <c r="U1127" s="34"/>
      <c r="V1127" s="34"/>
      <c r="AB1127" s="34"/>
      <c r="AC1127" s="34"/>
      <c r="AD1127" s="34"/>
      <c r="AE1127" s="34"/>
      <c r="AF1127" s="34"/>
      <c r="AG1127" s="34"/>
      <c r="AH1127" s="34"/>
      <c r="AI1127" s="34"/>
      <c r="AJ1127" s="34"/>
      <c r="AK1127" s="34"/>
      <c r="AL1127" s="34"/>
    </row>
    <row r="1128" spans="12:38">
      <c r="L1128" s="34"/>
      <c r="M1128" s="34"/>
      <c r="N1128" s="34"/>
      <c r="O1128" s="34"/>
      <c r="P1128" s="34"/>
      <c r="Q1128" s="34"/>
      <c r="R1128" s="34"/>
      <c r="S1128" s="34"/>
      <c r="T1128" s="34"/>
      <c r="U1128" s="34"/>
      <c r="V1128" s="34"/>
      <c r="AB1128" s="34"/>
      <c r="AC1128" s="34"/>
      <c r="AD1128" s="34"/>
      <c r="AE1128" s="34"/>
      <c r="AF1128" s="34"/>
      <c r="AG1128" s="34"/>
      <c r="AH1128" s="34"/>
      <c r="AI1128" s="34"/>
      <c r="AJ1128" s="34"/>
      <c r="AK1128" s="34"/>
      <c r="AL1128" s="34"/>
    </row>
    <row r="1129" spans="12:38">
      <c r="L1129" s="34"/>
      <c r="M1129" s="34"/>
      <c r="N1129" s="34"/>
      <c r="O1129" s="34"/>
      <c r="P1129" s="34"/>
      <c r="Q1129" s="34"/>
      <c r="R1129" s="34"/>
      <c r="S1129" s="34"/>
      <c r="T1129" s="34"/>
      <c r="U1129" s="34"/>
      <c r="V1129" s="34"/>
      <c r="AB1129" s="34"/>
      <c r="AC1129" s="34"/>
      <c r="AD1129" s="34"/>
      <c r="AE1129" s="34"/>
      <c r="AF1129" s="34"/>
      <c r="AG1129" s="34"/>
      <c r="AH1129" s="34"/>
      <c r="AI1129" s="34"/>
      <c r="AJ1129" s="34"/>
      <c r="AK1129" s="34"/>
      <c r="AL1129" s="34"/>
    </row>
    <row r="1130" spans="12:38">
      <c r="L1130" s="34"/>
      <c r="M1130" s="34"/>
      <c r="N1130" s="34"/>
      <c r="O1130" s="34"/>
      <c r="P1130" s="34"/>
      <c r="Q1130" s="34"/>
      <c r="R1130" s="34"/>
      <c r="S1130" s="34"/>
      <c r="T1130" s="34"/>
      <c r="U1130" s="34"/>
      <c r="V1130" s="34"/>
      <c r="AB1130" s="34"/>
      <c r="AC1130" s="34"/>
      <c r="AD1130" s="34"/>
      <c r="AE1130" s="34"/>
      <c r="AF1130" s="34"/>
      <c r="AG1130" s="34"/>
      <c r="AH1130" s="34"/>
      <c r="AI1130" s="34"/>
      <c r="AJ1130" s="34"/>
      <c r="AK1130" s="34"/>
      <c r="AL1130" s="34"/>
    </row>
    <row r="1131" spans="12:38">
      <c r="L1131" s="34"/>
      <c r="M1131" s="34"/>
      <c r="N1131" s="34"/>
      <c r="O1131" s="34"/>
      <c r="P1131" s="34"/>
      <c r="Q1131" s="34"/>
      <c r="R1131" s="34"/>
      <c r="S1131" s="34"/>
      <c r="T1131" s="34"/>
      <c r="U1131" s="34"/>
      <c r="V1131" s="34"/>
      <c r="AB1131" s="34"/>
      <c r="AC1131" s="34"/>
      <c r="AD1131" s="34"/>
      <c r="AE1131" s="34"/>
      <c r="AF1131" s="34"/>
      <c r="AG1131" s="34"/>
      <c r="AH1131" s="34"/>
      <c r="AI1131" s="34"/>
      <c r="AJ1131" s="34"/>
      <c r="AK1131" s="34"/>
      <c r="AL1131" s="34"/>
    </row>
    <row r="1132" spans="12:38">
      <c r="L1132" s="34"/>
      <c r="M1132" s="34"/>
      <c r="N1132" s="34"/>
      <c r="O1132" s="34"/>
      <c r="P1132" s="34"/>
      <c r="Q1132" s="34"/>
      <c r="R1132" s="34"/>
      <c r="S1132" s="34"/>
      <c r="T1132" s="34"/>
      <c r="U1132" s="34"/>
      <c r="V1132" s="34"/>
      <c r="AB1132" s="34"/>
      <c r="AC1132" s="34"/>
      <c r="AD1132" s="34"/>
      <c r="AE1132" s="34"/>
      <c r="AF1132" s="34"/>
      <c r="AG1132" s="34"/>
      <c r="AH1132" s="34"/>
      <c r="AI1132" s="34"/>
      <c r="AJ1132" s="34"/>
      <c r="AK1132" s="34"/>
      <c r="AL1132" s="34"/>
    </row>
    <row r="1133" spans="12:38">
      <c r="L1133" s="34"/>
      <c r="M1133" s="34"/>
      <c r="N1133" s="34"/>
      <c r="O1133" s="34"/>
      <c r="P1133" s="34"/>
      <c r="Q1133" s="34"/>
      <c r="R1133" s="34"/>
      <c r="S1133" s="34"/>
      <c r="T1133" s="34"/>
      <c r="U1133" s="34"/>
      <c r="V1133" s="34"/>
      <c r="AB1133" s="34"/>
      <c r="AC1133" s="34"/>
      <c r="AD1133" s="34"/>
      <c r="AE1133" s="34"/>
      <c r="AF1133" s="34"/>
      <c r="AG1133" s="34"/>
      <c r="AH1133" s="34"/>
      <c r="AI1133" s="34"/>
      <c r="AJ1133" s="34"/>
      <c r="AK1133" s="34"/>
      <c r="AL1133" s="34"/>
    </row>
    <row r="1134" spans="12:38">
      <c r="L1134" s="34"/>
      <c r="M1134" s="34"/>
      <c r="N1134" s="34"/>
      <c r="O1134" s="34"/>
      <c r="P1134" s="34"/>
      <c r="Q1134" s="34"/>
      <c r="R1134" s="34"/>
      <c r="S1134" s="34"/>
      <c r="T1134" s="34"/>
      <c r="U1134" s="34"/>
      <c r="V1134" s="34"/>
      <c r="AB1134" s="34"/>
      <c r="AC1134" s="34"/>
      <c r="AD1134" s="34"/>
      <c r="AE1134" s="34"/>
      <c r="AF1134" s="34"/>
      <c r="AG1134" s="34"/>
      <c r="AH1134" s="34"/>
      <c r="AI1134" s="34"/>
      <c r="AJ1134" s="34"/>
      <c r="AK1134" s="34"/>
      <c r="AL1134" s="34"/>
    </row>
    <row r="1135" spans="12:38">
      <c r="L1135" s="34"/>
      <c r="M1135" s="34"/>
      <c r="N1135" s="34"/>
      <c r="O1135" s="34"/>
      <c r="P1135" s="34"/>
      <c r="Q1135" s="34"/>
      <c r="R1135" s="34"/>
      <c r="S1135" s="34"/>
      <c r="T1135" s="34"/>
      <c r="U1135" s="34"/>
      <c r="V1135" s="34"/>
      <c r="AB1135" s="34"/>
      <c r="AC1135" s="34"/>
      <c r="AD1135" s="34"/>
      <c r="AE1135" s="34"/>
      <c r="AF1135" s="34"/>
      <c r="AG1135" s="34"/>
      <c r="AH1135" s="34"/>
      <c r="AI1135" s="34"/>
      <c r="AJ1135" s="34"/>
      <c r="AK1135" s="34"/>
      <c r="AL1135" s="34"/>
    </row>
    <row r="1136" spans="12:38">
      <c r="L1136" s="34"/>
      <c r="M1136" s="34"/>
      <c r="N1136" s="34"/>
      <c r="O1136" s="34"/>
      <c r="P1136" s="34"/>
      <c r="Q1136" s="34"/>
      <c r="R1136" s="34"/>
      <c r="S1136" s="34"/>
      <c r="T1136" s="34"/>
      <c r="U1136" s="34"/>
      <c r="V1136" s="34"/>
      <c r="AB1136" s="34"/>
      <c r="AC1136" s="34"/>
      <c r="AD1136" s="34"/>
      <c r="AE1136" s="34"/>
      <c r="AF1136" s="34"/>
      <c r="AG1136" s="34"/>
      <c r="AH1136" s="34"/>
      <c r="AI1136" s="34"/>
      <c r="AJ1136" s="34"/>
      <c r="AK1136" s="34"/>
      <c r="AL1136" s="34"/>
    </row>
    <row r="1137" spans="12:38">
      <c r="L1137" s="34"/>
      <c r="M1137" s="34"/>
      <c r="N1137" s="34"/>
      <c r="O1137" s="34"/>
      <c r="P1137" s="34"/>
      <c r="Q1137" s="34"/>
      <c r="R1137" s="34"/>
      <c r="S1137" s="34"/>
      <c r="T1137" s="34"/>
      <c r="U1137" s="34"/>
      <c r="V1137" s="34"/>
      <c r="AB1137" s="34"/>
      <c r="AC1137" s="34"/>
      <c r="AD1137" s="34"/>
      <c r="AE1137" s="34"/>
      <c r="AF1137" s="34"/>
      <c r="AG1137" s="34"/>
      <c r="AH1137" s="34"/>
      <c r="AI1137" s="34"/>
      <c r="AJ1137" s="34"/>
      <c r="AK1137" s="34"/>
      <c r="AL1137" s="34"/>
    </row>
    <row r="1138" spans="12:38">
      <c r="L1138" s="34"/>
      <c r="M1138" s="34"/>
      <c r="N1138" s="34"/>
      <c r="O1138" s="34"/>
      <c r="P1138" s="34"/>
      <c r="Q1138" s="34"/>
      <c r="R1138" s="34"/>
      <c r="S1138" s="34"/>
      <c r="T1138" s="34"/>
      <c r="U1138" s="34"/>
      <c r="V1138" s="34"/>
      <c r="AB1138" s="34"/>
      <c r="AC1138" s="34"/>
      <c r="AD1138" s="34"/>
      <c r="AE1138" s="34"/>
      <c r="AF1138" s="34"/>
      <c r="AG1138" s="34"/>
      <c r="AH1138" s="34"/>
      <c r="AI1138" s="34"/>
      <c r="AJ1138" s="34"/>
      <c r="AK1138" s="34"/>
      <c r="AL1138" s="34"/>
    </row>
    <row r="1139" spans="12:38">
      <c r="L1139" s="34"/>
      <c r="M1139" s="34"/>
      <c r="N1139" s="34"/>
      <c r="O1139" s="34"/>
      <c r="P1139" s="34"/>
      <c r="Q1139" s="34"/>
      <c r="R1139" s="34"/>
      <c r="S1139" s="34"/>
      <c r="T1139" s="34"/>
      <c r="U1139" s="34"/>
      <c r="V1139" s="34"/>
      <c r="AB1139" s="34"/>
      <c r="AC1139" s="34"/>
      <c r="AD1139" s="34"/>
      <c r="AE1139" s="34"/>
      <c r="AF1139" s="34"/>
      <c r="AG1139" s="34"/>
      <c r="AH1139" s="34"/>
      <c r="AI1139" s="34"/>
      <c r="AJ1139" s="34"/>
      <c r="AK1139" s="34"/>
      <c r="AL1139" s="34"/>
    </row>
    <row r="1140" spans="12:38">
      <c r="L1140" s="34"/>
      <c r="M1140" s="34"/>
      <c r="N1140" s="34"/>
      <c r="O1140" s="34"/>
      <c r="P1140" s="34"/>
      <c r="Q1140" s="34"/>
      <c r="R1140" s="34"/>
      <c r="S1140" s="34"/>
      <c r="T1140" s="34"/>
      <c r="U1140" s="34"/>
      <c r="V1140" s="34"/>
      <c r="AB1140" s="34"/>
      <c r="AC1140" s="34"/>
      <c r="AD1140" s="34"/>
      <c r="AE1140" s="34"/>
      <c r="AF1140" s="34"/>
      <c r="AG1140" s="34"/>
      <c r="AH1140" s="34"/>
      <c r="AI1140" s="34"/>
      <c r="AJ1140" s="34"/>
      <c r="AK1140" s="34"/>
      <c r="AL1140" s="34"/>
    </row>
    <row r="1141" spans="12:38">
      <c r="L1141" s="34"/>
      <c r="M1141" s="34"/>
      <c r="N1141" s="34"/>
      <c r="O1141" s="34"/>
      <c r="P1141" s="34"/>
      <c r="Q1141" s="34"/>
      <c r="R1141" s="34"/>
      <c r="S1141" s="34"/>
      <c r="T1141" s="34"/>
      <c r="U1141" s="34"/>
      <c r="V1141" s="34"/>
      <c r="AB1141" s="34"/>
      <c r="AC1141" s="34"/>
      <c r="AD1141" s="34"/>
      <c r="AE1141" s="34"/>
      <c r="AF1141" s="34"/>
      <c r="AG1141" s="34"/>
      <c r="AH1141" s="34"/>
      <c r="AI1141" s="34"/>
      <c r="AJ1141" s="34"/>
      <c r="AK1141" s="34"/>
      <c r="AL1141" s="34"/>
    </row>
    <row r="1142" spans="12:38">
      <c r="L1142" s="34"/>
      <c r="M1142" s="34"/>
      <c r="N1142" s="34"/>
      <c r="O1142" s="34"/>
      <c r="P1142" s="34"/>
      <c r="Q1142" s="34"/>
      <c r="R1142" s="34"/>
      <c r="S1142" s="34"/>
      <c r="T1142" s="34"/>
      <c r="U1142" s="34"/>
      <c r="V1142" s="34"/>
      <c r="AB1142" s="34"/>
      <c r="AC1142" s="34"/>
      <c r="AD1142" s="34"/>
      <c r="AE1142" s="34"/>
      <c r="AF1142" s="34"/>
      <c r="AG1142" s="34"/>
      <c r="AH1142" s="34"/>
      <c r="AI1142" s="34"/>
      <c r="AJ1142" s="34"/>
      <c r="AK1142" s="34"/>
      <c r="AL1142" s="34"/>
    </row>
    <row r="1143" spans="12:38">
      <c r="L1143" s="34"/>
      <c r="M1143" s="34"/>
      <c r="N1143" s="34"/>
      <c r="O1143" s="34"/>
      <c r="P1143" s="34"/>
      <c r="Q1143" s="34"/>
      <c r="R1143" s="34"/>
      <c r="S1143" s="34"/>
      <c r="T1143" s="34"/>
      <c r="U1143" s="34"/>
      <c r="V1143" s="34"/>
      <c r="AB1143" s="34"/>
      <c r="AC1143" s="34"/>
      <c r="AD1143" s="34"/>
      <c r="AE1143" s="34"/>
      <c r="AF1143" s="34"/>
      <c r="AG1143" s="34"/>
      <c r="AH1143" s="34"/>
      <c r="AI1143" s="34"/>
      <c r="AJ1143" s="34"/>
      <c r="AK1143" s="34"/>
      <c r="AL1143" s="34"/>
    </row>
    <row r="1144" spans="12:38">
      <c r="L1144" s="34"/>
      <c r="M1144" s="34"/>
      <c r="N1144" s="34"/>
      <c r="O1144" s="34"/>
      <c r="P1144" s="34"/>
      <c r="Q1144" s="34"/>
      <c r="R1144" s="34"/>
      <c r="S1144" s="34"/>
      <c r="T1144" s="34"/>
      <c r="U1144" s="34"/>
      <c r="V1144" s="34"/>
      <c r="AB1144" s="34"/>
      <c r="AC1144" s="34"/>
      <c r="AD1144" s="34"/>
      <c r="AE1144" s="34"/>
      <c r="AF1144" s="34"/>
      <c r="AG1144" s="34"/>
      <c r="AH1144" s="34"/>
      <c r="AI1144" s="34"/>
      <c r="AJ1144" s="34"/>
      <c r="AK1144" s="34"/>
      <c r="AL1144" s="34"/>
    </row>
    <row r="1145" spans="12:38">
      <c r="L1145" s="34"/>
      <c r="M1145" s="34"/>
      <c r="N1145" s="34"/>
      <c r="O1145" s="34"/>
      <c r="P1145" s="34"/>
      <c r="Q1145" s="34"/>
      <c r="R1145" s="34"/>
      <c r="S1145" s="34"/>
      <c r="T1145" s="34"/>
      <c r="U1145" s="34"/>
      <c r="V1145" s="34"/>
      <c r="AB1145" s="34"/>
      <c r="AC1145" s="34"/>
      <c r="AD1145" s="34"/>
      <c r="AE1145" s="34"/>
      <c r="AF1145" s="34"/>
      <c r="AG1145" s="34"/>
      <c r="AH1145" s="34"/>
      <c r="AI1145" s="34"/>
      <c r="AJ1145" s="34"/>
      <c r="AK1145" s="34"/>
      <c r="AL1145" s="34"/>
    </row>
    <row r="1146" spans="12:38">
      <c r="L1146" s="34"/>
      <c r="M1146" s="34"/>
      <c r="N1146" s="34"/>
      <c r="O1146" s="34"/>
      <c r="P1146" s="34"/>
      <c r="Q1146" s="34"/>
      <c r="R1146" s="34"/>
      <c r="S1146" s="34"/>
      <c r="T1146" s="34"/>
      <c r="U1146" s="34"/>
      <c r="V1146" s="34"/>
      <c r="AB1146" s="34"/>
      <c r="AC1146" s="34"/>
      <c r="AD1146" s="34"/>
      <c r="AE1146" s="34"/>
      <c r="AF1146" s="34"/>
      <c r="AG1146" s="34"/>
      <c r="AH1146" s="34"/>
      <c r="AI1146" s="34"/>
      <c r="AJ1146" s="34"/>
      <c r="AK1146" s="34"/>
      <c r="AL1146" s="34"/>
    </row>
    <row r="1147" spans="12:38">
      <c r="L1147" s="34"/>
      <c r="M1147" s="34"/>
      <c r="N1147" s="34"/>
      <c r="O1147" s="34"/>
      <c r="P1147" s="34"/>
      <c r="Q1147" s="34"/>
      <c r="R1147" s="34"/>
      <c r="S1147" s="34"/>
      <c r="T1147" s="34"/>
      <c r="U1147" s="34"/>
      <c r="V1147" s="34"/>
      <c r="AB1147" s="34"/>
      <c r="AC1147" s="34"/>
      <c r="AD1147" s="34"/>
      <c r="AE1147" s="34"/>
      <c r="AF1147" s="34"/>
      <c r="AG1147" s="34"/>
      <c r="AH1147" s="34"/>
      <c r="AI1147" s="34"/>
      <c r="AJ1147" s="34"/>
      <c r="AK1147" s="34"/>
      <c r="AL1147" s="34"/>
    </row>
    <row r="1148" spans="12:38">
      <c r="L1148" s="34"/>
      <c r="M1148" s="34"/>
      <c r="N1148" s="34"/>
      <c r="O1148" s="34"/>
      <c r="P1148" s="34"/>
      <c r="Q1148" s="34"/>
      <c r="R1148" s="34"/>
      <c r="S1148" s="34"/>
      <c r="T1148" s="34"/>
      <c r="U1148" s="34"/>
      <c r="V1148" s="34"/>
      <c r="AB1148" s="34"/>
      <c r="AC1148" s="34"/>
      <c r="AD1148" s="34"/>
      <c r="AE1148" s="34"/>
      <c r="AF1148" s="34"/>
      <c r="AG1148" s="34"/>
      <c r="AH1148" s="34"/>
      <c r="AI1148" s="34"/>
      <c r="AJ1148" s="34"/>
      <c r="AK1148" s="34"/>
      <c r="AL1148" s="34"/>
    </row>
    <row r="1149" spans="12:38">
      <c r="L1149" s="34"/>
      <c r="M1149" s="34"/>
      <c r="N1149" s="34"/>
      <c r="O1149" s="34"/>
      <c r="P1149" s="34"/>
      <c r="Q1149" s="34"/>
      <c r="R1149" s="34"/>
      <c r="S1149" s="34"/>
      <c r="T1149" s="34"/>
      <c r="U1149" s="34"/>
      <c r="V1149" s="34"/>
      <c r="AB1149" s="34"/>
      <c r="AC1149" s="34"/>
      <c r="AD1149" s="34"/>
      <c r="AE1149" s="34"/>
      <c r="AF1149" s="34"/>
      <c r="AG1149" s="34"/>
      <c r="AH1149" s="34"/>
      <c r="AI1149" s="34"/>
      <c r="AJ1149" s="34"/>
      <c r="AK1149" s="34"/>
      <c r="AL1149" s="34"/>
    </row>
    <row r="1150" spans="12:38">
      <c r="L1150" s="34"/>
      <c r="M1150" s="34"/>
      <c r="N1150" s="34"/>
      <c r="O1150" s="34"/>
      <c r="P1150" s="34"/>
      <c r="Q1150" s="34"/>
      <c r="R1150" s="34"/>
      <c r="S1150" s="34"/>
      <c r="T1150" s="34"/>
      <c r="U1150" s="34"/>
      <c r="V1150" s="34"/>
      <c r="AB1150" s="34"/>
      <c r="AC1150" s="34"/>
      <c r="AD1150" s="34"/>
      <c r="AE1150" s="34"/>
      <c r="AF1150" s="34"/>
      <c r="AG1150" s="34"/>
      <c r="AH1150" s="34"/>
      <c r="AI1150" s="34"/>
      <c r="AJ1150" s="34"/>
      <c r="AK1150" s="34"/>
      <c r="AL1150" s="34"/>
    </row>
    <row r="1151" spans="12:38">
      <c r="L1151" s="34"/>
      <c r="M1151" s="34"/>
      <c r="N1151" s="34"/>
      <c r="O1151" s="34"/>
      <c r="P1151" s="34"/>
      <c r="Q1151" s="34"/>
      <c r="R1151" s="34"/>
      <c r="S1151" s="34"/>
      <c r="T1151" s="34"/>
      <c r="U1151" s="34"/>
      <c r="V1151" s="34"/>
      <c r="AB1151" s="34"/>
      <c r="AC1151" s="34"/>
      <c r="AD1151" s="34"/>
      <c r="AE1151" s="34"/>
      <c r="AF1151" s="34"/>
      <c r="AG1151" s="34"/>
      <c r="AH1151" s="34"/>
      <c r="AI1151" s="34"/>
      <c r="AJ1151" s="34"/>
      <c r="AK1151" s="34"/>
      <c r="AL1151" s="34"/>
    </row>
    <row r="1152" spans="12:38">
      <c r="L1152" s="34"/>
      <c r="M1152" s="34"/>
      <c r="N1152" s="34"/>
      <c r="O1152" s="34"/>
      <c r="P1152" s="34"/>
      <c r="Q1152" s="34"/>
      <c r="R1152" s="34"/>
      <c r="S1152" s="34"/>
      <c r="T1152" s="34"/>
      <c r="U1152" s="34"/>
      <c r="V1152" s="34"/>
      <c r="AB1152" s="34"/>
      <c r="AC1152" s="34"/>
      <c r="AD1152" s="34"/>
      <c r="AE1152" s="34"/>
      <c r="AF1152" s="34"/>
      <c r="AG1152" s="34"/>
      <c r="AH1152" s="34"/>
      <c r="AI1152" s="34"/>
      <c r="AJ1152" s="34"/>
      <c r="AK1152" s="34"/>
      <c r="AL1152" s="34"/>
    </row>
    <row r="1153" spans="12:38">
      <c r="L1153" s="34"/>
      <c r="M1153" s="34"/>
      <c r="N1153" s="34"/>
      <c r="O1153" s="34"/>
      <c r="P1153" s="34"/>
      <c r="Q1153" s="34"/>
      <c r="R1153" s="34"/>
      <c r="S1153" s="34"/>
      <c r="T1153" s="34"/>
      <c r="U1153" s="34"/>
      <c r="V1153" s="34"/>
      <c r="AB1153" s="34"/>
      <c r="AC1153" s="34"/>
      <c r="AD1153" s="34"/>
      <c r="AE1153" s="34"/>
      <c r="AF1153" s="34"/>
      <c r="AG1153" s="34"/>
      <c r="AH1153" s="34"/>
      <c r="AI1153" s="34"/>
      <c r="AJ1153" s="34"/>
      <c r="AK1153" s="34"/>
      <c r="AL1153" s="34"/>
    </row>
    <row r="1154" spans="12:38">
      <c r="L1154" s="34"/>
      <c r="M1154" s="34"/>
      <c r="N1154" s="34"/>
      <c r="O1154" s="34"/>
      <c r="P1154" s="34"/>
      <c r="Q1154" s="34"/>
      <c r="R1154" s="34"/>
      <c r="S1154" s="34"/>
      <c r="T1154" s="34"/>
      <c r="U1154" s="34"/>
      <c r="V1154" s="34"/>
      <c r="AB1154" s="34"/>
      <c r="AC1154" s="34"/>
      <c r="AD1154" s="34"/>
      <c r="AE1154" s="34"/>
      <c r="AF1154" s="34"/>
      <c r="AG1154" s="34"/>
      <c r="AH1154" s="34"/>
      <c r="AI1154" s="34"/>
      <c r="AJ1154" s="34"/>
      <c r="AK1154" s="34"/>
      <c r="AL1154" s="34"/>
    </row>
    <row r="1155" spans="12:38">
      <c r="L1155" s="34"/>
      <c r="M1155" s="34"/>
      <c r="N1155" s="34"/>
      <c r="O1155" s="34"/>
      <c r="P1155" s="34"/>
      <c r="Q1155" s="34"/>
      <c r="R1155" s="34"/>
      <c r="S1155" s="34"/>
      <c r="T1155" s="34"/>
      <c r="U1155" s="34"/>
      <c r="V1155" s="34"/>
      <c r="AB1155" s="34"/>
      <c r="AC1155" s="34"/>
      <c r="AD1155" s="34"/>
      <c r="AE1155" s="34"/>
      <c r="AF1155" s="34"/>
      <c r="AG1155" s="34"/>
      <c r="AH1155" s="34"/>
      <c r="AI1155" s="34"/>
      <c r="AJ1155" s="34"/>
      <c r="AK1155" s="34"/>
      <c r="AL1155" s="34"/>
    </row>
    <row r="1156" spans="12:38">
      <c r="L1156" s="34"/>
      <c r="M1156" s="34"/>
      <c r="N1156" s="34"/>
      <c r="O1156" s="34"/>
      <c r="P1156" s="34"/>
      <c r="Q1156" s="34"/>
      <c r="R1156" s="34"/>
      <c r="S1156" s="34"/>
      <c r="T1156" s="34"/>
      <c r="U1156" s="34"/>
      <c r="V1156" s="34"/>
      <c r="AB1156" s="34"/>
      <c r="AC1156" s="34"/>
      <c r="AD1156" s="34"/>
      <c r="AE1156" s="34"/>
      <c r="AF1156" s="34"/>
      <c r="AG1156" s="34"/>
      <c r="AH1156" s="34"/>
      <c r="AI1156" s="34"/>
      <c r="AJ1156" s="34"/>
      <c r="AK1156" s="34"/>
      <c r="AL1156" s="34"/>
    </row>
    <row r="1157" spans="12:38">
      <c r="L1157" s="34"/>
      <c r="M1157" s="34"/>
      <c r="N1157" s="34"/>
      <c r="O1157" s="34"/>
      <c r="P1157" s="34"/>
      <c r="Q1157" s="34"/>
      <c r="R1157" s="34"/>
      <c r="S1157" s="34"/>
      <c r="T1157" s="34"/>
      <c r="U1157" s="34"/>
      <c r="V1157" s="34"/>
      <c r="AB1157" s="34"/>
      <c r="AC1157" s="34"/>
      <c r="AD1157" s="34"/>
      <c r="AE1157" s="34"/>
      <c r="AF1157" s="34"/>
      <c r="AG1157" s="34"/>
      <c r="AH1157" s="34"/>
      <c r="AI1157" s="34"/>
      <c r="AJ1157" s="34"/>
      <c r="AK1157" s="34"/>
      <c r="AL1157" s="34"/>
    </row>
    <row r="1158" spans="12:38">
      <c r="L1158" s="34"/>
      <c r="M1158" s="34"/>
      <c r="N1158" s="34"/>
      <c r="O1158" s="34"/>
      <c r="P1158" s="34"/>
      <c r="Q1158" s="34"/>
      <c r="R1158" s="34"/>
      <c r="S1158" s="34"/>
      <c r="T1158" s="34"/>
      <c r="U1158" s="34"/>
      <c r="V1158" s="34"/>
      <c r="AB1158" s="34"/>
      <c r="AC1158" s="34"/>
      <c r="AD1158" s="34"/>
      <c r="AE1158" s="34"/>
      <c r="AF1158" s="34"/>
      <c r="AG1158" s="34"/>
      <c r="AH1158" s="34"/>
      <c r="AI1158" s="34"/>
      <c r="AJ1158" s="34"/>
      <c r="AK1158" s="34"/>
      <c r="AL1158" s="34"/>
    </row>
    <row r="1159" spans="12:38">
      <c r="L1159" s="34"/>
      <c r="M1159" s="34"/>
      <c r="N1159" s="34"/>
      <c r="O1159" s="34"/>
      <c r="P1159" s="34"/>
      <c r="Q1159" s="34"/>
      <c r="R1159" s="34"/>
      <c r="S1159" s="34"/>
      <c r="T1159" s="34"/>
      <c r="U1159" s="34"/>
      <c r="V1159" s="34"/>
      <c r="AB1159" s="34"/>
      <c r="AC1159" s="34"/>
      <c r="AD1159" s="34"/>
      <c r="AE1159" s="34"/>
      <c r="AF1159" s="34"/>
      <c r="AG1159" s="34"/>
      <c r="AH1159" s="34"/>
      <c r="AI1159" s="34"/>
      <c r="AJ1159" s="34"/>
      <c r="AK1159" s="34"/>
      <c r="AL1159" s="34"/>
    </row>
    <row r="1160" spans="12:38">
      <c r="L1160" s="34"/>
      <c r="M1160" s="34"/>
      <c r="N1160" s="34"/>
      <c r="O1160" s="34"/>
      <c r="P1160" s="34"/>
      <c r="Q1160" s="34"/>
      <c r="R1160" s="34"/>
      <c r="S1160" s="34"/>
      <c r="T1160" s="34"/>
      <c r="U1160" s="34"/>
      <c r="V1160" s="34"/>
      <c r="AB1160" s="34"/>
      <c r="AC1160" s="34"/>
      <c r="AD1160" s="34"/>
      <c r="AE1160" s="34"/>
      <c r="AF1160" s="34"/>
      <c r="AG1160" s="34"/>
      <c r="AH1160" s="34"/>
      <c r="AI1160" s="34"/>
      <c r="AJ1160" s="34"/>
      <c r="AK1160" s="34"/>
      <c r="AL1160" s="34"/>
    </row>
    <row r="1161" spans="12:38">
      <c r="L1161" s="34"/>
      <c r="M1161" s="34"/>
      <c r="N1161" s="34"/>
      <c r="O1161" s="34"/>
      <c r="P1161" s="34"/>
      <c r="Q1161" s="34"/>
      <c r="R1161" s="34"/>
      <c r="S1161" s="34"/>
      <c r="T1161" s="34"/>
      <c r="U1161" s="34"/>
      <c r="V1161" s="34"/>
      <c r="AB1161" s="34"/>
      <c r="AC1161" s="34"/>
      <c r="AD1161" s="34"/>
      <c r="AE1161" s="34"/>
      <c r="AF1161" s="34"/>
      <c r="AG1161" s="34"/>
      <c r="AH1161" s="34"/>
      <c r="AI1161" s="34"/>
      <c r="AJ1161" s="34"/>
      <c r="AK1161" s="34"/>
      <c r="AL1161" s="34"/>
    </row>
    <row r="1162" spans="12:38">
      <c r="L1162" s="34"/>
      <c r="M1162" s="34"/>
      <c r="N1162" s="34"/>
      <c r="O1162" s="34"/>
      <c r="P1162" s="34"/>
      <c r="Q1162" s="34"/>
      <c r="R1162" s="34"/>
      <c r="S1162" s="34"/>
      <c r="T1162" s="34"/>
      <c r="U1162" s="34"/>
      <c r="V1162" s="34"/>
      <c r="AB1162" s="34"/>
      <c r="AC1162" s="34"/>
      <c r="AD1162" s="34"/>
      <c r="AE1162" s="34"/>
      <c r="AF1162" s="34"/>
      <c r="AG1162" s="34"/>
      <c r="AH1162" s="34"/>
      <c r="AI1162" s="34"/>
      <c r="AJ1162" s="34"/>
      <c r="AK1162" s="34"/>
      <c r="AL1162" s="34"/>
    </row>
    <row r="1163" spans="12:38">
      <c r="L1163" s="34"/>
      <c r="M1163" s="34"/>
      <c r="N1163" s="34"/>
      <c r="O1163" s="34"/>
      <c r="P1163" s="34"/>
      <c r="Q1163" s="34"/>
      <c r="R1163" s="34"/>
      <c r="S1163" s="34"/>
      <c r="T1163" s="34"/>
      <c r="U1163" s="34"/>
      <c r="V1163" s="34"/>
      <c r="AB1163" s="34"/>
      <c r="AC1163" s="34"/>
      <c r="AD1163" s="34"/>
      <c r="AE1163" s="34"/>
      <c r="AF1163" s="34"/>
      <c r="AG1163" s="34"/>
      <c r="AH1163" s="34"/>
      <c r="AI1163" s="34"/>
      <c r="AJ1163" s="34"/>
      <c r="AK1163" s="34"/>
      <c r="AL1163" s="34"/>
    </row>
    <row r="1164" spans="12:38">
      <c r="L1164" s="34"/>
      <c r="M1164" s="34"/>
      <c r="N1164" s="34"/>
      <c r="O1164" s="34"/>
      <c r="P1164" s="34"/>
      <c r="Q1164" s="34"/>
      <c r="R1164" s="34"/>
      <c r="S1164" s="34"/>
      <c r="T1164" s="34"/>
      <c r="U1164" s="34"/>
      <c r="V1164" s="34"/>
      <c r="AB1164" s="34"/>
      <c r="AC1164" s="34"/>
      <c r="AD1164" s="34"/>
      <c r="AE1164" s="34"/>
      <c r="AF1164" s="34"/>
      <c r="AG1164" s="34"/>
      <c r="AH1164" s="34"/>
      <c r="AI1164" s="34"/>
      <c r="AJ1164" s="34"/>
      <c r="AK1164" s="34"/>
      <c r="AL1164" s="34"/>
    </row>
    <row r="1165" spans="12:38">
      <c r="L1165" s="34"/>
      <c r="M1165" s="34"/>
      <c r="N1165" s="34"/>
      <c r="O1165" s="34"/>
      <c r="P1165" s="34"/>
      <c r="Q1165" s="34"/>
      <c r="R1165" s="34"/>
      <c r="S1165" s="34"/>
      <c r="T1165" s="34"/>
      <c r="U1165" s="34"/>
      <c r="V1165" s="34"/>
      <c r="AB1165" s="34"/>
      <c r="AC1165" s="34"/>
      <c r="AD1165" s="34"/>
      <c r="AE1165" s="34"/>
      <c r="AF1165" s="34"/>
      <c r="AG1165" s="34"/>
      <c r="AH1165" s="34"/>
      <c r="AI1165" s="34"/>
      <c r="AJ1165" s="34"/>
      <c r="AK1165" s="34"/>
      <c r="AL1165" s="34"/>
    </row>
    <row r="1166" spans="12:38">
      <c r="L1166" s="34"/>
      <c r="M1166" s="34"/>
      <c r="N1166" s="34"/>
      <c r="O1166" s="34"/>
      <c r="P1166" s="34"/>
      <c r="Q1166" s="34"/>
      <c r="R1166" s="34"/>
      <c r="S1166" s="34"/>
      <c r="T1166" s="34"/>
      <c r="U1166" s="34"/>
      <c r="V1166" s="34"/>
      <c r="AB1166" s="34"/>
      <c r="AC1166" s="34"/>
      <c r="AD1166" s="34"/>
      <c r="AE1166" s="34"/>
      <c r="AF1166" s="34"/>
      <c r="AG1166" s="34"/>
      <c r="AH1166" s="34"/>
      <c r="AI1166" s="34"/>
      <c r="AJ1166" s="34"/>
      <c r="AK1166" s="34"/>
      <c r="AL1166" s="34"/>
    </row>
    <row r="1167" spans="12:38">
      <c r="L1167" s="34"/>
      <c r="M1167" s="34"/>
      <c r="N1167" s="34"/>
      <c r="O1167" s="34"/>
      <c r="P1167" s="34"/>
      <c r="Q1167" s="34"/>
      <c r="R1167" s="34"/>
      <c r="S1167" s="34"/>
      <c r="T1167" s="34"/>
      <c r="U1167" s="34"/>
      <c r="V1167" s="34"/>
      <c r="AB1167" s="34"/>
      <c r="AC1167" s="34"/>
      <c r="AD1167" s="34"/>
      <c r="AE1167" s="34"/>
      <c r="AF1167" s="34"/>
      <c r="AG1167" s="34"/>
      <c r="AH1167" s="34"/>
      <c r="AI1167" s="34"/>
      <c r="AJ1167" s="34"/>
      <c r="AK1167" s="34"/>
      <c r="AL1167" s="34"/>
    </row>
    <row r="1168" spans="12:38">
      <c r="L1168" s="34"/>
      <c r="M1168" s="34"/>
      <c r="N1168" s="34"/>
      <c r="O1168" s="34"/>
      <c r="P1168" s="34"/>
      <c r="Q1168" s="34"/>
      <c r="R1168" s="34"/>
      <c r="S1168" s="34"/>
      <c r="T1168" s="34"/>
      <c r="U1168" s="34"/>
      <c r="V1168" s="34"/>
      <c r="AB1168" s="34"/>
      <c r="AC1168" s="34"/>
      <c r="AD1168" s="34"/>
      <c r="AE1168" s="34"/>
      <c r="AF1168" s="34"/>
      <c r="AG1168" s="34"/>
      <c r="AH1168" s="34"/>
      <c r="AI1168" s="34"/>
      <c r="AJ1168" s="34"/>
      <c r="AK1168" s="34"/>
      <c r="AL1168" s="34"/>
    </row>
    <row r="1169" spans="12:38">
      <c r="L1169" s="34"/>
      <c r="M1169" s="34"/>
      <c r="N1169" s="34"/>
      <c r="O1169" s="34"/>
      <c r="P1169" s="34"/>
      <c r="Q1169" s="34"/>
      <c r="R1169" s="34"/>
      <c r="S1169" s="34"/>
      <c r="T1169" s="34"/>
      <c r="U1169" s="34"/>
      <c r="V1169" s="34"/>
      <c r="AB1169" s="34"/>
      <c r="AC1169" s="34"/>
      <c r="AD1169" s="34"/>
      <c r="AE1169" s="34"/>
      <c r="AF1169" s="34"/>
      <c r="AG1169" s="34"/>
      <c r="AH1169" s="34"/>
      <c r="AI1169" s="34"/>
      <c r="AJ1169" s="34"/>
      <c r="AK1169" s="34"/>
      <c r="AL1169" s="34"/>
    </row>
    <row r="1170" spans="12:38">
      <c r="L1170" s="34"/>
      <c r="M1170" s="34"/>
      <c r="N1170" s="34"/>
      <c r="O1170" s="34"/>
      <c r="P1170" s="34"/>
      <c r="Q1170" s="34"/>
      <c r="R1170" s="34"/>
      <c r="S1170" s="34"/>
      <c r="T1170" s="34"/>
      <c r="U1170" s="34"/>
      <c r="V1170" s="34"/>
      <c r="AB1170" s="34"/>
      <c r="AC1170" s="34"/>
      <c r="AD1170" s="34"/>
      <c r="AE1170" s="34"/>
      <c r="AF1170" s="34"/>
      <c r="AG1170" s="34"/>
      <c r="AH1170" s="34"/>
      <c r="AI1170" s="34"/>
      <c r="AJ1170" s="34"/>
      <c r="AK1170" s="34"/>
      <c r="AL1170" s="34"/>
    </row>
    <row r="1171" spans="12:38">
      <c r="L1171" s="34"/>
      <c r="M1171" s="34"/>
      <c r="N1171" s="34"/>
      <c r="O1171" s="34"/>
      <c r="P1171" s="34"/>
      <c r="Q1171" s="34"/>
      <c r="R1171" s="34"/>
      <c r="S1171" s="34"/>
      <c r="T1171" s="34"/>
      <c r="U1171" s="34"/>
      <c r="V1171" s="34"/>
      <c r="AB1171" s="34"/>
      <c r="AC1171" s="34"/>
      <c r="AD1171" s="34"/>
      <c r="AE1171" s="34"/>
      <c r="AF1171" s="34"/>
      <c r="AG1171" s="34"/>
      <c r="AH1171" s="34"/>
      <c r="AI1171" s="34"/>
      <c r="AJ1171" s="34"/>
      <c r="AK1171" s="34"/>
      <c r="AL1171" s="34"/>
    </row>
    <row r="1172" spans="12:38">
      <c r="L1172" s="34"/>
      <c r="M1172" s="34"/>
      <c r="N1172" s="34"/>
      <c r="O1172" s="34"/>
      <c r="P1172" s="34"/>
      <c r="Q1172" s="34"/>
      <c r="R1172" s="34"/>
      <c r="S1172" s="34"/>
      <c r="T1172" s="34"/>
      <c r="U1172" s="34"/>
      <c r="V1172" s="34"/>
      <c r="AB1172" s="34"/>
      <c r="AC1172" s="34"/>
      <c r="AD1172" s="34"/>
      <c r="AE1172" s="34"/>
      <c r="AF1172" s="34"/>
      <c r="AG1172" s="34"/>
      <c r="AH1172" s="34"/>
      <c r="AI1172" s="34"/>
      <c r="AJ1172" s="34"/>
      <c r="AK1172" s="34"/>
      <c r="AL1172" s="34"/>
    </row>
    <row r="1173" spans="12:38">
      <c r="L1173" s="34"/>
      <c r="M1173" s="34"/>
      <c r="N1173" s="34"/>
      <c r="O1173" s="34"/>
      <c r="P1173" s="34"/>
      <c r="Q1173" s="34"/>
      <c r="R1173" s="34"/>
      <c r="S1173" s="34"/>
      <c r="T1173" s="34"/>
      <c r="U1173" s="34"/>
      <c r="V1173" s="34"/>
      <c r="AB1173" s="34"/>
      <c r="AC1173" s="34"/>
      <c r="AD1173" s="34"/>
      <c r="AE1173" s="34"/>
      <c r="AF1173" s="34"/>
      <c r="AG1173" s="34"/>
      <c r="AH1173" s="34"/>
      <c r="AI1173" s="34"/>
      <c r="AJ1173" s="34"/>
      <c r="AK1173" s="34"/>
      <c r="AL1173" s="34"/>
    </row>
    <row r="1174" spans="12:38">
      <c r="L1174" s="34"/>
      <c r="M1174" s="34"/>
      <c r="N1174" s="34"/>
      <c r="O1174" s="34"/>
      <c r="P1174" s="34"/>
      <c r="Q1174" s="34"/>
      <c r="R1174" s="34"/>
      <c r="S1174" s="34"/>
      <c r="T1174" s="34"/>
      <c r="U1174" s="34"/>
      <c r="V1174" s="34"/>
      <c r="AB1174" s="34"/>
      <c r="AC1174" s="34"/>
      <c r="AD1174" s="34"/>
      <c r="AE1174" s="34"/>
      <c r="AF1174" s="34"/>
      <c r="AG1174" s="34"/>
      <c r="AH1174" s="34"/>
      <c r="AI1174" s="34"/>
      <c r="AJ1174" s="34"/>
      <c r="AK1174" s="34"/>
      <c r="AL1174" s="34"/>
    </row>
    <row r="1175" spans="12:38">
      <c r="L1175" s="34"/>
      <c r="M1175" s="34"/>
      <c r="N1175" s="34"/>
      <c r="O1175" s="34"/>
      <c r="P1175" s="34"/>
      <c r="Q1175" s="34"/>
      <c r="R1175" s="34"/>
      <c r="S1175" s="34"/>
      <c r="T1175" s="34"/>
      <c r="U1175" s="34"/>
      <c r="V1175" s="34"/>
      <c r="AB1175" s="34"/>
      <c r="AC1175" s="34"/>
      <c r="AD1175" s="34"/>
      <c r="AE1175" s="34"/>
      <c r="AF1175" s="34"/>
      <c r="AG1175" s="34"/>
      <c r="AH1175" s="34"/>
      <c r="AI1175" s="34"/>
      <c r="AJ1175" s="34"/>
      <c r="AK1175" s="34"/>
      <c r="AL1175" s="34"/>
    </row>
    <row r="1176" spans="12:38">
      <c r="L1176" s="34"/>
      <c r="M1176" s="34"/>
      <c r="N1176" s="34"/>
      <c r="O1176" s="34"/>
      <c r="P1176" s="34"/>
      <c r="Q1176" s="34"/>
      <c r="R1176" s="34"/>
      <c r="S1176" s="34"/>
      <c r="T1176" s="34"/>
      <c r="U1176" s="34"/>
      <c r="V1176" s="34"/>
      <c r="AB1176" s="34"/>
      <c r="AC1176" s="34"/>
      <c r="AD1176" s="34"/>
      <c r="AE1176" s="34"/>
      <c r="AF1176" s="34"/>
      <c r="AG1176" s="34"/>
      <c r="AH1176" s="34"/>
      <c r="AI1176" s="34"/>
      <c r="AJ1176" s="34"/>
      <c r="AK1176" s="34"/>
      <c r="AL1176" s="34"/>
    </row>
    <row r="1177" spans="12:38">
      <c r="L1177" s="34"/>
      <c r="M1177" s="34"/>
      <c r="N1177" s="34"/>
      <c r="O1177" s="34"/>
      <c r="P1177" s="34"/>
      <c r="Q1177" s="34"/>
      <c r="R1177" s="34"/>
      <c r="S1177" s="34"/>
      <c r="T1177" s="34"/>
      <c r="U1177" s="34"/>
      <c r="V1177" s="34"/>
      <c r="AB1177" s="34"/>
      <c r="AC1177" s="34"/>
      <c r="AD1177" s="34"/>
      <c r="AE1177" s="34"/>
      <c r="AF1177" s="34"/>
      <c r="AG1177" s="34"/>
      <c r="AH1177" s="34"/>
      <c r="AI1177" s="34"/>
      <c r="AJ1177" s="34"/>
      <c r="AK1177" s="34"/>
      <c r="AL1177" s="34"/>
    </row>
    <row r="1178" spans="12:38">
      <c r="L1178" s="34"/>
      <c r="M1178" s="34"/>
      <c r="N1178" s="34"/>
      <c r="O1178" s="34"/>
      <c r="P1178" s="34"/>
      <c r="Q1178" s="34"/>
      <c r="R1178" s="34"/>
      <c r="S1178" s="34"/>
      <c r="T1178" s="34"/>
      <c r="U1178" s="34"/>
      <c r="V1178" s="34"/>
      <c r="AB1178" s="34"/>
      <c r="AC1178" s="34"/>
      <c r="AD1178" s="34"/>
      <c r="AE1178" s="34"/>
      <c r="AF1178" s="34"/>
      <c r="AG1178" s="34"/>
      <c r="AH1178" s="34"/>
      <c r="AI1178" s="34"/>
      <c r="AJ1178" s="34"/>
      <c r="AK1178" s="34"/>
      <c r="AL1178" s="34"/>
    </row>
    <row r="1179" spans="12:38">
      <c r="L1179" s="34"/>
      <c r="M1179" s="34"/>
      <c r="N1179" s="34"/>
      <c r="O1179" s="34"/>
      <c r="P1179" s="34"/>
      <c r="Q1179" s="34"/>
      <c r="R1179" s="34"/>
      <c r="S1179" s="34"/>
      <c r="T1179" s="34"/>
      <c r="U1179" s="34"/>
      <c r="V1179" s="34"/>
      <c r="AB1179" s="34"/>
      <c r="AC1179" s="34"/>
      <c r="AD1179" s="34"/>
      <c r="AE1179" s="34"/>
      <c r="AF1179" s="34"/>
      <c r="AG1179" s="34"/>
      <c r="AH1179" s="34"/>
      <c r="AI1179" s="34"/>
      <c r="AJ1179" s="34"/>
      <c r="AK1179" s="34"/>
      <c r="AL1179" s="34"/>
    </row>
    <row r="1180" spans="12:38">
      <c r="L1180" s="34"/>
      <c r="M1180" s="34"/>
      <c r="N1180" s="34"/>
      <c r="O1180" s="34"/>
      <c r="P1180" s="34"/>
      <c r="Q1180" s="34"/>
      <c r="R1180" s="34"/>
      <c r="S1180" s="34"/>
      <c r="T1180" s="34"/>
      <c r="U1180" s="34"/>
      <c r="V1180" s="34"/>
      <c r="AB1180" s="34"/>
      <c r="AC1180" s="34"/>
      <c r="AD1180" s="34"/>
      <c r="AE1180" s="34"/>
      <c r="AF1180" s="34"/>
      <c r="AG1180" s="34"/>
      <c r="AH1180" s="34"/>
      <c r="AI1180" s="34"/>
      <c r="AJ1180" s="34"/>
      <c r="AK1180" s="34"/>
      <c r="AL1180" s="34"/>
    </row>
    <row r="1181" spans="12:38">
      <c r="L1181" s="34"/>
      <c r="M1181" s="34"/>
      <c r="N1181" s="34"/>
      <c r="O1181" s="34"/>
      <c r="P1181" s="34"/>
      <c r="Q1181" s="34"/>
      <c r="R1181" s="34"/>
      <c r="S1181" s="34"/>
      <c r="T1181" s="34"/>
      <c r="U1181" s="34"/>
      <c r="V1181" s="34"/>
      <c r="AB1181" s="34"/>
      <c r="AC1181" s="34"/>
      <c r="AD1181" s="34"/>
      <c r="AE1181" s="34"/>
      <c r="AF1181" s="34"/>
      <c r="AG1181" s="34"/>
      <c r="AH1181" s="34"/>
      <c r="AI1181" s="34"/>
      <c r="AJ1181" s="34"/>
      <c r="AK1181" s="34"/>
      <c r="AL1181" s="34"/>
    </row>
    <row r="1182" spans="12:38">
      <c r="L1182" s="34"/>
      <c r="M1182" s="34"/>
      <c r="N1182" s="34"/>
      <c r="O1182" s="34"/>
      <c r="P1182" s="34"/>
      <c r="Q1182" s="34"/>
      <c r="R1182" s="34"/>
      <c r="S1182" s="34"/>
      <c r="T1182" s="34"/>
      <c r="U1182" s="34"/>
      <c r="V1182" s="34"/>
      <c r="AB1182" s="34"/>
      <c r="AC1182" s="34"/>
      <c r="AD1182" s="34"/>
      <c r="AE1182" s="34"/>
      <c r="AF1182" s="34"/>
      <c r="AG1182" s="34"/>
      <c r="AH1182" s="34"/>
      <c r="AI1182" s="34"/>
      <c r="AJ1182" s="34"/>
      <c r="AK1182" s="34"/>
      <c r="AL1182" s="34"/>
    </row>
    <row r="1183" spans="12:38">
      <c r="L1183" s="34"/>
      <c r="M1183" s="34"/>
      <c r="N1183" s="34"/>
      <c r="O1183" s="34"/>
      <c r="P1183" s="34"/>
      <c r="Q1183" s="34"/>
      <c r="R1183" s="34"/>
      <c r="S1183" s="34"/>
      <c r="T1183" s="34"/>
      <c r="U1183" s="34"/>
      <c r="V1183" s="34"/>
      <c r="AB1183" s="34"/>
      <c r="AC1183" s="34"/>
      <c r="AD1183" s="34"/>
      <c r="AE1183" s="34"/>
      <c r="AF1183" s="34"/>
      <c r="AG1183" s="34"/>
      <c r="AH1183" s="34"/>
      <c r="AI1183" s="34"/>
      <c r="AJ1183" s="34"/>
      <c r="AK1183" s="34"/>
      <c r="AL1183" s="34"/>
    </row>
    <row r="1184" spans="12:38">
      <c r="L1184" s="34"/>
      <c r="M1184" s="34"/>
      <c r="N1184" s="34"/>
      <c r="O1184" s="34"/>
      <c r="P1184" s="34"/>
      <c r="Q1184" s="34"/>
      <c r="R1184" s="34"/>
      <c r="S1184" s="34"/>
      <c r="T1184" s="34"/>
      <c r="U1184" s="34"/>
      <c r="V1184" s="34"/>
      <c r="AB1184" s="34"/>
      <c r="AC1184" s="34"/>
      <c r="AD1184" s="34"/>
      <c r="AE1184" s="34"/>
      <c r="AF1184" s="34"/>
      <c r="AG1184" s="34"/>
      <c r="AH1184" s="34"/>
      <c r="AI1184" s="34"/>
      <c r="AJ1184" s="34"/>
      <c r="AK1184" s="34"/>
      <c r="AL1184" s="34"/>
    </row>
    <row r="1185" spans="12:38">
      <c r="L1185" s="34"/>
      <c r="M1185" s="34"/>
      <c r="N1185" s="34"/>
      <c r="O1185" s="34"/>
      <c r="P1185" s="34"/>
      <c r="Q1185" s="34"/>
      <c r="R1185" s="34"/>
      <c r="S1185" s="34"/>
      <c r="T1185" s="34"/>
      <c r="U1185" s="34"/>
      <c r="V1185" s="34"/>
      <c r="AB1185" s="34"/>
      <c r="AC1185" s="34"/>
      <c r="AD1185" s="34"/>
      <c r="AE1185" s="34"/>
      <c r="AF1185" s="34"/>
      <c r="AG1185" s="34"/>
      <c r="AH1185" s="34"/>
      <c r="AI1185" s="34"/>
      <c r="AJ1185" s="34"/>
      <c r="AK1185" s="34"/>
      <c r="AL1185" s="34"/>
    </row>
    <row r="1186" spans="12:38">
      <c r="L1186" s="34"/>
      <c r="M1186" s="34"/>
      <c r="N1186" s="34"/>
      <c r="O1186" s="34"/>
      <c r="P1186" s="34"/>
      <c r="Q1186" s="34"/>
      <c r="R1186" s="34"/>
      <c r="S1186" s="34"/>
      <c r="T1186" s="34"/>
      <c r="U1186" s="34"/>
      <c r="V1186" s="34"/>
      <c r="AB1186" s="34"/>
      <c r="AC1186" s="34"/>
      <c r="AD1186" s="34"/>
      <c r="AE1186" s="34"/>
      <c r="AF1186" s="34"/>
      <c r="AG1186" s="34"/>
      <c r="AH1186" s="34"/>
      <c r="AI1186" s="34"/>
      <c r="AJ1186" s="34"/>
      <c r="AK1186" s="34"/>
      <c r="AL1186" s="34"/>
    </row>
    <row r="1187" spans="12:38">
      <c r="L1187" s="34"/>
      <c r="M1187" s="34"/>
      <c r="N1187" s="34"/>
      <c r="O1187" s="34"/>
      <c r="P1187" s="34"/>
      <c r="Q1187" s="34"/>
      <c r="R1187" s="34"/>
      <c r="S1187" s="34"/>
      <c r="T1187" s="34"/>
      <c r="U1187" s="34"/>
      <c r="V1187" s="34"/>
      <c r="AB1187" s="34"/>
      <c r="AC1187" s="34"/>
      <c r="AD1187" s="34"/>
      <c r="AE1187" s="34"/>
      <c r="AF1187" s="34"/>
      <c r="AG1187" s="34"/>
      <c r="AH1187" s="34"/>
      <c r="AI1187" s="34"/>
      <c r="AJ1187" s="34"/>
      <c r="AK1187" s="34"/>
      <c r="AL1187" s="34"/>
    </row>
    <row r="1188" spans="12:38">
      <c r="L1188" s="34"/>
      <c r="M1188" s="34"/>
      <c r="N1188" s="34"/>
      <c r="O1188" s="34"/>
      <c r="P1188" s="34"/>
      <c r="Q1188" s="34"/>
      <c r="R1188" s="34"/>
      <c r="S1188" s="34"/>
      <c r="T1188" s="34"/>
      <c r="U1188" s="34"/>
      <c r="V1188" s="34"/>
      <c r="AB1188" s="34"/>
      <c r="AC1188" s="34"/>
      <c r="AD1188" s="34"/>
      <c r="AE1188" s="34"/>
      <c r="AF1188" s="34"/>
      <c r="AG1188" s="34"/>
      <c r="AH1188" s="34"/>
      <c r="AI1188" s="34"/>
      <c r="AJ1188" s="34"/>
      <c r="AK1188" s="34"/>
      <c r="AL1188" s="34"/>
    </row>
    <row r="1189" spans="12:38">
      <c r="L1189" s="34"/>
      <c r="M1189" s="34"/>
      <c r="N1189" s="34"/>
      <c r="O1189" s="34"/>
      <c r="P1189" s="34"/>
      <c r="Q1189" s="34"/>
      <c r="R1189" s="34"/>
      <c r="S1189" s="34"/>
      <c r="T1189" s="34"/>
      <c r="U1189" s="34"/>
      <c r="V1189" s="34"/>
      <c r="AB1189" s="34"/>
      <c r="AC1189" s="34"/>
      <c r="AD1189" s="34"/>
      <c r="AE1189" s="34"/>
      <c r="AF1189" s="34"/>
      <c r="AG1189" s="34"/>
      <c r="AH1189" s="34"/>
      <c r="AI1189" s="34"/>
      <c r="AJ1189" s="34"/>
      <c r="AK1189" s="34"/>
      <c r="AL1189" s="34"/>
    </row>
    <row r="1190" spans="12:38">
      <c r="L1190" s="34"/>
      <c r="M1190" s="34"/>
      <c r="N1190" s="34"/>
      <c r="O1190" s="34"/>
      <c r="P1190" s="34"/>
      <c r="Q1190" s="34"/>
      <c r="R1190" s="34"/>
      <c r="S1190" s="34"/>
      <c r="T1190" s="34"/>
      <c r="U1190" s="34"/>
      <c r="V1190" s="34"/>
      <c r="AB1190" s="34"/>
      <c r="AC1190" s="34"/>
      <c r="AD1190" s="34"/>
      <c r="AE1190" s="34"/>
      <c r="AF1190" s="34"/>
      <c r="AG1190" s="34"/>
      <c r="AH1190" s="34"/>
      <c r="AI1190" s="34"/>
      <c r="AJ1190" s="34"/>
      <c r="AK1190" s="34"/>
      <c r="AL1190" s="34"/>
    </row>
    <row r="1191" spans="12:38">
      <c r="L1191" s="34"/>
      <c r="M1191" s="34"/>
      <c r="N1191" s="34"/>
      <c r="O1191" s="34"/>
      <c r="P1191" s="34"/>
      <c r="Q1191" s="34"/>
      <c r="R1191" s="34"/>
      <c r="S1191" s="34"/>
      <c r="T1191" s="34"/>
      <c r="U1191" s="34"/>
      <c r="V1191" s="34"/>
      <c r="AB1191" s="34"/>
      <c r="AC1191" s="34"/>
      <c r="AD1191" s="34"/>
      <c r="AE1191" s="34"/>
      <c r="AF1191" s="34"/>
      <c r="AG1191" s="34"/>
      <c r="AH1191" s="34"/>
      <c r="AI1191" s="34"/>
      <c r="AJ1191" s="34"/>
      <c r="AK1191" s="34"/>
      <c r="AL1191" s="34"/>
    </row>
    <row r="1192" spans="12:38">
      <c r="L1192" s="34"/>
      <c r="M1192" s="34"/>
      <c r="N1192" s="34"/>
      <c r="O1192" s="34"/>
      <c r="P1192" s="34"/>
      <c r="Q1192" s="34"/>
      <c r="R1192" s="34"/>
      <c r="S1192" s="34"/>
      <c r="T1192" s="34"/>
      <c r="U1192" s="34"/>
      <c r="V1192" s="34"/>
      <c r="AB1192" s="34"/>
      <c r="AC1192" s="34"/>
      <c r="AD1192" s="34"/>
      <c r="AE1192" s="34"/>
      <c r="AF1192" s="34"/>
      <c r="AG1192" s="34"/>
      <c r="AH1192" s="34"/>
      <c r="AI1192" s="34"/>
      <c r="AJ1192" s="34"/>
      <c r="AK1192" s="34"/>
      <c r="AL1192" s="34"/>
    </row>
    <row r="1193" spans="12:38">
      <c r="L1193" s="34"/>
      <c r="M1193" s="34"/>
      <c r="N1193" s="34"/>
      <c r="O1193" s="34"/>
      <c r="P1193" s="34"/>
      <c r="Q1193" s="34"/>
      <c r="R1193" s="34"/>
      <c r="S1193" s="34"/>
      <c r="T1193" s="34"/>
      <c r="U1193" s="34"/>
      <c r="V1193" s="34"/>
      <c r="AB1193" s="34"/>
      <c r="AC1193" s="34"/>
      <c r="AD1193" s="34"/>
      <c r="AE1193" s="34"/>
      <c r="AF1193" s="34"/>
      <c r="AG1193" s="34"/>
      <c r="AH1193" s="34"/>
      <c r="AI1193" s="34"/>
      <c r="AJ1193" s="34"/>
      <c r="AK1193" s="34"/>
      <c r="AL1193" s="34"/>
    </row>
    <row r="1194" spans="12:38">
      <c r="L1194" s="34"/>
      <c r="M1194" s="34"/>
      <c r="N1194" s="34"/>
      <c r="O1194" s="34"/>
      <c r="P1194" s="34"/>
      <c r="Q1194" s="34"/>
      <c r="R1194" s="34"/>
      <c r="S1194" s="34"/>
      <c r="T1194" s="34"/>
      <c r="U1194" s="34"/>
      <c r="V1194" s="34"/>
      <c r="AB1194" s="34"/>
      <c r="AC1194" s="34"/>
      <c r="AD1194" s="34"/>
      <c r="AE1194" s="34"/>
      <c r="AF1194" s="34"/>
      <c r="AG1194" s="34"/>
      <c r="AH1194" s="34"/>
      <c r="AI1194" s="34"/>
      <c r="AJ1194" s="34"/>
      <c r="AK1194" s="34"/>
      <c r="AL1194" s="34"/>
    </row>
    <row r="1195" spans="12:38">
      <c r="L1195" s="34"/>
      <c r="M1195" s="34"/>
      <c r="N1195" s="34"/>
      <c r="O1195" s="34"/>
      <c r="P1195" s="34"/>
      <c r="Q1195" s="34"/>
      <c r="R1195" s="34"/>
      <c r="S1195" s="34"/>
      <c r="T1195" s="34"/>
      <c r="U1195" s="34"/>
      <c r="V1195" s="34"/>
      <c r="AB1195" s="34"/>
      <c r="AC1195" s="34"/>
      <c r="AD1195" s="34"/>
      <c r="AE1195" s="34"/>
      <c r="AF1195" s="34"/>
      <c r="AG1195" s="34"/>
      <c r="AH1195" s="34"/>
      <c r="AI1195" s="34"/>
      <c r="AJ1195" s="34"/>
      <c r="AK1195" s="34"/>
      <c r="AL1195" s="34"/>
    </row>
    <row r="1196" spans="12:38">
      <c r="L1196" s="34"/>
      <c r="M1196" s="34"/>
      <c r="N1196" s="34"/>
      <c r="O1196" s="34"/>
      <c r="P1196" s="34"/>
      <c r="Q1196" s="34"/>
      <c r="R1196" s="34"/>
      <c r="S1196" s="34"/>
      <c r="T1196" s="34"/>
      <c r="U1196" s="34"/>
      <c r="V1196" s="34"/>
      <c r="AB1196" s="34"/>
      <c r="AC1196" s="34"/>
      <c r="AD1196" s="34"/>
      <c r="AE1196" s="34"/>
      <c r="AF1196" s="34"/>
      <c r="AG1196" s="34"/>
      <c r="AH1196" s="34"/>
      <c r="AI1196" s="34"/>
      <c r="AJ1196" s="34"/>
      <c r="AK1196" s="34"/>
      <c r="AL1196" s="34"/>
    </row>
    <row r="1197" spans="12:38">
      <c r="L1197" s="34"/>
      <c r="M1197" s="34"/>
      <c r="N1197" s="34"/>
      <c r="O1197" s="34"/>
      <c r="P1197" s="34"/>
      <c r="Q1197" s="34"/>
      <c r="R1197" s="34"/>
      <c r="S1197" s="34"/>
      <c r="T1197" s="34"/>
      <c r="U1197" s="34"/>
      <c r="V1197" s="34"/>
      <c r="AB1197" s="34"/>
      <c r="AC1197" s="34"/>
      <c r="AD1197" s="34"/>
      <c r="AE1197" s="34"/>
      <c r="AF1197" s="34"/>
      <c r="AG1197" s="34"/>
      <c r="AH1197" s="34"/>
      <c r="AI1197" s="34"/>
      <c r="AJ1197" s="34"/>
      <c r="AK1197" s="34"/>
      <c r="AL1197" s="34"/>
    </row>
    <row r="1198" spans="12:38">
      <c r="L1198" s="34"/>
      <c r="M1198" s="34"/>
      <c r="N1198" s="34"/>
      <c r="O1198" s="34"/>
      <c r="P1198" s="34"/>
      <c r="Q1198" s="34"/>
      <c r="R1198" s="34"/>
      <c r="S1198" s="34"/>
      <c r="T1198" s="34"/>
      <c r="U1198" s="34"/>
      <c r="V1198" s="34"/>
      <c r="AB1198" s="34"/>
      <c r="AC1198" s="34"/>
      <c r="AD1198" s="34"/>
      <c r="AE1198" s="34"/>
      <c r="AF1198" s="34"/>
      <c r="AG1198" s="34"/>
      <c r="AH1198" s="34"/>
      <c r="AI1198" s="34"/>
      <c r="AJ1198" s="34"/>
      <c r="AK1198" s="34"/>
      <c r="AL1198" s="34"/>
    </row>
    <row r="1199" spans="12:38">
      <c r="L1199" s="34"/>
      <c r="M1199" s="34"/>
      <c r="N1199" s="34"/>
      <c r="O1199" s="34"/>
      <c r="P1199" s="34"/>
      <c r="Q1199" s="34"/>
      <c r="R1199" s="34"/>
      <c r="S1199" s="34"/>
      <c r="T1199" s="34"/>
      <c r="U1199" s="34"/>
      <c r="V1199" s="34"/>
      <c r="AB1199" s="34"/>
      <c r="AC1199" s="34"/>
      <c r="AD1199" s="34"/>
      <c r="AE1199" s="34"/>
      <c r="AF1199" s="34"/>
      <c r="AG1199" s="34"/>
      <c r="AH1199" s="34"/>
      <c r="AI1199" s="34"/>
      <c r="AJ1199" s="34"/>
      <c r="AK1199" s="34"/>
      <c r="AL1199" s="34"/>
    </row>
    <row r="1200" spans="12:38">
      <c r="L1200" s="34"/>
      <c r="M1200" s="34"/>
      <c r="N1200" s="34"/>
      <c r="O1200" s="34"/>
      <c r="P1200" s="34"/>
      <c r="Q1200" s="34"/>
      <c r="R1200" s="34"/>
      <c r="S1200" s="34"/>
      <c r="T1200" s="34"/>
      <c r="U1200" s="34"/>
      <c r="V1200" s="34"/>
      <c r="AB1200" s="34"/>
      <c r="AC1200" s="34"/>
      <c r="AD1200" s="34"/>
      <c r="AE1200" s="34"/>
      <c r="AF1200" s="34"/>
      <c r="AG1200" s="34"/>
      <c r="AH1200" s="34"/>
      <c r="AI1200" s="34"/>
      <c r="AJ1200" s="34"/>
      <c r="AK1200" s="34"/>
      <c r="AL1200" s="34"/>
    </row>
    <row r="1201" spans="12:38">
      <c r="L1201" s="34"/>
      <c r="M1201" s="34"/>
      <c r="N1201" s="34"/>
      <c r="O1201" s="34"/>
      <c r="P1201" s="34"/>
      <c r="Q1201" s="34"/>
      <c r="R1201" s="34"/>
      <c r="S1201" s="34"/>
      <c r="T1201" s="34"/>
      <c r="U1201" s="34"/>
      <c r="V1201" s="34"/>
      <c r="AB1201" s="34"/>
      <c r="AC1201" s="34"/>
      <c r="AD1201" s="34"/>
      <c r="AE1201" s="34"/>
      <c r="AF1201" s="34"/>
      <c r="AG1201" s="34"/>
      <c r="AH1201" s="34"/>
      <c r="AI1201" s="34"/>
      <c r="AJ1201" s="34"/>
      <c r="AK1201" s="34"/>
      <c r="AL1201" s="34"/>
    </row>
    <row r="1202" spans="12:38">
      <c r="L1202" s="34"/>
      <c r="M1202" s="34"/>
      <c r="N1202" s="34"/>
      <c r="O1202" s="34"/>
      <c r="P1202" s="34"/>
      <c r="Q1202" s="34"/>
      <c r="R1202" s="34"/>
      <c r="S1202" s="34"/>
      <c r="T1202" s="34"/>
      <c r="U1202" s="34"/>
      <c r="V1202" s="34"/>
      <c r="AB1202" s="34"/>
      <c r="AC1202" s="34"/>
      <c r="AD1202" s="34"/>
      <c r="AE1202" s="34"/>
      <c r="AF1202" s="34"/>
      <c r="AG1202" s="34"/>
      <c r="AH1202" s="34"/>
      <c r="AI1202" s="34"/>
      <c r="AJ1202" s="34"/>
      <c r="AK1202" s="34"/>
      <c r="AL1202" s="34"/>
    </row>
    <row r="1203" spans="12:38">
      <c r="L1203" s="34"/>
      <c r="M1203" s="34"/>
      <c r="N1203" s="34"/>
      <c r="O1203" s="34"/>
      <c r="P1203" s="34"/>
      <c r="Q1203" s="34"/>
      <c r="R1203" s="34"/>
      <c r="S1203" s="34"/>
      <c r="T1203" s="34"/>
      <c r="U1203" s="34"/>
      <c r="V1203" s="34"/>
      <c r="AB1203" s="34"/>
      <c r="AC1203" s="34"/>
      <c r="AD1203" s="34"/>
      <c r="AE1203" s="34"/>
      <c r="AF1203" s="34"/>
      <c r="AG1203" s="34"/>
      <c r="AH1203" s="34"/>
      <c r="AI1203" s="34"/>
      <c r="AJ1203" s="34"/>
      <c r="AK1203" s="34"/>
      <c r="AL1203" s="34"/>
    </row>
    <row r="1204" spans="12:38">
      <c r="L1204" s="34"/>
      <c r="M1204" s="34"/>
      <c r="N1204" s="34"/>
      <c r="O1204" s="34"/>
      <c r="P1204" s="34"/>
      <c r="Q1204" s="34"/>
      <c r="R1204" s="34"/>
      <c r="S1204" s="34"/>
      <c r="T1204" s="34"/>
      <c r="U1204" s="34"/>
      <c r="V1204" s="34"/>
      <c r="AB1204" s="34"/>
      <c r="AC1204" s="34"/>
      <c r="AD1204" s="34"/>
      <c r="AE1204" s="34"/>
      <c r="AF1204" s="34"/>
      <c r="AG1204" s="34"/>
      <c r="AH1204" s="34"/>
      <c r="AI1204" s="34"/>
      <c r="AJ1204" s="34"/>
      <c r="AK1204" s="34"/>
      <c r="AL1204" s="34"/>
    </row>
    <row r="1205" spans="12:38">
      <c r="L1205" s="34"/>
      <c r="M1205" s="34"/>
      <c r="N1205" s="34"/>
      <c r="O1205" s="34"/>
      <c r="P1205" s="34"/>
      <c r="Q1205" s="34"/>
      <c r="R1205" s="34"/>
      <c r="S1205" s="34"/>
      <c r="T1205" s="34"/>
      <c r="U1205" s="34"/>
      <c r="V1205" s="34"/>
      <c r="AB1205" s="34"/>
      <c r="AC1205" s="34"/>
      <c r="AD1205" s="34"/>
      <c r="AE1205" s="34"/>
      <c r="AF1205" s="34"/>
      <c r="AG1205" s="34"/>
      <c r="AH1205" s="34"/>
      <c r="AI1205" s="34"/>
      <c r="AJ1205" s="34"/>
      <c r="AK1205" s="34"/>
      <c r="AL1205" s="34"/>
    </row>
    <row r="1206" spans="12:38">
      <c r="L1206" s="34"/>
      <c r="M1206" s="34"/>
      <c r="N1206" s="34"/>
      <c r="O1206" s="34"/>
      <c r="P1206" s="34"/>
      <c r="Q1206" s="34"/>
      <c r="R1206" s="34"/>
      <c r="S1206" s="34"/>
      <c r="T1206" s="34"/>
      <c r="U1206" s="34"/>
      <c r="V1206" s="34"/>
      <c r="AB1206" s="34"/>
      <c r="AC1206" s="34"/>
      <c r="AD1206" s="34"/>
      <c r="AE1206" s="34"/>
      <c r="AF1206" s="34"/>
      <c r="AG1206" s="34"/>
      <c r="AH1206" s="34"/>
      <c r="AI1206" s="34"/>
      <c r="AJ1206" s="34"/>
      <c r="AK1206" s="34"/>
      <c r="AL1206" s="34"/>
    </row>
    <row r="1207" spans="12:38">
      <c r="L1207" s="34"/>
      <c r="M1207" s="34"/>
      <c r="N1207" s="34"/>
      <c r="O1207" s="34"/>
      <c r="P1207" s="34"/>
      <c r="Q1207" s="34"/>
      <c r="R1207" s="34"/>
      <c r="S1207" s="34"/>
      <c r="T1207" s="34"/>
      <c r="U1207" s="34"/>
      <c r="V1207" s="34"/>
      <c r="AB1207" s="34"/>
      <c r="AC1207" s="34"/>
      <c r="AD1207" s="34"/>
      <c r="AE1207" s="34"/>
      <c r="AF1207" s="34"/>
      <c r="AG1207" s="34"/>
      <c r="AH1207" s="34"/>
      <c r="AI1207" s="34"/>
      <c r="AJ1207" s="34"/>
      <c r="AK1207" s="34"/>
      <c r="AL1207" s="34"/>
    </row>
    <row r="1208" spans="12:38">
      <c r="L1208" s="34"/>
      <c r="M1208" s="34"/>
      <c r="N1208" s="34"/>
      <c r="O1208" s="34"/>
      <c r="P1208" s="34"/>
      <c r="Q1208" s="34"/>
      <c r="R1208" s="34"/>
      <c r="S1208" s="34"/>
      <c r="T1208" s="34"/>
      <c r="U1208" s="34"/>
      <c r="V1208" s="34"/>
      <c r="AB1208" s="34"/>
      <c r="AC1208" s="34"/>
      <c r="AD1208" s="34"/>
      <c r="AE1208" s="34"/>
      <c r="AF1208" s="34"/>
      <c r="AG1208" s="34"/>
      <c r="AH1208" s="34"/>
      <c r="AI1208" s="34"/>
      <c r="AJ1208" s="34"/>
      <c r="AK1208" s="34"/>
      <c r="AL1208" s="34"/>
    </row>
    <row r="1209" spans="12:38">
      <c r="L1209" s="34"/>
      <c r="M1209" s="34"/>
      <c r="N1209" s="34"/>
      <c r="O1209" s="34"/>
      <c r="P1209" s="34"/>
      <c r="Q1209" s="34"/>
      <c r="R1209" s="34"/>
      <c r="S1209" s="34"/>
      <c r="T1209" s="34"/>
      <c r="U1209" s="34"/>
      <c r="V1209" s="34"/>
      <c r="AB1209" s="34"/>
      <c r="AC1209" s="34"/>
      <c r="AD1209" s="34"/>
      <c r="AE1209" s="34"/>
      <c r="AF1209" s="34"/>
      <c r="AG1209" s="34"/>
      <c r="AH1209" s="34"/>
      <c r="AI1209" s="34"/>
      <c r="AJ1209" s="34"/>
      <c r="AK1209" s="34"/>
      <c r="AL1209" s="34"/>
    </row>
    <row r="1210" spans="12:38">
      <c r="L1210" s="34"/>
      <c r="M1210" s="34"/>
      <c r="N1210" s="34"/>
      <c r="O1210" s="34"/>
      <c r="P1210" s="34"/>
      <c r="Q1210" s="34"/>
      <c r="R1210" s="34"/>
      <c r="S1210" s="34"/>
      <c r="T1210" s="34"/>
      <c r="U1210" s="34"/>
      <c r="V1210" s="34"/>
      <c r="AB1210" s="34"/>
      <c r="AC1210" s="34"/>
      <c r="AD1210" s="34"/>
      <c r="AE1210" s="34"/>
      <c r="AF1210" s="34"/>
      <c r="AG1210" s="34"/>
      <c r="AH1210" s="34"/>
      <c r="AI1210" s="34"/>
      <c r="AJ1210" s="34"/>
      <c r="AK1210" s="34"/>
      <c r="AL1210" s="34"/>
    </row>
    <row r="1211" spans="12:38">
      <c r="L1211" s="34"/>
      <c r="M1211" s="34"/>
      <c r="N1211" s="34"/>
      <c r="O1211" s="34"/>
      <c r="P1211" s="34"/>
      <c r="Q1211" s="34"/>
      <c r="R1211" s="34"/>
      <c r="S1211" s="34"/>
      <c r="T1211" s="34"/>
      <c r="U1211" s="34"/>
      <c r="V1211" s="34"/>
      <c r="AB1211" s="34"/>
      <c r="AC1211" s="34"/>
      <c r="AD1211" s="34"/>
      <c r="AE1211" s="34"/>
      <c r="AF1211" s="34"/>
      <c r="AG1211" s="34"/>
      <c r="AH1211" s="34"/>
      <c r="AI1211" s="34"/>
      <c r="AJ1211" s="34"/>
      <c r="AK1211" s="34"/>
      <c r="AL1211" s="34"/>
    </row>
    <row r="1212" spans="12:38">
      <c r="L1212" s="34"/>
      <c r="M1212" s="34"/>
      <c r="N1212" s="34"/>
      <c r="O1212" s="34"/>
      <c r="P1212" s="34"/>
      <c r="Q1212" s="34"/>
      <c r="R1212" s="34"/>
      <c r="S1212" s="34"/>
      <c r="T1212" s="34"/>
      <c r="U1212" s="34"/>
      <c r="V1212" s="34"/>
      <c r="AB1212" s="34"/>
      <c r="AC1212" s="34"/>
      <c r="AD1212" s="34"/>
      <c r="AE1212" s="34"/>
      <c r="AF1212" s="34"/>
      <c r="AG1212" s="34"/>
      <c r="AH1212" s="34"/>
      <c r="AI1212" s="34"/>
      <c r="AJ1212" s="34"/>
      <c r="AK1212" s="34"/>
      <c r="AL1212" s="34"/>
    </row>
    <row r="1213" spans="12:38">
      <c r="L1213" s="34"/>
      <c r="M1213" s="34"/>
      <c r="N1213" s="34"/>
      <c r="O1213" s="34"/>
      <c r="P1213" s="34"/>
      <c r="Q1213" s="34"/>
      <c r="R1213" s="34"/>
      <c r="S1213" s="34"/>
      <c r="T1213" s="34"/>
      <c r="U1213" s="34"/>
      <c r="V1213" s="34"/>
      <c r="AB1213" s="34"/>
      <c r="AC1213" s="34"/>
      <c r="AD1213" s="34"/>
      <c r="AE1213" s="34"/>
      <c r="AF1213" s="34"/>
      <c r="AG1213" s="34"/>
      <c r="AH1213" s="34"/>
      <c r="AI1213" s="34"/>
      <c r="AJ1213" s="34"/>
      <c r="AK1213" s="34"/>
      <c r="AL1213" s="34"/>
    </row>
    <row r="1214" spans="12:38">
      <c r="L1214" s="34"/>
      <c r="M1214" s="34"/>
      <c r="N1214" s="34"/>
      <c r="O1214" s="34"/>
      <c r="P1214" s="34"/>
      <c r="Q1214" s="34"/>
      <c r="R1214" s="34"/>
      <c r="S1214" s="34"/>
      <c r="T1214" s="34"/>
      <c r="U1214" s="34"/>
      <c r="V1214" s="34"/>
      <c r="AB1214" s="34"/>
      <c r="AC1214" s="34"/>
      <c r="AD1214" s="34"/>
      <c r="AE1214" s="34"/>
      <c r="AF1214" s="34"/>
      <c r="AG1214" s="34"/>
      <c r="AH1214" s="34"/>
      <c r="AI1214" s="34"/>
      <c r="AJ1214" s="34"/>
      <c r="AK1214" s="34"/>
      <c r="AL1214" s="34"/>
    </row>
    <row r="1215" spans="12:38">
      <c r="L1215" s="34"/>
      <c r="M1215" s="34"/>
      <c r="N1215" s="34"/>
      <c r="O1215" s="34"/>
      <c r="P1215" s="34"/>
      <c r="Q1215" s="34"/>
      <c r="R1215" s="34"/>
      <c r="S1215" s="34"/>
      <c r="T1215" s="34"/>
      <c r="U1215" s="34"/>
      <c r="V1215" s="34"/>
      <c r="AB1215" s="34"/>
      <c r="AC1215" s="34"/>
      <c r="AD1215" s="34"/>
      <c r="AE1215" s="34"/>
      <c r="AF1215" s="34"/>
      <c r="AG1215" s="34"/>
      <c r="AH1215" s="34"/>
      <c r="AI1215" s="34"/>
      <c r="AJ1215" s="34"/>
      <c r="AK1215" s="34"/>
      <c r="AL1215" s="34"/>
    </row>
    <row r="1216" spans="12:38">
      <c r="L1216" s="34"/>
      <c r="M1216" s="34"/>
      <c r="N1216" s="34"/>
      <c r="O1216" s="34"/>
      <c r="P1216" s="34"/>
      <c r="Q1216" s="34"/>
      <c r="R1216" s="34"/>
      <c r="S1216" s="34"/>
      <c r="T1216" s="34"/>
      <c r="U1216" s="34"/>
      <c r="V1216" s="34"/>
      <c r="AB1216" s="34"/>
      <c r="AC1216" s="34"/>
      <c r="AD1216" s="34"/>
      <c r="AE1216" s="34"/>
      <c r="AF1216" s="34"/>
      <c r="AG1216" s="34"/>
      <c r="AH1216" s="34"/>
      <c r="AI1216" s="34"/>
      <c r="AJ1216" s="34"/>
      <c r="AK1216" s="34"/>
      <c r="AL1216" s="34"/>
    </row>
    <row r="1217" spans="12:38">
      <c r="L1217" s="34"/>
      <c r="M1217" s="34"/>
      <c r="N1217" s="34"/>
      <c r="O1217" s="34"/>
      <c r="P1217" s="34"/>
      <c r="Q1217" s="34"/>
      <c r="R1217" s="34"/>
      <c r="S1217" s="34"/>
      <c r="T1217" s="34"/>
      <c r="U1217" s="34"/>
      <c r="V1217" s="34"/>
      <c r="AB1217" s="34"/>
      <c r="AC1217" s="34"/>
      <c r="AD1217" s="34"/>
      <c r="AE1217" s="34"/>
      <c r="AF1217" s="34"/>
      <c r="AG1217" s="34"/>
      <c r="AH1217" s="34"/>
      <c r="AI1217" s="34"/>
      <c r="AJ1217" s="34"/>
      <c r="AK1217" s="34"/>
      <c r="AL1217" s="34"/>
    </row>
    <row r="1218" spans="12:38">
      <c r="L1218" s="34"/>
      <c r="M1218" s="34"/>
      <c r="N1218" s="34"/>
      <c r="O1218" s="34"/>
      <c r="P1218" s="34"/>
      <c r="Q1218" s="34"/>
      <c r="R1218" s="34"/>
      <c r="S1218" s="34"/>
      <c r="T1218" s="34"/>
      <c r="U1218" s="34"/>
      <c r="V1218" s="34"/>
      <c r="AB1218" s="34"/>
      <c r="AC1218" s="34"/>
      <c r="AD1218" s="34"/>
      <c r="AE1218" s="34"/>
      <c r="AF1218" s="34"/>
      <c r="AG1218" s="34"/>
      <c r="AH1218" s="34"/>
      <c r="AI1218" s="34"/>
      <c r="AJ1218" s="34"/>
      <c r="AK1218" s="34"/>
      <c r="AL1218" s="34"/>
    </row>
    <row r="1219" spans="12:38">
      <c r="L1219" s="34"/>
      <c r="M1219" s="34"/>
      <c r="N1219" s="34"/>
      <c r="O1219" s="34"/>
      <c r="P1219" s="34"/>
      <c r="Q1219" s="34"/>
      <c r="R1219" s="34"/>
      <c r="S1219" s="34"/>
      <c r="T1219" s="34"/>
      <c r="U1219" s="34"/>
      <c r="V1219" s="34"/>
      <c r="AB1219" s="34"/>
      <c r="AC1219" s="34"/>
      <c r="AD1219" s="34"/>
      <c r="AE1219" s="34"/>
      <c r="AF1219" s="34"/>
      <c r="AG1219" s="34"/>
      <c r="AH1219" s="34"/>
      <c r="AI1219" s="34"/>
      <c r="AJ1219" s="34"/>
      <c r="AK1219" s="34"/>
      <c r="AL1219" s="34"/>
    </row>
    <row r="1220" spans="12:38">
      <c r="L1220" s="34"/>
      <c r="M1220" s="34"/>
      <c r="N1220" s="34"/>
      <c r="O1220" s="34"/>
      <c r="P1220" s="34"/>
      <c r="Q1220" s="34"/>
      <c r="R1220" s="34"/>
      <c r="S1220" s="34"/>
      <c r="T1220" s="34"/>
      <c r="U1220" s="34"/>
      <c r="V1220" s="34"/>
      <c r="AB1220" s="34"/>
      <c r="AC1220" s="34"/>
      <c r="AD1220" s="34"/>
      <c r="AE1220" s="34"/>
      <c r="AF1220" s="34"/>
      <c r="AG1220" s="34"/>
      <c r="AH1220" s="34"/>
      <c r="AI1220" s="34"/>
      <c r="AJ1220" s="34"/>
      <c r="AK1220" s="34"/>
      <c r="AL1220" s="34"/>
    </row>
    <row r="1221" spans="12:38">
      <c r="L1221" s="34"/>
      <c r="M1221" s="34"/>
      <c r="N1221" s="34"/>
      <c r="O1221" s="34"/>
      <c r="P1221" s="34"/>
      <c r="Q1221" s="34"/>
      <c r="R1221" s="34"/>
      <c r="S1221" s="34"/>
      <c r="T1221" s="34"/>
      <c r="U1221" s="34"/>
      <c r="V1221" s="34"/>
      <c r="AB1221" s="34"/>
      <c r="AC1221" s="34"/>
      <c r="AD1221" s="34"/>
      <c r="AE1221" s="34"/>
      <c r="AF1221" s="34"/>
      <c r="AG1221" s="34"/>
      <c r="AH1221" s="34"/>
      <c r="AI1221" s="34"/>
      <c r="AJ1221" s="34"/>
      <c r="AK1221" s="34"/>
      <c r="AL1221" s="34"/>
    </row>
    <row r="1222" spans="12:38">
      <c r="L1222" s="34"/>
      <c r="M1222" s="34"/>
      <c r="N1222" s="34"/>
      <c r="O1222" s="34"/>
      <c r="P1222" s="34"/>
      <c r="Q1222" s="34"/>
      <c r="R1222" s="34"/>
      <c r="S1222" s="34"/>
      <c r="T1222" s="34"/>
      <c r="U1222" s="34"/>
      <c r="V1222" s="34"/>
      <c r="AB1222" s="34"/>
      <c r="AC1222" s="34"/>
      <c r="AD1222" s="34"/>
      <c r="AE1222" s="34"/>
      <c r="AF1222" s="34"/>
      <c r="AG1222" s="34"/>
      <c r="AH1222" s="34"/>
      <c r="AI1222" s="34"/>
      <c r="AJ1222" s="34"/>
      <c r="AK1222" s="34"/>
      <c r="AL1222" s="34"/>
    </row>
    <row r="1223" spans="12:38">
      <c r="L1223" s="34"/>
      <c r="M1223" s="34"/>
      <c r="N1223" s="34"/>
      <c r="O1223" s="34"/>
      <c r="P1223" s="34"/>
      <c r="Q1223" s="34"/>
      <c r="R1223" s="34"/>
      <c r="S1223" s="34"/>
      <c r="T1223" s="34"/>
      <c r="U1223" s="34"/>
      <c r="V1223" s="34"/>
      <c r="AB1223" s="34"/>
      <c r="AC1223" s="34"/>
      <c r="AD1223" s="34"/>
      <c r="AE1223" s="34"/>
      <c r="AF1223" s="34"/>
      <c r="AG1223" s="34"/>
      <c r="AH1223" s="34"/>
      <c r="AI1223" s="34"/>
      <c r="AJ1223" s="34"/>
      <c r="AK1223" s="34"/>
      <c r="AL1223" s="34"/>
    </row>
    <row r="1224" spans="12:38">
      <c r="L1224" s="34"/>
      <c r="M1224" s="34"/>
      <c r="N1224" s="34"/>
      <c r="O1224" s="34"/>
      <c r="P1224" s="34"/>
      <c r="Q1224" s="34"/>
      <c r="R1224" s="34"/>
      <c r="S1224" s="34"/>
      <c r="T1224" s="34"/>
      <c r="U1224" s="34"/>
      <c r="V1224" s="34"/>
      <c r="AB1224" s="34"/>
      <c r="AC1224" s="34"/>
      <c r="AD1224" s="34"/>
      <c r="AE1224" s="34"/>
      <c r="AF1224" s="34"/>
      <c r="AG1224" s="34"/>
      <c r="AH1224" s="34"/>
      <c r="AI1224" s="34"/>
      <c r="AJ1224" s="34"/>
      <c r="AK1224" s="34"/>
      <c r="AL1224" s="34"/>
    </row>
    <row r="1225" spans="12:38">
      <c r="L1225" s="34"/>
      <c r="M1225" s="34"/>
      <c r="N1225" s="34"/>
      <c r="O1225" s="34"/>
      <c r="P1225" s="34"/>
      <c r="Q1225" s="34"/>
      <c r="R1225" s="34"/>
      <c r="S1225" s="34"/>
      <c r="T1225" s="34"/>
      <c r="U1225" s="34"/>
      <c r="V1225" s="34"/>
      <c r="AB1225" s="34"/>
      <c r="AC1225" s="34"/>
      <c r="AD1225" s="34"/>
      <c r="AE1225" s="34"/>
      <c r="AF1225" s="34"/>
      <c r="AG1225" s="34"/>
      <c r="AH1225" s="34"/>
      <c r="AI1225" s="34"/>
      <c r="AJ1225" s="34"/>
      <c r="AK1225" s="34"/>
      <c r="AL1225" s="34"/>
    </row>
    <row r="1226" spans="12:38">
      <c r="L1226" s="34"/>
      <c r="M1226" s="34"/>
      <c r="N1226" s="34"/>
      <c r="O1226" s="34"/>
      <c r="P1226" s="34"/>
      <c r="Q1226" s="34"/>
      <c r="R1226" s="34"/>
      <c r="S1226" s="34"/>
      <c r="T1226" s="34"/>
      <c r="U1226" s="34"/>
      <c r="V1226" s="34"/>
      <c r="AB1226" s="34"/>
      <c r="AC1226" s="34"/>
      <c r="AD1226" s="34"/>
      <c r="AE1226" s="34"/>
      <c r="AF1226" s="34"/>
      <c r="AG1226" s="34"/>
      <c r="AH1226" s="34"/>
      <c r="AI1226" s="34"/>
      <c r="AJ1226" s="34"/>
      <c r="AK1226" s="34"/>
      <c r="AL1226" s="34"/>
    </row>
    <row r="1227" spans="12:38">
      <c r="L1227" s="34"/>
      <c r="M1227" s="34"/>
      <c r="N1227" s="34"/>
      <c r="O1227" s="34"/>
      <c r="P1227" s="34"/>
      <c r="Q1227" s="34"/>
      <c r="R1227" s="34"/>
      <c r="S1227" s="34"/>
      <c r="T1227" s="34"/>
      <c r="U1227" s="34"/>
      <c r="V1227" s="34"/>
      <c r="AB1227" s="34"/>
      <c r="AC1227" s="34"/>
      <c r="AD1227" s="34"/>
      <c r="AE1227" s="34"/>
      <c r="AF1227" s="34"/>
      <c r="AG1227" s="34"/>
      <c r="AH1227" s="34"/>
      <c r="AI1227" s="34"/>
      <c r="AJ1227" s="34"/>
      <c r="AK1227" s="34"/>
      <c r="AL1227" s="34"/>
    </row>
    <row r="1228" spans="12:38">
      <c r="L1228" s="34"/>
      <c r="M1228" s="34"/>
      <c r="N1228" s="34"/>
      <c r="O1228" s="34"/>
      <c r="P1228" s="34"/>
      <c r="Q1228" s="34"/>
      <c r="R1228" s="34"/>
      <c r="S1228" s="34"/>
      <c r="T1228" s="34"/>
      <c r="U1228" s="34"/>
      <c r="V1228" s="34"/>
      <c r="AB1228" s="34"/>
      <c r="AC1228" s="34"/>
      <c r="AD1228" s="34"/>
      <c r="AE1228" s="34"/>
      <c r="AF1228" s="34"/>
      <c r="AG1228" s="34"/>
      <c r="AH1228" s="34"/>
      <c r="AI1228" s="34"/>
      <c r="AJ1228" s="34"/>
      <c r="AK1228" s="34"/>
      <c r="AL1228" s="34"/>
    </row>
    <row r="1229" spans="12:38">
      <c r="L1229" s="34"/>
      <c r="M1229" s="34"/>
      <c r="N1229" s="34"/>
      <c r="O1229" s="34"/>
      <c r="P1229" s="34"/>
      <c r="Q1229" s="34"/>
      <c r="R1229" s="34"/>
      <c r="S1229" s="34"/>
      <c r="T1229" s="34"/>
      <c r="U1229" s="34"/>
      <c r="V1229" s="34"/>
      <c r="AB1229" s="34"/>
      <c r="AC1229" s="34"/>
      <c r="AD1229" s="34"/>
      <c r="AE1229" s="34"/>
      <c r="AF1229" s="34"/>
      <c r="AG1229" s="34"/>
      <c r="AH1229" s="34"/>
      <c r="AI1229" s="34"/>
      <c r="AJ1229" s="34"/>
      <c r="AK1229" s="34"/>
      <c r="AL1229" s="34"/>
    </row>
    <row r="1230" spans="12:38">
      <c r="L1230" s="34"/>
      <c r="M1230" s="34"/>
      <c r="N1230" s="34"/>
      <c r="O1230" s="34"/>
      <c r="P1230" s="34"/>
      <c r="Q1230" s="34"/>
      <c r="R1230" s="34"/>
      <c r="S1230" s="34"/>
      <c r="T1230" s="34"/>
      <c r="U1230" s="34"/>
      <c r="V1230" s="34"/>
      <c r="AB1230" s="34"/>
      <c r="AC1230" s="34"/>
      <c r="AD1230" s="34"/>
      <c r="AE1230" s="34"/>
      <c r="AF1230" s="34"/>
      <c r="AG1230" s="34"/>
      <c r="AH1230" s="34"/>
      <c r="AI1230" s="34"/>
      <c r="AJ1230" s="34"/>
      <c r="AK1230" s="34"/>
      <c r="AL1230" s="34"/>
    </row>
    <row r="1231" spans="12:38">
      <c r="L1231" s="34"/>
      <c r="M1231" s="34"/>
      <c r="N1231" s="34"/>
      <c r="O1231" s="34"/>
      <c r="P1231" s="34"/>
      <c r="Q1231" s="34"/>
      <c r="R1231" s="34"/>
      <c r="S1231" s="34"/>
      <c r="T1231" s="34"/>
      <c r="U1231" s="34"/>
      <c r="V1231" s="34"/>
      <c r="AB1231" s="34"/>
      <c r="AC1231" s="34"/>
      <c r="AD1231" s="34"/>
      <c r="AE1231" s="34"/>
      <c r="AF1231" s="34"/>
      <c r="AG1231" s="34"/>
      <c r="AH1231" s="34"/>
      <c r="AI1231" s="34"/>
      <c r="AJ1231" s="34"/>
      <c r="AK1231" s="34"/>
      <c r="AL1231" s="34"/>
    </row>
    <row r="1232" spans="12:38">
      <c r="L1232" s="34"/>
      <c r="M1232" s="34"/>
      <c r="N1232" s="34"/>
      <c r="O1232" s="34"/>
      <c r="P1232" s="34"/>
      <c r="Q1232" s="34"/>
      <c r="R1232" s="34"/>
      <c r="S1232" s="34"/>
      <c r="T1232" s="34"/>
      <c r="U1232" s="34"/>
      <c r="V1232" s="34"/>
      <c r="AB1232" s="34"/>
      <c r="AC1232" s="34"/>
      <c r="AD1232" s="34"/>
      <c r="AE1232" s="34"/>
      <c r="AF1232" s="34"/>
      <c r="AG1232" s="34"/>
      <c r="AH1232" s="34"/>
      <c r="AI1232" s="34"/>
      <c r="AJ1232" s="34"/>
      <c r="AK1232" s="34"/>
      <c r="AL1232" s="34"/>
    </row>
    <row r="1233" spans="12:38">
      <c r="L1233" s="34"/>
      <c r="M1233" s="34"/>
      <c r="N1233" s="34"/>
      <c r="O1233" s="34"/>
      <c r="P1233" s="34"/>
      <c r="Q1233" s="34"/>
      <c r="R1233" s="34"/>
      <c r="S1233" s="34"/>
      <c r="T1233" s="34"/>
      <c r="U1233" s="34"/>
      <c r="V1233" s="34"/>
      <c r="AB1233" s="34"/>
      <c r="AC1233" s="34"/>
      <c r="AD1233" s="34"/>
      <c r="AE1233" s="34"/>
      <c r="AF1233" s="34"/>
      <c r="AG1233" s="34"/>
      <c r="AH1233" s="34"/>
      <c r="AI1233" s="34"/>
      <c r="AJ1233" s="34"/>
      <c r="AK1233" s="34"/>
      <c r="AL1233" s="34"/>
    </row>
    <row r="1234" spans="12:38">
      <c r="L1234" s="34"/>
      <c r="M1234" s="34"/>
      <c r="N1234" s="34"/>
      <c r="O1234" s="34"/>
      <c r="P1234" s="34"/>
      <c r="Q1234" s="34"/>
      <c r="R1234" s="34"/>
      <c r="S1234" s="34"/>
      <c r="T1234" s="34"/>
      <c r="U1234" s="34"/>
      <c r="V1234" s="34"/>
      <c r="AB1234" s="34"/>
      <c r="AC1234" s="34"/>
      <c r="AD1234" s="34"/>
      <c r="AE1234" s="34"/>
      <c r="AF1234" s="34"/>
      <c r="AG1234" s="34"/>
      <c r="AH1234" s="34"/>
      <c r="AI1234" s="34"/>
      <c r="AJ1234" s="34"/>
      <c r="AK1234" s="34"/>
      <c r="AL1234" s="34"/>
    </row>
    <row r="1235" spans="12:38">
      <c r="L1235" s="34"/>
      <c r="M1235" s="34"/>
      <c r="N1235" s="34"/>
      <c r="O1235" s="34"/>
      <c r="P1235" s="34"/>
      <c r="Q1235" s="34"/>
      <c r="R1235" s="34"/>
      <c r="S1235" s="34"/>
      <c r="T1235" s="34"/>
      <c r="U1235" s="34"/>
      <c r="V1235" s="34"/>
      <c r="AB1235" s="34"/>
      <c r="AC1235" s="34"/>
      <c r="AD1235" s="34"/>
      <c r="AE1235" s="34"/>
      <c r="AF1235" s="34"/>
      <c r="AG1235" s="34"/>
      <c r="AH1235" s="34"/>
      <c r="AI1235" s="34"/>
      <c r="AJ1235" s="34"/>
      <c r="AK1235" s="34"/>
      <c r="AL1235" s="34"/>
    </row>
    <row r="1236" spans="12:38">
      <c r="L1236" s="34"/>
      <c r="M1236" s="34"/>
      <c r="N1236" s="34"/>
      <c r="O1236" s="34"/>
      <c r="P1236" s="34"/>
      <c r="Q1236" s="34"/>
      <c r="R1236" s="34"/>
      <c r="S1236" s="34"/>
      <c r="T1236" s="34"/>
      <c r="U1236" s="34"/>
      <c r="V1236" s="34"/>
      <c r="AB1236" s="34"/>
      <c r="AC1236" s="34"/>
      <c r="AD1236" s="34"/>
      <c r="AE1236" s="34"/>
      <c r="AF1236" s="34"/>
      <c r="AG1236" s="34"/>
      <c r="AH1236" s="34"/>
      <c r="AI1236" s="34"/>
      <c r="AJ1236" s="34"/>
      <c r="AK1236" s="34"/>
      <c r="AL1236" s="34"/>
    </row>
    <row r="1237" spans="12:38">
      <c r="L1237" s="34"/>
      <c r="M1237" s="34"/>
      <c r="N1237" s="34"/>
      <c r="O1237" s="34"/>
      <c r="P1237" s="34"/>
      <c r="Q1237" s="34"/>
      <c r="R1237" s="34"/>
      <c r="S1237" s="34"/>
      <c r="T1237" s="34"/>
      <c r="U1237" s="34"/>
      <c r="V1237" s="34"/>
      <c r="AB1237" s="34"/>
      <c r="AC1237" s="34"/>
      <c r="AD1237" s="34"/>
      <c r="AE1237" s="34"/>
      <c r="AF1237" s="34"/>
      <c r="AG1237" s="34"/>
      <c r="AH1237" s="34"/>
      <c r="AI1237" s="34"/>
      <c r="AJ1237" s="34"/>
      <c r="AK1237" s="34"/>
      <c r="AL1237" s="34"/>
    </row>
    <row r="1238" spans="12:38">
      <c r="L1238" s="34"/>
      <c r="M1238" s="34"/>
      <c r="N1238" s="34"/>
      <c r="O1238" s="34"/>
      <c r="P1238" s="34"/>
      <c r="Q1238" s="34"/>
      <c r="R1238" s="34"/>
      <c r="S1238" s="34"/>
      <c r="T1238" s="34"/>
      <c r="U1238" s="34"/>
      <c r="V1238" s="34"/>
      <c r="AB1238" s="34"/>
      <c r="AC1238" s="34"/>
      <c r="AD1238" s="34"/>
      <c r="AE1238" s="34"/>
      <c r="AF1238" s="34"/>
      <c r="AG1238" s="34"/>
      <c r="AH1238" s="34"/>
      <c r="AI1238" s="34"/>
      <c r="AJ1238" s="34"/>
      <c r="AK1238" s="34"/>
      <c r="AL1238" s="34"/>
    </row>
    <row r="1239" spans="12:38">
      <c r="L1239" s="34"/>
      <c r="M1239" s="34"/>
      <c r="N1239" s="34"/>
      <c r="O1239" s="34"/>
      <c r="P1239" s="34"/>
      <c r="Q1239" s="34"/>
      <c r="R1239" s="34"/>
      <c r="S1239" s="34"/>
      <c r="T1239" s="34"/>
      <c r="U1239" s="34"/>
      <c r="V1239" s="34"/>
      <c r="AB1239" s="34"/>
      <c r="AC1239" s="34"/>
      <c r="AD1239" s="34"/>
      <c r="AE1239" s="34"/>
      <c r="AF1239" s="34"/>
      <c r="AG1239" s="34"/>
      <c r="AH1239" s="34"/>
      <c r="AI1239" s="34"/>
      <c r="AJ1239" s="34"/>
      <c r="AK1239" s="34"/>
      <c r="AL1239" s="34"/>
    </row>
    <row r="1240" spans="12:38">
      <c r="L1240" s="34"/>
      <c r="M1240" s="34"/>
      <c r="N1240" s="34"/>
      <c r="O1240" s="34"/>
      <c r="P1240" s="34"/>
      <c r="Q1240" s="34"/>
      <c r="R1240" s="34"/>
      <c r="S1240" s="34"/>
      <c r="T1240" s="34"/>
      <c r="U1240" s="34"/>
      <c r="V1240" s="34"/>
      <c r="AB1240" s="34"/>
      <c r="AC1240" s="34"/>
      <c r="AD1240" s="34"/>
      <c r="AE1240" s="34"/>
      <c r="AF1240" s="34"/>
      <c r="AG1240" s="34"/>
      <c r="AH1240" s="34"/>
      <c r="AI1240" s="34"/>
      <c r="AJ1240" s="34"/>
      <c r="AK1240" s="34"/>
      <c r="AL1240" s="34"/>
    </row>
    <row r="1241" spans="12:38">
      <c r="L1241" s="34"/>
      <c r="M1241" s="34"/>
      <c r="N1241" s="34"/>
      <c r="O1241" s="34"/>
      <c r="P1241" s="34"/>
      <c r="Q1241" s="34"/>
      <c r="R1241" s="34"/>
      <c r="S1241" s="34"/>
      <c r="T1241" s="34"/>
      <c r="U1241" s="34"/>
      <c r="V1241" s="34"/>
      <c r="AB1241" s="34"/>
      <c r="AC1241" s="34"/>
      <c r="AD1241" s="34"/>
      <c r="AE1241" s="34"/>
      <c r="AF1241" s="34"/>
      <c r="AG1241" s="34"/>
      <c r="AH1241" s="34"/>
      <c r="AI1241" s="34"/>
      <c r="AJ1241" s="34"/>
      <c r="AK1241" s="34"/>
      <c r="AL1241" s="34"/>
    </row>
    <row r="1242" spans="12:38">
      <c r="L1242" s="34"/>
      <c r="M1242" s="34"/>
      <c r="N1242" s="34"/>
      <c r="O1242" s="34"/>
      <c r="P1242" s="34"/>
      <c r="Q1242" s="34"/>
      <c r="R1242" s="34"/>
      <c r="S1242" s="34"/>
      <c r="T1242" s="34"/>
      <c r="U1242" s="34"/>
      <c r="V1242" s="34"/>
      <c r="AB1242" s="34"/>
      <c r="AC1242" s="34"/>
      <c r="AD1242" s="34"/>
      <c r="AE1242" s="34"/>
      <c r="AF1242" s="34"/>
      <c r="AG1242" s="34"/>
      <c r="AH1242" s="34"/>
      <c r="AI1242" s="34"/>
      <c r="AJ1242" s="34"/>
      <c r="AK1242" s="34"/>
      <c r="AL1242" s="34"/>
    </row>
    <row r="1243" spans="12:38">
      <c r="L1243" s="34"/>
      <c r="M1243" s="34"/>
      <c r="N1243" s="34"/>
      <c r="O1243" s="34"/>
      <c r="P1243" s="34"/>
      <c r="Q1243" s="34"/>
      <c r="R1243" s="34"/>
      <c r="S1243" s="34"/>
      <c r="T1243" s="34"/>
      <c r="U1243" s="34"/>
      <c r="V1243" s="34"/>
      <c r="AB1243" s="34"/>
      <c r="AC1243" s="34"/>
      <c r="AD1243" s="34"/>
      <c r="AE1243" s="34"/>
      <c r="AF1243" s="34"/>
      <c r="AG1243" s="34"/>
      <c r="AH1243" s="34"/>
      <c r="AI1243" s="34"/>
      <c r="AJ1243" s="34"/>
      <c r="AK1243" s="34"/>
      <c r="AL1243" s="34"/>
    </row>
    <row r="1244" spans="12:38">
      <c r="L1244" s="34"/>
      <c r="M1244" s="34"/>
      <c r="N1244" s="34"/>
      <c r="O1244" s="34"/>
      <c r="P1244" s="34"/>
      <c r="Q1244" s="34"/>
      <c r="R1244" s="34"/>
      <c r="S1244" s="34"/>
      <c r="T1244" s="34"/>
      <c r="U1244" s="34"/>
      <c r="V1244" s="34"/>
      <c r="AB1244" s="34"/>
      <c r="AC1244" s="34"/>
      <c r="AD1244" s="34"/>
      <c r="AE1244" s="34"/>
      <c r="AF1244" s="34"/>
      <c r="AG1244" s="34"/>
      <c r="AH1244" s="34"/>
      <c r="AI1244" s="34"/>
      <c r="AJ1244" s="34"/>
      <c r="AK1244" s="34"/>
      <c r="AL1244" s="34"/>
    </row>
    <row r="1245" spans="12:38">
      <c r="L1245" s="34"/>
      <c r="M1245" s="34"/>
      <c r="N1245" s="34"/>
      <c r="O1245" s="34"/>
      <c r="P1245" s="34"/>
      <c r="Q1245" s="34"/>
      <c r="R1245" s="34"/>
      <c r="S1245" s="34"/>
      <c r="T1245" s="34"/>
      <c r="U1245" s="34"/>
      <c r="V1245" s="34"/>
      <c r="AB1245" s="34"/>
      <c r="AC1245" s="34"/>
      <c r="AD1245" s="34"/>
      <c r="AE1245" s="34"/>
      <c r="AF1245" s="34"/>
      <c r="AG1245" s="34"/>
      <c r="AH1245" s="34"/>
      <c r="AI1245" s="34"/>
      <c r="AJ1245" s="34"/>
      <c r="AK1245" s="34"/>
      <c r="AL1245" s="34"/>
    </row>
    <row r="1246" spans="12:38">
      <c r="L1246" s="34"/>
      <c r="M1246" s="34"/>
      <c r="N1246" s="34"/>
      <c r="O1246" s="34"/>
      <c r="P1246" s="34"/>
      <c r="Q1246" s="34"/>
      <c r="R1246" s="34"/>
      <c r="S1246" s="34"/>
      <c r="T1246" s="34"/>
      <c r="U1246" s="34"/>
      <c r="V1246" s="34"/>
      <c r="AB1246" s="34"/>
      <c r="AC1246" s="34"/>
      <c r="AD1246" s="34"/>
      <c r="AE1246" s="34"/>
      <c r="AF1246" s="34"/>
      <c r="AG1246" s="34"/>
      <c r="AH1246" s="34"/>
      <c r="AI1246" s="34"/>
      <c r="AJ1246" s="34"/>
      <c r="AK1246" s="34"/>
      <c r="AL1246" s="34"/>
    </row>
    <row r="1247" spans="12:38">
      <c r="L1247" s="34"/>
      <c r="M1247" s="34"/>
      <c r="N1247" s="34"/>
      <c r="O1247" s="34"/>
      <c r="P1247" s="34"/>
      <c r="Q1247" s="34"/>
      <c r="R1247" s="34"/>
      <c r="S1247" s="34"/>
      <c r="T1247" s="34"/>
      <c r="U1247" s="34"/>
      <c r="V1247" s="34"/>
      <c r="AB1247" s="34"/>
      <c r="AC1247" s="34"/>
      <c r="AD1247" s="34"/>
      <c r="AE1247" s="34"/>
      <c r="AF1247" s="34"/>
      <c r="AG1247" s="34"/>
      <c r="AH1247" s="34"/>
      <c r="AI1247" s="34"/>
      <c r="AJ1247" s="34"/>
      <c r="AK1247" s="34"/>
      <c r="AL1247" s="34"/>
    </row>
    <row r="1248" spans="12:38">
      <c r="L1248" s="34"/>
      <c r="M1248" s="34"/>
      <c r="N1248" s="34"/>
      <c r="O1248" s="34"/>
      <c r="P1248" s="34"/>
      <c r="Q1248" s="34"/>
      <c r="R1248" s="34"/>
      <c r="S1248" s="34"/>
      <c r="T1248" s="34"/>
      <c r="U1248" s="34"/>
      <c r="V1248" s="34"/>
      <c r="AB1248" s="34"/>
      <c r="AC1248" s="34"/>
      <c r="AD1248" s="34"/>
      <c r="AE1248" s="34"/>
      <c r="AF1248" s="34"/>
      <c r="AG1248" s="34"/>
      <c r="AH1248" s="34"/>
      <c r="AI1248" s="34"/>
      <c r="AJ1248" s="34"/>
      <c r="AK1248" s="34"/>
      <c r="AL1248" s="34"/>
    </row>
    <row r="1249" spans="12:38">
      <c r="L1249" s="34"/>
      <c r="M1249" s="34"/>
      <c r="N1249" s="34"/>
      <c r="O1249" s="34"/>
      <c r="P1249" s="34"/>
      <c r="Q1249" s="34"/>
      <c r="R1249" s="34"/>
      <c r="S1249" s="34"/>
      <c r="T1249" s="34"/>
      <c r="U1249" s="34"/>
      <c r="V1249" s="34"/>
      <c r="AB1249" s="34"/>
      <c r="AC1249" s="34"/>
      <c r="AD1249" s="34"/>
      <c r="AE1249" s="34"/>
      <c r="AF1249" s="34"/>
      <c r="AG1249" s="34"/>
      <c r="AH1249" s="34"/>
      <c r="AI1249" s="34"/>
      <c r="AJ1249" s="34"/>
      <c r="AK1249" s="34"/>
      <c r="AL1249" s="34"/>
    </row>
    <row r="1250" spans="12:38">
      <c r="L1250" s="34"/>
      <c r="M1250" s="34"/>
      <c r="N1250" s="34"/>
      <c r="O1250" s="34"/>
      <c r="P1250" s="34"/>
      <c r="Q1250" s="34"/>
      <c r="R1250" s="34"/>
      <c r="S1250" s="34"/>
      <c r="T1250" s="34"/>
      <c r="U1250" s="34"/>
      <c r="V1250" s="34"/>
      <c r="AB1250" s="34"/>
      <c r="AC1250" s="34"/>
      <c r="AD1250" s="34"/>
      <c r="AE1250" s="34"/>
      <c r="AF1250" s="34"/>
      <c r="AG1250" s="34"/>
      <c r="AH1250" s="34"/>
      <c r="AI1250" s="34"/>
      <c r="AJ1250" s="34"/>
      <c r="AK1250" s="34"/>
      <c r="AL1250" s="34"/>
    </row>
    <row r="1251" spans="12:38">
      <c r="L1251" s="34"/>
      <c r="M1251" s="34"/>
      <c r="N1251" s="34"/>
      <c r="O1251" s="34"/>
      <c r="P1251" s="34"/>
      <c r="Q1251" s="34"/>
      <c r="R1251" s="34"/>
      <c r="S1251" s="34"/>
      <c r="T1251" s="34"/>
      <c r="U1251" s="34"/>
      <c r="V1251" s="34"/>
      <c r="AB1251" s="34"/>
      <c r="AC1251" s="34"/>
      <c r="AD1251" s="34"/>
      <c r="AE1251" s="34"/>
      <c r="AF1251" s="34"/>
      <c r="AG1251" s="34"/>
      <c r="AH1251" s="34"/>
      <c r="AI1251" s="34"/>
      <c r="AJ1251" s="34"/>
      <c r="AK1251" s="34"/>
      <c r="AL1251" s="34"/>
    </row>
    <row r="1252" spans="12:38">
      <c r="L1252" s="34"/>
      <c r="M1252" s="34"/>
      <c r="N1252" s="34"/>
      <c r="O1252" s="34"/>
      <c r="P1252" s="34"/>
      <c r="Q1252" s="34"/>
      <c r="R1252" s="34"/>
      <c r="S1252" s="34"/>
      <c r="T1252" s="34"/>
      <c r="U1252" s="34"/>
      <c r="V1252" s="34"/>
      <c r="AB1252" s="34"/>
      <c r="AC1252" s="34"/>
      <c r="AD1252" s="34"/>
      <c r="AE1252" s="34"/>
      <c r="AF1252" s="34"/>
      <c r="AG1252" s="34"/>
      <c r="AH1252" s="34"/>
      <c r="AI1252" s="34"/>
      <c r="AJ1252" s="34"/>
      <c r="AK1252" s="34"/>
      <c r="AL1252" s="34"/>
    </row>
    <row r="1253" spans="12:38">
      <c r="L1253" s="34"/>
      <c r="M1253" s="34"/>
      <c r="N1253" s="34"/>
      <c r="O1253" s="34"/>
      <c r="P1253" s="34"/>
      <c r="Q1253" s="34"/>
      <c r="R1253" s="34"/>
      <c r="S1253" s="34"/>
      <c r="T1253" s="34"/>
      <c r="U1253" s="34"/>
      <c r="V1253" s="34"/>
      <c r="AB1253" s="34"/>
      <c r="AC1253" s="34"/>
      <c r="AD1253" s="34"/>
      <c r="AE1253" s="34"/>
      <c r="AF1253" s="34"/>
      <c r="AG1253" s="34"/>
      <c r="AH1253" s="34"/>
      <c r="AI1253" s="34"/>
      <c r="AJ1253" s="34"/>
      <c r="AK1253" s="34"/>
      <c r="AL1253" s="34"/>
    </row>
    <row r="1254" spans="12:38">
      <c r="L1254" s="34"/>
      <c r="M1254" s="34"/>
      <c r="N1254" s="34"/>
      <c r="O1254" s="34"/>
      <c r="P1254" s="34"/>
      <c r="Q1254" s="34"/>
      <c r="R1254" s="34"/>
      <c r="S1254" s="34"/>
      <c r="T1254" s="34"/>
      <c r="U1254" s="34"/>
      <c r="V1254" s="34"/>
      <c r="AB1254" s="34"/>
      <c r="AC1254" s="34"/>
      <c r="AD1254" s="34"/>
      <c r="AE1254" s="34"/>
      <c r="AF1254" s="34"/>
      <c r="AG1254" s="34"/>
      <c r="AH1254" s="34"/>
      <c r="AI1254" s="34"/>
      <c r="AJ1254" s="34"/>
      <c r="AK1254" s="34"/>
      <c r="AL1254" s="34"/>
    </row>
    <row r="1255" spans="12:38">
      <c r="L1255" s="34"/>
      <c r="M1255" s="34"/>
      <c r="N1255" s="34"/>
      <c r="O1255" s="34"/>
      <c r="P1255" s="34"/>
      <c r="Q1255" s="34"/>
      <c r="R1255" s="34"/>
      <c r="S1255" s="34"/>
      <c r="T1255" s="34"/>
      <c r="U1255" s="34"/>
      <c r="V1255" s="34"/>
      <c r="AB1255" s="34"/>
      <c r="AC1255" s="34"/>
      <c r="AD1255" s="34"/>
      <c r="AE1255" s="34"/>
      <c r="AF1255" s="34"/>
      <c r="AG1255" s="34"/>
      <c r="AH1255" s="34"/>
      <c r="AI1255" s="34"/>
      <c r="AJ1255" s="34"/>
      <c r="AK1255" s="34"/>
      <c r="AL1255" s="34"/>
    </row>
    <row r="1256" spans="12:38">
      <c r="L1256" s="34"/>
      <c r="M1256" s="34"/>
      <c r="N1256" s="34"/>
      <c r="O1256" s="34"/>
      <c r="P1256" s="34"/>
      <c r="Q1256" s="34"/>
      <c r="R1256" s="34"/>
      <c r="S1256" s="34"/>
      <c r="T1256" s="34"/>
      <c r="U1256" s="34"/>
      <c r="V1256" s="34"/>
      <c r="AB1256" s="34"/>
      <c r="AC1256" s="34"/>
      <c r="AD1256" s="34"/>
      <c r="AE1256" s="34"/>
      <c r="AF1256" s="34"/>
      <c r="AG1256" s="34"/>
      <c r="AH1256" s="34"/>
      <c r="AI1256" s="34"/>
      <c r="AJ1256" s="34"/>
      <c r="AK1256" s="34"/>
      <c r="AL1256" s="34"/>
    </row>
    <row r="1257" spans="12:38">
      <c r="L1257" s="34"/>
      <c r="M1257" s="34"/>
      <c r="N1257" s="34"/>
      <c r="O1257" s="34"/>
      <c r="P1257" s="34"/>
      <c r="Q1257" s="34"/>
      <c r="R1257" s="34"/>
      <c r="S1257" s="34"/>
      <c r="T1257" s="34"/>
      <c r="U1257" s="34"/>
      <c r="V1257" s="34"/>
      <c r="AB1257" s="34"/>
      <c r="AC1257" s="34"/>
      <c r="AD1257" s="34"/>
      <c r="AE1257" s="34"/>
      <c r="AF1257" s="34"/>
      <c r="AG1257" s="34"/>
      <c r="AH1257" s="34"/>
      <c r="AI1257" s="34"/>
      <c r="AJ1257" s="34"/>
      <c r="AK1257" s="34"/>
      <c r="AL1257" s="34"/>
    </row>
    <row r="1258" spans="12:38">
      <c r="L1258" s="34"/>
      <c r="M1258" s="34"/>
      <c r="N1258" s="34"/>
      <c r="O1258" s="34"/>
      <c r="P1258" s="34"/>
      <c r="Q1258" s="34"/>
      <c r="R1258" s="34"/>
      <c r="S1258" s="34"/>
      <c r="T1258" s="34"/>
      <c r="U1258" s="34"/>
      <c r="V1258" s="34"/>
      <c r="AB1258" s="34"/>
      <c r="AC1258" s="34"/>
      <c r="AD1258" s="34"/>
      <c r="AE1258" s="34"/>
      <c r="AF1258" s="34"/>
      <c r="AG1258" s="34"/>
      <c r="AH1258" s="34"/>
      <c r="AI1258" s="34"/>
      <c r="AJ1258" s="34"/>
      <c r="AK1258" s="34"/>
      <c r="AL1258" s="34"/>
    </row>
    <row r="1259" spans="12:38">
      <c r="L1259" s="34"/>
      <c r="M1259" s="34"/>
      <c r="N1259" s="34"/>
      <c r="O1259" s="34"/>
      <c r="P1259" s="34"/>
      <c r="Q1259" s="34"/>
      <c r="R1259" s="34"/>
      <c r="S1259" s="34"/>
      <c r="T1259" s="34"/>
      <c r="U1259" s="34"/>
      <c r="V1259" s="34"/>
      <c r="AB1259" s="34"/>
      <c r="AC1259" s="34"/>
      <c r="AD1259" s="34"/>
      <c r="AE1259" s="34"/>
      <c r="AF1259" s="34"/>
      <c r="AG1259" s="34"/>
      <c r="AH1259" s="34"/>
      <c r="AI1259" s="34"/>
      <c r="AJ1259" s="34"/>
      <c r="AK1259" s="34"/>
      <c r="AL1259" s="34"/>
    </row>
    <row r="1260" spans="12:38">
      <c r="L1260" s="34"/>
      <c r="M1260" s="34"/>
      <c r="N1260" s="34"/>
      <c r="O1260" s="34"/>
      <c r="P1260" s="34"/>
      <c r="Q1260" s="34"/>
      <c r="R1260" s="34"/>
      <c r="S1260" s="34"/>
      <c r="T1260" s="34"/>
      <c r="U1260" s="34"/>
      <c r="V1260" s="34"/>
      <c r="AB1260" s="34"/>
      <c r="AC1260" s="34"/>
      <c r="AD1260" s="34"/>
      <c r="AE1260" s="34"/>
      <c r="AF1260" s="34"/>
      <c r="AG1260" s="34"/>
      <c r="AH1260" s="34"/>
      <c r="AI1260" s="34"/>
      <c r="AJ1260" s="34"/>
      <c r="AK1260" s="34"/>
      <c r="AL1260" s="34"/>
    </row>
    <row r="1261" spans="12:38">
      <c r="L1261" s="34"/>
      <c r="M1261" s="34"/>
      <c r="N1261" s="34"/>
      <c r="O1261" s="34"/>
      <c r="P1261" s="34"/>
      <c r="Q1261" s="34"/>
      <c r="R1261" s="34"/>
      <c r="S1261" s="34"/>
      <c r="T1261" s="34"/>
      <c r="U1261" s="34"/>
      <c r="V1261" s="34"/>
      <c r="AB1261" s="34"/>
      <c r="AC1261" s="34"/>
      <c r="AD1261" s="34"/>
      <c r="AE1261" s="34"/>
      <c r="AF1261" s="34"/>
      <c r="AG1261" s="34"/>
      <c r="AH1261" s="34"/>
      <c r="AI1261" s="34"/>
      <c r="AJ1261" s="34"/>
      <c r="AK1261" s="34"/>
      <c r="AL1261" s="34"/>
    </row>
    <row r="1262" spans="12:38">
      <c r="L1262" s="34"/>
      <c r="M1262" s="34"/>
      <c r="N1262" s="34"/>
      <c r="O1262" s="34"/>
      <c r="P1262" s="34"/>
      <c r="Q1262" s="34"/>
      <c r="R1262" s="34"/>
      <c r="S1262" s="34"/>
      <c r="T1262" s="34"/>
      <c r="U1262" s="34"/>
      <c r="V1262" s="34"/>
      <c r="AB1262" s="34"/>
      <c r="AC1262" s="34"/>
      <c r="AD1262" s="34"/>
      <c r="AE1262" s="34"/>
      <c r="AF1262" s="34"/>
      <c r="AG1262" s="34"/>
      <c r="AH1262" s="34"/>
      <c r="AI1262" s="34"/>
      <c r="AJ1262" s="34"/>
      <c r="AK1262" s="34"/>
      <c r="AL1262" s="34"/>
    </row>
    <row r="1263" spans="12:38">
      <c r="L1263" s="34"/>
      <c r="M1263" s="34"/>
      <c r="N1263" s="34"/>
      <c r="O1263" s="34"/>
      <c r="P1263" s="34"/>
      <c r="Q1263" s="34"/>
      <c r="R1263" s="34"/>
      <c r="S1263" s="34"/>
      <c r="T1263" s="34"/>
      <c r="U1263" s="34"/>
      <c r="V1263" s="34"/>
      <c r="AB1263" s="34"/>
      <c r="AC1263" s="34"/>
      <c r="AD1263" s="34"/>
      <c r="AE1263" s="34"/>
      <c r="AF1263" s="34"/>
      <c r="AG1263" s="34"/>
      <c r="AH1263" s="34"/>
      <c r="AI1263" s="34"/>
      <c r="AJ1263" s="34"/>
      <c r="AK1263" s="34"/>
      <c r="AL1263" s="34"/>
    </row>
    <row r="1264" spans="12:38">
      <c r="L1264" s="34"/>
      <c r="M1264" s="34"/>
      <c r="N1264" s="34"/>
      <c r="O1264" s="34"/>
      <c r="P1264" s="34"/>
      <c r="Q1264" s="34"/>
      <c r="R1264" s="34"/>
      <c r="S1264" s="34"/>
      <c r="T1264" s="34"/>
      <c r="U1264" s="34"/>
      <c r="V1264" s="34"/>
      <c r="AB1264" s="34"/>
      <c r="AC1264" s="34"/>
      <c r="AD1264" s="34"/>
      <c r="AE1264" s="34"/>
      <c r="AF1264" s="34"/>
      <c r="AG1264" s="34"/>
      <c r="AH1264" s="34"/>
      <c r="AI1264" s="34"/>
      <c r="AJ1264" s="34"/>
      <c r="AK1264" s="34"/>
      <c r="AL1264" s="34"/>
    </row>
  </sheetData>
  <mergeCells count="4">
    <mergeCell ref="H10:K10"/>
    <mergeCell ref="L10:V10"/>
    <mergeCell ref="X10:AA10"/>
    <mergeCell ref="AB10:AL10"/>
  </mergeCells>
  <pageMargins left="0.75" right="0.75" top="1" bottom="1" header="0.5" footer="0.5"/>
  <pageSetup orientation="portrait" r:id="rId1"/>
  <headerFooter alignWithMargins="0"/>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J1188"/>
  <sheetViews>
    <sheetView workbookViewId="0">
      <selection sqref="A1:XFD1048576"/>
    </sheetView>
  </sheetViews>
  <sheetFormatPr defaultColWidth="9.140625" defaultRowHeight="12.75"/>
  <cols>
    <col min="1" max="1" width="26" style="1" customWidth="1"/>
    <col min="2" max="12" width="9.140625" style="1"/>
    <col min="13" max="13" width="22.5703125" style="1" customWidth="1"/>
    <col min="14" max="16384" width="9.140625" style="1"/>
  </cols>
  <sheetData>
    <row r="1" spans="1:10">
      <c r="A1" s="1" t="s">
        <v>398</v>
      </c>
      <c r="B1" s="1" t="s">
        <v>123</v>
      </c>
      <c r="C1" s="1" t="s">
        <v>124</v>
      </c>
      <c r="D1" s="1" t="s">
        <v>125</v>
      </c>
      <c r="E1" s="1" t="s">
        <v>126</v>
      </c>
      <c r="F1" s="1" t="s">
        <v>127</v>
      </c>
      <c r="I1" s="1" t="s">
        <v>513</v>
      </c>
      <c r="J1" s="1" t="s">
        <v>514</v>
      </c>
    </row>
    <row r="2" spans="1:10">
      <c r="A2" s="1" t="s">
        <v>398</v>
      </c>
      <c r="B2" s="1" t="s">
        <v>139</v>
      </c>
      <c r="C2" s="68" t="s">
        <v>140</v>
      </c>
      <c r="D2" s="1" t="s">
        <v>141</v>
      </c>
      <c r="E2" s="1" t="s">
        <v>140</v>
      </c>
      <c r="F2" s="1" t="s">
        <v>139</v>
      </c>
      <c r="I2" s="1" t="s">
        <v>515</v>
      </c>
      <c r="J2" s="1" t="s">
        <v>516</v>
      </c>
    </row>
    <row r="3" spans="1:10">
      <c r="A3" s="1" t="s">
        <v>398</v>
      </c>
    </row>
    <row r="4" spans="1:10">
      <c r="A4" s="1" t="s">
        <v>398</v>
      </c>
    </row>
    <row r="5" spans="1:10">
      <c r="A5" s="1" t="s">
        <v>142</v>
      </c>
    </row>
    <row r="6" spans="1:10">
      <c r="A6" s="1" t="s">
        <v>517</v>
      </c>
    </row>
    <row r="7" spans="1:10">
      <c r="A7" s="1" t="s">
        <v>20</v>
      </c>
      <c r="B7" s="1">
        <v>0</v>
      </c>
      <c r="C7" s="1">
        <v>0</v>
      </c>
      <c r="D7" s="1">
        <v>0</v>
      </c>
      <c r="E7" s="1">
        <v>0</v>
      </c>
      <c r="F7" s="1">
        <v>0</v>
      </c>
      <c r="H7" s="1" t="str">
        <f>RIGHT(A5,4)</f>
        <v>1990</v>
      </c>
      <c r="I7" s="12" t="s">
        <v>519</v>
      </c>
    </row>
    <row r="8" spans="1:10">
      <c r="A8" s="1" t="s">
        <v>17</v>
      </c>
      <c r="B8" s="1">
        <v>303.79000000000002</v>
      </c>
      <c r="C8" s="1">
        <v>5.83</v>
      </c>
      <c r="D8" s="1">
        <v>14.17</v>
      </c>
      <c r="E8" s="1">
        <v>1.35</v>
      </c>
      <c r="F8" s="1">
        <v>16.45</v>
      </c>
      <c r="H8" s="1" t="str">
        <f>H7</f>
        <v>1990</v>
      </c>
      <c r="I8" s="12" t="s">
        <v>519</v>
      </c>
    </row>
    <row r="9" spans="1:10">
      <c r="A9" s="1" t="s">
        <v>10</v>
      </c>
      <c r="B9" s="1">
        <v>4.29</v>
      </c>
      <c r="C9" s="1">
        <v>0</v>
      </c>
      <c r="D9" s="1">
        <v>1.21</v>
      </c>
      <c r="E9" s="1">
        <v>0.04</v>
      </c>
      <c r="F9" s="1">
        <v>0</v>
      </c>
      <c r="H9" s="1" t="str">
        <f t="shared" ref="H9:H23" si="0">H8</f>
        <v>1990</v>
      </c>
      <c r="I9" s="12" t="s">
        <v>519</v>
      </c>
    </row>
    <row r="10" spans="1:10">
      <c r="A10" s="1" t="s">
        <v>11</v>
      </c>
      <c r="B10" s="1">
        <v>0</v>
      </c>
      <c r="C10" s="1">
        <v>0</v>
      </c>
      <c r="D10" s="1">
        <v>0</v>
      </c>
      <c r="E10" s="1">
        <v>0</v>
      </c>
      <c r="F10" s="1">
        <v>0</v>
      </c>
      <c r="H10" s="1" t="str">
        <f t="shared" si="0"/>
        <v>1990</v>
      </c>
      <c r="I10" s="12" t="s">
        <v>519</v>
      </c>
    </row>
    <row r="11" spans="1:10">
      <c r="A11" s="1" t="s">
        <v>32</v>
      </c>
      <c r="B11" s="1">
        <v>186.17</v>
      </c>
      <c r="C11" s="1">
        <v>1.45</v>
      </c>
      <c r="D11" s="1">
        <v>17.2</v>
      </c>
      <c r="E11" s="1">
        <v>0.04</v>
      </c>
      <c r="F11" s="1">
        <v>26.06</v>
      </c>
      <c r="H11" s="1" t="str">
        <f t="shared" si="0"/>
        <v>1990</v>
      </c>
      <c r="I11" s="12" t="s">
        <v>519</v>
      </c>
    </row>
    <row r="12" spans="1:10">
      <c r="A12" s="1" t="s">
        <v>31</v>
      </c>
      <c r="B12" s="1">
        <v>262.02</v>
      </c>
      <c r="C12" s="1">
        <v>1.03</v>
      </c>
      <c r="D12" s="1">
        <v>11.78</v>
      </c>
      <c r="E12" s="1">
        <v>0.23</v>
      </c>
      <c r="F12" s="1">
        <v>0</v>
      </c>
      <c r="H12" s="1" t="str">
        <f t="shared" si="0"/>
        <v>1990</v>
      </c>
      <c r="I12" s="12" t="s">
        <v>519</v>
      </c>
    </row>
    <row r="13" spans="1:10">
      <c r="A13" s="1" t="s">
        <v>266</v>
      </c>
      <c r="B13" s="1">
        <v>77.41</v>
      </c>
      <c r="C13" s="1">
        <v>1.64</v>
      </c>
      <c r="D13" s="1">
        <v>16.82</v>
      </c>
      <c r="E13" s="1">
        <v>0</v>
      </c>
      <c r="F13" s="1">
        <v>12.02</v>
      </c>
      <c r="H13" s="1" t="str">
        <f t="shared" si="0"/>
        <v>1990</v>
      </c>
      <c r="I13" s="12" t="s">
        <v>519</v>
      </c>
    </row>
    <row r="14" spans="1:10">
      <c r="A14" s="1" t="s">
        <v>269</v>
      </c>
      <c r="B14" s="1">
        <v>39.700000000000003</v>
      </c>
      <c r="C14" s="1">
        <v>77.319999999999993</v>
      </c>
      <c r="D14" s="1">
        <v>65.28</v>
      </c>
      <c r="E14" s="1">
        <v>9.69</v>
      </c>
      <c r="F14" s="1">
        <v>4.78</v>
      </c>
      <c r="H14" s="1" t="str">
        <f t="shared" si="0"/>
        <v>1990</v>
      </c>
      <c r="I14" s="12" t="s">
        <v>519</v>
      </c>
    </row>
    <row r="15" spans="1:10">
      <c r="A15" s="1" t="s">
        <v>30</v>
      </c>
      <c r="B15" s="1">
        <v>8</v>
      </c>
      <c r="C15" s="1">
        <v>2</v>
      </c>
      <c r="D15" s="1">
        <v>144</v>
      </c>
      <c r="E15" s="1">
        <v>0</v>
      </c>
      <c r="F15" s="1">
        <v>1</v>
      </c>
      <c r="H15" s="1" t="str">
        <f t="shared" si="0"/>
        <v>1990</v>
      </c>
      <c r="I15" s="12" t="s">
        <v>519</v>
      </c>
    </row>
    <row r="16" spans="1:10">
      <c r="A16" s="1" t="s">
        <v>26</v>
      </c>
      <c r="B16" s="1">
        <v>93</v>
      </c>
      <c r="C16" s="1">
        <v>7</v>
      </c>
      <c r="D16" s="1">
        <v>19</v>
      </c>
      <c r="E16" s="1">
        <v>0</v>
      </c>
      <c r="F16" s="1">
        <v>2</v>
      </c>
      <c r="H16" s="1" t="str">
        <f t="shared" si="0"/>
        <v>1990</v>
      </c>
      <c r="I16" s="12" t="s">
        <v>519</v>
      </c>
    </row>
    <row r="17" spans="1:9">
      <c r="A17" s="1" t="s">
        <v>271</v>
      </c>
      <c r="B17" s="1">
        <v>0</v>
      </c>
      <c r="C17" s="1">
        <v>0</v>
      </c>
      <c r="D17" s="1">
        <v>0</v>
      </c>
      <c r="E17" s="1">
        <v>0</v>
      </c>
      <c r="F17" s="1">
        <v>0</v>
      </c>
      <c r="H17" s="1" t="str">
        <f t="shared" si="0"/>
        <v>1990</v>
      </c>
      <c r="I17" s="12" t="s">
        <v>519</v>
      </c>
    </row>
    <row r="18" spans="1:9">
      <c r="A18" s="1" t="s">
        <v>143</v>
      </c>
      <c r="B18" s="1">
        <v>0</v>
      </c>
      <c r="C18" s="1">
        <v>0</v>
      </c>
      <c r="D18" s="1">
        <v>0</v>
      </c>
      <c r="E18" s="1">
        <v>0</v>
      </c>
      <c r="F18" s="1">
        <v>0</v>
      </c>
      <c r="H18" s="1" t="str">
        <f t="shared" si="0"/>
        <v>1990</v>
      </c>
      <c r="I18" s="12" t="s">
        <v>519</v>
      </c>
    </row>
    <row r="19" spans="1:9">
      <c r="A19" s="1" t="s">
        <v>144</v>
      </c>
      <c r="B19" s="1">
        <v>0</v>
      </c>
      <c r="C19" s="1">
        <v>0</v>
      </c>
      <c r="D19" s="1">
        <v>0</v>
      </c>
      <c r="E19" s="1">
        <v>0</v>
      </c>
      <c r="F19" s="1">
        <v>0</v>
      </c>
      <c r="H19" s="1" t="str">
        <f t="shared" si="0"/>
        <v>1990</v>
      </c>
      <c r="I19" s="12" t="s">
        <v>519</v>
      </c>
    </row>
    <row r="20" spans="1:9">
      <c r="A20" s="1" t="s">
        <v>14</v>
      </c>
      <c r="B20" s="1">
        <v>0</v>
      </c>
      <c r="C20" s="1">
        <v>0</v>
      </c>
      <c r="D20" s="1">
        <v>0</v>
      </c>
      <c r="E20" s="1">
        <v>0</v>
      </c>
      <c r="F20" s="1">
        <v>0</v>
      </c>
      <c r="H20" s="1" t="str">
        <f t="shared" si="0"/>
        <v>1990</v>
      </c>
      <c r="I20" s="12" t="s">
        <v>519</v>
      </c>
    </row>
    <row r="21" spans="1:9">
      <c r="A21" s="1" t="s">
        <v>145</v>
      </c>
      <c r="B21" s="1">
        <v>12.63</v>
      </c>
      <c r="C21" s="1">
        <v>0</v>
      </c>
      <c r="D21" s="1">
        <v>147.80000000000001</v>
      </c>
      <c r="E21" s="1">
        <v>0</v>
      </c>
      <c r="F21" s="1">
        <v>0.87</v>
      </c>
      <c r="H21" s="1" t="str">
        <f t="shared" si="0"/>
        <v>1990</v>
      </c>
      <c r="I21" s="12" t="s">
        <v>519</v>
      </c>
    </row>
    <row r="22" spans="1:9">
      <c r="A22" s="1" t="s">
        <v>146</v>
      </c>
      <c r="B22" s="1">
        <v>15.37</v>
      </c>
      <c r="C22" s="1">
        <v>1.71</v>
      </c>
      <c r="D22" s="1">
        <v>213.68</v>
      </c>
      <c r="E22" s="1">
        <v>0.02</v>
      </c>
      <c r="F22" s="1">
        <v>1.31</v>
      </c>
      <c r="H22" s="1" t="str">
        <f t="shared" si="0"/>
        <v>1990</v>
      </c>
      <c r="I22" s="12" t="s">
        <v>519</v>
      </c>
    </row>
    <row r="23" spans="1:9">
      <c r="A23" s="1" t="s">
        <v>147</v>
      </c>
      <c r="B23" s="1">
        <v>103.52</v>
      </c>
      <c r="C23" s="1">
        <v>0</v>
      </c>
      <c r="D23" s="1">
        <v>66.349999999999994</v>
      </c>
      <c r="E23" s="1">
        <v>0</v>
      </c>
      <c r="F23" s="1">
        <v>3.51</v>
      </c>
      <c r="H23" s="1" t="str">
        <f t="shared" si="0"/>
        <v>1990</v>
      </c>
      <c r="I23" s="12" t="s">
        <v>519</v>
      </c>
    </row>
    <row r="24" spans="1:9">
      <c r="A24" s="1" t="s">
        <v>518</v>
      </c>
    </row>
    <row r="25" spans="1:9">
      <c r="A25" s="1" t="s">
        <v>20</v>
      </c>
      <c r="B25" s="1">
        <v>45.6</v>
      </c>
      <c r="C25" s="1">
        <v>46.53</v>
      </c>
      <c r="D25" s="1">
        <v>45.81</v>
      </c>
      <c r="E25" s="1">
        <v>45.67</v>
      </c>
      <c r="F25" s="1">
        <v>26.51</v>
      </c>
      <c r="H25" s="1" t="str">
        <f>H7</f>
        <v>1990</v>
      </c>
      <c r="I25" s="12" t="s">
        <v>148</v>
      </c>
    </row>
    <row r="26" spans="1:9">
      <c r="A26" s="1" t="s">
        <v>17</v>
      </c>
      <c r="B26" s="1">
        <v>44.15</v>
      </c>
      <c r="C26" s="1">
        <v>45.09</v>
      </c>
      <c r="D26" s="1">
        <v>44.37</v>
      </c>
      <c r="E26" s="1">
        <v>44.22</v>
      </c>
      <c r="F26" s="1">
        <v>25.06</v>
      </c>
      <c r="H26" s="1" t="str">
        <f t="shared" ref="H26:H41" si="1">H8</f>
        <v>1990</v>
      </c>
      <c r="I26" s="12" t="s">
        <v>148</v>
      </c>
    </row>
    <row r="27" spans="1:9">
      <c r="A27" s="1" t="s">
        <v>10</v>
      </c>
      <c r="B27" s="1">
        <v>37.54</v>
      </c>
      <c r="C27" s="1">
        <v>38.479999999999997</v>
      </c>
      <c r="D27" s="1">
        <v>37.76</v>
      </c>
      <c r="E27" s="1">
        <v>39.520000000000003</v>
      </c>
      <c r="F27" s="1">
        <v>37.380000000000003</v>
      </c>
      <c r="H27" s="1" t="str">
        <f t="shared" si="1"/>
        <v>1990</v>
      </c>
      <c r="I27" s="12" t="s">
        <v>148</v>
      </c>
    </row>
    <row r="28" spans="1:9">
      <c r="A28" s="1" t="s">
        <v>11</v>
      </c>
      <c r="B28" s="1">
        <v>38.659999999999997</v>
      </c>
      <c r="C28" s="1">
        <v>37.26</v>
      </c>
      <c r="D28" s="1">
        <v>37.590000000000003</v>
      </c>
      <c r="E28" s="1">
        <v>45.3</v>
      </c>
      <c r="F28" s="1">
        <v>43.61</v>
      </c>
      <c r="H28" s="1" t="str">
        <f t="shared" si="1"/>
        <v>1990</v>
      </c>
      <c r="I28" s="12" t="s">
        <v>148</v>
      </c>
    </row>
    <row r="29" spans="1:9">
      <c r="A29" s="1" t="s">
        <v>32</v>
      </c>
      <c r="B29" s="1">
        <v>26.81</v>
      </c>
      <c r="C29" s="1">
        <v>28.95</v>
      </c>
      <c r="D29" s="1">
        <v>28.96</v>
      </c>
      <c r="E29" s="1">
        <v>28.38</v>
      </c>
      <c r="F29" s="1">
        <v>24.05</v>
      </c>
      <c r="H29" s="1" t="str">
        <f t="shared" si="1"/>
        <v>1990</v>
      </c>
      <c r="I29" s="12" t="s">
        <v>148</v>
      </c>
    </row>
    <row r="30" spans="1:9">
      <c r="A30" s="1" t="s">
        <v>31</v>
      </c>
      <c r="B30" s="1">
        <v>25.69</v>
      </c>
      <c r="C30" s="1">
        <v>27.76</v>
      </c>
      <c r="D30" s="1">
        <v>28.15</v>
      </c>
      <c r="E30" s="1">
        <v>27.43</v>
      </c>
      <c r="F30" s="1">
        <v>24.23</v>
      </c>
      <c r="H30" s="1" t="str">
        <f t="shared" si="1"/>
        <v>1990</v>
      </c>
      <c r="I30" s="12" t="s">
        <v>148</v>
      </c>
    </row>
    <row r="31" spans="1:9">
      <c r="A31" s="1" t="s">
        <v>266</v>
      </c>
      <c r="B31" s="1">
        <v>32.51</v>
      </c>
      <c r="C31" s="1">
        <v>32.29</v>
      </c>
      <c r="D31" s="1">
        <v>31.96</v>
      </c>
      <c r="E31" s="1">
        <v>41.14</v>
      </c>
      <c r="F31" s="1">
        <v>37.979999999999997</v>
      </c>
      <c r="H31" s="1" t="str">
        <f t="shared" si="1"/>
        <v>1990</v>
      </c>
      <c r="I31" s="12" t="s">
        <v>148</v>
      </c>
    </row>
    <row r="32" spans="1:9">
      <c r="A32" s="1" t="s">
        <v>269</v>
      </c>
      <c r="B32" s="1">
        <v>21.28</v>
      </c>
      <c r="C32" s="1">
        <v>21.28</v>
      </c>
      <c r="D32" s="1">
        <v>21.28</v>
      </c>
      <c r="E32" s="1">
        <v>21.28</v>
      </c>
      <c r="F32" s="1">
        <v>21.28</v>
      </c>
      <c r="H32" s="1" t="str">
        <f t="shared" si="1"/>
        <v>1990</v>
      </c>
      <c r="I32" s="12" t="s">
        <v>148</v>
      </c>
    </row>
    <row r="33" spans="1:9">
      <c r="A33" s="1" t="s">
        <v>30</v>
      </c>
      <c r="B33" s="1">
        <v>27.68</v>
      </c>
      <c r="C33" s="1">
        <v>27.42</v>
      </c>
      <c r="D33" s="1">
        <v>26.84</v>
      </c>
      <c r="E33" s="1">
        <v>26.79</v>
      </c>
      <c r="F33" s="1">
        <v>21.28</v>
      </c>
      <c r="H33" s="1" t="str">
        <f t="shared" si="1"/>
        <v>1990</v>
      </c>
      <c r="I33" s="12" t="s">
        <v>148</v>
      </c>
    </row>
    <row r="34" spans="1:9">
      <c r="A34" s="1" t="s">
        <v>26</v>
      </c>
      <c r="B34" s="1">
        <v>44.26</v>
      </c>
      <c r="C34" s="1">
        <v>44.26</v>
      </c>
      <c r="D34" s="1">
        <v>44.75</v>
      </c>
      <c r="E34" s="1">
        <v>44.38</v>
      </c>
      <c r="F34" s="1">
        <v>44.38</v>
      </c>
      <c r="H34" s="1" t="str">
        <f t="shared" si="1"/>
        <v>1990</v>
      </c>
      <c r="I34" s="12" t="s">
        <v>148</v>
      </c>
    </row>
    <row r="35" spans="1:9">
      <c r="A35" s="1" t="s">
        <v>271</v>
      </c>
      <c r="B35" s="1">
        <v>35.659999999999997</v>
      </c>
      <c r="C35" s="1">
        <v>35.049999999999997</v>
      </c>
      <c r="D35" s="1">
        <v>34.71</v>
      </c>
      <c r="E35" s="1">
        <v>36.17</v>
      </c>
      <c r="F35" s="1">
        <v>34.39</v>
      </c>
      <c r="H35" s="1" t="str">
        <f t="shared" si="1"/>
        <v>1990</v>
      </c>
      <c r="I35" s="12" t="s">
        <v>148</v>
      </c>
    </row>
    <row r="36" spans="1:9">
      <c r="A36" s="1" t="s">
        <v>143</v>
      </c>
      <c r="B36" s="1">
        <v>44.79</v>
      </c>
      <c r="C36" s="1">
        <v>43.26</v>
      </c>
      <c r="D36" s="1">
        <v>42.96</v>
      </c>
      <c r="E36" s="1">
        <v>44.93</v>
      </c>
      <c r="F36" s="1">
        <v>42.98</v>
      </c>
      <c r="H36" s="1" t="str">
        <f t="shared" si="1"/>
        <v>1990</v>
      </c>
      <c r="I36" s="12" t="s">
        <v>148</v>
      </c>
    </row>
    <row r="37" spans="1:9">
      <c r="A37" s="1" t="s">
        <v>144</v>
      </c>
      <c r="B37" s="1">
        <v>38.96</v>
      </c>
      <c r="C37" s="1">
        <v>38.46</v>
      </c>
      <c r="D37" s="1">
        <v>38.229999999999997</v>
      </c>
      <c r="E37" s="1">
        <v>42.09</v>
      </c>
      <c r="F37" s="1">
        <v>40.869999999999997</v>
      </c>
      <c r="H37" s="1" t="str">
        <f t="shared" si="1"/>
        <v>1990</v>
      </c>
      <c r="I37" s="12" t="s">
        <v>148</v>
      </c>
    </row>
    <row r="38" spans="1:9">
      <c r="A38" s="1" t="s">
        <v>14</v>
      </c>
      <c r="B38" s="1">
        <v>0</v>
      </c>
      <c r="C38" s="1">
        <v>0</v>
      </c>
      <c r="D38" s="1">
        <v>0</v>
      </c>
      <c r="E38" s="1">
        <v>0</v>
      </c>
      <c r="F38" s="1">
        <v>0</v>
      </c>
      <c r="H38" s="1" t="str">
        <f t="shared" si="1"/>
        <v>1990</v>
      </c>
      <c r="I38" s="12" t="s">
        <v>148</v>
      </c>
    </row>
    <row r="39" spans="1:9">
      <c r="A39" s="1" t="s">
        <v>145</v>
      </c>
      <c r="B39" s="1">
        <v>19.309999999999999</v>
      </c>
      <c r="C39" s="1">
        <v>19.39</v>
      </c>
      <c r="D39" s="1">
        <v>19.059999999999999</v>
      </c>
      <c r="E39" s="1">
        <v>22.96</v>
      </c>
      <c r="F39" s="1">
        <v>21.5</v>
      </c>
      <c r="H39" s="1" t="str">
        <f t="shared" si="1"/>
        <v>1990</v>
      </c>
      <c r="I39" s="12" t="s">
        <v>148</v>
      </c>
    </row>
    <row r="40" spans="1:9">
      <c r="A40" s="1" t="s">
        <v>146</v>
      </c>
      <c r="B40" s="1">
        <v>23.6</v>
      </c>
      <c r="C40" s="1">
        <v>23.7</v>
      </c>
      <c r="D40" s="1">
        <v>23.3</v>
      </c>
      <c r="E40" s="1">
        <v>28.06</v>
      </c>
      <c r="F40" s="1">
        <v>26.28</v>
      </c>
      <c r="H40" s="1" t="str">
        <f t="shared" si="1"/>
        <v>1990</v>
      </c>
      <c r="I40" s="12" t="s">
        <v>148</v>
      </c>
    </row>
    <row r="41" spans="1:9">
      <c r="A41" s="1" t="s">
        <v>147</v>
      </c>
      <c r="B41" s="1">
        <v>17.7</v>
      </c>
      <c r="C41" s="1">
        <v>17.77</v>
      </c>
      <c r="D41" s="1">
        <v>17.47</v>
      </c>
      <c r="E41" s="1">
        <v>21.05</v>
      </c>
      <c r="F41" s="1">
        <v>19.71</v>
      </c>
      <c r="H41" s="1" t="str">
        <f t="shared" si="1"/>
        <v>1990</v>
      </c>
      <c r="I41" s="12" t="s">
        <v>148</v>
      </c>
    </row>
    <row r="42" spans="1:9">
      <c r="A42" s="1" t="s">
        <v>149</v>
      </c>
    </row>
    <row r="43" spans="1:9">
      <c r="A43" s="1" t="s">
        <v>517</v>
      </c>
    </row>
    <row r="44" spans="1:9">
      <c r="A44" s="1" t="s">
        <v>20</v>
      </c>
      <c r="B44" s="1">
        <v>0</v>
      </c>
      <c r="C44" s="1">
        <v>0</v>
      </c>
      <c r="D44" s="1">
        <v>0</v>
      </c>
      <c r="E44" s="1">
        <v>0</v>
      </c>
      <c r="F44" s="1">
        <v>0</v>
      </c>
      <c r="H44" s="1" t="str">
        <f>RIGHT(A42,4)</f>
        <v>1991</v>
      </c>
      <c r="I44" s="12" t="s">
        <v>519</v>
      </c>
    </row>
    <row r="45" spans="1:9">
      <c r="A45" s="1" t="s">
        <v>17</v>
      </c>
      <c r="B45" s="1">
        <v>272.39</v>
      </c>
      <c r="C45" s="1">
        <v>9.1300000000000008</v>
      </c>
      <c r="D45" s="1">
        <v>2.0699999999999998</v>
      </c>
      <c r="E45" s="1">
        <v>1.27</v>
      </c>
      <c r="F45" s="1">
        <v>12.3</v>
      </c>
      <c r="H45" s="1" t="str">
        <f>H44</f>
        <v>1991</v>
      </c>
      <c r="I45" s="12" t="s">
        <v>519</v>
      </c>
    </row>
    <row r="46" spans="1:9">
      <c r="A46" s="1" t="s">
        <v>10</v>
      </c>
      <c r="B46" s="1">
        <v>9.82</v>
      </c>
      <c r="C46" s="1">
        <v>0</v>
      </c>
      <c r="D46" s="1">
        <v>2.42</v>
      </c>
      <c r="E46" s="1">
        <v>0.01</v>
      </c>
      <c r="F46" s="1">
        <v>0</v>
      </c>
      <c r="H46" s="1" t="str">
        <f t="shared" ref="H46:H60" si="2">H45</f>
        <v>1991</v>
      </c>
      <c r="I46" s="12" t="s">
        <v>519</v>
      </c>
    </row>
    <row r="47" spans="1:9">
      <c r="A47" s="1" t="s">
        <v>11</v>
      </c>
      <c r="B47" s="1">
        <v>0</v>
      </c>
      <c r="C47" s="1">
        <v>0</v>
      </c>
      <c r="D47" s="1">
        <v>0</v>
      </c>
      <c r="E47" s="1">
        <v>0</v>
      </c>
      <c r="F47" s="1">
        <v>0</v>
      </c>
      <c r="H47" s="1" t="str">
        <f t="shared" si="2"/>
        <v>1991</v>
      </c>
      <c r="I47" s="12" t="s">
        <v>519</v>
      </c>
    </row>
    <row r="48" spans="1:9">
      <c r="A48" s="1" t="s">
        <v>32</v>
      </c>
      <c r="B48" s="1">
        <v>138.85</v>
      </c>
      <c r="C48" s="1">
        <v>1.26</v>
      </c>
      <c r="D48" s="1">
        <v>30.01</v>
      </c>
      <c r="E48" s="1">
        <v>0.02</v>
      </c>
      <c r="F48" s="1">
        <v>12.46</v>
      </c>
      <c r="H48" s="1" t="str">
        <f t="shared" si="2"/>
        <v>1991</v>
      </c>
      <c r="I48" s="12" t="s">
        <v>519</v>
      </c>
    </row>
    <row r="49" spans="1:9">
      <c r="A49" s="1" t="s">
        <v>31</v>
      </c>
      <c r="B49" s="1">
        <v>235.48</v>
      </c>
      <c r="C49" s="1">
        <v>1.17</v>
      </c>
      <c r="D49" s="1">
        <v>25.68</v>
      </c>
      <c r="E49" s="1">
        <v>0.08</v>
      </c>
      <c r="F49" s="1">
        <v>8.92</v>
      </c>
      <c r="H49" s="1" t="str">
        <f t="shared" si="2"/>
        <v>1991</v>
      </c>
      <c r="I49" s="12" t="s">
        <v>519</v>
      </c>
    </row>
    <row r="50" spans="1:9">
      <c r="A50" s="1" t="s">
        <v>266</v>
      </c>
      <c r="B50" s="1">
        <v>59.82</v>
      </c>
      <c r="C50" s="1">
        <v>1.65</v>
      </c>
      <c r="D50" s="1">
        <v>1.26</v>
      </c>
      <c r="E50" s="1">
        <v>0</v>
      </c>
      <c r="F50" s="1">
        <v>4.46</v>
      </c>
      <c r="H50" s="1" t="str">
        <f t="shared" si="2"/>
        <v>1991</v>
      </c>
      <c r="I50" s="12" t="s">
        <v>519</v>
      </c>
    </row>
    <row r="51" spans="1:9">
      <c r="A51" s="1" t="s">
        <v>269</v>
      </c>
      <c r="B51" s="1">
        <v>23.09</v>
      </c>
      <c r="C51" s="1">
        <v>73.67</v>
      </c>
      <c r="D51" s="1">
        <v>59.28</v>
      </c>
      <c r="E51" s="1">
        <v>11.23</v>
      </c>
      <c r="F51" s="1">
        <v>2.42</v>
      </c>
      <c r="H51" s="1" t="str">
        <f t="shared" si="2"/>
        <v>1991</v>
      </c>
      <c r="I51" s="12" t="s">
        <v>519</v>
      </c>
    </row>
    <row r="52" spans="1:9">
      <c r="A52" s="1" t="s">
        <v>30</v>
      </c>
      <c r="B52" s="1">
        <v>8</v>
      </c>
      <c r="C52" s="1">
        <v>1</v>
      </c>
      <c r="D52" s="1">
        <v>130</v>
      </c>
      <c r="E52" s="1">
        <v>0</v>
      </c>
      <c r="F52" s="1">
        <v>1</v>
      </c>
      <c r="H52" s="1" t="str">
        <f t="shared" si="2"/>
        <v>1991</v>
      </c>
      <c r="I52" s="12" t="s">
        <v>519</v>
      </c>
    </row>
    <row r="53" spans="1:9">
      <c r="A53" s="1" t="s">
        <v>26</v>
      </c>
      <c r="B53" s="1">
        <v>58</v>
      </c>
      <c r="C53" s="1">
        <v>7</v>
      </c>
      <c r="D53" s="1">
        <v>16</v>
      </c>
      <c r="E53" s="1">
        <v>0</v>
      </c>
      <c r="F53" s="1">
        <v>4</v>
      </c>
      <c r="H53" s="1" t="str">
        <f t="shared" si="2"/>
        <v>1991</v>
      </c>
      <c r="I53" s="12" t="s">
        <v>519</v>
      </c>
    </row>
    <row r="54" spans="1:9">
      <c r="A54" s="1" t="s">
        <v>271</v>
      </c>
      <c r="B54" s="1">
        <v>0</v>
      </c>
      <c r="C54" s="1">
        <v>0</v>
      </c>
      <c r="D54" s="1">
        <v>0</v>
      </c>
      <c r="E54" s="1">
        <v>0</v>
      </c>
      <c r="F54" s="1">
        <v>0</v>
      </c>
      <c r="H54" s="1" t="str">
        <f t="shared" si="2"/>
        <v>1991</v>
      </c>
      <c r="I54" s="12" t="s">
        <v>519</v>
      </c>
    </row>
    <row r="55" spans="1:9">
      <c r="A55" s="1" t="s">
        <v>143</v>
      </c>
      <c r="B55" s="1">
        <v>0</v>
      </c>
      <c r="C55" s="1">
        <v>0</v>
      </c>
      <c r="D55" s="1">
        <v>0</v>
      </c>
      <c r="E55" s="1">
        <v>0</v>
      </c>
      <c r="F55" s="1">
        <v>0</v>
      </c>
      <c r="H55" s="1" t="str">
        <f t="shared" si="2"/>
        <v>1991</v>
      </c>
      <c r="I55" s="12" t="s">
        <v>519</v>
      </c>
    </row>
    <row r="56" spans="1:9">
      <c r="A56" s="1" t="s">
        <v>144</v>
      </c>
      <c r="B56" s="1">
        <v>0</v>
      </c>
      <c r="C56" s="1">
        <v>0</v>
      </c>
      <c r="D56" s="1">
        <v>0</v>
      </c>
      <c r="E56" s="1">
        <v>0</v>
      </c>
      <c r="F56" s="1">
        <v>0</v>
      </c>
      <c r="H56" s="1" t="str">
        <f t="shared" si="2"/>
        <v>1991</v>
      </c>
      <c r="I56" s="12" t="s">
        <v>519</v>
      </c>
    </row>
    <row r="57" spans="1:9">
      <c r="A57" s="1" t="s">
        <v>14</v>
      </c>
      <c r="B57" s="1">
        <v>0</v>
      </c>
      <c r="C57" s="1">
        <v>0</v>
      </c>
      <c r="D57" s="1">
        <v>0</v>
      </c>
      <c r="E57" s="1">
        <v>0</v>
      </c>
      <c r="F57" s="1">
        <v>0</v>
      </c>
      <c r="H57" s="1" t="str">
        <f t="shared" si="2"/>
        <v>1991</v>
      </c>
      <c r="I57" s="12" t="s">
        <v>519</v>
      </c>
    </row>
    <row r="58" spans="1:9">
      <c r="A58" s="1" t="s">
        <v>145</v>
      </c>
      <c r="B58" s="1">
        <v>31.35</v>
      </c>
      <c r="C58" s="1">
        <v>0</v>
      </c>
      <c r="D58" s="1">
        <v>106.07</v>
      </c>
      <c r="E58" s="1">
        <v>0</v>
      </c>
      <c r="F58" s="1">
        <v>2.21</v>
      </c>
      <c r="H58" s="1" t="str">
        <f t="shared" si="2"/>
        <v>1991</v>
      </c>
      <c r="I58" s="12" t="s">
        <v>519</v>
      </c>
    </row>
    <row r="59" spans="1:9">
      <c r="A59" s="1" t="s">
        <v>146</v>
      </c>
      <c r="B59" s="1">
        <v>26.57</v>
      </c>
      <c r="C59" s="1">
        <v>0.93</v>
      </c>
      <c r="D59" s="1">
        <v>187.33</v>
      </c>
      <c r="E59" s="1">
        <v>0</v>
      </c>
      <c r="F59" s="1">
        <v>1.99</v>
      </c>
      <c r="H59" s="1" t="str">
        <f t="shared" si="2"/>
        <v>1991</v>
      </c>
      <c r="I59" s="12" t="s">
        <v>519</v>
      </c>
    </row>
    <row r="60" spans="1:9">
      <c r="A60" s="1" t="s">
        <v>147</v>
      </c>
      <c r="B60" s="1">
        <v>104.95</v>
      </c>
      <c r="C60" s="1">
        <v>0</v>
      </c>
      <c r="D60" s="1">
        <v>80.91</v>
      </c>
      <c r="E60" s="1">
        <v>0</v>
      </c>
      <c r="F60" s="1">
        <v>5.09</v>
      </c>
      <c r="H60" s="1" t="str">
        <f t="shared" si="2"/>
        <v>1991</v>
      </c>
      <c r="I60" s="12" t="s">
        <v>519</v>
      </c>
    </row>
    <row r="61" spans="1:9">
      <c r="A61" s="1" t="s">
        <v>518</v>
      </c>
    </row>
    <row r="62" spans="1:9">
      <c r="A62" s="1" t="s">
        <v>20</v>
      </c>
      <c r="B62" s="1">
        <v>46.53</v>
      </c>
      <c r="C62" s="1">
        <v>47.48</v>
      </c>
      <c r="D62" s="1">
        <v>46.75</v>
      </c>
      <c r="E62" s="1">
        <v>46.6</v>
      </c>
      <c r="F62" s="1">
        <v>27.05</v>
      </c>
      <c r="H62" s="1" t="str">
        <f>H44</f>
        <v>1991</v>
      </c>
      <c r="I62" s="12" t="s">
        <v>148</v>
      </c>
    </row>
    <row r="63" spans="1:9">
      <c r="A63" s="1" t="s">
        <v>17</v>
      </c>
      <c r="B63" s="1">
        <v>45.05</v>
      </c>
      <c r="C63" s="1">
        <v>46.01</v>
      </c>
      <c r="D63" s="1">
        <v>45.27</v>
      </c>
      <c r="E63" s="1">
        <v>45.13</v>
      </c>
      <c r="F63" s="1">
        <v>25.57</v>
      </c>
      <c r="H63" s="1" t="str">
        <f t="shared" ref="H63:H78" si="3">H45</f>
        <v>1991</v>
      </c>
      <c r="I63" s="12" t="s">
        <v>148</v>
      </c>
    </row>
    <row r="64" spans="1:9">
      <c r="A64" s="1" t="s">
        <v>10</v>
      </c>
      <c r="B64" s="1">
        <v>38.31</v>
      </c>
      <c r="C64" s="1">
        <v>39.26</v>
      </c>
      <c r="D64" s="1">
        <v>38.53</v>
      </c>
      <c r="E64" s="1">
        <v>40.33</v>
      </c>
      <c r="F64" s="1">
        <v>38.14</v>
      </c>
      <c r="H64" s="1" t="str">
        <f t="shared" si="3"/>
        <v>1991</v>
      </c>
      <c r="I64" s="12" t="s">
        <v>148</v>
      </c>
    </row>
    <row r="65" spans="1:9">
      <c r="A65" s="1" t="s">
        <v>11</v>
      </c>
      <c r="B65" s="1">
        <v>39.450000000000003</v>
      </c>
      <c r="C65" s="1">
        <v>38.020000000000003</v>
      </c>
      <c r="D65" s="1">
        <v>38.35</v>
      </c>
      <c r="E65" s="1">
        <v>46.22</v>
      </c>
      <c r="F65" s="1">
        <v>44.5</v>
      </c>
      <c r="H65" s="1" t="str">
        <f t="shared" si="3"/>
        <v>1991</v>
      </c>
      <c r="I65" s="12" t="s">
        <v>148</v>
      </c>
    </row>
    <row r="66" spans="1:9">
      <c r="A66" s="1" t="s">
        <v>32</v>
      </c>
      <c r="B66" s="1">
        <v>27.36</v>
      </c>
      <c r="C66" s="1">
        <v>29.55</v>
      </c>
      <c r="D66" s="1">
        <v>29.55</v>
      </c>
      <c r="E66" s="1">
        <v>28.96</v>
      </c>
      <c r="F66" s="1">
        <v>24.54</v>
      </c>
      <c r="H66" s="1" t="str">
        <f t="shared" si="3"/>
        <v>1991</v>
      </c>
      <c r="I66" s="12" t="s">
        <v>148</v>
      </c>
    </row>
    <row r="67" spans="1:9">
      <c r="A67" s="1" t="s">
        <v>31</v>
      </c>
      <c r="B67" s="1">
        <v>26.22</v>
      </c>
      <c r="C67" s="1">
        <v>28.33</v>
      </c>
      <c r="D67" s="1">
        <v>28.72</v>
      </c>
      <c r="E67" s="1">
        <v>27.99</v>
      </c>
      <c r="F67" s="1">
        <v>24.72</v>
      </c>
      <c r="H67" s="1" t="str">
        <f t="shared" si="3"/>
        <v>1991</v>
      </c>
      <c r="I67" s="12" t="s">
        <v>148</v>
      </c>
    </row>
    <row r="68" spans="1:9">
      <c r="A68" s="1" t="s">
        <v>266</v>
      </c>
      <c r="B68" s="1">
        <v>33.17</v>
      </c>
      <c r="C68" s="1">
        <v>32.950000000000003</v>
      </c>
      <c r="D68" s="1">
        <v>32.61</v>
      </c>
      <c r="E68" s="1">
        <v>41.98</v>
      </c>
      <c r="F68" s="1">
        <v>38.76</v>
      </c>
      <c r="H68" s="1" t="str">
        <f t="shared" si="3"/>
        <v>1991</v>
      </c>
      <c r="I68" s="12" t="s">
        <v>148</v>
      </c>
    </row>
    <row r="69" spans="1:9">
      <c r="A69" s="1" t="s">
        <v>269</v>
      </c>
      <c r="B69" s="1">
        <v>21.71</v>
      </c>
      <c r="C69" s="1">
        <v>21.71</v>
      </c>
      <c r="D69" s="1">
        <v>21.71</v>
      </c>
      <c r="E69" s="1">
        <v>21.71</v>
      </c>
      <c r="F69" s="1">
        <v>21.71</v>
      </c>
      <c r="H69" s="1" t="str">
        <f t="shared" si="3"/>
        <v>1991</v>
      </c>
      <c r="I69" s="12" t="s">
        <v>148</v>
      </c>
    </row>
    <row r="70" spans="1:9">
      <c r="A70" s="1" t="s">
        <v>30</v>
      </c>
      <c r="B70" s="1">
        <v>28.24</v>
      </c>
      <c r="C70" s="1">
        <v>27.97</v>
      </c>
      <c r="D70" s="1">
        <v>27.39</v>
      </c>
      <c r="E70" s="1">
        <v>27.34</v>
      </c>
      <c r="F70" s="1">
        <v>21.71</v>
      </c>
      <c r="H70" s="1" t="str">
        <f t="shared" si="3"/>
        <v>1991</v>
      </c>
      <c r="I70" s="12" t="s">
        <v>148</v>
      </c>
    </row>
    <row r="71" spans="1:9">
      <c r="A71" s="1" t="s">
        <v>26</v>
      </c>
      <c r="B71" s="1">
        <v>45.17</v>
      </c>
      <c r="C71" s="1">
        <v>45.17</v>
      </c>
      <c r="D71" s="1">
        <v>45.66</v>
      </c>
      <c r="E71" s="1">
        <v>45.29</v>
      </c>
      <c r="F71" s="1">
        <v>45.29</v>
      </c>
      <c r="H71" s="1" t="str">
        <f t="shared" si="3"/>
        <v>1991</v>
      </c>
      <c r="I71" s="12" t="s">
        <v>148</v>
      </c>
    </row>
    <row r="72" spans="1:9">
      <c r="A72" s="1" t="s">
        <v>271</v>
      </c>
      <c r="B72" s="1">
        <v>36.39</v>
      </c>
      <c r="C72" s="1">
        <v>35.76</v>
      </c>
      <c r="D72" s="1">
        <v>35.42</v>
      </c>
      <c r="E72" s="1">
        <v>36.909999999999997</v>
      </c>
      <c r="F72" s="1">
        <v>35.090000000000003</v>
      </c>
      <c r="H72" s="1" t="str">
        <f t="shared" si="3"/>
        <v>1991</v>
      </c>
      <c r="I72" s="12" t="s">
        <v>148</v>
      </c>
    </row>
    <row r="73" spans="1:9">
      <c r="A73" s="1" t="s">
        <v>143</v>
      </c>
      <c r="B73" s="1">
        <v>45.71</v>
      </c>
      <c r="C73" s="1">
        <v>44.14</v>
      </c>
      <c r="D73" s="1">
        <v>43.83</v>
      </c>
      <c r="E73" s="1">
        <v>45.85</v>
      </c>
      <c r="F73" s="1">
        <v>43.85</v>
      </c>
      <c r="H73" s="1" t="str">
        <f t="shared" si="3"/>
        <v>1991</v>
      </c>
      <c r="I73" s="12" t="s">
        <v>148</v>
      </c>
    </row>
    <row r="74" spans="1:9">
      <c r="A74" s="1" t="s">
        <v>144</v>
      </c>
      <c r="B74" s="1">
        <v>39.76</v>
      </c>
      <c r="C74" s="1">
        <v>39.24</v>
      </c>
      <c r="D74" s="1">
        <v>39.01</v>
      </c>
      <c r="E74" s="1">
        <v>42.95</v>
      </c>
      <c r="F74" s="1">
        <v>41.71</v>
      </c>
      <c r="H74" s="1" t="str">
        <f t="shared" si="3"/>
        <v>1991</v>
      </c>
      <c r="I74" s="12" t="s">
        <v>148</v>
      </c>
    </row>
    <row r="75" spans="1:9">
      <c r="A75" s="1" t="s">
        <v>14</v>
      </c>
      <c r="B75" s="1">
        <v>0</v>
      </c>
      <c r="C75" s="1">
        <v>0</v>
      </c>
      <c r="D75" s="1">
        <v>0</v>
      </c>
      <c r="E75" s="1">
        <v>0</v>
      </c>
      <c r="F75" s="1">
        <v>0</v>
      </c>
      <c r="H75" s="1" t="str">
        <f t="shared" si="3"/>
        <v>1991</v>
      </c>
      <c r="I75" s="12" t="s">
        <v>148</v>
      </c>
    </row>
    <row r="76" spans="1:9">
      <c r="A76" s="1" t="s">
        <v>145</v>
      </c>
      <c r="B76" s="1">
        <v>19.71</v>
      </c>
      <c r="C76" s="1">
        <v>19.79</v>
      </c>
      <c r="D76" s="1">
        <v>19.45</v>
      </c>
      <c r="E76" s="1">
        <v>23.43</v>
      </c>
      <c r="F76" s="1">
        <v>21.94</v>
      </c>
      <c r="H76" s="1" t="str">
        <f t="shared" si="3"/>
        <v>1991</v>
      </c>
      <c r="I76" s="12" t="s">
        <v>148</v>
      </c>
    </row>
    <row r="77" spans="1:9">
      <c r="A77" s="1" t="s">
        <v>146</v>
      </c>
      <c r="B77" s="1">
        <v>24.09</v>
      </c>
      <c r="C77" s="1">
        <v>24.18</v>
      </c>
      <c r="D77" s="1">
        <v>23.77</v>
      </c>
      <c r="E77" s="1">
        <v>28.64</v>
      </c>
      <c r="F77" s="1">
        <v>26.81</v>
      </c>
      <c r="H77" s="1" t="str">
        <f t="shared" si="3"/>
        <v>1991</v>
      </c>
      <c r="I77" s="12" t="s">
        <v>148</v>
      </c>
    </row>
    <row r="78" spans="1:9">
      <c r="A78" s="1" t="s">
        <v>147</v>
      </c>
      <c r="B78" s="1">
        <v>18.059999999999999</v>
      </c>
      <c r="C78" s="1">
        <v>18.14</v>
      </c>
      <c r="D78" s="1">
        <v>17.829999999999998</v>
      </c>
      <c r="E78" s="1">
        <v>21.48</v>
      </c>
      <c r="F78" s="1">
        <v>20.11</v>
      </c>
      <c r="H78" s="1" t="str">
        <f t="shared" si="3"/>
        <v>1991</v>
      </c>
      <c r="I78" s="12" t="s">
        <v>148</v>
      </c>
    </row>
    <row r="79" spans="1:9">
      <c r="A79" s="1" t="s">
        <v>150</v>
      </c>
    </row>
    <row r="80" spans="1:9">
      <c r="A80" s="1" t="s">
        <v>517</v>
      </c>
    </row>
    <row r="81" spans="1:9">
      <c r="A81" s="1" t="s">
        <v>20</v>
      </c>
      <c r="B81" s="1">
        <v>0</v>
      </c>
      <c r="C81" s="1">
        <v>0</v>
      </c>
      <c r="D81" s="1">
        <v>0</v>
      </c>
      <c r="E81" s="1">
        <v>0</v>
      </c>
      <c r="F81" s="1">
        <v>0</v>
      </c>
      <c r="H81" s="1" t="str">
        <f>RIGHT(A79,4)</f>
        <v>1992</v>
      </c>
      <c r="I81" s="12" t="s">
        <v>519</v>
      </c>
    </row>
    <row r="82" spans="1:9">
      <c r="A82" s="1" t="s">
        <v>17</v>
      </c>
      <c r="B82" s="1">
        <v>267.08</v>
      </c>
      <c r="C82" s="1">
        <v>5.62</v>
      </c>
      <c r="D82" s="1">
        <v>5.58</v>
      </c>
      <c r="E82" s="1">
        <v>1.1000000000000001</v>
      </c>
      <c r="F82" s="1">
        <v>15.61</v>
      </c>
      <c r="H82" s="1" t="str">
        <f>H81</f>
        <v>1992</v>
      </c>
      <c r="I82" s="12" t="s">
        <v>519</v>
      </c>
    </row>
    <row r="83" spans="1:9">
      <c r="A83" s="1" t="s">
        <v>10</v>
      </c>
      <c r="B83" s="1">
        <v>8.23</v>
      </c>
      <c r="C83" s="1">
        <v>0</v>
      </c>
      <c r="D83" s="1">
        <v>0.34</v>
      </c>
      <c r="E83" s="1">
        <v>0.01</v>
      </c>
      <c r="F83" s="1">
        <v>0.55000000000000004</v>
      </c>
      <c r="H83" s="1" t="str">
        <f t="shared" ref="H83:H97" si="4">H82</f>
        <v>1992</v>
      </c>
      <c r="I83" s="12" t="s">
        <v>519</v>
      </c>
    </row>
    <row r="84" spans="1:9">
      <c r="A84" s="1" t="s">
        <v>11</v>
      </c>
      <c r="B84" s="1">
        <v>0</v>
      </c>
      <c r="C84" s="1">
        <v>0</v>
      </c>
      <c r="D84" s="1">
        <v>0</v>
      </c>
      <c r="E84" s="1">
        <v>0</v>
      </c>
      <c r="F84" s="1">
        <v>0</v>
      </c>
      <c r="H84" s="1" t="str">
        <f t="shared" si="4"/>
        <v>1992</v>
      </c>
      <c r="I84" s="12" t="s">
        <v>519</v>
      </c>
    </row>
    <row r="85" spans="1:9">
      <c r="A85" s="1" t="s">
        <v>32</v>
      </c>
      <c r="B85" s="1">
        <v>109.18</v>
      </c>
      <c r="C85" s="1">
        <v>0.67</v>
      </c>
      <c r="D85" s="1">
        <v>18.88</v>
      </c>
      <c r="E85" s="1">
        <v>0.13</v>
      </c>
      <c r="F85" s="1">
        <v>4.79</v>
      </c>
      <c r="H85" s="1" t="str">
        <f t="shared" si="4"/>
        <v>1992</v>
      </c>
      <c r="I85" s="12" t="s">
        <v>519</v>
      </c>
    </row>
    <row r="86" spans="1:9">
      <c r="A86" s="1" t="s">
        <v>31</v>
      </c>
      <c r="B86" s="1">
        <v>197.89</v>
      </c>
      <c r="C86" s="1">
        <v>0.52</v>
      </c>
      <c r="D86" s="1">
        <v>37.72</v>
      </c>
      <c r="E86" s="1">
        <v>0.01</v>
      </c>
      <c r="F86" s="1">
        <v>6.32</v>
      </c>
      <c r="H86" s="1" t="str">
        <f t="shared" si="4"/>
        <v>1992</v>
      </c>
      <c r="I86" s="12" t="s">
        <v>519</v>
      </c>
    </row>
    <row r="87" spans="1:9">
      <c r="A87" s="1" t="s">
        <v>266</v>
      </c>
      <c r="B87" s="1">
        <v>71.25</v>
      </c>
      <c r="C87" s="1">
        <v>2.75</v>
      </c>
      <c r="D87" s="1">
        <v>4.6900000000000004</v>
      </c>
      <c r="E87" s="1">
        <v>0</v>
      </c>
      <c r="F87" s="1">
        <v>3.79</v>
      </c>
      <c r="H87" s="1" t="str">
        <f t="shared" si="4"/>
        <v>1992</v>
      </c>
      <c r="I87" s="12" t="s">
        <v>519</v>
      </c>
    </row>
    <row r="88" spans="1:9">
      <c r="A88" s="1" t="s">
        <v>269</v>
      </c>
      <c r="B88" s="1">
        <v>22.02</v>
      </c>
      <c r="C88" s="1">
        <v>80.510000000000005</v>
      </c>
      <c r="D88" s="1">
        <v>44.43</v>
      </c>
      <c r="E88" s="1">
        <v>8.14</v>
      </c>
      <c r="F88" s="1">
        <v>1.2</v>
      </c>
      <c r="H88" s="1" t="str">
        <f t="shared" si="4"/>
        <v>1992</v>
      </c>
      <c r="I88" s="12" t="s">
        <v>519</v>
      </c>
    </row>
    <row r="89" spans="1:9">
      <c r="A89" s="1" t="s">
        <v>30</v>
      </c>
      <c r="B89" s="1">
        <v>6</v>
      </c>
      <c r="C89" s="1">
        <v>1</v>
      </c>
      <c r="D89" s="1">
        <v>118</v>
      </c>
      <c r="E89" s="1">
        <v>0</v>
      </c>
      <c r="F89" s="1">
        <v>1</v>
      </c>
      <c r="H89" s="1" t="str">
        <f t="shared" si="4"/>
        <v>1992</v>
      </c>
      <c r="I89" s="12" t="s">
        <v>519</v>
      </c>
    </row>
    <row r="90" spans="1:9">
      <c r="A90" s="1" t="s">
        <v>26</v>
      </c>
      <c r="B90" s="1">
        <v>64</v>
      </c>
      <c r="C90" s="1">
        <v>7</v>
      </c>
      <c r="D90" s="1">
        <v>20</v>
      </c>
      <c r="E90" s="1">
        <v>0</v>
      </c>
      <c r="F90" s="1">
        <v>5</v>
      </c>
      <c r="H90" s="1" t="str">
        <f t="shared" si="4"/>
        <v>1992</v>
      </c>
      <c r="I90" s="12" t="s">
        <v>519</v>
      </c>
    </row>
    <row r="91" spans="1:9">
      <c r="A91" s="1" t="s">
        <v>271</v>
      </c>
      <c r="B91" s="1">
        <v>0</v>
      </c>
      <c r="C91" s="1">
        <v>0</v>
      </c>
      <c r="D91" s="1">
        <v>0</v>
      </c>
      <c r="E91" s="1">
        <v>0</v>
      </c>
      <c r="F91" s="1">
        <v>0</v>
      </c>
      <c r="H91" s="1" t="str">
        <f t="shared" si="4"/>
        <v>1992</v>
      </c>
      <c r="I91" s="12" t="s">
        <v>519</v>
      </c>
    </row>
    <row r="92" spans="1:9">
      <c r="A92" s="1" t="s">
        <v>143</v>
      </c>
      <c r="B92" s="1">
        <v>0</v>
      </c>
      <c r="C92" s="1">
        <v>0</v>
      </c>
      <c r="D92" s="1">
        <v>0</v>
      </c>
      <c r="E92" s="1">
        <v>0</v>
      </c>
      <c r="F92" s="1">
        <v>0</v>
      </c>
      <c r="H92" s="1" t="str">
        <f t="shared" si="4"/>
        <v>1992</v>
      </c>
      <c r="I92" s="12" t="s">
        <v>519</v>
      </c>
    </row>
    <row r="93" spans="1:9">
      <c r="A93" s="1" t="s">
        <v>144</v>
      </c>
      <c r="B93" s="1">
        <v>0</v>
      </c>
      <c r="C93" s="1">
        <v>0</v>
      </c>
      <c r="D93" s="1">
        <v>0</v>
      </c>
      <c r="E93" s="1">
        <v>0</v>
      </c>
      <c r="F93" s="1">
        <v>0</v>
      </c>
      <c r="H93" s="1" t="str">
        <f t="shared" si="4"/>
        <v>1992</v>
      </c>
      <c r="I93" s="12" t="s">
        <v>519</v>
      </c>
    </row>
    <row r="94" spans="1:9">
      <c r="A94" s="1" t="s">
        <v>14</v>
      </c>
      <c r="B94" s="1">
        <v>0</v>
      </c>
      <c r="C94" s="1">
        <v>0</v>
      </c>
      <c r="D94" s="1">
        <v>0</v>
      </c>
      <c r="E94" s="1">
        <v>0</v>
      </c>
      <c r="F94" s="1">
        <v>0</v>
      </c>
      <c r="H94" s="1" t="str">
        <f t="shared" si="4"/>
        <v>1992</v>
      </c>
      <c r="I94" s="12" t="s">
        <v>519</v>
      </c>
    </row>
    <row r="95" spans="1:9">
      <c r="A95" s="1" t="s">
        <v>145</v>
      </c>
      <c r="B95" s="1">
        <v>34.18</v>
      </c>
      <c r="C95" s="1">
        <v>0</v>
      </c>
      <c r="D95" s="1">
        <v>151.94999999999999</v>
      </c>
      <c r="E95" s="1">
        <v>0</v>
      </c>
      <c r="F95" s="1">
        <v>7.4</v>
      </c>
      <c r="H95" s="1" t="str">
        <f t="shared" si="4"/>
        <v>1992</v>
      </c>
      <c r="I95" s="12" t="s">
        <v>519</v>
      </c>
    </row>
    <row r="96" spans="1:9">
      <c r="A96" s="1" t="s">
        <v>146</v>
      </c>
      <c r="B96" s="1">
        <v>21.01</v>
      </c>
      <c r="C96" s="1">
        <v>0.73</v>
      </c>
      <c r="D96" s="1">
        <v>187.1</v>
      </c>
      <c r="E96" s="1">
        <v>0</v>
      </c>
      <c r="F96" s="1">
        <v>1.88</v>
      </c>
      <c r="H96" s="1" t="str">
        <f t="shared" si="4"/>
        <v>1992</v>
      </c>
      <c r="I96" s="12" t="s">
        <v>519</v>
      </c>
    </row>
    <row r="97" spans="1:9">
      <c r="A97" s="1" t="s">
        <v>147</v>
      </c>
      <c r="B97" s="1">
        <v>94.89</v>
      </c>
      <c r="C97" s="1">
        <v>0</v>
      </c>
      <c r="D97" s="1">
        <v>65.45</v>
      </c>
      <c r="E97" s="1">
        <v>0</v>
      </c>
      <c r="F97" s="1">
        <v>0</v>
      </c>
      <c r="H97" s="1" t="str">
        <f t="shared" si="4"/>
        <v>1992</v>
      </c>
      <c r="I97" s="12" t="s">
        <v>519</v>
      </c>
    </row>
    <row r="98" spans="1:9">
      <c r="A98" s="1" t="s">
        <v>518</v>
      </c>
    </row>
    <row r="99" spans="1:9">
      <c r="A99" s="1" t="s">
        <v>20</v>
      </c>
      <c r="B99" s="1">
        <v>47.48</v>
      </c>
      <c r="C99" s="1">
        <v>48.45</v>
      </c>
      <c r="D99" s="1">
        <v>47.7</v>
      </c>
      <c r="E99" s="1">
        <v>47.55</v>
      </c>
      <c r="F99" s="1">
        <v>27.6</v>
      </c>
      <c r="H99" s="1" t="str">
        <f>H81</f>
        <v>1992</v>
      </c>
      <c r="I99" s="12" t="s">
        <v>148</v>
      </c>
    </row>
    <row r="100" spans="1:9">
      <c r="A100" s="1" t="s">
        <v>17</v>
      </c>
      <c r="B100" s="1">
        <v>45.97</v>
      </c>
      <c r="C100" s="1">
        <v>46.95</v>
      </c>
      <c r="D100" s="1">
        <v>46.2</v>
      </c>
      <c r="E100" s="1">
        <v>46.05</v>
      </c>
      <c r="F100" s="1">
        <v>26.09</v>
      </c>
      <c r="H100" s="1" t="str">
        <f t="shared" ref="H100:H115" si="5">H82</f>
        <v>1992</v>
      </c>
      <c r="I100" s="12" t="s">
        <v>148</v>
      </c>
    </row>
    <row r="101" spans="1:9">
      <c r="A101" s="1" t="s">
        <v>10</v>
      </c>
      <c r="B101" s="1">
        <v>39.090000000000003</v>
      </c>
      <c r="C101" s="1">
        <v>40.06</v>
      </c>
      <c r="D101" s="1">
        <v>39.31</v>
      </c>
      <c r="E101" s="1">
        <v>41.15</v>
      </c>
      <c r="F101" s="1">
        <v>38.92</v>
      </c>
      <c r="H101" s="1" t="str">
        <f t="shared" si="5"/>
        <v>1992</v>
      </c>
      <c r="I101" s="12" t="s">
        <v>148</v>
      </c>
    </row>
    <row r="102" spans="1:9">
      <c r="A102" s="1" t="s">
        <v>11</v>
      </c>
      <c r="B102" s="1">
        <v>40.25</v>
      </c>
      <c r="C102" s="1">
        <v>38.799999999999997</v>
      </c>
      <c r="D102" s="1">
        <v>39.14</v>
      </c>
      <c r="E102" s="1">
        <v>47.17</v>
      </c>
      <c r="F102" s="1">
        <v>45.41</v>
      </c>
      <c r="H102" s="1" t="str">
        <f t="shared" si="5"/>
        <v>1992</v>
      </c>
      <c r="I102" s="12" t="s">
        <v>148</v>
      </c>
    </row>
    <row r="103" spans="1:9">
      <c r="A103" s="1" t="s">
        <v>32</v>
      </c>
      <c r="B103" s="1">
        <v>27.92</v>
      </c>
      <c r="C103" s="1">
        <v>30.15</v>
      </c>
      <c r="D103" s="1">
        <v>30.15</v>
      </c>
      <c r="E103" s="1">
        <v>29.55</v>
      </c>
      <c r="F103" s="1">
        <v>25.04</v>
      </c>
      <c r="H103" s="1" t="str">
        <f t="shared" si="5"/>
        <v>1992</v>
      </c>
      <c r="I103" s="12" t="s">
        <v>148</v>
      </c>
    </row>
    <row r="104" spans="1:9">
      <c r="A104" s="1" t="s">
        <v>31</v>
      </c>
      <c r="B104" s="1">
        <v>26.75</v>
      </c>
      <c r="C104" s="1">
        <v>28.91</v>
      </c>
      <c r="D104" s="1">
        <v>29.31</v>
      </c>
      <c r="E104" s="1">
        <v>28.56</v>
      </c>
      <c r="F104" s="1">
        <v>25.22</v>
      </c>
      <c r="H104" s="1" t="str">
        <f t="shared" si="5"/>
        <v>1992</v>
      </c>
      <c r="I104" s="12" t="s">
        <v>148</v>
      </c>
    </row>
    <row r="105" spans="1:9">
      <c r="A105" s="1" t="s">
        <v>266</v>
      </c>
      <c r="B105" s="1">
        <v>33.85</v>
      </c>
      <c r="C105" s="1">
        <v>33.619999999999997</v>
      </c>
      <c r="D105" s="1">
        <v>33.28</v>
      </c>
      <c r="E105" s="1">
        <v>42.84</v>
      </c>
      <c r="F105" s="1">
        <v>39.549999999999997</v>
      </c>
      <c r="H105" s="1" t="str">
        <f t="shared" si="5"/>
        <v>1992</v>
      </c>
      <c r="I105" s="12" t="s">
        <v>148</v>
      </c>
    </row>
    <row r="106" spans="1:9">
      <c r="A106" s="1" t="s">
        <v>269</v>
      </c>
      <c r="B106" s="1">
        <v>22.16</v>
      </c>
      <c r="C106" s="1">
        <v>22.16</v>
      </c>
      <c r="D106" s="1">
        <v>22.16</v>
      </c>
      <c r="E106" s="1">
        <v>22.16</v>
      </c>
      <c r="F106" s="1">
        <v>22.16</v>
      </c>
      <c r="H106" s="1" t="str">
        <f t="shared" si="5"/>
        <v>1992</v>
      </c>
      <c r="I106" s="12" t="s">
        <v>148</v>
      </c>
    </row>
    <row r="107" spans="1:9">
      <c r="A107" s="1" t="s">
        <v>30</v>
      </c>
      <c r="B107" s="1">
        <v>28.82</v>
      </c>
      <c r="C107" s="1">
        <v>28.55</v>
      </c>
      <c r="D107" s="1">
        <v>27.94</v>
      </c>
      <c r="E107" s="1">
        <v>27.9</v>
      </c>
      <c r="F107" s="1">
        <v>22.16</v>
      </c>
      <c r="H107" s="1" t="str">
        <f t="shared" si="5"/>
        <v>1992</v>
      </c>
      <c r="I107" s="12" t="s">
        <v>148</v>
      </c>
    </row>
    <row r="108" spans="1:9">
      <c r="A108" s="1" t="s">
        <v>26</v>
      </c>
      <c r="B108" s="1">
        <v>46.09</v>
      </c>
      <c r="C108" s="1">
        <v>46.09</v>
      </c>
      <c r="D108" s="1">
        <v>46.59</v>
      </c>
      <c r="E108" s="1">
        <v>46.21</v>
      </c>
      <c r="F108" s="1">
        <v>46.21</v>
      </c>
      <c r="H108" s="1" t="str">
        <f t="shared" si="5"/>
        <v>1992</v>
      </c>
      <c r="I108" s="12" t="s">
        <v>148</v>
      </c>
    </row>
    <row r="109" spans="1:9">
      <c r="A109" s="1" t="s">
        <v>271</v>
      </c>
      <c r="B109" s="1">
        <v>37.130000000000003</v>
      </c>
      <c r="C109" s="1">
        <v>36.49</v>
      </c>
      <c r="D109" s="1">
        <v>36.14</v>
      </c>
      <c r="E109" s="1">
        <v>37.659999999999997</v>
      </c>
      <c r="F109" s="1">
        <v>35.81</v>
      </c>
      <c r="H109" s="1" t="str">
        <f t="shared" si="5"/>
        <v>1992</v>
      </c>
      <c r="I109" s="12" t="s">
        <v>148</v>
      </c>
    </row>
    <row r="110" spans="1:9">
      <c r="A110" s="1" t="s">
        <v>143</v>
      </c>
      <c r="B110" s="1">
        <v>46.64</v>
      </c>
      <c r="C110" s="1">
        <v>45.05</v>
      </c>
      <c r="D110" s="1">
        <v>44.73</v>
      </c>
      <c r="E110" s="1">
        <v>46.78</v>
      </c>
      <c r="F110" s="1">
        <v>44.75</v>
      </c>
      <c r="H110" s="1" t="str">
        <f t="shared" si="5"/>
        <v>1992</v>
      </c>
      <c r="I110" s="12" t="s">
        <v>148</v>
      </c>
    </row>
    <row r="111" spans="1:9">
      <c r="A111" s="1" t="s">
        <v>144</v>
      </c>
      <c r="B111" s="1">
        <v>40.57</v>
      </c>
      <c r="C111" s="1">
        <v>40.049999999999997</v>
      </c>
      <c r="D111" s="1">
        <v>39.799999999999997</v>
      </c>
      <c r="E111" s="1">
        <v>43.83</v>
      </c>
      <c r="F111" s="1">
        <v>42.56</v>
      </c>
      <c r="H111" s="1" t="str">
        <f t="shared" si="5"/>
        <v>1992</v>
      </c>
      <c r="I111" s="12" t="s">
        <v>148</v>
      </c>
    </row>
    <row r="112" spans="1:9">
      <c r="A112" s="1" t="s">
        <v>14</v>
      </c>
      <c r="B112" s="1">
        <v>0</v>
      </c>
      <c r="C112" s="1">
        <v>0</v>
      </c>
      <c r="D112" s="1">
        <v>0</v>
      </c>
      <c r="E112" s="1">
        <v>0</v>
      </c>
      <c r="F112" s="1">
        <v>0</v>
      </c>
      <c r="H112" s="1" t="str">
        <f t="shared" si="5"/>
        <v>1992</v>
      </c>
      <c r="I112" s="12" t="s">
        <v>148</v>
      </c>
    </row>
    <row r="113" spans="1:9">
      <c r="A113" s="1" t="s">
        <v>145</v>
      </c>
      <c r="B113" s="1">
        <v>20.11</v>
      </c>
      <c r="C113" s="1">
        <v>20.190000000000001</v>
      </c>
      <c r="D113" s="1">
        <v>19.850000000000001</v>
      </c>
      <c r="E113" s="1">
        <v>23.91</v>
      </c>
      <c r="F113" s="1">
        <v>22.38</v>
      </c>
      <c r="H113" s="1" t="str">
        <f t="shared" si="5"/>
        <v>1992</v>
      </c>
      <c r="I113" s="12" t="s">
        <v>148</v>
      </c>
    </row>
    <row r="114" spans="1:9">
      <c r="A114" s="1" t="s">
        <v>146</v>
      </c>
      <c r="B114" s="1">
        <v>24.58</v>
      </c>
      <c r="C114" s="1">
        <v>24.68</v>
      </c>
      <c r="D114" s="1">
        <v>24.26</v>
      </c>
      <c r="E114" s="1">
        <v>29.22</v>
      </c>
      <c r="F114" s="1">
        <v>27.36</v>
      </c>
      <c r="H114" s="1" t="str">
        <f t="shared" si="5"/>
        <v>1992</v>
      </c>
      <c r="I114" s="12" t="s">
        <v>148</v>
      </c>
    </row>
    <row r="115" spans="1:9">
      <c r="A115" s="1" t="s">
        <v>147</v>
      </c>
      <c r="B115" s="1">
        <v>18.43</v>
      </c>
      <c r="C115" s="1">
        <v>18.510000000000002</v>
      </c>
      <c r="D115" s="1">
        <v>18.190000000000001</v>
      </c>
      <c r="E115" s="1">
        <v>21.91</v>
      </c>
      <c r="F115" s="1">
        <v>20.52</v>
      </c>
      <c r="H115" s="1" t="str">
        <f t="shared" si="5"/>
        <v>1992</v>
      </c>
      <c r="I115" s="12" t="s">
        <v>148</v>
      </c>
    </row>
    <row r="116" spans="1:9">
      <c r="A116" s="1" t="s">
        <v>151</v>
      </c>
    </row>
    <row r="117" spans="1:9">
      <c r="A117" s="1" t="s">
        <v>517</v>
      </c>
    </row>
    <row r="118" spans="1:9">
      <c r="A118" s="1" t="s">
        <v>20</v>
      </c>
      <c r="B118" s="1">
        <v>0</v>
      </c>
      <c r="C118" s="1">
        <v>0</v>
      </c>
      <c r="D118" s="1">
        <v>0</v>
      </c>
      <c r="E118" s="1">
        <v>0</v>
      </c>
      <c r="F118" s="1">
        <v>0</v>
      </c>
      <c r="H118" s="1" t="str">
        <f>RIGHT(A116,4)</f>
        <v>1993</v>
      </c>
      <c r="I118" s="12" t="s">
        <v>519</v>
      </c>
    </row>
    <row r="119" spans="1:9">
      <c r="A119" s="1" t="s">
        <v>17</v>
      </c>
      <c r="B119" s="1">
        <v>231.32</v>
      </c>
      <c r="C119" s="1">
        <v>2.4900000000000002</v>
      </c>
      <c r="D119" s="1">
        <v>3.73</v>
      </c>
      <c r="E119" s="1">
        <v>0.33</v>
      </c>
      <c r="F119" s="1">
        <v>9.3699999999999992</v>
      </c>
      <c r="H119" s="1" t="str">
        <f>H118</f>
        <v>1993</v>
      </c>
      <c r="I119" s="12" t="s">
        <v>519</v>
      </c>
    </row>
    <row r="120" spans="1:9">
      <c r="A120" s="1" t="s">
        <v>10</v>
      </c>
      <c r="B120" s="1">
        <v>102.32</v>
      </c>
      <c r="C120" s="1">
        <v>3.27</v>
      </c>
      <c r="D120" s="1">
        <v>0.13</v>
      </c>
      <c r="E120" s="1">
        <v>1.82</v>
      </c>
      <c r="F120" s="1">
        <v>3.24</v>
      </c>
      <c r="H120" s="1" t="str">
        <f t="shared" ref="H120:H134" si="6">H119</f>
        <v>1993</v>
      </c>
      <c r="I120" s="12" t="s">
        <v>519</v>
      </c>
    </row>
    <row r="121" spans="1:9">
      <c r="A121" s="1" t="s">
        <v>11</v>
      </c>
      <c r="B121" s="1">
        <v>60.62</v>
      </c>
      <c r="C121" s="1">
        <v>2.88</v>
      </c>
      <c r="D121" s="1">
        <v>6.57</v>
      </c>
      <c r="E121" s="1">
        <v>1.3</v>
      </c>
      <c r="F121" s="1">
        <v>2.75</v>
      </c>
      <c r="H121" s="1" t="str">
        <f t="shared" si="6"/>
        <v>1993</v>
      </c>
      <c r="I121" s="12" t="s">
        <v>519</v>
      </c>
    </row>
    <row r="122" spans="1:9">
      <c r="A122" s="1" t="s">
        <v>32</v>
      </c>
      <c r="B122" s="1">
        <v>103.45</v>
      </c>
      <c r="C122" s="1">
        <v>0.5</v>
      </c>
      <c r="D122" s="1">
        <v>7.25</v>
      </c>
      <c r="E122" s="1">
        <v>0.03</v>
      </c>
      <c r="F122" s="1">
        <v>5.04</v>
      </c>
      <c r="H122" s="1" t="str">
        <f t="shared" si="6"/>
        <v>1993</v>
      </c>
      <c r="I122" s="12" t="s">
        <v>519</v>
      </c>
    </row>
    <row r="123" spans="1:9">
      <c r="A123" s="1" t="s">
        <v>31</v>
      </c>
      <c r="B123" s="1">
        <v>199.23</v>
      </c>
      <c r="C123" s="1">
        <v>0.21</v>
      </c>
      <c r="D123" s="1">
        <v>42.59</v>
      </c>
      <c r="E123" s="1">
        <v>0.02</v>
      </c>
      <c r="F123" s="1">
        <v>14.69</v>
      </c>
      <c r="H123" s="1" t="str">
        <f t="shared" si="6"/>
        <v>1993</v>
      </c>
      <c r="I123" s="12" t="s">
        <v>519</v>
      </c>
    </row>
    <row r="124" spans="1:9">
      <c r="A124" s="1" t="s">
        <v>266</v>
      </c>
      <c r="B124" s="1">
        <v>82.02</v>
      </c>
      <c r="C124" s="1">
        <v>2.2799999999999998</v>
      </c>
      <c r="D124" s="1">
        <v>6.7</v>
      </c>
      <c r="E124" s="1">
        <v>0</v>
      </c>
      <c r="F124" s="1">
        <v>8.9600000000000009</v>
      </c>
      <c r="H124" s="1" t="str">
        <f t="shared" si="6"/>
        <v>1993</v>
      </c>
      <c r="I124" s="12" t="s">
        <v>519</v>
      </c>
    </row>
    <row r="125" spans="1:9">
      <c r="A125" s="1" t="s">
        <v>269</v>
      </c>
      <c r="B125" s="1">
        <v>23.73</v>
      </c>
      <c r="C125" s="1">
        <v>77.88</v>
      </c>
      <c r="D125" s="1">
        <v>75.67</v>
      </c>
      <c r="E125" s="1">
        <v>14.05</v>
      </c>
      <c r="F125" s="1">
        <v>0.64</v>
      </c>
      <c r="H125" s="1" t="str">
        <f t="shared" si="6"/>
        <v>1993</v>
      </c>
      <c r="I125" s="12" t="s">
        <v>519</v>
      </c>
    </row>
    <row r="126" spans="1:9">
      <c r="A126" s="1" t="s">
        <v>30</v>
      </c>
      <c r="B126" s="1">
        <v>5</v>
      </c>
      <c r="C126" s="1">
        <v>1</v>
      </c>
      <c r="D126" s="1">
        <v>141</v>
      </c>
      <c r="E126" s="1">
        <v>0</v>
      </c>
      <c r="F126" s="1">
        <v>1</v>
      </c>
      <c r="H126" s="1" t="str">
        <f t="shared" si="6"/>
        <v>1993</v>
      </c>
      <c r="I126" s="12" t="s">
        <v>519</v>
      </c>
    </row>
    <row r="127" spans="1:9">
      <c r="A127" s="1" t="s">
        <v>26</v>
      </c>
      <c r="B127" s="1">
        <v>60</v>
      </c>
      <c r="C127" s="1">
        <v>3</v>
      </c>
      <c r="D127" s="1">
        <v>9</v>
      </c>
      <c r="E127" s="1">
        <v>0</v>
      </c>
      <c r="F127" s="1">
        <v>2</v>
      </c>
      <c r="H127" s="1" t="str">
        <f t="shared" si="6"/>
        <v>1993</v>
      </c>
      <c r="I127" s="12" t="s">
        <v>519</v>
      </c>
    </row>
    <row r="128" spans="1:9">
      <c r="A128" s="1" t="s">
        <v>271</v>
      </c>
      <c r="B128" s="1">
        <v>0</v>
      </c>
      <c r="C128" s="1">
        <v>0</v>
      </c>
      <c r="D128" s="1">
        <v>0</v>
      </c>
      <c r="E128" s="1">
        <v>0</v>
      </c>
      <c r="F128" s="1">
        <v>0</v>
      </c>
      <c r="H128" s="1" t="str">
        <f t="shared" si="6"/>
        <v>1993</v>
      </c>
      <c r="I128" s="12" t="s">
        <v>519</v>
      </c>
    </row>
    <row r="129" spans="1:9">
      <c r="A129" s="1" t="s">
        <v>143</v>
      </c>
      <c r="B129" s="1">
        <v>6.48</v>
      </c>
      <c r="C129" s="1">
        <v>0</v>
      </c>
      <c r="D129" s="1">
        <v>0.72</v>
      </c>
      <c r="E129" s="1">
        <v>0</v>
      </c>
      <c r="F129" s="1">
        <v>12.75</v>
      </c>
      <c r="H129" s="1" t="str">
        <f t="shared" si="6"/>
        <v>1993</v>
      </c>
      <c r="I129" s="12" t="s">
        <v>519</v>
      </c>
    </row>
    <row r="130" spans="1:9">
      <c r="A130" s="1" t="s">
        <v>144</v>
      </c>
      <c r="B130" s="1">
        <v>0</v>
      </c>
      <c r="C130" s="1">
        <v>0</v>
      </c>
      <c r="D130" s="1">
        <v>0</v>
      </c>
      <c r="E130" s="1">
        <v>0</v>
      </c>
      <c r="F130" s="1">
        <v>0</v>
      </c>
      <c r="H130" s="1" t="str">
        <f t="shared" si="6"/>
        <v>1993</v>
      </c>
      <c r="I130" s="12" t="s">
        <v>519</v>
      </c>
    </row>
    <row r="131" spans="1:9">
      <c r="A131" s="1" t="s">
        <v>14</v>
      </c>
      <c r="B131" s="1">
        <v>0</v>
      </c>
      <c r="C131" s="1">
        <v>0</v>
      </c>
      <c r="D131" s="1">
        <v>0</v>
      </c>
      <c r="E131" s="1">
        <v>0</v>
      </c>
      <c r="F131" s="1">
        <v>0</v>
      </c>
      <c r="H131" s="1" t="str">
        <f t="shared" si="6"/>
        <v>1993</v>
      </c>
      <c r="I131" s="12" t="s">
        <v>519</v>
      </c>
    </row>
    <row r="132" spans="1:9">
      <c r="A132" s="1" t="s">
        <v>145</v>
      </c>
      <c r="B132" s="1">
        <v>29.35</v>
      </c>
      <c r="C132" s="1">
        <v>0</v>
      </c>
      <c r="D132" s="1">
        <v>209.68</v>
      </c>
      <c r="E132" s="1">
        <v>0</v>
      </c>
      <c r="F132" s="1">
        <v>10.91</v>
      </c>
      <c r="H132" s="1" t="str">
        <f t="shared" si="6"/>
        <v>1993</v>
      </c>
      <c r="I132" s="12" t="s">
        <v>519</v>
      </c>
    </row>
    <row r="133" spans="1:9">
      <c r="A133" s="1" t="s">
        <v>146</v>
      </c>
      <c r="B133" s="1">
        <v>10.25</v>
      </c>
      <c r="C133" s="1">
        <v>1.6</v>
      </c>
      <c r="D133" s="1">
        <v>203.55</v>
      </c>
      <c r="E133" s="1">
        <v>0</v>
      </c>
      <c r="F133" s="1">
        <v>0.7</v>
      </c>
      <c r="H133" s="1" t="str">
        <f t="shared" si="6"/>
        <v>1993</v>
      </c>
      <c r="I133" s="12" t="s">
        <v>519</v>
      </c>
    </row>
    <row r="134" spans="1:9">
      <c r="A134" s="1" t="s">
        <v>147</v>
      </c>
      <c r="B134" s="1">
        <v>90.32</v>
      </c>
      <c r="C134" s="1">
        <v>0</v>
      </c>
      <c r="D134" s="1">
        <v>76.12</v>
      </c>
      <c r="E134" s="1">
        <v>0</v>
      </c>
      <c r="F134" s="1">
        <v>2.2799999999999998</v>
      </c>
      <c r="H134" s="1" t="str">
        <f t="shared" si="6"/>
        <v>1993</v>
      </c>
      <c r="I134" s="12" t="s">
        <v>519</v>
      </c>
    </row>
    <row r="135" spans="1:9">
      <c r="A135" s="1" t="s">
        <v>518</v>
      </c>
    </row>
    <row r="136" spans="1:9">
      <c r="A136" s="1" t="s">
        <v>20</v>
      </c>
      <c r="B136" s="1">
        <v>48.45</v>
      </c>
      <c r="C136" s="1">
        <v>49.44</v>
      </c>
      <c r="D136" s="1">
        <v>48.68</v>
      </c>
      <c r="E136" s="1">
        <v>48.53</v>
      </c>
      <c r="F136" s="1">
        <v>28.16</v>
      </c>
      <c r="H136" s="1" t="str">
        <f>H118</f>
        <v>1993</v>
      </c>
      <c r="I136" s="12" t="s">
        <v>148</v>
      </c>
    </row>
    <row r="137" spans="1:9">
      <c r="A137" s="1" t="s">
        <v>17</v>
      </c>
      <c r="B137" s="1">
        <v>46.91</v>
      </c>
      <c r="C137" s="1">
        <v>47.9</v>
      </c>
      <c r="D137" s="1">
        <v>47.14</v>
      </c>
      <c r="E137" s="1">
        <v>46.99</v>
      </c>
      <c r="F137" s="1">
        <v>26.62</v>
      </c>
      <c r="H137" s="1" t="str">
        <f t="shared" ref="H137:H152" si="7">H119</f>
        <v>1993</v>
      </c>
      <c r="I137" s="12" t="s">
        <v>148</v>
      </c>
    </row>
    <row r="138" spans="1:9">
      <c r="A138" s="1" t="s">
        <v>10</v>
      </c>
      <c r="B138" s="1">
        <v>39.89</v>
      </c>
      <c r="C138" s="1">
        <v>40.880000000000003</v>
      </c>
      <c r="D138" s="1">
        <v>40.119999999999997</v>
      </c>
      <c r="E138" s="1">
        <v>41.99</v>
      </c>
      <c r="F138" s="1">
        <v>39.71</v>
      </c>
      <c r="H138" s="1" t="str">
        <f t="shared" si="7"/>
        <v>1993</v>
      </c>
      <c r="I138" s="12" t="s">
        <v>148</v>
      </c>
    </row>
    <row r="139" spans="1:9">
      <c r="A139" s="1" t="s">
        <v>11</v>
      </c>
      <c r="B139" s="1">
        <v>41.08</v>
      </c>
      <c r="C139" s="1">
        <v>39.590000000000003</v>
      </c>
      <c r="D139" s="1">
        <v>39.94</v>
      </c>
      <c r="E139" s="1">
        <v>48.13</v>
      </c>
      <c r="F139" s="1">
        <v>46.33</v>
      </c>
      <c r="H139" s="1" t="str">
        <f t="shared" si="7"/>
        <v>1993</v>
      </c>
      <c r="I139" s="12" t="s">
        <v>148</v>
      </c>
    </row>
    <row r="140" spans="1:9">
      <c r="A140" s="1" t="s">
        <v>32</v>
      </c>
      <c r="B140" s="1">
        <v>28.49</v>
      </c>
      <c r="C140" s="1">
        <v>30.76</v>
      </c>
      <c r="D140" s="1">
        <v>30.76</v>
      </c>
      <c r="E140" s="1">
        <v>30.15</v>
      </c>
      <c r="F140" s="1">
        <v>25.55</v>
      </c>
      <c r="H140" s="1" t="str">
        <f t="shared" si="7"/>
        <v>1993</v>
      </c>
      <c r="I140" s="12" t="s">
        <v>148</v>
      </c>
    </row>
    <row r="141" spans="1:9">
      <c r="A141" s="1" t="s">
        <v>31</v>
      </c>
      <c r="B141" s="1">
        <v>27.3</v>
      </c>
      <c r="C141" s="1">
        <v>29.5</v>
      </c>
      <c r="D141" s="1">
        <v>29.91</v>
      </c>
      <c r="E141" s="1">
        <v>29.14</v>
      </c>
      <c r="F141" s="1">
        <v>25.74</v>
      </c>
      <c r="H141" s="1" t="str">
        <f t="shared" si="7"/>
        <v>1993</v>
      </c>
      <c r="I141" s="12" t="s">
        <v>148</v>
      </c>
    </row>
    <row r="142" spans="1:9">
      <c r="A142" s="1" t="s">
        <v>266</v>
      </c>
      <c r="B142" s="1">
        <v>34.54</v>
      </c>
      <c r="C142" s="1">
        <v>34.31</v>
      </c>
      <c r="D142" s="1">
        <v>33.96</v>
      </c>
      <c r="E142" s="1">
        <v>43.71</v>
      </c>
      <c r="F142" s="1">
        <v>40.36</v>
      </c>
      <c r="H142" s="1" t="str">
        <f t="shared" si="7"/>
        <v>1993</v>
      </c>
      <c r="I142" s="12" t="s">
        <v>148</v>
      </c>
    </row>
    <row r="143" spans="1:9">
      <c r="A143" s="1" t="s">
        <v>269</v>
      </c>
      <c r="B143" s="1">
        <v>22.61</v>
      </c>
      <c r="C143" s="1">
        <v>22.61</v>
      </c>
      <c r="D143" s="1">
        <v>22.61</v>
      </c>
      <c r="E143" s="1">
        <v>22.61</v>
      </c>
      <c r="F143" s="1">
        <v>22.61</v>
      </c>
      <c r="H143" s="1" t="str">
        <f t="shared" si="7"/>
        <v>1993</v>
      </c>
      <c r="I143" s="12" t="s">
        <v>148</v>
      </c>
    </row>
    <row r="144" spans="1:9">
      <c r="A144" s="1" t="s">
        <v>30</v>
      </c>
      <c r="B144" s="1">
        <v>29.41</v>
      </c>
      <c r="C144" s="1">
        <v>29.13</v>
      </c>
      <c r="D144" s="1">
        <v>28.52</v>
      </c>
      <c r="E144" s="1">
        <v>28.47</v>
      </c>
      <c r="F144" s="1">
        <v>22.61</v>
      </c>
      <c r="H144" s="1" t="str">
        <f t="shared" si="7"/>
        <v>1993</v>
      </c>
      <c r="I144" s="12" t="s">
        <v>148</v>
      </c>
    </row>
    <row r="145" spans="1:9">
      <c r="A145" s="1" t="s">
        <v>26</v>
      </c>
      <c r="B145" s="1">
        <v>47.03</v>
      </c>
      <c r="C145" s="1">
        <v>47.03</v>
      </c>
      <c r="D145" s="1">
        <v>47.55</v>
      </c>
      <c r="E145" s="1">
        <v>47.16</v>
      </c>
      <c r="F145" s="1">
        <v>47.16</v>
      </c>
      <c r="H145" s="1" t="str">
        <f t="shared" si="7"/>
        <v>1993</v>
      </c>
      <c r="I145" s="12" t="s">
        <v>148</v>
      </c>
    </row>
    <row r="146" spans="1:9">
      <c r="A146" s="1" t="s">
        <v>271</v>
      </c>
      <c r="B146" s="1">
        <v>37.89</v>
      </c>
      <c r="C146" s="1">
        <v>37.24</v>
      </c>
      <c r="D146" s="1">
        <v>36.880000000000003</v>
      </c>
      <c r="E146" s="1">
        <v>38.43</v>
      </c>
      <c r="F146" s="1">
        <v>36.54</v>
      </c>
      <c r="H146" s="1" t="str">
        <f t="shared" si="7"/>
        <v>1993</v>
      </c>
      <c r="I146" s="12" t="s">
        <v>148</v>
      </c>
    </row>
    <row r="147" spans="1:9">
      <c r="A147" s="1" t="s">
        <v>143</v>
      </c>
      <c r="B147" s="1">
        <v>47.59</v>
      </c>
      <c r="C147" s="1">
        <v>45.96</v>
      </c>
      <c r="D147" s="1">
        <v>45.64</v>
      </c>
      <c r="E147" s="1">
        <v>47.74</v>
      </c>
      <c r="F147" s="1">
        <v>45.66</v>
      </c>
      <c r="H147" s="1" t="str">
        <f t="shared" si="7"/>
        <v>1993</v>
      </c>
      <c r="I147" s="12" t="s">
        <v>148</v>
      </c>
    </row>
    <row r="148" spans="1:9">
      <c r="A148" s="1" t="s">
        <v>144</v>
      </c>
      <c r="B148" s="1">
        <v>41.4</v>
      </c>
      <c r="C148" s="1">
        <v>40.86</v>
      </c>
      <c r="D148" s="1">
        <v>40.61</v>
      </c>
      <c r="E148" s="1">
        <v>44.72</v>
      </c>
      <c r="F148" s="1">
        <v>43.42</v>
      </c>
      <c r="H148" s="1" t="str">
        <f t="shared" si="7"/>
        <v>1993</v>
      </c>
      <c r="I148" s="12" t="s">
        <v>148</v>
      </c>
    </row>
    <row r="149" spans="1:9">
      <c r="A149" s="1" t="s">
        <v>14</v>
      </c>
      <c r="B149" s="1">
        <v>0</v>
      </c>
      <c r="C149" s="1">
        <v>0</v>
      </c>
      <c r="D149" s="1">
        <v>0</v>
      </c>
      <c r="E149" s="1">
        <v>0</v>
      </c>
      <c r="F149" s="1">
        <v>0</v>
      </c>
      <c r="H149" s="1" t="str">
        <f t="shared" si="7"/>
        <v>1993</v>
      </c>
      <c r="I149" s="12" t="s">
        <v>148</v>
      </c>
    </row>
    <row r="150" spans="1:9">
      <c r="A150" s="1" t="s">
        <v>145</v>
      </c>
      <c r="B150" s="1">
        <v>20.52</v>
      </c>
      <c r="C150" s="1">
        <v>20.6</v>
      </c>
      <c r="D150" s="1">
        <v>20.25</v>
      </c>
      <c r="E150" s="1">
        <v>24.39</v>
      </c>
      <c r="F150" s="1">
        <v>22.84</v>
      </c>
      <c r="H150" s="1" t="str">
        <f t="shared" si="7"/>
        <v>1993</v>
      </c>
      <c r="I150" s="12" t="s">
        <v>148</v>
      </c>
    </row>
    <row r="151" spans="1:9">
      <c r="A151" s="1" t="s">
        <v>146</v>
      </c>
      <c r="B151" s="1">
        <v>25.08</v>
      </c>
      <c r="C151" s="1">
        <v>25.18</v>
      </c>
      <c r="D151" s="1">
        <v>24.75</v>
      </c>
      <c r="E151" s="1">
        <v>29.82</v>
      </c>
      <c r="F151" s="1">
        <v>27.92</v>
      </c>
      <c r="H151" s="1" t="str">
        <f t="shared" si="7"/>
        <v>1993</v>
      </c>
      <c r="I151" s="12" t="s">
        <v>148</v>
      </c>
    </row>
    <row r="152" spans="1:9">
      <c r="A152" s="1" t="s">
        <v>147</v>
      </c>
      <c r="B152" s="1">
        <v>18.809999999999999</v>
      </c>
      <c r="C152" s="1">
        <v>18.88</v>
      </c>
      <c r="D152" s="1">
        <v>18.57</v>
      </c>
      <c r="E152" s="1">
        <v>22.36</v>
      </c>
      <c r="F152" s="1">
        <v>20.94</v>
      </c>
      <c r="H152" s="1" t="str">
        <f t="shared" si="7"/>
        <v>1993</v>
      </c>
      <c r="I152" s="12" t="s">
        <v>148</v>
      </c>
    </row>
    <row r="153" spans="1:9">
      <c r="A153" s="1" t="s">
        <v>152</v>
      </c>
    </row>
    <row r="154" spans="1:9">
      <c r="A154" s="1" t="s">
        <v>517</v>
      </c>
      <c r="H154" s="1" t="str">
        <f>RIGHT(A152,4)</f>
        <v>Oil)</v>
      </c>
    </row>
    <row r="155" spans="1:9">
      <c r="A155" s="1" t="s">
        <v>20</v>
      </c>
      <c r="B155" s="1">
        <v>15.02</v>
      </c>
      <c r="C155" s="1">
        <v>0</v>
      </c>
      <c r="D155" s="1">
        <v>0.15</v>
      </c>
      <c r="E155" s="1">
        <v>0</v>
      </c>
      <c r="F155" s="1">
        <v>0</v>
      </c>
      <c r="H155" s="1" t="str">
        <f>RIGHT(A153,4)</f>
        <v>1994</v>
      </c>
      <c r="I155" s="12" t="s">
        <v>519</v>
      </c>
    </row>
    <row r="156" spans="1:9">
      <c r="A156" s="1" t="s">
        <v>17</v>
      </c>
      <c r="B156" s="1">
        <v>320.61</v>
      </c>
      <c r="C156" s="1">
        <v>2.5299999999999998</v>
      </c>
      <c r="D156" s="1">
        <v>12.93</v>
      </c>
      <c r="E156" s="1">
        <v>0.4</v>
      </c>
      <c r="F156" s="1">
        <v>4.1900000000000004</v>
      </c>
      <c r="H156" s="1" t="str">
        <f>H155</f>
        <v>1994</v>
      </c>
      <c r="I156" s="12" t="s">
        <v>519</v>
      </c>
    </row>
    <row r="157" spans="1:9">
      <c r="A157" s="1" t="s">
        <v>10</v>
      </c>
      <c r="B157" s="1">
        <v>117.61</v>
      </c>
      <c r="C157" s="1">
        <v>2.77</v>
      </c>
      <c r="D157" s="1">
        <v>1.67</v>
      </c>
      <c r="E157" s="1">
        <v>3.29</v>
      </c>
      <c r="F157" s="1">
        <v>1.22</v>
      </c>
      <c r="H157" s="1" t="str">
        <f t="shared" ref="H157:H171" si="8">H156</f>
        <v>1994</v>
      </c>
      <c r="I157" s="12" t="s">
        <v>519</v>
      </c>
    </row>
    <row r="158" spans="1:9">
      <c r="A158" s="1" t="s">
        <v>11</v>
      </c>
      <c r="B158" s="1">
        <v>72.25</v>
      </c>
      <c r="C158" s="1">
        <v>4.04</v>
      </c>
      <c r="D158" s="1">
        <v>1.57</v>
      </c>
      <c r="E158" s="1">
        <v>1.22</v>
      </c>
      <c r="F158" s="1">
        <v>0.31</v>
      </c>
      <c r="H158" s="1" t="str">
        <f t="shared" si="8"/>
        <v>1994</v>
      </c>
      <c r="I158" s="12" t="s">
        <v>519</v>
      </c>
    </row>
    <row r="159" spans="1:9">
      <c r="A159" s="1" t="s">
        <v>32</v>
      </c>
      <c r="B159" s="1">
        <v>111.3</v>
      </c>
      <c r="C159" s="1">
        <v>0.18</v>
      </c>
      <c r="D159" s="1">
        <v>6.89</v>
      </c>
      <c r="E159" s="1">
        <v>0.17</v>
      </c>
      <c r="F159" s="1">
        <v>1.66</v>
      </c>
      <c r="H159" s="1" t="str">
        <f t="shared" si="8"/>
        <v>1994</v>
      </c>
      <c r="I159" s="12" t="s">
        <v>519</v>
      </c>
    </row>
    <row r="160" spans="1:9">
      <c r="A160" s="1" t="s">
        <v>31</v>
      </c>
      <c r="B160" s="1">
        <v>172.99</v>
      </c>
      <c r="C160" s="1">
        <v>0.55000000000000004</v>
      </c>
      <c r="D160" s="1">
        <v>18.53</v>
      </c>
      <c r="E160" s="1">
        <v>0</v>
      </c>
      <c r="F160" s="1">
        <v>1.27</v>
      </c>
      <c r="H160" s="1" t="str">
        <f t="shared" si="8"/>
        <v>1994</v>
      </c>
      <c r="I160" s="12" t="s">
        <v>519</v>
      </c>
    </row>
    <row r="161" spans="1:9">
      <c r="A161" s="1" t="s">
        <v>266</v>
      </c>
      <c r="B161" s="1">
        <v>98.99</v>
      </c>
      <c r="C161" s="1">
        <v>0.78</v>
      </c>
      <c r="D161" s="1">
        <v>6.65</v>
      </c>
      <c r="E161" s="1">
        <v>0</v>
      </c>
      <c r="F161" s="1">
        <v>10.63</v>
      </c>
      <c r="H161" s="1" t="str">
        <f t="shared" si="8"/>
        <v>1994</v>
      </c>
      <c r="I161" s="12" t="s">
        <v>519</v>
      </c>
    </row>
    <row r="162" spans="1:9">
      <c r="A162" s="1" t="s">
        <v>269</v>
      </c>
      <c r="B162" s="1">
        <v>28.87</v>
      </c>
      <c r="C162" s="1">
        <v>84.28</v>
      </c>
      <c r="D162" s="1">
        <v>88.41</v>
      </c>
      <c r="E162" s="1">
        <v>19.82</v>
      </c>
      <c r="F162" s="1">
        <v>1.21</v>
      </c>
      <c r="H162" s="1" t="str">
        <f t="shared" si="8"/>
        <v>1994</v>
      </c>
      <c r="I162" s="12" t="s">
        <v>519</v>
      </c>
    </row>
    <row r="163" spans="1:9">
      <c r="A163" s="1" t="s">
        <v>30</v>
      </c>
      <c r="B163" s="1">
        <v>6</v>
      </c>
      <c r="C163" s="1">
        <v>1</v>
      </c>
      <c r="D163" s="1">
        <v>179</v>
      </c>
      <c r="E163" s="1">
        <v>0</v>
      </c>
      <c r="F163" s="1">
        <v>1</v>
      </c>
      <c r="H163" s="1" t="str">
        <f t="shared" si="8"/>
        <v>1994</v>
      </c>
      <c r="I163" s="12" t="s">
        <v>519</v>
      </c>
    </row>
    <row r="164" spans="1:9">
      <c r="A164" s="1" t="s">
        <v>26</v>
      </c>
      <c r="B164" s="1">
        <v>62</v>
      </c>
      <c r="C164" s="1">
        <v>7</v>
      </c>
      <c r="D164" s="1">
        <v>6</v>
      </c>
      <c r="E164" s="1">
        <v>0</v>
      </c>
      <c r="F164" s="1">
        <v>1</v>
      </c>
      <c r="H164" s="1" t="str">
        <f t="shared" si="8"/>
        <v>1994</v>
      </c>
      <c r="I164" s="12" t="s">
        <v>519</v>
      </c>
    </row>
    <row r="165" spans="1:9">
      <c r="A165" s="1" t="s">
        <v>271</v>
      </c>
      <c r="B165" s="1">
        <v>0</v>
      </c>
      <c r="C165" s="1">
        <v>0</v>
      </c>
      <c r="D165" s="1">
        <v>0</v>
      </c>
      <c r="E165" s="1">
        <v>0</v>
      </c>
      <c r="F165" s="1">
        <v>0</v>
      </c>
      <c r="H165" s="1" t="str">
        <f t="shared" si="8"/>
        <v>1994</v>
      </c>
      <c r="I165" s="12" t="s">
        <v>519</v>
      </c>
    </row>
    <row r="166" spans="1:9">
      <c r="A166" s="1" t="s">
        <v>143</v>
      </c>
      <c r="B166" s="1">
        <v>17.45</v>
      </c>
      <c r="C166" s="1">
        <v>0</v>
      </c>
      <c r="D166" s="1">
        <v>0</v>
      </c>
      <c r="E166" s="1">
        <v>0</v>
      </c>
      <c r="F166" s="1">
        <v>21.35</v>
      </c>
      <c r="H166" s="1" t="str">
        <f t="shared" si="8"/>
        <v>1994</v>
      </c>
      <c r="I166" s="12" t="s">
        <v>519</v>
      </c>
    </row>
    <row r="167" spans="1:9">
      <c r="A167" s="1" t="s">
        <v>144</v>
      </c>
      <c r="B167" s="1">
        <v>0</v>
      </c>
      <c r="C167" s="1">
        <v>0</v>
      </c>
      <c r="D167" s="1">
        <v>0</v>
      </c>
      <c r="E167" s="1">
        <v>0</v>
      </c>
      <c r="F167" s="1">
        <v>0</v>
      </c>
      <c r="H167" s="1" t="str">
        <f t="shared" si="8"/>
        <v>1994</v>
      </c>
      <c r="I167" s="12" t="s">
        <v>519</v>
      </c>
    </row>
    <row r="168" spans="1:9">
      <c r="A168" s="1" t="s">
        <v>14</v>
      </c>
      <c r="B168" s="1">
        <v>0</v>
      </c>
      <c r="C168" s="1">
        <v>0</v>
      </c>
      <c r="D168" s="1">
        <v>0</v>
      </c>
      <c r="E168" s="1">
        <v>0</v>
      </c>
      <c r="F168" s="1">
        <v>0</v>
      </c>
      <c r="H168" s="1" t="str">
        <f t="shared" si="8"/>
        <v>1994</v>
      </c>
      <c r="I168" s="12" t="s">
        <v>519</v>
      </c>
    </row>
    <row r="169" spans="1:9">
      <c r="A169" s="1" t="s">
        <v>145</v>
      </c>
      <c r="B169" s="1">
        <v>40.83</v>
      </c>
      <c r="C169" s="1">
        <v>0</v>
      </c>
      <c r="D169" s="1">
        <v>140.94999999999999</v>
      </c>
      <c r="E169" s="1">
        <v>0</v>
      </c>
      <c r="F169" s="1">
        <v>20.76</v>
      </c>
      <c r="H169" s="1" t="str">
        <f t="shared" si="8"/>
        <v>1994</v>
      </c>
      <c r="I169" s="12" t="s">
        <v>519</v>
      </c>
    </row>
    <row r="170" spans="1:9">
      <c r="A170" s="1" t="s">
        <v>146</v>
      </c>
      <c r="B170" s="1">
        <v>9.56</v>
      </c>
      <c r="C170" s="1">
        <v>0.7</v>
      </c>
      <c r="D170" s="1">
        <v>219.81</v>
      </c>
      <c r="E170" s="1">
        <v>0</v>
      </c>
      <c r="F170" s="1">
        <v>0.75</v>
      </c>
      <c r="H170" s="1" t="str">
        <f t="shared" si="8"/>
        <v>1994</v>
      </c>
      <c r="I170" s="12" t="s">
        <v>519</v>
      </c>
    </row>
    <row r="171" spans="1:9">
      <c r="A171" s="1" t="s">
        <v>147</v>
      </c>
      <c r="B171" s="1">
        <v>60.6</v>
      </c>
      <c r="C171" s="1">
        <v>0</v>
      </c>
      <c r="D171" s="1">
        <v>101.35</v>
      </c>
      <c r="E171" s="1">
        <v>0</v>
      </c>
      <c r="F171" s="1">
        <v>3.25</v>
      </c>
      <c r="H171" s="1" t="str">
        <f t="shared" si="8"/>
        <v>1994</v>
      </c>
      <c r="I171" s="12" t="s">
        <v>519</v>
      </c>
    </row>
    <row r="172" spans="1:9">
      <c r="A172" s="1" t="s">
        <v>518</v>
      </c>
    </row>
    <row r="173" spans="1:9">
      <c r="A173" s="1" t="s">
        <v>20</v>
      </c>
      <c r="B173" s="1">
        <v>49.44</v>
      </c>
      <c r="C173" s="1">
        <v>50.45</v>
      </c>
      <c r="D173" s="1">
        <v>49.67</v>
      </c>
      <c r="E173" s="1">
        <v>49.52</v>
      </c>
      <c r="F173" s="1">
        <v>28.74</v>
      </c>
      <c r="H173" s="1" t="str">
        <f>H155</f>
        <v>1994</v>
      </c>
      <c r="I173" s="12" t="s">
        <v>148</v>
      </c>
    </row>
    <row r="174" spans="1:9">
      <c r="A174" s="1" t="s">
        <v>17</v>
      </c>
      <c r="B174" s="1">
        <v>47.87</v>
      </c>
      <c r="C174" s="1">
        <v>48.88</v>
      </c>
      <c r="D174" s="1">
        <v>48.1</v>
      </c>
      <c r="E174" s="1">
        <v>47.95</v>
      </c>
      <c r="F174" s="1">
        <v>27.17</v>
      </c>
      <c r="H174" s="1" t="str">
        <f t="shared" ref="H174:H189" si="9">H156</f>
        <v>1994</v>
      </c>
      <c r="I174" s="12" t="s">
        <v>148</v>
      </c>
    </row>
    <row r="175" spans="1:9">
      <c r="A175" s="1" t="s">
        <v>10</v>
      </c>
      <c r="B175" s="1">
        <v>40.700000000000003</v>
      </c>
      <c r="C175" s="1">
        <v>41.72</v>
      </c>
      <c r="D175" s="1">
        <v>40.93</v>
      </c>
      <c r="E175" s="1">
        <v>42.85</v>
      </c>
      <c r="F175" s="1">
        <v>40.53</v>
      </c>
      <c r="H175" s="1" t="str">
        <f t="shared" si="9"/>
        <v>1994</v>
      </c>
      <c r="I175" s="12" t="s">
        <v>148</v>
      </c>
    </row>
    <row r="176" spans="1:9">
      <c r="A176" s="1" t="s">
        <v>11</v>
      </c>
      <c r="B176" s="1">
        <v>41.91</v>
      </c>
      <c r="C176" s="1">
        <v>40.4</v>
      </c>
      <c r="D176" s="1">
        <v>40.75</v>
      </c>
      <c r="E176" s="1">
        <v>49.11</v>
      </c>
      <c r="F176" s="1">
        <v>47.28</v>
      </c>
      <c r="H176" s="1" t="str">
        <f t="shared" si="9"/>
        <v>1994</v>
      </c>
      <c r="I176" s="12" t="s">
        <v>148</v>
      </c>
    </row>
    <row r="177" spans="1:9">
      <c r="A177" s="1" t="s">
        <v>32</v>
      </c>
      <c r="B177" s="1">
        <v>29.07</v>
      </c>
      <c r="C177" s="1">
        <v>31.39</v>
      </c>
      <c r="D177" s="1">
        <v>31.39</v>
      </c>
      <c r="E177" s="1">
        <v>30.77</v>
      </c>
      <c r="F177" s="1">
        <v>26.07</v>
      </c>
      <c r="H177" s="1" t="str">
        <f t="shared" si="9"/>
        <v>1994</v>
      </c>
      <c r="I177" s="12" t="s">
        <v>148</v>
      </c>
    </row>
    <row r="178" spans="1:9">
      <c r="A178" s="1" t="s">
        <v>31</v>
      </c>
      <c r="B178" s="1">
        <v>27.86</v>
      </c>
      <c r="C178" s="1">
        <v>30.1</v>
      </c>
      <c r="D178" s="1">
        <v>30.52</v>
      </c>
      <c r="E178" s="1">
        <v>29.74</v>
      </c>
      <c r="F178" s="1">
        <v>26.26</v>
      </c>
      <c r="H178" s="1" t="str">
        <f t="shared" si="9"/>
        <v>1994</v>
      </c>
      <c r="I178" s="12" t="s">
        <v>148</v>
      </c>
    </row>
    <row r="179" spans="1:9">
      <c r="A179" s="1" t="s">
        <v>266</v>
      </c>
      <c r="B179" s="1">
        <v>35.25</v>
      </c>
      <c r="C179" s="1">
        <v>35.01</v>
      </c>
      <c r="D179" s="1">
        <v>34.65</v>
      </c>
      <c r="E179" s="1">
        <v>44.6</v>
      </c>
      <c r="F179" s="1">
        <v>41.18</v>
      </c>
      <c r="H179" s="1" t="str">
        <f t="shared" si="9"/>
        <v>1994</v>
      </c>
      <c r="I179" s="12" t="s">
        <v>148</v>
      </c>
    </row>
    <row r="180" spans="1:9">
      <c r="A180" s="1" t="s">
        <v>269</v>
      </c>
      <c r="B180" s="1">
        <v>23.07</v>
      </c>
      <c r="C180" s="1">
        <v>23.07</v>
      </c>
      <c r="D180" s="1">
        <v>23.07</v>
      </c>
      <c r="E180" s="1">
        <v>23.07</v>
      </c>
      <c r="F180" s="1">
        <v>23.07</v>
      </c>
      <c r="H180" s="1" t="str">
        <f t="shared" si="9"/>
        <v>1994</v>
      </c>
      <c r="I180" s="12" t="s">
        <v>148</v>
      </c>
    </row>
    <row r="181" spans="1:9">
      <c r="A181" s="1" t="s">
        <v>30</v>
      </c>
      <c r="B181" s="1">
        <v>30.01</v>
      </c>
      <c r="C181" s="1">
        <v>29.72</v>
      </c>
      <c r="D181" s="1">
        <v>29.1</v>
      </c>
      <c r="E181" s="1">
        <v>29.05</v>
      </c>
      <c r="F181" s="1">
        <v>23.07</v>
      </c>
      <c r="H181" s="1" t="str">
        <f t="shared" si="9"/>
        <v>1994</v>
      </c>
      <c r="I181" s="12" t="s">
        <v>148</v>
      </c>
    </row>
    <row r="182" spans="1:9">
      <c r="A182" s="1" t="s">
        <v>26</v>
      </c>
      <c r="B182" s="1">
        <v>47.99</v>
      </c>
      <c r="C182" s="1">
        <v>47.99</v>
      </c>
      <c r="D182" s="1">
        <v>48.52</v>
      </c>
      <c r="E182" s="1">
        <v>48.12</v>
      </c>
      <c r="F182" s="1">
        <v>48.12</v>
      </c>
      <c r="H182" s="1" t="str">
        <f t="shared" si="9"/>
        <v>1994</v>
      </c>
      <c r="I182" s="12" t="s">
        <v>148</v>
      </c>
    </row>
    <row r="183" spans="1:9">
      <c r="A183" s="1" t="s">
        <v>271</v>
      </c>
      <c r="B183" s="1">
        <v>38.659999999999997</v>
      </c>
      <c r="C183" s="1">
        <v>38</v>
      </c>
      <c r="D183" s="1">
        <v>37.630000000000003</v>
      </c>
      <c r="E183" s="1">
        <v>39.21</v>
      </c>
      <c r="F183" s="1">
        <v>37.28</v>
      </c>
      <c r="H183" s="1" t="str">
        <f t="shared" si="9"/>
        <v>1994</v>
      </c>
      <c r="I183" s="12" t="s">
        <v>148</v>
      </c>
    </row>
    <row r="184" spans="1:9">
      <c r="A184" s="1" t="s">
        <v>143</v>
      </c>
      <c r="B184" s="1">
        <v>48.56</v>
      </c>
      <c r="C184" s="1">
        <v>46.9</v>
      </c>
      <c r="D184" s="1">
        <v>46.57</v>
      </c>
      <c r="E184" s="1">
        <v>48.71</v>
      </c>
      <c r="F184" s="1">
        <v>46.6</v>
      </c>
      <c r="H184" s="1" t="str">
        <f t="shared" si="9"/>
        <v>1994</v>
      </c>
      <c r="I184" s="12" t="s">
        <v>148</v>
      </c>
    </row>
    <row r="185" spans="1:9">
      <c r="A185" s="1" t="s">
        <v>144</v>
      </c>
      <c r="B185" s="1">
        <v>42.24</v>
      </c>
      <c r="C185" s="1">
        <v>41.7</v>
      </c>
      <c r="D185" s="1">
        <v>41.44</v>
      </c>
      <c r="E185" s="1">
        <v>45.63</v>
      </c>
      <c r="F185" s="1">
        <v>44.31</v>
      </c>
      <c r="H185" s="1" t="str">
        <f t="shared" si="9"/>
        <v>1994</v>
      </c>
      <c r="I185" s="12" t="s">
        <v>148</v>
      </c>
    </row>
    <row r="186" spans="1:9">
      <c r="A186" s="1" t="s">
        <v>14</v>
      </c>
      <c r="B186" s="1">
        <v>0</v>
      </c>
      <c r="C186" s="1">
        <v>0</v>
      </c>
      <c r="D186" s="1">
        <v>0</v>
      </c>
      <c r="E186" s="1">
        <v>0</v>
      </c>
      <c r="F186" s="1">
        <v>0</v>
      </c>
      <c r="H186" s="1" t="str">
        <f t="shared" si="9"/>
        <v>1994</v>
      </c>
      <c r="I186" s="12" t="s">
        <v>148</v>
      </c>
    </row>
    <row r="187" spans="1:9">
      <c r="A187" s="1" t="s">
        <v>145</v>
      </c>
      <c r="B187" s="1">
        <v>20.94</v>
      </c>
      <c r="C187" s="1">
        <v>21.02</v>
      </c>
      <c r="D187" s="1">
        <v>20.67</v>
      </c>
      <c r="E187" s="1">
        <v>24.89</v>
      </c>
      <c r="F187" s="1">
        <v>23.31</v>
      </c>
      <c r="H187" s="1" t="str">
        <f t="shared" si="9"/>
        <v>1994</v>
      </c>
      <c r="I187" s="12" t="s">
        <v>148</v>
      </c>
    </row>
    <row r="188" spans="1:9">
      <c r="A188" s="1" t="s">
        <v>146</v>
      </c>
      <c r="B188" s="1">
        <v>25.59</v>
      </c>
      <c r="C188" s="1">
        <v>25.69</v>
      </c>
      <c r="D188" s="1">
        <v>25.26</v>
      </c>
      <c r="E188" s="1">
        <v>30.42</v>
      </c>
      <c r="F188" s="1">
        <v>28.49</v>
      </c>
      <c r="H188" s="1" t="str">
        <f t="shared" si="9"/>
        <v>1994</v>
      </c>
      <c r="I188" s="12" t="s">
        <v>148</v>
      </c>
    </row>
    <row r="189" spans="1:9">
      <c r="A189" s="1" t="s">
        <v>147</v>
      </c>
      <c r="B189" s="1">
        <v>19.190000000000001</v>
      </c>
      <c r="C189" s="1">
        <v>19.27</v>
      </c>
      <c r="D189" s="1">
        <v>18.95</v>
      </c>
      <c r="E189" s="1">
        <v>22.82</v>
      </c>
      <c r="F189" s="1">
        <v>21.37</v>
      </c>
      <c r="H189" s="1" t="str">
        <f t="shared" si="9"/>
        <v>1994</v>
      </c>
      <c r="I189" s="12" t="s">
        <v>148</v>
      </c>
    </row>
    <row r="190" spans="1:9">
      <c r="A190" s="1" t="s">
        <v>153</v>
      </c>
    </row>
    <row r="191" spans="1:9">
      <c r="A191" s="1" t="s">
        <v>517</v>
      </c>
    </row>
    <row r="192" spans="1:9">
      <c r="A192" s="1" t="s">
        <v>20</v>
      </c>
      <c r="B192" s="1">
        <v>116.04</v>
      </c>
      <c r="C192" s="1">
        <v>0</v>
      </c>
      <c r="D192" s="1">
        <v>0</v>
      </c>
      <c r="E192" s="1">
        <v>0</v>
      </c>
      <c r="F192" s="1">
        <v>0.78</v>
      </c>
      <c r="H192" s="1" t="str">
        <f>RIGHT(A190,4)</f>
        <v>1995</v>
      </c>
      <c r="I192" s="12" t="s">
        <v>519</v>
      </c>
    </row>
    <row r="193" spans="1:9">
      <c r="A193" s="1" t="s">
        <v>17</v>
      </c>
      <c r="B193" s="1">
        <v>140.4</v>
      </c>
      <c r="C193" s="1">
        <v>3.08</v>
      </c>
      <c r="D193" s="1">
        <v>3.07</v>
      </c>
      <c r="E193" s="1">
        <v>0.43</v>
      </c>
      <c r="F193" s="1">
        <v>1.1599999999999999</v>
      </c>
      <c r="H193" s="1" t="str">
        <f>H192</f>
        <v>1995</v>
      </c>
      <c r="I193" s="12" t="s">
        <v>519</v>
      </c>
    </row>
    <row r="194" spans="1:9">
      <c r="A194" s="1" t="s">
        <v>10</v>
      </c>
      <c r="B194" s="1">
        <v>109.26</v>
      </c>
      <c r="C194" s="1">
        <v>1.62</v>
      </c>
      <c r="D194" s="1">
        <v>1.1399999999999999</v>
      </c>
      <c r="E194" s="1">
        <v>4.01</v>
      </c>
      <c r="F194" s="1">
        <v>1.18</v>
      </c>
      <c r="H194" s="1" t="str">
        <f t="shared" ref="H194:H208" si="10">H193</f>
        <v>1995</v>
      </c>
      <c r="I194" s="12" t="s">
        <v>519</v>
      </c>
    </row>
    <row r="195" spans="1:9">
      <c r="A195" s="1" t="s">
        <v>11</v>
      </c>
      <c r="B195" s="1">
        <v>71.25</v>
      </c>
      <c r="C195" s="1">
        <v>2.9</v>
      </c>
      <c r="D195" s="1">
        <v>0</v>
      </c>
      <c r="E195" s="1">
        <v>1.32</v>
      </c>
      <c r="F195" s="1">
        <v>1.88</v>
      </c>
      <c r="H195" s="1" t="str">
        <f t="shared" si="10"/>
        <v>1995</v>
      </c>
      <c r="I195" s="12" t="s">
        <v>519</v>
      </c>
    </row>
    <row r="196" spans="1:9">
      <c r="A196" s="1" t="s">
        <v>32</v>
      </c>
      <c r="B196" s="1">
        <v>45.77</v>
      </c>
      <c r="C196" s="1">
        <v>0.13</v>
      </c>
      <c r="D196" s="1">
        <v>1.62</v>
      </c>
      <c r="E196" s="1">
        <v>0</v>
      </c>
      <c r="F196" s="1">
        <v>0.55000000000000004</v>
      </c>
      <c r="H196" s="1" t="str">
        <f t="shared" si="10"/>
        <v>1995</v>
      </c>
      <c r="I196" s="12" t="s">
        <v>519</v>
      </c>
    </row>
    <row r="197" spans="1:9">
      <c r="A197" s="1" t="s">
        <v>31</v>
      </c>
      <c r="B197" s="1">
        <v>123.36</v>
      </c>
      <c r="C197" s="1">
        <v>0.84</v>
      </c>
      <c r="D197" s="1">
        <v>12.99</v>
      </c>
      <c r="E197" s="1">
        <v>0</v>
      </c>
      <c r="F197" s="1">
        <v>1.41</v>
      </c>
      <c r="H197" s="1" t="str">
        <f t="shared" si="10"/>
        <v>1995</v>
      </c>
      <c r="I197" s="12" t="s">
        <v>519</v>
      </c>
    </row>
    <row r="198" spans="1:9">
      <c r="A198" s="1" t="s">
        <v>266</v>
      </c>
      <c r="B198" s="1">
        <v>85.47</v>
      </c>
      <c r="C198" s="1">
        <v>0</v>
      </c>
      <c r="D198" s="1">
        <v>10.33</v>
      </c>
      <c r="E198" s="1">
        <v>0</v>
      </c>
      <c r="F198" s="1">
        <v>9.9</v>
      </c>
      <c r="H198" s="1" t="str">
        <f t="shared" si="10"/>
        <v>1995</v>
      </c>
      <c r="I198" s="12" t="s">
        <v>519</v>
      </c>
    </row>
    <row r="199" spans="1:9">
      <c r="A199" s="1" t="s">
        <v>269</v>
      </c>
      <c r="B199" s="1">
        <v>22.34</v>
      </c>
      <c r="C199" s="1">
        <v>67.37</v>
      </c>
      <c r="D199" s="1">
        <v>87.18</v>
      </c>
      <c r="E199" s="1">
        <v>12.79</v>
      </c>
      <c r="F199" s="1">
        <v>2.57</v>
      </c>
      <c r="H199" s="1" t="str">
        <f t="shared" si="10"/>
        <v>1995</v>
      </c>
      <c r="I199" s="12" t="s">
        <v>519</v>
      </c>
    </row>
    <row r="200" spans="1:9">
      <c r="A200" s="1" t="s">
        <v>30</v>
      </c>
      <c r="B200" s="1">
        <v>4</v>
      </c>
      <c r="C200" s="1">
        <v>1</v>
      </c>
      <c r="D200" s="1">
        <v>153</v>
      </c>
      <c r="E200" s="1">
        <v>0</v>
      </c>
      <c r="F200" s="1">
        <v>0</v>
      </c>
      <c r="H200" s="1" t="str">
        <f t="shared" si="10"/>
        <v>1995</v>
      </c>
      <c r="I200" s="12" t="s">
        <v>519</v>
      </c>
    </row>
    <row r="201" spans="1:9">
      <c r="A201" s="1" t="s">
        <v>26</v>
      </c>
      <c r="B201" s="1">
        <v>87</v>
      </c>
      <c r="C201" s="1">
        <v>4</v>
      </c>
      <c r="D201" s="1">
        <v>14</v>
      </c>
      <c r="E201" s="1">
        <v>0</v>
      </c>
      <c r="F201" s="1">
        <v>2</v>
      </c>
      <c r="H201" s="1" t="str">
        <f t="shared" si="10"/>
        <v>1995</v>
      </c>
      <c r="I201" s="12" t="s">
        <v>519</v>
      </c>
    </row>
    <row r="202" spans="1:9">
      <c r="A202" s="1" t="s">
        <v>271</v>
      </c>
      <c r="B202" s="1">
        <v>0</v>
      </c>
      <c r="C202" s="1">
        <v>0</v>
      </c>
      <c r="D202" s="1">
        <v>0</v>
      </c>
      <c r="E202" s="1">
        <v>0</v>
      </c>
      <c r="F202" s="1">
        <v>0</v>
      </c>
      <c r="H202" s="1" t="str">
        <f t="shared" si="10"/>
        <v>1995</v>
      </c>
      <c r="I202" s="12" t="s">
        <v>519</v>
      </c>
    </row>
    <row r="203" spans="1:9">
      <c r="A203" s="1" t="s">
        <v>143</v>
      </c>
      <c r="B203" s="1">
        <v>16.29</v>
      </c>
      <c r="C203" s="1">
        <v>0</v>
      </c>
      <c r="D203" s="1">
        <v>0.95</v>
      </c>
      <c r="E203" s="1">
        <v>0</v>
      </c>
      <c r="F203" s="1">
        <v>27.87</v>
      </c>
      <c r="H203" s="1" t="str">
        <f t="shared" si="10"/>
        <v>1995</v>
      </c>
      <c r="I203" s="12" t="s">
        <v>519</v>
      </c>
    </row>
    <row r="204" spans="1:9">
      <c r="A204" s="1" t="s">
        <v>144</v>
      </c>
      <c r="B204" s="1">
        <v>0</v>
      </c>
      <c r="C204" s="1">
        <v>0</v>
      </c>
      <c r="D204" s="1">
        <v>0</v>
      </c>
      <c r="E204" s="1">
        <v>0</v>
      </c>
      <c r="F204" s="1">
        <v>0</v>
      </c>
      <c r="H204" s="1" t="str">
        <f t="shared" si="10"/>
        <v>1995</v>
      </c>
      <c r="I204" s="12" t="s">
        <v>519</v>
      </c>
    </row>
    <row r="205" spans="1:9">
      <c r="A205" s="1" t="s">
        <v>14</v>
      </c>
      <c r="B205" s="1">
        <v>0</v>
      </c>
      <c r="C205" s="1">
        <v>0</v>
      </c>
      <c r="D205" s="1">
        <v>0</v>
      </c>
      <c r="E205" s="1">
        <v>0</v>
      </c>
      <c r="F205" s="1">
        <v>0</v>
      </c>
      <c r="H205" s="1" t="str">
        <f t="shared" si="10"/>
        <v>1995</v>
      </c>
      <c r="I205" s="12" t="s">
        <v>519</v>
      </c>
    </row>
    <row r="206" spans="1:9">
      <c r="A206" s="1" t="s">
        <v>145</v>
      </c>
      <c r="B206" s="1">
        <v>25.04</v>
      </c>
      <c r="C206" s="1">
        <v>0</v>
      </c>
      <c r="D206" s="1">
        <v>117.1</v>
      </c>
      <c r="E206" s="1">
        <v>0</v>
      </c>
      <c r="F206" s="1">
        <v>15.5</v>
      </c>
      <c r="H206" s="1" t="str">
        <f t="shared" si="10"/>
        <v>1995</v>
      </c>
      <c r="I206" s="12" t="s">
        <v>519</v>
      </c>
    </row>
    <row r="207" spans="1:9">
      <c r="A207" s="1" t="s">
        <v>146</v>
      </c>
      <c r="B207" s="1">
        <v>7.17</v>
      </c>
      <c r="C207" s="1">
        <v>1.1299999999999999</v>
      </c>
      <c r="D207" s="1">
        <v>199.7</v>
      </c>
      <c r="E207" s="1">
        <v>0</v>
      </c>
      <c r="F207" s="1">
        <v>0.79</v>
      </c>
      <c r="H207" s="1" t="str">
        <f t="shared" si="10"/>
        <v>1995</v>
      </c>
      <c r="I207" s="12" t="s">
        <v>519</v>
      </c>
    </row>
    <row r="208" spans="1:9">
      <c r="A208" s="1" t="s">
        <v>147</v>
      </c>
      <c r="B208" s="1">
        <v>51.55</v>
      </c>
      <c r="C208" s="1">
        <v>0</v>
      </c>
      <c r="D208" s="1">
        <v>85.99</v>
      </c>
      <c r="E208" s="1">
        <v>0</v>
      </c>
      <c r="F208" s="1">
        <v>2.73</v>
      </c>
      <c r="H208" s="1" t="str">
        <f t="shared" si="10"/>
        <v>1995</v>
      </c>
      <c r="I208" s="12" t="s">
        <v>519</v>
      </c>
    </row>
    <row r="209" spans="1:9">
      <c r="A209" s="1" t="s">
        <v>518</v>
      </c>
    </row>
    <row r="210" spans="1:9">
      <c r="A210" s="1" t="s">
        <v>20</v>
      </c>
      <c r="B210" s="1">
        <v>50.44</v>
      </c>
      <c r="C210" s="1">
        <v>51.48</v>
      </c>
      <c r="D210" s="1">
        <v>50.68</v>
      </c>
      <c r="E210" s="1">
        <v>50.53</v>
      </c>
      <c r="F210" s="1">
        <v>29.32</v>
      </c>
      <c r="H210" s="1" t="str">
        <f>H192</f>
        <v>1995</v>
      </c>
      <c r="I210" s="12" t="s">
        <v>148</v>
      </c>
    </row>
    <row r="211" spans="1:9">
      <c r="A211" s="1" t="s">
        <v>17</v>
      </c>
      <c r="B211" s="1">
        <v>48.84</v>
      </c>
      <c r="C211" s="1">
        <v>49.88</v>
      </c>
      <c r="D211" s="1">
        <v>49.08</v>
      </c>
      <c r="E211" s="1">
        <v>48.92</v>
      </c>
      <c r="F211" s="1">
        <v>27.72</v>
      </c>
      <c r="H211" s="1" t="str">
        <f t="shared" ref="H211:H226" si="11">H193</f>
        <v>1995</v>
      </c>
      <c r="I211" s="12" t="s">
        <v>148</v>
      </c>
    </row>
    <row r="212" spans="1:9">
      <c r="A212" s="1" t="s">
        <v>10</v>
      </c>
      <c r="B212" s="1">
        <v>41.53</v>
      </c>
      <c r="C212" s="1">
        <v>42.57</v>
      </c>
      <c r="D212" s="1">
        <v>41.77</v>
      </c>
      <c r="E212" s="1">
        <v>43.73</v>
      </c>
      <c r="F212" s="1">
        <v>41.35</v>
      </c>
      <c r="H212" s="1" t="str">
        <f t="shared" si="11"/>
        <v>1995</v>
      </c>
      <c r="I212" s="12" t="s">
        <v>148</v>
      </c>
    </row>
    <row r="213" spans="1:9">
      <c r="A213" s="1" t="s">
        <v>11</v>
      </c>
      <c r="B213" s="1">
        <v>42.77</v>
      </c>
      <c r="C213" s="1">
        <v>41.22</v>
      </c>
      <c r="D213" s="1">
        <v>41.58</v>
      </c>
      <c r="E213" s="1">
        <v>50.11</v>
      </c>
      <c r="F213" s="1">
        <v>48.24</v>
      </c>
      <c r="H213" s="1" t="str">
        <f t="shared" si="11"/>
        <v>1995</v>
      </c>
      <c r="I213" s="12" t="s">
        <v>148</v>
      </c>
    </row>
    <row r="214" spans="1:9">
      <c r="A214" s="1" t="s">
        <v>32</v>
      </c>
      <c r="B214" s="1">
        <v>29.66</v>
      </c>
      <c r="C214" s="1">
        <v>32.03</v>
      </c>
      <c r="D214" s="1">
        <v>32.03</v>
      </c>
      <c r="E214" s="1">
        <v>31.4</v>
      </c>
      <c r="F214" s="1">
        <v>26.6</v>
      </c>
      <c r="H214" s="1" t="str">
        <f t="shared" si="11"/>
        <v>1995</v>
      </c>
      <c r="I214" s="12" t="s">
        <v>148</v>
      </c>
    </row>
    <row r="215" spans="1:9">
      <c r="A215" s="1" t="s">
        <v>31</v>
      </c>
      <c r="B215" s="1">
        <v>28.43</v>
      </c>
      <c r="C215" s="1">
        <v>30.71</v>
      </c>
      <c r="D215" s="1">
        <v>31.14</v>
      </c>
      <c r="E215" s="1">
        <v>30.34</v>
      </c>
      <c r="F215" s="1">
        <v>26.8</v>
      </c>
      <c r="H215" s="1" t="str">
        <f t="shared" si="11"/>
        <v>1995</v>
      </c>
      <c r="I215" s="12" t="s">
        <v>148</v>
      </c>
    </row>
    <row r="216" spans="1:9">
      <c r="A216" s="1" t="s">
        <v>266</v>
      </c>
      <c r="B216" s="1">
        <v>35.96</v>
      </c>
      <c r="C216" s="1">
        <v>35.72</v>
      </c>
      <c r="D216" s="1">
        <v>35.36</v>
      </c>
      <c r="E216" s="1">
        <v>45.51</v>
      </c>
      <c r="F216" s="1">
        <v>42.02</v>
      </c>
      <c r="H216" s="1" t="str">
        <f t="shared" si="11"/>
        <v>1995</v>
      </c>
      <c r="I216" s="12" t="s">
        <v>148</v>
      </c>
    </row>
    <row r="217" spans="1:9">
      <c r="A217" s="1" t="s">
        <v>269</v>
      </c>
      <c r="B217" s="1">
        <v>23.54</v>
      </c>
      <c r="C217" s="1">
        <v>23.54</v>
      </c>
      <c r="D217" s="1">
        <v>23.54</v>
      </c>
      <c r="E217" s="1">
        <v>23.54</v>
      </c>
      <c r="F217" s="1">
        <v>23.54</v>
      </c>
      <c r="H217" s="1" t="str">
        <f t="shared" si="11"/>
        <v>1995</v>
      </c>
      <c r="I217" s="12" t="s">
        <v>148</v>
      </c>
    </row>
    <row r="218" spans="1:9">
      <c r="A218" s="1" t="s">
        <v>30</v>
      </c>
      <c r="B218" s="1">
        <v>30.62</v>
      </c>
      <c r="C218" s="1">
        <v>30.33</v>
      </c>
      <c r="D218" s="1">
        <v>29.69</v>
      </c>
      <c r="E218" s="1">
        <v>29.64</v>
      </c>
      <c r="F218" s="1">
        <v>23.54</v>
      </c>
      <c r="H218" s="1" t="str">
        <f t="shared" si="11"/>
        <v>1995</v>
      </c>
      <c r="I218" s="12" t="s">
        <v>148</v>
      </c>
    </row>
    <row r="219" spans="1:9">
      <c r="A219" s="1" t="s">
        <v>26</v>
      </c>
      <c r="B219" s="1">
        <v>48.97</v>
      </c>
      <c r="C219" s="1">
        <v>48.97</v>
      </c>
      <c r="D219" s="1">
        <v>49.51</v>
      </c>
      <c r="E219" s="1">
        <v>49.1</v>
      </c>
      <c r="F219" s="1">
        <v>49.1</v>
      </c>
      <c r="H219" s="1" t="str">
        <f t="shared" si="11"/>
        <v>1995</v>
      </c>
      <c r="I219" s="12" t="s">
        <v>148</v>
      </c>
    </row>
    <row r="220" spans="1:9">
      <c r="A220" s="1" t="s">
        <v>271</v>
      </c>
      <c r="B220" s="1">
        <v>39.450000000000003</v>
      </c>
      <c r="C220" s="1">
        <v>38.770000000000003</v>
      </c>
      <c r="D220" s="1">
        <v>38.4</v>
      </c>
      <c r="E220" s="1">
        <v>40.01</v>
      </c>
      <c r="F220" s="1">
        <v>38.04</v>
      </c>
      <c r="H220" s="1" t="str">
        <f t="shared" si="11"/>
        <v>1995</v>
      </c>
      <c r="I220" s="12" t="s">
        <v>148</v>
      </c>
    </row>
    <row r="221" spans="1:9">
      <c r="A221" s="1" t="s">
        <v>143</v>
      </c>
      <c r="B221" s="1">
        <v>49.55</v>
      </c>
      <c r="C221" s="1">
        <v>47.86</v>
      </c>
      <c r="D221" s="1">
        <v>47.52</v>
      </c>
      <c r="E221" s="1">
        <v>49.7</v>
      </c>
      <c r="F221" s="1">
        <v>47.55</v>
      </c>
      <c r="H221" s="1" t="str">
        <f t="shared" si="11"/>
        <v>1995</v>
      </c>
      <c r="I221" s="12" t="s">
        <v>148</v>
      </c>
    </row>
    <row r="222" spans="1:9">
      <c r="A222" s="1" t="s">
        <v>144</v>
      </c>
      <c r="B222" s="1">
        <v>43.1</v>
      </c>
      <c r="C222" s="1">
        <v>42.55</v>
      </c>
      <c r="D222" s="1">
        <v>42.29</v>
      </c>
      <c r="E222" s="1">
        <v>46.57</v>
      </c>
      <c r="F222" s="1">
        <v>45.22</v>
      </c>
      <c r="H222" s="1" t="str">
        <f t="shared" si="11"/>
        <v>1995</v>
      </c>
      <c r="I222" s="12" t="s">
        <v>148</v>
      </c>
    </row>
    <row r="223" spans="1:9">
      <c r="A223" s="1" t="s">
        <v>14</v>
      </c>
      <c r="B223" s="1">
        <v>0</v>
      </c>
      <c r="C223" s="1">
        <v>0</v>
      </c>
      <c r="D223" s="1">
        <v>0</v>
      </c>
      <c r="E223" s="1">
        <v>0</v>
      </c>
      <c r="F223" s="1">
        <v>0</v>
      </c>
      <c r="H223" s="1" t="str">
        <f t="shared" si="11"/>
        <v>1995</v>
      </c>
      <c r="I223" s="12" t="s">
        <v>148</v>
      </c>
    </row>
    <row r="224" spans="1:9">
      <c r="A224" s="1" t="s">
        <v>145</v>
      </c>
      <c r="B224" s="1">
        <v>21.37</v>
      </c>
      <c r="C224" s="1">
        <v>21.45</v>
      </c>
      <c r="D224" s="1">
        <v>21.09</v>
      </c>
      <c r="E224" s="1">
        <v>25.4</v>
      </c>
      <c r="F224" s="1">
        <v>23.78</v>
      </c>
      <c r="H224" s="1" t="str">
        <f t="shared" si="11"/>
        <v>1995</v>
      </c>
      <c r="I224" s="12" t="s">
        <v>148</v>
      </c>
    </row>
    <row r="225" spans="1:9">
      <c r="A225" s="1" t="s">
        <v>146</v>
      </c>
      <c r="B225" s="1">
        <v>26.11</v>
      </c>
      <c r="C225" s="1">
        <v>26.22</v>
      </c>
      <c r="D225" s="1">
        <v>25.78</v>
      </c>
      <c r="E225" s="1">
        <v>31.05</v>
      </c>
      <c r="F225" s="1">
        <v>29.07</v>
      </c>
      <c r="H225" s="1" t="str">
        <f t="shared" si="11"/>
        <v>1995</v>
      </c>
      <c r="I225" s="12" t="s">
        <v>148</v>
      </c>
    </row>
    <row r="226" spans="1:9">
      <c r="A226" s="1" t="s">
        <v>147</v>
      </c>
      <c r="B226" s="1">
        <v>19.579999999999998</v>
      </c>
      <c r="C226" s="1">
        <v>19.66</v>
      </c>
      <c r="D226" s="1">
        <v>19.329999999999998</v>
      </c>
      <c r="E226" s="1">
        <v>23.28</v>
      </c>
      <c r="F226" s="1">
        <v>21.8</v>
      </c>
      <c r="H226" s="1" t="str">
        <f t="shared" si="11"/>
        <v>1995</v>
      </c>
      <c r="I226" s="12" t="s">
        <v>148</v>
      </c>
    </row>
    <row r="227" spans="1:9">
      <c r="A227" s="1" t="s">
        <v>154</v>
      </c>
    </row>
    <row r="228" spans="1:9">
      <c r="A228" s="1" t="s">
        <v>517</v>
      </c>
    </row>
    <row r="229" spans="1:9">
      <c r="A229" s="1" t="s">
        <v>20</v>
      </c>
      <c r="B229" s="1">
        <v>166.92</v>
      </c>
      <c r="C229" s="1">
        <v>0</v>
      </c>
      <c r="D229" s="1">
        <v>2.48</v>
      </c>
      <c r="E229" s="1">
        <v>0</v>
      </c>
      <c r="F229" s="1">
        <v>4.72</v>
      </c>
      <c r="H229" s="1" t="str">
        <f>RIGHT(A227,4)</f>
        <v>1996</v>
      </c>
      <c r="I229" s="12" t="s">
        <v>519</v>
      </c>
    </row>
    <row r="230" spans="1:9">
      <c r="A230" s="1" t="s">
        <v>17</v>
      </c>
      <c r="B230" s="1">
        <v>152.77000000000001</v>
      </c>
      <c r="C230" s="1">
        <v>3.16</v>
      </c>
      <c r="D230" s="1">
        <v>2.98</v>
      </c>
      <c r="E230" s="1">
        <v>1.0900000000000001</v>
      </c>
      <c r="F230" s="1">
        <v>3.15</v>
      </c>
      <c r="H230" s="1" t="str">
        <f>H229</f>
        <v>1996</v>
      </c>
      <c r="I230" s="12" t="s">
        <v>519</v>
      </c>
    </row>
    <row r="231" spans="1:9">
      <c r="A231" s="1" t="s">
        <v>10</v>
      </c>
      <c r="B231" s="1">
        <v>111.03</v>
      </c>
      <c r="C231" s="1">
        <v>1.63</v>
      </c>
      <c r="D231" s="1">
        <v>0.11</v>
      </c>
      <c r="E231" s="1">
        <v>5.27</v>
      </c>
      <c r="F231" s="1">
        <v>1.73</v>
      </c>
      <c r="H231" s="1" t="str">
        <f t="shared" ref="H231:H245" si="12">H230</f>
        <v>1996</v>
      </c>
      <c r="I231" s="12" t="s">
        <v>519</v>
      </c>
    </row>
    <row r="232" spans="1:9">
      <c r="A232" s="1" t="s">
        <v>11</v>
      </c>
      <c r="B232" s="1">
        <v>101.82</v>
      </c>
      <c r="C232" s="1">
        <v>4.34</v>
      </c>
      <c r="D232" s="1">
        <v>0</v>
      </c>
      <c r="E232" s="1">
        <v>2.09</v>
      </c>
      <c r="F232" s="1">
        <v>3.99</v>
      </c>
      <c r="H232" s="1" t="str">
        <f t="shared" si="12"/>
        <v>1996</v>
      </c>
      <c r="I232" s="12" t="s">
        <v>519</v>
      </c>
    </row>
    <row r="233" spans="1:9">
      <c r="A233" s="1" t="s">
        <v>32</v>
      </c>
      <c r="B233" s="1">
        <v>96.86</v>
      </c>
      <c r="C233" s="1">
        <v>0.3</v>
      </c>
      <c r="D233" s="1">
        <v>10.75</v>
      </c>
      <c r="E233" s="1">
        <v>0</v>
      </c>
      <c r="F233" s="1">
        <v>3.2</v>
      </c>
      <c r="H233" s="1" t="str">
        <f t="shared" si="12"/>
        <v>1996</v>
      </c>
      <c r="I233" s="12" t="s">
        <v>519</v>
      </c>
    </row>
    <row r="234" spans="1:9">
      <c r="A234" s="1" t="s">
        <v>31</v>
      </c>
      <c r="B234" s="1">
        <v>127.92</v>
      </c>
      <c r="C234" s="1">
        <v>0</v>
      </c>
      <c r="D234" s="1">
        <v>9.2899999999999991</v>
      </c>
      <c r="E234" s="1">
        <v>0</v>
      </c>
      <c r="F234" s="1">
        <v>0.59</v>
      </c>
      <c r="H234" s="1" t="str">
        <f t="shared" si="12"/>
        <v>1996</v>
      </c>
      <c r="I234" s="12" t="s">
        <v>519</v>
      </c>
    </row>
    <row r="235" spans="1:9">
      <c r="A235" s="1" t="s">
        <v>266</v>
      </c>
      <c r="B235" s="1">
        <v>100.25</v>
      </c>
      <c r="C235" s="1">
        <v>0</v>
      </c>
      <c r="D235" s="1">
        <v>3.18</v>
      </c>
      <c r="E235" s="1">
        <v>0</v>
      </c>
      <c r="F235" s="1">
        <v>7.69</v>
      </c>
      <c r="H235" s="1" t="str">
        <f t="shared" si="12"/>
        <v>1996</v>
      </c>
      <c r="I235" s="12" t="s">
        <v>519</v>
      </c>
    </row>
    <row r="236" spans="1:9">
      <c r="A236" s="1" t="s">
        <v>269</v>
      </c>
      <c r="B236" s="1">
        <v>30.28</v>
      </c>
      <c r="C236" s="1">
        <v>64.11</v>
      </c>
      <c r="D236" s="1">
        <v>104.35</v>
      </c>
      <c r="E236" s="1">
        <v>11.57</v>
      </c>
      <c r="F236" s="1">
        <v>1.44</v>
      </c>
      <c r="H236" s="1" t="str">
        <f t="shared" si="12"/>
        <v>1996</v>
      </c>
      <c r="I236" s="12" t="s">
        <v>519</v>
      </c>
    </row>
    <row r="237" spans="1:9">
      <c r="A237" s="1" t="s">
        <v>30</v>
      </c>
      <c r="B237" s="1">
        <v>9</v>
      </c>
      <c r="C237" s="1">
        <v>1</v>
      </c>
      <c r="D237" s="1">
        <v>186</v>
      </c>
      <c r="E237" s="1">
        <v>0</v>
      </c>
      <c r="F237" s="1">
        <v>1</v>
      </c>
      <c r="H237" s="1" t="str">
        <f t="shared" si="12"/>
        <v>1996</v>
      </c>
      <c r="I237" s="12" t="s">
        <v>519</v>
      </c>
    </row>
    <row r="238" spans="1:9">
      <c r="A238" s="1" t="s">
        <v>26</v>
      </c>
      <c r="B238" s="1">
        <v>199</v>
      </c>
      <c r="C238" s="1">
        <v>4</v>
      </c>
      <c r="D238" s="1">
        <v>4</v>
      </c>
      <c r="E238" s="1">
        <v>0</v>
      </c>
      <c r="F238" s="1">
        <v>8</v>
      </c>
      <c r="H238" s="1" t="str">
        <f t="shared" si="12"/>
        <v>1996</v>
      </c>
      <c r="I238" s="12" t="s">
        <v>519</v>
      </c>
    </row>
    <row r="239" spans="1:9">
      <c r="A239" s="1" t="s">
        <v>271</v>
      </c>
      <c r="B239" s="1">
        <v>0.1</v>
      </c>
      <c r="C239" s="1">
        <v>0</v>
      </c>
      <c r="D239" s="1">
        <v>0</v>
      </c>
      <c r="E239" s="1">
        <v>0</v>
      </c>
      <c r="F239" s="1">
        <v>0</v>
      </c>
      <c r="H239" s="1" t="str">
        <f t="shared" si="12"/>
        <v>1996</v>
      </c>
      <c r="I239" s="12" t="s">
        <v>519</v>
      </c>
    </row>
    <row r="240" spans="1:9">
      <c r="A240" s="1" t="s">
        <v>143</v>
      </c>
      <c r="B240" s="1">
        <v>10.09</v>
      </c>
      <c r="C240" s="1">
        <v>0</v>
      </c>
      <c r="D240" s="1">
        <v>7.0000000000000007E-2</v>
      </c>
      <c r="E240" s="1">
        <v>0</v>
      </c>
      <c r="F240" s="1">
        <v>37.68</v>
      </c>
      <c r="H240" s="1" t="str">
        <f t="shared" si="12"/>
        <v>1996</v>
      </c>
      <c r="I240" s="12" t="s">
        <v>519</v>
      </c>
    </row>
    <row r="241" spans="1:9">
      <c r="A241" s="1" t="s">
        <v>144</v>
      </c>
      <c r="B241" s="1">
        <v>0</v>
      </c>
      <c r="C241" s="1">
        <v>0</v>
      </c>
      <c r="D241" s="1">
        <v>0</v>
      </c>
      <c r="E241" s="1">
        <v>0</v>
      </c>
      <c r="F241" s="1">
        <v>0</v>
      </c>
      <c r="H241" s="1" t="str">
        <f t="shared" si="12"/>
        <v>1996</v>
      </c>
      <c r="I241" s="12" t="s">
        <v>519</v>
      </c>
    </row>
    <row r="242" spans="1:9">
      <c r="A242" s="1" t="s">
        <v>14</v>
      </c>
      <c r="B242" s="1">
        <v>0</v>
      </c>
      <c r="C242" s="1">
        <v>0</v>
      </c>
      <c r="D242" s="1">
        <v>0</v>
      </c>
      <c r="E242" s="1">
        <v>0</v>
      </c>
      <c r="F242" s="1">
        <v>0</v>
      </c>
      <c r="H242" s="1" t="str">
        <f t="shared" si="12"/>
        <v>1996</v>
      </c>
      <c r="I242" s="12" t="s">
        <v>519</v>
      </c>
    </row>
    <row r="243" spans="1:9">
      <c r="A243" s="1" t="s">
        <v>145</v>
      </c>
      <c r="B243" s="1">
        <v>17.16</v>
      </c>
      <c r="C243" s="1">
        <v>0</v>
      </c>
      <c r="D243" s="1">
        <v>105.3</v>
      </c>
      <c r="E243" s="1">
        <v>0</v>
      </c>
      <c r="F243" s="1">
        <v>14.68</v>
      </c>
      <c r="H243" s="1" t="str">
        <f t="shared" si="12"/>
        <v>1996</v>
      </c>
      <c r="I243" s="12" t="s">
        <v>519</v>
      </c>
    </row>
    <row r="244" spans="1:9">
      <c r="A244" s="1" t="s">
        <v>146</v>
      </c>
      <c r="B244" s="1">
        <v>14.26</v>
      </c>
      <c r="C244" s="1">
        <v>1.24</v>
      </c>
      <c r="D244" s="1">
        <v>234.79</v>
      </c>
      <c r="E244" s="1">
        <v>0</v>
      </c>
      <c r="F244" s="1">
        <v>5.42</v>
      </c>
      <c r="H244" s="1" t="str">
        <f t="shared" si="12"/>
        <v>1996</v>
      </c>
      <c r="I244" s="12" t="s">
        <v>519</v>
      </c>
    </row>
    <row r="245" spans="1:9">
      <c r="A245" s="1" t="s">
        <v>147</v>
      </c>
      <c r="B245" s="1">
        <v>38.18</v>
      </c>
      <c r="C245" s="1">
        <v>0.48</v>
      </c>
      <c r="D245" s="1">
        <v>131.13</v>
      </c>
      <c r="E245" s="1">
        <v>0</v>
      </c>
      <c r="F245" s="1">
        <v>3.56</v>
      </c>
      <c r="H245" s="1" t="str">
        <f t="shared" si="12"/>
        <v>1996</v>
      </c>
      <c r="I245" s="12" t="s">
        <v>519</v>
      </c>
    </row>
    <row r="246" spans="1:9">
      <c r="A246" s="1" t="s">
        <v>518</v>
      </c>
    </row>
    <row r="247" spans="1:9">
      <c r="A247" s="1" t="s">
        <v>20</v>
      </c>
      <c r="B247" s="1">
        <v>51.47</v>
      </c>
      <c r="C247" s="1">
        <v>52.53</v>
      </c>
      <c r="D247" s="1">
        <v>51.72</v>
      </c>
      <c r="E247" s="1">
        <v>51.56</v>
      </c>
      <c r="F247" s="1">
        <v>29.92</v>
      </c>
      <c r="H247" s="1" t="str">
        <f>H229</f>
        <v>1996</v>
      </c>
      <c r="I247" s="12" t="s">
        <v>148</v>
      </c>
    </row>
    <row r="248" spans="1:9">
      <c r="A248" s="1" t="s">
        <v>17</v>
      </c>
      <c r="B248" s="1">
        <v>49.84</v>
      </c>
      <c r="C248" s="1">
        <v>50.9</v>
      </c>
      <c r="D248" s="1">
        <v>50.08</v>
      </c>
      <c r="E248" s="1">
        <v>49.92</v>
      </c>
      <c r="F248" s="1">
        <v>28.29</v>
      </c>
      <c r="H248" s="1" t="str">
        <f t="shared" ref="H248:H263" si="13">H230</f>
        <v>1996</v>
      </c>
      <c r="I248" s="12" t="s">
        <v>148</v>
      </c>
    </row>
    <row r="249" spans="1:9">
      <c r="A249" s="1" t="s">
        <v>10</v>
      </c>
      <c r="B249" s="1">
        <v>42.38</v>
      </c>
      <c r="C249" s="1">
        <v>43.44</v>
      </c>
      <c r="D249" s="1">
        <v>42.62</v>
      </c>
      <c r="E249" s="1">
        <v>44.62</v>
      </c>
      <c r="F249" s="1">
        <v>42.2</v>
      </c>
      <c r="H249" s="1" t="str">
        <f t="shared" si="13"/>
        <v>1996</v>
      </c>
      <c r="I249" s="12" t="s">
        <v>148</v>
      </c>
    </row>
    <row r="250" spans="1:9">
      <c r="A250" s="1" t="s">
        <v>11</v>
      </c>
      <c r="B250" s="1">
        <v>43.64</v>
      </c>
      <c r="C250" s="1">
        <v>42.06</v>
      </c>
      <c r="D250" s="1">
        <v>42.43</v>
      </c>
      <c r="E250" s="1">
        <v>51.14</v>
      </c>
      <c r="F250" s="1">
        <v>49.23</v>
      </c>
      <c r="H250" s="1" t="str">
        <f t="shared" si="13"/>
        <v>1996</v>
      </c>
      <c r="I250" s="12" t="s">
        <v>148</v>
      </c>
    </row>
    <row r="251" spans="1:9">
      <c r="A251" s="1" t="s">
        <v>32</v>
      </c>
      <c r="B251" s="1">
        <v>30.27</v>
      </c>
      <c r="C251" s="1">
        <v>32.69</v>
      </c>
      <c r="D251" s="1">
        <v>32.69</v>
      </c>
      <c r="E251" s="1">
        <v>32.04</v>
      </c>
      <c r="F251" s="1">
        <v>27.15</v>
      </c>
      <c r="H251" s="1" t="str">
        <f t="shared" si="13"/>
        <v>1996</v>
      </c>
      <c r="I251" s="12" t="s">
        <v>148</v>
      </c>
    </row>
    <row r="252" spans="1:9">
      <c r="A252" s="1" t="s">
        <v>31</v>
      </c>
      <c r="B252" s="1">
        <v>29.01</v>
      </c>
      <c r="C252" s="1">
        <v>31.34</v>
      </c>
      <c r="D252" s="1">
        <v>31.77</v>
      </c>
      <c r="E252" s="1">
        <v>30.96</v>
      </c>
      <c r="F252" s="1">
        <v>27.35</v>
      </c>
      <c r="H252" s="1" t="str">
        <f t="shared" si="13"/>
        <v>1996</v>
      </c>
      <c r="I252" s="12" t="s">
        <v>148</v>
      </c>
    </row>
    <row r="253" spans="1:9">
      <c r="A253" s="1" t="s">
        <v>266</v>
      </c>
      <c r="B253" s="1">
        <v>36.700000000000003</v>
      </c>
      <c r="C253" s="1">
        <v>36.450000000000003</v>
      </c>
      <c r="D253" s="1">
        <v>36.08</v>
      </c>
      <c r="E253" s="1">
        <v>46.44</v>
      </c>
      <c r="F253" s="1">
        <v>42.88</v>
      </c>
      <c r="H253" s="1" t="str">
        <f t="shared" si="13"/>
        <v>1996</v>
      </c>
      <c r="I253" s="12" t="s">
        <v>148</v>
      </c>
    </row>
    <row r="254" spans="1:9">
      <c r="A254" s="1" t="s">
        <v>269</v>
      </c>
      <c r="B254" s="1">
        <v>24.02</v>
      </c>
      <c r="C254" s="1">
        <v>24.02</v>
      </c>
      <c r="D254" s="1">
        <v>24.02</v>
      </c>
      <c r="E254" s="1">
        <v>24.02</v>
      </c>
      <c r="F254" s="1">
        <v>24.02</v>
      </c>
      <c r="H254" s="1" t="str">
        <f t="shared" si="13"/>
        <v>1996</v>
      </c>
      <c r="I254" s="12" t="s">
        <v>148</v>
      </c>
    </row>
    <row r="255" spans="1:9">
      <c r="A255" s="1" t="s">
        <v>30</v>
      </c>
      <c r="B255" s="1">
        <v>31.25</v>
      </c>
      <c r="C255" s="1">
        <v>30.95</v>
      </c>
      <c r="D255" s="1">
        <v>30.3</v>
      </c>
      <c r="E255" s="1">
        <v>30.25</v>
      </c>
      <c r="F255" s="1">
        <v>24.02</v>
      </c>
      <c r="H255" s="1" t="str">
        <f t="shared" si="13"/>
        <v>1996</v>
      </c>
      <c r="I255" s="12" t="s">
        <v>148</v>
      </c>
    </row>
    <row r="256" spans="1:9">
      <c r="A256" s="1" t="s">
        <v>26</v>
      </c>
      <c r="B256" s="1">
        <v>49.97</v>
      </c>
      <c r="C256" s="1">
        <v>49.97</v>
      </c>
      <c r="D256" s="1">
        <v>50.52</v>
      </c>
      <c r="E256" s="1">
        <v>50.1</v>
      </c>
      <c r="F256" s="1">
        <v>50.1</v>
      </c>
      <c r="H256" s="1" t="str">
        <f t="shared" si="13"/>
        <v>1996</v>
      </c>
      <c r="I256" s="12" t="s">
        <v>148</v>
      </c>
    </row>
    <row r="257" spans="1:9">
      <c r="A257" s="1" t="s">
        <v>271</v>
      </c>
      <c r="B257" s="1">
        <v>40.25</v>
      </c>
      <c r="C257" s="1">
        <v>39.56</v>
      </c>
      <c r="D257" s="1">
        <v>39.18</v>
      </c>
      <c r="E257" s="1">
        <v>40.83</v>
      </c>
      <c r="F257" s="1">
        <v>38.82</v>
      </c>
      <c r="H257" s="1" t="str">
        <f t="shared" si="13"/>
        <v>1996</v>
      </c>
      <c r="I257" s="12" t="s">
        <v>148</v>
      </c>
    </row>
    <row r="258" spans="1:9">
      <c r="A258" s="1" t="s">
        <v>143</v>
      </c>
      <c r="B258" s="1">
        <v>50.57</v>
      </c>
      <c r="C258" s="1">
        <v>48.84</v>
      </c>
      <c r="D258" s="1">
        <v>48.49</v>
      </c>
      <c r="E258" s="1">
        <v>50.72</v>
      </c>
      <c r="F258" s="1">
        <v>48.52</v>
      </c>
      <c r="H258" s="1" t="str">
        <f t="shared" si="13"/>
        <v>1996</v>
      </c>
      <c r="I258" s="12" t="s">
        <v>148</v>
      </c>
    </row>
    <row r="259" spans="1:9">
      <c r="A259" s="1" t="s">
        <v>144</v>
      </c>
      <c r="B259" s="1">
        <v>43.98</v>
      </c>
      <c r="C259" s="1">
        <v>43.42</v>
      </c>
      <c r="D259" s="1">
        <v>43.15</v>
      </c>
      <c r="E259" s="1">
        <v>47.52</v>
      </c>
      <c r="F259" s="1">
        <v>46.14</v>
      </c>
      <c r="H259" s="1" t="str">
        <f t="shared" si="13"/>
        <v>1996</v>
      </c>
      <c r="I259" s="12" t="s">
        <v>148</v>
      </c>
    </row>
    <row r="260" spans="1:9">
      <c r="A260" s="1" t="s">
        <v>14</v>
      </c>
      <c r="B260" s="1">
        <v>0</v>
      </c>
      <c r="C260" s="1">
        <v>0</v>
      </c>
      <c r="D260" s="1">
        <v>0</v>
      </c>
      <c r="E260" s="1">
        <v>0</v>
      </c>
      <c r="F260" s="1">
        <v>0</v>
      </c>
      <c r="H260" s="1" t="str">
        <f t="shared" si="13"/>
        <v>1996</v>
      </c>
      <c r="I260" s="12" t="s">
        <v>148</v>
      </c>
    </row>
    <row r="261" spans="1:9">
      <c r="A261" s="1" t="s">
        <v>145</v>
      </c>
      <c r="B261" s="1">
        <v>21.8</v>
      </c>
      <c r="C261" s="1">
        <v>21.89</v>
      </c>
      <c r="D261" s="1">
        <v>21.52</v>
      </c>
      <c r="E261" s="1">
        <v>25.92</v>
      </c>
      <c r="F261" s="1">
        <v>24.27</v>
      </c>
      <c r="H261" s="1" t="str">
        <f t="shared" si="13"/>
        <v>1996</v>
      </c>
      <c r="I261" s="12" t="s">
        <v>148</v>
      </c>
    </row>
    <row r="262" spans="1:9">
      <c r="A262" s="1" t="s">
        <v>146</v>
      </c>
      <c r="B262" s="1">
        <v>26.65</v>
      </c>
      <c r="C262" s="1">
        <v>26.75</v>
      </c>
      <c r="D262" s="1">
        <v>26.3</v>
      </c>
      <c r="E262" s="1">
        <v>31.68</v>
      </c>
      <c r="F262" s="1">
        <v>29.66</v>
      </c>
      <c r="H262" s="1" t="str">
        <f t="shared" si="13"/>
        <v>1996</v>
      </c>
      <c r="I262" s="12" t="s">
        <v>148</v>
      </c>
    </row>
    <row r="263" spans="1:9">
      <c r="A263" s="1" t="s">
        <v>147</v>
      </c>
      <c r="B263" s="1">
        <v>19.98</v>
      </c>
      <c r="C263" s="1">
        <v>20.059999999999999</v>
      </c>
      <c r="D263" s="1">
        <v>19.73</v>
      </c>
      <c r="E263" s="1">
        <v>23.76</v>
      </c>
      <c r="F263" s="1">
        <v>22.25</v>
      </c>
      <c r="H263" s="1" t="str">
        <f t="shared" si="13"/>
        <v>1996</v>
      </c>
      <c r="I263" s="12" t="s">
        <v>148</v>
      </c>
    </row>
    <row r="264" spans="1:9">
      <c r="A264" s="1" t="s">
        <v>155</v>
      </c>
    </row>
    <row r="265" spans="1:9">
      <c r="A265" s="1" t="s">
        <v>517</v>
      </c>
    </row>
    <row r="266" spans="1:9">
      <c r="A266" s="1" t="s">
        <v>20</v>
      </c>
      <c r="B266" s="1">
        <v>154.38999999999999</v>
      </c>
      <c r="C266" s="1">
        <v>0</v>
      </c>
      <c r="D266" s="1">
        <v>6.27</v>
      </c>
      <c r="E266" s="1">
        <v>0</v>
      </c>
      <c r="F266" s="1">
        <v>0</v>
      </c>
      <c r="H266" s="1" t="str">
        <f>RIGHT(A264,4)</f>
        <v>1997</v>
      </c>
      <c r="I266" s="12" t="s">
        <v>519</v>
      </c>
    </row>
    <row r="267" spans="1:9">
      <c r="A267" s="1" t="s">
        <v>17</v>
      </c>
      <c r="B267" s="1">
        <v>140.56</v>
      </c>
      <c r="C267" s="1">
        <v>2.62</v>
      </c>
      <c r="D267" s="1">
        <v>1.52</v>
      </c>
      <c r="E267" s="1">
        <v>0.64</v>
      </c>
      <c r="F267" s="1">
        <v>3.15</v>
      </c>
      <c r="H267" s="1" t="str">
        <f>H266</f>
        <v>1997</v>
      </c>
      <c r="I267" s="12" t="s">
        <v>519</v>
      </c>
    </row>
    <row r="268" spans="1:9">
      <c r="A268" s="1" t="s">
        <v>10</v>
      </c>
      <c r="B268" s="1">
        <v>116.73</v>
      </c>
      <c r="C268" s="1">
        <v>1.25</v>
      </c>
      <c r="D268" s="1">
        <v>0</v>
      </c>
      <c r="E268" s="1">
        <v>7.16</v>
      </c>
      <c r="F268" s="1">
        <v>1.08</v>
      </c>
      <c r="H268" s="1" t="str">
        <f t="shared" ref="H268:H282" si="14">H267</f>
        <v>1997</v>
      </c>
      <c r="I268" s="12" t="s">
        <v>519</v>
      </c>
    </row>
    <row r="269" spans="1:9">
      <c r="A269" s="1" t="s">
        <v>11</v>
      </c>
      <c r="B269" s="1">
        <v>93.29</v>
      </c>
      <c r="C269" s="1">
        <v>3.22</v>
      </c>
      <c r="D269" s="1">
        <v>0</v>
      </c>
      <c r="E269" s="1">
        <v>1.76</v>
      </c>
      <c r="F269" s="1">
        <v>4.74</v>
      </c>
      <c r="H269" s="1" t="str">
        <f t="shared" si="14"/>
        <v>1997</v>
      </c>
      <c r="I269" s="12" t="s">
        <v>519</v>
      </c>
    </row>
    <row r="270" spans="1:9">
      <c r="A270" s="1" t="s">
        <v>32</v>
      </c>
      <c r="B270" s="1">
        <v>72.2</v>
      </c>
      <c r="C270" s="1">
        <v>0.27</v>
      </c>
      <c r="D270" s="1">
        <v>4.6399999999999997</v>
      </c>
      <c r="E270" s="1">
        <v>0</v>
      </c>
      <c r="F270" s="1">
        <v>4.33</v>
      </c>
      <c r="H270" s="1" t="str">
        <f t="shared" si="14"/>
        <v>1997</v>
      </c>
      <c r="I270" s="12" t="s">
        <v>519</v>
      </c>
    </row>
    <row r="271" spans="1:9">
      <c r="A271" s="1" t="s">
        <v>31</v>
      </c>
      <c r="B271" s="1">
        <v>104.11</v>
      </c>
      <c r="C271" s="1">
        <v>0.11</v>
      </c>
      <c r="D271" s="1">
        <v>7.94</v>
      </c>
      <c r="E271" s="1">
        <v>0</v>
      </c>
      <c r="F271" s="1">
        <v>0.45</v>
      </c>
      <c r="H271" s="1" t="str">
        <f t="shared" si="14"/>
        <v>1997</v>
      </c>
      <c r="I271" s="12" t="s">
        <v>519</v>
      </c>
    </row>
    <row r="272" spans="1:9">
      <c r="A272" s="1" t="s">
        <v>266</v>
      </c>
      <c r="B272" s="1">
        <v>84.59</v>
      </c>
      <c r="C272" s="1">
        <v>0.21</v>
      </c>
      <c r="D272" s="1">
        <v>0.56000000000000005</v>
      </c>
      <c r="E272" s="1">
        <v>0</v>
      </c>
      <c r="F272" s="1">
        <v>5.35</v>
      </c>
      <c r="H272" s="1" t="str">
        <f t="shared" si="14"/>
        <v>1997</v>
      </c>
      <c r="I272" s="12" t="s">
        <v>519</v>
      </c>
    </row>
    <row r="273" spans="1:9">
      <c r="A273" s="1" t="s">
        <v>269</v>
      </c>
      <c r="B273" s="1">
        <v>23.7</v>
      </c>
      <c r="C273" s="1">
        <v>87.01</v>
      </c>
      <c r="D273" s="1">
        <v>83.55</v>
      </c>
      <c r="E273" s="1">
        <v>10.5</v>
      </c>
      <c r="F273" s="1">
        <v>0.27</v>
      </c>
      <c r="H273" s="1" t="str">
        <f t="shared" si="14"/>
        <v>1997</v>
      </c>
      <c r="I273" s="12" t="s">
        <v>519</v>
      </c>
    </row>
    <row r="274" spans="1:9">
      <c r="A274" s="1" t="s">
        <v>30</v>
      </c>
      <c r="B274" s="1">
        <v>6</v>
      </c>
      <c r="C274" s="1">
        <v>1</v>
      </c>
      <c r="D274" s="1">
        <v>233</v>
      </c>
      <c r="E274" s="1">
        <v>0</v>
      </c>
      <c r="F274" s="1">
        <v>1</v>
      </c>
      <c r="H274" s="1" t="str">
        <f t="shared" si="14"/>
        <v>1997</v>
      </c>
      <c r="I274" s="12" t="s">
        <v>519</v>
      </c>
    </row>
    <row r="275" spans="1:9">
      <c r="A275" s="1" t="s">
        <v>26</v>
      </c>
      <c r="B275" s="1">
        <v>45.57</v>
      </c>
      <c r="C275" s="1">
        <v>4.0199999999999996</v>
      </c>
      <c r="D275" s="1">
        <v>3.04</v>
      </c>
      <c r="E275" s="1">
        <v>0.16</v>
      </c>
      <c r="F275" s="1">
        <v>1.25</v>
      </c>
      <c r="H275" s="1" t="str">
        <f t="shared" si="14"/>
        <v>1997</v>
      </c>
      <c r="I275" s="12" t="s">
        <v>519</v>
      </c>
    </row>
    <row r="276" spans="1:9">
      <c r="A276" s="1" t="s">
        <v>271</v>
      </c>
      <c r="B276" s="1">
        <v>0</v>
      </c>
      <c r="C276" s="1">
        <v>0</v>
      </c>
      <c r="D276" s="1">
        <v>0</v>
      </c>
      <c r="E276" s="1">
        <v>0</v>
      </c>
      <c r="F276" s="1">
        <v>0</v>
      </c>
      <c r="H276" s="1" t="str">
        <f t="shared" si="14"/>
        <v>1997</v>
      </c>
      <c r="I276" s="12" t="s">
        <v>519</v>
      </c>
    </row>
    <row r="277" spans="1:9">
      <c r="A277" s="1" t="s">
        <v>143</v>
      </c>
      <c r="B277" s="1">
        <v>14.44</v>
      </c>
      <c r="C277" s="1">
        <v>0</v>
      </c>
      <c r="D277" s="1">
        <v>0.12</v>
      </c>
      <c r="E277" s="1">
        <v>0</v>
      </c>
      <c r="F277" s="1">
        <v>45.32</v>
      </c>
      <c r="H277" s="1" t="str">
        <f t="shared" si="14"/>
        <v>1997</v>
      </c>
      <c r="I277" s="12" t="s">
        <v>519</v>
      </c>
    </row>
    <row r="278" spans="1:9">
      <c r="A278" s="1" t="s">
        <v>144</v>
      </c>
      <c r="B278" s="1">
        <v>0</v>
      </c>
      <c r="C278" s="1">
        <v>0</v>
      </c>
      <c r="D278" s="1">
        <v>0</v>
      </c>
      <c r="E278" s="1">
        <v>0</v>
      </c>
      <c r="F278" s="1">
        <v>0</v>
      </c>
      <c r="H278" s="1" t="str">
        <f t="shared" si="14"/>
        <v>1997</v>
      </c>
      <c r="I278" s="12" t="s">
        <v>519</v>
      </c>
    </row>
    <row r="279" spans="1:9">
      <c r="A279" s="1" t="s">
        <v>14</v>
      </c>
      <c r="B279" s="1">
        <v>0</v>
      </c>
      <c r="C279" s="1">
        <v>0</v>
      </c>
      <c r="D279" s="1">
        <v>0</v>
      </c>
      <c r="E279" s="1">
        <v>0</v>
      </c>
      <c r="F279" s="1">
        <v>0</v>
      </c>
      <c r="H279" s="1" t="str">
        <f t="shared" si="14"/>
        <v>1997</v>
      </c>
      <c r="I279" s="12" t="s">
        <v>519</v>
      </c>
    </row>
    <row r="280" spans="1:9">
      <c r="A280" s="1" t="s">
        <v>145</v>
      </c>
      <c r="B280" s="1">
        <v>0.33</v>
      </c>
      <c r="C280" s="1">
        <v>0</v>
      </c>
      <c r="D280" s="1">
        <v>113.64</v>
      </c>
      <c r="E280" s="1">
        <v>0</v>
      </c>
      <c r="F280" s="1">
        <v>17.78</v>
      </c>
      <c r="H280" s="1" t="str">
        <f t="shared" si="14"/>
        <v>1997</v>
      </c>
      <c r="I280" s="12" t="s">
        <v>519</v>
      </c>
    </row>
    <row r="281" spans="1:9">
      <c r="A281" s="1" t="s">
        <v>146</v>
      </c>
      <c r="B281" s="1">
        <v>11.75</v>
      </c>
      <c r="C281" s="1">
        <v>1.23</v>
      </c>
      <c r="D281" s="1">
        <v>280.61</v>
      </c>
      <c r="E281" s="1">
        <v>0</v>
      </c>
      <c r="F281" s="1">
        <v>2.83</v>
      </c>
      <c r="H281" s="1" t="str">
        <f t="shared" si="14"/>
        <v>1997</v>
      </c>
      <c r="I281" s="12" t="s">
        <v>519</v>
      </c>
    </row>
    <row r="282" spans="1:9">
      <c r="A282" s="1" t="s">
        <v>147</v>
      </c>
      <c r="B282" s="1">
        <v>29.18</v>
      </c>
      <c r="C282" s="1">
        <v>0</v>
      </c>
      <c r="D282" s="1">
        <v>135.46</v>
      </c>
      <c r="E282" s="1">
        <v>0</v>
      </c>
      <c r="F282" s="1">
        <v>0.56000000000000005</v>
      </c>
      <c r="H282" s="1" t="str">
        <f t="shared" si="14"/>
        <v>1997</v>
      </c>
      <c r="I282" s="12" t="s">
        <v>519</v>
      </c>
    </row>
    <row r="283" spans="1:9">
      <c r="A283" s="1" t="s">
        <v>518</v>
      </c>
    </row>
    <row r="284" spans="1:9">
      <c r="A284" s="1" t="s">
        <v>20</v>
      </c>
      <c r="B284" s="1">
        <v>52.52</v>
      </c>
      <c r="C284" s="1">
        <v>53.6</v>
      </c>
      <c r="D284" s="1">
        <v>52.77</v>
      </c>
      <c r="E284" s="1">
        <v>52.61</v>
      </c>
      <c r="F284" s="1">
        <v>30.53</v>
      </c>
      <c r="H284" s="1" t="str">
        <f>H266</f>
        <v>1997</v>
      </c>
      <c r="I284" s="12" t="s">
        <v>148</v>
      </c>
    </row>
    <row r="285" spans="1:9">
      <c r="A285" s="1" t="s">
        <v>17</v>
      </c>
      <c r="B285" s="1">
        <v>50.86</v>
      </c>
      <c r="C285" s="1">
        <v>51.93</v>
      </c>
      <c r="D285" s="1">
        <v>51.11</v>
      </c>
      <c r="E285" s="1">
        <v>50.94</v>
      </c>
      <c r="F285" s="1">
        <v>28.87</v>
      </c>
      <c r="H285" s="1" t="str">
        <f t="shared" ref="H285:H300" si="15">H267</f>
        <v>1997</v>
      </c>
      <c r="I285" s="12" t="s">
        <v>148</v>
      </c>
    </row>
    <row r="286" spans="1:9">
      <c r="A286" s="1" t="s">
        <v>10</v>
      </c>
      <c r="B286" s="1">
        <v>43.24</v>
      </c>
      <c r="C286" s="1">
        <v>44.32</v>
      </c>
      <c r="D286" s="1">
        <v>43.49</v>
      </c>
      <c r="E286" s="1">
        <v>45.53</v>
      </c>
      <c r="F286" s="1">
        <v>43.06</v>
      </c>
      <c r="H286" s="1" t="str">
        <f t="shared" si="15"/>
        <v>1997</v>
      </c>
      <c r="I286" s="12" t="s">
        <v>148</v>
      </c>
    </row>
    <row r="287" spans="1:9">
      <c r="A287" s="1" t="s">
        <v>11</v>
      </c>
      <c r="B287" s="1">
        <v>44.53</v>
      </c>
      <c r="C287" s="1">
        <v>42.92</v>
      </c>
      <c r="D287" s="1">
        <v>43.3</v>
      </c>
      <c r="E287" s="1">
        <v>52.18</v>
      </c>
      <c r="F287" s="1">
        <v>50.23</v>
      </c>
      <c r="H287" s="1" t="str">
        <f t="shared" si="15"/>
        <v>1997</v>
      </c>
      <c r="I287" s="12" t="s">
        <v>148</v>
      </c>
    </row>
    <row r="288" spans="1:9">
      <c r="A288" s="1" t="s">
        <v>32</v>
      </c>
      <c r="B288" s="1">
        <v>30.88</v>
      </c>
      <c r="C288" s="1">
        <v>33.35</v>
      </c>
      <c r="D288" s="1">
        <v>33.35</v>
      </c>
      <c r="E288" s="1">
        <v>32.69</v>
      </c>
      <c r="F288" s="1">
        <v>27.7</v>
      </c>
      <c r="H288" s="1" t="str">
        <f t="shared" si="15"/>
        <v>1997</v>
      </c>
      <c r="I288" s="12" t="s">
        <v>148</v>
      </c>
    </row>
    <row r="289" spans="1:9">
      <c r="A289" s="1" t="s">
        <v>31</v>
      </c>
      <c r="B289" s="1">
        <v>29.6</v>
      </c>
      <c r="C289" s="1">
        <v>31.98</v>
      </c>
      <c r="D289" s="1">
        <v>32.42</v>
      </c>
      <c r="E289" s="1">
        <v>31.59</v>
      </c>
      <c r="F289" s="1">
        <v>27.91</v>
      </c>
      <c r="H289" s="1" t="str">
        <f t="shared" si="15"/>
        <v>1997</v>
      </c>
      <c r="I289" s="12" t="s">
        <v>148</v>
      </c>
    </row>
    <row r="290" spans="1:9">
      <c r="A290" s="1" t="s">
        <v>266</v>
      </c>
      <c r="B290" s="1">
        <v>37.450000000000003</v>
      </c>
      <c r="C290" s="1">
        <v>37.200000000000003</v>
      </c>
      <c r="D290" s="1">
        <v>36.81</v>
      </c>
      <c r="E290" s="1">
        <v>47.39</v>
      </c>
      <c r="F290" s="1">
        <v>43.75</v>
      </c>
      <c r="H290" s="1" t="str">
        <f t="shared" si="15"/>
        <v>1997</v>
      </c>
      <c r="I290" s="12" t="s">
        <v>148</v>
      </c>
    </row>
    <row r="291" spans="1:9">
      <c r="A291" s="1" t="s">
        <v>269</v>
      </c>
      <c r="B291" s="1">
        <v>24.51</v>
      </c>
      <c r="C291" s="1">
        <v>24.51</v>
      </c>
      <c r="D291" s="1">
        <v>24.51</v>
      </c>
      <c r="E291" s="1">
        <v>24.51</v>
      </c>
      <c r="F291" s="1">
        <v>24.51</v>
      </c>
      <c r="H291" s="1" t="str">
        <f t="shared" si="15"/>
        <v>1997</v>
      </c>
      <c r="I291" s="12" t="s">
        <v>148</v>
      </c>
    </row>
    <row r="292" spans="1:9">
      <c r="A292" s="1" t="s">
        <v>30</v>
      </c>
      <c r="B292" s="1">
        <v>31.88</v>
      </c>
      <c r="C292" s="1">
        <v>31.58</v>
      </c>
      <c r="D292" s="1">
        <v>30.92</v>
      </c>
      <c r="E292" s="1">
        <v>30.86</v>
      </c>
      <c r="F292" s="1">
        <v>24.51</v>
      </c>
      <c r="H292" s="1" t="str">
        <f t="shared" si="15"/>
        <v>1997</v>
      </c>
      <c r="I292" s="12" t="s">
        <v>148</v>
      </c>
    </row>
    <row r="293" spans="1:9">
      <c r="A293" s="1" t="s">
        <v>26</v>
      </c>
      <c r="B293" s="1">
        <v>50.99</v>
      </c>
      <c r="C293" s="1">
        <v>50.99</v>
      </c>
      <c r="D293" s="1">
        <v>51.55</v>
      </c>
      <c r="E293" s="1">
        <v>51.13</v>
      </c>
      <c r="F293" s="1">
        <v>51.13</v>
      </c>
      <c r="H293" s="1" t="str">
        <f t="shared" si="15"/>
        <v>1997</v>
      </c>
      <c r="I293" s="12" t="s">
        <v>148</v>
      </c>
    </row>
    <row r="294" spans="1:9">
      <c r="A294" s="1" t="s">
        <v>271</v>
      </c>
      <c r="B294" s="1">
        <v>41.07</v>
      </c>
      <c r="C294" s="1">
        <v>40.369999999999997</v>
      </c>
      <c r="D294" s="1">
        <v>39.979999999999997</v>
      </c>
      <c r="E294" s="1">
        <v>41.66</v>
      </c>
      <c r="F294" s="1">
        <v>39.61</v>
      </c>
      <c r="H294" s="1" t="str">
        <f t="shared" si="15"/>
        <v>1997</v>
      </c>
      <c r="I294" s="12" t="s">
        <v>148</v>
      </c>
    </row>
    <row r="295" spans="1:9">
      <c r="A295" s="1" t="s">
        <v>143</v>
      </c>
      <c r="B295" s="1">
        <v>51.6</v>
      </c>
      <c r="C295" s="1">
        <v>49.83</v>
      </c>
      <c r="D295" s="1">
        <v>49.48</v>
      </c>
      <c r="E295" s="1">
        <v>51.75</v>
      </c>
      <c r="F295" s="1">
        <v>49.51</v>
      </c>
      <c r="H295" s="1" t="str">
        <f t="shared" si="15"/>
        <v>1997</v>
      </c>
      <c r="I295" s="12" t="s">
        <v>148</v>
      </c>
    </row>
    <row r="296" spans="1:9">
      <c r="A296" s="1" t="s">
        <v>144</v>
      </c>
      <c r="B296" s="1">
        <v>44.88</v>
      </c>
      <c r="C296" s="1">
        <v>44.3</v>
      </c>
      <c r="D296" s="1">
        <v>44.03</v>
      </c>
      <c r="E296" s="1">
        <v>48.49</v>
      </c>
      <c r="F296" s="1">
        <v>47.08</v>
      </c>
      <c r="H296" s="1" t="str">
        <f t="shared" si="15"/>
        <v>1997</v>
      </c>
      <c r="I296" s="12" t="s">
        <v>148</v>
      </c>
    </row>
    <row r="297" spans="1:9">
      <c r="A297" s="1" t="s">
        <v>14</v>
      </c>
      <c r="B297" s="1">
        <v>0</v>
      </c>
      <c r="C297" s="1">
        <v>0</v>
      </c>
      <c r="D297" s="1">
        <v>0</v>
      </c>
      <c r="E297" s="1">
        <v>0</v>
      </c>
      <c r="F297" s="1">
        <v>0</v>
      </c>
      <c r="H297" s="1" t="str">
        <f t="shared" si="15"/>
        <v>1997</v>
      </c>
      <c r="I297" s="12" t="s">
        <v>148</v>
      </c>
    </row>
    <row r="298" spans="1:9">
      <c r="A298" s="1" t="s">
        <v>145</v>
      </c>
      <c r="B298" s="1">
        <v>22.25</v>
      </c>
      <c r="C298" s="1">
        <v>22.34</v>
      </c>
      <c r="D298" s="1">
        <v>21.96</v>
      </c>
      <c r="E298" s="1">
        <v>26.45</v>
      </c>
      <c r="F298" s="1">
        <v>24.76</v>
      </c>
      <c r="H298" s="1" t="str">
        <f t="shared" si="15"/>
        <v>1997</v>
      </c>
      <c r="I298" s="12" t="s">
        <v>148</v>
      </c>
    </row>
    <row r="299" spans="1:9">
      <c r="A299" s="1" t="s">
        <v>146</v>
      </c>
      <c r="B299" s="1">
        <v>27.19</v>
      </c>
      <c r="C299" s="1">
        <v>27.3</v>
      </c>
      <c r="D299" s="1">
        <v>26.84</v>
      </c>
      <c r="E299" s="1">
        <v>32.33</v>
      </c>
      <c r="F299" s="1">
        <v>30.27</v>
      </c>
      <c r="H299" s="1" t="str">
        <f t="shared" si="15"/>
        <v>1997</v>
      </c>
      <c r="I299" s="12" t="s">
        <v>148</v>
      </c>
    </row>
    <row r="300" spans="1:9">
      <c r="A300" s="1" t="s">
        <v>147</v>
      </c>
      <c r="B300" s="1">
        <v>20.39</v>
      </c>
      <c r="C300" s="1">
        <v>20.47</v>
      </c>
      <c r="D300" s="1">
        <v>20.13</v>
      </c>
      <c r="E300" s="1">
        <v>24.24</v>
      </c>
      <c r="F300" s="1">
        <v>22.7</v>
      </c>
      <c r="H300" s="1" t="str">
        <f t="shared" si="15"/>
        <v>1997</v>
      </c>
      <c r="I300" s="12" t="s">
        <v>148</v>
      </c>
    </row>
    <row r="301" spans="1:9">
      <c r="A301" s="1" t="s">
        <v>156</v>
      </c>
    </row>
    <row r="302" spans="1:9">
      <c r="A302" s="1" t="s">
        <v>517</v>
      </c>
    </row>
    <row r="303" spans="1:9">
      <c r="A303" s="1" t="s">
        <v>20</v>
      </c>
      <c r="B303" s="1">
        <v>157.41999999999999</v>
      </c>
      <c r="C303" s="1">
        <v>1.06</v>
      </c>
      <c r="D303" s="1">
        <v>17.170000000000002</v>
      </c>
      <c r="E303" s="1">
        <v>0</v>
      </c>
      <c r="F303" s="1">
        <v>3.95</v>
      </c>
      <c r="H303" s="1" t="str">
        <f>RIGHT(A301,4)</f>
        <v>1998</v>
      </c>
      <c r="I303" s="12" t="s">
        <v>519</v>
      </c>
    </row>
    <row r="304" spans="1:9">
      <c r="A304" s="1" t="s">
        <v>17</v>
      </c>
      <c r="B304" s="1">
        <v>127.81</v>
      </c>
      <c r="C304" s="1">
        <v>1.83</v>
      </c>
      <c r="D304" s="1">
        <v>0</v>
      </c>
      <c r="E304" s="1">
        <v>0.55000000000000004</v>
      </c>
      <c r="F304" s="1">
        <v>1.45</v>
      </c>
      <c r="H304" s="1" t="str">
        <f>H303</f>
        <v>1998</v>
      </c>
      <c r="I304" s="12" t="s">
        <v>519</v>
      </c>
    </row>
    <row r="305" spans="1:9">
      <c r="A305" s="1" t="s">
        <v>10</v>
      </c>
      <c r="B305" s="1">
        <v>86.67</v>
      </c>
      <c r="C305" s="1">
        <v>0.95</v>
      </c>
      <c r="D305" s="1">
        <v>0.3</v>
      </c>
      <c r="E305" s="1">
        <v>3.38</v>
      </c>
      <c r="F305" s="1">
        <v>1.46</v>
      </c>
      <c r="H305" s="1" t="str">
        <f t="shared" ref="H305:H319" si="16">H304</f>
        <v>1998</v>
      </c>
      <c r="I305" s="12" t="s">
        <v>519</v>
      </c>
    </row>
    <row r="306" spans="1:9">
      <c r="A306" s="1" t="s">
        <v>11</v>
      </c>
      <c r="B306" s="1">
        <v>111.81</v>
      </c>
      <c r="C306" s="1">
        <v>2.73</v>
      </c>
      <c r="D306" s="1">
        <v>0.24</v>
      </c>
      <c r="E306" s="1">
        <v>2.02</v>
      </c>
      <c r="F306" s="1">
        <v>1.62</v>
      </c>
      <c r="H306" s="1" t="str">
        <f t="shared" si="16"/>
        <v>1998</v>
      </c>
      <c r="I306" s="12" t="s">
        <v>519</v>
      </c>
    </row>
    <row r="307" spans="1:9">
      <c r="A307" s="1" t="s">
        <v>32</v>
      </c>
      <c r="B307" s="1">
        <v>119.17</v>
      </c>
      <c r="C307" s="1">
        <v>0.65</v>
      </c>
      <c r="D307" s="1">
        <v>12.53</v>
      </c>
      <c r="E307" s="1">
        <v>0</v>
      </c>
      <c r="F307" s="1">
        <v>1.54</v>
      </c>
      <c r="H307" s="1" t="str">
        <f t="shared" si="16"/>
        <v>1998</v>
      </c>
      <c r="I307" s="12" t="s">
        <v>519</v>
      </c>
    </row>
    <row r="308" spans="1:9">
      <c r="A308" s="1" t="s">
        <v>31</v>
      </c>
      <c r="B308" s="1">
        <v>130.06</v>
      </c>
      <c r="C308" s="1">
        <v>0.56000000000000005</v>
      </c>
      <c r="D308" s="1">
        <v>8.7799999999999994</v>
      </c>
      <c r="E308" s="1">
        <v>0</v>
      </c>
      <c r="F308" s="1">
        <v>2.15</v>
      </c>
      <c r="H308" s="1" t="str">
        <f t="shared" si="16"/>
        <v>1998</v>
      </c>
      <c r="I308" s="12" t="s">
        <v>519</v>
      </c>
    </row>
    <row r="309" spans="1:9">
      <c r="A309" s="1" t="s">
        <v>266</v>
      </c>
      <c r="B309" s="1">
        <v>77.010000000000005</v>
      </c>
      <c r="C309" s="1">
        <v>0</v>
      </c>
      <c r="D309" s="1">
        <v>0.37</v>
      </c>
      <c r="E309" s="1">
        <v>0</v>
      </c>
      <c r="F309" s="1">
        <v>46.3</v>
      </c>
      <c r="H309" s="1" t="str">
        <f t="shared" si="16"/>
        <v>1998</v>
      </c>
      <c r="I309" s="12" t="s">
        <v>519</v>
      </c>
    </row>
    <row r="310" spans="1:9">
      <c r="A310" s="1" t="s">
        <v>269</v>
      </c>
      <c r="B310" s="1">
        <v>21.33</v>
      </c>
      <c r="C310" s="1">
        <v>83.09</v>
      </c>
      <c r="D310" s="1">
        <v>108.91</v>
      </c>
      <c r="E310" s="1">
        <v>11.46</v>
      </c>
      <c r="F310" s="1">
        <v>0.09</v>
      </c>
      <c r="H310" s="1" t="str">
        <f t="shared" si="16"/>
        <v>1998</v>
      </c>
      <c r="I310" s="12" t="s">
        <v>519</v>
      </c>
    </row>
    <row r="311" spans="1:9">
      <c r="A311" s="1" t="s">
        <v>30</v>
      </c>
      <c r="B311" s="1">
        <v>8</v>
      </c>
      <c r="C311" s="1">
        <v>1</v>
      </c>
      <c r="D311" s="1">
        <v>221</v>
      </c>
      <c r="E311" s="1">
        <v>0</v>
      </c>
      <c r="F311" s="1">
        <v>0</v>
      </c>
      <c r="H311" s="1" t="str">
        <f t="shared" si="16"/>
        <v>1998</v>
      </c>
      <c r="I311" s="12" t="s">
        <v>519</v>
      </c>
    </row>
    <row r="312" spans="1:9">
      <c r="A312" s="1" t="s">
        <v>26</v>
      </c>
      <c r="B312" s="1">
        <v>238</v>
      </c>
      <c r="C312" s="1">
        <v>3</v>
      </c>
      <c r="D312" s="1">
        <v>10</v>
      </c>
      <c r="E312" s="1">
        <v>0</v>
      </c>
      <c r="F312" s="1">
        <v>4</v>
      </c>
      <c r="H312" s="1" t="str">
        <f t="shared" si="16"/>
        <v>1998</v>
      </c>
      <c r="I312" s="12" t="s">
        <v>519</v>
      </c>
    </row>
    <row r="313" spans="1:9">
      <c r="A313" s="1" t="s">
        <v>271</v>
      </c>
      <c r="B313" s="1">
        <v>0</v>
      </c>
      <c r="C313" s="1">
        <v>0</v>
      </c>
      <c r="D313" s="1">
        <v>0</v>
      </c>
      <c r="E313" s="1">
        <v>0</v>
      </c>
      <c r="F313" s="1">
        <v>0</v>
      </c>
      <c r="H313" s="1" t="str">
        <f t="shared" si="16"/>
        <v>1998</v>
      </c>
      <c r="I313" s="12" t="s">
        <v>519</v>
      </c>
    </row>
    <row r="314" spans="1:9">
      <c r="A314" s="1" t="s">
        <v>143</v>
      </c>
      <c r="B314" s="1">
        <v>17.45</v>
      </c>
      <c r="C314" s="1">
        <v>0</v>
      </c>
      <c r="D314" s="1">
        <v>0.06</v>
      </c>
      <c r="E314" s="1">
        <v>0</v>
      </c>
      <c r="F314" s="1">
        <v>50.31</v>
      </c>
      <c r="H314" s="1" t="str">
        <f t="shared" si="16"/>
        <v>1998</v>
      </c>
      <c r="I314" s="12" t="s">
        <v>519</v>
      </c>
    </row>
    <row r="315" spans="1:9">
      <c r="A315" s="1" t="s">
        <v>144</v>
      </c>
      <c r="B315" s="1">
        <v>0</v>
      </c>
      <c r="C315" s="1">
        <v>0</v>
      </c>
      <c r="D315" s="1">
        <v>0</v>
      </c>
      <c r="E315" s="1">
        <v>0</v>
      </c>
      <c r="F315" s="1">
        <v>0</v>
      </c>
      <c r="H315" s="1" t="str">
        <f t="shared" si="16"/>
        <v>1998</v>
      </c>
      <c r="I315" s="12" t="s">
        <v>519</v>
      </c>
    </row>
    <row r="316" spans="1:9">
      <c r="A316" s="1" t="s">
        <v>14</v>
      </c>
      <c r="B316" s="1">
        <v>0</v>
      </c>
      <c r="C316" s="1">
        <v>0</v>
      </c>
      <c r="D316" s="1">
        <v>0</v>
      </c>
      <c r="E316" s="1">
        <v>0</v>
      </c>
      <c r="F316" s="1">
        <v>0</v>
      </c>
      <c r="H316" s="1" t="str">
        <f t="shared" si="16"/>
        <v>1998</v>
      </c>
      <c r="I316" s="12" t="s">
        <v>519</v>
      </c>
    </row>
    <row r="317" spans="1:9">
      <c r="A317" s="1" t="s">
        <v>145</v>
      </c>
      <c r="B317" s="1">
        <v>8.5399999999999991</v>
      </c>
      <c r="C317" s="1">
        <v>0</v>
      </c>
      <c r="D317" s="1">
        <v>64.45</v>
      </c>
      <c r="E317" s="1">
        <v>0</v>
      </c>
      <c r="F317" s="1">
        <v>22.52</v>
      </c>
      <c r="H317" s="1" t="str">
        <f t="shared" si="16"/>
        <v>1998</v>
      </c>
      <c r="I317" s="12" t="s">
        <v>519</v>
      </c>
    </row>
    <row r="318" spans="1:9">
      <c r="A318" s="1" t="s">
        <v>146</v>
      </c>
      <c r="B318" s="1">
        <v>8.67</v>
      </c>
      <c r="C318" s="1">
        <v>1.66</v>
      </c>
      <c r="D318" s="1">
        <v>269.89</v>
      </c>
      <c r="E318" s="1">
        <v>0</v>
      </c>
      <c r="F318" s="1">
        <v>1.04</v>
      </c>
      <c r="H318" s="1" t="str">
        <f t="shared" si="16"/>
        <v>1998</v>
      </c>
      <c r="I318" s="12" t="s">
        <v>519</v>
      </c>
    </row>
    <row r="319" spans="1:9">
      <c r="A319" s="1" t="s">
        <v>147</v>
      </c>
      <c r="B319" s="1">
        <v>28.24</v>
      </c>
      <c r="C319" s="1">
        <v>0</v>
      </c>
      <c r="D319" s="1">
        <v>126.36</v>
      </c>
      <c r="E319" s="1">
        <v>0</v>
      </c>
      <c r="F319" s="1">
        <v>0.31</v>
      </c>
      <c r="H319" s="1" t="str">
        <f t="shared" si="16"/>
        <v>1998</v>
      </c>
      <c r="I319" s="12" t="s">
        <v>519</v>
      </c>
    </row>
    <row r="320" spans="1:9">
      <c r="A320" s="1" t="s">
        <v>518</v>
      </c>
    </row>
    <row r="321" spans="1:9">
      <c r="A321" s="1" t="s">
        <v>20</v>
      </c>
      <c r="B321" s="1">
        <v>53.6</v>
      </c>
      <c r="C321" s="1">
        <v>54.7</v>
      </c>
      <c r="D321" s="1">
        <v>53.85</v>
      </c>
      <c r="E321" s="1">
        <v>53.68</v>
      </c>
      <c r="F321" s="1">
        <v>31.16</v>
      </c>
      <c r="H321" s="1" t="str">
        <f>H303</f>
        <v>1998</v>
      </c>
      <c r="I321" s="12" t="s">
        <v>148</v>
      </c>
    </row>
    <row r="322" spans="1:9">
      <c r="A322" s="1" t="s">
        <v>17</v>
      </c>
      <c r="B322" s="1">
        <v>51.9</v>
      </c>
      <c r="C322" s="1">
        <v>52.99</v>
      </c>
      <c r="D322" s="1">
        <v>52.15</v>
      </c>
      <c r="E322" s="1">
        <v>51.98</v>
      </c>
      <c r="F322" s="1">
        <v>29.45</v>
      </c>
      <c r="H322" s="1" t="str">
        <f t="shared" ref="H322:H337" si="17">H304</f>
        <v>1998</v>
      </c>
      <c r="I322" s="12" t="s">
        <v>148</v>
      </c>
    </row>
    <row r="323" spans="1:9">
      <c r="A323" s="1" t="s">
        <v>10</v>
      </c>
      <c r="B323" s="1">
        <v>44.13</v>
      </c>
      <c r="C323" s="1">
        <v>45.23</v>
      </c>
      <c r="D323" s="1">
        <v>44.38</v>
      </c>
      <c r="E323" s="1">
        <v>46.46</v>
      </c>
      <c r="F323" s="1">
        <v>43.94</v>
      </c>
      <c r="H323" s="1" t="str">
        <f t="shared" si="17"/>
        <v>1998</v>
      </c>
      <c r="I323" s="12" t="s">
        <v>148</v>
      </c>
    </row>
    <row r="324" spans="1:9">
      <c r="A324" s="1" t="s">
        <v>11</v>
      </c>
      <c r="B324" s="1">
        <v>45.44</v>
      </c>
      <c r="C324" s="1">
        <v>43.8</v>
      </c>
      <c r="D324" s="1">
        <v>44.18</v>
      </c>
      <c r="E324" s="1">
        <v>53.24</v>
      </c>
      <c r="F324" s="1">
        <v>51.26</v>
      </c>
      <c r="H324" s="1" t="str">
        <f t="shared" si="17"/>
        <v>1998</v>
      </c>
      <c r="I324" s="12" t="s">
        <v>148</v>
      </c>
    </row>
    <row r="325" spans="1:9">
      <c r="A325" s="1" t="s">
        <v>32</v>
      </c>
      <c r="B325" s="1">
        <v>31.51</v>
      </c>
      <c r="C325" s="1">
        <v>34.03</v>
      </c>
      <c r="D325" s="1">
        <v>34.03</v>
      </c>
      <c r="E325" s="1">
        <v>33.36</v>
      </c>
      <c r="F325" s="1">
        <v>28.27</v>
      </c>
      <c r="H325" s="1" t="str">
        <f t="shared" si="17"/>
        <v>1998</v>
      </c>
      <c r="I325" s="12" t="s">
        <v>148</v>
      </c>
    </row>
    <row r="326" spans="1:9">
      <c r="A326" s="1" t="s">
        <v>31</v>
      </c>
      <c r="B326" s="1">
        <v>30.2</v>
      </c>
      <c r="C326" s="1">
        <v>32.630000000000003</v>
      </c>
      <c r="D326" s="1">
        <v>33.08</v>
      </c>
      <c r="E326" s="1">
        <v>32.24</v>
      </c>
      <c r="F326" s="1">
        <v>28.48</v>
      </c>
      <c r="H326" s="1" t="str">
        <f t="shared" si="17"/>
        <v>1998</v>
      </c>
      <c r="I326" s="12" t="s">
        <v>148</v>
      </c>
    </row>
    <row r="327" spans="1:9">
      <c r="A327" s="1" t="s">
        <v>266</v>
      </c>
      <c r="B327" s="1">
        <v>38.21</v>
      </c>
      <c r="C327" s="1">
        <v>37.96</v>
      </c>
      <c r="D327" s="1">
        <v>37.57</v>
      </c>
      <c r="E327" s="1">
        <v>48.36</v>
      </c>
      <c r="F327" s="1">
        <v>44.65</v>
      </c>
      <c r="H327" s="1" t="str">
        <f t="shared" si="17"/>
        <v>1998</v>
      </c>
      <c r="I327" s="12" t="s">
        <v>148</v>
      </c>
    </row>
    <row r="328" spans="1:9">
      <c r="A328" s="1" t="s">
        <v>269</v>
      </c>
      <c r="B328" s="1">
        <v>25.01</v>
      </c>
      <c r="C328" s="1">
        <v>25.01</v>
      </c>
      <c r="D328" s="1">
        <v>25.01</v>
      </c>
      <c r="E328" s="1">
        <v>25.01</v>
      </c>
      <c r="F328" s="1">
        <v>25.01</v>
      </c>
      <c r="H328" s="1" t="str">
        <f t="shared" si="17"/>
        <v>1998</v>
      </c>
      <c r="I328" s="12" t="s">
        <v>148</v>
      </c>
    </row>
    <row r="329" spans="1:9">
      <c r="A329" s="1" t="s">
        <v>30</v>
      </c>
      <c r="B329" s="1">
        <v>32.54</v>
      </c>
      <c r="C329" s="1">
        <v>32.22</v>
      </c>
      <c r="D329" s="1">
        <v>31.55</v>
      </c>
      <c r="E329" s="1">
        <v>31.49</v>
      </c>
      <c r="F329" s="1">
        <v>25.01</v>
      </c>
      <c r="H329" s="1" t="str">
        <f t="shared" si="17"/>
        <v>1998</v>
      </c>
      <c r="I329" s="12" t="s">
        <v>148</v>
      </c>
    </row>
    <row r="330" spans="1:9">
      <c r="A330" s="1" t="s">
        <v>26</v>
      </c>
      <c r="B330" s="1">
        <v>52.03</v>
      </c>
      <c r="C330" s="1">
        <v>52.03</v>
      </c>
      <c r="D330" s="1">
        <v>52.6</v>
      </c>
      <c r="E330" s="1">
        <v>52.17</v>
      </c>
      <c r="F330" s="1">
        <v>52.17</v>
      </c>
      <c r="H330" s="1" t="str">
        <f t="shared" si="17"/>
        <v>1998</v>
      </c>
      <c r="I330" s="12" t="s">
        <v>148</v>
      </c>
    </row>
    <row r="331" spans="1:9">
      <c r="A331" s="1" t="s">
        <v>271</v>
      </c>
      <c r="B331" s="1">
        <v>41.91</v>
      </c>
      <c r="C331" s="1">
        <v>41.2</v>
      </c>
      <c r="D331" s="1">
        <v>40.799999999999997</v>
      </c>
      <c r="E331" s="1">
        <v>42.51</v>
      </c>
      <c r="F331" s="1">
        <v>40.42</v>
      </c>
      <c r="H331" s="1" t="str">
        <f t="shared" si="17"/>
        <v>1998</v>
      </c>
      <c r="I331" s="12" t="s">
        <v>148</v>
      </c>
    </row>
    <row r="332" spans="1:9">
      <c r="A332" s="1" t="s">
        <v>143</v>
      </c>
      <c r="B332" s="1">
        <v>52.65</v>
      </c>
      <c r="C332" s="1">
        <v>50.85</v>
      </c>
      <c r="D332" s="1">
        <v>50.49</v>
      </c>
      <c r="E332" s="1">
        <v>52.81</v>
      </c>
      <c r="F332" s="1">
        <v>50.52</v>
      </c>
      <c r="H332" s="1" t="str">
        <f t="shared" si="17"/>
        <v>1998</v>
      </c>
      <c r="I332" s="12" t="s">
        <v>148</v>
      </c>
    </row>
    <row r="333" spans="1:9">
      <c r="A333" s="1" t="s">
        <v>144</v>
      </c>
      <c r="B333" s="1">
        <v>45.8</v>
      </c>
      <c r="C333" s="1">
        <v>45.21</v>
      </c>
      <c r="D333" s="1">
        <v>44.93</v>
      </c>
      <c r="E333" s="1">
        <v>49.47</v>
      </c>
      <c r="F333" s="1">
        <v>48.04</v>
      </c>
      <c r="H333" s="1" t="str">
        <f t="shared" si="17"/>
        <v>1998</v>
      </c>
      <c r="I333" s="12" t="s">
        <v>148</v>
      </c>
    </row>
    <row r="334" spans="1:9">
      <c r="A334" s="1" t="s">
        <v>14</v>
      </c>
      <c r="B334" s="1">
        <v>0</v>
      </c>
      <c r="C334" s="1">
        <v>0</v>
      </c>
      <c r="D334" s="1">
        <v>0</v>
      </c>
      <c r="E334" s="1">
        <v>0</v>
      </c>
      <c r="F334" s="1">
        <v>0</v>
      </c>
      <c r="H334" s="1" t="str">
        <f t="shared" si="17"/>
        <v>1998</v>
      </c>
      <c r="I334" s="12" t="s">
        <v>148</v>
      </c>
    </row>
    <row r="335" spans="1:9">
      <c r="A335" s="1" t="s">
        <v>145</v>
      </c>
      <c r="B335" s="1">
        <v>22.7</v>
      </c>
      <c r="C335" s="1">
        <v>22.79</v>
      </c>
      <c r="D335" s="1">
        <v>22.41</v>
      </c>
      <c r="E335" s="1">
        <v>26.99</v>
      </c>
      <c r="F335" s="1">
        <v>25.27</v>
      </c>
      <c r="H335" s="1" t="str">
        <f t="shared" si="17"/>
        <v>1998</v>
      </c>
      <c r="I335" s="12" t="s">
        <v>148</v>
      </c>
    </row>
    <row r="336" spans="1:9">
      <c r="A336" s="1" t="s">
        <v>146</v>
      </c>
      <c r="B336" s="1">
        <v>27.74</v>
      </c>
      <c r="C336" s="1">
        <v>27.86</v>
      </c>
      <c r="D336" s="1">
        <v>27.39</v>
      </c>
      <c r="E336" s="1">
        <v>32.99</v>
      </c>
      <c r="F336" s="1">
        <v>30.88</v>
      </c>
      <c r="H336" s="1" t="str">
        <f t="shared" si="17"/>
        <v>1998</v>
      </c>
      <c r="I336" s="12" t="s">
        <v>148</v>
      </c>
    </row>
    <row r="337" spans="1:9">
      <c r="A337" s="1" t="s">
        <v>147</v>
      </c>
      <c r="B337" s="1">
        <v>20.81</v>
      </c>
      <c r="C337" s="1">
        <v>20.89</v>
      </c>
      <c r="D337" s="1">
        <v>20.54</v>
      </c>
      <c r="E337" s="1">
        <v>24.74</v>
      </c>
      <c r="F337" s="1">
        <v>23.16</v>
      </c>
      <c r="H337" s="1" t="str">
        <f t="shared" si="17"/>
        <v>1998</v>
      </c>
      <c r="I337" s="12" t="s">
        <v>148</v>
      </c>
    </row>
    <row r="338" spans="1:9">
      <c r="A338" s="1" t="s">
        <v>157</v>
      </c>
    </row>
    <row r="339" spans="1:9">
      <c r="A339" s="1" t="s">
        <v>517</v>
      </c>
    </row>
    <row r="340" spans="1:9">
      <c r="A340" s="1" t="s">
        <v>20</v>
      </c>
      <c r="B340" s="1">
        <v>180.59</v>
      </c>
      <c r="C340" s="1">
        <v>0</v>
      </c>
      <c r="D340" s="1">
        <v>0.73</v>
      </c>
      <c r="E340" s="1">
        <v>0</v>
      </c>
      <c r="F340" s="1">
        <v>8.94</v>
      </c>
      <c r="H340" s="1" t="str">
        <f>RIGHT(A338,4)</f>
        <v>1999</v>
      </c>
      <c r="I340" s="12" t="s">
        <v>519</v>
      </c>
    </row>
    <row r="341" spans="1:9">
      <c r="A341" s="1" t="s">
        <v>17</v>
      </c>
      <c r="B341" s="1">
        <v>164.38</v>
      </c>
      <c r="C341" s="1">
        <v>2.1</v>
      </c>
      <c r="D341" s="1">
        <v>1.18</v>
      </c>
      <c r="E341" s="1">
        <v>0.38</v>
      </c>
      <c r="F341" s="1">
        <v>23.33</v>
      </c>
      <c r="H341" s="1" t="str">
        <f>H340</f>
        <v>1999</v>
      </c>
      <c r="I341" s="12" t="s">
        <v>519</v>
      </c>
    </row>
    <row r="342" spans="1:9">
      <c r="A342" s="1" t="s">
        <v>10</v>
      </c>
      <c r="B342" s="1">
        <v>96.11</v>
      </c>
      <c r="C342" s="1">
        <v>0.76</v>
      </c>
      <c r="D342" s="1">
        <v>5.32</v>
      </c>
      <c r="E342" s="1">
        <v>3.48</v>
      </c>
      <c r="F342" s="1">
        <v>5.36</v>
      </c>
      <c r="H342" s="1" t="str">
        <f t="shared" ref="H342:H356" si="18">H341</f>
        <v>1999</v>
      </c>
      <c r="I342" s="12" t="s">
        <v>519</v>
      </c>
    </row>
    <row r="343" spans="1:9">
      <c r="A343" s="1" t="s">
        <v>11</v>
      </c>
      <c r="B343" s="1">
        <v>122.97</v>
      </c>
      <c r="C343" s="1">
        <v>3.65</v>
      </c>
      <c r="D343" s="1">
        <v>0</v>
      </c>
      <c r="E343" s="1">
        <v>3.4</v>
      </c>
      <c r="F343" s="1">
        <v>10.75</v>
      </c>
      <c r="H343" s="1" t="str">
        <f t="shared" si="18"/>
        <v>1999</v>
      </c>
      <c r="I343" s="12" t="s">
        <v>519</v>
      </c>
    </row>
    <row r="344" spans="1:9">
      <c r="A344" s="1" t="s">
        <v>32</v>
      </c>
      <c r="B344" s="1">
        <v>75.84</v>
      </c>
      <c r="C344" s="1">
        <v>1.39</v>
      </c>
      <c r="D344" s="1">
        <v>19.21</v>
      </c>
      <c r="E344" s="1">
        <v>0.01</v>
      </c>
      <c r="F344" s="1">
        <v>5.12</v>
      </c>
      <c r="H344" s="1" t="str">
        <f t="shared" si="18"/>
        <v>1999</v>
      </c>
      <c r="I344" s="12" t="s">
        <v>519</v>
      </c>
    </row>
    <row r="345" spans="1:9">
      <c r="A345" s="1" t="s">
        <v>31</v>
      </c>
      <c r="B345" s="1">
        <v>107.24</v>
      </c>
      <c r="C345" s="1">
        <v>0.12</v>
      </c>
      <c r="D345" s="1">
        <v>23.9</v>
      </c>
      <c r="E345" s="1">
        <v>0</v>
      </c>
      <c r="F345" s="1">
        <v>3.73</v>
      </c>
      <c r="H345" s="1" t="str">
        <f t="shared" si="18"/>
        <v>1999</v>
      </c>
      <c r="I345" s="12" t="s">
        <v>519</v>
      </c>
    </row>
    <row r="346" spans="1:9">
      <c r="A346" s="1" t="s">
        <v>266</v>
      </c>
      <c r="B346" s="1">
        <v>60.86</v>
      </c>
      <c r="C346" s="1">
        <v>0.01</v>
      </c>
      <c r="D346" s="1">
        <v>0.01</v>
      </c>
      <c r="E346" s="1">
        <v>0</v>
      </c>
      <c r="F346" s="1">
        <v>67.17</v>
      </c>
      <c r="H346" s="1" t="str">
        <f t="shared" si="18"/>
        <v>1999</v>
      </c>
      <c r="I346" s="12" t="s">
        <v>519</v>
      </c>
    </row>
    <row r="347" spans="1:9">
      <c r="A347" s="1" t="s">
        <v>269</v>
      </c>
      <c r="B347" s="1">
        <v>24.21</v>
      </c>
      <c r="C347" s="1">
        <v>132.30000000000001</v>
      </c>
      <c r="D347" s="1">
        <v>54.91</v>
      </c>
      <c r="E347" s="1">
        <v>11.07</v>
      </c>
      <c r="F347" s="1">
        <v>0.4</v>
      </c>
      <c r="H347" s="1" t="str">
        <f t="shared" si="18"/>
        <v>1999</v>
      </c>
      <c r="I347" s="12" t="s">
        <v>519</v>
      </c>
    </row>
    <row r="348" spans="1:9">
      <c r="A348" s="1" t="s">
        <v>30</v>
      </c>
      <c r="B348" s="1">
        <v>8</v>
      </c>
      <c r="C348" s="1">
        <v>2</v>
      </c>
      <c r="D348" s="1">
        <v>224</v>
      </c>
      <c r="E348" s="1">
        <v>0</v>
      </c>
      <c r="F348" s="1">
        <v>2</v>
      </c>
      <c r="H348" s="1" t="str">
        <f t="shared" si="18"/>
        <v>1999</v>
      </c>
      <c r="I348" s="12" t="s">
        <v>519</v>
      </c>
    </row>
    <row r="349" spans="1:9">
      <c r="A349" s="1" t="s">
        <v>26</v>
      </c>
      <c r="B349" s="1">
        <v>245</v>
      </c>
      <c r="C349" s="1">
        <v>2</v>
      </c>
      <c r="D349" s="1">
        <v>15</v>
      </c>
      <c r="E349" s="1">
        <v>0</v>
      </c>
      <c r="F349" s="1">
        <v>9</v>
      </c>
      <c r="H349" s="1" t="str">
        <f t="shared" si="18"/>
        <v>1999</v>
      </c>
      <c r="I349" s="12" t="s">
        <v>519</v>
      </c>
    </row>
    <row r="350" spans="1:9">
      <c r="A350" s="1" t="s">
        <v>271</v>
      </c>
      <c r="B350" s="1">
        <v>0</v>
      </c>
      <c r="C350" s="1">
        <v>0</v>
      </c>
      <c r="D350" s="1">
        <v>0</v>
      </c>
      <c r="E350" s="1">
        <v>0</v>
      </c>
      <c r="F350" s="1">
        <v>0</v>
      </c>
      <c r="H350" s="1" t="str">
        <f t="shared" si="18"/>
        <v>1999</v>
      </c>
      <c r="I350" s="12" t="s">
        <v>519</v>
      </c>
    </row>
    <row r="351" spans="1:9">
      <c r="A351" s="1" t="s">
        <v>143</v>
      </c>
      <c r="B351" s="1">
        <v>16.03</v>
      </c>
      <c r="C351" s="1">
        <v>0</v>
      </c>
      <c r="D351" s="1">
        <v>0</v>
      </c>
      <c r="E351" s="1">
        <v>0</v>
      </c>
      <c r="F351" s="1">
        <v>58.72</v>
      </c>
      <c r="H351" s="1" t="str">
        <f t="shared" si="18"/>
        <v>1999</v>
      </c>
      <c r="I351" s="12" t="s">
        <v>519</v>
      </c>
    </row>
    <row r="352" spans="1:9">
      <c r="A352" s="1" t="s">
        <v>144</v>
      </c>
      <c r="B352" s="1">
        <v>0</v>
      </c>
      <c r="C352" s="1">
        <v>0</v>
      </c>
      <c r="D352" s="1">
        <v>0</v>
      </c>
      <c r="E352" s="1">
        <v>0</v>
      </c>
      <c r="F352" s="1">
        <v>0</v>
      </c>
      <c r="H352" s="1" t="str">
        <f t="shared" si="18"/>
        <v>1999</v>
      </c>
      <c r="I352" s="12" t="s">
        <v>519</v>
      </c>
    </row>
    <row r="353" spans="1:9">
      <c r="A353" s="1" t="s">
        <v>14</v>
      </c>
      <c r="B353" s="1">
        <v>0</v>
      </c>
      <c r="C353" s="1">
        <v>0</v>
      </c>
      <c r="D353" s="1">
        <v>0</v>
      </c>
      <c r="E353" s="1">
        <v>0</v>
      </c>
      <c r="F353" s="1">
        <v>0</v>
      </c>
      <c r="H353" s="1" t="str">
        <f t="shared" si="18"/>
        <v>1999</v>
      </c>
      <c r="I353" s="12" t="s">
        <v>519</v>
      </c>
    </row>
    <row r="354" spans="1:9">
      <c r="A354" s="1" t="s">
        <v>145</v>
      </c>
      <c r="B354" s="1">
        <v>9.0399999999999991</v>
      </c>
      <c r="C354" s="1">
        <v>0</v>
      </c>
      <c r="D354" s="1">
        <v>80.989999999999995</v>
      </c>
      <c r="E354" s="1">
        <v>0</v>
      </c>
      <c r="F354" s="1">
        <v>30.8</v>
      </c>
      <c r="H354" s="1" t="str">
        <f t="shared" si="18"/>
        <v>1999</v>
      </c>
      <c r="I354" s="12" t="s">
        <v>519</v>
      </c>
    </row>
    <row r="355" spans="1:9">
      <c r="A355" s="1" t="s">
        <v>146</v>
      </c>
      <c r="B355" s="1">
        <v>14.41</v>
      </c>
      <c r="C355" s="1">
        <v>1.68</v>
      </c>
      <c r="D355" s="1">
        <v>268.82</v>
      </c>
      <c r="E355" s="1">
        <v>0</v>
      </c>
      <c r="F355" s="1">
        <v>2.73</v>
      </c>
      <c r="H355" s="1" t="str">
        <f t="shared" si="18"/>
        <v>1999</v>
      </c>
      <c r="I355" s="12" t="s">
        <v>519</v>
      </c>
    </row>
    <row r="356" spans="1:9">
      <c r="A356" s="1" t="s">
        <v>147</v>
      </c>
      <c r="B356" s="1">
        <v>45.89</v>
      </c>
      <c r="C356" s="1">
        <v>0</v>
      </c>
      <c r="D356" s="1">
        <v>97.33</v>
      </c>
      <c r="E356" s="1">
        <v>0</v>
      </c>
      <c r="F356" s="1">
        <v>1.58</v>
      </c>
      <c r="H356" s="1" t="str">
        <f t="shared" si="18"/>
        <v>1999</v>
      </c>
      <c r="I356" s="12" t="s">
        <v>519</v>
      </c>
    </row>
    <row r="357" spans="1:9">
      <c r="A357" s="1" t="s">
        <v>518</v>
      </c>
    </row>
    <row r="358" spans="1:9">
      <c r="A358" s="1" t="s">
        <v>20</v>
      </c>
      <c r="B358" s="1">
        <v>54.69</v>
      </c>
      <c r="C358" s="1">
        <v>55.81</v>
      </c>
      <c r="D358" s="1">
        <v>54.95</v>
      </c>
      <c r="E358" s="1">
        <v>54.78</v>
      </c>
      <c r="F358" s="1">
        <v>31.79</v>
      </c>
      <c r="H358" s="1" t="str">
        <f>H340</f>
        <v>1999</v>
      </c>
      <c r="I358" s="12" t="s">
        <v>148</v>
      </c>
    </row>
    <row r="359" spans="1:9">
      <c r="A359" s="1" t="s">
        <v>17</v>
      </c>
      <c r="B359" s="1">
        <v>52.95</v>
      </c>
      <c r="C359" s="1">
        <v>54.08</v>
      </c>
      <c r="D359" s="1">
        <v>53.21</v>
      </c>
      <c r="E359" s="1">
        <v>53.04</v>
      </c>
      <c r="F359" s="1">
        <v>30.06</v>
      </c>
      <c r="H359" s="1" t="str">
        <f t="shared" ref="H359:H374" si="19">H341</f>
        <v>1999</v>
      </c>
      <c r="I359" s="12" t="s">
        <v>148</v>
      </c>
    </row>
    <row r="360" spans="1:9">
      <c r="A360" s="1" t="s">
        <v>10</v>
      </c>
      <c r="B360" s="1">
        <v>45.03</v>
      </c>
      <c r="C360" s="1">
        <v>46.15</v>
      </c>
      <c r="D360" s="1">
        <v>45.29</v>
      </c>
      <c r="E360" s="1">
        <v>47.41</v>
      </c>
      <c r="F360" s="1">
        <v>44.83</v>
      </c>
      <c r="H360" s="1" t="str">
        <f t="shared" si="19"/>
        <v>1999</v>
      </c>
      <c r="I360" s="12" t="s">
        <v>148</v>
      </c>
    </row>
    <row r="361" spans="1:9">
      <c r="A361" s="1" t="s">
        <v>11</v>
      </c>
      <c r="B361" s="1">
        <v>46.37</v>
      </c>
      <c r="C361" s="1">
        <v>44.69</v>
      </c>
      <c r="D361" s="1">
        <v>45.08</v>
      </c>
      <c r="E361" s="1">
        <v>54.33</v>
      </c>
      <c r="F361" s="1">
        <v>52.3</v>
      </c>
      <c r="H361" s="1" t="str">
        <f t="shared" si="19"/>
        <v>1999</v>
      </c>
      <c r="I361" s="12" t="s">
        <v>148</v>
      </c>
    </row>
    <row r="362" spans="1:9">
      <c r="A362" s="1" t="s">
        <v>32</v>
      </c>
      <c r="B362" s="1">
        <v>32.159999999999997</v>
      </c>
      <c r="C362" s="1">
        <v>34.729999999999997</v>
      </c>
      <c r="D362" s="1">
        <v>34.729999999999997</v>
      </c>
      <c r="E362" s="1">
        <v>34.04</v>
      </c>
      <c r="F362" s="1">
        <v>28.84</v>
      </c>
      <c r="H362" s="1" t="str">
        <f t="shared" si="19"/>
        <v>1999</v>
      </c>
      <c r="I362" s="12" t="s">
        <v>148</v>
      </c>
    </row>
    <row r="363" spans="1:9">
      <c r="A363" s="1" t="s">
        <v>31</v>
      </c>
      <c r="B363" s="1">
        <v>30.82</v>
      </c>
      <c r="C363" s="1">
        <v>33.299999999999997</v>
      </c>
      <c r="D363" s="1">
        <v>33.76</v>
      </c>
      <c r="E363" s="1">
        <v>32.9</v>
      </c>
      <c r="F363" s="1">
        <v>29.06</v>
      </c>
      <c r="H363" s="1" t="str">
        <f t="shared" si="19"/>
        <v>1999</v>
      </c>
      <c r="I363" s="12" t="s">
        <v>148</v>
      </c>
    </row>
    <row r="364" spans="1:9">
      <c r="A364" s="1" t="s">
        <v>266</v>
      </c>
      <c r="B364" s="1">
        <v>38.99</v>
      </c>
      <c r="C364" s="1">
        <v>38.729999999999997</v>
      </c>
      <c r="D364" s="1">
        <v>38.33</v>
      </c>
      <c r="E364" s="1">
        <v>49.34</v>
      </c>
      <c r="F364" s="1">
        <v>45.56</v>
      </c>
      <c r="H364" s="1" t="str">
        <f t="shared" si="19"/>
        <v>1999</v>
      </c>
      <c r="I364" s="12" t="s">
        <v>148</v>
      </c>
    </row>
    <row r="365" spans="1:9">
      <c r="A365" s="1" t="s">
        <v>269</v>
      </c>
      <c r="B365" s="1">
        <v>25.52</v>
      </c>
      <c r="C365" s="1">
        <v>25.52</v>
      </c>
      <c r="D365" s="1">
        <v>25.52</v>
      </c>
      <c r="E365" s="1">
        <v>25.52</v>
      </c>
      <c r="F365" s="1">
        <v>25.52</v>
      </c>
      <c r="H365" s="1" t="str">
        <f t="shared" si="19"/>
        <v>1999</v>
      </c>
      <c r="I365" s="12" t="s">
        <v>148</v>
      </c>
    </row>
    <row r="366" spans="1:9">
      <c r="A366" s="1" t="s">
        <v>30</v>
      </c>
      <c r="B366" s="1">
        <v>33.200000000000003</v>
      </c>
      <c r="C366" s="1">
        <v>32.880000000000003</v>
      </c>
      <c r="D366" s="1">
        <v>32.19</v>
      </c>
      <c r="E366" s="1">
        <v>32.14</v>
      </c>
      <c r="F366" s="1">
        <v>25.52</v>
      </c>
      <c r="H366" s="1" t="str">
        <f t="shared" si="19"/>
        <v>1999</v>
      </c>
      <c r="I366" s="12" t="s">
        <v>148</v>
      </c>
    </row>
    <row r="367" spans="1:9">
      <c r="A367" s="1" t="s">
        <v>26</v>
      </c>
      <c r="B367" s="1">
        <v>53.09</v>
      </c>
      <c r="C367" s="1">
        <v>53.09</v>
      </c>
      <c r="D367" s="1">
        <v>53.67</v>
      </c>
      <c r="E367" s="1">
        <v>53.23</v>
      </c>
      <c r="F367" s="1">
        <v>53.23</v>
      </c>
      <c r="H367" s="1" t="str">
        <f t="shared" si="19"/>
        <v>1999</v>
      </c>
      <c r="I367" s="12" t="s">
        <v>148</v>
      </c>
    </row>
    <row r="368" spans="1:9">
      <c r="A368" s="1" t="s">
        <v>271</v>
      </c>
      <c r="B368" s="1">
        <v>42.77</v>
      </c>
      <c r="C368" s="1">
        <v>42.04</v>
      </c>
      <c r="D368" s="1">
        <v>41.63</v>
      </c>
      <c r="E368" s="1">
        <v>43.38</v>
      </c>
      <c r="F368" s="1">
        <v>41.24</v>
      </c>
      <c r="H368" s="1" t="str">
        <f t="shared" si="19"/>
        <v>1999</v>
      </c>
      <c r="I368" s="12" t="s">
        <v>148</v>
      </c>
    </row>
    <row r="369" spans="1:9">
      <c r="A369" s="1" t="s">
        <v>143</v>
      </c>
      <c r="B369" s="1">
        <v>53.73</v>
      </c>
      <c r="C369" s="1">
        <v>51.89</v>
      </c>
      <c r="D369" s="1">
        <v>51.52</v>
      </c>
      <c r="E369" s="1">
        <v>53.89</v>
      </c>
      <c r="F369" s="1">
        <v>51.55</v>
      </c>
      <c r="H369" s="1" t="str">
        <f t="shared" si="19"/>
        <v>1999</v>
      </c>
      <c r="I369" s="12" t="s">
        <v>148</v>
      </c>
    </row>
    <row r="370" spans="1:9">
      <c r="A370" s="1" t="s">
        <v>144</v>
      </c>
      <c r="B370" s="1">
        <v>46.73</v>
      </c>
      <c r="C370" s="1">
        <v>46.13</v>
      </c>
      <c r="D370" s="1">
        <v>45.85</v>
      </c>
      <c r="E370" s="1">
        <v>50.48</v>
      </c>
      <c r="F370" s="1">
        <v>49.02</v>
      </c>
      <c r="H370" s="1" t="str">
        <f t="shared" si="19"/>
        <v>1999</v>
      </c>
      <c r="I370" s="12" t="s">
        <v>148</v>
      </c>
    </row>
    <row r="371" spans="1:9">
      <c r="A371" s="1" t="s">
        <v>14</v>
      </c>
      <c r="B371" s="1">
        <v>0</v>
      </c>
      <c r="C371" s="1">
        <v>0</v>
      </c>
      <c r="D371" s="1">
        <v>0</v>
      </c>
      <c r="E371" s="1">
        <v>0</v>
      </c>
      <c r="F371" s="1">
        <v>0</v>
      </c>
      <c r="H371" s="1" t="str">
        <f t="shared" si="19"/>
        <v>1999</v>
      </c>
      <c r="I371" s="12" t="s">
        <v>148</v>
      </c>
    </row>
    <row r="372" spans="1:9">
      <c r="A372" s="1" t="s">
        <v>145</v>
      </c>
      <c r="B372" s="1">
        <v>23.16</v>
      </c>
      <c r="C372" s="1">
        <v>23.26</v>
      </c>
      <c r="D372" s="1">
        <v>22.86</v>
      </c>
      <c r="E372" s="1">
        <v>27.54</v>
      </c>
      <c r="F372" s="1">
        <v>25.78</v>
      </c>
      <c r="H372" s="1" t="str">
        <f t="shared" si="19"/>
        <v>1999</v>
      </c>
      <c r="I372" s="12" t="s">
        <v>148</v>
      </c>
    </row>
    <row r="373" spans="1:9">
      <c r="A373" s="1" t="s">
        <v>146</v>
      </c>
      <c r="B373" s="1">
        <v>28.31</v>
      </c>
      <c r="C373" s="1">
        <v>28.42</v>
      </c>
      <c r="D373" s="1">
        <v>27.94</v>
      </c>
      <c r="E373" s="1">
        <v>33.659999999999997</v>
      </c>
      <c r="F373" s="1">
        <v>31.51</v>
      </c>
      <c r="H373" s="1" t="str">
        <f t="shared" si="19"/>
        <v>1999</v>
      </c>
      <c r="I373" s="12" t="s">
        <v>148</v>
      </c>
    </row>
    <row r="374" spans="1:9">
      <c r="A374" s="1" t="s">
        <v>147</v>
      </c>
      <c r="B374" s="1">
        <v>21.23</v>
      </c>
      <c r="C374" s="1">
        <v>21.32</v>
      </c>
      <c r="D374" s="1">
        <v>20.96</v>
      </c>
      <c r="E374" s="1">
        <v>25.24</v>
      </c>
      <c r="F374" s="1">
        <v>23.64</v>
      </c>
      <c r="H374" s="1" t="str">
        <f t="shared" si="19"/>
        <v>1999</v>
      </c>
      <c r="I374" s="12" t="s">
        <v>148</v>
      </c>
    </row>
    <row r="375" spans="1:9">
      <c r="A375" s="1" t="s">
        <v>158</v>
      </c>
    </row>
    <row r="376" spans="1:9">
      <c r="A376" s="1" t="s">
        <v>517</v>
      </c>
    </row>
    <row r="377" spans="1:9">
      <c r="A377" s="1" t="s">
        <v>20</v>
      </c>
      <c r="B377" s="1">
        <v>194.86</v>
      </c>
      <c r="C377" s="1">
        <v>0</v>
      </c>
      <c r="D377" s="1">
        <v>0.66</v>
      </c>
      <c r="E377" s="1">
        <v>0</v>
      </c>
      <c r="F377" s="1">
        <v>1.8</v>
      </c>
      <c r="H377" s="1" t="str">
        <f>RIGHT(A375,4)</f>
        <v>2000</v>
      </c>
      <c r="I377" s="12" t="s">
        <v>519</v>
      </c>
    </row>
    <row r="378" spans="1:9">
      <c r="A378" s="1" t="s">
        <v>17</v>
      </c>
      <c r="B378" s="1">
        <v>204.58</v>
      </c>
      <c r="C378" s="1">
        <v>2.58</v>
      </c>
      <c r="D378" s="1">
        <v>8.65</v>
      </c>
      <c r="E378" s="1">
        <v>0.45</v>
      </c>
      <c r="F378" s="1">
        <v>14.44</v>
      </c>
      <c r="H378" s="1" t="str">
        <f>H377</f>
        <v>2000</v>
      </c>
      <c r="I378" s="12" t="s">
        <v>519</v>
      </c>
    </row>
    <row r="379" spans="1:9">
      <c r="A379" s="1" t="s">
        <v>10</v>
      </c>
      <c r="B379" s="1">
        <v>151.99</v>
      </c>
      <c r="C379" s="1">
        <v>1.6</v>
      </c>
      <c r="D379" s="1">
        <v>5.03</v>
      </c>
      <c r="E379" s="1">
        <v>0.96</v>
      </c>
      <c r="F379" s="1">
        <v>4.28</v>
      </c>
      <c r="H379" s="1" t="str">
        <f t="shared" ref="H379:H393" si="20">H378</f>
        <v>2000</v>
      </c>
      <c r="I379" s="12" t="s">
        <v>519</v>
      </c>
    </row>
    <row r="380" spans="1:9">
      <c r="A380" s="1" t="s">
        <v>11</v>
      </c>
      <c r="B380" s="1">
        <v>108.88</v>
      </c>
      <c r="C380" s="1">
        <v>4.83</v>
      </c>
      <c r="D380" s="1">
        <v>2.29</v>
      </c>
      <c r="E380" s="1">
        <v>6.66</v>
      </c>
      <c r="F380" s="1">
        <v>11.4</v>
      </c>
      <c r="H380" s="1" t="str">
        <f t="shared" si="20"/>
        <v>2000</v>
      </c>
      <c r="I380" s="12" t="s">
        <v>519</v>
      </c>
    </row>
    <row r="381" spans="1:9">
      <c r="A381" s="1" t="s">
        <v>32</v>
      </c>
      <c r="B381" s="1">
        <v>130.15</v>
      </c>
      <c r="C381" s="1">
        <v>0.26</v>
      </c>
      <c r="D381" s="1">
        <v>62.6</v>
      </c>
      <c r="E381" s="1">
        <v>0</v>
      </c>
      <c r="F381" s="1">
        <v>3.83</v>
      </c>
      <c r="H381" s="1" t="str">
        <f t="shared" si="20"/>
        <v>2000</v>
      </c>
      <c r="I381" s="12" t="s">
        <v>519</v>
      </c>
    </row>
    <row r="382" spans="1:9">
      <c r="A382" s="1" t="s">
        <v>31</v>
      </c>
      <c r="B382" s="1">
        <v>123.01</v>
      </c>
      <c r="C382" s="1">
        <v>1.65</v>
      </c>
      <c r="D382" s="1">
        <v>28.48</v>
      </c>
      <c r="E382" s="1">
        <v>0</v>
      </c>
      <c r="F382" s="1">
        <v>3.21</v>
      </c>
      <c r="H382" s="1" t="str">
        <f t="shared" si="20"/>
        <v>2000</v>
      </c>
      <c r="I382" s="12" t="s">
        <v>519</v>
      </c>
    </row>
    <row r="383" spans="1:9">
      <c r="A383" s="1" t="s">
        <v>266</v>
      </c>
      <c r="B383" s="1">
        <v>61.41</v>
      </c>
      <c r="C383" s="1">
        <v>0</v>
      </c>
      <c r="D383" s="1">
        <v>0.26</v>
      </c>
      <c r="E383" s="1">
        <v>0</v>
      </c>
      <c r="F383" s="1">
        <v>100.3</v>
      </c>
      <c r="H383" s="1" t="str">
        <f t="shared" si="20"/>
        <v>2000</v>
      </c>
      <c r="I383" s="12" t="s">
        <v>519</v>
      </c>
    </row>
    <row r="384" spans="1:9">
      <c r="A384" s="1" t="s">
        <v>269</v>
      </c>
      <c r="B384" s="1">
        <v>47.56</v>
      </c>
      <c r="C384" s="1">
        <v>140.19999999999999</v>
      </c>
      <c r="D384" s="1">
        <v>46.99</v>
      </c>
      <c r="E384" s="1">
        <v>18.350000000000001</v>
      </c>
      <c r="F384" s="1">
        <v>3.7</v>
      </c>
      <c r="H384" s="1" t="str">
        <f t="shared" si="20"/>
        <v>2000</v>
      </c>
      <c r="I384" s="12" t="s">
        <v>519</v>
      </c>
    </row>
    <row r="385" spans="1:9">
      <c r="A385" s="1" t="s">
        <v>30</v>
      </c>
      <c r="B385" s="1">
        <v>13</v>
      </c>
      <c r="C385" s="1">
        <v>1</v>
      </c>
      <c r="D385" s="1">
        <v>245</v>
      </c>
      <c r="E385" s="1">
        <v>0</v>
      </c>
      <c r="F385" s="1">
        <v>2</v>
      </c>
      <c r="H385" s="1" t="str">
        <f t="shared" si="20"/>
        <v>2000</v>
      </c>
      <c r="I385" s="12" t="s">
        <v>519</v>
      </c>
    </row>
    <row r="386" spans="1:9">
      <c r="A386" s="1" t="s">
        <v>26</v>
      </c>
      <c r="B386" s="1">
        <v>242</v>
      </c>
      <c r="C386" s="1">
        <v>3</v>
      </c>
      <c r="D386" s="1">
        <v>27</v>
      </c>
      <c r="E386" s="1">
        <v>1</v>
      </c>
      <c r="F386" s="1">
        <v>6</v>
      </c>
      <c r="H386" s="1" t="str">
        <f t="shared" si="20"/>
        <v>2000</v>
      </c>
      <c r="I386" s="12" t="s">
        <v>519</v>
      </c>
    </row>
    <row r="387" spans="1:9">
      <c r="A387" s="1" t="s">
        <v>271</v>
      </c>
      <c r="B387" s="1">
        <v>0</v>
      </c>
      <c r="C387" s="1">
        <v>0</v>
      </c>
      <c r="D387" s="1">
        <v>0</v>
      </c>
      <c r="E387" s="1">
        <v>0</v>
      </c>
      <c r="F387" s="1">
        <v>0.86</v>
      </c>
      <c r="H387" s="1" t="str">
        <f t="shared" si="20"/>
        <v>2000</v>
      </c>
      <c r="I387" s="12" t="s">
        <v>519</v>
      </c>
    </row>
    <row r="388" spans="1:9">
      <c r="A388" s="1" t="s">
        <v>143</v>
      </c>
      <c r="B388" s="1">
        <v>11.48</v>
      </c>
      <c r="C388" s="1">
        <v>0</v>
      </c>
      <c r="D388" s="1">
        <v>0</v>
      </c>
      <c r="E388" s="1">
        <v>0</v>
      </c>
      <c r="F388" s="1">
        <v>65.25</v>
      </c>
      <c r="H388" s="1" t="str">
        <f t="shared" si="20"/>
        <v>2000</v>
      </c>
      <c r="I388" s="12" t="s">
        <v>519</v>
      </c>
    </row>
    <row r="389" spans="1:9">
      <c r="A389" s="1" t="s">
        <v>144</v>
      </c>
      <c r="B389" s="1">
        <v>0</v>
      </c>
      <c r="C389" s="1">
        <v>0</v>
      </c>
      <c r="D389" s="1">
        <v>0</v>
      </c>
      <c r="E389" s="1">
        <v>0</v>
      </c>
      <c r="F389" s="1">
        <v>0</v>
      </c>
      <c r="H389" s="1" t="str">
        <f t="shared" si="20"/>
        <v>2000</v>
      </c>
      <c r="I389" s="12" t="s">
        <v>519</v>
      </c>
    </row>
    <row r="390" spans="1:9">
      <c r="A390" s="1" t="s">
        <v>14</v>
      </c>
      <c r="B390" s="1">
        <v>0</v>
      </c>
      <c r="C390" s="1">
        <v>0</v>
      </c>
      <c r="D390" s="1">
        <v>0</v>
      </c>
      <c r="E390" s="1">
        <v>0</v>
      </c>
      <c r="F390" s="1">
        <v>0</v>
      </c>
      <c r="H390" s="1" t="str">
        <f t="shared" si="20"/>
        <v>2000</v>
      </c>
      <c r="I390" s="12" t="s">
        <v>519</v>
      </c>
    </row>
    <row r="391" spans="1:9">
      <c r="A391" s="1" t="s">
        <v>145</v>
      </c>
      <c r="B391" s="1">
        <v>18.61</v>
      </c>
      <c r="C391" s="1">
        <v>0</v>
      </c>
      <c r="D391" s="1">
        <v>29.33</v>
      </c>
      <c r="E391" s="1">
        <v>0</v>
      </c>
      <c r="F391" s="1">
        <v>18.43</v>
      </c>
      <c r="H391" s="1" t="str">
        <f t="shared" si="20"/>
        <v>2000</v>
      </c>
      <c r="I391" s="12" t="s">
        <v>519</v>
      </c>
    </row>
    <row r="392" spans="1:9">
      <c r="A392" s="1" t="s">
        <v>146</v>
      </c>
      <c r="B392" s="1">
        <v>16.239999999999998</v>
      </c>
      <c r="C392" s="1">
        <v>1.39</v>
      </c>
      <c r="D392" s="1">
        <v>276.69</v>
      </c>
      <c r="E392" s="1">
        <v>0</v>
      </c>
      <c r="F392" s="1">
        <v>3.01</v>
      </c>
      <c r="H392" s="1" t="str">
        <f t="shared" si="20"/>
        <v>2000</v>
      </c>
      <c r="I392" s="12" t="s">
        <v>519</v>
      </c>
    </row>
    <row r="393" spans="1:9">
      <c r="A393" s="1" t="s">
        <v>147</v>
      </c>
      <c r="B393" s="1">
        <v>13.54</v>
      </c>
      <c r="C393" s="1">
        <v>0</v>
      </c>
      <c r="D393" s="1">
        <v>153.47</v>
      </c>
      <c r="E393" s="1">
        <v>0</v>
      </c>
      <c r="F393" s="1">
        <v>5.77</v>
      </c>
      <c r="H393" s="1" t="str">
        <f t="shared" si="20"/>
        <v>2000</v>
      </c>
      <c r="I393" s="12" t="s">
        <v>519</v>
      </c>
    </row>
    <row r="394" spans="1:9">
      <c r="A394" s="1" t="s">
        <v>518</v>
      </c>
    </row>
    <row r="395" spans="1:9">
      <c r="A395" s="1" t="s">
        <v>20</v>
      </c>
      <c r="B395" s="1">
        <v>55.81</v>
      </c>
      <c r="C395" s="1">
        <v>56.95</v>
      </c>
      <c r="D395" s="1">
        <v>56.07</v>
      </c>
      <c r="E395" s="1">
        <v>55.9</v>
      </c>
      <c r="F395" s="1">
        <v>32.44</v>
      </c>
      <c r="H395" s="1" t="str">
        <f>H377</f>
        <v>2000</v>
      </c>
      <c r="I395" s="12" t="s">
        <v>148</v>
      </c>
    </row>
    <row r="396" spans="1:9">
      <c r="A396" s="1" t="s">
        <v>17</v>
      </c>
      <c r="B396" s="1">
        <v>54.04</v>
      </c>
      <c r="C396" s="1">
        <v>55.18</v>
      </c>
      <c r="D396" s="1">
        <v>54.3</v>
      </c>
      <c r="E396" s="1">
        <v>54.12</v>
      </c>
      <c r="F396" s="1">
        <v>30.67</v>
      </c>
      <c r="H396" s="1" t="str">
        <f t="shared" ref="H396:H411" si="21">H378</f>
        <v>2000</v>
      </c>
      <c r="I396" s="12" t="s">
        <v>148</v>
      </c>
    </row>
    <row r="397" spans="1:9">
      <c r="A397" s="1" t="s">
        <v>10</v>
      </c>
      <c r="B397" s="1">
        <v>45.95</v>
      </c>
      <c r="C397" s="1">
        <v>47.09</v>
      </c>
      <c r="D397" s="1">
        <v>46.21</v>
      </c>
      <c r="E397" s="1">
        <v>48.37</v>
      </c>
      <c r="F397" s="1">
        <v>45.75</v>
      </c>
      <c r="H397" s="1" t="str">
        <f t="shared" si="21"/>
        <v>2000</v>
      </c>
      <c r="I397" s="12" t="s">
        <v>148</v>
      </c>
    </row>
    <row r="398" spans="1:9">
      <c r="A398" s="1" t="s">
        <v>11</v>
      </c>
      <c r="B398" s="1">
        <v>47.31</v>
      </c>
      <c r="C398" s="1">
        <v>45.6</v>
      </c>
      <c r="D398" s="1">
        <v>46</v>
      </c>
      <c r="E398" s="1">
        <v>55.44</v>
      </c>
      <c r="F398" s="1">
        <v>53.37</v>
      </c>
      <c r="H398" s="1" t="str">
        <f t="shared" si="21"/>
        <v>2000</v>
      </c>
      <c r="I398" s="12" t="s">
        <v>148</v>
      </c>
    </row>
    <row r="399" spans="1:9">
      <c r="A399" s="1" t="s">
        <v>32</v>
      </c>
      <c r="B399" s="1">
        <v>32.81</v>
      </c>
      <c r="C399" s="1">
        <v>35.44</v>
      </c>
      <c r="D399" s="1">
        <v>35.44</v>
      </c>
      <c r="E399" s="1">
        <v>34.729999999999997</v>
      </c>
      <c r="F399" s="1">
        <v>29.43</v>
      </c>
      <c r="H399" s="1" t="str">
        <f t="shared" si="21"/>
        <v>2000</v>
      </c>
      <c r="I399" s="12" t="s">
        <v>148</v>
      </c>
    </row>
    <row r="400" spans="1:9">
      <c r="A400" s="1" t="s">
        <v>31</v>
      </c>
      <c r="B400" s="1">
        <v>31.45</v>
      </c>
      <c r="C400" s="1">
        <v>33.979999999999997</v>
      </c>
      <c r="D400" s="1">
        <v>34.450000000000003</v>
      </c>
      <c r="E400" s="1">
        <v>33.57</v>
      </c>
      <c r="F400" s="1">
        <v>29.65</v>
      </c>
      <c r="H400" s="1" t="str">
        <f t="shared" si="21"/>
        <v>2000</v>
      </c>
      <c r="I400" s="12" t="s">
        <v>148</v>
      </c>
    </row>
    <row r="401" spans="1:9">
      <c r="A401" s="1" t="s">
        <v>266</v>
      </c>
      <c r="B401" s="1">
        <v>39.79</v>
      </c>
      <c r="C401" s="1">
        <v>39.520000000000003</v>
      </c>
      <c r="D401" s="1">
        <v>39.119999999999997</v>
      </c>
      <c r="E401" s="1">
        <v>50.35</v>
      </c>
      <c r="F401" s="1">
        <v>46.49</v>
      </c>
      <c r="H401" s="1" t="str">
        <f t="shared" si="21"/>
        <v>2000</v>
      </c>
      <c r="I401" s="12" t="s">
        <v>148</v>
      </c>
    </row>
    <row r="402" spans="1:9">
      <c r="A402" s="1" t="s">
        <v>269</v>
      </c>
      <c r="B402" s="1">
        <v>26.04</v>
      </c>
      <c r="C402" s="1">
        <v>26.04</v>
      </c>
      <c r="D402" s="1">
        <v>26.04</v>
      </c>
      <c r="E402" s="1">
        <v>26.04</v>
      </c>
      <c r="F402" s="1">
        <v>26.04</v>
      </c>
      <c r="H402" s="1" t="str">
        <f t="shared" si="21"/>
        <v>2000</v>
      </c>
      <c r="I402" s="12" t="s">
        <v>148</v>
      </c>
    </row>
    <row r="403" spans="1:9">
      <c r="A403" s="1" t="s">
        <v>30</v>
      </c>
      <c r="B403" s="1">
        <v>33.880000000000003</v>
      </c>
      <c r="C403" s="1">
        <v>33.549999999999997</v>
      </c>
      <c r="D403" s="1">
        <v>32.85</v>
      </c>
      <c r="E403" s="1">
        <v>32.79</v>
      </c>
      <c r="F403" s="1">
        <v>26.04</v>
      </c>
      <c r="H403" s="1" t="str">
        <f t="shared" si="21"/>
        <v>2000</v>
      </c>
      <c r="I403" s="12" t="s">
        <v>148</v>
      </c>
    </row>
    <row r="404" spans="1:9">
      <c r="A404" s="1" t="s">
        <v>26</v>
      </c>
      <c r="B404" s="1">
        <v>54.17</v>
      </c>
      <c r="C404" s="1">
        <v>54.17</v>
      </c>
      <c r="D404" s="1">
        <v>54.77</v>
      </c>
      <c r="E404" s="1">
        <v>54.32</v>
      </c>
      <c r="F404" s="1">
        <v>54.32</v>
      </c>
      <c r="H404" s="1" t="str">
        <f t="shared" si="21"/>
        <v>2000</v>
      </c>
      <c r="I404" s="12" t="s">
        <v>148</v>
      </c>
    </row>
    <row r="405" spans="1:9">
      <c r="A405" s="1" t="s">
        <v>271</v>
      </c>
      <c r="B405" s="1">
        <v>43.64</v>
      </c>
      <c r="C405" s="1">
        <v>42.89</v>
      </c>
      <c r="D405" s="1">
        <v>42.48</v>
      </c>
      <c r="E405" s="1">
        <v>44.27</v>
      </c>
      <c r="F405" s="1">
        <v>42.09</v>
      </c>
      <c r="H405" s="1" t="str">
        <f t="shared" si="21"/>
        <v>2000</v>
      </c>
      <c r="I405" s="12" t="s">
        <v>148</v>
      </c>
    </row>
    <row r="406" spans="1:9">
      <c r="A406" s="1" t="s">
        <v>143</v>
      </c>
      <c r="B406" s="1">
        <v>54.82</v>
      </c>
      <c r="C406" s="1">
        <v>52.95</v>
      </c>
      <c r="D406" s="1">
        <v>52.57</v>
      </c>
      <c r="E406" s="1">
        <v>54.99</v>
      </c>
      <c r="F406" s="1">
        <v>52.6</v>
      </c>
      <c r="H406" s="1" t="str">
        <f t="shared" si="21"/>
        <v>2000</v>
      </c>
      <c r="I406" s="12" t="s">
        <v>148</v>
      </c>
    </row>
    <row r="407" spans="1:9">
      <c r="A407" s="1" t="s">
        <v>144</v>
      </c>
      <c r="B407" s="1">
        <v>47.69</v>
      </c>
      <c r="C407" s="1">
        <v>47.07</v>
      </c>
      <c r="D407" s="1">
        <v>46.78</v>
      </c>
      <c r="E407" s="1">
        <v>51.51</v>
      </c>
      <c r="F407" s="1">
        <v>50.02</v>
      </c>
      <c r="H407" s="1" t="str">
        <f t="shared" si="21"/>
        <v>2000</v>
      </c>
      <c r="I407" s="12" t="s">
        <v>148</v>
      </c>
    </row>
    <row r="408" spans="1:9">
      <c r="A408" s="1" t="s">
        <v>14</v>
      </c>
      <c r="B408" s="1">
        <v>0</v>
      </c>
      <c r="C408" s="1">
        <v>0</v>
      </c>
      <c r="D408" s="1">
        <v>0</v>
      </c>
      <c r="E408" s="1">
        <v>0</v>
      </c>
      <c r="F408" s="1">
        <v>0</v>
      </c>
      <c r="H408" s="1" t="str">
        <f t="shared" si="21"/>
        <v>2000</v>
      </c>
      <c r="I408" s="12" t="s">
        <v>148</v>
      </c>
    </row>
    <row r="409" spans="1:9">
      <c r="A409" s="1" t="s">
        <v>145</v>
      </c>
      <c r="B409" s="1">
        <v>23.64</v>
      </c>
      <c r="C409" s="1">
        <v>23.73</v>
      </c>
      <c r="D409" s="1">
        <v>23.33</v>
      </c>
      <c r="E409" s="1">
        <v>28.1</v>
      </c>
      <c r="F409" s="1">
        <v>26.31</v>
      </c>
      <c r="H409" s="1" t="str">
        <f t="shared" si="21"/>
        <v>2000</v>
      </c>
      <c r="I409" s="12" t="s">
        <v>148</v>
      </c>
    </row>
    <row r="410" spans="1:9">
      <c r="A410" s="1" t="s">
        <v>146</v>
      </c>
      <c r="B410" s="1">
        <v>28.89</v>
      </c>
      <c r="C410" s="1">
        <v>29.01</v>
      </c>
      <c r="D410" s="1">
        <v>28.52</v>
      </c>
      <c r="E410" s="1">
        <v>34.35</v>
      </c>
      <c r="F410" s="1">
        <v>32.159999999999997</v>
      </c>
      <c r="H410" s="1" t="str">
        <f t="shared" si="21"/>
        <v>2000</v>
      </c>
      <c r="I410" s="12" t="s">
        <v>148</v>
      </c>
    </row>
    <row r="411" spans="1:9">
      <c r="A411" s="1" t="s">
        <v>147</v>
      </c>
      <c r="B411" s="1">
        <v>21.67</v>
      </c>
      <c r="C411" s="1">
        <v>21.75</v>
      </c>
      <c r="D411" s="1">
        <v>21.39</v>
      </c>
      <c r="E411" s="1">
        <v>25.76</v>
      </c>
      <c r="F411" s="1">
        <v>24.12</v>
      </c>
      <c r="H411" s="1" t="str">
        <f t="shared" si="21"/>
        <v>2000</v>
      </c>
      <c r="I411" s="12" t="s">
        <v>148</v>
      </c>
    </row>
    <row r="412" spans="1:9">
      <c r="A412" s="1" t="s">
        <v>159</v>
      </c>
    </row>
    <row r="413" spans="1:9">
      <c r="A413" s="1" t="s">
        <v>517</v>
      </c>
    </row>
    <row r="414" spans="1:9">
      <c r="A414" s="1" t="s">
        <v>20</v>
      </c>
      <c r="B414" s="1">
        <v>210.26</v>
      </c>
      <c r="C414" s="1">
        <v>0</v>
      </c>
      <c r="D414" s="1">
        <v>0.66</v>
      </c>
      <c r="E414" s="1">
        <v>0</v>
      </c>
      <c r="F414" s="1">
        <v>6.45</v>
      </c>
      <c r="H414" s="1" t="str">
        <f>RIGHT(A412,4)</f>
        <v>2001</v>
      </c>
      <c r="I414" s="12" t="s">
        <v>519</v>
      </c>
    </row>
    <row r="415" spans="1:9">
      <c r="A415" s="1" t="s">
        <v>17</v>
      </c>
      <c r="B415" s="1">
        <v>210.65</v>
      </c>
      <c r="C415" s="1">
        <v>2.44</v>
      </c>
      <c r="D415" s="1">
        <v>3.75</v>
      </c>
      <c r="E415" s="1">
        <v>0.33</v>
      </c>
      <c r="F415" s="1">
        <v>19.920000000000002</v>
      </c>
      <c r="H415" s="1" t="str">
        <f>H414</f>
        <v>2001</v>
      </c>
      <c r="I415" s="12" t="s">
        <v>519</v>
      </c>
    </row>
    <row r="416" spans="1:9">
      <c r="A416" s="1" t="s">
        <v>10</v>
      </c>
      <c r="B416" s="1">
        <v>206.68</v>
      </c>
      <c r="C416" s="1">
        <v>1.39</v>
      </c>
      <c r="D416" s="1">
        <v>7.88</v>
      </c>
      <c r="E416" s="1">
        <v>0.28000000000000003</v>
      </c>
      <c r="F416" s="1">
        <v>3.2</v>
      </c>
      <c r="H416" s="1" t="str">
        <f t="shared" ref="H416:H430" si="22">H415</f>
        <v>2001</v>
      </c>
      <c r="I416" s="12" t="s">
        <v>519</v>
      </c>
    </row>
    <row r="417" spans="1:9">
      <c r="A417" s="1" t="s">
        <v>11</v>
      </c>
      <c r="B417" s="1">
        <v>105.83</v>
      </c>
      <c r="C417" s="1">
        <v>4.25</v>
      </c>
      <c r="D417" s="1">
        <v>0.3</v>
      </c>
      <c r="E417" s="1">
        <v>5.38</v>
      </c>
      <c r="F417" s="1">
        <v>13.73</v>
      </c>
      <c r="H417" s="1" t="str">
        <f t="shared" si="22"/>
        <v>2001</v>
      </c>
      <c r="I417" s="12" t="s">
        <v>519</v>
      </c>
    </row>
    <row r="418" spans="1:9">
      <c r="A418" s="1" t="s">
        <v>32</v>
      </c>
      <c r="B418" s="1">
        <v>115</v>
      </c>
      <c r="C418" s="1">
        <v>2</v>
      </c>
      <c r="D418" s="1">
        <v>23</v>
      </c>
      <c r="E418" s="1">
        <v>0</v>
      </c>
      <c r="F418" s="1">
        <v>3</v>
      </c>
      <c r="H418" s="1" t="str">
        <f t="shared" si="22"/>
        <v>2001</v>
      </c>
      <c r="I418" s="12" t="s">
        <v>519</v>
      </c>
    </row>
    <row r="419" spans="1:9">
      <c r="A419" s="1" t="s">
        <v>31</v>
      </c>
      <c r="B419" s="1">
        <v>136</v>
      </c>
      <c r="C419" s="1">
        <v>2</v>
      </c>
      <c r="D419" s="1">
        <v>7</v>
      </c>
      <c r="E419" s="1">
        <v>0</v>
      </c>
      <c r="F419" s="1">
        <v>8</v>
      </c>
      <c r="H419" s="1" t="str">
        <f t="shared" si="22"/>
        <v>2001</v>
      </c>
      <c r="I419" s="12" t="s">
        <v>519</v>
      </c>
    </row>
    <row r="420" spans="1:9">
      <c r="A420" s="1" t="s">
        <v>266</v>
      </c>
      <c r="B420" s="1">
        <v>71.38</v>
      </c>
      <c r="C420" s="1">
        <v>0</v>
      </c>
      <c r="D420" s="1">
        <v>0.57999999999999996</v>
      </c>
      <c r="E420" s="1">
        <v>0.03</v>
      </c>
      <c r="F420" s="1">
        <v>76.13</v>
      </c>
      <c r="H420" s="1" t="str">
        <f t="shared" si="22"/>
        <v>2001</v>
      </c>
      <c r="I420" s="12" t="s">
        <v>519</v>
      </c>
    </row>
    <row r="421" spans="1:9">
      <c r="A421" s="1" t="s">
        <v>269</v>
      </c>
      <c r="B421" s="1">
        <v>41.81</v>
      </c>
      <c r="C421" s="1">
        <v>95.99</v>
      </c>
      <c r="D421" s="1">
        <v>91.24</v>
      </c>
      <c r="E421" s="1">
        <v>13.97</v>
      </c>
      <c r="F421" s="1">
        <v>7.33</v>
      </c>
      <c r="H421" s="1" t="str">
        <f t="shared" si="22"/>
        <v>2001</v>
      </c>
      <c r="I421" s="12" t="s">
        <v>519</v>
      </c>
    </row>
    <row r="422" spans="1:9">
      <c r="A422" s="1" t="s">
        <v>30</v>
      </c>
      <c r="B422" s="1">
        <v>5</v>
      </c>
      <c r="C422" s="1">
        <v>1</v>
      </c>
      <c r="D422" s="1">
        <v>224</v>
      </c>
      <c r="E422" s="1">
        <v>0</v>
      </c>
      <c r="F422" s="1">
        <v>1</v>
      </c>
      <c r="H422" s="1" t="str">
        <f t="shared" si="22"/>
        <v>2001</v>
      </c>
      <c r="I422" s="12" t="s">
        <v>519</v>
      </c>
    </row>
    <row r="423" spans="1:9">
      <c r="A423" s="1" t="s">
        <v>26</v>
      </c>
      <c r="B423" s="1">
        <v>287</v>
      </c>
      <c r="C423" s="1">
        <v>5</v>
      </c>
      <c r="D423" s="1">
        <v>43</v>
      </c>
      <c r="E423" s="1">
        <v>1</v>
      </c>
      <c r="F423" s="1">
        <v>18</v>
      </c>
      <c r="H423" s="1" t="str">
        <f t="shared" si="22"/>
        <v>2001</v>
      </c>
      <c r="I423" s="12" t="s">
        <v>519</v>
      </c>
    </row>
    <row r="424" spans="1:9">
      <c r="A424" s="1" t="s">
        <v>271</v>
      </c>
      <c r="B424" s="1">
        <v>0</v>
      </c>
      <c r="C424" s="1">
        <v>0</v>
      </c>
      <c r="D424" s="1">
        <v>0</v>
      </c>
      <c r="E424" s="1">
        <v>0</v>
      </c>
      <c r="F424" s="1">
        <v>0</v>
      </c>
      <c r="H424" s="1" t="str">
        <f t="shared" si="22"/>
        <v>2001</v>
      </c>
      <c r="I424" s="12" t="s">
        <v>519</v>
      </c>
    </row>
    <row r="425" spans="1:9">
      <c r="A425" s="1" t="s">
        <v>143</v>
      </c>
      <c r="B425" s="1">
        <v>14.85</v>
      </c>
      <c r="C425" s="1">
        <v>0</v>
      </c>
      <c r="D425" s="1">
        <v>0.28999999999999998</v>
      </c>
      <c r="E425" s="1">
        <v>0</v>
      </c>
      <c r="F425" s="1">
        <v>61.46</v>
      </c>
      <c r="H425" s="1" t="str">
        <f t="shared" si="22"/>
        <v>2001</v>
      </c>
      <c r="I425" s="12" t="s">
        <v>519</v>
      </c>
    </row>
    <row r="426" spans="1:9">
      <c r="A426" s="1" t="s">
        <v>144</v>
      </c>
      <c r="B426" s="1">
        <v>0</v>
      </c>
      <c r="C426" s="1">
        <v>0</v>
      </c>
      <c r="D426" s="1">
        <v>0</v>
      </c>
      <c r="E426" s="1">
        <v>0</v>
      </c>
      <c r="F426" s="1">
        <v>0</v>
      </c>
      <c r="H426" s="1" t="str">
        <f t="shared" si="22"/>
        <v>2001</v>
      </c>
      <c r="I426" s="12" t="s">
        <v>519</v>
      </c>
    </row>
    <row r="427" spans="1:9">
      <c r="A427" s="1" t="s">
        <v>14</v>
      </c>
      <c r="B427" s="1">
        <v>0</v>
      </c>
      <c r="C427" s="1">
        <v>0</v>
      </c>
      <c r="D427" s="1">
        <v>0</v>
      </c>
      <c r="E427" s="1">
        <v>0</v>
      </c>
      <c r="F427" s="1">
        <v>0</v>
      </c>
      <c r="H427" s="1" t="str">
        <f t="shared" si="22"/>
        <v>2001</v>
      </c>
      <c r="I427" s="12" t="s">
        <v>519</v>
      </c>
    </row>
    <row r="428" spans="1:9">
      <c r="A428" s="1" t="s">
        <v>145</v>
      </c>
      <c r="B428" s="1">
        <v>0</v>
      </c>
      <c r="C428" s="1">
        <v>0</v>
      </c>
      <c r="D428" s="1">
        <v>79.78</v>
      </c>
      <c r="E428" s="1">
        <v>0</v>
      </c>
      <c r="F428" s="1">
        <v>28.07</v>
      </c>
      <c r="H428" s="1" t="str">
        <f t="shared" si="22"/>
        <v>2001</v>
      </c>
      <c r="I428" s="12" t="s">
        <v>519</v>
      </c>
    </row>
    <row r="429" spans="1:9">
      <c r="A429" s="1" t="s">
        <v>146</v>
      </c>
      <c r="B429" s="1">
        <v>15.34</v>
      </c>
      <c r="C429" s="1">
        <v>1.34</v>
      </c>
      <c r="D429" s="1">
        <v>243.44</v>
      </c>
      <c r="E429" s="1">
        <v>0</v>
      </c>
      <c r="F429" s="1">
        <v>7.87</v>
      </c>
      <c r="H429" s="1" t="str">
        <f t="shared" si="22"/>
        <v>2001</v>
      </c>
      <c r="I429" s="12" t="s">
        <v>519</v>
      </c>
    </row>
    <row r="430" spans="1:9">
      <c r="A430" s="1" t="s">
        <v>147</v>
      </c>
      <c r="B430" s="1">
        <v>73.47</v>
      </c>
      <c r="C430" s="1">
        <v>0.92</v>
      </c>
      <c r="D430" s="1">
        <v>156.18</v>
      </c>
      <c r="E430" s="1">
        <v>0</v>
      </c>
      <c r="F430" s="1">
        <v>4.25</v>
      </c>
      <c r="H430" s="1" t="str">
        <f t="shared" si="22"/>
        <v>2001</v>
      </c>
      <c r="I430" s="12" t="s">
        <v>519</v>
      </c>
    </row>
    <row r="431" spans="1:9">
      <c r="A431" s="1" t="s">
        <v>518</v>
      </c>
    </row>
    <row r="432" spans="1:9">
      <c r="A432" s="1" t="s">
        <v>20</v>
      </c>
      <c r="B432" s="1">
        <v>56.95</v>
      </c>
      <c r="C432" s="1">
        <v>58.11</v>
      </c>
      <c r="D432" s="1">
        <v>57.21</v>
      </c>
      <c r="E432" s="1">
        <v>57.04</v>
      </c>
      <c r="F432" s="1">
        <v>33.1</v>
      </c>
      <c r="H432" s="1" t="str">
        <f>H414</f>
        <v>2001</v>
      </c>
      <c r="I432" s="12" t="s">
        <v>148</v>
      </c>
    </row>
    <row r="433" spans="1:9">
      <c r="A433" s="1" t="s">
        <v>17</v>
      </c>
      <c r="B433" s="1">
        <v>55.14</v>
      </c>
      <c r="C433" s="1">
        <v>56.31</v>
      </c>
      <c r="D433" s="1">
        <v>55.41</v>
      </c>
      <c r="E433" s="1">
        <v>55.23</v>
      </c>
      <c r="F433" s="1">
        <v>31.3</v>
      </c>
      <c r="H433" s="1" t="str">
        <f t="shared" ref="H433:H448" si="23">H415</f>
        <v>2001</v>
      </c>
      <c r="I433" s="12" t="s">
        <v>148</v>
      </c>
    </row>
    <row r="434" spans="1:9">
      <c r="A434" s="1" t="s">
        <v>10</v>
      </c>
      <c r="B434" s="1">
        <v>46.88</v>
      </c>
      <c r="C434" s="1">
        <v>48.05</v>
      </c>
      <c r="D434" s="1">
        <v>47.15</v>
      </c>
      <c r="E434" s="1">
        <v>49.36</v>
      </c>
      <c r="F434" s="1">
        <v>46.68</v>
      </c>
      <c r="H434" s="1" t="str">
        <f t="shared" si="23"/>
        <v>2001</v>
      </c>
      <c r="I434" s="12" t="s">
        <v>148</v>
      </c>
    </row>
    <row r="435" spans="1:9">
      <c r="A435" s="1" t="s">
        <v>11</v>
      </c>
      <c r="B435" s="1">
        <v>48.28</v>
      </c>
      <c r="C435" s="1">
        <v>46.53</v>
      </c>
      <c r="D435" s="1">
        <v>46.94</v>
      </c>
      <c r="E435" s="1">
        <v>56.57</v>
      </c>
      <c r="F435" s="1">
        <v>54.46</v>
      </c>
      <c r="H435" s="1" t="str">
        <f t="shared" si="23"/>
        <v>2001</v>
      </c>
      <c r="I435" s="12" t="s">
        <v>148</v>
      </c>
    </row>
    <row r="436" spans="1:9">
      <c r="A436" s="1" t="s">
        <v>32</v>
      </c>
      <c r="B436" s="1">
        <v>33.479999999999997</v>
      </c>
      <c r="C436" s="1">
        <v>36.159999999999997</v>
      </c>
      <c r="D436" s="1">
        <v>36.159999999999997</v>
      </c>
      <c r="E436" s="1">
        <v>35.44</v>
      </c>
      <c r="F436" s="1">
        <v>30.03</v>
      </c>
      <c r="H436" s="1" t="str">
        <f t="shared" si="23"/>
        <v>2001</v>
      </c>
      <c r="I436" s="12" t="s">
        <v>148</v>
      </c>
    </row>
    <row r="437" spans="1:9">
      <c r="A437" s="1" t="s">
        <v>31</v>
      </c>
      <c r="B437" s="1">
        <v>32.090000000000003</v>
      </c>
      <c r="C437" s="1">
        <v>34.67</v>
      </c>
      <c r="D437" s="1">
        <v>35.15</v>
      </c>
      <c r="E437" s="1">
        <v>34.25</v>
      </c>
      <c r="F437" s="1">
        <v>30.25</v>
      </c>
      <c r="H437" s="1" t="str">
        <f t="shared" si="23"/>
        <v>2001</v>
      </c>
      <c r="I437" s="12" t="s">
        <v>148</v>
      </c>
    </row>
    <row r="438" spans="1:9">
      <c r="A438" s="1" t="s">
        <v>266</v>
      </c>
      <c r="B438" s="1">
        <v>40.6</v>
      </c>
      <c r="C438" s="1">
        <v>40.33</v>
      </c>
      <c r="D438" s="1">
        <v>39.909999999999997</v>
      </c>
      <c r="E438" s="1">
        <v>51.38</v>
      </c>
      <c r="F438" s="1">
        <v>47.44</v>
      </c>
      <c r="H438" s="1" t="str">
        <f t="shared" si="23"/>
        <v>2001</v>
      </c>
      <c r="I438" s="12" t="s">
        <v>148</v>
      </c>
    </row>
    <row r="439" spans="1:9">
      <c r="A439" s="1" t="s">
        <v>269</v>
      </c>
      <c r="B439" s="1">
        <v>26.58</v>
      </c>
      <c r="C439" s="1">
        <v>26.58</v>
      </c>
      <c r="D439" s="1">
        <v>26.58</v>
      </c>
      <c r="E439" s="1">
        <v>26.58</v>
      </c>
      <c r="F439" s="1">
        <v>26.58</v>
      </c>
      <c r="H439" s="1" t="str">
        <f t="shared" si="23"/>
        <v>2001</v>
      </c>
      <c r="I439" s="12" t="s">
        <v>148</v>
      </c>
    </row>
    <row r="440" spans="1:9">
      <c r="A440" s="1" t="s">
        <v>30</v>
      </c>
      <c r="B440" s="1">
        <v>34.57</v>
      </c>
      <c r="C440" s="1">
        <v>34.24</v>
      </c>
      <c r="D440" s="1">
        <v>33.520000000000003</v>
      </c>
      <c r="E440" s="1">
        <v>33.46</v>
      </c>
      <c r="F440" s="1">
        <v>26.58</v>
      </c>
      <c r="H440" s="1" t="str">
        <f t="shared" si="23"/>
        <v>2001</v>
      </c>
      <c r="I440" s="12" t="s">
        <v>148</v>
      </c>
    </row>
    <row r="441" spans="1:9">
      <c r="A441" s="1" t="s">
        <v>26</v>
      </c>
      <c r="B441" s="1">
        <v>55.28</v>
      </c>
      <c r="C441" s="1">
        <v>55.28</v>
      </c>
      <c r="D441" s="1">
        <v>55.89</v>
      </c>
      <c r="E441" s="1">
        <v>55.43</v>
      </c>
      <c r="F441" s="1">
        <v>55.43</v>
      </c>
      <c r="H441" s="1" t="str">
        <f t="shared" si="23"/>
        <v>2001</v>
      </c>
      <c r="I441" s="12" t="s">
        <v>148</v>
      </c>
    </row>
    <row r="442" spans="1:9">
      <c r="A442" s="1" t="s">
        <v>271</v>
      </c>
      <c r="B442" s="1">
        <v>44.53</v>
      </c>
      <c r="C442" s="1">
        <v>43.77</v>
      </c>
      <c r="D442" s="1">
        <v>43.34</v>
      </c>
      <c r="E442" s="1">
        <v>45.17</v>
      </c>
      <c r="F442" s="1">
        <v>42.95</v>
      </c>
      <c r="H442" s="1" t="str">
        <f t="shared" si="23"/>
        <v>2001</v>
      </c>
      <c r="I442" s="12" t="s">
        <v>148</v>
      </c>
    </row>
    <row r="443" spans="1:9">
      <c r="A443" s="1" t="s">
        <v>143</v>
      </c>
      <c r="B443" s="1">
        <v>55.94</v>
      </c>
      <c r="C443" s="1">
        <v>54.03</v>
      </c>
      <c r="D443" s="1">
        <v>53.65</v>
      </c>
      <c r="E443" s="1">
        <v>56.11</v>
      </c>
      <c r="F443" s="1">
        <v>53.67</v>
      </c>
      <c r="H443" s="1" t="str">
        <f t="shared" si="23"/>
        <v>2001</v>
      </c>
      <c r="I443" s="12" t="s">
        <v>148</v>
      </c>
    </row>
    <row r="444" spans="1:9">
      <c r="A444" s="1" t="s">
        <v>144</v>
      </c>
      <c r="B444" s="1">
        <v>48.66</v>
      </c>
      <c r="C444" s="1">
        <v>48.03</v>
      </c>
      <c r="D444" s="1">
        <v>47.74</v>
      </c>
      <c r="E444" s="1">
        <v>52.57</v>
      </c>
      <c r="F444" s="1">
        <v>51.04</v>
      </c>
      <c r="H444" s="1" t="str">
        <f t="shared" si="23"/>
        <v>2001</v>
      </c>
      <c r="I444" s="12" t="s">
        <v>148</v>
      </c>
    </row>
    <row r="445" spans="1:9">
      <c r="A445" s="1" t="s">
        <v>14</v>
      </c>
      <c r="B445" s="1">
        <v>0</v>
      </c>
      <c r="C445" s="1">
        <v>0</v>
      </c>
      <c r="D445" s="1">
        <v>0</v>
      </c>
      <c r="E445" s="1">
        <v>0</v>
      </c>
      <c r="F445" s="1">
        <v>0</v>
      </c>
      <c r="H445" s="1" t="str">
        <f t="shared" si="23"/>
        <v>2001</v>
      </c>
      <c r="I445" s="12" t="s">
        <v>148</v>
      </c>
    </row>
    <row r="446" spans="1:9">
      <c r="A446" s="1" t="s">
        <v>145</v>
      </c>
      <c r="B446" s="1">
        <v>24.12</v>
      </c>
      <c r="C446" s="1">
        <v>24.22</v>
      </c>
      <c r="D446" s="1">
        <v>23.81</v>
      </c>
      <c r="E446" s="1">
        <v>28.67</v>
      </c>
      <c r="F446" s="1">
        <v>26.85</v>
      </c>
      <c r="H446" s="1" t="str">
        <f t="shared" si="23"/>
        <v>2001</v>
      </c>
      <c r="I446" s="12" t="s">
        <v>148</v>
      </c>
    </row>
    <row r="447" spans="1:9">
      <c r="A447" s="1" t="s">
        <v>146</v>
      </c>
      <c r="B447" s="1">
        <v>29.48</v>
      </c>
      <c r="C447" s="1">
        <v>29.6</v>
      </c>
      <c r="D447" s="1">
        <v>29.1</v>
      </c>
      <c r="E447" s="1">
        <v>35.049999999999997</v>
      </c>
      <c r="F447" s="1">
        <v>32.81</v>
      </c>
      <c r="H447" s="1" t="str">
        <f t="shared" si="23"/>
        <v>2001</v>
      </c>
      <c r="I447" s="12" t="s">
        <v>148</v>
      </c>
    </row>
    <row r="448" spans="1:9">
      <c r="A448" s="1" t="s">
        <v>147</v>
      </c>
      <c r="B448" s="1">
        <v>22.11</v>
      </c>
      <c r="C448" s="1">
        <v>22.2</v>
      </c>
      <c r="D448" s="1">
        <v>21.82</v>
      </c>
      <c r="E448" s="1">
        <v>26.28</v>
      </c>
      <c r="F448" s="1">
        <v>24.61</v>
      </c>
      <c r="H448" s="1" t="str">
        <f t="shared" si="23"/>
        <v>2001</v>
      </c>
      <c r="I448" s="12" t="s">
        <v>148</v>
      </c>
    </row>
    <row r="449" spans="1:9">
      <c r="A449" s="1" t="s">
        <v>160</v>
      </c>
    </row>
    <row r="450" spans="1:9">
      <c r="A450" s="1" t="s">
        <v>517</v>
      </c>
    </row>
    <row r="451" spans="1:9">
      <c r="A451" s="1" t="s">
        <v>20</v>
      </c>
      <c r="B451" s="1">
        <v>227.88</v>
      </c>
      <c r="C451" s="1">
        <v>0</v>
      </c>
      <c r="D451" s="1">
        <v>1.5</v>
      </c>
      <c r="E451" s="1">
        <v>0</v>
      </c>
      <c r="F451" s="1">
        <v>3.73</v>
      </c>
      <c r="H451" s="1" t="str">
        <f>RIGHT(A449,4)</f>
        <v>2002</v>
      </c>
      <c r="I451" s="12" t="s">
        <v>519</v>
      </c>
    </row>
    <row r="452" spans="1:9">
      <c r="A452" s="1" t="s">
        <v>17</v>
      </c>
      <c r="B452" s="1">
        <v>241.27</v>
      </c>
      <c r="C452" s="1">
        <v>2.17</v>
      </c>
      <c r="D452" s="1">
        <v>8.76</v>
      </c>
      <c r="E452" s="1">
        <v>0.36</v>
      </c>
      <c r="F452" s="1">
        <v>12.67</v>
      </c>
      <c r="H452" s="1" t="str">
        <f>H451</f>
        <v>2002</v>
      </c>
      <c r="I452" s="12" t="s">
        <v>519</v>
      </c>
    </row>
    <row r="453" spans="1:9">
      <c r="A453" s="1" t="s">
        <v>10</v>
      </c>
      <c r="B453" s="1">
        <v>163.25</v>
      </c>
      <c r="C453" s="1">
        <v>1.51</v>
      </c>
      <c r="D453" s="1">
        <v>0.28000000000000003</v>
      </c>
      <c r="E453" s="1">
        <v>0.45</v>
      </c>
      <c r="F453" s="1">
        <v>0.36</v>
      </c>
      <c r="H453" s="1" t="str">
        <f t="shared" ref="H453:H467" si="24">H452</f>
        <v>2002</v>
      </c>
      <c r="I453" s="12" t="s">
        <v>519</v>
      </c>
    </row>
    <row r="454" spans="1:9">
      <c r="A454" s="1" t="s">
        <v>11</v>
      </c>
      <c r="B454" s="1">
        <v>88.73</v>
      </c>
      <c r="C454" s="1">
        <v>4.79</v>
      </c>
      <c r="D454" s="1">
        <v>1.34</v>
      </c>
      <c r="E454" s="1">
        <v>6.33</v>
      </c>
      <c r="F454" s="1">
        <v>5.51</v>
      </c>
      <c r="H454" s="1" t="str">
        <f t="shared" si="24"/>
        <v>2002</v>
      </c>
      <c r="I454" s="12" t="s">
        <v>519</v>
      </c>
    </row>
    <row r="455" spans="1:9">
      <c r="A455" s="1" t="s">
        <v>32</v>
      </c>
      <c r="B455" s="1">
        <v>83</v>
      </c>
      <c r="C455" s="1">
        <v>0</v>
      </c>
      <c r="D455" s="1">
        <v>7</v>
      </c>
      <c r="E455" s="1">
        <v>0</v>
      </c>
      <c r="F455" s="1">
        <v>5</v>
      </c>
      <c r="H455" s="1" t="str">
        <f t="shared" si="24"/>
        <v>2002</v>
      </c>
      <c r="I455" s="12" t="s">
        <v>519</v>
      </c>
    </row>
    <row r="456" spans="1:9">
      <c r="A456" s="1" t="s">
        <v>31</v>
      </c>
      <c r="B456" s="1">
        <v>110</v>
      </c>
      <c r="C456" s="1">
        <v>0</v>
      </c>
      <c r="D456" s="1">
        <v>11</v>
      </c>
      <c r="E456" s="1">
        <v>0</v>
      </c>
      <c r="F456" s="1">
        <v>32</v>
      </c>
      <c r="H456" s="1" t="str">
        <f t="shared" si="24"/>
        <v>2002</v>
      </c>
      <c r="I456" s="12" t="s">
        <v>519</v>
      </c>
    </row>
    <row r="457" spans="1:9">
      <c r="A457" s="1" t="s">
        <v>266</v>
      </c>
      <c r="B457" s="1">
        <v>46.92</v>
      </c>
      <c r="C457" s="1">
        <v>0</v>
      </c>
      <c r="D457" s="1">
        <v>0.44</v>
      </c>
      <c r="E457" s="1">
        <v>0.04</v>
      </c>
      <c r="F457" s="1">
        <v>60.08</v>
      </c>
      <c r="H457" s="1" t="str">
        <f t="shared" si="24"/>
        <v>2002</v>
      </c>
      <c r="I457" s="12" t="s">
        <v>519</v>
      </c>
    </row>
    <row r="458" spans="1:9">
      <c r="A458" s="1" t="s">
        <v>269</v>
      </c>
      <c r="B458" s="1">
        <v>30.75</v>
      </c>
      <c r="C458" s="1">
        <v>121.2</v>
      </c>
      <c r="D458" s="1">
        <v>32.700000000000003</v>
      </c>
      <c r="E458" s="1">
        <v>10.37</v>
      </c>
      <c r="F458" s="1">
        <v>3.53</v>
      </c>
      <c r="H458" s="1" t="str">
        <f t="shared" si="24"/>
        <v>2002</v>
      </c>
      <c r="I458" s="12" t="s">
        <v>519</v>
      </c>
    </row>
    <row r="459" spans="1:9">
      <c r="A459" s="1" t="s">
        <v>30</v>
      </c>
      <c r="B459" s="1">
        <v>9</v>
      </c>
      <c r="C459" s="1">
        <v>1</v>
      </c>
      <c r="D459" s="1">
        <v>198</v>
      </c>
      <c r="E459" s="1">
        <v>0</v>
      </c>
      <c r="F459" s="1">
        <v>1</v>
      </c>
      <c r="H459" s="1" t="str">
        <f t="shared" si="24"/>
        <v>2002</v>
      </c>
      <c r="I459" s="12" t="s">
        <v>519</v>
      </c>
    </row>
    <row r="460" spans="1:9">
      <c r="A460" s="1" t="s">
        <v>26</v>
      </c>
      <c r="B460" s="1">
        <v>316</v>
      </c>
      <c r="C460" s="1">
        <v>5</v>
      </c>
      <c r="D460" s="1">
        <v>41</v>
      </c>
      <c r="E460" s="1">
        <v>1</v>
      </c>
      <c r="F460" s="1">
        <v>17</v>
      </c>
      <c r="H460" s="1" t="str">
        <f t="shared" si="24"/>
        <v>2002</v>
      </c>
      <c r="I460" s="12" t="s">
        <v>519</v>
      </c>
    </row>
    <row r="461" spans="1:9">
      <c r="A461" s="1" t="s">
        <v>271</v>
      </c>
      <c r="B461" s="1">
        <v>0</v>
      </c>
      <c r="C461" s="1">
        <v>0</v>
      </c>
      <c r="D461" s="1">
        <v>0</v>
      </c>
      <c r="E461" s="1">
        <v>0</v>
      </c>
      <c r="F461" s="1">
        <v>0</v>
      </c>
      <c r="H461" s="1" t="str">
        <f t="shared" si="24"/>
        <v>2002</v>
      </c>
      <c r="I461" s="12" t="s">
        <v>519</v>
      </c>
    </row>
    <row r="462" spans="1:9">
      <c r="A462" s="1" t="s">
        <v>143</v>
      </c>
      <c r="B462" s="1">
        <v>8.02</v>
      </c>
      <c r="C462" s="1">
        <v>0</v>
      </c>
      <c r="D462" s="1">
        <v>0</v>
      </c>
      <c r="E462" s="1">
        <v>0</v>
      </c>
      <c r="F462" s="1">
        <v>51.14</v>
      </c>
      <c r="H462" s="1" t="str">
        <f t="shared" si="24"/>
        <v>2002</v>
      </c>
      <c r="I462" s="12" t="s">
        <v>519</v>
      </c>
    </row>
    <row r="463" spans="1:9">
      <c r="A463" s="1" t="s">
        <v>144</v>
      </c>
      <c r="B463" s="1">
        <v>0</v>
      </c>
      <c r="C463" s="1">
        <v>0</v>
      </c>
      <c r="D463" s="1">
        <v>0</v>
      </c>
      <c r="E463" s="1">
        <v>0</v>
      </c>
      <c r="F463" s="1">
        <v>0</v>
      </c>
      <c r="H463" s="1" t="str">
        <f t="shared" si="24"/>
        <v>2002</v>
      </c>
      <c r="I463" s="12" t="s">
        <v>519</v>
      </c>
    </row>
    <row r="464" spans="1:9">
      <c r="A464" s="1" t="s">
        <v>14</v>
      </c>
      <c r="B464" s="1">
        <v>0</v>
      </c>
      <c r="C464" s="1">
        <v>0</v>
      </c>
      <c r="D464" s="1">
        <v>0</v>
      </c>
      <c r="E464" s="1">
        <v>0</v>
      </c>
      <c r="F464" s="1">
        <v>0</v>
      </c>
      <c r="H464" s="1" t="str">
        <f t="shared" si="24"/>
        <v>2002</v>
      </c>
      <c r="I464" s="12" t="s">
        <v>519</v>
      </c>
    </row>
    <row r="465" spans="1:9">
      <c r="A465" s="1" t="s">
        <v>145</v>
      </c>
      <c r="B465" s="1">
        <v>5.82</v>
      </c>
      <c r="C465" s="1">
        <v>0</v>
      </c>
      <c r="D465" s="1">
        <v>92.14</v>
      </c>
      <c r="E465" s="1">
        <v>0</v>
      </c>
      <c r="F465" s="1">
        <v>1.79</v>
      </c>
      <c r="H465" s="1" t="str">
        <f t="shared" si="24"/>
        <v>2002</v>
      </c>
      <c r="I465" s="12" t="s">
        <v>519</v>
      </c>
    </row>
    <row r="466" spans="1:9">
      <c r="A466" s="1" t="s">
        <v>146</v>
      </c>
      <c r="B466" s="1">
        <v>10.28</v>
      </c>
      <c r="C466" s="1">
        <v>1.34</v>
      </c>
      <c r="D466" s="1">
        <v>224.35</v>
      </c>
      <c r="E466" s="1">
        <v>0</v>
      </c>
      <c r="F466" s="1">
        <v>15.29</v>
      </c>
      <c r="H466" s="1" t="str">
        <f t="shared" si="24"/>
        <v>2002</v>
      </c>
      <c r="I466" s="12" t="s">
        <v>519</v>
      </c>
    </row>
    <row r="467" spans="1:9">
      <c r="A467" s="1" t="s">
        <v>147</v>
      </c>
      <c r="B467" s="1">
        <v>57.18</v>
      </c>
      <c r="C467" s="1">
        <v>0</v>
      </c>
      <c r="D467" s="1">
        <v>194.41</v>
      </c>
      <c r="E467" s="1">
        <v>0</v>
      </c>
      <c r="F467" s="1">
        <v>16.87</v>
      </c>
      <c r="H467" s="1" t="str">
        <f t="shared" si="24"/>
        <v>2002</v>
      </c>
      <c r="I467" s="12" t="s">
        <v>519</v>
      </c>
    </row>
    <row r="468" spans="1:9">
      <c r="A468" s="1" t="s">
        <v>518</v>
      </c>
    </row>
    <row r="469" spans="1:9">
      <c r="A469" s="1" t="s">
        <v>20</v>
      </c>
      <c r="B469" s="1">
        <v>58.11</v>
      </c>
      <c r="C469" s="1">
        <v>59.3</v>
      </c>
      <c r="D469" s="1">
        <v>58.38</v>
      </c>
      <c r="E469" s="1">
        <v>58.2</v>
      </c>
      <c r="F469" s="1">
        <v>33.78</v>
      </c>
      <c r="H469" s="1" t="str">
        <f>H451</f>
        <v>2002</v>
      </c>
      <c r="I469" s="12" t="s">
        <v>148</v>
      </c>
    </row>
    <row r="470" spans="1:9">
      <c r="A470" s="1" t="s">
        <v>17</v>
      </c>
      <c r="B470" s="1">
        <v>56.26</v>
      </c>
      <c r="C470" s="1">
        <v>57.46</v>
      </c>
      <c r="D470" s="1">
        <v>56.54</v>
      </c>
      <c r="E470" s="1">
        <v>56.36</v>
      </c>
      <c r="F470" s="1">
        <v>31.93</v>
      </c>
      <c r="H470" s="1" t="str">
        <f t="shared" ref="H470:H485" si="25">H452</f>
        <v>2002</v>
      </c>
      <c r="I470" s="12" t="s">
        <v>148</v>
      </c>
    </row>
    <row r="471" spans="1:9">
      <c r="A471" s="1" t="s">
        <v>10</v>
      </c>
      <c r="B471" s="1">
        <v>47.84</v>
      </c>
      <c r="C471" s="1">
        <v>49.03</v>
      </c>
      <c r="D471" s="1">
        <v>48.12</v>
      </c>
      <c r="E471" s="1">
        <v>50.37</v>
      </c>
      <c r="F471" s="1">
        <v>47.63</v>
      </c>
      <c r="H471" s="1" t="str">
        <f t="shared" si="25"/>
        <v>2002</v>
      </c>
      <c r="I471" s="12" t="s">
        <v>148</v>
      </c>
    </row>
    <row r="472" spans="1:9">
      <c r="A472" s="1" t="s">
        <v>11</v>
      </c>
      <c r="B472" s="1">
        <v>49.27</v>
      </c>
      <c r="C472" s="1">
        <v>47.48</v>
      </c>
      <c r="D472" s="1">
        <v>47.9</v>
      </c>
      <c r="E472" s="1">
        <v>57.73</v>
      </c>
      <c r="F472" s="1">
        <v>55.57</v>
      </c>
      <c r="H472" s="1" t="str">
        <f t="shared" si="25"/>
        <v>2002</v>
      </c>
      <c r="I472" s="12" t="s">
        <v>148</v>
      </c>
    </row>
    <row r="473" spans="1:9">
      <c r="A473" s="1" t="s">
        <v>32</v>
      </c>
      <c r="B473" s="1">
        <v>34.17</v>
      </c>
      <c r="C473" s="1">
        <v>36.9</v>
      </c>
      <c r="D473" s="1">
        <v>36.9</v>
      </c>
      <c r="E473" s="1">
        <v>36.17</v>
      </c>
      <c r="F473" s="1">
        <v>30.65</v>
      </c>
      <c r="H473" s="1" t="str">
        <f t="shared" si="25"/>
        <v>2002</v>
      </c>
      <c r="I473" s="12" t="s">
        <v>148</v>
      </c>
    </row>
    <row r="474" spans="1:9">
      <c r="A474" s="1" t="s">
        <v>31</v>
      </c>
      <c r="B474" s="1">
        <v>32.74</v>
      </c>
      <c r="C474" s="1">
        <v>35.380000000000003</v>
      </c>
      <c r="D474" s="1">
        <v>35.869999999999997</v>
      </c>
      <c r="E474" s="1">
        <v>34.950000000000003</v>
      </c>
      <c r="F474" s="1">
        <v>30.87</v>
      </c>
      <c r="H474" s="1" t="str">
        <f t="shared" si="25"/>
        <v>2002</v>
      </c>
      <c r="I474" s="12" t="s">
        <v>148</v>
      </c>
    </row>
    <row r="475" spans="1:9">
      <c r="A475" s="1" t="s">
        <v>266</v>
      </c>
      <c r="B475" s="1">
        <v>41.43</v>
      </c>
      <c r="C475" s="1">
        <v>41.15</v>
      </c>
      <c r="D475" s="1">
        <v>40.729999999999997</v>
      </c>
      <c r="E475" s="1">
        <v>52.43</v>
      </c>
      <c r="F475" s="1">
        <v>48.4</v>
      </c>
      <c r="H475" s="1" t="str">
        <f t="shared" si="25"/>
        <v>2002</v>
      </c>
      <c r="I475" s="12" t="s">
        <v>148</v>
      </c>
    </row>
    <row r="476" spans="1:9">
      <c r="A476" s="1" t="s">
        <v>269</v>
      </c>
      <c r="B476" s="1">
        <v>27.12</v>
      </c>
      <c r="C476" s="1">
        <v>27.12</v>
      </c>
      <c r="D476" s="1">
        <v>27.12</v>
      </c>
      <c r="E476" s="1">
        <v>27.12</v>
      </c>
      <c r="F476" s="1">
        <v>27.12</v>
      </c>
      <c r="H476" s="1" t="str">
        <f t="shared" si="25"/>
        <v>2002</v>
      </c>
      <c r="I476" s="12" t="s">
        <v>148</v>
      </c>
    </row>
    <row r="477" spans="1:9">
      <c r="A477" s="1" t="s">
        <v>30</v>
      </c>
      <c r="B477" s="1">
        <v>35.270000000000003</v>
      </c>
      <c r="C477" s="1">
        <v>34.94</v>
      </c>
      <c r="D477" s="1">
        <v>34.200000000000003</v>
      </c>
      <c r="E477" s="1">
        <v>34.14</v>
      </c>
      <c r="F477" s="1">
        <v>27.12</v>
      </c>
      <c r="H477" s="1" t="str">
        <f t="shared" si="25"/>
        <v>2002</v>
      </c>
      <c r="I477" s="12" t="s">
        <v>148</v>
      </c>
    </row>
    <row r="478" spans="1:9">
      <c r="A478" s="1" t="s">
        <v>26</v>
      </c>
      <c r="B478" s="1">
        <v>56.41</v>
      </c>
      <c r="C478" s="1">
        <v>56.41</v>
      </c>
      <c r="D478" s="1">
        <v>57.03</v>
      </c>
      <c r="E478" s="1">
        <v>56.56</v>
      </c>
      <c r="F478" s="1">
        <v>56.56</v>
      </c>
      <c r="H478" s="1" t="str">
        <f t="shared" si="25"/>
        <v>2002</v>
      </c>
      <c r="I478" s="12" t="s">
        <v>148</v>
      </c>
    </row>
    <row r="479" spans="1:9">
      <c r="A479" s="1" t="s">
        <v>271</v>
      </c>
      <c r="B479" s="1">
        <v>45.44</v>
      </c>
      <c r="C479" s="1">
        <v>44.66</v>
      </c>
      <c r="D479" s="1">
        <v>44.23</v>
      </c>
      <c r="E479" s="1">
        <v>46.09</v>
      </c>
      <c r="F479" s="1">
        <v>43.82</v>
      </c>
      <c r="H479" s="1" t="str">
        <f t="shared" si="25"/>
        <v>2002</v>
      </c>
      <c r="I479" s="12" t="s">
        <v>148</v>
      </c>
    </row>
    <row r="480" spans="1:9">
      <c r="A480" s="1" t="s">
        <v>143</v>
      </c>
      <c r="B480" s="1">
        <v>57.08</v>
      </c>
      <c r="C480" s="1">
        <v>55.13</v>
      </c>
      <c r="D480" s="1">
        <v>54.74</v>
      </c>
      <c r="E480" s="1">
        <v>57.25</v>
      </c>
      <c r="F480" s="1">
        <v>54.77</v>
      </c>
      <c r="H480" s="1" t="str">
        <f t="shared" si="25"/>
        <v>2002</v>
      </c>
      <c r="I480" s="12" t="s">
        <v>148</v>
      </c>
    </row>
    <row r="481" spans="1:9">
      <c r="A481" s="1" t="s">
        <v>144</v>
      </c>
      <c r="B481" s="1">
        <v>49.65</v>
      </c>
      <c r="C481" s="1">
        <v>49.01</v>
      </c>
      <c r="D481" s="1">
        <v>48.71</v>
      </c>
      <c r="E481" s="1">
        <v>53.64</v>
      </c>
      <c r="F481" s="1">
        <v>52.08</v>
      </c>
      <c r="H481" s="1" t="str">
        <f t="shared" si="25"/>
        <v>2002</v>
      </c>
      <c r="I481" s="12" t="s">
        <v>148</v>
      </c>
    </row>
    <row r="482" spans="1:9">
      <c r="A482" s="1" t="s">
        <v>14</v>
      </c>
      <c r="B482" s="1">
        <v>0</v>
      </c>
      <c r="C482" s="1">
        <v>0</v>
      </c>
      <c r="D482" s="1">
        <v>0</v>
      </c>
      <c r="E482" s="1">
        <v>0</v>
      </c>
      <c r="F482" s="1">
        <v>0</v>
      </c>
      <c r="H482" s="1" t="str">
        <f t="shared" si="25"/>
        <v>2002</v>
      </c>
      <c r="I482" s="12" t="s">
        <v>148</v>
      </c>
    </row>
    <row r="483" spans="1:9">
      <c r="A483" s="1" t="s">
        <v>145</v>
      </c>
      <c r="B483" s="1">
        <v>24.61</v>
      </c>
      <c r="C483" s="1">
        <v>24.71</v>
      </c>
      <c r="D483" s="1">
        <v>24.29</v>
      </c>
      <c r="E483" s="1">
        <v>29.26</v>
      </c>
      <c r="F483" s="1">
        <v>27.4</v>
      </c>
      <c r="H483" s="1" t="str">
        <f t="shared" si="25"/>
        <v>2002</v>
      </c>
      <c r="I483" s="12" t="s">
        <v>148</v>
      </c>
    </row>
    <row r="484" spans="1:9">
      <c r="A484" s="1" t="s">
        <v>146</v>
      </c>
      <c r="B484" s="1">
        <v>30.08</v>
      </c>
      <c r="C484" s="1">
        <v>30.2</v>
      </c>
      <c r="D484" s="1">
        <v>29.69</v>
      </c>
      <c r="E484" s="1">
        <v>35.76</v>
      </c>
      <c r="F484" s="1">
        <v>33.479999999999997</v>
      </c>
      <c r="H484" s="1" t="str">
        <f t="shared" si="25"/>
        <v>2002</v>
      </c>
      <c r="I484" s="12" t="s">
        <v>148</v>
      </c>
    </row>
    <row r="485" spans="1:9">
      <c r="A485" s="1" t="s">
        <v>147</v>
      </c>
      <c r="B485" s="1">
        <v>22.56</v>
      </c>
      <c r="C485" s="1">
        <v>22.65</v>
      </c>
      <c r="D485" s="1">
        <v>22.27</v>
      </c>
      <c r="E485" s="1">
        <v>26.82</v>
      </c>
      <c r="F485" s="1">
        <v>25.11</v>
      </c>
      <c r="H485" s="1" t="str">
        <f t="shared" si="25"/>
        <v>2002</v>
      </c>
      <c r="I485" s="12" t="s">
        <v>148</v>
      </c>
    </row>
    <row r="486" spans="1:9">
      <c r="A486" s="1" t="s">
        <v>161</v>
      </c>
    </row>
    <row r="487" spans="1:9">
      <c r="A487" s="1" t="s">
        <v>517</v>
      </c>
    </row>
    <row r="488" spans="1:9">
      <c r="A488" s="1" t="s">
        <v>20</v>
      </c>
      <c r="B488" s="1">
        <v>244.86</v>
      </c>
      <c r="C488" s="1">
        <v>0</v>
      </c>
      <c r="D488" s="1">
        <v>2.48</v>
      </c>
      <c r="E488" s="1">
        <v>0</v>
      </c>
      <c r="F488" s="1">
        <v>1.71</v>
      </c>
      <c r="H488" s="1" t="str">
        <f>RIGHT(A486,4)</f>
        <v>2003</v>
      </c>
      <c r="I488" s="12" t="s">
        <v>519</v>
      </c>
    </row>
    <row r="489" spans="1:9">
      <c r="A489" s="1" t="s">
        <v>17</v>
      </c>
      <c r="B489" s="1">
        <v>242.62</v>
      </c>
      <c r="C489" s="1">
        <v>1.87</v>
      </c>
      <c r="D489" s="1">
        <v>3.97</v>
      </c>
      <c r="E489" s="1">
        <v>0.53</v>
      </c>
      <c r="F489" s="1">
        <v>19.850000000000001</v>
      </c>
      <c r="H489" s="1" t="str">
        <f>H488</f>
        <v>2003</v>
      </c>
      <c r="I489" s="12" t="s">
        <v>519</v>
      </c>
    </row>
    <row r="490" spans="1:9">
      <c r="A490" s="1" t="s">
        <v>10</v>
      </c>
      <c r="B490" s="1">
        <v>200.2</v>
      </c>
      <c r="C490" s="1">
        <v>1.52</v>
      </c>
      <c r="D490" s="1">
        <v>1.62</v>
      </c>
      <c r="E490" s="1">
        <v>0.44</v>
      </c>
      <c r="F490" s="1">
        <v>0.48</v>
      </c>
      <c r="H490" s="1" t="str">
        <f t="shared" ref="H490:H504" si="26">H489</f>
        <v>2003</v>
      </c>
      <c r="I490" s="12" t="s">
        <v>519</v>
      </c>
    </row>
    <row r="491" spans="1:9">
      <c r="A491" s="1" t="s">
        <v>11</v>
      </c>
      <c r="B491" s="1">
        <v>115.38</v>
      </c>
      <c r="C491" s="1">
        <v>5.74</v>
      </c>
      <c r="D491" s="1">
        <v>0.91</v>
      </c>
      <c r="E491" s="1">
        <v>7.53</v>
      </c>
      <c r="F491" s="1">
        <v>5.78</v>
      </c>
      <c r="H491" s="1" t="str">
        <f t="shared" si="26"/>
        <v>2003</v>
      </c>
      <c r="I491" s="12" t="s">
        <v>519</v>
      </c>
    </row>
    <row r="492" spans="1:9">
      <c r="A492" s="1" t="s">
        <v>32</v>
      </c>
      <c r="B492" s="1">
        <v>121.74</v>
      </c>
      <c r="C492" s="1">
        <v>2</v>
      </c>
      <c r="D492" s="1">
        <v>15.01</v>
      </c>
      <c r="E492" s="1">
        <v>0</v>
      </c>
      <c r="F492" s="1">
        <v>8.3699999999999992</v>
      </c>
      <c r="H492" s="1" t="str">
        <f t="shared" si="26"/>
        <v>2003</v>
      </c>
      <c r="I492" s="12" t="s">
        <v>519</v>
      </c>
    </row>
    <row r="493" spans="1:9">
      <c r="A493" s="1" t="s">
        <v>31</v>
      </c>
      <c r="B493" s="1">
        <v>139.58000000000001</v>
      </c>
      <c r="C493" s="1">
        <v>1.32</v>
      </c>
      <c r="D493" s="1">
        <v>11.5</v>
      </c>
      <c r="E493" s="1">
        <v>0</v>
      </c>
      <c r="F493" s="1">
        <v>27.87</v>
      </c>
      <c r="H493" s="1" t="str">
        <f t="shared" si="26"/>
        <v>2003</v>
      </c>
      <c r="I493" s="12" t="s">
        <v>519</v>
      </c>
    </row>
    <row r="494" spans="1:9">
      <c r="A494" s="1" t="s">
        <v>266</v>
      </c>
      <c r="B494" s="1">
        <v>65.53</v>
      </c>
      <c r="C494" s="1">
        <v>0.66</v>
      </c>
      <c r="D494" s="1">
        <v>0.94</v>
      </c>
      <c r="E494" s="1">
        <v>0.37</v>
      </c>
      <c r="F494" s="1">
        <v>41.57</v>
      </c>
      <c r="H494" s="1" t="str">
        <f t="shared" si="26"/>
        <v>2003</v>
      </c>
      <c r="I494" s="12" t="s">
        <v>519</v>
      </c>
    </row>
    <row r="495" spans="1:9">
      <c r="A495" s="1" t="s">
        <v>269</v>
      </c>
      <c r="B495" s="1">
        <v>41.94</v>
      </c>
      <c r="C495" s="1">
        <v>89.99</v>
      </c>
      <c r="D495" s="1">
        <v>130.08000000000001</v>
      </c>
      <c r="E495" s="1">
        <v>8.32</v>
      </c>
      <c r="F495" s="1">
        <v>0.95</v>
      </c>
      <c r="H495" s="1" t="str">
        <f t="shared" si="26"/>
        <v>2003</v>
      </c>
      <c r="I495" s="12" t="s">
        <v>519</v>
      </c>
    </row>
    <row r="496" spans="1:9">
      <c r="A496" s="1" t="s">
        <v>30</v>
      </c>
      <c r="B496" s="1">
        <v>11</v>
      </c>
      <c r="C496" s="1">
        <v>1</v>
      </c>
      <c r="D496" s="1">
        <v>221</v>
      </c>
      <c r="E496" s="1">
        <v>0</v>
      </c>
      <c r="F496" s="1">
        <v>1</v>
      </c>
      <c r="H496" s="1" t="str">
        <f t="shared" si="26"/>
        <v>2003</v>
      </c>
      <c r="I496" s="12" t="s">
        <v>519</v>
      </c>
    </row>
    <row r="497" spans="1:9">
      <c r="A497" s="1" t="s">
        <v>26</v>
      </c>
      <c r="B497" s="1">
        <v>323</v>
      </c>
      <c r="C497" s="1">
        <v>4</v>
      </c>
      <c r="D497" s="1">
        <v>56</v>
      </c>
      <c r="E497" s="1">
        <v>1</v>
      </c>
      <c r="F497" s="1">
        <v>35</v>
      </c>
      <c r="H497" s="1" t="str">
        <f t="shared" si="26"/>
        <v>2003</v>
      </c>
      <c r="I497" s="12" t="s">
        <v>519</v>
      </c>
    </row>
    <row r="498" spans="1:9">
      <c r="A498" s="1" t="s">
        <v>271</v>
      </c>
      <c r="B498" s="1">
        <v>0</v>
      </c>
      <c r="C498" s="1">
        <v>0</v>
      </c>
      <c r="D498" s="1">
        <v>0</v>
      </c>
      <c r="E498" s="1">
        <v>0</v>
      </c>
      <c r="F498" s="1">
        <v>0</v>
      </c>
      <c r="H498" s="1" t="str">
        <f t="shared" si="26"/>
        <v>2003</v>
      </c>
      <c r="I498" s="12" t="s">
        <v>519</v>
      </c>
    </row>
    <row r="499" spans="1:9">
      <c r="A499" s="1" t="s">
        <v>143</v>
      </c>
      <c r="B499" s="1">
        <v>18.940000000000001</v>
      </c>
      <c r="C499" s="1">
        <v>0</v>
      </c>
      <c r="D499" s="1">
        <v>0</v>
      </c>
      <c r="E499" s="1">
        <v>0</v>
      </c>
      <c r="F499" s="1">
        <v>22</v>
      </c>
      <c r="H499" s="1" t="str">
        <f t="shared" si="26"/>
        <v>2003</v>
      </c>
      <c r="I499" s="12" t="s">
        <v>519</v>
      </c>
    </row>
    <row r="500" spans="1:9">
      <c r="A500" s="1" t="s">
        <v>144</v>
      </c>
      <c r="B500" s="1">
        <v>0</v>
      </c>
      <c r="C500" s="1">
        <v>0</v>
      </c>
      <c r="D500" s="1">
        <v>0</v>
      </c>
      <c r="E500" s="1">
        <v>0</v>
      </c>
      <c r="F500" s="1">
        <v>0</v>
      </c>
      <c r="H500" s="1" t="str">
        <f t="shared" si="26"/>
        <v>2003</v>
      </c>
      <c r="I500" s="12" t="s">
        <v>519</v>
      </c>
    </row>
    <row r="501" spans="1:9">
      <c r="A501" s="1" t="s">
        <v>14</v>
      </c>
      <c r="B501" s="1">
        <v>0</v>
      </c>
      <c r="C501" s="1">
        <v>0</v>
      </c>
      <c r="D501" s="1">
        <v>0</v>
      </c>
      <c r="E501" s="1">
        <v>0</v>
      </c>
      <c r="F501" s="1">
        <v>0</v>
      </c>
      <c r="H501" s="1" t="str">
        <f t="shared" si="26"/>
        <v>2003</v>
      </c>
      <c r="I501" s="12" t="s">
        <v>519</v>
      </c>
    </row>
    <row r="502" spans="1:9">
      <c r="A502" s="1" t="s">
        <v>145</v>
      </c>
      <c r="B502" s="1">
        <v>0.74</v>
      </c>
      <c r="C502" s="1">
        <v>0</v>
      </c>
      <c r="D502" s="1">
        <v>83.22</v>
      </c>
      <c r="E502" s="1">
        <v>0</v>
      </c>
      <c r="F502" s="1">
        <v>9.1199999999999992</v>
      </c>
      <c r="H502" s="1" t="str">
        <f t="shared" si="26"/>
        <v>2003</v>
      </c>
      <c r="I502" s="12" t="s">
        <v>519</v>
      </c>
    </row>
    <row r="503" spans="1:9">
      <c r="A503" s="1" t="s">
        <v>146</v>
      </c>
      <c r="B503" s="1">
        <v>12.32</v>
      </c>
      <c r="C503" s="1">
        <v>1.17</v>
      </c>
      <c r="D503" s="1">
        <v>239.3</v>
      </c>
      <c r="E503" s="1">
        <v>0</v>
      </c>
      <c r="F503" s="1">
        <v>4.46</v>
      </c>
      <c r="H503" s="1" t="str">
        <f t="shared" si="26"/>
        <v>2003</v>
      </c>
      <c r="I503" s="12" t="s">
        <v>519</v>
      </c>
    </row>
    <row r="504" spans="1:9">
      <c r="A504" s="1" t="s">
        <v>147</v>
      </c>
      <c r="B504" s="1">
        <v>75.81</v>
      </c>
      <c r="C504" s="1">
        <v>0</v>
      </c>
      <c r="D504" s="1">
        <v>126.23</v>
      </c>
      <c r="E504" s="1">
        <v>0</v>
      </c>
      <c r="F504" s="1">
        <v>16.29</v>
      </c>
      <c r="H504" s="1" t="str">
        <f t="shared" si="26"/>
        <v>2003</v>
      </c>
      <c r="I504" s="12" t="s">
        <v>519</v>
      </c>
    </row>
    <row r="505" spans="1:9">
      <c r="A505" s="1" t="s">
        <v>518</v>
      </c>
    </row>
    <row r="506" spans="1:9">
      <c r="A506" s="1" t="s">
        <v>20</v>
      </c>
      <c r="B506" s="1">
        <v>59.29</v>
      </c>
      <c r="C506" s="1">
        <v>60.51</v>
      </c>
      <c r="D506" s="1">
        <v>59.57</v>
      </c>
      <c r="E506" s="1">
        <v>59.39</v>
      </c>
      <c r="F506" s="1">
        <v>34.47</v>
      </c>
      <c r="H506" s="1" t="str">
        <f>H488</f>
        <v>2003</v>
      </c>
      <c r="I506" s="12" t="s">
        <v>148</v>
      </c>
    </row>
    <row r="507" spans="1:9">
      <c r="A507" s="1" t="s">
        <v>17</v>
      </c>
      <c r="B507" s="1">
        <v>57.41</v>
      </c>
      <c r="C507" s="1">
        <v>58.63</v>
      </c>
      <c r="D507" s="1">
        <v>57.69</v>
      </c>
      <c r="E507" s="1">
        <v>57.51</v>
      </c>
      <c r="F507" s="1">
        <v>32.590000000000003</v>
      </c>
      <c r="H507" s="1" t="str">
        <f t="shared" ref="H507:H522" si="27">H489</f>
        <v>2003</v>
      </c>
      <c r="I507" s="12" t="s">
        <v>148</v>
      </c>
    </row>
    <row r="508" spans="1:9">
      <c r="A508" s="1" t="s">
        <v>10</v>
      </c>
      <c r="B508" s="1">
        <v>48.82</v>
      </c>
      <c r="C508" s="1">
        <v>50.03</v>
      </c>
      <c r="D508" s="1">
        <v>49.1</v>
      </c>
      <c r="E508" s="1">
        <v>51.4</v>
      </c>
      <c r="F508" s="1">
        <v>48.61</v>
      </c>
      <c r="H508" s="1" t="str">
        <f t="shared" si="27"/>
        <v>2003</v>
      </c>
      <c r="I508" s="12" t="s">
        <v>148</v>
      </c>
    </row>
    <row r="509" spans="1:9">
      <c r="A509" s="1" t="s">
        <v>11</v>
      </c>
      <c r="B509" s="1">
        <v>50.27</v>
      </c>
      <c r="C509" s="1">
        <v>48.45</v>
      </c>
      <c r="D509" s="1">
        <v>48.88</v>
      </c>
      <c r="E509" s="1">
        <v>58.9</v>
      </c>
      <c r="F509" s="1">
        <v>56.71</v>
      </c>
      <c r="H509" s="1" t="str">
        <f t="shared" si="27"/>
        <v>2003</v>
      </c>
      <c r="I509" s="12" t="s">
        <v>148</v>
      </c>
    </row>
    <row r="510" spans="1:9">
      <c r="A510" s="1" t="s">
        <v>32</v>
      </c>
      <c r="B510" s="1">
        <v>34.86</v>
      </c>
      <c r="C510" s="1">
        <v>37.65</v>
      </c>
      <c r="D510" s="1">
        <v>37.65</v>
      </c>
      <c r="E510" s="1">
        <v>36.9</v>
      </c>
      <c r="F510" s="1">
        <v>31.27</v>
      </c>
      <c r="H510" s="1" t="str">
        <f t="shared" si="27"/>
        <v>2003</v>
      </c>
      <c r="I510" s="12" t="s">
        <v>148</v>
      </c>
    </row>
    <row r="511" spans="1:9">
      <c r="A511" s="1" t="s">
        <v>31</v>
      </c>
      <c r="B511" s="1">
        <v>33.409999999999997</v>
      </c>
      <c r="C511" s="1">
        <v>36.1</v>
      </c>
      <c r="D511" s="1">
        <v>36.6</v>
      </c>
      <c r="E511" s="1">
        <v>35.659999999999997</v>
      </c>
      <c r="F511" s="1">
        <v>31.5</v>
      </c>
      <c r="H511" s="1" t="str">
        <f t="shared" si="27"/>
        <v>2003</v>
      </c>
      <c r="I511" s="12" t="s">
        <v>148</v>
      </c>
    </row>
    <row r="512" spans="1:9">
      <c r="A512" s="1" t="s">
        <v>266</v>
      </c>
      <c r="B512" s="1">
        <v>42.27</v>
      </c>
      <c r="C512" s="1">
        <v>41.99</v>
      </c>
      <c r="D512" s="1">
        <v>41.56</v>
      </c>
      <c r="E512" s="1">
        <v>53.5</v>
      </c>
      <c r="F512" s="1">
        <v>49.39</v>
      </c>
      <c r="H512" s="1" t="str">
        <f t="shared" si="27"/>
        <v>2003</v>
      </c>
      <c r="I512" s="12" t="s">
        <v>148</v>
      </c>
    </row>
    <row r="513" spans="1:9">
      <c r="A513" s="1" t="s">
        <v>269</v>
      </c>
      <c r="B513" s="1">
        <v>27.67</v>
      </c>
      <c r="C513" s="1">
        <v>27.67</v>
      </c>
      <c r="D513" s="1">
        <v>27.67</v>
      </c>
      <c r="E513" s="1">
        <v>27.67</v>
      </c>
      <c r="F513" s="1">
        <v>27.67</v>
      </c>
      <c r="H513" s="1" t="str">
        <f t="shared" si="27"/>
        <v>2003</v>
      </c>
      <c r="I513" s="12" t="s">
        <v>148</v>
      </c>
    </row>
    <row r="514" spans="1:9">
      <c r="A514" s="1" t="s">
        <v>30</v>
      </c>
      <c r="B514" s="1">
        <v>35.99</v>
      </c>
      <c r="C514" s="1">
        <v>35.65</v>
      </c>
      <c r="D514" s="1">
        <v>34.9</v>
      </c>
      <c r="E514" s="1">
        <v>34.840000000000003</v>
      </c>
      <c r="F514" s="1">
        <v>27.67</v>
      </c>
      <c r="H514" s="1" t="str">
        <f t="shared" si="27"/>
        <v>2003</v>
      </c>
      <c r="I514" s="12" t="s">
        <v>148</v>
      </c>
    </row>
    <row r="515" spans="1:9">
      <c r="A515" s="1" t="s">
        <v>26</v>
      </c>
      <c r="B515" s="1">
        <v>57.56</v>
      </c>
      <c r="C515" s="1">
        <v>57.56</v>
      </c>
      <c r="D515" s="1">
        <v>58.19</v>
      </c>
      <c r="E515" s="1">
        <v>57.71</v>
      </c>
      <c r="F515" s="1">
        <v>57.71</v>
      </c>
      <c r="H515" s="1" t="str">
        <f t="shared" si="27"/>
        <v>2003</v>
      </c>
      <c r="I515" s="12" t="s">
        <v>148</v>
      </c>
    </row>
    <row r="516" spans="1:9">
      <c r="A516" s="1" t="s">
        <v>271</v>
      </c>
      <c r="B516" s="1">
        <v>46.37</v>
      </c>
      <c r="C516" s="1">
        <v>45.57</v>
      </c>
      <c r="D516" s="1">
        <v>45.13</v>
      </c>
      <c r="E516" s="1">
        <v>47.03</v>
      </c>
      <c r="F516" s="1">
        <v>44.72</v>
      </c>
      <c r="H516" s="1" t="str">
        <f t="shared" si="27"/>
        <v>2003</v>
      </c>
      <c r="I516" s="12" t="s">
        <v>148</v>
      </c>
    </row>
    <row r="517" spans="1:9">
      <c r="A517" s="1" t="s">
        <v>143</v>
      </c>
      <c r="B517" s="1">
        <v>58.25</v>
      </c>
      <c r="C517" s="1">
        <v>56.26</v>
      </c>
      <c r="D517" s="1">
        <v>55.86</v>
      </c>
      <c r="E517" s="1">
        <v>58.42</v>
      </c>
      <c r="F517" s="1">
        <v>55.89</v>
      </c>
      <c r="H517" s="1" t="str">
        <f t="shared" si="27"/>
        <v>2003</v>
      </c>
      <c r="I517" s="12" t="s">
        <v>148</v>
      </c>
    </row>
    <row r="518" spans="1:9">
      <c r="A518" s="1" t="s">
        <v>144</v>
      </c>
      <c r="B518" s="1">
        <v>50.67</v>
      </c>
      <c r="C518" s="1">
        <v>50.01</v>
      </c>
      <c r="D518" s="1">
        <v>49.71</v>
      </c>
      <c r="E518" s="1">
        <v>54.73</v>
      </c>
      <c r="F518" s="1">
        <v>53.15</v>
      </c>
      <c r="H518" s="1" t="str">
        <f t="shared" si="27"/>
        <v>2003</v>
      </c>
      <c r="I518" s="12" t="s">
        <v>148</v>
      </c>
    </row>
    <row r="519" spans="1:9">
      <c r="A519" s="1" t="s">
        <v>14</v>
      </c>
      <c r="B519" s="1">
        <v>0</v>
      </c>
      <c r="C519" s="1">
        <v>0</v>
      </c>
      <c r="D519" s="1">
        <v>0</v>
      </c>
      <c r="E519" s="1">
        <v>0</v>
      </c>
      <c r="F519" s="1">
        <v>0</v>
      </c>
      <c r="H519" s="1" t="str">
        <f t="shared" si="27"/>
        <v>2003</v>
      </c>
      <c r="I519" s="12" t="s">
        <v>148</v>
      </c>
    </row>
    <row r="520" spans="1:9">
      <c r="A520" s="1" t="s">
        <v>145</v>
      </c>
      <c r="B520" s="1">
        <v>25.11</v>
      </c>
      <c r="C520" s="1">
        <v>25.21</v>
      </c>
      <c r="D520" s="1">
        <v>24.79</v>
      </c>
      <c r="E520" s="1">
        <v>29.86</v>
      </c>
      <c r="F520" s="1">
        <v>27.95</v>
      </c>
      <c r="H520" s="1" t="str">
        <f t="shared" si="27"/>
        <v>2003</v>
      </c>
      <c r="I520" s="12" t="s">
        <v>148</v>
      </c>
    </row>
    <row r="521" spans="1:9">
      <c r="A521" s="1" t="s">
        <v>146</v>
      </c>
      <c r="B521" s="1">
        <v>30.69</v>
      </c>
      <c r="C521" s="1">
        <v>30.82</v>
      </c>
      <c r="D521" s="1">
        <v>30.3</v>
      </c>
      <c r="E521" s="1">
        <v>36.49</v>
      </c>
      <c r="F521" s="1">
        <v>34.17</v>
      </c>
      <c r="H521" s="1" t="str">
        <f t="shared" si="27"/>
        <v>2003</v>
      </c>
      <c r="I521" s="12" t="s">
        <v>148</v>
      </c>
    </row>
    <row r="522" spans="1:9">
      <c r="A522" s="1" t="s">
        <v>147</v>
      </c>
      <c r="B522" s="1">
        <v>23.02</v>
      </c>
      <c r="C522" s="1">
        <v>23.11</v>
      </c>
      <c r="D522" s="1">
        <v>22.72</v>
      </c>
      <c r="E522" s="1">
        <v>27.37</v>
      </c>
      <c r="F522" s="1">
        <v>25.63</v>
      </c>
      <c r="H522" s="1" t="str">
        <f t="shared" si="27"/>
        <v>2003</v>
      </c>
      <c r="I522" s="12" t="s">
        <v>148</v>
      </c>
    </row>
    <row r="523" spans="1:9">
      <c r="A523" s="1" t="s">
        <v>162</v>
      </c>
    </row>
    <row r="524" spans="1:9">
      <c r="A524" s="1" t="s">
        <v>517</v>
      </c>
    </row>
    <row r="525" spans="1:9">
      <c r="A525" s="1" t="s">
        <v>20</v>
      </c>
      <c r="B525" s="1">
        <v>208.9</v>
      </c>
      <c r="C525" s="1">
        <v>0</v>
      </c>
      <c r="D525" s="1">
        <v>0</v>
      </c>
      <c r="E525" s="1">
        <v>0</v>
      </c>
      <c r="F525" s="1">
        <v>4.1500000000000004</v>
      </c>
      <c r="H525" s="1" t="str">
        <f>RIGHT(A523,4)</f>
        <v>2004</v>
      </c>
      <c r="I525" s="12" t="s">
        <v>519</v>
      </c>
    </row>
    <row r="526" spans="1:9">
      <c r="A526" s="1" t="s">
        <v>17</v>
      </c>
      <c r="B526" s="1">
        <v>261.76</v>
      </c>
      <c r="C526" s="1">
        <v>1.67</v>
      </c>
      <c r="D526" s="1">
        <v>7.47</v>
      </c>
      <c r="E526" s="1">
        <v>0.55000000000000004</v>
      </c>
      <c r="F526" s="1">
        <v>12.4</v>
      </c>
      <c r="H526" s="1" t="str">
        <f>H525</f>
        <v>2004</v>
      </c>
      <c r="I526" s="12" t="s">
        <v>519</v>
      </c>
    </row>
    <row r="527" spans="1:9">
      <c r="A527" s="1" t="s">
        <v>10</v>
      </c>
      <c r="B527" s="1">
        <v>169.33</v>
      </c>
      <c r="C527" s="1">
        <v>2.04</v>
      </c>
      <c r="D527" s="1">
        <v>5.47</v>
      </c>
      <c r="E527" s="1">
        <v>1.34</v>
      </c>
      <c r="F527" s="1">
        <v>1.57</v>
      </c>
      <c r="H527" s="1" t="str">
        <f t="shared" ref="H527:H541" si="28">H526</f>
        <v>2004</v>
      </c>
      <c r="I527" s="12" t="s">
        <v>519</v>
      </c>
    </row>
    <row r="528" spans="1:9">
      <c r="A528" s="1" t="s">
        <v>11</v>
      </c>
      <c r="B528" s="1">
        <v>91.84</v>
      </c>
      <c r="C528" s="1">
        <v>4.84</v>
      </c>
      <c r="D528" s="1">
        <v>2.5499999999999998</v>
      </c>
      <c r="E528" s="1">
        <v>9.3699999999999992</v>
      </c>
      <c r="F528" s="1">
        <v>10.92</v>
      </c>
      <c r="H528" s="1" t="str">
        <f t="shared" si="28"/>
        <v>2004</v>
      </c>
      <c r="I528" s="12" t="s">
        <v>519</v>
      </c>
    </row>
    <row r="529" spans="1:9">
      <c r="A529" s="1" t="s">
        <v>32</v>
      </c>
      <c r="B529" s="1">
        <v>185.06</v>
      </c>
      <c r="C529" s="1">
        <v>2.09</v>
      </c>
      <c r="D529" s="1">
        <v>32.24</v>
      </c>
      <c r="E529" s="1">
        <v>0</v>
      </c>
      <c r="F529" s="1">
        <v>10.5</v>
      </c>
      <c r="H529" s="1" t="str">
        <f t="shared" si="28"/>
        <v>2004</v>
      </c>
      <c r="I529" s="12" t="s">
        <v>519</v>
      </c>
    </row>
    <row r="530" spans="1:9">
      <c r="A530" s="1" t="s">
        <v>31</v>
      </c>
      <c r="B530" s="1">
        <v>149.55000000000001</v>
      </c>
      <c r="C530" s="1">
        <v>2.1</v>
      </c>
      <c r="D530" s="1">
        <v>21.26</v>
      </c>
      <c r="E530" s="1">
        <v>0</v>
      </c>
      <c r="F530" s="1">
        <v>24.66</v>
      </c>
      <c r="H530" s="1" t="str">
        <f t="shared" si="28"/>
        <v>2004</v>
      </c>
      <c r="I530" s="12" t="s">
        <v>519</v>
      </c>
    </row>
    <row r="531" spans="1:9">
      <c r="A531" s="1" t="s">
        <v>266</v>
      </c>
      <c r="B531" s="1">
        <v>48.91</v>
      </c>
      <c r="C531" s="1">
        <v>1.1299999999999999</v>
      </c>
      <c r="D531" s="1">
        <v>0.56000000000000005</v>
      </c>
      <c r="E531" s="1">
        <v>0.43</v>
      </c>
      <c r="F531" s="1">
        <v>76.38</v>
      </c>
      <c r="H531" s="1" t="str">
        <f t="shared" si="28"/>
        <v>2004</v>
      </c>
      <c r="I531" s="12" t="s">
        <v>519</v>
      </c>
    </row>
    <row r="532" spans="1:9">
      <c r="A532" s="1" t="s">
        <v>269</v>
      </c>
      <c r="B532" s="1">
        <v>47.79</v>
      </c>
      <c r="C532" s="1">
        <v>103.7</v>
      </c>
      <c r="D532" s="1">
        <v>142.80000000000001</v>
      </c>
      <c r="E532" s="1">
        <v>9.6999999999999993</v>
      </c>
      <c r="F532" s="1">
        <v>2.04</v>
      </c>
      <c r="H532" s="1" t="str">
        <f t="shared" si="28"/>
        <v>2004</v>
      </c>
      <c r="I532" s="12" t="s">
        <v>519</v>
      </c>
    </row>
    <row r="533" spans="1:9">
      <c r="A533" s="1" t="s">
        <v>30</v>
      </c>
      <c r="B533" s="1">
        <v>7</v>
      </c>
      <c r="C533" s="1">
        <v>1</v>
      </c>
      <c r="D533" s="1">
        <v>282</v>
      </c>
      <c r="E533" s="1">
        <v>1</v>
      </c>
      <c r="F533" s="1">
        <v>0</v>
      </c>
      <c r="H533" s="1" t="str">
        <f t="shared" si="28"/>
        <v>2004</v>
      </c>
      <c r="I533" s="12" t="s">
        <v>519</v>
      </c>
    </row>
    <row r="534" spans="1:9">
      <c r="A534" s="1" t="s">
        <v>26</v>
      </c>
      <c r="B534" s="1">
        <v>436</v>
      </c>
      <c r="C534" s="1">
        <v>4</v>
      </c>
      <c r="D534" s="1">
        <v>58</v>
      </c>
      <c r="E534" s="1">
        <v>2</v>
      </c>
      <c r="F534" s="1">
        <v>49</v>
      </c>
      <c r="H534" s="1" t="str">
        <f t="shared" si="28"/>
        <v>2004</v>
      </c>
      <c r="I534" s="12" t="s">
        <v>519</v>
      </c>
    </row>
    <row r="535" spans="1:9">
      <c r="A535" s="1" t="s">
        <v>271</v>
      </c>
      <c r="B535" s="1">
        <v>0</v>
      </c>
      <c r="C535" s="1">
        <v>0</v>
      </c>
      <c r="D535" s="1">
        <v>0</v>
      </c>
      <c r="E535" s="1">
        <v>0</v>
      </c>
      <c r="F535" s="1">
        <v>0</v>
      </c>
      <c r="H535" s="1" t="str">
        <f t="shared" si="28"/>
        <v>2004</v>
      </c>
      <c r="I535" s="12" t="s">
        <v>519</v>
      </c>
    </row>
    <row r="536" spans="1:9">
      <c r="A536" s="1" t="s">
        <v>143</v>
      </c>
      <c r="B536" s="1">
        <v>33.68</v>
      </c>
      <c r="C536" s="1">
        <v>0</v>
      </c>
      <c r="D536" s="1">
        <v>3.42</v>
      </c>
      <c r="E536" s="1">
        <v>0</v>
      </c>
      <c r="F536" s="1">
        <v>0</v>
      </c>
      <c r="H536" s="1" t="str">
        <f t="shared" si="28"/>
        <v>2004</v>
      </c>
      <c r="I536" s="12" t="s">
        <v>519</v>
      </c>
    </row>
    <row r="537" spans="1:9">
      <c r="A537" s="1" t="s">
        <v>144</v>
      </c>
      <c r="B537" s="1">
        <v>66.209999999999994</v>
      </c>
      <c r="C537" s="1">
        <v>0</v>
      </c>
      <c r="D537" s="1">
        <v>1.43</v>
      </c>
      <c r="E537" s="1">
        <v>0</v>
      </c>
      <c r="F537" s="1">
        <v>20.43</v>
      </c>
      <c r="H537" s="1" t="str">
        <f t="shared" si="28"/>
        <v>2004</v>
      </c>
      <c r="I537" s="12" t="s">
        <v>519</v>
      </c>
    </row>
    <row r="538" spans="1:9">
      <c r="A538" s="1" t="s">
        <v>14</v>
      </c>
      <c r="B538" s="1">
        <v>21.38</v>
      </c>
      <c r="C538" s="1">
        <v>0</v>
      </c>
      <c r="D538" s="1">
        <v>3.05</v>
      </c>
      <c r="E538" s="1">
        <v>0</v>
      </c>
      <c r="F538" s="1">
        <v>4.3499999999999996</v>
      </c>
      <c r="H538" s="1" t="str">
        <f t="shared" si="28"/>
        <v>2004</v>
      </c>
      <c r="I538" s="12" t="s">
        <v>519</v>
      </c>
    </row>
    <row r="539" spans="1:9">
      <c r="A539" s="1" t="s">
        <v>145</v>
      </c>
      <c r="B539" s="1">
        <v>1.85</v>
      </c>
      <c r="C539" s="1">
        <v>0</v>
      </c>
      <c r="D539" s="1">
        <v>109.81</v>
      </c>
      <c r="E539" s="1">
        <v>0</v>
      </c>
      <c r="F539" s="1">
        <v>0</v>
      </c>
      <c r="H539" s="1" t="str">
        <f t="shared" si="28"/>
        <v>2004</v>
      </c>
      <c r="I539" s="12" t="s">
        <v>519</v>
      </c>
    </row>
    <row r="540" spans="1:9">
      <c r="A540" s="1" t="s">
        <v>146</v>
      </c>
      <c r="B540" s="1">
        <v>12.62</v>
      </c>
      <c r="C540" s="1">
        <v>1.35</v>
      </c>
      <c r="D540" s="1">
        <v>321.98</v>
      </c>
      <c r="E540" s="1">
        <v>0.9</v>
      </c>
      <c r="F540" s="1">
        <v>1.06</v>
      </c>
      <c r="H540" s="1" t="str">
        <f t="shared" si="28"/>
        <v>2004</v>
      </c>
      <c r="I540" s="12" t="s">
        <v>519</v>
      </c>
    </row>
    <row r="541" spans="1:9">
      <c r="A541" s="1" t="s">
        <v>147</v>
      </c>
      <c r="B541" s="1">
        <v>91.53</v>
      </c>
      <c r="C541" s="1">
        <v>0</v>
      </c>
      <c r="D541" s="1">
        <v>184.53</v>
      </c>
      <c r="E541" s="1">
        <v>0</v>
      </c>
      <c r="F541" s="1">
        <v>51.82</v>
      </c>
      <c r="H541" s="1" t="str">
        <f t="shared" si="28"/>
        <v>2004</v>
      </c>
      <c r="I541" s="12" t="s">
        <v>519</v>
      </c>
    </row>
    <row r="542" spans="1:9">
      <c r="A542" s="1" t="s">
        <v>518</v>
      </c>
    </row>
    <row r="543" spans="1:9">
      <c r="A543" s="1" t="s">
        <v>20</v>
      </c>
      <c r="B543" s="1">
        <v>60.5</v>
      </c>
      <c r="C543" s="1">
        <v>61.74</v>
      </c>
      <c r="D543" s="1">
        <v>60.79</v>
      </c>
      <c r="E543" s="1">
        <v>60.6</v>
      </c>
      <c r="F543" s="1">
        <v>35.17</v>
      </c>
      <c r="H543" s="1" t="str">
        <f>H525</f>
        <v>2004</v>
      </c>
      <c r="I543" s="12" t="s">
        <v>148</v>
      </c>
    </row>
    <row r="544" spans="1:9">
      <c r="A544" s="1" t="s">
        <v>17</v>
      </c>
      <c r="B544" s="1">
        <v>58.58</v>
      </c>
      <c r="C544" s="1">
        <v>59.82</v>
      </c>
      <c r="D544" s="1">
        <v>58.87</v>
      </c>
      <c r="E544" s="1">
        <v>58.68</v>
      </c>
      <c r="F544" s="1">
        <v>33.25</v>
      </c>
      <c r="H544" s="1" t="str">
        <f t="shared" ref="H544:H559" si="29">H526</f>
        <v>2004</v>
      </c>
      <c r="I544" s="12" t="s">
        <v>148</v>
      </c>
    </row>
    <row r="545" spans="1:9">
      <c r="A545" s="1" t="s">
        <v>10</v>
      </c>
      <c r="B545" s="1">
        <v>49.81</v>
      </c>
      <c r="C545" s="1">
        <v>51.06</v>
      </c>
      <c r="D545" s="1">
        <v>50.1</v>
      </c>
      <c r="E545" s="1">
        <v>52.44</v>
      </c>
      <c r="F545" s="1">
        <v>49.6</v>
      </c>
      <c r="H545" s="1" t="str">
        <f t="shared" si="29"/>
        <v>2004</v>
      </c>
      <c r="I545" s="12" t="s">
        <v>148</v>
      </c>
    </row>
    <row r="546" spans="1:9">
      <c r="A546" s="1" t="s">
        <v>11</v>
      </c>
      <c r="B546" s="1">
        <v>51.3</v>
      </c>
      <c r="C546" s="1">
        <v>49.44</v>
      </c>
      <c r="D546" s="1">
        <v>49.87</v>
      </c>
      <c r="E546" s="1">
        <v>60.11</v>
      </c>
      <c r="F546" s="1">
        <v>57.86</v>
      </c>
      <c r="H546" s="1" t="str">
        <f t="shared" si="29"/>
        <v>2004</v>
      </c>
      <c r="I546" s="12" t="s">
        <v>148</v>
      </c>
    </row>
    <row r="547" spans="1:9">
      <c r="A547" s="1" t="s">
        <v>32</v>
      </c>
      <c r="B547" s="1">
        <v>35.57</v>
      </c>
      <c r="C547" s="1">
        <v>38.42</v>
      </c>
      <c r="D547" s="1">
        <v>38.42</v>
      </c>
      <c r="E547" s="1">
        <v>37.659999999999997</v>
      </c>
      <c r="F547" s="1">
        <v>31.91</v>
      </c>
      <c r="H547" s="1" t="str">
        <f t="shared" si="29"/>
        <v>2004</v>
      </c>
      <c r="I547" s="12" t="s">
        <v>148</v>
      </c>
    </row>
    <row r="548" spans="1:9">
      <c r="A548" s="1" t="s">
        <v>31</v>
      </c>
      <c r="B548" s="1">
        <v>34.090000000000003</v>
      </c>
      <c r="C548" s="1">
        <v>36.840000000000003</v>
      </c>
      <c r="D548" s="1">
        <v>37.35</v>
      </c>
      <c r="E548" s="1">
        <v>36.39</v>
      </c>
      <c r="F548" s="1">
        <v>32.15</v>
      </c>
      <c r="H548" s="1" t="str">
        <f t="shared" si="29"/>
        <v>2004</v>
      </c>
      <c r="I548" s="12" t="s">
        <v>148</v>
      </c>
    </row>
    <row r="549" spans="1:9">
      <c r="A549" s="1" t="s">
        <v>266</v>
      </c>
      <c r="B549" s="1">
        <v>43.14</v>
      </c>
      <c r="C549" s="1">
        <v>42.85</v>
      </c>
      <c r="D549" s="1">
        <v>42.41</v>
      </c>
      <c r="E549" s="1">
        <v>54.59</v>
      </c>
      <c r="F549" s="1">
        <v>50.4</v>
      </c>
      <c r="H549" s="1" t="str">
        <f t="shared" si="29"/>
        <v>2004</v>
      </c>
      <c r="I549" s="12" t="s">
        <v>148</v>
      </c>
    </row>
    <row r="550" spans="1:9">
      <c r="A550" s="1" t="s">
        <v>269</v>
      </c>
      <c r="B550" s="1">
        <v>28.24</v>
      </c>
      <c r="C550" s="1">
        <v>28.24</v>
      </c>
      <c r="D550" s="1">
        <v>28.24</v>
      </c>
      <c r="E550" s="1">
        <v>28.24</v>
      </c>
      <c r="F550" s="1">
        <v>28.24</v>
      </c>
      <c r="H550" s="1" t="str">
        <f t="shared" si="29"/>
        <v>2004</v>
      </c>
      <c r="I550" s="12" t="s">
        <v>148</v>
      </c>
    </row>
    <row r="551" spans="1:9">
      <c r="A551" s="1" t="s">
        <v>30</v>
      </c>
      <c r="B551" s="1">
        <v>36.729999999999997</v>
      </c>
      <c r="C551" s="1">
        <v>36.380000000000003</v>
      </c>
      <c r="D551" s="1">
        <v>35.61</v>
      </c>
      <c r="E551" s="1">
        <v>35.549999999999997</v>
      </c>
      <c r="F551" s="1">
        <v>28.24</v>
      </c>
      <c r="H551" s="1" t="str">
        <f t="shared" si="29"/>
        <v>2004</v>
      </c>
      <c r="I551" s="12" t="s">
        <v>148</v>
      </c>
    </row>
    <row r="552" spans="1:9">
      <c r="A552" s="1" t="s">
        <v>26</v>
      </c>
      <c r="B552" s="1">
        <v>58.73</v>
      </c>
      <c r="C552" s="1">
        <v>58.73</v>
      </c>
      <c r="D552" s="1">
        <v>59.38</v>
      </c>
      <c r="E552" s="1">
        <v>58.89</v>
      </c>
      <c r="F552" s="1">
        <v>58.89</v>
      </c>
      <c r="H552" s="1" t="str">
        <f t="shared" si="29"/>
        <v>2004</v>
      </c>
      <c r="I552" s="12" t="s">
        <v>148</v>
      </c>
    </row>
    <row r="553" spans="1:9">
      <c r="A553" s="1" t="s">
        <v>271</v>
      </c>
      <c r="B553" s="1">
        <v>47.31</v>
      </c>
      <c r="C553" s="1">
        <v>46.5</v>
      </c>
      <c r="D553" s="1">
        <v>46.05</v>
      </c>
      <c r="E553" s="1">
        <v>47.99</v>
      </c>
      <c r="F553" s="1">
        <v>45.63</v>
      </c>
      <c r="H553" s="1" t="str">
        <f t="shared" si="29"/>
        <v>2004</v>
      </c>
      <c r="I553" s="12" t="s">
        <v>148</v>
      </c>
    </row>
    <row r="554" spans="1:9">
      <c r="A554" s="1" t="s">
        <v>143</v>
      </c>
      <c r="B554" s="1">
        <v>59.44</v>
      </c>
      <c r="C554" s="1">
        <v>57.4</v>
      </c>
      <c r="D554" s="1">
        <v>57</v>
      </c>
      <c r="E554" s="1">
        <v>59.62</v>
      </c>
      <c r="F554" s="1">
        <v>57.03</v>
      </c>
      <c r="H554" s="1" t="str">
        <f t="shared" si="29"/>
        <v>2004</v>
      </c>
      <c r="I554" s="12" t="s">
        <v>148</v>
      </c>
    </row>
    <row r="555" spans="1:9">
      <c r="A555" s="1" t="s">
        <v>144</v>
      </c>
      <c r="B555" s="1">
        <v>51.7</v>
      </c>
      <c r="C555" s="1">
        <v>51.03</v>
      </c>
      <c r="D555" s="1">
        <v>50.72</v>
      </c>
      <c r="E555" s="1">
        <v>55.85</v>
      </c>
      <c r="F555" s="1">
        <v>54.23</v>
      </c>
      <c r="H555" s="1" t="str">
        <f t="shared" si="29"/>
        <v>2004</v>
      </c>
      <c r="I555" s="12" t="s">
        <v>148</v>
      </c>
    </row>
    <row r="556" spans="1:9">
      <c r="A556" s="1" t="s">
        <v>14</v>
      </c>
      <c r="B556" s="1">
        <v>56.38</v>
      </c>
      <c r="C556" s="1">
        <v>56.6</v>
      </c>
      <c r="D556" s="1">
        <v>55.65</v>
      </c>
      <c r="E556" s="1">
        <v>67.02</v>
      </c>
      <c r="F556" s="1">
        <v>62.76</v>
      </c>
      <c r="H556" s="1" t="str">
        <f t="shared" si="29"/>
        <v>2004</v>
      </c>
      <c r="I556" s="12" t="s">
        <v>148</v>
      </c>
    </row>
    <row r="557" spans="1:9">
      <c r="A557" s="1" t="s">
        <v>145</v>
      </c>
      <c r="B557" s="1">
        <v>25.63</v>
      </c>
      <c r="C557" s="1">
        <v>25.73</v>
      </c>
      <c r="D557" s="1">
        <v>25.29</v>
      </c>
      <c r="E557" s="1">
        <v>30.47</v>
      </c>
      <c r="F557" s="1">
        <v>28.53</v>
      </c>
      <c r="H557" s="1" t="str">
        <f t="shared" si="29"/>
        <v>2004</v>
      </c>
      <c r="I557" s="12" t="s">
        <v>148</v>
      </c>
    </row>
    <row r="558" spans="1:9">
      <c r="A558" s="1" t="s">
        <v>146</v>
      </c>
      <c r="B558" s="1">
        <v>31.32</v>
      </c>
      <c r="C558" s="1">
        <v>31.45</v>
      </c>
      <c r="D558" s="1">
        <v>30.92</v>
      </c>
      <c r="E558" s="1">
        <v>37.24</v>
      </c>
      <c r="F558" s="1">
        <v>34.86</v>
      </c>
      <c r="H558" s="1" t="str">
        <f t="shared" si="29"/>
        <v>2004</v>
      </c>
      <c r="I558" s="12" t="s">
        <v>148</v>
      </c>
    </row>
    <row r="559" spans="1:9">
      <c r="A559" s="1" t="s">
        <v>147</v>
      </c>
      <c r="B559" s="1">
        <v>23.49</v>
      </c>
      <c r="C559" s="1">
        <v>23.58</v>
      </c>
      <c r="D559" s="1">
        <v>23.19</v>
      </c>
      <c r="E559" s="1">
        <v>27.93</v>
      </c>
      <c r="F559" s="1">
        <v>26.15</v>
      </c>
      <c r="H559" s="1" t="str">
        <f t="shared" si="29"/>
        <v>2004</v>
      </c>
      <c r="I559" s="12" t="s">
        <v>148</v>
      </c>
    </row>
    <row r="560" spans="1:9">
      <c r="A560" s="1" t="s">
        <v>163</v>
      </c>
    </row>
    <row r="561" spans="1:9">
      <c r="A561" s="1" t="s">
        <v>517</v>
      </c>
    </row>
    <row r="562" spans="1:9">
      <c r="A562" s="1" t="s">
        <v>20</v>
      </c>
      <c r="B562" s="1">
        <v>244.86</v>
      </c>
      <c r="C562" s="1">
        <v>0</v>
      </c>
      <c r="D562" s="1">
        <v>4.12</v>
      </c>
      <c r="E562" s="1">
        <v>0</v>
      </c>
      <c r="F562" s="1">
        <v>6.45</v>
      </c>
      <c r="H562" s="1" t="str">
        <f>RIGHT(A560,4)</f>
        <v>2005</v>
      </c>
      <c r="I562" s="12" t="s">
        <v>519</v>
      </c>
    </row>
    <row r="563" spans="1:9">
      <c r="A563" s="1" t="s">
        <v>17</v>
      </c>
      <c r="B563" s="1">
        <v>299.08</v>
      </c>
      <c r="C563" s="1">
        <v>2.58</v>
      </c>
      <c r="D563" s="1">
        <v>32.270000000000003</v>
      </c>
      <c r="E563" s="1">
        <v>0.55000000000000004</v>
      </c>
      <c r="F563" s="1">
        <v>23.07</v>
      </c>
      <c r="H563" s="1" t="str">
        <f>H562</f>
        <v>2005</v>
      </c>
      <c r="I563" s="12" t="s">
        <v>519</v>
      </c>
    </row>
    <row r="564" spans="1:9">
      <c r="A564" s="1" t="s">
        <v>10</v>
      </c>
      <c r="B564" s="1">
        <v>206.68</v>
      </c>
      <c r="C564" s="1">
        <v>2.04</v>
      </c>
      <c r="D564" s="1">
        <v>7.88</v>
      </c>
      <c r="E564" s="1">
        <v>1.34</v>
      </c>
      <c r="F564" s="1">
        <v>5.07</v>
      </c>
      <c r="H564" s="1" t="str">
        <f t="shared" ref="H564:H578" si="30">H563</f>
        <v>2005</v>
      </c>
      <c r="I564" s="12" t="s">
        <v>519</v>
      </c>
    </row>
    <row r="565" spans="1:9">
      <c r="A565" s="1" t="s">
        <v>11</v>
      </c>
      <c r="B565" s="1">
        <v>124.23</v>
      </c>
      <c r="C565" s="1">
        <v>5.74</v>
      </c>
      <c r="D565" s="1">
        <v>8.2799999999999994</v>
      </c>
      <c r="E565" s="1">
        <v>9.3699999999999992</v>
      </c>
      <c r="F565" s="1">
        <v>13.73</v>
      </c>
      <c r="H565" s="1" t="str">
        <f t="shared" si="30"/>
        <v>2005</v>
      </c>
      <c r="I565" s="12" t="s">
        <v>519</v>
      </c>
    </row>
    <row r="566" spans="1:9">
      <c r="A566" s="1" t="s">
        <v>32</v>
      </c>
      <c r="B566" s="1">
        <v>211.46</v>
      </c>
      <c r="C566" s="1">
        <v>2.82</v>
      </c>
      <c r="D566" s="1">
        <v>62.6</v>
      </c>
      <c r="E566" s="1">
        <v>0</v>
      </c>
      <c r="F566" s="1">
        <v>10.5</v>
      </c>
      <c r="H566" s="1" t="str">
        <f t="shared" si="30"/>
        <v>2005</v>
      </c>
      <c r="I566" s="12" t="s">
        <v>519</v>
      </c>
    </row>
    <row r="567" spans="1:9">
      <c r="A567" s="1" t="s">
        <v>31</v>
      </c>
      <c r="B567" s="1">
        <v>188.15</v>
      </c>
      <c r="C567" s="1">
        <v>2.1</v>
      </c>
      <c r="D567" s="1">
        <v>33.5</v>
      </c>
      <c r="E567" s="1">
        <v>0</v>
      </c>
      <c r="F567" s="1">
        <v>31.98</v>
      </c>
      <c r="H567" s="1" t="str">
        <f t="shared" si="30"/>
        <v>2005</v>
      </c>
      <c r="I567" s="12" t="s">
        <v>519</v>
      </c>
    </row>
    <row r="568" spans="1:9">
      <c r="A568" s="1" t="s">
        <v>266</v>
      </c>
      <c r="B568" s="1">
        <v>71.38</v>
      </c>
      <c r="C568" s="1">
        <v>1.1299999999999999</v>
      </c>
      <c r="D568" s="1">
        <v>16.05</v>
      </c>
      <c r="E568" s="1">
        <v>0.43</v>
      </c>
      <c r="F568" s="1">
        <v>100.3</v>
      </c>
      <c r="H568" s="1" t="str">
        <f t="shared" si="30"/>
        <v>2005</v>
      </c>
      <c r="I568" s="12" t="s">
        <v>519</v>
      </c>
    </row>
    <row r="569" spans="1:9">
      <c r="A569" s="1" t="s">
        <v>269</v>
      </c>
      <c r="B569" s="1">
        <v>60.35</v>
      </c>
      <c r="C569" s="1">
        <v>140.19999999999999</v>
      </c>
      <c r="D569" s="1">
        <v>191.43</v>
      </c>
      <c r="E569" s="1">
        <v>18.350000000000001</v>
      </c>
      <c r="F569" s="1">
        <v>7.33</v>
      </c>
      <c r="H569" s="1" t="str">
        <f t="shared" si="30"/>
        <v>2005</v>
      </c>
      <c r="I569" s="12" t="s">
        <v>519</v>
      </c>
    </row>
    <row r="570" spans="1:9">
      <c r="A570" s="1" t="s">
        <v>30</v>
      </c>
      <c r="B570" s="1">
        <v>4</v>
      </c>
      <c r="C570" s="1">
        <v>1</v>
      </c>
      <c r="D570" s="1">
        <v>293</v>
      </c>
      <c r="E570" s="1">
        <v>0</v>
      </c>
      <c r="F570" s="1">
        <v>0</v>
      </c>
      <c r="H570" s="1" t="str">
        <f t="shared" si="30"/>
        <v>2005</v>
      </c>
      <c r="I570" s="12" t="s">
        <v>519</v>
      </c>
    </row>
    <row r="571" spans="1:9">
      <c r="A571" s="1" t="s">
        <v>26</v>
      </c>
      <c r="B571" s="1">
        <v>440</v>
      </c>
      <c r="C571" s="1">
        <v>7</v>
      </c>
      <c r="D571" s="1">
        <v>109</v>
      </c>
      <c r="E571" s="1">
        <v>1</v>
      </c>
      <c r="F571" s="1">
        <v>42</v>
      </c>
      <c r="H571" s="1" t="str">
        <f t="shared" si="30"/>
        <v>2005</v>
      </c>
      <c r="I571" s="12" t="s">
        <v>519</v>
      </c>
    </row>
    <row r="572" spans="1:9">
      <c r="A572" s="1" t="s">
        <v>271</v>
      </c>
      <c r="B572" s="1">
        <v>0.62</v>
      </c>
      <c r="C572" s="1">
        <v>0</v>
      </c>
      <c r="D572" s="1">
        <v>0</v>
      </c>
      <c r="E572" s="1">
        <v>0</v>
      </c>
      <c r="F572" s="1">
        <v>0.86</v>
      </c>
      <c r="H572" s="1" t="str">
        <f t="shared" si="30"/>
        <v>2005</v>
      </c>
      <c r="I572" s="12" t="s">
        <v>519</v>
      </c>
    </row>
    <row r="573" spans="1:9">
      <c r="A573" s="1" t="s">
        <v>143</v>
      </c>
      <c r="B573" s="1">
        <v>33.68</v>
      </c>
      <c r="C573" s="1">
        <v>0</v>
      </c>
      <c r="D573" s="1">
        <v>4.72</v>
      </c>
      <c r="E573" s="1">
        <v>0</v>
      </c>
      <c r="F573" s="1">
        <v>65.25</v>
      </c>
      <c r="H573" s="1" t="str">
        <f t="shared" si="30"/>
        <v>2005</v>
      </c>
      <c r="I573" s="12" t="s">
        <v>519</v>
      </c>
    </row>
    <row r="574" spans="1:9">
      <c r="A574" s="1" t="s">
        <v>144</v>
      </c>
      <c r="B574" s="1">
        <v>74.16</v>
      </c>
      <c r="C574" s="1">
        <v>1</v>
      </c>
      <c r="D574" s="1">
        <v>1.97</v>
      </c>
      <c r="E574" s="1">
        <v>1</v>
      </c>
      <c r="F574" s="1">
        <v>20.43</v>
      </c>
      <c r="H574" s="1" t="str">
        <f t="shared" si="30"/>
        <v>2005</v>
      </c>
      <c r="I574" s="12" t="s">
        <v>519</v>
      </c>
    </row>
    <row r="575" spans="1:9">
      <c r="A575" s="1" t="s">
        <v>14</v>
      </c>
      <c r="B575" s="1">
        <v>21.38</v>
      </c>
      <c r="C575" s="1">
        <v>0</v>
      </c>
      <c r="D575" s="1">
        <v>3.05</v>
      </c>
      <c r="E575" s="1">
        <v>0</v>
      </c>
      <c r="F575" s="1">
        <v>4.3499999999999996</v>
      </c>
      <c r="H575" s="1" t="str">
        <f t="shared" si="30"/>
        <v>2005</v>
      </c>
      <c r="I575" s="12" t="s">
        <v>519</v>
      </c>
    </row>
    <row r="576" spans="1:9">
      <c r="A576" s="1" t="s">
        <v>145</v>
      </c>
      <c r="B576" s="1">
        <v>18.61</v>
      </c>
      <c r="C576" s="1">
        <v>0</v>
      </c>
      <c r="D576" s="1">
        <v>140.25</v>
      </c>
      <c r="E576" s="1">
        <v>0</v>
      </c>
      <c r="F576" s="1">
        <v>28.07</v>
      </c>
      <c r="H576" s="1" t="str">
        <f t="shared" si="30"/>
        <v>2005</v>
      </c>
      <c r="I576" s="12" t="s">
        <v>519</v>
      </c>
    </row>
    <row r="577" spans="1:9">
      <c r="A577" s="1" t="s">
        <v>146</v>
      </c>
      <c r="B577" s="1">
        <v>16.239999999999998</v>
      </c>
      <c r="C577" s="1">
        <v>1.39</v>
      </c>
      <c r="D577" s="1">
        <v>365.56</v>
      </c>
      <c r="E577" s="1">
        <v>0.9</v>
      </c>
      <c r="F577" s="1">
        <v>15.29</v>
      </c>
      <c r="H577" s="1" t="str">
        <f t="shared" si="30"/>
        <v>2005</v>
      </c>
      <c r="I577" s="12" t="s">
        <v>519</v>
      </c>
    </row>
    <row r="578" spans="1:9">
      <c r="A578" s="1" t="s">
        <v>147</v>
      </c>
      <c r="B578" s="1">
        <v>98.01</v>
      </c>
      <c r="C578" s="1">
        <v>0.92</v>
      </c>
      <c r="D578" s="1">
        <v>194.41</v>
      </c>
      <c r="E578" s="1">
        <v>0</v>
      </c>
      <c r="F578" s="1">
        <v>54.95</v>
      </c>
      <c r="H578" s="1" t="str">
        <f t="shared" si="30"/>
        <v>2005</v>
      </c>
      <c r="I578" s="12" t="s">
        <v>519</v>
      </c>
    </row>
    <row r="579" spans="1:9">
      <c r="A579" s="1" t="s">
        <v>518</v>
      </c>
    </row>
    <row r="580" spans="1:9">
      <c r="A580" s="1" t="s">
        <v>20</v>
      </c>
      <c r="B580" s="1">
        <v>61.74</v>
      </c>
      <c r="C580" s="1">
        <v>63.01</v>
      </c>
      <c r="D580" s="1">
        <v>62.03</v>
      </c>
      <c r="E580" s="1">
        <v>61.84</v>
      </c>
      <c r="F580" s="1">
        <v>35.89</v>
      </c>
      <c r="H580" s="1" t="str">
        <f>H562</f>
        <v>2005</v>
      </c>
      <c r="I580" s="12" t="s">
        <v>148</v>
      </c>
    </row>
    <row r="581" spans="1:9">
      <c r="A581" s="1" t="s">
        <v>17</v>
      </c>
      <c r="B581" s="1">
        <v>59.78</v>
      </c>
      <c r="C581" s="1">
        <v>61.05</v>
      </c>
      <c r="D581" s="1">
        <v>60.07</v>
      </c>
      <c r="E581" s="1">
        <v>59.88</v>
      </c>
      <c r="F581" s="1">
        <v>33.93</v>
      </c>
      <c r="H581" s="1" t="str">
        <f t="shared" ref="H581:H596" si="31">H563</f>
        <v>2005</v>
      </c>
      <c r="I581" s="12" t="s">
        <v>148</v>
      </c>
    </row>
    <row r="582" spans="1:9">
      <c r="A582" s="1" t="s">
        <v>10</v>
      </c>
      <c r="B582" s="1">
        <v>50.83</v>
      </c>
      <c r="C582" s="1">
        <v>52.1</v>
      </c>
      <c r="D582" s="1">
        <v>51.12</v>
      </c>
      <c r="E582" s="1">
        <v>53.51</v>
      </c>
      <c r="F582" s="1">
        <v>50.61</v>
      </c>
      <c r="H582" s="1" t="str">
        <f t="shared" si="31"/>
        <v>2005</v>
      </c>
      <c r="I582" s="12" t="s">
        <v>148</v>
      </c>
    </row>
    <row r="583" spans="1:9">
      <c r="A583" s="1" t="s">
        <v>11</v>
      </c>
      <c r="B583" s="1">
        <v>52.34</v>
      </c>
      <c r="C583" s="1">
        <v>50.45</v>
      </c>
      <c r="D583" s="1">
        <v>50.89</v>
      </c>
      <c r="E583" s="1">
        <v>61.33</v>
      </c>
      <c r="F583" s="1">
        <v>59.05</v>
      </c>
      <c r="H583" s="1" t="str">
        <f t="shared" si="31"/>
        <v>2005</v>
      </c>
      <c r="I583" s="12" t="s">
        <v>148</v>
      </c>
    </row>
    <row r="584" spans="1:9">
      <c r="A584" s="1" t="s">
        <v>32</v>
      </c>
      <c r="B584" s="1">
        <v>36.299999999999997</v>
      </c>
      <c r="C584" s="1">
        <v>39.200000000000003</v>
      </c>
      <c r="D584" s="1">
        <v>39.200000000000003</v>
      </c>
      <c r="E584" s="1">
        <v>38.43</v>
      </c>
      <c r="F584" s="1">
        <v>32.56</v>
      </c>
      <c r="H584" s="1" t="str">
        <f t="shared" si="31"/>
        <v>2005</v>
      </c>
      <c r="I584" s="12" t="s">
        <v>148</v>
      </c>
    </row>
    <row r="585" spans="1:9">
      <c r="A585" s="1" t="s">
        <v>31</v>
      </c>
      <c r="B585" s="1">
        <v>34.79</v>
      </c>
      <c r="C585" s="1">
        <v>37.590000000000003</v>
      </c>
      <c r="D585" s="1">
        <v>38.11</v>
      </c>
      <c r="E585" s="1">
        <v>37.14</v>
      </c>
      <c r="F585" s="1">
        <v>32.799999999999997</v>
      </c>
      <c r="H585" s="1" t="str">
        <f t="shared" si="31"/>
        <v>2005</v>
      </c>
      <c r="I585" s="12" t="s">
        <v>148</v>
      </c>
    </row>
    <row r="586" spans="1:9">
      <c r="A586" s="1" t="s">
        <v>266</v>
      </c>
      <c r="B586" s="1">
        <v>44.02</v>
      </c>
      <c r="C586" s="1">
        <v>43.72</v>
      </c>
      <c r="D586" s="1">
        <v>43.27</v>
      </c>
      <c r="E586" s="1">
        <v>55.7</v>
      </c>
      <c r="F586" s="1">
        <v>51.43</v>
      </c>
      <c r="H586" s="1" t="str">
        <f t="shared" si="31"/>
        <v>2005</v>
      </c>
      <c r="I586" s="12" t="s">
        <v>148</v>
      </c>
    </row>
    <row r="587" spans="1:9">
      <c r="A587" s="1" t="s">
        <v>269</v>
      </c>
      <c r="B587" s="1">
        <v>28.81</v>
      </c>
      <c r="C587" s="1">
        <v>28.81</v>
      </c>
      <c r="D587" s="1">
        <v>28.81</v>
      </c>
      <c r="E587" s="1">
        <v>28.81</v>
      </c>
      <c r="F587" s="1">
        <v>28.81</v>
      </c>
      <c r="H587" s="1" t="str">
        <f t="shared" si="31"/>
        <v>2005</v>
      </c>
      <c r="I587" s="12" t="s">
        <v>148</v>
      </c>
    </row>
    <row r="588" spans="1:9">
      <c r="A588" s="1" t="s">
        <v>30</v>
      </c>
      <c r="B588" s="1">
        <v>37.479999999999997</v>
      </c>
      <c r="C588" s="1">
        <v>37.119999999999997</v>
      </c>
      <c r="D588" s="1">
        <v>36.340000000000003</v>
      </c>
      <c r="E588" s="1">
        <v>36.28</v>
      </c>
      <c r="F588" s="1">
        <v>28.81</v>
      </c>
      <c r="H588" s="1" t="str">
        <f t="shared" si="31"/>
        <v>2005</v>
      </c>
      <c r="I588" s="12" t="s">
        <v>148</v>
      </c>
    </row>
    <row r="589" spans="1:9">
      <c r="A589" s="1" t="s">
        <v>26</v>
      </c>
      <c r="B589" s="1">
        <v>59.93</v>
      </c>
      <c r="C589" s="1">
        <v>59.93</v>
      </c>
      <c r="D589" s="1">
        <v>60.59</v>
      </c>
      <c r="E589" s="1">
        <v>60.09</v>
      </c>
      <c r="F589" s="1">
        <v>60.09</v>
      </c>
      <c r="H589" s="1" t="str">
        <f t="shared" si="31"/>
        <v>2005</v>
      </c>
      <c r="I589" s="12" t="s">
        <v>148</v>
      </c>
    </row>
    <row r="590" spans="1:9">
      <c r="A590" s="1" t="s">
        <v>271</v>
      </c>
      <c r="B590" s="1">
        <v>48.28</v>
      </c>
      <c r="C590" s="1">
        <v>47.45</v>
      </c>
      <c r="D590" s="1">
        <v>46.99</v>
      </c>
      <c r="E590" s="1">
        <v>48.97</v>
      </c>
      <c r="F590" s="1">
        <v>46.56</v>
      </c>
      <c r="H590" s="1" t="str">
        <f t="shared" si="31"/>
        <v>2005</v>
      </c>
      <c r="I590" s="12" t="s">
        <v>148</v>
      </c>
    </row>
    <row r="591" spans="1:9">
      <c r="A591" s="1" t="s">
        <v>143</v>
      </c>
      <c r="B591" s="1">
        <v>60.65</v>
      </c>
      <c r="C591" s="1">
        <v>58.57</v>
      </c>
      <c r="D591" s="1">
        <v>58.16</v>
      </c>
      <c r="E591" s="1">
        <v>60.83</v>
      </c>
      <c r="F591" s="1">
        <v>58.19</v>
      </c>
      <c r="H591" s="1" t="str">
        <f t="shared" si="31"/>
        <v>2005</v>
      </c>
      <c r="I591" s="12" t="s">
        <v>148</v>
      </c>
    </row>
    <row r="592" spans="1:9">
      <c r="A592" s="1" t="s">
        <v>144</v>
      </c>
      <c r="B592" s="1">
        <v>52.75</v>
      </c>
      <c r="C592" s="1">
        <v>52.07</v>
      </c>
      <c r="D592" s="1">
        <v>51.76</v>
      </c>
      <c r="E592" s="1">
        <v>56.99</v>
      </c>
      <c r="F592" s="1">
        <v>55.34</v>
      </c>
      <c r="H592" s="1" t="str">
        <f t="shared" si="31"/>
        <v>2005</v>
      </c>
      <c r="I592" s="12" t="s">
        <v>148</v>
      </c>
    </row>
    <row r="593" spans="1:9">
      <c r="A593" s="1" t="s">
        <v>14</v>
      </c>
      <c r="B593" s="1">
        <v>57.53</v>
      </c>
      <c r="C593" s="1">
        <v>57.76</v>
      </c>
      <c r="D593" s="1">
        <v>56.78</v>
      </c>
      <c r="E593" s="1">
        <v>68.39</v>
      </c>
      <c r="F593" s="1">
        <v>64.040000000000006</v>
      </c>
      <c r="H593" s="1" t="str">
        <f t="shared" si="31"/>
        <v>2005</v>
      </c>
      <c r="I593" s="12" t="s">
        <v>148</v>
      </c>
    </row>
    <row r="594" spans="1:9">
      <c r="A594" s="1" t="s">
        <v>145</v>
      </c>
      <c r="B594" s="1">
        <v>26.15</v>
      </c>
      <c r="C594" s="1">
        <v>26.25</v>
      </c>
      <c r="D594" s="1">
        <v>25.81</v>
      </c>
      <c r="E594" s="1">
        <v>31.09</v>
      </c>
      <c r="F594" s="1">
        <v>29.11</v>
      </c>
      <c r="H594" s="1" t="str">
        <f t="shared" si="31"/>
        <v>2005</v>
      </c>
      <c r="I594" s="12" t="s">
        <v>148</v>
      </c>
    </row>
    <row r="595" spans="1:9">
      <c r="A595" s="1" t="s">
        <v>146</v>
      </c>
      <c r="B595" s="1">
        <v>31.96</v>
      </c>
      <c r="C595" s="1">
        <v>32.090000000000003</v>
      </c>
      <c r="D595" s="1">
        <v>31.55</v>
      </c>
      <c r="E595" s="1">
        <v>38</v>
      </c>
      <c r="F595" s="1">
        <v>35.58</v>
      </c>
      <c r="H595" s="1" t="str">
        <f t="shared" si="31"/>
        <v>2005</v>
      </c>
      <c r="I595" s="12" t="s">
        <v>148</v>
      </c>
    </row>
    <row r="596" spans="1:9">
      <c r="A596" s="1" t="s">
        <v>147</v>
      </c>
      <c r="B596" s="1">
        <v>23.97</v>
      </c>
      <c r="C596" s="1">
        <v>24.07</v>
      </c>
      <c r="D596" s="1">
        <v>23.66</v>
      </c>
      <c r="E596" s="1">
        <v>28.5</v>
      </c>
      <c r="F596" s="1">
        <v>26.68</v>
      </c>
      <c r="H596" s="1" t="str">
        <f t="shared" si="31"/>
        <v>2005</v>
      </c>
      <c r="I596" s="12" t="s">
        <v>148</v>
      </c>
    </row>
    <row r="597" spans="1:9">
      <c r="A597" s="1" t="s">
        <v>164</v>
      </c>
    </row>
    <row r="598" spans="1:9">
      <c r="A598" s="1" t="s">
        <v>517</v>
      </c>
    </row>
    <row r="599" spans="1:9">
      <c r="A599" s="1" t="s">
        <v>20</v>
      </c>
      <c r="B599" s="1">
        <v>93</v>
      </c>
      <c r="C599" s="1">
        <v>0</v>
      </c>
      <c r="E599" s="1">
        <v>0</v>
      </c>
      <c r="F599" s="1">
        <v>0</v>
      </c>
      <c r="H599" s="1" t="str">
        <f>RIGHT(A597,4)</f>
        <v>2006</v>
      </c>
      <c r="I599" s="12" t="s">
        <v>519</v>
      </c>
    </row>
    <row r="600" spans="1:9">
      <c r="A600" s="1" t="s">
        <v>17</v>
      </c>
      <c r="B600" s="1">
        <v>290.97000000000003</v>
      </c>
      <c r="C600" s="1">
        <v>0.73</v>
      </c>
      <c r="D600" s="1">
        <v>27.96</v>
      </c>
      <c r="E600" s="1">
        <v>0</v>
      </c>
      <c r="F600" s="1">
        <v>16.760000000000002</v>
      </c>
      <c r="H600" s="1" t="str">
        <f>H599</f>
        <v>2006</v>
      </c>
      <c r="I600" s="12" t="s">
        <v>519</v>
      </c>
    </row>
    <row r="601" spans="1:9">
      <c r="A601" s="1" t="s">
        <v>10</v>
      </c>
      <c r="B601" s="1">
        <v>136.93</v>
      </c>
      <c r="C601" s="1">
        <v>0.92</v>
      </c>
      <c r="D601" s="1">
        <v>9.19</v>
      </c>
      <c r="E601" s="1">
        <v>0.56999999999999995</v>
      </c>
      <c r="F601" s="1">
        <v>6.62</v>
      </c>
      <c r="H601" s="1" t="str">
        <f t="shared" ref="H601:H615" si="32">H600</f>
        <v>2006</v>
      </c>
      <c r="I601" s="12" t="s">
        <v>519</v>
      </c>
    </row>
    <row r="602" spans="1:9">
      <c r="A602" s="1" t="s">
        <v>11</v>
      </c>
      <c r="B602" s="1">
        <v>45.6</v>
      </c>
      <c r="C602" s="1">
        <v>3.04</v>
      </c>
      <c r="D602" s="1">
        <v>4.45</v>
      </c>
      <c r="E602" s="1">
        <v>5.23</v>
      </c>
      <c r="F602" s="1">
        <v>8.06</v>
      </c>
      <c r="H602" s="1" t="str">
        <f t="shared" si="32"/>
        <v>2006</v>
      </c>
      <c r="I602" s="12" t="s">
        <v>519</v>
      </c>
    </row>
    <row r="603" spans="1:9">
      <c r="A603" s="1" t="s">
        <v>32</v>
      </c>
      <c r="B603" s="1">
        <v>63.6</v>
      </c>
      <c r="C603" s="1">
        <v>1.45</v>
      </c>
      <c r="D603" s="1">
        <v>17.39</v>
      </c>
      <c r="E603" s="1">
        <v>0</v>
      </c>
      <c r="F603" s="1">
        <v>15.24</v>
      </c>
      <c r="H603" s="1" t="str">
        <f t="shared" si="32"/>
        <v>2006</v>
      </c>
      <c r="I603" s="12" t="s">
        <v>519</v>
      </c>
    </row>
    <row r="604" spans="1:9">
      <c r="A604" s="1" t="s">
        <v>31</v>
      </c>
      <c r="B604" s="1">
        <v>128.25</v>
      </c>
      <c r="C604" s="1">
        <v>2.0499999999999998</v>
      </c>
      <c r="D604" s="1">
        <v>29.95</v>
      </c>
      <c r="E604" s="1">
        <v>0</v>
      </c>
      <c r="F604" s="1">
        <v>27.12</v>
      </c>
      <c r="H604" s="1" t="str">
        <f t="shared" si="32"/>
        <v>2006</v>
      </c>
      <c r="I604" s="12" t="s">
        <v>519</v>
      </c>
    </row>
    <row r="605" spans="1:9">
      <c r="A605" s="1" t="s">
        <v>266</v>
      </c>
      <c r="B605" s="1">
        <v>65.67</v>
      </c>
      <c r="C605" s="1">
        <v>1.36</v>
      </c>
      <c r="D605" s="1">
        <v>5.1100000000000003</v>
      </c>
      <c r="E605" s="1">
        <v>0</v>
      </c>
      <c r="F605" s="1">
        <v>62.86</v>
      </c>
      <c r="H605" s="1" t="str">
        <f t="shared" si="32"/>
        <v>2006</v>
      </c>
      <c r="I605" s="12" t="s">
        <v>519</v>
      </c>
    </row>
    <row r="606" spans="1:9">
      <c r="A606" s="1" t="s">
        <v>269</v>
      </c>
      <c r="B606" s="1">
        <v>77.08</v>
      </c>
      <c r="C606" s="1">
        <v>95.17</v>
      </c>
      <c r="D606" s="1">
        <v>136.5</v>
      </c>
      <c r="E606" s="1">
        <v>9.17</v>
      </c>
      <c r="F606" s="1">
        <v>2</v>
      </c>
      <c r="H606" s="1" t="str">
        <f t="shared" si="32"/>
        <v>2006</v>
      </c>
      <c r="I606" s="12" t="s">
        <v>519</v>
      </c>
    </row>
    <row r="607" spans="1:9">
      <c r="A607" s="1" t="s">
        <v>30</v>
      </c>
      <c r="B607" s="1">
        <v>4</v>
      </c>
      <c r="C607" s="1">
        <v>4.5999999999999996</v>
      </c>
      <c r="D607" s="1">
        <v>300.2</v>
      </c>
      <c r="E607" s="1">
        <v>0</v>
      </c>
      <c r="F607" s="1">
        <v>3.33</v>
      </c>
      <c r="H607" s="1" t="str">
        <f t="shared" si="32"/>
        <v>2006</v>
      </c>
      <c r="I607" s="12" t="s">
        <v>519</v>
      </c>
    </row>
    <row r="608" spans="1:9">
      <c r="A608" s="1" t="s">
        <v>26</v>
      </c>
      <c r="B608" s="1">
        <v>46</v>
      </c>
      <c r="C608" s="1">
        <v>7.11</v>
      </c>
      <c r="D608" s="1">
        <v>23</v>
      </c>
      <c r="E608" s="1">
        <v>1.02</v>
      </c>
      <c r="F608" s="1">
        <v>32</v>
      </c>
      <c r="H608" s="1" t="str">
        <f t="shared" si="32"/>
        <v>2006</v>
      </c>
      <c r="I608" s="12" t="s">
        <v>519</v>
      </c>
    </row>
    <row r="609" spans="1:9">
      <c r="A609" s="1" t="s">
        <v>271</v>
      </c>
      <c r="B609" s="1">
        <v>0.63</v>
      </c>
      <c r="C609" s="1">
        <v>0</v>
      </c>
      <c r="D609" s="1">
        <v>0</v>
      </c>
      <c r="E609" s="1">
        <v>0</v>
      </c>
      <c r="F609" s="1">
        <v>0.87</v>
      </c>
      <c r="H609" s="1" t="str">
        <f t="shared" si="32"/>
        <v>2006</v>
      </c>
      <c r="I609" s="12" t="s">
        <v>519</v>
      </c>
    </row>
    <row r="610" spans="1:9">
      <c r="A610" s="1" t="s">
        <v>143</v>
      </c>
      <c r="B610" s="1">
        <v>12</v>
      </c>
      <c r="C610" s="1">
        <v>0</v>
      </c>
      <c r="D610" s="1">
        <v>1</v>
      </c>
      <c r="E610" s="1">
        <v>0</v>
      </c>
      <c r="F610" s="1">
        <v>0</v>
      </c>
      <c r="H610" s="1" t="str">
        <f t="shared" si="32"/>
        <v>2006</v>
      </c>
      <c r="I610" s="12" t="s">
        <v>519</v>
      </c>
    </row>
    <row r="611" spans="1:9">
      <c r="A611" s="1" t="s">
        <v>144</v>
      </c>
      <c r="B611" s="1">
        <v>250.61</v>
      </c>
      <c r="C611" s="1">
        <v>0</v>
      </c>
      <c r="D611" s="1">
        <v>6.51</v>
      </c>
      <c r="E611" s="1">
        <v>0</v>
      </c>
      <c r="F611" s="1">
        <v>6.83</v>
      </c>
      <c r="H611" s="1" t="str">
        <f t="shared" si="32"/>
        <v>2006</v>
      </c>
      <c r="I611" s="12" t="s">
        <v>519</v>
      </c>
    </row>
    <row r="612" spans="1:9">
      <c r="A612" s="1" t="s">
        <v>14</v>
      </c>
      <c r="B612" s="1">
        <v>48</v>
      </c>
      <c r="C612" s="1">
        <v>0</v>
      </c>
      <c r="D612" s="1">
        <v>5.3</v>
      </c>
      <c r="E612" s="1">
        <v>0</v>
      </c>
      <c r="F612" s="1">
        <v>16</v>
      </c>
      <c r="H612" s="1" t="str">
        <f t="shared" si="32"/>
        <v>2006</v>
      </c>
      <c r="I612" s="12" t="s">
        <v>519</v>
      </c>
    </row>
    <row r="613" spans="1:9">
      <c r="A613" s="1" t="s">
        <v>145</v>
      </c>
      <c r="B613" s="1">
        <v>18.89</v>
      </c>
      <c r="C613" s="1">
        <v>0</v>
      </c>
      <c r="D613" s="1">
        <v>142.36000000000001</v>
      </c>
      <c r="E613" s="1">
        <v>0</v>
      </c>
      <c r="F613" s="1">
        <v>28.49</v>
      </c>
      <c r="H613" s="1" t="str">
        <f t="shared" si="32"/>
        <v>2006</v>
      </c>
      <c r="I613" s="12" t="s">
        <v>519</v>
      </c>
    </row>
    <row r="614" spans="1:9">
      <c r="A614" s="1" t="s">
        <v>146</v>
      </c>
      <c r="B614" s="1">
        <v>16.48</v>
      </c>
      <c r="C614" s="1">
        <v>1.41</v>
      </c>
      <c r="D614" s="1">
        <v>371.04</v>
      </c>
      <c r="E614" s="1">
        <v>0.92</v>
      </c>
      <c r="F614" s="1">
        <v>15.52</v>
      </c>
      <c r="H614" s="1" t="str">
        <f t="shared" si="32"/>
        <v>2006</v>
      </c>
      <c r="I614" s="12" t="s">
        <v>519</v>
      </c>
    </row>
    <row r="615" spans="1:9">
      <c r="A615" s="1" t="s">
        <v>147</v>
      </c>
      <c r="B615" s="1">
        <v>99.48</v>
      </c>
      <c r="C615" s="1">
        <v>0.93</v>
      </c>
      <c r="D615" s="1">
        <v>197.33</v>
      </c>
      <c r="E615" s="1">
        <v>0</v>
      </c>
      <c r="F615" s="1">
        <v>55.77</v>
      </c>
      <c r="H615" s="1" t="str">
        <f t="shared" si="32"/>
        <v>2006</v>
      </c>
      <c r="I615" s="12" t="s">
        <v>519</v>
      </c>
    </row>
    <row r="616" spans="1:9">
      <c r="A616" s="1" t="s">
        <v>518</v>
      </c>
    </row>
    <row r="617" spans="1:9">
      <c r="A617" s="1" t="s">
        <v>20</v>
      </c>
      <c r="B617" s="1">
        <v>63</v>
      </c>
      <c r="C617" s="1">
        <v>64.290000000000006</v>
      </c>
      <c r="D617" s="1">
        <v>63.3</v>
      </c>
      <c r="E617" s="1">
        <v>63.1</v>
      </c>
      <c r="F617" s="1">
        <v>36.619999999999997</v>
      </c>
      <c r="H617" s="1" t="str">
        <f>H599</f>
        <v>2006</v>
      </c>
      <c r="I617" s="12" t="s">
        <v>148</v>
      </c>
    </row>
    <row r="618" spans="1:9">
      <c r="A618" s="1" t="s">
        <v>17</v>
      </c>
      <c r="B618" s="1">
        <v>61</v>
      </c>
      <c r="C618" s="1">
        <v>62.29</v>
      </c>
      <c r="D618" s="1">
        <v>61.3</v>
      </c>
      <c r="E618" s="1">
        <v>61.1</v>
      </c>
      <c r="F618" s="1">
        <v>34.619999999999997</v>
      </c>
      <c r="H618" s="1" t="str">
        <f t="shared" ref="H618:H633" si="33">H600</f>
        <v>2006</v>
      </c>
      <c r="I618" s="12" t="s">
        <v>148</v>
      </c>
    </row>
    <row r="619" spans="1:9">
      <c r="A619" s="1" t="s">
        <v>10</v>
      </c>
      <c r="B619" s="1">
        <v>51.87</v>
      </c>
      <c r="C619" s="1">
        <v>53.16</v>
      </c>
      <c r="D619" s="1">
        <v>52.16</v>
      </c>
      <c r="E619" s="1">
        <v>54.61</v>
      </c>
      <c r="F619" s="1">
        <v>51.64</v>
      </c>
      <c r="H619" s="1" t="str">
        <f t="shared" si="33"/>
        <v>2006</v>
      </c>
      <c r="I619" s="12" t="s">
        <v>148</v>
      </c>
    </row>
    <row r="620" spans="1:9">
      <c r="A620" s="1" t="s">
        <v>11</v>
      </c>
      <c r="B620" s="1">
        <v>53.41</v>
      </c>
      <c r="C620" s="1">
        <v>51.48</v>
      </c>
      <c r="D620" s="1">
        <v>51.93</v>
      </c>
      <c r="E620" s="1">
        <v>62.58</v>
      </c>
      <c r="F620" s="1">
        <v>60.25</v>
      </c>
      <c r="H620" s="1" t="str">
        <f t="shared" si="33"/>
        <v>2006</v>
      </c>
      <c r="I620" s="12" t="s">
        <v>148</v>
      </c>
    </row>
    <row r="621" spans="1:9">
      <c r="A621" s="1" t="s">
        <v>32</v>
      </c>
      <c r="B621" s="1">
        <v>37.04</v>
      </c>
      <c r="C621" s="1">
        <v>40</v>
      </c>
      <c r="D621" s="1">
        <v>40</v>
      </c>
      <c r="E621" s="1">
        <v>39.21</v>
      </c>
      <c r="F621" s="1">
        <v>33.229999999999997</v>
      </c>
      <c r="H621" s="1" t="str">
        <f t="shared" si="33"/>
        <v>2006</v>
      </c>
      <c r="I621" s="12" t="s">
        <v>148</v>
      </c>
    </row>
    <row r="622" spans="1:9">
      <c r="A622" s="1" t="s">
        <v>31</v>
      </c>
      <c r="B622" s="1">
        <v>35.5</v>
      </c>
      <c r="C622" s="1">
        <v>38.35</v>
      </c>
      <c r="D622" s="1">
        <v>38.89</v>
      </c>
      <c r="E622" s="1">
        <v>37.89</v>
      </c>
      <c r="F622" s="1">
        <v>33.47</v>
      </c>
      <c r="H622" s="1" t="str">
        <f t="shared" si="33"/>
        <v>2006</v>
      </c>
      <c r="I622" s="12" t="s">
        <v>148</v>
      </c>
    </row>
    <row r="623" spans="1:9">
      <c r="A623" s="1" t="s">
        <v>266</v>
      </c>
      <c r="B623" s="1">
        <v>44.91</v>
      </c>
      <c r="C623" s="1">
        <v>44.61</v>
      </c>
      <c r="D623" s="1">
        <v>44.16</v>
      </c>
      <c r="E623" s="1">
        <v>56.84</v>
      </c>
      <c r="F623" s="1">
        <v>52.48</v>
      </c>
      <c r="H623" s="1" t="str">
        <f t="shared" si="33"/>
        <v>2006</v>
      </c>
      <c r="I623" s="12" t="s">
        <v>148</v>
      </c>
    </row>
    <row r="624" spans="1:9">
      <c r="A624" s="1" t="s">
        <v>269</v>
      </c>
      <c r="B624" s="1">
        <v>29.4</v>
      </c>
      <c r="C624" s="1">
        <v>29.4</v>
      </c>
      <c r="D624" s="1">
        <v>29.4</v>
      </c>
      <c r="E624" s="1">
        <v>29.4</v>
      </c>
      <c r="F624" s="1">
        <v>29.4</v>
      </c>
      <c r="H624" s="1" t="str">
        <f t="shared" si="33"/>
        <v>2006</v>
      </c>
      <c r="I624" s="12" t="s">
        <v>148</v>
      </c>
    </row>
    <row r="625" spans="1:9">
      <c r="A625" s="1" t="s">
        <v>30</v>
      </c>
      <c r="B625" s="1">
        <v>38.24</v>
      </c>
      <c r="C625" s="1">
        <v>37.880000000000003</v>
      </c>
      <c r="D625" s="1">
        <v>37.08</v>
      </c>
      <c r="E625" s="1">
        <v>37.020000000000003</v>
      </c>
      <c r="F625" s="1">
        <v>29.4</v>
      </c>
      <c r="H625" s="1" t="str">
        <f t="shared" si="33"/>
        <v>2006</v>
      </c>
      <c r="I625" s="12" t="s">
        <v>148</v>
      </c>
    </row>
    <row r="626" spans="1:9">
      <c r="A626" s="1" t="s">
        <v>26</v>
      </c>
      <c r="B626" s="1">
        <v>61.15</v>
      </c>
      <c r="C626" s="1">
        <v>61.15</v>
      </c>
      <c r="D626" s="1">
        <v>61.83</v>
      </c>
      <c r="E626" s="1">
        <v>61.32</v>
      </c>
      <c r="F626" s="1">
        <v>61.32</v>
      </c>
      <c r="H626" s="1" t="str">
        <f t="shared" si="33"/>
        <v>2006</v>
      </c>
      <c r="I626" s="12" t="s">
        <v>148</v>
      </c>
    </row>
    <row r="627" spans="1:9">
      <c r="A627" s="1" t="s">
        <v>271</v>
      </c>
      <c r="B627" s="1">
        <v>49.26</v>
      </c>
      <c r="C627" s="1">
        <v>48.42</v>
      </c>
      <c r="D627" s="1">
        <v>47.95</v>
      </c>
      <c r="E627" s="1">
        <v>49.97</v>
      </c>
      <c r="F627" s="1">
        <v>47.51</v>
      </c>
      <c r="H627" s="1" t="str">
        <f t="shared" si="33"/>
        <v>2006</v>
      </c>
      <c r="I627" s="12" t="s">
        <v>148</v>
      </c>
    </row>
    <row r="628" spans="1:9">
      <c r="A628" s="1" t="s">
        <v>143</v>
      </c>
      <c r="B628" s="1">
        <v>61.89</v>
      </c>
      <c r="C628" s="1">
        <v>59.77</v>
      </c>
      <c r="D628" s="1">
        <v>59.35</v>
      </c>
      <c r="E628" s="1">
        <v>62.07</v>
      </c>
      <c r="F628" s="1">
        <v>59.38</v>
      </c>
      <c r="H628" s="1" t="str">
        <f t="shared" si="33"/>
        <v>2006</v>
      </c>
      <c r="I628" s="12" t="s">
        <v>148</v>
      </c>
    </row>
    <row r="629" spans="1:9">
      <c r="A629" s="1" t="s">
        <v>144</v>
      </c>
      <c r="B629" s="1">
        <v>53.83</v>
      </c>
      <c r="C629" s="1">
        <v>53.14</v>
      </c>
      <c r="D629" s="1">
        <v>52.81</v>
      </c>
      <c r="E629" s="1">
        <v>58.15</v>
      </c>
      <c r="F629" s="1">
        <v>56.47</v>
      </c>
      <c r="H629" s="1" t="str">
        <f t="shared" si="33"/>
        <v>2006</v>
      </c>
      <c r="I629" s="12" t="s">
        <v>148</v>
      </c>
    </row>
    <row r="630" spans="1:9">
      <c r="A630" s="1" t="s">
        <v>14</v>
      </c>
      <c r="B630" s="1">
        <v>58.7</v>
      </c>
      <c r="C630" s="1">
        <v>58.94</v>
      </c>
      <c r="D630" s="1">
        <v>57.94</v>
      </c>
      <c r="E630" s="1">
        <v>69.790000000000006</v>
      </c>
      <c r="F630" s="1">
        <v>65.34</v>
      </c>
      <c r="H630" s="1" t="str">
        <f t="shared" si="33"/>
        <v>2006</v>
      </c>
      <c r="I630" s="12" t="s">
        <v>148</v>
      </c>
    </row>
    <row r="631" spans="1:9">
      <c r="A631" s="1" t="s">
        <v>145</v>
      </c>
      <c r="B631" s="1">
        <v>26.68</v>
      </c>
      <c r="C631" s="1">
        <v>26.79</v>
      </c>
      <c r="D631" s="1">
        <v>26.34</v>
      </c>
      <c r="E631" s="1">
        <v>31.72</v>
      </c>
      <c r="F631" s="1">
        <v>29.7</v>
      </c>
      <c r="H631" s="1" t="str">
        <f t="shared" si="33"/>
        <v>2006</v>
      </c>
      <c r="I631" s="12" t="s">
        <v>148</v>
      </c>
    </row>
    <row r="632" spans="1:9">
      <c r="A632" s="1" t="s">
        <v>146</v>
      </c>
      <c r="B632" s="1">
        <v>32.61</v>
      </c>
      <c r="C632" s="1">
        <v>32.74</v>
      </c>
      <c r="D632" s="1">
        <v>32.19</v>
      </c>
      <c r="E632" s="1">
        <v>38.770000000000003</v>
      </c>
      <c r="F632" s="1">
        <v>36.299999999999997</v>
      </c>
      <c r="H632" s="1" t="str">
        <f t="shared" si="33"/>
        <v>2006</v>
      </c>
      <c r="I632" s="12" t="s">
        <v>148</v>
      </c>
    </row>
    <row r="633" spans="1:9">
      <c r="A633" s="1" t="s">
        <v>147</v>
      </c>
      <c r="B633" s="1">
        <v>24.46</v>
      </c>
      <c r="C633" s="1">
        <v>24.56</v>
      </c>
      <c r="D633" s="1">
        <v>24.14</v>
      </c>
      <c r="E633" s="1">
        <v>29.08</v>
      </c>
      <c r="F633" s="1">
        <v>27.23</v>
      </c>
      <c r="H633" s="1" t="str">
        <f t="shared" si="33"/>
        <v>2006</v>
      </c>
      <c r="I633" s="12" t="s">
        <v>148</v>
      </c>
    </row>
    <row r="634" spans="1:9">
      <c r="A634" s="1" t="s">
        <v>165</v>
      </c>
    </row>
    <row r="635" spans="1:9">
      <c r="A635" s="1" t="s">
        <v>517</v>
      </c>
    </row>
    <row r="636" spans="1:9">
      <c r="A636" s="1" t="s">
        <v>20</v>
      </c>
      <c r="B636" s="1">
        <v>0</v>
      </c>
      <c r="C636" s="1">
        <v>0</v>
      </c>
      <c r="D636" s="1">
        <v>0</v>
      </c>
      <c r="E636" s="1">
        <v>0</v>
      </c>
      <c r="F636" s="1">
        <v>0</v>
      </c>
      <c r="H636" s="1" t="str">
        <f>RIGHT(A634,4)</f>
        <v>2007</v>
      </c>
      <c r="I636" s="12" t="s">
        <v>519</v>
      </c>
    </row>
    <row r="637" spans="1:9">
      <c r="A637" s="1" t="s">
        <v>17</v>
      </c>
      <c r="B637" s="1">
        <v>347</v>
      </c>
      <c r="C637" s="1">
        <v>1</v>
      </c>
      <c r="D637" s="1">
        <v>30</v>
      </c>
      <c r="E637" s="1">
        <v>0</v>
      </c>
      <c r="F637" s="1">
        <v>34</v>
      </c>
      <c r="H637" s="1" t="str">
        <f>H636</f>
        <v>2007</v>
      </c>
      <c r="I637" s="12" t="s">
        <v>519</v>
      </c>
    </row>
    <row r="638" spans="1:9">
      <c r="A638" s="1" t="s">
        <v>10</v>
      </c>
      <c r="B638" s="1">
        <v>97</v>
      </c>
      <c r="C638" s="1">
        <v>1</v>
      </c>
      <c r="D638" s="1">
        <v>16</v>
      </c>
      <c r="E638" s="1">
        <v>1</v>
      </c>
      <c r="F638" s="1">
        <v>2</v>
      </c>
      <c r="H638" s="1" t="str">
        <f t="shared" ref="H638:H652" si="34">H637</f>
        <v>2007</v>
      </c>
      <c r="I638" s="12" t="s">
        <v>519</v>
      </c>
    </row>
    <row r="639" spans="1:9">
      <c r="A639" s="1" t="s">
        <v>11</v>
      </c>
      <c r="B639" s="1">
        <v>5</v>
      </c>
      <c r="C639" s="1">
        <v>2</v>
      </c>
      <c r="D639" s="1">
        <v>1</v>
      </c>
      <c r="E639" s="1">
        <v>1</v>
      </c>
      <c r="F639" s="1">
        <v>3</v>
      </c>
      <c r="H639" s="1" t="str">
        <f t="shared" si="34"/>
        <v>2007</v>
      </c>
      <c r="I639" s="12" t="s">
        <v>519</v>
      </c>
    </row>
    <row r="640" spans="1:9">
      <c r="A640" s="1" t="s">
        <v>32</v>
      </c>
      <c r="B640" s="1">
        <v>73</v>
      </c>
      <c r="C640" s="1">
        <v>4</v>
      </c>
      <c r="D640" s="1">
        <v>52</v>
      </c>
      <c r="E640" s="1">
        <v>0</v>
      </c>
      <c r="F640" s="1">
        <v>5</v>
      </c>
      <c r="H640" s="1" t="str">
        <f t="shared" si="34"/>
        <v>2007</v>
      </c>
      <c r="I640" s="12" t="s">
        <v>519</v>
      </c>
    </row>
    <row r="641" spans="1:9">
      <c r="A641" s="1" t="s">
        <v>31</v>
      </c>
      <c r="B641" s="1">
        <v>141</v>
      </c>
      <c r="C641" s="1">
        <v>3</v>
      </c>
      <c r="D641" s="1">
        <v>64</v>
      </c>
      <c r="E641" s="1">
        <v>0</v>
      </c>
      <c r="F641" s="1">
        <v>29</v>
      </c>
      <c r="H641" s="1" t="str">
        <f t="shared" si="34"/>
        <v>2007</v>
      </c>
      <c r="I641" s="12" t="s">
        <v>519</v>
      </c>
    </row>
    <row r="642" spans="1:9">
      <c r="A642" s="1" t="s">
        <v>266</v>
      </c>
      <c r="B642" s="1">
        <v>97</v>
      </c>
      <c r="C642" s="1">
        <v>0</v>
      </c>
      <c r="D642" s="1">
        <v>4</v>
      </c>
      <c r="E642" s="1">
        <v>0</v>
      </c>
      <c r="F642" s="1">
        <v>115</v>
      </c>
      <c r="H642" s="1" t="str">
        <f t="shared" si="34"/>
        <v>2007</v>
      </c>
      <c r="I642" s="12" t="s">
        <v>519</v>
      </c>
    </row>
    <row r="643" spans="1:9">
      <c r="A643" s="1" t="s">
        <v>269</v>
      </c>
      <c r="B643" s="1">
        <v>68</v>
      </c>
      <c r="C643" s="1">
        <v>90</v>
      </c>
      <c r="D643" s="1">
        <v>75</v>
      </c>
      <c r="E643" s="1">
        <v>12</v>
      </c>
      <c r="F643" s="1">
        <v>3</v>
      </c>
      <c r="H643" s="1" t="str">
        <f t="shared" si="34"/>
        <v>2007</v>
      </c>
      <c r="I643" s="12" t="s">
        <v>519</v>
      </c>
    </row>
    <row r="644" spans="1:9">
      <c r="A644" s="1" t="s">
        <v>30</v>
      </c>
      <c r="B644" s="1">
        <v>5</v>
      </c>
      <c r="C644" s="1">
        <v>5</v>
      </c>
      <c r="D644" s="1">
        <v>233</v>
      </c>
      <c r="E644" s="1">
        <v>0</v>
      </c>
      <c r="F644" s="1">
        <v>2</v>
      </c>
      <c r="H644" s="1" t="str">
        <f t="shared" si="34"/>
        <v>2007</v>
      </c>
      <c r="I644" s="12" t="s">
        <v>519</v>
      </c>
    </row>
    <row r="645" spans="1:9">
      <c r="A645" s="1" t="s">
        <v>26</v>
      </c>
      <c r="B645" s="1">
        <v>55</v>
      </c>
      <c r="C645" s="1">
        <v>12</v>
      </c>
      <c r="D645" s="1">
        <v>31</v>
      </c>
      <c r="E645" s="1">
        <v>3</v>
      </c>
      <c r="F645" s="1">
        <v>6</v>
      </c>
      <c r="H645" s="1" t="str">
        <f t="shared" si="34"/>
        <v>2007</v>
      </c>
      <c r="I645" s="12" t="s">
        <v>519</v>
      </c>
    </row>
    <row r="646" spans="1:9">
      <c r="A646" s="1" t="s">
        <v>271</v>
      </c>
      <c r="B646" s="1">
        <v>0.63</v>
      </c>
      <c r="C646" s="1">
        <v>0</v>
      </c>
      <c r="D646" s="1">
        <v>0</v>
      </c>
      <c r="E646" s="1">
        <v>0</v>
      </c>
      <c r="F646" s="1">
        <v>0.87</v>
      </c>
      <c r="H646" s="1" t="str">
        <f t="shared" si="34"/>
        <v>2007</v>
      </c>
      <c r="I646" s="12" t="s">
        <v>519</v>
      </c>
    </row>
    <row r="647" spans="1:9">
      <c r="A647" s="1" t="s">
        <v>143</v>
      </c>
      <c r="B647" s="1">
        <v>12</v>
      </c>
      <c r="C647" s="1">
        <v>0</v>
      </c>
      <c r="D647" s="1">
        <v>1</v>
      </c>
      <c r="E647" s="1">
        <v>0</v>
      </c>
      <c r="F647" s="1">
        <v>0</v>
      </c>
      <c r="H647" s="1" t="str">
        <f t="shared" si="34"/>
        <v>2007</v>
      </c>
      <c r="I647" s="12" t="s">
        <v>519</v>
      </c>
    </row>
    <row r="648" spans="1:9">
      <c r="A648" s="1" t="s">
        <v>144</v>
      </c>
      <c r="B648" s="1">
        <v>261</v>
      </c>
      <c r="C648" s="1">
        <v>0</v>
      </c>
      <c r="D648" s="1">
        <v>1</v>
      </c>
      <c r="E648" s="1">
        <v>0</v>
      </c>
      <c r="F648" s="1">
        <v>7</v>
      </c>
      <c r="H648" s="1" t="str">
        <f t="shared" si="34"/>
        <v>2007</v>
      </c>
      <c r="I648" s="12" t="s">
        <v>519</v>
      </c>
    </row>
    <row r="649" spans="1:9">
      <c r="A649" s="1" t="s">
        <v>14</v>
      </c>
      <c r="B649" s="1">
        <v>129</v>
      </c>
      <c r="C649" s="1">
        <v>3</v>
      </c>
      <c r="D649" s="1">
        <v>8</v>
      </c>
      <c r="E649" s="1">
        <v>5</v>
      </c>
      <c r="F649" s="1">
        <v>29</v>
      </c>
      <c r="H649" s="1" t="str">
        <f t="shared" si="34"/>
        <v>2007</v>
      </c>
      <c r="I649" s="12" t="s">
        <v>519</v>
      </c>
    </row>
    <row r="650" spans="1:9">
      <c r="A650" s="1" t="s">
        <v>145</v>
      </c>
      <c r="B650" s="1">
        <v>43</v>
      </c>
      <c r="C650" s="1">
        <v>0</v>
      </c>
      <c r="D650" s="1">
        <v>160</v>
      </c>
      <c r="E650" s="1">
        <v>0</v>
      </c>
      <c r="F650" s="1">
        <v>2</v>
      </c>
      <c r="H650" s="1" t="str">
        <f t="shared" si="34"/>
        <v>2007</v>
      </c>
      <c r="I650" s="12" t="s">
        <v>519</v>
      </c>
    </row>
    <row r="651" spans="1:9">
      <c r="A651" s="1" t="s">
        <v>146</v>
      </c>
      <c r="B651" s="1">
        <v>24</v>
      </c>
      <c r="C651" s="1">
        <v>0</v>
      </c>
      <c r="D651" s="1">
        <v>65</v>
      </c>
      <c r="E651" s="1">
        <v>0</v>
      </c>
      <c r="F651" s="1">
        <v>7</v>
      </c>
      <c r="H651" s="1" t="str">
        <f t="shared" si="34"/>
        <v>2007</v>
      </c>
      <c r="I651" s="12" t="s">
        <v>519</v>
      </c>
    </row>
    <row r="652" spans="1:9">
      <c r="A652" s="1" t="s">
        <v>147</v>
      </c>
      <c r="B652" s="1">
        <v>100</v>
      </c>
      <c r="C652" s="1">
        <v>1</v>
      </c>
      <c r="D652" s="1">
        <v>253</v>
      </c>
      <c r="E652" s="1">
        <v>0</v>
      </c>
      <c r="F652" s="1">
        <v>61</v>
      </c>
      <c r="H652" s="1" t="str">
        <f t="shared" si="34"/>
        <v>2007</v>
      </c>
      <c r="I652" s="12" t="s">
        <v>519</v>
      </c>
    </row>
    <row r="653" spans="1:9">
      <c r="A653" s="1" t="s">
        <v>518</v>
      </c>
    </row>
    <row r="654" spans="1:9">
      <c r="A654" s="1" t="s">
        <v>20</v>
      </c>
      <c r="B654" s="1">
        <v>63</v>
      </c>
      <c r="C654" s="1">
        <v>64.290000000000006</v>
      </c>
      <c r="D654" s="1">
        <v>63.3</v>
      </c>
      <c r="E654" s="1">
        <v>63.1</v>
      </c>
      <c r="F654" s="1">
        <v>36.619999999999997</v>
      </c>
      <c r="H654" s="1" t="str">
        <f>H636</f>
        <v>2007</v>
      </c>
      <c r="I654" s="12" t="s">
        <v>148</v>
      </c>
    </row>
    <row r="655" spans="1:9">
      <c r="A655" s="1" t="s">
        <v>17</v>
      </c>
      <c r="B655" s="1">
        <v>61</v>
      </c>
      <c r="C655" s="1">
        <v>62.29</v>
      </c>
      <c r="D655" s="1">
        <v>61.3</v>
      </c>
      <c r="E655" s="1">
        <v>61.1</v>
      </c>
      <c r="F655" s="1">
        <v>34.619999999999997</v>
      </c>
      <c r="H655" s="1" t="str">
        <f t="shared" ref="H655:H670" si="35">H637</f>
        <v>2007</v>
      </c>
      <c r="I655" s="12" t="s">
        <v>148</v>
      </c>
    </row>
    <row r="656" spans="1:9">
      <c r="A656" s="1" t="s">
        <v>10</v>
      </c>
      <c r="B656" s="1">
        <v>51.87</v>
      </c>
      <c r="C656" s="1">
        <v>53.16</v>
      </c>
      <c r="D656" s="1">
        <v>52.16</v>
      </c>
      <c r="E656" s="1">
        <v>54.61</v>
      </c>
      <c r="F656" s="1">
        <v>51.64</v>
      </c>
      <c r="H656" s="1" t="str">
        <f t="shared" si="35"/>
        <v>2007</v>
      </c>
      <c r="I656" s="12" t="s">
        <v>148</v>
      </c>
    </row>
    <row r="657" spans="1:9">
      <c r="A657" s="1" t="s">
        <v>11</v>
      </c>
      <c r="B657" s="1">
        <v>53.41</v>
      </c>
      <c r="C657" s="1">
        <v>51.48</v>
      </c>
      <c r="D657" s="1">
        <v>51.93</v>
      </c>
      <c r="E657" s="1">
        <v>62.58</v>
      </c>
      <c r="F657" s="1">
        <v>60.25</v>
      </c>
      <c r="H657" s="1" t="str">
        <f t="shared" si="35"/>
        <v>2007</v>
      </c>
      <c r="I657" s="12" t="s">
        <v>148</v>
      </c>
    </row>
    <row r="658" spans="1:9">
      <c r="A658" s="1" t="s">
        <v>32</v>
      </c>
      <c r="B658" s="1">
        <v>37.04</v>
      </c>
      <c r="C658" s="1">
        <v>40</v>
      </c>
      <c r="D658" s="1">
        <v>40</v>
      </c>
      <c r="E658" s="1">
        <v>39.21</v>
      </c>
      <c r="F658" s="1">
        <v>33.229999999999997</v>
      </c>
      <c r="H658" s="1" t="str">
        <f t="shared" si="35"/>
        <v>2007</v>
      </c>
      <c r="I658" s="12" t="s">
        <v>148</v>
      </c>
    </row>
    <row r="659" spans="1:9">
      <c r="A659" s="1" t="s">
        <v>31</v>
      </c>
      <c r="B659" s="1">
        <v>35.5</v>
      </c>
      <c r="C659" s="1">
        <v>38.35</v>
      </c>
      <c r="D659" s="1">
        <v>38.89</v>
      </c>
      <c r="E659" s="1">
        <v>37.89</v>
      </c>
      <c r="F659" s="1">
        <v>33.47</v>
      </c>
      <c r="H659" s="1" t="str">
        <f t="shared" si="35"/>
        <v>2007</v>
      </c>
      <c r="I659" s="12" t="s">
        <v>148</v>
      </c>
    </row>
    <row r="660" spans="1:9">
      <c r="A660" s="1" t="s">
        <v>266</v>
      </c>
      <c r="B660" s="1">
        <v>44.91</v>
      </c>
      <c r="C660" s="1">
        <v>44.61</v>
      </c>
      <c r="D660" s="1">
        <v>44.16</v>
      </c>
      <c r="E660" s="1">
        <v>56.84</v>
      </c>
      <c r="F660" s="1">
        <v>52.48</v>
      </c>
      <c r="H660" s="1" t="str">
        <f t="shared" si="35"/>
        <v>2007</v>
      </c>
      <c r="I660" s="12" t="s">
        <v>148</v>
      </c>
    </row>
    <row r="661" spans="1:9">
      <c r="A661" s="1" t="s">
        <v>269</v>
      </c>
      <c r="B661" s="1">
        <v>29.4</v>
      </c>
      <c r="C661" s="1">
        <v>29.4</v>
      </c>
      <c r="D661" s="1">
        <v>29.4</v>
      </c>
      <c r="E661" s="1">
        <v>29.4</v>
      </c>
      <c r="F661" s="1">
        <v>29.4</v>
      </c>
      <c r="H661" s="1" t="str">
        <f t="shared" si="35"/>
        <v>2007</v>
      </c>
      <c r="I661" s="12" t="s">
        <v>148</v>
      </c>
    </row>
    <row r="662" spans="1:9">
      <c r="A662" s="1" t="s">
        <v>30</v>
      </c>
      <c r="B662" s="1">
        <v>38.24</v>
      </c>
      <c r="C662" s="1">
        <v>37.880000000000003</v>
      </c>
      <c r="D662" s="1">
        <v>37.08</v>
      </c>
      <c r="E662" s="1">
        <v>37.020000000000003</v>
      </c>
      <c r="F662" s="1">
        <v>29.4</v>
      </c>
      <c r="H662" s="1" t="str">
        <f t="shared" si="35"/>
        <v>2007</v>
      </c>
      <c r="I662" s="12" t="s">
        <v>148</v>
      </c>
    </row>
    <row r="663" spans="1:9">
      <c r="A663" s="1" t="s">
        <v>26</v>
      </c>
      <c r="B663" s="1">
        <v>61.15</v>
      </c>
      <c r="C663" s="1">
        <v>61.15</v>
      </c>
      <c r="D663" s="1">
        <v>61.83</v>
      </c>
      <c r="E663" s="1">
        <v>61.32</v>
      </c>
      <c r="F663" s="1">
        <v>61.32</v>
      </c>
      <c r="H663" s="1" t="str">
        <f t="shared" si="35"/>
        <v>2007</v>
      </c>
      <c r="I663" s="12" t="s">
        <v>148</v>
      </c>
    </row>
    <row r="664" spans="1:9">
      <c r="A664" s="1" t="s">
        <v>271</v>
      </c>
      <c r="B664" s="1">
        <v>49.26</v>
      </c>
      <c r="C664" s="1">
        <v>48.42</v>
      </c>
      <c r="D664" s="1">
        <v>47.95</v>
      </c>
      <c r="E664" s="1">
        <v>49.97</v>
      </c>
      <c r="F664" s="1">
        <v>47.51</v>
      </c>
      <c r="H664" s="1" t="str">
        <f t="shared" si="35"/>
        <v>2007</v>
      </c>
      <c r="I664" s="12" t="s">
        <v>148</v>
      </c>
    </row>
    <row r="665" spans="1:9">
      <c r="A665" s="1" t="s">
        <v>143</v>
      </c>
      <c r="B665" s="1">
        <v>61.89</v>
      </c>
      <c r="C665" s="1">
        <v>59.77</v>
      </c>
      <c r="D665" s="1">
        <v>59.35</v>
      </c>
      <c r="E665" s="1">
        <v>62.07</v>
      </c>
      <c r="F665" s="1">
        <v>59.38</v>
      </c>
      <c r="H665" s="1" t="str">
        <f t="shared" si="35"/>
        <v>2007</v>
      </c>
      <c r="I665" s="12" t="s">
        <v>148</v>
      </c>
    </row>
    <row r="666" spans="1:9">
      <c r="A666" s="1" t="s">
        <v>144</v>
      </c>
      <c r="B666" s="1">
        <v>53.83</v>
      </c>
      <c r="C666" s="1">
        <v>53.14</v>
      </c>
      <c r="D666" s="1">
        <v>52.81</v>
      </c>
      <c r="E666" s="1">
        <v>58.15</v>
      </c>
      <c r="F666" s="1">
        <v>56.47</v>
      </c>
      <c r="H666" s="1" t="str">
        <f t="shared" si="35"/>
        <v>2007</v>
      </c>
      <c r="I666" s="12" t="s">
        <v>148</v>
      </c>
    </row>
    <row r="667" spans="1:9">
      <c r="A667" s="1" t="s">
        <v>14</v>
      </c>
      <c r="B667" s="1">
        <v>58.7</v>
      </c>
      <c r="C667" s="1">
        <v>58.94</v>
      </c>
      <c r="D667" s="1">
        <v>57.94</v>
      </c>
      <c r="E667" s="1">
        <v>69.790000000000006</v>
      </c>
      <c r="F667" s="1">
        <v>65.34</v>
      </c>
      <c r="H667" s="1" t="str">
        <f t="shared" si="35"/>
        <v>2007</v>
      </c>
      <c r="I667" s="12" t="s">
        <v>148</v>
      </c>
    </row>
    <row r="668" spans="1:9">
      <c r="A668" s="1" t="s">
        <v>145</v>
      </c>
      <c r="B668" s="1">
        <v>26.68</v>
      </c>
      <c r="C668" s="1">
        <v>26.79</v>
      </c>
      <c r="D668" s="1">
        <v>26.34</v>
      </c>
      <c r="E668" s="1">
        <v>31.72</v>
      </c>
      <c r="F668" s="1">
        <v>29.7</v>
      </c>
      <c r="H668" s="1" t="str">
        <f t="shared" si="35"/>
        <v>2007</v>
      </c>
      <c r="I668" s="12" t="s">
        <v>148</v>
      </c>
    </row>
    <row r="669" spans="1:9">
      <c r="A669" s="1" t="s">
        <v>146</v>
      </c>
      <c r="B669" s="1">
        <v>32.61</v>
      </c>
      <c r="C669" s="1">
        <v>32.74</v>
      </c>
      <c r="D669" s="1">
        <v>32.19</v>
      </c>
      <c r="E669" s="1">
        <v>38.770000000000003</v>
      </c>
      <c r="F669" s="1">
        <v>36.299999999999997</v>
      </c>
      <c r="H669" s="1" t="str">
        <f t="shared" si="35"/>
        <v>2007</v>
      </c>
      <c r="I669" s="12" t="s">
        <v>148</v>
      </c>
    </row>
    <row r="670" spans="1:9">
      <c r="A670" s="1" t="s">
        <v>147</v>
      </c>
      <c r="B670" s="1">
        <v>24.46</v>
      </c>
      <c r="C670" s="1">
        <v>24.56</v>
      </c>
      <c r="D670" s="1">
        <v>24.14</v>
      </c>
      <c r="E670" s="1">
        <v>29.08</v>
      </c>
      <c r="F670" s="1">
        <v>27.23</v>
      </c>
      <c r="H670" s="1" t="str">
        <f t="shared" si="35"/>
        <v>2007</v>
      </c>
      <c r="I670" s="12" t="s">
        <v>148</v>
      </c>
    </row>
    <row r="671" spans="1:9">
      <c r="A671" s="1" t="s">
        <v>166</v>
      </c>
    </row>
    <row r="672" spans="1:9">
      <c r="A672" s="1" t="s">
        <v>517</v>
      </c>
    </row>
    <row r="673" spans="1:9">
      <c r="A673" s="1" t="s">
        <v>20</v>
      </c>
      <c r="B673" s="1">
        <v>0</v>
      </c>
      <c r="C673" s="1">
        <v>0</v>
      </c>
      <c r="D673" s="1">
        <v>0</v>
      </c>
      <c r="E673" s="1">
        <v>0</v>
      </c>
      <c r="F673" s="1">
        <v>2</v>
      </c>
      <c r="H673" s="1" t="str">
        <f>RIGHT(A671,4)</f>
        <v>2008</v>
      </c>
      <c r="I673" s="12" t="s">
        <v>519</v>
      </c>
    </row>
    <row r="674" spans="1:9">
      <c r="A674" s="1" t="s">
        <v>17</v>
      </c>
      <c r="B674" s="1">
        <v>243</v>
      </c>
      <c r="C674" s="1">
        <v>1</v>
      </c>
      <c r="D674" s="1">
        <v>42</v>
      </c>
      <c r="E674" s="1">
        <v>0</v>
      </c>
      <c r="F674" s="1">
        <v>22</v>
      </c>
      <c r="H674" s="1" t="str">
        <f>H673</f>
        <v>2008</v>
      </c>
      <c r="I674" s="12" t="s">
        <v>519</v>
      </c>
    </row>
    <row r="675" spans="1:9">
      <c r="A675" s="1" t="s">
        <v>10</v>
      </c>
      <c r="B675" s="1">
        <v>60</v>
      </c>
      <c r="C675" s="1">
        <v>0</v>
      </c>
      <c r="D675" s="1">
        <v>12</v>
      </c>
      <c r="E675" s="1">
        <v>0</v>
      </c>
      <c r="F675" s="1">
        <v>4</v>
      </c>
      <c r="H675" s="1" t="str">
        <f t="shared" ref="H675:H689" si="36">H674</f>
        <v>2008</v>
      </c>
      <c r="I675" s="12" t="s">
        <v>519</v>
      </c>
    </row>
    <row r="676" spans="1:9">
      <c r="A676" s="1" t="s">
        <v>11</v>
      </c>
      <c r="B676" s="1">
        <v>13</v>
      </c>
      <c r="C676" s="1">
        <v>2</v>
      </c>
      <c r="D676" s="1">
        <v>1</v>
      </c>
      <c r="E676" s="1">
        <v>0</v>
      </c>
      <c r="F676" s="1">
        <v>0</v>
      </c>
      <c r="H676" s="1" t="str">
        <f t="shared" si="36"/>
        <v>2008</v>
      </c>
      <c r="I676" s="12" t="s">
        <v>519</v>
      </c>
    </row>
    <row r="677" spans="1:9">
      <c r="A677" s="1" t="s">
        <v>32</v>
      </c>
      <c r="B677" s="1">
        <v>48</v>
      </c>
      <c r="C677" s="1">
        <v>2</v>
      </c>
      <c r="D677" s="1">
        <v>25</v>
      </c>
      <c r="E677" s="1">
        <v>0</v>
      </c>
      <c r="F677" s="1">
        <v>4</v>
      </c>
      <c r="H677" s="1" t="str">
        <f t="shared" si="36"/>
        <v>2008</v>
      </c>
      <c r="I677" s="12" t="s">
        <v>519</v>
      </c>
    </row>
    <row r="678" spans="1:9">
      <c r="A678" s="1" t="s">
        <v>31</v>
      </c>
      <c r="B678" s="1">
        <v>152</v>
      </c>
      <c r="C678" s="1">
        <v>3</v>
      </c>
      <c r="D678" s="1">
        <v>85</v>
      </c>
      <c r="E678" s="1">
        <v>0</v>
      </c>
      <c r="F678" s="1">
        <v>30</v>
      </c>
      <c r="H678" s="1" t="str">
        <f t="shared" si="36"/>
        <v>2008</v>
      </c>
      <c r="I678" s="12" t="s">
        <v>519</v>
      </c>
    </row>
    <row r="679" spans="1:9">
      <c r="A679" s="1" t="s">
        <v>266</v>
      </c>
      <c r="B679" s="1">
        <v>74</v>
      </c>
      <c r="C679" s="1">
        <v>0</v>
      </c>
      <c r="D679" s="1">
        <v>1</v>
      </c>
      <c r="E679" s="1">
        <v>0</v>
      </c>
      <c r="F679" s="1">
        <v>28</v>
      </c>
      <c r="H679" s="1" t="str">
        <f t="shared" si="36"/>
        <v>2008</v>
      </c>
      <c r="I679" s="12" t="s">
        <v>519</v>
      </c>
    </row>
    <row r="680" spans="1:9">
      <c r="A680" s="1" t="s">
        <v>269</v>
      </c>
      <c r="B680" s="1">
        <v>73</v>
      </c>
      <c r="C680" s="1">
        <v>98</v>
      </c>
      <c r="D680" s="1">
        <v>62</v>
      </c>
      <c r="E680" s="1">
        <v>16</v>
      </c>
      <c r="F680" s="1">
        <v>4</v>
      </c>
      <c r="H680" s="1" t="str">
        <f t="shared" si="36"/>
        <v>2008</v>
      </c>
      <c r="I680" s="12" t="s">
        <v>519</v>
      </c>
    </row>
    <row r="681" spans="1:9">
      <c r="A681" s="1" t="s">
        <v>30</v>
      </c>
      <c r="B681" s="1">
        <v>9</v>
      </c>
      <c r="C681" s="1">
        <v>4</v>
      </c>
      <c r="D681" s="1">
        <v>201</v>
      </c>
      <c r="E681" s="1">
        <v>0</v>
      </c>
      <c r="F681" s="1">
        <v>2</v>
      </c>
      <c r="H681" s="1" t="str">
        <f t="shared" si="36"/>
        <v>2008</v>
      </c>
      <c r="I681" s="12" t="s">
        <v>519</v>
      </c>
    </row>
    <row r="682" spans="1:9">
      <c r="A682" s="1" t="s">
        <v>26</v>
      </c>
      <c r="B682" s="1">
        <v>34.5</v>
      </c>
      <c r="C682" s="1">
        <v>12.33</v>
      </c>
      <c r="D682" s="1">
        <v>32.33</v>
      </c>
      <c r="E682" s="1">
        <v>2.71</v>
      </c>
      <c r="F682" s="1">
        <v>5.5</v>
      </c>
      <c r="H682" s="1" t="str">
        <f t="shared" si="36"/>
        <v>2008</v>
      </c>
      <c r="I682" s="12" t="s">
        <v>519</v>
      </c>
    </row>
    <row r="683" spans="1:9">
      <c r="A683" s="1" t="s">
        <v>271</v>
      </c>
      <c r="B683" s="1">
        <v>0.53</v>
      </c>
      <c r="C683" s="1">
        <v>0</v>
      </c>
      <c r="D683" s="1">
        <v>0</v>
      </c>
      <c r="E683" s="1">
        <v>0</v>
      </c>
      <c r="F683" s="1">
        <v>0.73</v>
      </c>
      <c r="H683" s="1" t="str">
        <f t="shared" si="36"/>
        <v>2008</v>
      </c>
      <c r="I683" s="12" t="s">
        <v>519</v>
      </c>
    </row>
    <row r="684" spans="1:9">
      <c r="A684" s="1" t="s">
        <v>143</v>
      </c>
      <c r="B684" s="1">
        <v>0</v>
      </c>
      <c r="C684" s="1">
        <v>0</v>
      </c>
      <c r="D684" s="1">
        <v>0</v>
      </c>
      <c r="E684" s="1">
        <v>0</v>
      </c>
      <c r="F684" s="1">
        <v>0</v>
      </c>
      <c r="H684" s="1" t="str">
        <f t="shared" si="36"/>
        <v>2008</v>
      </c>
      <c r="I684" s="12" t="s">
        <v>519</v>
      </c>
    </row>
    <row r="685" spans="1:9">
      <c r="A685" s="1" t="s">
        <v>144</v>
      </c>
      <c r="B685" s="1">
        <v>229</v>
      </c>
      <c r="C685" s="1">
        <v>0</v>
      </c>
      <c r="D685" s="1">
        <v>0</v>
      </c>
      <c r="E685" s="1">
        <v>0</v>
      </c>
      <c r="F685" s="1">
        <v>0</v>
      </c>
      <c r="H685" s="1" t="str">
        <f t="shared" si="36"/>
        <v>2008</v>
      </c>
      <c r="I685" s="12" t="s">
        <v>519</v>
      </c>
    </row>
    <row r="686" spans="1:9">
      <c r="A686" s="1" t="s">
        <v>14</v>
      </c>
      <c r="B686" s="1">
        <v>110</v>
      </c>
      <c r="C686" s="1">
        <v>2</v>
      </c>
      <c r="D686" s="1">
        <v>3</v>
      </c>
      <c r="E686" s="1">
        <v>3</v>
      </c>
      <c r="F686" s="1">
        <v>6</v>
      </c>
      <c r="H686" s="1" t="str">
        <f t="shared" si="36"/>
        <v>2008</v>
      </c>
      <c r="I686" s="12" t="s">
        <v>519</v>
      </c>
    </row>
    <row r="687" spans="1:9">
      <c r="A687" s="1" t="s">
        <v>145</v>
      </c>
      <c r="B687" s="1">
        <v>38</v>
      </c>
      <c r="C687" s="1">
        <v>0</v>
      </c>
      <c r="D687" s="1">
        <v>220</v>
      </c>
      <c r="E687" s="1">
        <v>0</v>
      </c>
      <c r="F687" s="1">
        <v>2</v>
      </c>
      <c r="H687" s="1" t="str">
        <f t="shared" si="36"/>
        <v>2008</v>
      </c>
      <c r="I687" s="12" t="s">
        <v>519</v>
      </c>
    </row>
    <row r="688" spans="1:9">
      <c r="A688" s="1" t="s">
        <v>146</v>
      </c>
      <c r="B688" s="1">
        <v>29</v>
      </c>
      <c r="C688" s="1">
        <v>0</v>
      </c>
      <c r="D688" s="1">
        <v>69</v>
      </c>
      <c r="E688" s="1">
        <v>0</v>
      </c>
      <c r="F688" s="1">
        <v>5</v>
      </c>
      <c r="H688" s="1" t="str">
        <f t="shared" si="36"/>
        <v>2008</v>
      </c>
      <c r="I688" s="12" t="s">
        <v>519</v>
      </c>
    </row>
    <row r="689" spans="1:9">
      <c r="A689" s="1" t="s">
        <v>147</v>
      </c>
      <c r="B689" s="1">
        <v>106</v>
      </c>
      <c r="C689" s="1">
        <v>1</v>
      </c>
      <c r="D689" s="1">
        <v>242</v>
      </c>
      <c r="E689" s="1">
        <v>0</v>
      </c>
      <c r="F689" s="1">
        <v>50</v>
      </c>
      <c r="H689" s="1" t="str">
        <f t="shared" si="36"/>
        <v>2008</v>
      </c>
      <c r="I689" s="12" t="s">
        <v>519</v>
      </c>
    </row>
    <row r="690" spans="1:9">
      <c r="A690" s="1" t="s">
        <v>518</v>
      </c>
    </row>
    <row r="691" spans="1:9">
      <c r="A691" s="1" t="s">
        <v>20</v>
      </c>
      <c r="B691" s="1">
        <v>113.56</v>
      </c>
      <c r="C691" s="1">
        <v>113.5</v>
      </c>
      <c r="D691" s="1">
        <v>113.56</v>
      </c>
      <c r="E691" s="1">
        <v>113.3</v>
      </c>
      <c r="F691" s="1">
        <v>113.5</v>
      </c>
      <c r="H691" s="1" t="str">
        <f>H673</f>
        <v>2008</v>
      </c>
      <c r="I691" s="12" t="s">
        <v>148</v>
      </c>
    </row>
    <row r="692" spans="1:9">
      <c r="A692" s="1" t="s">
        <v>17</v>
      </c>
      <c r="B692" s="1">
        <v>21.42</v>
      </c>
      <c r="C692" s="1">
        <v>52.45</v>
      </c>
      <c r="D692" s="1">
        <v>51.68</v>
      </c>
      <c r="E692" s="1">
        <v>51.49</v>
      </c>
      <c r="F692" s="1">
        <v>28.6</v>
      </c>
      <c r="H692" s="1" t="str">
        <f t="shared" ref="H692:H707" si="37">H674</f>
        <v>2008</v>
      </c>
      <c r="I692" s="12" t="s">
        <v>148</v>
      </c>
    </row>
    <row r="693" spans="1:9">
      <c r="A693" s="1" t="s">
        <v>10</v>
      </c>
      <c r="B693" s="1">
        <v>47.65</v>
      </c>
      <c r="C693" s="1">
        <v>54.31</v>
      </c>
      <c r="D693" s="1">
        <v>53.35</v>
      </c>
      <c r="E693" s="1">
        <v>40.46</v>
      </c>
      <c r="F693" s="1">
        <v>47.27</v>
      </c>
      <c r="H693" s="1" t="str">
        <f t="shared" si="37"/>
        <v>2008</v>
      </c>
      <c r="I693" s="12" t="s">
        <v>148</v>
      </c>
    </row>
    <row r="694" spans="1:9">
      <c r="A694" s="1" t="s">
        <v>11</v>
      </c>
      <c r="B694" s="1">
        <v>48.67</v>
      </c>
      <c r="C694" s="1">
        <v>46.46</v>
      </c>
      <c r="D694" s="1">
        <v>47.27</v>
      </c>
      <c r="E694" s="1">
        <v>49.4</v>
      </c>
      <c r="F694" s="1">
        <v>45.87</v>
      </c>
      <c r="H694" s="1" t="str">
        <f t="shared" si="37"/>
        <v>2008</v>
      </c>
      <c r="I694" s="12" t="s">
        <v>148</v>
      </c>
    </row>
    <row r="695" spans="1:9">
      <c r="A695" s="1" t="s">
        <v>32</v>
      </c>
      <c r="B695" s="1">
        <v>31.53</v>
      </c>
      <c r="C695" s="1">
        <v>30.88</v>
      </c>
      <c r="D695" s="1">
        <v>30.79</v>
      </c>
      <c r="E695" s="1">
        <v>31.46</v>
      </c>
      <c r="F695" s="1">
        <v>27.76</v>
      </c>
      <c r="H695" s="1" t="str">
        <f t="shared" si="37"/>
        <v>2008</v>
      </c>
      <c r="I695" s="12" t="s">
        <v>148</v>
      </c>
    </row>
    <row r="696" spans="1:9">
      <c r="A696" s="1" t="s">
        <v>31</v>
      </c>
      <c r="B696" s="1">
        <v>36.1</v>
      </c>
      <c r="C696" s="1">
        <v>30.83</v>
      </c>
      <c r="D696" s="1">
        <v>31.34</v>
      </c>
      <c r="E696" s="1">
        <v>32.11</v>
      </c>
      <c r="F696" s="1">
        <v>28.95</v>
      </c>
      <c r="H696" s="1" t="str">
        <f t="shared" si="37"/>
        <v>2008</v>
      </c>
      <c r="I696" s="12" t="s">
        <v>148</v>
      </c>
    </row>
    <row r="697" spans="1:9">
      <c r="A697" s="1" t="s">
        <v>266</v>
      </c>
      <c r="B697" s="1">
        <v>34.31</v>
      </c>
      <c r="C697" s="1">
        <v>34.729999999999997</v>
      </c>
      <c r="D697" s="1">
        <v>33.76</v>
      </c>
      <c r="E697" s="1">
        <v>36.46</v>
      </c>
      <c r="F697" s="1">
        <v>35.97</v>
      </c>
      <c r="H697" s="1" t="str">
        <f t="shared" si="37"/>
        <v>2008</v>
      </c>
      <c r="I697" s="12" t="s">
        <v>148</v>
      </c>
    </row>
    <row r="698" spans="1:9">
      <c r="A698" s="1" t="s">
        <v>269</v>
      </c>
      <c r="B698" s="1">
        <v>28.5</v>
      </c>
      <c r="C698" s="1">
        <v>28.5</v>
      </c>
      <c r="D698" s="1">
        <v>28.5</v>
      </c>
      <c r="E698" s="1">
        <v>28.5</v>
      </c>
      <c r="F698" s="1">
        <v>28.5</v>
      </c>
      <c r="H698" s="1" t="str">
        <f t="shared" si="37"/>
        <v>2008</v>
      </c>
      <c r="I698" s="12" t="s">
        <v>148</v>
      </c>
    </row>
    <row r="699" spans="1:9">
      <c r="A699" s="1" t="s">
        <v>30</v>
      </c>
      <c r="B699" s="1">
        <v>18.84</v>
      </c>
      <c r="C699" s="1">
        <v>19.87</v>
      </c>
      <c r="D699" s="1">
        <v>19.93</v>
      </c>
      <c r="E699" s="1">
        <v>19.059999999999999</v>
      </c>
      <c r="F699" s="1">
        <v>28.5</v>
      </c>
      <c r="H699" s="1" t="str">
        <f t="shared" si="37"/>
        <v>2008</v>
      </c>
      <c r="I699" s="12" t="s">
        <v>148</v>
      </c>
    </row>
    <row r="700" spans="1:9">
      <c r="A700" s="1" t="s">
        <v>26</v>
      </c>
      <c r="B700" s="1">
        <v>32.94</v>
      </c>
      <c r="C700" s="1">
        <v>32.94</v>
      </c>
      <c r="D700" s="1">
        <v>33.58</v>
      </c>
      <c r="E700" s="1">
        <v>33.090000000000003</v>
      </c>
      <c r="F700" s="1">
        <v>33.090000000000003</v>
      </c>
      <c r="H700" s="1" t="str">
        <f t="shared" si="37"/>
        <v>2008</v>
      </c>
      <c r="I700" s="12" t="s">
        <v>148</v>
      </c>
    </row>
    <row r="701" spans="1:9">
      <c r="A701" s="1" t="s">
        <v>271</v>
      </c>
      <c r="B701" s="1">
        <v>47.76</v>
      </c>
      <c r="C701" s="1">
        <v>46.94</v>
      </c>
      <c r="D701" s="1">
        <v>46.48</v>
      </c>
      <c r="E701" s="1">
        <v>48.44</v>
      </c>
      <c r="F701" s="1">
        <v>46.06</v>
      </c>
      <c r="H701" s="1" t="str">
        <f t="shared" si="37"/>
        <v>2008</v>
      </c>
      <c r="I701" s="12" t="s">
        <v>148</v>
      </c>
    </row>
    <row r="702" spans="1:9">
      <c r="A702" s="1" t="s">
        <v>143</v>
      </c>
      <c r="B702" s="1">
        <v>59.99</v>
      </c>
      <c r="C702" s="1">
        <v>57.94</v>
      </c>
      <c r="D702" s="1">
        <v>57.53</v>
      </c>
      <c r="E702" s="1">
        <v>60.17</v>
      </c>
      <c r="F702" s="1">
        <v>57.56</v>
      </c>
      <c r="H702" s="1" t="str">
        <f t="shared" si="37"/>
        <v>2008</v>
      </c>
      <c r="I702" s="12" t="s">
        <v>148</v>
      </c>
    </row>
    <row r="703" spans="1:9">
      <c r="A703" s="1" t="s">
        <v>144</v>
      </c>
      <c r="B703" s="1">
        <v>34.409999999999997</v>
      </c>
      <c r="C703" s="1">
        <v>37.18</v>
      </c>
      <c r="D703" s="1">
        <v>37.700000000000003</v>
      </c>
      <c r="E703" s="1">
        <v>36.729999999999997</v>
      </c>
      <c r="F703" s="1">
        <v>32.450000000000003</v>
      </c>
      <c r="H703" s="1" t="str">
        <f t="shared" si="37"/>
        <v>2008</v>
      </c>
      <c r="I703" s="12" t="s">
        <v>148</v>
      </c>
    </row>
    <row r="704" spans="1:9">
      <c r="A704" s="1" t="s">
        <v>14</v>
      </c>
      <c r="B704" s="1">
        <v>50.9</v>
      </c>
      <c r="C704" s="1">
        <v>49.35</v>
      </c>
      <c r="D704" s="1">
        <v>50.16</v>
      </c>
      <c r="E704" s="1">
        <v>52.29</v>
      </c>
      <c r="F704" s="1">
        <v>49.41</v>
      </c>
      <c r="H704" s="1" t="str">
        <f t="shared" si="37"/>
        <v>2008</v>
      </c>
      <c r="I704" s="12" t="s">
        <v>148</v>
      </c>
    </row>
    <row r="705" spans="1:9">
      <c r="A705" s="1" t="s">
        <v>145</v>
      </c>
      <c r="B705" s="1">
        <v>23.13</v>
      </c>
      <c r="C705" s="1">
        <v>22.43</v>
      </c>
      <c r="D705" s="1">
        <v>22.8</v>
      </c>
      <c r="E705" s="1">
        <v>23.77</v>
      </c>
      <c r="F705" s="1">
        <v>22.46</v>
      </c>
      <c r="H705" s="1" t="str">
        <f t="shared" si="37"/>
        <v>2008</v>
      </c>
      <c r="I705" s="12" t="s">
        <v>148</v>
      </c>
    </row>
    <row r="706" spans="1:9">
      <c r="A706" s="1" t="s">
        <v>146</v>
      </c>
      <c r="B706" s="1">
        <v>28.28</v>
      </c>
      <c r="C706" s="1">
        <v>27.42</v>
      </c>
      <c r="D706" s="1">
        <v>27.87</v>
      </c>
      <c r="E706" s="1">
        <v>29.05</v>
      </c>
      <c r="F706" s="1">
        <v>27.45</v>
      </c>
      <c r="H706" s="1" t="str">
        <f t="shared" si="37"/>
        <v>2008</v>
      </c>
      <c r="I706" s="12" t="s">
        <v>148</v>
      </c>
    </row>
    <row r="707" spans="1:9">
      <c r="A707" s="1" t="s">
        <v>147</v>
      </c>
      <c r="B707" s="1">
        <v>21.21</v>
      </c>
      <c r="C707" s="1">
        <v>20.56</v>
      </c>
      <c r="D707" s="1">
        <v>20.9</v>
      </c>
      <c r="E707" s="1">
        <v>21.79</v>
      </c>
      <c r="F707" s="1">
        <v>20.59</v>
      </c>
      <c r="H707" s="1" t="str">
        <f t="shared" si="37"/>
        <v>2008</v>
      </c>
      <c r="I707" s="12" t="s">
        <v>148</v>
      </c>
    </row>
    <row r="708" spans="1:9">
      <c r="A708" s="1" t="s">
        <v>167</v>
      </c>
    </row>
    <row r="709" spans="1:9">
      <c r="A709" s="1" t="s">
        <v>517</v>
      </c>
    </row>
    <row r="710" spans="1:9">
      <c r="A710" s="1" t="s">
        <v>20</v>
      </c>
      <c r="B710" s="1">
        <v>0</v>
      </c>
      <c r="C710" s="1">
        <v>0</v>
      </c>
      <c r="D710" s="1">
        <v>0</v>
      </c>
      <c r="E710" s="1">
        <v>0</v>
      </c>
      <c r="F710" s="1">
        <v>0</v>
      </c>
      <c r="H710" s="1" t="str">
        <f>RIGHT(A708,4)</f>
        <v>2009</v>
      </c>
      <c r="I710" s="12" t="s">
        <v>519</v>
      </c>
    </row>
    <row r="711" spans="1:9">
      <c r="A711" s="1" t="s">
        <v>17</v>
      </c>
      <c r="B711" s="1">
        <v>178.57</v>
      </c>
      <c r="C711" s="1">
        <v>1</v>
      </c>
      <c r="D711" s="1">
        <v>37.14</v>
      </c>
      <c r="E711" s="1">
        <v>0</v>
      </c>
      <c r="F711" s="1">
        <v>21.14</v>
      </c>
      <c r="H711" s="1" t="str">
        <f>H710</f>
        <v>2009</v>
      </c>
      <c r="I711" s="12" t="s">
        <v>519</v>
      </c>
    </row>
    <row r="712" spans="1:9">
      <c r="A712" s="1" t="s">
        <v>10</v>
      </c>
      <c r="B712" s="1">
        <v>72.430000000000007</v>
      </c>
      <c r="C712" s="1">
        <v>0.85</v>
      </c>
      <c r="D712" s="1">
        <v>9.25</v>
      </c>
      <c r="E712" s="1">
        <v>0.85</v>
      </c>
      <c r="F712" s="1">
        <v>4.8099999999999996</v>
      </c>
      <c r="H712" s="1" t="str">
        <f t="shared" ref="H712:H726" si="38">H711</f>
        <v>2009</v>
      </c>
      <c r="I712" s="12" t="s">
        <v>519</v>
      </c>
    </row>
    <row r="713" spans="1:9">
      <c r="A713" s="1" t="s">
        <v>11</v>
      </c>
      <c r="B713" s="1">
        <v>42.43</v>
      </c>
      <c r="C713" s="1">
        <v>2.0299999999999998</v>
      </c>
      <c r="D713" s="1">
        <v>2.36</v>
      </c>
      <c r="E713" s="1">
        <v>2.84</v>
      </c>
      <c r="F713" s="1">
        <v>5.74</v>
      </c>
      <c r="H713" s="1" t="str">
        <f t="shared" si="38"/>
        <v>2009</v>
      </c>
      <c r="I713" s="12" t="s">
        <v>519</v>
      </c>
    </row>
    <row r="714" spans="1:9">
      <c r="A714" s="1" t="s">
        <v>32</v>
      </c>
      <c r="B714" s="1">
        <v>47</v>
      </c>
      <c r="C714" s="1">
        <v>1.7</v>
      </c>
      <c r="D714" s="1">
        <v>32.26</v>
      </c>
      <c r="E714" s="1">
        <v>0</v>
      </c>
      <c r="F714" s="1">
        <v>8</v>
      </c>
      <c r="H714" s="1" t="str">
        <f t="shared" si="38"/>
        <v>2009</v>
      </c>
      <c r="I714" s="12" t="s">
        <v>519</v>
      </c>
    </row>
    <row r="715" spans="1:9">
      <c r="A715" s="1" t="s">
        <v>31</v>
      </c>
      <c r="B715" s="1">
        <v>158.86000000000001</v>
      </c>
      <c r="C715" s="1">
        <v>1.85</v>
      </c>
      <c r="D715" s="1">
        <v>24.41</v>
      </c>
      <c r="E715" s="1">
        <v>0</v>
      </c>
      <c r="F715" s="1">
        <v>31.71</v>
      </c>
      <c r="H715" s="1" t="str">
        <f t="shared" si="38"/>
        <v>2009</v>
      </c>
      <c r="I715" s="12" t="s">
        <v>519</v>
      </c>
    </row>
    <row r="716" spans="1:9">
      <c r="A716" s="1" t="s">
        <v>266</v>
      </c>
      <c r="B716" s="1">
        <v>55.57</v>
      </c>
      <c r="C716" s="1">
        <v>0</v>
      </c>
      <c r="D716" s="1">
        <v>4.9400000000000004</v>
      </c>
      <c r="E716" s="1">
        <v>0</v>
      </c>
      <c r="F716" s="1">
        <v>16.829999999999998</v>
      </c>
      <c r="H716" s="1" t="str">
        <f t="shared" si="38"/>
        <v>2009</v>
      </c>
      <c r="I716" s="12" t="s">
        <v>519</v>
      </c>
    </row>
    <row r="717" spans="1:9">
      <c r="A717" s="1" t="s">
        <v>269</v>
      </c>
      <c r="B717" s="1">
        <v>68.569999999999993</v>
      </c>
      <c r="C717" s="1">
        <v>77.86</v>
      </c>
      <c r="D717" s="1">
        <v>11.6</v>
      </c>
      <c r="E717" s="1">
        <v>10</v>
      </c>
      <c r="F717" s="1">
        <v>4.1399999999999997</v>
      </c>
      <c r="H717" s="1" t="str">
        <f t="shared" si="38"/>
        <v>2009</v>
      </c>
      <c r="I717" s="12" t="s">
        <v>519</v>
      </c>
    </row>
    <row r="718" spans="1:9">
      <c r="A718" s="1" t="s">
        <v>30</v>
      </c>
      <c r="B718" s="1">
        <v>6.57</v>
      </c>
      <c r="C718" s="1">
        <v>4.1399999999999997</v>
      </c>
      <c r="D718" s="1">
        <v>133.29</v>
      </c>
      <c r="E718" s="1">
        <v>0</v>
      </c>
      <c r="F718" s="1">
        <v>1.5</v>
      </c>
      <c r="H718" s="1" t="str">
        <f t="shared" si="38"/>
        <v>2009</v>
      </c>
      <c r="I718" s="12" t="s">
        <v>519</v>
      </c>
    </row>
    <row r="719" spans="1:9">
      <c r="A719" s="1" t="s">
        <v>26</v>
      </c>
      <c r="B719" s="1">
        <v>38.56</v>
      </c>
      <c r="C719" s="1">
        <v>5.96</v>
      </c>
      <c r="D719" s="1">
        <v>19.28</v>
      </c>
      <c r="E719" s="1">
        <v>0.85</v>
      </c>
      <c r="F719" s="1">
        <v>26.82</v>
      </c>
      <c r="H719" s="1" t="str">
        <f t="shared" si="38"/>
        <v>2009</v>
      </c>
      <c r="I719" s="12" t="s">
        <v>519</v>
      </c>
    </row>
    <row r="720" spans="1:9">
      <c r="A720" s="1" t="s">
        <v>271</v>
      </c>
      <c r="B720" s="1">
        <v>0.54</v>
      </c>
      <c r="C720" s="1">
        <v>0</v>
      </c>
      <c r="D720" s="1">
        <v>0</v>
      </c>
      <c r="E720" s="1">
        <v>0</v>
      </c>
      <c r="F720" s="1">
        <v>0.75</v>
      </c>
      <c r="H720" s="1" t="str">
        <f t="shared" si="38"/>
        <v>2009</v>
      </c>
      <c r="I720" s="12" t="s">
        <v>519</v>
      </c>
    </row>
    <row r="721" spans="1:9">
      <c r="A721" s="1" t="s">
        <v>143</v>
      </c>
      <c r="B721" s="1">
        <v>0</v>
      </c>
      <c r="C721" s="1">
        <v>0.86</v>
      </c>
      <c r="D721" s="1">
        <v>5.14</v>
      </c>
      <c r="E721" s="1">
        <v>0.86</v>
      </c>
      <c r="F721" s="1">
        <v>22.96</v>
      </c>
      <c r="H721" s="1" t="str">
        <f t="shared" si="38"/>
        <v>2009</v>
      </c>
      <c r="I721" s="12" t="s">
        <v>519</v>
      </c>
    </row>
    <row r="722" spans="1:9">
      <c r="A722" s="1" t="s">
        <v>144</v>
      </c>
      <c r="B722" s="1">
        <v>215.86</v>
      </c>
      <c r="C722" s="1">
        <v>0.89</v>
      </c>
      <c r="D722" s="1">
        <v>0</v>
      </c>
      <c r="E722" s="1">
        <v>0.89</v>
      </c>
      <c r="F722" s="1">
        <v>42.85</v>
      </c>
      <c r="H722" s="1" t="str">
        <f t="shared" si="38"/>
        <v>2009</v>
      </c>
      <c r="I722" s="12" t="s">
        <v>519</v>
      </c>
    </row>
    <row r="723" spans="1:9">
      <c r="A723" s="1" t="s">
        <v>14</v>
      </c>
      <c r="B723" s="1">
        <v>110.57</v>
      </c>
      <c r="C723" s="1">
        <v>0</v>
      </c>
      <c r="D723" s="1">
        <v>2.63</v>
      </c>
      <c r="E723" s="1">
        <v>0</v>
      </c>
      <c r="F723" s="1">
        <v>13.99</v>
      </c>
      <c r="H723" s="1" t="str">
        <f t="shared" si="38"/>
        <v>2009</v>
      </c>
      <c r="I723" s="12" t="s">
        <v>519</v>
      </c>
    </row>
    <row r="724" spans="1:9">
      <c r="A724" s="1" t="s">
        <v>145</v>
      </c>
      <c r="B724" s="1">
        <v>15.8</v>
      </c>
      <c r="C724" s="1">
        <v>0</v>
      </c>
      <c r="D724" s="1">
        <v>225.86</v>
      </c>
      <c r="E724" s="1">
        <v>0</v>
      </c>
      <c r="F724" s="1">
        <v>2</v>
      </c>
      <c r="H724" s="1" t="str">
        <f t="shared" si="38"/>
        <v>2009</v>
      </c>
      <c r="I724" s="12" t="s">
        <v>519</v>
      </c>
    </row>
    <row r="725" spans="1:9">
      <c r="A725" s="1" t="s">
        <v>146</v>
      </c>
      <c r="B725" s="1">
        <v>13.79</v>
      </c>
      <c r="C725" s="1">
        <v>1.18</v>
      </c>
      <c r="D725" s="1">
        <v>59.14</v>
      </c>
      <c r="E725" s="1">
        <v>0.77</v>
      </c>
      <c r="F725" s="1">
        <v>10.5</v>
      </c>
      <c r="H725" s="1" t="str">
        <f t="shared" si="38"/>
        <v>2009</v>
      </c>
      <c r="I725" s="12" t="s">
        <v>519</v>
      </c>
    </row>
    <row r="726" spans="1:9">
      <c r="A726" s="1" t="s">
        <v>147</v>
      </c>
      <c r="B726" s="1">
        <v>83.22</v>
      </c>
      <c r="C726" s="1">
        <v>0.78</v>
      </c>
      <c r="D726" s="1">
        <v>234</v>
      </c>
      <c r="E726" s="1">
        <v>0</v>
      </c>
      <c r="F726" s="1">
        <v>45.43</v>
      </c>
      <c r="H726" s="1" t="str">
        <f t="shared" si="38"/>
        <v>2009</v>
      </c>
      <c r="I726" s="12" t="s">
        <v>519</v>
      </c>
    </row>
    <row r="727" spans="1:9">
      <c r="A727" s="1" t="s">
        <v>518</v>
      </c>
    </row>
    <row r="728" spans="1:9">
      <c r="A728" s="1" t="s">
        <v>20</v>
      </c>
      <c r="B728" s="1">
        <v>113.56</v>
      </c>
      <c r="C728" s="1">
        <v>113.5</v>
      </c>
      <c r="D728" s="1">
        <v>113.56</v>
      </c>
      <c r="E728" s="1">
        <v>113.3</v>
      </c>
      <c r="F728" s="1">
        <v>113.5</v>
      </c>
      <c r="H728" s="1" t="str">
        <f>H710</f>
        <v>2009</v>
      </c>
      <c r="I728" s="12" t="s">
        <v>148</v>
      </c>
    </row>
    <row r="729" spans="1:9">
      <c r="A729" s="1" t="s">
        <v>17</v>
      </c>
      <c r="B729" s="1">
        <v>50.1</v>
      </c>
      <c r="C729" s="1">
        <v>50.89</v>
      </c>
      <c r="D729" s="1">
        <v>50.33</v>
      </c>
      <c r="E729" s="1">
        <v>51.26</v>
      </c>
      <c r="F729" s="1">
        <v>30.07</v>
      </c>
      <c r="H729" s="1" t="str">
        <f t="shared" ref="H729:H744" si="39">H711</f>
        <v>2009</v>
      </c>
      <c r="I729" s="12" t="s">
        <v>148</v>
      </c>
    </row>
    <row r="730" spans="1:9">
      <c r="A730" s="1" t="s">
        <v>10</v>
      </c>
      <c r="B730" s="1">
        <v>45.6</v>
      </c>
      <c r="C730" s="1">
        <v>50.83</v>
      </c>
      <c r="D730" s="1">
        <v>49.86</v>
      </c>
      <c r="E730" s="1">
        <v>39.17</v>
      </c>
      <c r="F730" s="1">
        <v>44.8</v>
      </c>
      <c r="H730" s="1" t="str">
        <f t="shared" si="39"/>
        <v>2009</v>
      </c>
      <c r="I730" s="12" t="s">
        <v>148</v>
      </c>
    </row>
    <row r="731" spans="1:9">
      <c r="A731" s="1" t="s">
        <v>11</v>
      </c>
      <c r="B731" s="1">
        <v>46.81</v>
      </c>
      <c r="C731" s="1">
        <v>44.98</v>
      </c>
      <c r="D731" s="1">
        <v>45.46</v>
      </c>
      <c r="E731" s="1">
        <v>46.69</v>
      </c>
      <c r="F731" s="1">
        <v>43.7</v>
      </c>
      <c r="H731" s="1" t="str">
        <f t="shared" si="39"/>
        <v>2009</v>
      </c>
      <c r="I731" s="12" t="s">
        <v>148</v>
      </c>
    </row>
    <row r="732" spans="1:9">
      <c r="A732" s="1" t="s">
        <v>32</v>
      </c>
      <c r="B732" s="1">
        <v>32.909999999999997</v>
      </c>
      <c r="C732" s="1">
        <v>31.91</v>
      </c>
      <c r="D732" s="1">
        <v>32.200000000000003</v>
      </c>
      <c r="E732" s="1">
        <v>32.33</v>
      </c>
      <c r="F732" s="1">
        <v>29.24</v>
      </c>
      <c r="H732" s="1" t="str">
        <f t="shared" si="39"/>
        <v>2009</v>
      </c>
      <c r="I732" s="12" t="s">
        <v>148</v>
      </c>
    </row>
    <row r="733" spans="1:9">
      <c r="A733" s="1" t="s">
        <v>31</v>
      </c>
      <c r="B733" s="1">
        <v>33.25</v>
      </c>
      <c r="C733" s="1">
        <v>31.01</v>
      </c>
      <c r="D733" s="1">
        <v>31.5</v>
      </c>
      <c r="E733" s="1">
        <v>31.46</v>
      </c>
      <c r="F733" s="1">
        <v>29.47</v>
      </c>
      <c r="H733" s="1" t="str">
        <f t="shared" si="39"/>
        <v>2009</v>
      </c>
      <c r="I733" s="12" t="s">
        <v>148</v>
      </c>
    </row>
    <row r="734" spans="1:9">
      <c r="A734" s="1" t="s">
        <v>266</v>
      </c>
      <c r="B734" s="1">
        <v>34.869999999999997</v>
      </c>
      <c r="C734" s="1">
        <v>35.72</v>
      </c>
      <c r="D734" s="1">
        <v>34.75</v>
      </c>
      <c r="E734" s="1">
        <v>35.979999999999997</v>
      </c>
      <c r="F734" s="1">
        <v>35.61</v>
      </c>
      <c r="H734" s="1" t="str">
        <f t="shared" si="39"/>
        <v>2009</v>
      </c>
      <c r="I734" s="12" t="s">
        <v>148</v>
      </c>
    </row>
    <row r="735" spans="1:9">
      <c r="A735" s="1" t="s">
        <v>269</v>
      </c>
      <c r="B735" s="1">
        <v>28.5</v>
      </c>
      <c r="C735" s="1">
        <v>28.5</v>
      </c>
      <c r="D735" s="1">
        <v>28.5</v>
      </c>
      <c r="E735" s="1">
        <v>28.5</v>
      </c>
      <c r="F735" s="1">
        <v>28.5</v>
      </c>
      <c r="H735" s="1" t="str">
        <f t="shared" si="39"/>
        <v>2009</v>
      </c>
      <c r="I735" s="12" t="s">
        <v>148</v>
      </c>
    </row>
    <row r="736" spans="1:9">
      <c r="A736" s="1" t="s">
        <v>30</v>
      </c>
      <c r="B736" s="1">
        <v>22.69</v>
      </c>
      <c r="C736" s="1">
        <v>25.74</v>
      </c>
      <c r="D736" s="1">
        <v>25.79</v>
      </c>
      <c r="E736" s="1">
        <v>24.95</v>
      </c>
      <c r="F736" s="1">
        <v>28.5</v>
      </c>
      <c r="H736" s="1" t="str">
        <f t="shared" si="39"/>
        <v>2009</v>
      </c>
      <c r="I736" s="12" t="s">
        <v>148</v>
      </c>
    </row>
    <row r="737" spans="1:9">
      <c r="A737" s="1" t="s">
        <v>26</v>
      </c>
      <c r="B737" s="1">
        <v>42.04</v>
      </c>
      <c r="C737" s="1">
        <v>42.04</v>
      </c>
      <c r="D737" s="1">
        <v>42.66</v>
      </c>
      <c r="E737" s="1">
        <v>42.17</v>
      </c>
      <c r="F737" s="1">
        <v>42.17</v>
      </c>
      <c r="H737" s="1" t="str">
        <f t="shared" si="39"/>
        <v>2009</v>
      </c>
      <c r="I737" s="12" t="s">
        <v>148</v>
      </c>
    </row>
    <row r="738" spans="1:9">
      <c r="A738" s="1" t="s">
        <v>271</v>
      </c>
      <c r="B738" s="1">
        <v>47.76</v>
      </c>
      <c r="C738" s="1">
        <v>46.94</v>
      </c>
      <c r="D738" s="1">
        <v>46.48</v>
      </c>
      <c r="E738" s="1">
        <v>48.44</v>
      </c>
      <c r="F738" s="1">
        <v>46.06</v>
      </c>
      <c r="H738" s="1" t="str">
        <f t="shared" si="39"/>
        <v>2009</v>
      </c>
      <c r="I738" s="12" t="s">
        <v>148</v>
      </c>
    </row>
    <row r="739" spans="1:9">
      <c r="A739" s="1" t="s">
        <v>143</v>
      </c>
      <c r="B739" s="1">
        <v>59.99</v>
      </c>
      <c r="C739" s="1">
        <v>57.94</v>
      </c>
      <c r="D739" s="1">
        <v>57.53</v>
      </c>
      <c r="E739" s="1">
        <v>60.17</v>
      </c>
      <c r="F739" s="1">
        <v>57.56</v>
      </c>
      <c r="H739" s="1" t="str">
        <f t="shared" si="39"/>
        <v>2009</v>
      </c>
      <c r="I739" s="12" t="s">
        <v>148</v>
      </c>
    </row>
    <row r="740" spans="1:9">
      <c r="A740" s="1" t="s">
        <v>144</v>
      </c>
      <c r="B740" s="1">
        <v>34.409999999999997</v>
      </c>
      <c r="C740" s="1">
        <v>37.18</v>
      </c>
      <c r="D740" s="1">
        <v>37.700000000000003</v>
      </c>
      <c r="E740" s="1">
        <v>36.729999999999997</v>
      </c>
      <c r="F740" s="1">
        <v>32.450000000000003</v>
      </c>
      <c r="H740" s="1" t="str">
        <f t="shared" si="39"/>
        <v>2009</v>
      </c>
      <c r="I740" s="12" t="s">
        <v>148</v>
      </c>
    </row>
    <row r="741" spans="1:9">
      <c r="A741" s="1" t="s">
        <v>14</v>
      </c>
      <c r="B741" s="1">
        <v>48.88</v>
      </c>
      <c r="C741" s="1">
        <v>47.67</v>
      </c>
      <c r="D741" s="1">
        <v>48.15</v>
      </c>
      <c r="E741" s="1">
        <v>49.38</v>
      </c>
      <c r="F741" s="1">
        <v>46.61</v>
      </c>
      <c r="H741" s="1" t="str">
        <f t="shared" si="39"/>
        <v>2009</v>
      </c>
      <c r="I741" s="12" t="s">
        <v>148</v>
      </c>
    </row>
    <row r="742" spans="1:9">
      <c r="A742" s="1" t="s">
        <v>145</v>
      </c>
      <c r="B742" s="1">
        <v>22.22</v>
      </c>
      <c r="C742" s="1">
        <v>21.67</v>
      </c>
      <c r="D742" s="1">
        <v>21.88</v>
      </c>
      <c r="E742" s="1">
        <v>22.44</v>
      </c>
      <c r="F742" s="1">
        <v>21.19</v>
      </c>
      <c r="H742" s="1" t="str">
        <f t="shared" si="39"/>
        <v>2009</v>
      </c>
      <c r="I742" s="12" t="s">
        <v>148</v>
      </c>
    </row>
    <row r="743" spans="1:9">
      <c r="A743" s="1" t="s">
        <v>146</v>
      </c>
      <c r="B743" s="1">
        <v>27.16</v>
      </c>
      <c r="C743" s="1">
        <v>26.48</v>
      </c>
      <c r="D743" s="1">
        <v>26.75</v>
      </c>
      <c r="E743" s="1">
        <v>27.43</v>
      </c>
      <c r="F743" s="1">
        <v>25.9</v>
      </c>
      <c r="H743" s="1" t="str">
        <f t="shared" si="39"/>
        <v>2009</v>
      </c>
      <c r="I743" s="12" t="s">
        <v>148</v>
      </c>
    </row>
    <row r="744" spans="1:9">
      <c r="A744" s="1" t="s">
        <v>147</v>
      </c>
      <c r="B744" s="1">
        <v>20.37</v>
      </c>
      <c r="C744" s="1">
        <v>19.86</v>
      </c>
      <c r="D744" s="1">
        <v>20.059999999999999</v>
      </c>
      <c r="E744" s="1">
        <v>20.57</v>
      </c>
      <c r="F744" s="1">
        <v>19.420000000000002</v>
      </c>
      <c r="H744" s="1" t="str">
        <f t="shared" si="39"/>
        <v>2009</v>
      </c>
      <c r="I744" s="12" t="s">
        <v>148</v>
      </c>
    </row>
    <row r="745" spans="1:9">
      <c r="A745" s="1" t="s">
        <v>168</v>
      </c>
    </row>
    <row r="746" spans="1:9">
      <c r="A746" s="1" t="s">
        <v>517</v>
      </c>
    </row>
    <row r="747" spans="1:9">
      <c r="A747" s="1" t="s">
        <v>20</v>
      </c>
      <c r="B747" s="1">
        <v>0</v>
      </c>
      <c r="C747" s="1">
        <v>0</v>
      </c>
      <c r="D747" s="1">
        <v>0</v>
      </c>
      <c r="E747" s="1">
        <v>0</v>
      </c>
      <c r="F747" s="1">
        <v>0</v>
      </c>
      <c r="H747" s="1" t="str">
        <f>RIGHT(A745,4)</f>
        <v>2010</v>
      </c>
      <c r="I747" s="12" t="s">
        <v>519</v>
      </c>
    </row>
    <row r="748" spans="1:9">
      <c r="A748" s="1" t="s">
        <v>17</v>
      </c>
      <c r="B748" s="1">
        <v>300.14999999999998</v>
      </c>
      <c r="C748" s="1">
        <v>1.01</v>
      </c>
      <c r="D748" s="1">
        <v>28.56</v>
      </c>
      <c r="E748" s="1">
        <v>0</v>
      </c>
      <c r="F748" s="1">
        <v>19.77</v>
      </c>
      <c r="H748" s="1" t="str">
        <f>H747</f>
        <v>2010</v>
      </c>
      <c r="I748" s="12" t="s">
        <v>519</v>
      </c>
    </row>
    <row r="749" spans="1:9">
      <c r="A749" s="1" t="s">
        <v>10</v>
      </c>
      <c r="B749" s="1">
        <v>200.4</v>
      </c>
      <c r="C749" s="1">
        <v>0.87</v>
      </c>
      <c r="D749" s="1">
        <v>8.23</v>
      </c>
      <c r="E749" s="1">
        <v>0.87</v>
      </c>
      <c r="F749" s="1">
        <v>4.91</v>
      </c>
      <c r="H749" s="1" t="str">
        <f t="shared" ref="H749:H763" si="40">H748</f>
        <v>2010</v>
      </c>
      <c r="I749" s="12" t="s">
        <v>519</v>
      </c>
    </row>
    <row r="750" spans="1:9">
      <c r="A750" s="1" t="s">
        <v>11</v>
      </c>
      <c r="B750" s="1">
        <v>20.2</v>
      </c>
      <c r="C750" s="1">
        <v>1.52</v>
      </c>
      <c r="D750" s="1">
        <v>1.77</v>
      </c>
      <c r="E750" s="1">
        <v>2.13</v>
      </c>
      <c r="F750" s="1">
        <v>4.3</v>
      </c>
      <c r="H750" s="1" t="str">
        <f t="shared" si="40"/>
        <v>2010</v>
      </c>
      <c r="I750" s="12" t="s">
        <v>519</v>
      </c>
    </row>
    <row r="751" spans="1:9">
      <c r="A751" s="1" t="s">
        <v>32</v>
      </c>
      <c r="B751" s="1">
        <v>159.16</v>
      </c>
      <c r="C751" s="1">
        <v>1.73</v>
      </c>
      <c r="D751" s="1">
        <v>32.909999999999997</v>
      </c>
      <c r="E751" s="1">
        <v>0</v>
      </c>
      <c r="F751" s="1">
        <v>8.66</v>
      </c>
      <c r="H751" s="1" t="str">
        <f t="shared" si="40"/>
        <v>2010</v>
      </c>
      <c r="I751" s="12" t="s">
        <v>519</v>
      </c>
    </row>
    <row r="752" spans="1:9">
      <c r="A752" s="1" t="s">
        <v>31</v>
      </c>
      <c r="B752" s="1">
        <v>135.79</v>
      </c>
      <c r="C752" s="1">
        <v>1.84</v>
      </c>
      <c r="D752" s="1">
        <v>24.16</v>
      </c>
      <c r="E752" s="1">
        <v>0</v>
      </c>
      <c r="F752" s="1">
        <v>28.14</v>
      </c>
      <c r="H752" s="1" t="str">
        <f t="shared" si="40"/>
        <v>2010</v>
      </c>
      <c r="I752" s="12" t="s">
        <v>519</v>
      </c>
    </row>
    <row r="753" spans="1:9">
      <c r="A753" s="1" t="s">
        <v>266</v>
      </c>
      <c r="B753" s="1">
        <v>99.81</v>
      </c>
      <c r="C753" s="1">
        <v>0</v>
      </c>
      <c r="D753" s="1">
        <v>5.04</v>
      </c>
      <c r="E753" s="1">
        <v>0</v>
      </c>
      <c r="F753" s="1">
        <v>55.38</v>
      </c>
      <c r="H753" s="1" t="str">
        <f t="shared" si="40"/>
        <v>2010</v>
      </c>
      <c r="I753" s="12" t="s">
        <v>519</v>
      </c>
    </row>
    <row r="754" spans="1:9">
      <c r="A754" s="1" t="s">
        <v>269</v>
      </c>
      <c r="B754" s="1">
        <v>75.680000000000007</v>
      </c>
      <c r="C754" s="1">
        <v>86.77</v>
      </c>
      <c r="D754" s="1">
        <v>152.81</v>
      </c>
      <c r="E754" s="1">
        <v>9.18</v>
      </c>
      <c r="F754" s="1">
        <v>1.73</v>
      </c>
      <c r="H754" s="1" t="str">
        <f t="shared" si="40"/>
        <v>2010</v>
      </c>
      <c r="I754" s="12" t="s">
        <v>519</v>
      </c>
    </row>
    <row r="755" spans="1:9">
      <c r="A755" s="1" t="s">
        <v>30</v>
      </c>
      <c r="B755" s="1">
        <v>3.46</v>
      </c>
      <c r="C755" s="1">
        <v>3.98</v>
      </c>
      <c r="D755" s="1">
        <v>254.69</v>
      </c>
      <c r="E755" s="1">
        <v>0</v>
      </c>
      <c r="F755" s="1">
        <v>2.89</v>
      </c>
      <c r="H755" s="1" t="str">
        <f t="shared" si="40"/>
        <v>2010</v>
      </c>
      <c r="I755" s="12" t="s">
        <v>519</v>
      </c>
    </row>
    <row r="756" spans="1:9">
      <c r="A756" s="1" t="s">
        <v>26</v>
      </c>
      <c r="B756" s="1">
        <v>39.17</v>
      </c>
      <c r="C756" s="1">
        <v>6.05</v>
      </c>
      <c r="D756" s="1">
        <v>19.59</v>
      </c>
      <c r="E756" s="1">
        <v>0.86</v>
      </c>
      <c r="F756" s="1">
        <v>27.25</v>
      </c>
      <c r="H756" s="1" t="str">
        <f t="shared" si="40"/>
        <v>2010</v>
      </c>
      <c r="I756" s="12" t="s">
        <v>519</v>
      </c>
    </row>
    <row r="757" spans="1:9">
      <c r="A757" s="1" t="s">
        <v>271</v>
      </c>
      <c r="B757" s="1">
        <v>0.56000000000000005</v>
      </c>
      <c r="C757" s="1">
        <v>0</v>
      </c>
      <c r="D757" s="1">
        <v>0</v>
      </c>
      <c r="E757" s="1">
        <v>0</v>
      </c>
      <c r="F757" s="1">
        <v>0.77</v>
      </c>
      <c r="H757" s="1" t="str">
        <f t="shared" si="40"/>
        <v>2010</v>
      </c>
      <c r="I757" s="12" t="s">
        <v>519</v>
      </c>
    </row>
    <row r="758" spans="1:9">
      <c r="A758" s="1" t="s">
        <v>143</v>
      </c>
      <c r="B758" s="1">
        <v>273.04000000000002</v>
      </c>
      <c r="C758" s="1">
        <v>0.87</v>
      </c>
      <c r="D758" s="1">
        <v>5.24</v>
      </c>
      <c r="E758" s="1">
        <v>0.87</v>
      </c>
      <c r="F758" s="1">
        <v>23.42</v>
      </c>
      <c r="H758" s="1" t="str">
        <f t="shared" si="40"/>
        <v>2010</v>
      </c>
      <c r="I758" s="12" t="s">
        <v>519</v>
      </c>
    </row>
    <row r="759" spans="1:9">
      <c r="A759" s="1" t="s">
        <v>144</v>
      </c>
      <c r="B759" s="1">
        <v>285.27</v>
      </c>
      <c r="C759" s="1">
        <v>0.92</v>
      </c>
      <c r="D759" s="1">
        <v>5.47</v>
      </c>
      <c r="E759" s="1">
        <v>0.92</v>
      </c>
      <c r="F759" s="1">
        <v>44.35</v>
      </c>
      <c r="H759" s="1" t="str">
        <f t="shared" si="40"/>
        <v>2010</v>
      </c>
      <c r="I759" s="12" t="s">
        <v>519</v>
      </c>
    </row>
    <row r="760" spans="1:9">
      <c r="A760" s="1" t="s">
        <v>14</v>
      </c>
      <c r="B760" s="1">
        <v>43.43</v>
      </c>
      <c r="C760" s="1">
        <v>0</v>
      </c>
      <c r="D760" s="1">
        <v>4.79</v>
      </c>
      <c r="E760" s="1">
        <v>0</v>
      </c>
      <c r="F760" s="1">
        <v>14.48</v>
      </c>
      <c r="H760" s="1" t="str">
        <f t="shared" si="40"/>
        <v>2010</v>
      </c>
      <c r="I760" s="12" t="s">
        <v>519</v>
      </c>
    </row>
    <row r="761" spans="1:9">
      <c r="A761" s="1" t="s">
        <v>145</v>
      </c>
      <c r="B761" s="1">
        <v>16.04</v>
      </c>
      <c r="C761" s="1">
        <v>0</v>
      </c>
      <c r="D761" s="1">
        <v>120.88</v>
      </c>
      <c r="E761" s="1">
        <v>0</v>
      </c>
      <c r="F761" s="1">
        <v>24.19</v>
      </c>
      <c r="H761" s="1" t="str">
        <f t="shared" si="40"/>
        <v>2010</v>
      </c>
      <c r="I761" s="12" t="s">
        <v>519</v>
      </c>
    </row>
    <row r="762" spans="1:9">
      <c r="A762" s="1" t="s">
        <v>146</v>
      </c>
      <c r="B762" s="1">
        <v>14</v>
      </c>
      <c r="C762" s="1">
        <v>1.2</v>
      </c>
      <c r="D762" s="1">
        <v>315.05</v>
      </c>
      <c r="E762" s="1">
        <v>0.78</v>
      </c>
      <c r="F762" s="1">
        <v>13.18</v>
      </c>
      <c r="H762" s="1" t="str">
        <f t="shared" si="40"/>
        <v>2010</v>
      </c>
      <c r="I762" s="12" t="s">
        <v>519</v>
      </c>
    </row>
    <row r="763" spans="1:9">
      <c r="A763" s="1" t="s">
        <v>147</v>
      </c>
      <c r="B763" s="1">
        <v>84.47</v>
      </c>
      <c r="C763" s="1">
        <v>0.79</v>
      </c>
      <c r="D763" s="1">
        <v>167.55</v>
      </c>
      <c r="E763" s="1">
        <v>0</v>
      </c>
      <c r="F763" s="1">
        <v>47.36</v>
      </c>
      <c r="H763" s="1" t="str">
        <f t="shared" si="40"/>
        <v>2010</v>
      </c>
      <c r="I763" s="12" t="s">
        <v>519</v>
      </c>
    </row>
    <row r="764" spans="1:9">
      <c r="A764" s="1" t="s">
        <v>518</v>
      </c>
    </row>
    <row r="765" spans="1:9">
      <c r="A765" s="1" t="s">
        <v>20</v>
      </c>
      <c r="B765" s="1">
        <v>113.56</v>
      </c>
      <c r="C765" s="1">
        <v>113.5</v>
      </c>
      <c r="D765" s="1">
        <v>113.56</v>
      </c>
      <c r="E765" s="1">
        <v>113.3</v>
      </c>
      <c r="F765" s="1">
        <v>113.5</v>
      </c>
      <c r="H765" s="1" t="str">
        <f>H747</f>
        <v>2010</v>
      </c>
      <c r="I765" s="12" t="s">
        <v>148</v>
      </c>
    </row>
    <row r="766" spans="1:9">
      <c r="A766" s="1" t="s">
        <v>17</v>
      </c>
      <c r="B766" s="1">
        <v>49.74</v>
      </c>
      <c r="C766" s="1">
        <v>50.63</v>
      </c>
      <c r="D766" s="1">
        <v>49.8</v>
      </c>
      <c r="E766" s="1">
        <v>49.61</v>
      </c>
      <c r="F766" s="1">
        <v>34.799999999999997</v>
      </c>
      <c r="H766" s="1" t="str">
        <f t="shared" ref="H766:H781" si="41">H748</f>
        <v>2010</v>
      </c>
      <c r="I766" s="12" t="s">
        <v>148</v>
      </c>
    </row>
    <row r="767" spans="1:9">
      <c r="A767" s="1" t="s">
        <v>10</v>
      </c>
      <c r="B767" s="1">
        <v>45.48</v>
      </c>
      <c r="C767" s="1">
        <v>49.64</v>
      </c>
      <c r="D767" s="1">
        <v>48.67</v>
      </c>
      <c r="E767" s="1">
        <v>40.82</v>
      </c>
      <c r="F767" s="1">
        <v>46.09</v>
      </c>
      <c r="H767" s="1" t="str">
        <f t="shared" si="41"/>
        <v>2010</v>
      </c>
      <c r="I767" s="12" t="s">
        <v>148</v>
      </c>
    </row>
    <row r="768" spans="1:9">
      <c r="A768" s="1" t="s">
        <v>11</v>
      </c>
      <c r="B768" s="1">
        <v>46.26</v>
      </c>
      <c r="C768" s="1">
        <v>44.59</v>
      </c>
      <c r="D768" s="1">
        <v>44.91</v>
      </c>
      <c r="E768" s="1">
        <v>46.14</v>
      </c>
      <c r="F768" s="1">
        <v>46.25</v>
      </c>
      <c r="H768" s="1" t="str">
        <f t="shared" si="41"/>
        <v>2010</v>
      </c>
      <c r="I768" s="12" t="s">
        <v>148</v>
      </c>
    </row>
    <row r="769" spans="1:9">
      <c r="A769" s="1" t="s">
        <v>32</v>
      </c>
      <c r="B769" s="1">
        <v>34.28</v>
      </c>
      <c r="C769" s="1">
        <v>33.409999999999997</v>
      </c>
      <c r="D769" s="1">
        <v>33.57</v>
      </c>
      <c r="E769" s="1">
        <v>33.47</v>
      </c>
      <c r="F769" s="1">
        <v>32.83</v>
      </c>
      <c r="H769" s="1" t="str">
        <f t="shared" si="41"/>
        <v>2010</v>
      </c>
      <c r="I769" s="12" t="s">
        <v>148</v>
      </c>
    </row>
    <row r="770" spans="1:9">
      <c r="A770" s="1" t="s">
        <v>31</v>
      </c>
      <c r="B770" s="1">
        <v>28.5</v>
      </c>
      <c r="C770" s="1">
        <v>32.93</v>
      </c>
      <c r="D770" s="1">
        <v>33.409999999999997</v>
      </c>
      <c r="E770" s="1">
        <v>32.81</v>
      </c>
      <c r="F770" s="1">
        <v>33.299999999999997</v>
      </c>
      <c r="H770" s="1" t="str">
        <f t="shared" si="41"/>
        <v>2010</v>
      </c>
      <c r="I770" s="12" t="s">
        <v>148</v>
      </c>
    </row>
    <row r="771" spans="1:9">
      <c r="A771" s="1" t="s">
        <v>266</v>
      </c>
      <c r="B771" s="1">
        <v>39.44</v>
      </c>
      <c r="C771" s="1">
        <v>39.67</v>
      </c>
      <c r="D771" s="1">
        <v>38.71</v>
      </c>
      <c r="E771" s="1">
        <v>39.94</v>
      </c>
      <c r="F771" s="1">
        <v>41.74</v>
      </c>
      <c r="H771" s="1" t="str">
        <f t="shared" si="41"/>
        <v>2010</v>
      </c>
      <c r="I771" s="12" t="s">
        <v>148</v>
      </c>
    </row>
    <row r="772" spans="1:9">
      <c r="A772" s="1" t="s">
        <v>269</v>
      </c>
      <c r="B772" s="1">
        <v>28.5</v>
      </c>
      <c r="C772" s="1">
        <v>28.5</v>
      </c>
      <c r="D772" s="1">
        <v>28.5</v>
      </c>
      <c r="E772" s="1">
        <v>28.5</v>
      </c>
      <c r="F772" s="1">
        <v>28.5</v>
      </c>
      <c r="H772" s="1" t="str">
        <f t="shared" si="41"/>
        <v>2010</v>
      </c>
      <c r="I772" s="12" t="s">
        <v>148</v>
      </c>
    </row>
    <row r="773" spans="1:9">
      <c r="A773" s="1" t="s">
        <v>30</v>
      </c>
      <c r="B773" s="1">
        <v>22.98</v>
      </c>
      <c r="C773" s="1">
        <v>27.68</v>
      </c>
      <c r="D773" s="1">
        <v>27.74</v>
      </c>
      <c r="E773" s="1">
        <v>26.9</v>
      </c>
      <c r="F773" s="1">
        <v>28.5</v>
      </c>
      <c r="H773" s="1" t="str">
        <f t="shared" si="41"/>
        <v>2010</v>
      </c>
      <c r="I773" s="12" t="s">
        <v>148</v>
      </c>
    </row>
    <row r="774" spans="1:9">
      <c r="A774" s="1" t="s">
        <v>26</v>
      </c>
      <c r="B774" s="1">
        <v>36.42</v>
      </c>
      <c r="C774" s="1">
        <v>36.42</v>
      </c>
      <c r="D774" s="1">
        <v>37.04</v>
      </c>
      <c r="E774" s="1">
        <v>36.549999999999997</v>
      </c>
      <c r="F774" s="1">
        <v>36.549999999999997</v>
      </c>
      <c r="H774" s="1" t="str">
        <f t="shared" si="41"/>
        <v>2010</v>
      </c>
      <c r="I774" s="12" t="s">
        <v>148</v>
      </c>
    </row>
    <row r="775" spans="1:9">
      <c r="A775" s="1" t="s">
        <v>271</v>
      </c>
      <c r="B775" s="1">
        <v>47.76</v>
      </c>
      <c r="C775" s="1">
        <v>46.94</v>
      </c>
      <c r="D775" s="1">
        <v>46.48</v>
      </c>
      <c r="E775" s="1">
        <v>48.44</v>
      </c>
      <c r="F775" s="1">
        <v>46.06</v>
      </c>
      <c r="H775" s="1" t="str">
        <f t="shared" si="41"/>
        <v>2010</v>
      </c>
      <c r="I775" s="12" t="s">
        <v>148</v>
      </c>
    </row>
    <row r="776" spans="1:9">
      <c r="A776" s="1" t="s">
        <v>143</v>
      </c>
      <c r="B776" s="1">
        <v>59.99</v>
      </c>
      <c r="C776" s="1">
        <v>57.94</v>
      </c>
      <c r="D776" s="1">
        <v>57.53</v>
      </c>
      <c r="E776" s="1">
        <v>60.17</v>
      </c>
      <c r="F776" s="1">
        <v>57.56</v>
      </c>
      <c r="H776" s="1" t="str">
        <f t="shared" si="41"/>
        <v>2010</v>
      </c>
      <c r="I776" s="12" t="s">
        <v>148</v>
      </c>
    </row>
    <row r="777" spans="1:9">
      <c r="A777" s="1" t="s">
        <v>144</v>
      </c>
      <c r="B777" s="1">
        <v>34.409999999999997</v>
      </c>
      <c r="C777" s="1">
        <v>37.18</v>
      </c>
      <c r="D777" s="1">
        <v>37.700000000000003</v>
      </c>
      <c r="E777" s="1">
        <v>36.729999999999997</v>
      </c>
      <c r="F777" s="1">
        <v>32.450000000000003</v>
      </c>
      <c r="H777" s="1" t="str">
        <f t="shared" si="41"/>
        <v>2010</v>
      </c>
      <c r="I777" s="12" t="s">
        <v>148</v>
      </c>
    </row>
    <row r="778" spans="1:9">
      <c r="A778" s="1" t="s">
        <v>14</v>
      </c>
      <c r="B778" s="1">
        <v>49.38</v>
      </c>
      <c r="C778" s="1">
        <v>48.41</v>
      </c>
      <c r="D778" s="1">
        <v>48.64</v>
      </c>
      <c r="E778" s="1">
        <v>49.87</v>
      </c>
      <c r="F778" s="1">
        <v>49.6</v>
      </c>
      <c r="H778" s="1" t="str">
        <f t="shared" si="41"/>
        <v>2010</v>
      </c>
      <c r="I778" s="12" t="s">
        <v>148</v>
      </c>
    </row>
    <row r="779" spans="1:9">
      <c r="A779" s="1" t="s">
        <v>145</v>
      </c>
      <c r="B779" s="1">
        <v>22.44</v>
      </c>
      <c r="C779" s="1">
        <v>22</v>
      </c>
      <c r="D779" s="1">
        <v>22.11</v>
      </c>
      <c r="E779" s="1">
        <v>22.67</v>
      </c>
      <c r="F779" s="1">
        <v>22.55</v>
      </c>
      <c r="H779" s="1" t="str">
        <f t="shared" si="41"/>
        <v>2010</v>
      </c>
      <c r="I779" s="12" t="s">
        <v>148</v>
      </c>
    </row>
    <row r="780" spans="1:9">
      <c r="A780" s="1" t="s">
        <v>146</v>
      </c>
      <c r="B780" s="1">
        <v>27.43</v>
      </c>
      <c r="C780" s="1">
        <v>26.89</v>
      </c>
      <c r="D780" s="1">
        <v>27.02</v>
      </c>
      <c r="E780" s="1">
        <v>27.71</v>
      </c>
      <c r="F780" s="1">
        <v>27.56</v>
      </c>
      <c r="H780" s="1" t="str">
        <f t="shared" si="41"/>
        <v>2010</v>
      </c>
      <c r="I780" s="12" t="s">
        <v>148</v>
      </c>
    </row>
    <row r="781" spans="1:9">
      <c r="A781" s="1" t="s">
        <v>147</v>
      </c>
      <c r="B781" s="1">
        <v>20.57</v>
      </c>
      <c r="C781" s="1">
        <v>20.170000000000002</v>
      </c>
      <c r="D781" s="1">
        <v>20.27</v>
      </c>
      <c r="E781" s="1">
        <v>20.78</v>
      </c>
      <c r="F781" s="1">
        <v>20.67</v>
      </c>
      <c r="H781" s="1" t="str">
        <f t="shared" si="41"/>
        <v>2010</v>
      </c>
      <c r="I781" s="12" t="s">
        <v>148</v>
      </c>
    </row>
    <row r="782" spans="1:9">
      <c r="A782" s="1" t="s">
        <v>169</v>
      </c>
    </row>
    <row r="783" spans="1:9">
      <c r="A783" s="1" t="s">
        <v>517</v>
      </c>
    </row>
    <row r="784" spans="1:9">
      <c r="A784" s="1" t="s">
        <v>20</v>
      </c>
      <c r="B784" s="1">
        <v>0</v>
      </c>
      <c r="C784" s="1">
        <v>0</v>
      </c>
      <c r="D784" s="1">
        <v>0</v>
      </c>
      <c r="E784" s="1">
        <v>0</v>
      </c>
      <c r="F784" s="1">
        <v>0</v>
      </c>
      <c r="H784" s="1" t="str">
        <f>RIGHT(A782,4)</f>
        <v>2011</v>
      </c>
      <c r="I784" s="12" t="s">
        <v>519</v>
      </c>
    </row>
    <row r="785" spans="1:9">
      <c r="A785" s="1" t="s">
        <v>17</v>
      </c>
      <c r="B785" s="1">
        <v>270.14</v>
      </c>
      <c r="C785" s="1">
        <v>1.03</v>
      </c>
      <c r="D785" s="1">
        <v>28.99</v>
      </c>
      <c r="E785" s="1">
        <v>0</v>
      </c>
      <c r="F785" s="1">
        <v>20.07</v>
      </c>
      <c r="H785" s="1" t="str">
        <f>H784</f>
        <v>2011</v>
      </c>
      <c r="I785" s="12" t="s">
        <v>519</v>
      </c>
    </row>
    <row r="786" spans="1:9">
      <c r="A786" s="1" t="s">
        <v>10</v>
      </c>
      <c r="B786" s="1">
        <v>168.7</v>
      </c>
      <c r="C786" s="1">
        <v>0.88</v>
      </c>
      <c r="D786" s="1">
        <v>8.39</v>
      </c>
      <c r="E786" s="1">
        <v>0.88</v>
      </c>
      <c r="F786" s="1">
        <v>5.01</v>
      </c>
      <c r="H786" s="1" t="str">
        <f t="shared" ref="H786:H800" si="42">H785</f>
        <v>2011</v>
      </c>
      <c r="I786" s="12" t="s">
        <v>519</v>
      </c>
    </row>
    <row r="787" spans="1:9">
      <c r="A787" s="1" t="s">
        <v>11</v>
      </c>
      <c r="B787" s="1">
        <v>15.15</v>
      </c>
      <c r="C787" s="1">
        <v>1.1399999999999999</v>
      </c>
      <c r="D787" s="1">
        <v>1.33</v>
      </c>
      <c r="E787" s="1">
        <v>1.59</v>
      </c>
      <c r="F787" s="1">
        <v>3.23</v>
      </c>
      <c r="H787" s="1" t="str">
        <f t="shared" si="42"/>
        <v>2011</v>
      </c>
      <c r="I787" s="12" t="s">
        <v>519</v>
      </c>
    </row>
    <row r="788" spans="1:9">
      <c r="A788" s="1" t="s">
        <v>32</v>
      </c>
      <c r="B788" s="1">
        <v>162.34</v>
      </c>
      <c r="C788" s="1">
        <v>1.77</v>
      </c>
      <c r="D788" s="1">
        <v>33.56</v>
      </c>
      <c r="E788" s="1">
        <v>0</v>
      </c>
      <c r="F788" s="1">
        <v>8.83</v>
      </c>
      <c r="H788" s="1" t="str">
        <f t="shared" si="42"/>
        <v>2011</v>
      </c>
      <c r="I788" s="12" t="s">
        <v>519</v>
      </c>
    </row>
    <row r="789" spans="1:9">
      <c r="A789" s="1" t="s">
        <v>31</v>
      </c>
      <c r="B789" s="1">
        <v>134.43</v>
      </c>
      <c r="C789" s="1">
        <v>1.82</v>
      </c>
      <c r="D789" s="1">
        <v>23.92</v>
      </c>
      <c r="E789" s="1">
        <v>0</v>
      </c>
      <c r="F789" s="1">
        <v>27.86</v>
      </c>
      <c r="H789" s="1" t="str">
        <f t="shared" si="42"/>
        <v>2011</v>
      </c>
      <c r="I789" s="12" t="s">
        <v>519</v>
      </c>
    </row>
    <row r="790" spans="1:9">
      <c r="A790" s="1" t="s">
        <v>266</v>
      </c>
      <c r="B790" s="1">
        <v>81.400000000000006</v>
      </c>
      <c r="C790" s="1">
        <v>0</v>
      </c>
      <c r="D790" s="1">
        <v>5.14</v>
      </c>
      <c r="E790" s="1">
        <v>0</v>
      </c>
      <c r="F790" s="1">
        <v>46.29</v>
      </c>
      <c r="H790" s="1" t="str">
        <f t="shared" si="42"/>
        <v>2011</v>
      </c>
      <c r="I790" s="12" t="s">
        <v>519</v>
      </c>
    </row>
    <row r="791" spans="1:9">
      <c r="A791" s="1" t="s">
        <v>269</v>
      </c>
      <c r="B791" s="1">
        <v>77.2</v>
      </c>
      <c r="C791" s="1">
        <v>88.5</v>
      </c>
      <c r="D791" s="1">
        <v>155.87</v>
      </c>
      <c r="E791" s="1">
        <v>9.36</v>
      </c>
      <c r="F791" s="1">
        <v>1.77</v>
      </c>
      <c r="H791" s="1" t="str">
        <f t="shared" si="42"/>
        <v>2011</v>
      </c>
      <c r="I791" s="12" t="s">
        <v>519</v>
      </c>
    </row>
    <row r="792" spans="1:9">
      <c r="A792" s="1" t="s">
        <v>30</v>
      </c>
      <c r="B792" s="1">
        <v>3.53</v>
      </c>
      <c r="C792" s="1">
        <v>4.0599999999999996</v>
      </c>
      <c r="D792" s="1">
        <v>259.77999999999997</v>
      </c>
      <c r="E792" s="1">
        <v>0</v>
      </c>
      <c r="F792" s="1">
        <v>2.94</v>
      </c>
      <c r="H792" s="1" t="str">
        <f t="shared" si="42"/>
        <v>2011</v>
      </c>
      <c r="I792" s="12" t="s">
        <v>519</v>
      </c>
    </row>
    <row r="793" spans="1:9">
      <c r="A793" s="1" t="s">
        <v>26</v>
      </c>
      <c r="B793" s="1">
        <v>39.799999999999997</v>
      </c>
      <c r="C793" s="1">
        <v>6.15</v>
      </c>
      <c r="D793" s="1">
        <v>19.899999999999999</v>
      </c>
      <c r="E793" s="1">
        <v>0.88</v>
      </c>
      <c r="F793" s="1">
        <v>27.69</v>
      </c>
      <c r="H793" s="1" t="str">
        <f t="shared" si="42"/>
        <v>2011</v>
      </c>
      <c r="I793" s="12" t="s">
        <v>519</v>
      </c>
    </row>
    <row r="794" spans="1:9">
      <c r="A794" s="1" t="s">
        <v>271</v>
      </c>
      <c r="B794" s="1">
        <v>0.57999999999999996</v>
      </c>
      <c r="C794" s="1">
        <v>0</v>
      </c>
      <c r="D794" s="1">
        <v>0</v>
      </c>
      <c r="E794" s="1">
        <v>0</v>
      </c>
      <c r="F794" s="1">
        <v>0.8</v>
      </c>
      <c r="H794" s="1" t="str">
        <f t="shared" si="42"/>
        <v>2011</v>
      </c>
      <c r="I794" s="12" t="s">
        <v>519</v>
      </c>
    </row>
    <row r="795" spans="1:9">
      <c r="A795" s="1" t="s">
        <v>143</v>
      </c>
      <c r="B795" s="1">
        <v>278.51</v>
      </c>
      <c r="C795" s="1">
        <v>0.89</v>
      </c>
      <c r="D795" s="1">
        <v>5.34</v>
      </c>
      <c r="E795" s="1">
        <v>0.89</v>
      </c>
      <c r="F795" s="1">
        <v>23.89</v>
      </c>
      <c r="H795" s="1" t="str">
        <f t="shared" si="42"/>
        <v>2011</v>
      </c>
      <c r="I795" s="12" t="s">
        <v>519</v>
      </c>
    </row>
    <row r="796" spans="1:9">
      <c r="A796" s="1" t="s">
        <v>144</v>
      </c>
      <c r="B796" s="1">
        <v>295.25</v>
      </c>
      <c r="C796" s="1">
        <v>0.95</v>
      </c>
      <c r="D796" s="1">
        <v>5.66</v>
      </c>
      <c r="E796" s="1">
        <v>0.95</v>
      </c>
      <c r="F796" s="1">
        <v>45.9</v>
      </c>
      <c r="H796" s="1" t="str">
        <f t="shared" si="42"/>
        <v>2011</v>
      </c>
      <c r="I796" s="12" t="s">
        <v>519</v>
      </c>
    </row>
    <row r="797" spans="1:9">
      <c r="A797" s="1" t="s">
        <v>14</v>
      </c>
      <c r="B797" s="1">
        <v>44.95</v>
      </c>
      <c r="C797" s="1">
        <v>0</v>
      </c>
      <c r="D797" s="1">
        <v>4.96</v>
      </c>
      <c r="E797" s="1">
        <v>0</v>
      </c>
      <c r="F797" s="1">
        <v>14.98</v>
      </c>
      <c r="H797" s="1" t="str">
        <f t="shared" si="42"/>
        <v>2011</v>
      </c>
      <c r="I797" s="12" t="s">
        <v>519</v>
      </c>
    </row>
    <row r="798" spans="1:9">
      <c r="A798" s="1" t="s">
        <v>145</v>
      </c>
      <c r="B798" s="1">
        <v>16.28</v>
      </c>
      <c r="C798" s="1">
        <v>0</v>
      </c>
      <c r="D798" s="1">
        <v>122.69</v>
      </c>
      <c r="E798" s="1">
        <v>0</v>
      </c>
      <c r="F798" s="1">
        <v>24.56</v>
      </c>
      <c r="H798" s="1" t="str">
        <f t="shared" si="42"/>
        <v>2011</v>
      </c>
      <c r="I798" s="12" t="s">
        <v>519</v>
      </c>
    </row>
    <row r="799" spans="1:9">
      <c r="A799" s="1" t="s">
        <v>146</v>
      </c>
      <c r="B799" s="1">
        <v>14.21</v>
      </c>
      <c r="C799" s="1">
        <v>1.22</v>
      </c>
      <c r="D799" s="1">
        <v>319.77</v>
      </c>
      <c r="E799" s="1">
        <v>0.79</v>
      </c>
      <c r="F799" s="1">
        <v>13.37</v>
      </c>
      <c r="H799" s="1" t="str">
        <f t="shared" si="42"/>
        <v>2011</v>
      </c>
      <c r="I799" s="12" t="s">
        <v>519</v>
      </c>
    </row>
    <row r="800" spans="1:9">
      <c r="A800" s="1" t="s">
        <v>147</v>
      </c>
      <c r="B800" s="1">
        <v>85.74</v>
      </c>
      <c r="C800" s="1">
        <v>0.8</v>
      </c>
      <c r="D800" s="1">
        <v>170.06</v>
      </c>
      <c r="E800" s="1">
        <v>0</v>
      </c>
      <c r="F800" s="1">
        <v>48.07</v>
      </c>
      <c r="H800" s="1" t="str">
        <f t="shared" si="42"/>
        <v>2011</v>
      </c>
      <c r="I800" s="12" t="s">
        <v>519</v>
      </c>
    </row>
    <row r="801" spans="1:9">
      <c r="A801" s="1" t="s">
        <v>518</v>
      </c>
    </row>
    <row r="802" spans="1:9">
      <c r="A802" s="1" t="s">
        <v>20</v>
      </c>
      <c r="B802" s="1">
        <v>113.56</v>
      </c>
      <c r="C802" s="1">
        <v>113.5</v>
      </c>
      <c r="D802" s="1">
        <v>113.56</v>
      </c>
      <c r="E802" s="1">
        <v>113.3</v>
      </c>
      <c r="F802" s="1">
        <v>113.5</v>
      </c>
      <c r="H802" s="1" t="str">
        <f>H784</f>
        <v>2011</v>
      </c>
      <c r="I802" s="12" t="s">
        <v>148</v>
      </c>
    </row>
    <row r="803" spans="1:9">
      <c r="A803" s="1" t="s">
        <v>17</v>
      </c>
      <c r="B803" s="1">
        <v>47.01</v>
      </c>
      <c r="C803" s="1">
        <v>47.96</v>
      </c>
      <c r="D803" s="1">
        <v>47.23</v>
      </c>
      <c r="E803" s="1">
        <v>47.04</v>
      </c>
      <c r="F803" s="1">
        <v>33.479999999999997</v>
      </c>
      <c r="H803" s="1" t="str">
        <f t="shared" ref="H803:H818" si="43">H785</f>
        <v>2011</v>
      </c>
      <c r="I803" s="12" t="s">
        <v>148</v>
      </c>
    </row>
    <row r="804" spans="1:9">
      <c r="A804" s="1" t="s">
        <v>10</v>
      </c>
      <c r="B804" s="1">
        <v>41.91</v>
      </c>
      <c r="C804" s="1">
        <v>43.53</v>
      </c>
      <c r="D804" s="1">
        <v>43.26</v>
      </c>
      <c r="E804" s="1">
        <v>37.93</v>
      </c>
      <c r="F804" s="1">
        <v>42.82</v>
      </c>
      <c r="H804" s="1" t="str">
        <f t="shared" si="43"/>
        <v>2011</v>
      </c>
      <c r="I804" s="12" t="s">
        <v>148</v>
      </c>
    </row>
    <row r="805" spans="1:9">
      <c r="A805" s="1" t="s">
        <v>11</v>
      </c>
      <c r="B805" s="1">
        <v>41.5</v>
      </c>
      <c r="C805" s="1">
        <v>39.53</v>
      </c>
      <c r="D805" s="1">
        <v>40.159999999999997</v>
      </c>
      <c r="E805" s="1">
        <v>41.28</v>
      </c>
      <c r="F805" s="1">
        <v>43.57</v>
      </c>
      <c r="H805" s="1" t="str">
        <f t="shared" si="43"/>
        <v>2011</v>
      </c>
      <c r="I805" s="12" t="s">
        <v>148</v>
      </c>
    </row>
    <row r="806" spans="1:9">
      <c r="A806" s="1" t="s">
        <v>32</v>
      </c>
      <c r="B806" s="1">
        <v>31.91</v>
      </c>
      <c r="C806" s="1">
        <v>30.8</v>
      </c>
      <c r="D806" s="1">
        <v>31.21</v>
      </c>
      <c r="E806" s="1">
        <v>30.4</v>
      </c>
      <c r="F806" s="1">
        <v>31.55</v>
      </c>
      <c r="H806" s="1" t="str">
        <f t="shared" si="43"/>
        <v>2011</v>
      </c>
      <c r="I806" s="12" t="s">
        <v>148</v>
      </c>
    </row>
    <row r="807" spans="1:9">
      <c r="A807" s="1" t="s">
        <v>31</v>
      </c>
      <c r="B807" s="1">
        <v>29.45</v>
      </c>
      <c r="C807" s="1">
        <v>30.26</v>
      </c>
      <c r="D807" s="1">
        <v>30.74</v>
      </c>
      <c r="E807" s="1">
        <v>29.94</v>
      </c>
      <c r="F807" s="1">
        <v>31.79</v>
      </c>
      <c r="H807" s="1" t="str">
        <f t="shared" si="43"/>
        <v>2011</v>
      </c>
      <c r="I807" s="12" t="s">
        <v>148</v>
      </c>
    </row>
    <row r="808" spans="1:9">
      <c r="A808" s="1" t="s">
        <v>266</v>
      </c>
      <c r="B808" s="1">
        <v>37</v>
      </c>
      <c r="C808" s="1">
        <v>37.119999999999997</v>
      </c>
      <c r="D808" s="1">
        <v>36.270000000000003</v>
      </c>
      <c r="E808" s="1">
        <v>37.39</v>
      </c>
      <c r="F808" s="1">
        <v>40.15</v>
      </c>
      <c r="H808" s="1" t="str">
        <f t="shared" si="43"/>
        <v>2011</v>
      </c>
      <c r="I808" s="12" t="s">
        <v>148</v>
      </c>
    </row>
    <row r="809" spans="1:9">
      <c r="A809" s="1" t="s">
        <v>269</v>
      </c>
      <c r="B809" s="1">
        <v>28.5</v>
      </c>
      <c r="C809" s="1">
        <v>28.5</v>
      </c>
      <c r="D809" s="1">
        <v>28.5</v>
      </c>
      <c r="E809" s="1">
        <v>28.5</v>
      </c>
      <c r="F809" s="1">
        <v>28.5</v>
      </c>
      <c r="H809" s="1" t="str">
        <f t="shared" si="43"/>
        <v>2011</v>
      </c>
      <c r="I809" s="12" t="s">
        <v>148</v>
      </c>
    </row>
    <row r="810" spans="1:9">
      <c r="A810" s="1" t="s">
        <v>30</v>
      </c>
      <c r="B810" s="1">
        <v>22.59</v>
      </c>
      <c r="C810" s="1">
        <v>25.09</v>
      </c>
      <c r="D810" s="1">
        <v>25.14</v>
      </c>
      <c r="E810" s="1">
        <v>24.24</v>
      </c>
      <c r="F810" s="1">
        <v>24.77</v>
      </c>
      <c r="H810" s="1" t="str">
        <f t="shared" si="43"/>
        <v>2011</v>
      </c>
      <c r="I810" s="12" t="s">
        <v>148</v>
      </c>
    </row>
    <row r="811" spans="1:9">
      <c r="A811" s="1" t="s">
        <v>26</v>
      </c>
      <c r="B811" s="1">
        <v>40.96</v>
      </c>
      <c r="C811" s="1">
        <v>40.96</v>
      </c>
      <c r="D811" s="1">
        <v>41.56</v>
      </c>
      <c r="E811" s="1">
        <v>41.07</v>
      </c>
      <c r="F811" s="1">
        <v>41.07</v>
      </c>
      <c r="H811" s="1" t="str">
        <f t="shared" si="43"/>
        <v>2011</v>
      </c>
      <c r="I811" s="12" t="s">
        <v>148</v>
      </c>
    </row>
    <row r="812" spans="1:9">
      <c r="A812" s="1" t="s">
        <v>271</v>
      </c>
      <c r="B812" s="1">
        <v>47.76</v>
      </c>
      <c r="C812" s="1">
        <v>46.94</v>
      </c>
      <c r="D812" s="1">
        <v>46.48</v>
      </c>
      <c r="E812" s="1">
        <v>48.44</v>
      </c>
      <c r="F812" s="1">
        <v>46.06</v>
      </c>
      <c r="H812" s="1" t="str">
        <f t="shared" si="43"/>
        <v>2011</v>
      </c>
      <c r="I812" s="12" t="s">
        <v>148</v>
      </c>
    </row>
    <row r="813" spans="1:9">
      <c r="A813" s="1" t="s">
        <v>143</v>
      </c>
      <c r="B813" s="1">
        <v>59.99</v>
      </c>
      <c r="C813" s="1">
        <v>57.94</v>
      </c>
      <c r="D813" s="1">
        <v>57.53</v>
      </c>
      <c r="E813" s="1">
        <v>60.17</v>
      </c>
      <c r="F813" s="1">
        <v>57.56</v>
      </c>
      <c r="H813" s="1" t="str">
        <f t="shared" si="43"/>
        <v>2011</v>
      </c>
      <c r="I813" s="12" t="s">
        <v>148</v>
      </c>
    </row>
    <row r="814" spans="1:9">
      <c r="A814" s="1" t="s">
        <v>144</v>
      </c>
      <c r="B814" s="1">
        <v>31.91</v>
      </c>
      <c r="C814" s="1">
        <v>30.8</v>
      </c>
      <c r="D814" s="1">
        <v>31.21</v>
      </c>
      <c r="E814" s="1">
        <v>30.4</v>
      </c>
      <c r="F814" s="1">
        <v>31.55</v>
      </c>
      <c r="H814" s="1" t="str">
        <f t="shared" si="43"/>
        <v>2011</v>
      </c>
      <c r="I814" s="12" t="s">
        <v>148</v>
      </c>
    </row>
    <row r="815" spans="1:9">
      <c r="A815" s="1" t="s">
        <v>14</v>
      </c>
      <c r="B815" s="1">
        <v>45.53</v>
      </c>
      <c r="C815" s="1">
        <v>45.07</v>
      </c>
      <c r="D815" s="1">
        <v>44.8</v>
      </c>
      <c r="E815" s="1">
        <v>45.91</v>
      </c>
      <c r="F815" s="1">
        <v>47.17</v>
      </c>
      <c r="H815" s="1" t="str">
        <f t="shared" si="43"/>
        <v>2011</v>
      </c>
      <c r="I815" s="12" t="s">
        <v>148</v>
      </c>
    </row>
    <row r="816" spans="1:9">
      <c r="A816" s="1" t="s">
        <v>145</v>
      </c>
      <c r="B816" s="1">
        <v>20.7</v>
      </c>
      <c r="C816" s="1">
        <v>20.49</v>
      </c>
      <c r="D816" s="1">
        <v>20.36</v>
      </c>
      <c r="E816" s="1">
        <v>20.87</v>
      </c>
      <c r="F816" s="1">
        <v>21.44</v>
      </c>
      <c r="H816" s="1" t="str">
        <f t="shared" si="43"/>
        <v>2011</v>
      </c>
      <c r="I816" s="12" t="s">
        <v>148</v>
      </c>
    </row>
    <row r="817" spans="1:9">
      <c r="A817" s="1" t="s">
        <v>146</v>
      </c>
      <c r="B817" s="1">
        <v>25.3</v>
      </c>
      <c r="C817" s="1">
        <v>25.04</v>
      </c>
      <c r="D817" s="1">
        <v>24.89</v>
      </c>
      <c r="E817" s="1">
        <v>25.51</v>
      </c>
      <c r="F817" s="1">
        <v>26.2</v>
      </c>
      <c r="H817" s="1" t="str">
        <f t="shared" si="43"/>
        <v>2011</v>
      </c>
      <c r="I817" s="12" t="s">
        <v>148</v>
      </c>
    </row>
    <row r="818" spans="1:9">
      <c r="A818" s="1" t="s">
        <v>147</v>
      </c>
      <c r="B818" s="1">
        <v>18.97</v>
      </c>
      <c r="C818" s="1">
        <v>18.78</v>
      </c>
      <c r="D818" s="1">
        <v>18.670000000000002</v>
      </c>
      <c r="E818" s="1">
        <v>19.13</v>
      </c>
      <c r="F818" s="1">
        <v>19.649999999999999</v>
      </c>
      <c r="H818" s="1" t="str">
        <f t="shared" si="43"/>
        <v>2011</v>
      </c>
      <c r="I818" s="12" t="s">
        <v>148</v>
      </c>
    </row>
    <row r="819" spans="1:9">
      <c r="A819" s="1" t="s">
        <v>170</v>
      </c>
    </row>
    <row r="820" spans="1:9">
      <c r="A820" s="1" t="s">
        <v>517</v>
      </c>
    </row>
    <row r="821" spans="1:9">
      <c r="A821" s="1" t="s">
        <v>20</v>
      </c>
      <c r="B821" s="1">
        <v>0</v>
      </c>
      <c r="C821" s="1">
        <v>0</v>
      </c>
      <c r="D821" s="1">
        <v>0</v>
      </c>
      <c r="E821" s="1">
        <v>0</v>
      </c>
      <c r="F821" s="1">
        <v>0</v>
      </c>
      <c r="H821" s="1" t="str">
        <f>RIGHT(A819,4)</f>
        <v>2012</v>
      </c>
      <c r="I821" s="12" t="s">
        <v>519</v>
      </c>
    </row>
    <row r="822" spans="1:9">
      <c r="A822" s="1" t="s">
        <v>17</v>
      </c>
      <c r="B822" s="1">
        <v>274.19</v>
      </c>
      <c r="C822" s="1">
        <v>1.04</v>
      </c>
      <c r="D822" s="1">
        <v>29.42</v>
      </c>
      <c r="E822" s="1">
        <v>0</v>
      </c>
      <c r="F822" s="1">
        <v>20.37</v>
      </c>
      <c r="H822" s="1" t="str">
        <f>H821</f>
        <v>2012</v>
      </c>
      <c r="I822" s="12" t="s">
        <v>519</v>
      </c>
    </row>
    <row r="823" spans="1:9">
      <c r="A823" s="1" t="s">
        <v>10</v>
      </c>
      <c r="B823" s="1">
        <v>172.08</v>
      </c>
      <c r="C823" s="1">
        <v>0.9</v>
      </c>
      <c r="D823" s="1">
        <v>8.56</v>
      </c>
      <c r="E823" s="1">
        <v>0.9</v>
      </c>
      <c r="F823" s="1">
        <v>5.1100000000000003</v>
      </c>
      <c r="H823" s="1" t="str">
        <f t="shared" ref="H823:H837" si="44">H822</f>
        <v>2012</v>
      </c>
      <c r="I823" s="12" t="s">
        <v>519</v>
      </c>
    </row>
    <row r="824" spans="1:9">
      <c r="A824" s="1" t="s">
        <v>11</v>
      </c>
      <c r="B824" s="1">
        <v>11.36</v>
      </c>
      <c r="C824" s="1">
        <v>0.85</v>
      </c>
      <c r="D824" s="1">
        <v>1</v>
      </c>
      <c r="E824" s="1">
        <v>1.2</v>
      </c>
      <c r="F824" s="1">
        <v>2.42</v>
      </c>
      <c r="H824" s="1" t="str">
        <f t="shared" si="44"/>
        <v>2012</v>
      </c>
      <c r="I824" s="12" t="s">
        <v>519</v>
      </c>
    </row>
    <row r="825" spans="1:9">
      <c r="A825" s="1" t="s">
        <v>32</v>
      </c>
      <c r="B825" s="1">
        <v>165.59</v>
      </c>
      <c r="C825" s="1">
        <v>1.8</v>
      </c>
      <c r="D825" s="1">
        <v>34.24</v>
      </c>
      <c r="E825" s="1">
        <v>0</v>
      </c>
      <c r="F825" s="1">
        <v>9.01</v>
      </c>
      <c r="H825" s="1" t="str">
        <f t="shared" si="44"/>
        <v>2012</v>
      </c>
      <c r="I825" s="12" t="s">
        <v>519</v>
      </c>
    </row>
    <row r="826" spans="1:9">
      <c r="A826" s="1" t="s">
        <v>31</v>
      </c>
      <c r="B826" s="1">
        <v>133.09</v>
      </c>
      <c r="C826" s="1">
        <v>1.8</v>
      </c>
      <c r="D826" s="1">
        <v>23.68</v>
      </c>
      <c r="E826" s="1">
        <v>0</v>
      </c>
      <c r="F826" s="1">
        <v>27.58</v>
      </c>
      <c r="H826" s="1" t="str">
        <f t="shared" si="44"/>
        <v>2012</v>
      </c>
      <c r="I826" s="12" t="s">
        <v>519</v>
      </c>
    </row>
    <row r="827" spans="1:9">
      <c r="A827" s="1" t="s">
        <v>266</v>
      </c>
      <c r="B827" s="1">
        <v>83.03</v>
      </c>
      <c r="C827" s="1">
        <v>0</v>
      </c>
      <c r="D827" s="1">
        <v>5.25</v>
      </c>
      <c r="E827" s="1">
        <v>0</v>
      </c>
      <c r="F827" s="1">
        <v>47.21</v>
      </c>
      <c r="H827" s="1" t="str">
        <f t="shared" si="44"/>
        <v>2012</v>
      </c>
      <c r="I827" s="12" t="s">
        <v>519</v>
      </c>
    </row>
    <row r="828" spans="1:9">
      <c r="A828" s="1" t="s">
        <v>269</v>
      </c>
      <c r="B828" s="1">
        <v>78.739999999999995</v>
      </c>
      <c r="C828" s="1">
        <v>90.27</v>
      </c>
      <c r="D828" s="1">
        <v>158.99</v>
      </c>
      <c r="E828" s="1">
        <v>9.5500000000000007</v>
      </c>
      <c r="F828" s="1">
        <v>1.8</v>
      </c>
      <c r="H828" s="1" t="str">
        <f t="shared" si="44"/>
        <v>2012</v>
      </c>
      <c r="I828" s="12" t="s">
        <v>519</v>
      </c>
    </row>
    <row r="829" spans="1:9">
      <c r="A829" s="1" t="s">
        <v>30</v>
      </c>
      <c r="B829" s="1">
        <v>3.6</v>
      </c>
      <c r="C829" s="1">
        <v>4.1399999999999997</v>
      </c>
      <c r="D829" s="1">
        <v>264.98</v>
      </c>
      <c r="E829" s="1">
        <v>0</v>
      </c>
      <c r="F829" s="1">
        <v>3</v>
      </c>
      <c r="H829" s="1" t="str">
        <f t="shared" si="44"/>
        <v>2012</v>
      </c>
      <c r="I829" s="12" t="s">
        <v>519</v>
      </c>
    </row>
    <row r="830" spans="1:9">
      <c r="A830" s="1" t="s">
        <v>26</v>
      </c>
      <c r="B830" s="1">
        <v>40.44</v>
      </c>
      <c r="C830" s="1">
        <v>6.25</v>
      </c>
      <c r="D830" s="1">
        <v>20.22</v>
      </c>
      <c r="E830" s="1">
        <v>0.89</v>
      </c>
      <c r="F830" s="1">
        <v>28.13</v>
      </c>
      <c r="H830" s="1" t="str">
        <f t="shared" si="44"/>
        <v>2012</v>
      </c>
      <c r="I830" s="12" t="s">
        <v>519</v>
      </c>
    </row>
    <row r="831" spans="1:9">
      <c r="A831" s="1" t="s">
        <v>271</v>
      </c>
      <c r="B831" s="1">
        <v>0.59</v>
      </c>
      <c r="C831" s="1">
        <v>0</v>
      </c>
      <c r="D831" s="1">
        <v>0</v>
      </c>
      <c r="E831" s="1">
        <v>0</v>
      </c>
      <c r="F831" s="1">
        <v>0.82</v>
      </c>
      <c r="H831" s="1" t="str">
        <f t="shared" si="44"/>
        <v>2012</v>
      </c>
      <c r="I831" s="12" t="s">
        <v>519</v>
      </c>
    </row>
    <row r="832" spans="1:9">
      <c r="A832" s="1" t="s">
        <v>143</v>
      </c>
      <c r="B832" s="1">
        <v>284.08</v>
      </c>
      <c r="C832" s="1">
        <v>0.91</v>
      </c>
      <c r="D832" s="1">
        <v>5.45</v>
      </c>
      <c r="E832" s="1">
        <v>0.91</v>
      </c>
      <c r="F832" s="1">
        <v>24.37</v>
      </c>
      <c r="H832" s="1" t="str">
        <f t="shared" si="44"/>
        <v>2012</v>
      </c>
      <c r="I832" s="12" t="s">
        <v>519</v>
      </c>
    </row>
    <row r="833" spans="1:9">
      <c r="A833" s="1" t="s">
        <v>144</v>
      </c>
      <c r="B833" s="1">
        <v>305.58999999999997</v>
      </c>
      <c r="C833" s="1">
        <v>0.98</v>
      </c>
      <c r="D833" s="1">
        <v>5.86</v>
      </c>
      <c r="E833" s="1">
        <v>0.98</v>
      </c>
      <c r="F833" s="1">
        <v>47.51</v>
      </c>
      <c r="H833" s="1" t="str">
        <f t="shared" si="44"/>
        <v>2012</v>
      </c>
      <c r="I833" s="12" t="s">
        <v>519</v>
      </c>
    </row>
    <row r="834" spans="1:9">
      <c r="A834" s="1" t="s">
        <v>14</v>
      </c>
      <c r="B834" s="1">
        <v>46.52</v>
      </c>
      <c r="C834" s="1">
        <v>0</v>
      </c>
      <c r="D834" s="1">
        <v>5.14</v>
      </c>
      <c r="E834" s="1">
        <v>0</v>
      </c>
      <c r="F834" s="1">
        <v>15.51</v>
      </c>
      <c r="H834" s="1" t="str">
        <f t="shared" si="44"/>
        <v>2012</v>
      </c>
      <c r="I834" s="12" t="s">
        <v>519</v>
      </c>
    </row>
    <row r="835" spans="1:9">
      <c r="A835" s="1" t="s">
        <v>145</v>
      </c>
      <c r="B835" s="1">
        <v>16.53</v>
      </c>
      <c r="C835" s="1">
        <v>0</v>
      </c>
      <c r="D835" s="1">
        <v>124.53</v>
      </c>
      <c r="E835" s="1">
        <v>0</v>
      </c>
      <c r="F835" s="1">
        <v>24.92</v>
      </c>
      <c r="H835" s="1" t="str">
        <f t="shared" si="44"/>
        <v>2012</v>
      </c>
      <c r="I835" s="12" t="s">
        <v>519</v>
      </c>
    </row>
    <row r="836" spans="1:9">
      <c r="A836" s="1" t="s">
        <v>146</v>
      </c>
      <c r="B836" s="1">
        <v>14.42</v>
      </c>
      <c r="C836" s="1">
        <v>1.23</v>
      </c>
      <c r="D836" s="1">
        <v>324.57</v>
      </c>
      <c r="E836" s="1">
        <v>0.8</v>
      </c>
      <c r="F836" s="1">
        <v>13.57</v>
      </c>
      <c r="H836" s="1" t="str">
        <f t="shared" si="44"/>
        <v>2012</v>
      </c>
      <c r="I836" s="12" t="s">
        <v>519</v>
      </c>
    </row>
    <row r="837" spans="1:9">
      <c r="A837" s="1" t="s">
        <v>147</v>
      </c>
      <c r="B837" s="1">
        <v>87.02</v>
      </c>
      <c r="C837" s="1">
        <v>0.81</v>
      </c>
      <c r="D837" s="1">
        <v>172.62</v>
      </c>
      <c r="E837" s="1">
        <v>0</v>
      </c>
      <c r="F837" s="1">
        <v>48.79</v>
      </c>
      <c r="H837" s="1" t="str">
        <f t="shared" si="44"/>
        <v>2012</v>
      </c>
      <c r="I837" s="12" t="s">
        <v>519</v>
      </c>
    </row>
    <row r="838" spans="1:9">
      <c r="A838" s="1" t="s">
        <v>518</v>
      </c>
    </row>
    <row r="839" spans="1:9">
      <c r="A839" s="1" t="s">
        <v>20</v>
      </c>
      <c r="B839" s="1">
        <v>113.56</v>
      </c>
      <c r="C839" s="1">
        <v>113.5</v>
      </c>
      <c r="D839" s="1">
        <v>113.56</v>
      </c>
      <c r="E839" s="1">
        <v>113.3</v>
      </c>
      <c r="F839" s="1">
        <v>113.5</v>
      </c>
      <c r="H839" s="1" t="str">
        <f>H821</f>
        <v>2012</v>
      </c>
      <c r="I839" s="12" t="s">
        <v>148</v>
      </c>
    </row>
    <row r="840" spans="1:9">
      <c r="A840" s="1" t="s">
        <v>17</v>
      </c>
      <c r="B840" s="1">
        <v>45.86</v>
      </c>
      <c r="C840" s="1">
        <v>46.32</v>
      </c>
      <c r="D840" s="1">
        <v>45.74</v>
      </c>
      <c r="E840" s="1">
        <v>45.55</v>
      </c>
      <c r="F840" s="1">
        <v>32.99</v>
      </c>
      <c r="H840" s="1" t="str">
        <f t="shared" ref="H840:H855" si="45">H822</f>
        <v>2012</v>
      </c>
      <c r="I840" s="12" t="s">
        <v>148</v>
      </c>
    </row>
    <row r="841" spans="1:9">
      <c r="A841" s="1" t="s">
        <v>10</v>
      </c>
      <c r="B841" s="1">
        <v>40.21</v>
      </c>
      <c r="C841" s="1">
        <v>39.93</v>
      </c>
      <c r="D841" s="1">
        <v>40.090000000000003</v>
      </c>
      <c r="E841" s="1">
        <v>36.68</v>
      </c>
      <c r="F841" s="1">
        <v>40.18</v>
      </c>
      <c r="H841" s="1" t="str">
        <f t="shared" si="45"/>
        <v>2012</v>
      </c>
      <c r="I841" s="12" t="s">
        <v>148</v>
      </c>
    </row>
    <row r="842" spans="1:9">
      <c r="A842" s="1" t="s">
        <v>11</v>
      </c>
      <c r="B842" s="1">
        <v>37.89</v>
      </c>
      <c r="C842" s="1">
        <v>36.93</v>
      </c>
      <c r="D842" s="1">
        <v>37.57</v>
      </c>
      <c r="E842" s="1">
        <v>38.44</v>
      </c>
      <c r="F842" s="1">
        <v>40.82</v>
      </c>
      <c r="H842" s="1" t="str">
        <f t="shared" si="45"/>
        <v>2012</v>
      </c>
      <c r="I842" s="12" t="s">
        <v>148</v>
      </c>
    </row>
    <row r="843" spans="1:9">
      <c r="A843" s="1" t="s">
        <v>32</v>
      </c>
      <c r="B843" s="1">
        <v>31.35</v>
      </c>
      <c r="C843" s="1">
        <v>30.19</v>
      </c>
      <c r="D843" s="1">
        <v>30.66</v>
      </c>
      <c r="E843" s="1">
        <v>29.78</v>
      </c>
      <c r="F843" s="1">
        <v>31.29</v>
      </c>
      <c r="H843" s="1" t="str">
        <f t="shared" si="45"/>
        <v>2012</v>
      </c>
      <c r="I843" s="12" t="s">
        <v>148</v>
      </c>
    </row>
    <row r="844" spans="1:9">
      <c r="A844" s="1" t="s">
        <v>31</v>
      </c>
      <c r="B844" s="1">
        <v>28.5</v>
      </c>
      <c r="C844" s="1">
        <v>29.65</v>
      </c>
      <c r="D844" s="1">
        <v>30.12</v>
      </c>
      <c r="E844" s="1">
        <v>29.29</v>
      </c>
      <c r="F844" s="1">
        <v>31.27</v>
      </c>
      <c r="H844" s="1" t="str">
        <f t="shared" si="45"/>
        <v>2012</v>
      </c>
      <c r="I844" s="12" t="s">
        <v>148</v>
      </c>
    </row>
    <row r="845" spans="1:9">
      <c r="A845" s="1" t="s">
        <v>266</v>
      </c>
      <c r="B845" s="1">
        <v>37.61</v>
      </c>
      <c r="C845" s="1">
        <v>36.97</v>
      </c>
      <c r="D845" s="1">
        <v>36.56</v>
      </c>
      <c r="E845" s="1">
        <v>37.43</v>
      </c>
      <c r="F845" s="1">
        <v>39.24</v>
      </c>
      <c r="H845" s="1" t="str">
        <f t="shared" si="45"/>
        <v>2012</v>
      </c>
      <c r="I845" s="12" t="s">
        <v>148</v>
      </c>
    </row>
    <row r="846" spans="1:9">
      <c r="A846" s="1" t="s">
        <v>269</v>
      </c>
      <c r="B846" s="1">
        <v>28.5</v>
      </c>
      <c r="C846" s="1">
        <v>28.5</v>
      </c>
      <c r="D846" s="1">
        <v>28.5</v>
      </c>
      <c r="E846" s="1">
        <v>28.5</v>
      </c>
      <c r="F846" s="1">
        <v>28.5</v>
      </c>
      <c r="H846" s="1" t="str">
        <f t="shared" si="45"/>
        <v>2012</v>
      </c>
      <c r="I846" s="12" t="s">
        <v>148</v>
      </c>
    </row>
    <row r="847" spans="1:9">
      <c r="A847" s="1" t="s">
        <v>30</v>
      </c>
      <c r="B847" s="1">
        <v>21.98</v>
      </c>
      <c r="C847" s="1">
        <v>23.98</v>
      </c>
      <c r="D847" s="1">
        <v>24.03</v>
      </c>
      <c r="E847" s="1">
        <v>23.22</v>
      </c>
      <c r="F847" s="1">
        <v>13.4</v>
      </c>
      <c r="H847" s="1" t="str">
        <f t="shared" si="45"/>
        <v>2012</v>
      </c>
      <c r="I847" s="12" t="s">
        <v>148</v>
      </c>
    </row>
    <row r="848" spans="1:9">
      <c r="A848" s="1" t="s">
        <v>26</v>
      </c>
      <c r="B848" s="1">
        <v>40.56</v>
      </c>
      <c r="C848" s="1">
        <v>40.56</v>
      </c>
      <c r="D848" s="1">
        <v>41.16</v>
      </c>
      <c r="E848" s="1">
        <v>40.659999999999997</v>
      </c>
      <c r="F848" s="1">
        <v>40.659999999999997</v>
      </c>
      <c r="H848" s="1" t="str">
        <f t="shared" si="45"/>
        <v>2012</v>
      </c>
      <c r="I848" s="12" t="s">
        <v>148</v>
      </c>
    </row>
    <row r="849" spans="1:9">
      <c r="A849" s="1" t="s">
        <v>271</v>
      </c>
      <c r="B849" s="1">
        <v>47.76</v>
      </c>
      <c r="C849" s="1">
        <v>46.94</v>
      </c>
      <c r="D849" s="1">
        <v>46.48</v>
      </c>
      <c r="E849" s="1">
        <v>48.44</v>
      </c>
      <c r="F849" s="1">
        <v>46.06</v>
      </c>
      <c r="H849" s="1" t="str">
        <f t="shared" si="45"/>
        <v>2012</v>
      </c>
      <c r="I849" s="12" t="s">
        <v>148</v>
      </c>
    </row>
    <row r="850" spans="1:9">
      <c r="A850" s="1" t="s">
        <v>143</v>
      </c>
      <c r="B850" s="1">
        <v>59.99</v>
      </c>
      <c r="C850" s="1">
        <v>57.94</v>
      </c>
      <c r="D850" s="1">
        <v>57.53</v>
      </c>
      <c r="E850" s="1">
        <v>60.17</v>
      </c>
      <c r="F850" s="1">
        <v>57.56</v>
      </c>
      <c r="H850" s="1" t="str">
        <f t="shared" si="45"/>
        <v>2012</v>
      </c>
      <c r="I850" s="12" t="s">
        <v>148</v>
      </c>
    </row>
    <row r="851" spans="1:9">
      <c r="A851" s="1" t="s">
        <v>144</v>
      </c>
      <c r="B851" s="1">
        <v>31.91</v>
      </c>
      <c r="C851" s="1">
        <v>30.8</v>
      </c>
      <c r="D851" s="1">
        <v>31.21</v>
      </c>
      <c r="E851" s="1">
        <v>30.4</v>
      </c>
      <c r="F851" s="1">
        <v>31.55</v>
      </c>
      <c r="H851" s="1" t="str">
        <f t="shared" si="45"/>
        <v>2012</v>
      </c>
      <c r="I851" s="12" t="s">
        <v>148</v>
      </c>
    </row>
    <row r="852" spans="1:9">
      <c r="A852" s="1" t="s">
        <v>14</v>
      </c>
      <c r="B852" s="1">
        <v>43.79</v>
      </c>
      <c r="C852" s="1">
        <v>42.98</v>
      </c>
      <c r="D852" s="1">
        <v>42.73</v>
      </c>
      <c r="E852" s="1">
        <v>43.6</v>
      </c>
      <c r="F852" s="1">
        <v>44.65</v>
      </c>
      <c r="H852" s="1" t="str">
        <f t="shared" si="45"/>
        <v>2012</v>
      </c>
      <c r="I852" s="12" t="s">
        <v>148</v>
      </c>
    </row>
    <row r="853" spans="1:9">
      <c r="A853" s="1" t="s">
        <v>145</v>
      </c>
      <c r="B853" s="1">
        <v>19.899999999999999</v>
      </c>
      <c r="C853" s="1">
        <v>19.54</v>
      </c>
      <c r="D853" s="1">
        <v>19.420000000000002</v>
      </c>
      <c r="E853" s="1">
        <v>19.82</v>
      </c>
      <c r="F853" s="1">
        <v>20.3</v>
      </c>
      <c r="H853" s="1" t="str">
        <f t="shared" si="45"/>
        <v>2012</v>
      </c>
      <c r="I853" s="12" t="s">
        <v>148</v>
      </c>
    </row>
    <row r="854" spans="1:9">
      <c r="A854" s="1" t="s">
        <v>146</v>
      </c>
      <c r="B854" s="1">
        <v>24.33</v>
      </c>
      <c r="C854" s="1">
        <v>23.88</v>
      </c>
      <c r="D854" s="1">
        <v>23.74</v>
      </c>
      <c r="E854" s="1">
        <v>24.22</v>
      </c>
      <c r="F854" s="1">
        <v>24.81</v>
      </c>
      <c r="H854" s="1" t="str">
        <f t="shared" si="45"/>
        <v>2012</v>
      </c>
      <c r="I854" s="12" t="s">
        <v>148</v>
      </c>
    </row>
    <row r="855" spans="1:9">
      <c r="A855" s="1" t="s">
        <v>147</v>
      </c>
      <c r="B855" s="1">
        <v>18.25</v>
      </c>
      <c r="C855" s="1">
        <v>17.91</v>
      </c>
      <c r="D855" s="1">
        <v>17.8</v>
      </c>
      <c r="E855" s="1">
        <v>18.170000000000002</v>
      </c>
      <c r="F855" s="1">
        <v>18.600000000000001</v>
      </c>
      <c r="H855" s="1" t="str">
        <f t="shared" si="45"/>
        <v>2012</v>
      </c>
      <c r="I855" s="12" t="s">
        <v>148</v>
      </c>
    </row>
    <row r="856" spans="1:9">
      <c r="A856" s="1" t="s">
        <v>171</v>
      </c>
    </row>
    <row r="857" spans="1:9">
      <c r="A857" s="1" t="s">
        <v>517</v>
      </c>
    </row>
    <row r="858" spans="1:9">
      <c r="A858" s="1" t="s">
        <v>20</v>
      </c>
      <c r="B858" s="1">
        <v>0</v>
      </c>
      <c r="C858" s="1">
        <v>0</v>
      </c>
      <c r="D858" s="1">
        <v>0</v>
      </c>
      <c r="E858" s="1">
        <v>0</v>
      </c>
      <c r="F858" s="1">
        <v>0</v>
      </c>
      <c r="H858" s="1" t="str">
        <f>RIGHT(A856,4)</f>
        <v>2013</v>
      </c>
      <c r="I858" s="12" t="s">
        <v>519</v>
      </c>
    </row>
    <row r="859" spans="1:9">
      <c r="A859" s="1" t="s">
        <v>17</v>
      </c>
      <c r="B859" s="1">
        <v>278.3</v>
      </c>
      <c r="C859" s="1">
        <v>1.06</v>
      </c>
      <c r="D859" s="1">
        <v>29.86</v>
      </c>
      <c r="E859" s="1">
        <v>0</v>
      </c>
      <c r="F859" s="1">
        <v>20.67</v>
      </c>
      <c r="H859" s="1" t="str">
        <f>H858</f>
        <v>2013</v>
      </c>
      <c r="I859" s="12" t="s">
        <v>519</v>
      </c>
    </row>
    <row r="860" spans="1:9">
      <c r="A860" s="1" t="s">
        <v>10</v>
      </c>
      <c r="B860" s="1">
        <v>175.52</v>
      </c>
      <c r="C860" s="1">
        <v>0.92</v>
      </c>
      <c r="D860" s="1">
        <v>8.73</v>
      </c>
      <c r="E860" s="1">
        <v>0.92</v>
      </c>
      <c r="F860" s="1">
        <v>5.21</v>
      </c>
      <c r="H860" s="1" t="str">
        <f t="shared" ref="H860:H874" si="46">H859</f>
        <v>2013</v>
      </c>
      <c r="I860" s="12" t="s">
        <v>519</v>
      </c>
    </row>
    <row r="861" spans="1:9">
      <c r="A861" s="1" t="s">
        <v>11</v>
      </c>
      <c r="B861" s="1">
        <v>8.52</v>
      </c>
      <c r="C861" s="1">
        <v>0.64</v>
      </c>
      <c r="D861" s="1">
        <v>0.75</v>
      </c>
      <c r="E861" s="1">
        <v>0.9</v>
      </c>
      <c r="F861" s="1">
        <v>1.82</v>
      </c>
      <c r="H861" s="1" t="str">
        <f t="shared" si="46"/>
        <v>2013</v>
      </c>
      <c r="I861" s="12" t="s">
        <v>519</v>
      </c>
    </row>
    <row r="862" spans="1:9">
      <c r="A862" s="1" t="s">
        <v>32</v>
      </c>
      <c r="B862" s="1">
        <v>168.9</v>
      </c>
      <c r="C862" s="1">
        <v>1.84</v>
      </c>
      <c r="D862" s="1">
        <v>34.92</v>
      </c>
      <c r="E862" s="1">
        <v>0</v>
      </c>
      <c r="F862" s="1">
        <v>9.19</v>
      </c>
      <c r="H862" s="1" t="str">
        <f t="shared" si="46"/>
        <v>2013</v>
      </c>
      <c r="I862" s="12" t="s">
        <v>519</v>
      </c>
    </row>
    <row r="863" spans="1:9">
      <c r="A863" s="1" t="s">
        <v>31</v>
      </c>
      <c r="B863" s="1">
        <v>131.76</v>
      </c>
      <c r="C863" s="1">
        <v>1.78</v>
      </c>
      <c r="D863" s="1">
        <v>23.44</v>
      </c>
      <c r="E863" s="1">
        <v>0</v>
      </c>
      <c r="F863" s="1">
        <v>27.3</v>
      </c>
      <c r="H863" s="1" t="str">
        <f t="shared" si="46"/>
        <v>2013</v>
      </c>
      <c r="I863" s="12" t="s">
        <v>519</v>
      </c>
    </row>
    <row r="864" spans="1:9">
      <c r="A864" s="1" t="s">
        <v>266</v>
      </c>
      <c r="B864" s="1">
        <v>84.69</v>
      </c>
      <c r="C864" s="1">
        <v>0</v>
      </c>
      <c r="D864" s="1">
        <v>5.35</v>
      </c>
      <c r="E864" s="1">
        <v>0</v>
      </c>
      <c r="F864" s="1">
        <v>48.16</v>
      </c>
      <c r="H864" s="1" t="str">
        <f t="shared" si="46"/>
        <v>2013</v>
      </c>
      <c r="I864" s="12" t="s">
        <v>519</v>
      </c>
    </row>
    <row r="865" spans="1:9">
      <c r="A865" s="1" t="s">
        <v>269</v>
      </c>
      <c r="B865" s="1">
        <v>80.319999999999993</v>
      </c>
      <c r="C865" s="1">
        <v>92.08</v>
      </c>
      <c r="D865" s="1">
        <v>162.16999999999999</v>
      </c>
      <c r="E865" s="1">
        <v>9.74</v>
      </c>
      <c r="F865" s="1">
        <v>1.84</v>
      </c>
      <c r="H865" s="1" t="str">
        <f t="shared" si="46"/>
        <v>2013</v>
      </c>
      <c r="I865" s="12" t="s">
        <v>519</v>
      </c>
    </row>
    <row r="866" spans="1:9">
      <c r="A866" s="1" t="s">
        <v>30</v>
      </c>
      <c r="B866" s="1">
        <v>3.68</v>
      </c>
      <c r="C866" s="1">
        <v>4.2300000000000004</v>
      </c>
      <c r="D866" s="1">
        <v>270.27999999999997</v>
      </c>
      <c r="E866" s="1">
        <v>0</v>
      </c>
      <c r="F866" s="1">
        <v>3.06</v>
      </c>
      <c r="H866" s="1" t="str">
        <f t="shared" si="46"/>
        <v>2013</v>
      </c>
      <c r="I866" s="12" t="s">
        <v>519</v>
      </c>
    </row>
    <row r="867" spans="1:9">
      <c r="A867" s="1" t="s">
        <v>26</v>
      </c>
      <c r="B867" s="1">
        <v>41.08</v>
      </c>
      <c r="C867" s="1">
        <v>6.35</v>
      </c>
      <c r="D867" s="1">
        <v>20.54</v>
      </c>
      <c r="E867" s="1">
        <v>0.91</v>
      </c>
      <c r="F867" s="1">
        <v>28.58</v>
      </c>
      <c r="H867" s="1" t="str">
        <f t="shared" si="46"/>
        <v>2013</v>
      </c>
      <c r="I867" s="12" t="s">
        <v>519</v>
      </c>
    </row>
    <row r="868" spans="1:9">
      <c r="A868" s="1" t="s">
        <v>271</v>
      </c>
      <c r="B868" s="1">
        <v>0.61</v>
      </c>
      <c r="C868" s="1">
        <v>0</v>
      </c>
      <c r="D868" s="1">
        <v>0</v>
      </c>
      <c r="E868" s="1">
        <v>0</v>
      </c>
      <c r="F868" s="1">
        <v>0.85</v>
      </c>
      <c r="H868" s="1" t="str">
        <f t="shared" si="46"/>
        <v>2013</v>
      </c>
      <c r="I868" s="12" t="s">
        <v>519</v>
      </c>
    </row>
    <row r="869" spans="1:9">
      <c r="A869" s="1" t="s">
        <v>143</v>
      </c>
      <c r="B869" s="1">
        <v>289.76</v>
      </c>
      <c r="C869" s="1">
        <v>0.93</v>
      </c>
      <c r="D869" s="1">
        <v>5.56</v>
      </c>
      <c r="E869" s="1">
        <v>0.93</v>
      </c>
      <c r="F869" s="1">
        <v>24.86</v>
      </c>
      <c r="H869" s="1" t="str">
        <f t="shared" si="46"/>
        <v>2013</v>
      </c>
      <c r="I869" s="12" t="s">
        <v>519</v>
      </c>
    </row>
    <row r="870" spans="1:9">
      <c r="A870" s="1" t="s">
        <v>144</v>
      </c>
      <c r="B870" s="1">
        <v>316.27999999999997</v>
      </c>
      <c r="C870" s="1">
        <v>1.02</v>
      </c>
      <c r="D870" s="1">
        <v>6.06</v>
      </c>
      <c r="E870" s="1">
        <v>1.02</v>
      </c>
      <c r="F870" s="1">
        <v>49.17</v>
      </c>
      <c r="H870" s="1" t="str">
        <f t="shared" si="46"/>
        <v>2013</v>
      </c>
      <c r="I870" s="12" t="s">
        <v>519</v>
      </c>
    </row>
    <row r="871" spans="1:9">
      <c r="A871" s="1" t="s">
        <v>14</v>
      </c>
      <c r="B871" s="1">
        <v>48.15</v>
      </c>
      <c r="C871" s="1">
        <v>0</v>
      </c>
      <c r="D871" s="1">
        <v>5.32</v>
      </c>
      <c r="E871" s="1">
        <v>0</v>
      </c>
      <c r="F871" s="1">
        <v>16.05</v>
      </c>
      <c r="H871" s="1" t="str">
        <f t="shared" si="46"/>
        <v>2013</v>
      </c>
      <c r="I871" s="12" t="s">
        <v>519</v>
      </c>
    </row>
    <row r="872" spans="1:9">
      <c r="A872" s="1" t="s">
        <v>145</v>
      </c>
      <c r="B872" s="1">
        <v>16.77</v>
      </c>
      <c r="C872" s="1">
        <v>0</v>
      </c>
      <c r="D872" s="1">
        <v>126.4</v>
      </c>
      <c r="E872" s="1">
        <v>0</v>
      </c>
      <c r="F872" s="1">
        <v>25.3</v>
      </c>
      <c r="H872" s="1" t="str">
        <f t="shared" si="46"/>
        <v>2013</v>
      </c>
      <c r="I872" s="12" t="s">
        <v>519</v>
      </c>
    </row>
    <row r="873" spans="1:9">
      <c r="A873" s="1" t="s">
        <v>146</v>
      </c>
      <c r="B873" s="1">
        <v>14.64</v>
      </c>
      <c r="C873" s="1">
        <v>1.25</v>
      </c>
      <c r="D873" s="1">
        <v>329.44</v>
      </c>
      <c r="E873" s="1">
        <v>0.81</v>
      </c>
      <c r="F873" s="1">
        <v>13.78</v>
      </c>
      <c r="H873" s="1" t="str">
        <f t="shared" si="46"/>
        <v>2013</v>
      </c>
      <c r="I873" s="12" t="s">
        <v>519</v>
      </c>
    </row>
    <row r="874" spans="1:9">
      <c r="A874" s="1" t="s">
        <v>147</v>
      </c>
      <c r="B874" s="1">
        <v>88.33</v>
      </c>
      <c r="C874" s="1">
        <v>0.82</v>
      </c>
      <c r="D874" s="1">
        <v>175.2</v>
      </c>
      <c r="E874" s="1">
        <v>0</v>
      </c>
      <c r="F874" s="1">
        <v>49.52</v>
      </c>
      <c r="H874" s="1" t="str">
        <f t="shared" si="46"/>
        <v>2013</v>
      </c>
      <c r="I874" s="12" t="s">
        <v>519</v>
      </c>
    </row>
    <row r="875" spans="1:9">
      <c r="A875" s="1" t="s">
        <v>518</v>
      </c>
    </row>
    <row r="876" spans="1:9">
      <c r="A876" s="1" t="s">
        <v>20</v>
      </c>
      <c r="B876" s="1">
        <v>113.56</v>
      </c>
      <c r="C876" s="1">
        <v>113.5</v>
      </c>
      <c r="D876" s="1">
        <v>113.56</v>
      </c>
      <c r="E876" s="1">
        <v>113.3</v>
      </c>
      <c r="F876" s="1">
        <v>113.5</v>
      </c>
      <c r="H876" s="1" t="str">
        <f>H858</f>
        <v>2013</v>
      </c>
      <c r="I876" s="12" t="s">
        <v>148</v>
      </c>
    </row>
    <row r="877" spans="1:9">
      <c r="A877" s="1" t="s">
        <v>17</v>
      </c>
      <c r="B877" s="1">
        <v>44.83</v>
      </c>
      <c r="C877" s="1">
        <v>45.16</v>
      </c>
      <c r="D877" s="1">
        <v>44.58</v>
      </c>
      <c r="E877" s="1">
        <v>44.39</v>
      </c>
      <c r="F877" s="1">
        <v>31.79</v>
      </c>
      <c r="H877" s="1" t="str">
        <f t="shared" ref="H877:H892" si="47">H859</f>
        <v>2013</v>
      </c>
      <c r="I877" s="12" t="s">
        <v>148</v>
      </c>
    </row>
    <row r="878" spans="1:9">
      <c r="A878" s="1" t="s">
        <v>10</v>
      </c>
      <c r="B878" s="1">
        <v>37.14</v>
      </c>
      <c r="C878" s="1">
        <v>36.18</v>
      </c>
      <c r="D878" s="1">
        <v>36.89</v>
      </c>
      <c r="E878" s="1">
        <v>34.99</v>
      </c>
      <c r="F878" s="1">
        <v>37.270000000000003</v>
      </c>
      <c r="H878" s="1" t="str">
        <f t="shared" si="47"/>
        <v>2013</v>
      </c>
      <c r="I878" s="12" t="s">
        <v>148</v>
      </c>
    </row>
    <row r="879" spans="1:9">
      <c r="A879" s="1" t="s">
        <v>11</v>
      </c>
      <c r="B879" s="1">
        <v>37.89</v>
      </c>
      <c r="C879" s="1">
        <v>36.93</v>
      </c>
      <c r="D879" s="1">
        <v>37.57</v>
      </c>
      <c r="E879" s="1">
        <v>38.44</v>
      </c>
      <c r="F879" s="1">
        <v>40.82</v>
      </c>
      <c r="H879" s="1" t="str">
        <f t="shared" si="47"/>
        <v>2013</v>
      </c>
      <c r="I879" s="12" t="s">
        <v>148</v>
      </c>
    </row>
    <row r="880" spans="1:9">
      <c r="A880" s="1" t="s">
        <v>32</v>
      </c>
      <c r="B880" s="1">
        <v>26.39</v>
      </c>
      <c r="C880" s="1">
        <v>28.49</v>
      </c>
      <c r="D880" s="1">
        <v>28.96</v>
      </c>
      <c r="E880" s="1">
        <v>28.09</v>
      </c>
      <c r="F880" s="1">
        <v>29.93</v>
      </c>
      <c r="H880" s="1" t="str">
        <f t="shared" si="47"/>
        <v>2013</v>
      </c>
      <c r="I880" s="12" t="s">
        <v>148</v>
      </c>
    </row>
    <row r="881" spans="1:9">
      <c r="A881" s="1" t="s">
        <v>31</v>
      </c>
      <c r="B881" s="1">
        <v>28.5</v>
      </c>
      <c r="C881" s="1">
        <v>28.14</v>
      </c>
      <c r="D881" s="1">
        <v>28.61</v>
      </c>
      <c r="E881" s="1">
        <v>27.74</v>
      </c>
      <c r="F881" s="1">
        <v>30.11</v>
      </c>
      <c r="H881" s="1" t="str">
        <f t="shared" si="47"/>
        <v>2013</v>
      </c>
      <c r="I881" s="12" t="s">
        <v>148</v>
      </c>
    </row>
    <row r="882" spans="1:9">
      <c r="A882" s="1" t="s">
        <v>266</v>
      </c>
      <c r="B882" s="1">
        <v>35</v>
      </c>
      <c r="C882" s="1">
        <v>34.11</v>
      </c>
      <c r="D882" s="1">
        <v>33.950000000000003</v>
      </c>
      <c r="E882" s="1">
        <v>35.61</v>
      </c>
      <c r="F882" s="1">
        <v>36.450000000000003</v>
      </c>
      <c r="H882" s="1" t="str">
        <f t="shared" si="47"/>
        <v>2013</v>
      </c>
      <c r="I882" s="12" t="s">
        <v>148</v>
      </c>
    </row>
    <row r="883" spans="1:9">
      <c r="A883" s="1" t="s">
        <v>269</v>
      </c>
      <c r="B883" s="1">
        <v>28.5</v>
      </c>
      <c r="C883" s="1">
        <v>28.5</v>
      </c>
      <c r="D883" s="1">
        <v>28.5</v>
      </c>
      <c r="E883" s="1">
        <v>28.5</v>
      </c>
      <c r="F883" s="1">
        <v>28.5</v>
      </c>
      <c r="H883" s="1" t="str">
        <f t="shared" si="47"/>
        <v>2013</v>
      </c>
      <c r="I883" s="12" t="s">
        <v>148</v>
      </c>
    </row>
    <row r="884" spans="1:9">
      <c r="A884" s="1" t="s">
        <v>30</v>
      </c>
      <c r="B884" s="1">
        <v>20.39</v>
      </c>
      <c r="C884" s="1">
        <v>22.78</v>
      </c>
      <c r="D884" s="1">
        <v>22.83</v>
      </c>
      <c r="E884" s="1">
        <v>22.03</v>
      </c>
      <c r="F884" s="1">
        <v>23.75</v>
      </c>
      <c r="H884" s="1" t="str">
        <f t="shared" si="47"/>
        <v>2013</v>
      </c>
      <c r="I884" s="12" t="s">
        <v>148</v>
      </c>
    </row>
    <row r="885" spans="1:9">
      <c r="A885" s="1" t="s">
        <v>26</v>
      </c>
      <c r="B885" s="1">
        <v>30.59</v>
      </c>
      <c r="C885" s="1">
        <v>30.68</v>
      </c>
      <c r="D885" s="1">
        <v>31.56</v>
      </c>
      <c r="E885" s="1">
        <v>31.14</v>
      </c>
      <c r="F885" s="1">
        <v>32.35</v>
      </c>
      <c r="H885" s="1" t="str">
        <f t="shared" si="47"/>
        <v>2013</v>
      </c>
      <c r="I885" s="12" t="s">
        <v>148</v>
      </c>
    </row>
    <row r="886" spans="1:9">
      <c r="A886" s="1" t="s">
        <v>271</v>
      </c>
      <c r="B886" s="1">
        <v>47.76</v>
      </c>
      <c r="C886" s="1">
        <v>46.94</v>
      </c>
      <c r="D886" s="1">
        <v>46.48</v>
      </c>
      <c r="E886" s="1">
        <v>48.44</v>
      </c>
      <c r="F886" s="1">
        <v>46.06</v>
      </c>
      <c r="H886" s="1" t="str">
        <f t="shared" si="47"/>
        <v>2013</v>
      </c>
      <c r="I886" s="12" t="s">
        <v>148</v>
      </c>
    </row>
    <row r="887" spans="1:9">
      <c r="A887" s="1" t="s">
        <v>143</v>
      </c>
      <c r="B887" s="1">
        <v>59.99</v>
      </c>
      <c r="C887" s="1">
        <v>57.94</v>
      </c>
      <c r="D887" s="1">
        <v>57.53</v>
      </c>
      <c r="E887" s="1">
        <v>60.17</v>
      </c>
      <c r="F887" s="1">
        <v>57.56</v>
      </c>
      <c r="H887" s="1" t="str">
        <f t="shared" si="47"/>
        <v>2013</v>
      </c>
      <c r="I887" s="12" t="s">
        <v>148</v>
      </c>
    </row>
    <row r="888" spans="1:9">
      <c r="A888" s="1" t="s">
        <v>144</v>
      </c>
      <c r="B888" s="1">
        <v>31.91</v>
      </c>
      <c r="C888" s="1">
        <v>30.8</v>
      </c>
      <c r="D888" s="1">
        <v>31.21</v>
      </c>
      <c r="E888" s="1">
        <v>30.4</v>
      </c>
      <c r="F888" s="1">
        <v>31.55</v>
      </c>
      <c r="H888" s="1" t="str">
        <f t="shared" si="47"/>
        <v>2013</v>
      </c>
      <c r="I888" s="12" t="s">
        <v>148</v>
      </c>
    </row>
    <row r="889" spans="1:9">
      <c r="A889" s="1" t="s">
        <v>14</v>
      </c>
      <c r="B889" s="1">
        <v>41.37</v>
      </c>
      <c r="C889" s="1">
        <v>41.29</v>
      </c>
      <c r="D889" s="1">
        <v>40.32</v>
      </c>
      <c r="E889" s="1">
        <v>42.23</v>
      </c>
      <c r="F889" s="1">
        <v>42.84</v>
      </c>
      <c r="H889" s="1" t="str">
        <f t="shared" si="47"/>
        <v>2013</v>
      </c>
      <c r="I889" s="12" t="s">
        <v>148</v>
      </c>
    </row>
    <row r="890" spans="1:9">
      <c r="A890" s="1" t="s">
        <v>145</v>
      </c>
      <c r="B890" s="1">
        <v>18.809999999999999</v>
      </c>
      <c r="C890" s="1">
        <v>18.77</v>
      </c>
      <c r="D890" s="1">
        <v>18.329999999999998</v>
      </c>
      <c r="E890" s="1">
        <v>19.190000000000001</v>
      </c>
      <c r="F890" s="1">
        <v>19.47</v>
      </c>
      <c r="H890" s="1" t="str">
        <f t="shared" si="47"/>
        <v>2013</v>
      </c>
      <c r="I890" s="12" t="s">
        <v>148</v>
      </c>
    </row>
    <row r="891" spans="1:9">
      <c r="A891" s="1" t="s">
        <v>146</v>
      </c>
      <c r="B891" s="1">
        <v>22.98</v>
      </c>
      <c r="C891" s="1">
        <v>22.94</v>
      </c>
      <c r="D891" s="1">
        <v>22.4</v>
      </c>
      <c r="E891" s="1">
        <v>23.46</v>
      </c>
      <c r="F891" s="1">
        <v>23.8</v>
      </c>
      <c r="H891" s="1" t="str">
        <f t="shared" si="47"/>
        <v>2013</v>
      </c>
      <c r="I891" s="12" t="s">
        <v>148</v>
      </c>
    </row>
    <row r="892" spans="1:9">
      <c r="A892" s="1" t="s">
        <v>147</v>
      </c>
      <c r="B892" s="1">
        <v>17.239999999999998</v>
      </c>
      <c r="C892" s="1">
        <v>17.2</v>
      </c>
      <c r="D892" s="1">
        <v>16.8</v>
      </c>
      <c r="E892" s="1">
        <v>17.59</v>
      </c>
      <c r="F892" s="1">
        <v>17.850000000000001</v>
      </c>
      <c r="H892" s="1" t="str">
        <f t="shared" si="47"/>
        <v>2013</v>
      </c>
      <c r="I892" s="12" t="s">
        <v>148</v>
      </c>
    </row>
    <row r="893" spans="1:9">
      <c r="A893" s="1" t="s">
        <v>172</v>
      </c>
    </row>
    <row r="894" spans="1:9">
      <c r="A894" s="1" t="s">
        <v>517</v>
      </c>
    </row>
    <row r="895" spans="1:9">
      <c r="A895" s="1" t="s">
        <v>20</v>
      </c>
      <c r="B895" s="1">
        <v>0</v>
      </c>
      <c r="C895" s="1">
        <v>0</v>
      </c>
      <c r="D895" s="1">
        <v>0</v>
      </c>
      <c r="E895" s="1">
        <v>0</v>
      </c>
      <c r="F895" s="1">
        <v>0</v>
      </c>
      <c r="H895" s="1" t="str">
        <f>RIGHT(A893,4)</f>
        <v>2014</v>
      </c>
      <c r="I895" s="12" t="s">
        <v>519</v>
      </c>
    </row>
    <row r="896" spans="1:9">
      <c r="A896" s="1" t="s">
        <v>17</v>
      </c>
      <c r="B896" s="1">
        <v>282.48</v>
      </c>
      <c r="C896" s="1">
        <v>1.08</v>
      </c>
      <c r="D896" s="1">
        <v>30.31</v>
      </c>
      <c r="E896" s="1">
        <v>0</v>
      </c>
      <c r="F896" s="1">
        <v>20.98</v>
      </c>
      <c r="H896" s="1" t="str">
        <f>H895</f>
        <v>2014</v>
      </c>
      <c r="I896" s="12" t="s">
        <v>519</v>
      </c>
    </row>
    <row r="897" spans="1:9">
      <c r="A897" s="1" t="s">
        <v>10</v>
      </c>
      <c r="B897" s="1">
        <v>179.03</v>
      </c>
      <c r="C897" s="1">
        <v>0.94</v>
      </c>
      <c r="D897" s="1">
        <v>8.9</v>
      </c>
      <c r="E897" s="1">
        <v>0.94</v>
      </c>
      <c r="F897" s="1">
        <v>5.31</v>
      </c>
      <c r="H897" s="1" t="str">
        <f t="shared" ref="H897:H911" si="48">H896</f>
        <v>2014</v>
      </c>
      <c r="I897" s="12" t="s">
        <v>519</v>
      </c>
    </row>
    <row r="898" spans="1:9">
      <c r="A898" s="1" t="s">
        <v>11</v>
      </c>
      <c r="B898" s="1">
        <v>6.39</v>
      </c>
      <c r="C898" s="1">
        <v>0.48</v>
      </c>
      <c r="D898" s="1">
        <v>0.56000000000000005</v>
      </c>
      <c r="E898" s="1">
        <v>0.67</v>
      </c>
      <c r="F898" s="1">
        <v>1.36</v>
      </c>
      <c r="H898" s="1" t="str">
        <f t="shared" si="48"/>
        <v>2014</v>
      </c>
      <c r="I898" s="12" t="s">
        <v>519</v>
      </c>
    </row>
    <row r="899" spans="1:9">
      <c r="A899" s="1" t="s">
        <v>32</v>
      </c>
      <c r="B899" s="1">
        <v>172.28</v>
      </c>
      <c r="C899" s="1">
        <v>1.87</v>
      </c>
      <c r="D899" s="1">
        <v>35.619999999999997</v>
      </c>
      <c r="E899" s="1">
        <v>0</v>
      </c>
      <c r="F899" s="1">
        <v>9.3699999999999992</v>
      </c>
      <c r="H899" s="1" t="str">
        <f t="shared" si="48"/>
        <v>2014</v>
      </c>
      <c r="I899" s="12" t="s">
        <v>519</v>
      </c>
    </row>
    <row r="900" spans="1:9">
      <c r="A900" s="1" t="s">
        <v>31</v>
      </c>
      <c r="B900" s="1">
        <v>130.44</v>
      </c>
      <c r="C900" s="1">
        <v>1.76</v>
      </c>
      <c r="D900" s="1">
        <v>23.21</v>
      </c>
      <c r="E900" s="1">
        <v>0</v>
      </c>
      <c r="F900" s="1">
        <v>27.03</v>
      </c>
      <c r="H900" s="1" t="str">
        <f t="shared" si="48"/>
        <v>2014</v>
      </c>
      <c r="I900" s="12" t="s">
        <v>519</v>
      </c>
    </row>
    <row r="901" spans="1:9">
      <c r="A901" s="1" t="s">
        <v>266</v>
      </c>
      <c r="B901" s="1">
        <v>86.38</v>
      </c>
      <c r="C901" s="1">
        <v>0</v>
      </c>
      <c r="D901" s="1">
        <v>5.46</v>
      </c>
      <c r="E901" s="1">
        <v>0</v>
      </c>
      <c r="F901" s="1">
        <v>49.12</v>
      </c>
      <c r="H901" s="1" t="str">
        <f t="shared" si="48"/>
        <v>2014</v>
      </c>
      <c r="I901" s="12" t="s">
        <v>519</v>
      </c>
    </row>
    <row r="902" spans="1:9">
      <c r="A902" s="1" t="s">
        <v>269</v>
      </c>
      <c r="B902" s="1">
        <v>81.92</v>
      </c>
      <c r="C902" s="1">
        <v>93.92</v>
      </c>
      <c r="D902" s="1">
        <v>165.41</v>
      </c>
      <c r="E902" s="1">
        <v>9.94</v>
      </c>
      <c r="F902" s="1">
        <v>1.87</v>
      </c>
      <c r="H902" s="1" t="str">
        <f t="shared" si="48"/>
        <v>2014</v>
      </c>
      <c r="I902" s="12" t="s">
        <v>519</v>
      </c>
    </row>
    <row r="903" spans="1:9">
      <c r="A903" s="1" t="s">
        <v>30</v>
      </c>
      <c r="B903" s="1">
        <v>3.75</v>
      </c>
      <c r="C903" s="1">
        <v>4.3099999999999996</v>
      </c>
      <c r="D903" s="1">
        <v>275.68</v>
      </c>
      <c r="E903" s="1">
        <v>0</v>
      </c>
      <c r="F903" s="1">
        <v>3.12</v>
      </c>
      <c r="H903" s="1" t="str">
        <f t="shared" si="48"/>
        <v>2014</v>
      </c>
      <c r="I903" s="12" t="s">
        <v>519</v>
      </c>
    </row>
    <row r="904" spans="1:9">
      <c r="A904" s="1" t="s">
        <v>26</v>
      </c>
      <c r="B904" s="1">
        <v>41.74</v>
      </c>
      <c r="C904" s="1">
        <v>6.45</v>
      </c>
      <c r="D904" s="1">
        <v>20.87</v>
      </c>
      <c r="E904" s="1">
        <v>0.92</v>
      </c>
      <c r="F904" s="1">
        <v>29.04</v>
      </c>
      <c r="H904" s="1" t="str">
        <f t="shared" si="48"/>
        <v>2014</v>
      </c>
      <c r="I904" s="12" t="s">
        <v>519</v>
      </c>
    </row>
    <row r="905" spans="1:9">
      <c r="A905" s="1" t="s">
        <v>271</v>
      </c>
      <c r="B905" s="1">
        <v>0.63</v>
      </c>
      <c r="C905" s="1">
        <v>0</v>
      </c>
      <c r="D905" s="1">
        <v>0</v>
      </c>
      <c r="E905" s="1">
        <v>0</v>
      </c>
      <c r="F905" s="1">
        <v>0.87</v>
      </c>
      <c r="H905" s="1" t="str">
        <f t="shared" si="48"/>
        <v>2014</v>
      </c>
      <c r="I905" s="12" t="s">
        <v>519</v>
      </c>
    </row>
    <row r="906" spans="1:9">
      <c r="A906" s="1" t="s">
        <v>143</v>
      </c>
      <c r="B906" s="1">
        <v>295.55</v>
      </c>
      <c r="C906" s="1">
        <v>0.95</v>
      </c>
      <c r="D906" s="1">
        <v>5.67</v>
      </c>
      <c r="E906" s="1">
        <v>0.95</v>
      </c>
      <c r="F906" s="1">
        <v>25.35</v>
      </c>
      <c r="H906" s="1" t="str">
        <f t="shared" si="48"/>
        <v>2014</v>
      </c>
      <c r="I906" s="12" t="s">
        <v>519</v>
      </c>
    </row>
    <row r="907" spans="1:9">
      <c r="A907" s="1" t="s">
        <v>144</v>
      </c>
      <c r="B907" s="1">
        <v>327.35000000000002</v>
      </c>
      <c r="C907" s="1">
        <v>1.05</v>
      </c>
      <c r="D907" s="1">
        <v>6.27</v>
      </c>
      <c r="E907" s="1">
        <v>1.05</v>
      </c>
      <c r="F907" s="1">
        <v>50.89</v>
      </c>
      <c r="H907" s="1" t="str">
        <f t="shared" si="48"/>
        <v>2014</v>
      </c>
      <c r="I907" s="12" t="s">
        <v>519</v>
      </c>
    </row>
    <row r="908" spans="1:9">
      <c r="A908" s="1" t="s">
        <v>14</v>
      </c>
      <c r="B908" s="1">
        <v>49.83</v>
      </c>
      <c r="C908" s="1">
        <v>0</v>
      </c>
      <c r="D908" s="1">
        <v>5.5</v>
      </c>
      <c r="E908" s="1">
        <v>0</v>
      </c>
      <c r="F908" s="1">
        <v>16.61</v>
      </c>
      <c r="H908" s="1" t="str">
        <f t="shared" si="48"/>
        <v>2014</v>
      </c>
      <c r="I908" s="12" t="s">
        <v>519</v>
      </c>
    </row>
    <row r="909" spans="1:9">
      <c r="A909" s="1" t="s">
        <v>145</v>
      </c>
      <c r="B909" s="1">
        <v>17.03</v>
      </c>
      <c r="C909" s="1">
        <v>0</v>
      </c>
      <c r="D909" s="1">
        <v>128.29</v>
      </c>
      <c r="E909" s="1">
        <v>0</v>
      </c>
      <c r="F909" s="1">
        <v>25.68</v>
      </c>
      <c r="H909" s="1" t="str">
        <f t="shared" si="48"/>
        <v>2014</v>
      </c>
      <c r="I909" s="12" t="s">
        <v>519</v>
      </c>
    </row>
    <row r="910" spans="1:9">
      <c r="A910" s="1" t="s">
        <v>146</v>
      </c>
      <c r="B910" s="1">
        <v>14.86</v>
      </c>
      <c r="C910" s="1">
        <v>1.27</v>
      </c>
      <c r="D910" s="1">
        <v>334.38</v>
      </c>
      <c r="E910" s="1">
        <v>0.83</v>
      </c>
      <c r="F910" s="1">
        <v>13.98</v>
      </c>
      <c r="H910" s="1" t="str">
        <f t="shared" si="48"/>
        <v>2014</v>
      </c>
      <c r="I910" s="12" t="s">
        <v>519</v>
      </c>
    </row>
    <row r="911" spans="1:9">
      <c r="A911" s="1" t="s">
        <v>147</v>
      </c>
      <c r="B911" s="1">
        <v>89.65</v>
      </c>
      <c r="C911" s="1">
        <v>0.84</v>
      </c>
      <c r="D911" s="1">
        <v>177.83</v>
      </c>
      <c r="E911" s="1">
        <v>0</v>
      </c>
      <c r="F911" s="1">
        <v>50.26</v>
      </c>
      <c r="H911" s="1" t="str">
        <f t="shared" si="48"/>
        <v>2014</v>
      </c>
      <c r="I911" s="12" t="s">
        <v>519</v>
      </c>
    </row>
    <row r="912" spans="1:9">
      <c r="A912" s="1" t="s">
        <v>518</v>
      </c>
    </row>
    <row r="913" spans="1:9">
      <c r="A913" s="1" t="s">
        <v>20</v>
      </c>
      <c r="B913" s="1">
        <v>113.56</v>
      </c>
      <c r="C913" s="1">
        <v>113.5</v>
      </c>
      <c r="D913" s="1">
        <v>113.56</v>
      </c>
      <c r="E913" s="1">
        <v>113.3</v>
      </c>
      <c r="F913" s="1">
        <v>113.5</v>
      </c>
      <c r="H913" s="1" t="str">
        <f>H895</f>
        <v>2014</v>
      </c>
      <c r="I913" s="12" t="s">
        <v>148</v>
      </c>
    </row>
    <row r="914" spans="1:9">
      <c r="A914" s="1" t="s">
        <v>17</v>
      </c>
      <c r="B914" s="1">
        <v>41.71</v>
      </c>
      <c r="C914" s="1">
        <v>42.18</v>
      </c>
      <c r="D914" s="1">
        <v>41.59</v>
      </c>
      <c r="E914" s="1">
        <v>41.4</v>
      </c>
      <c r="F914" s="1">
        <v>31.64</v>
      </c>
      <c r="H914" s="1" t="str">
        <f t="shared" ref="H914:H929" si="49">H896</f>
        <v>2014</v>
      </c>
      <c r="I914" s="12" t="s">
        <v>148</v>
      </c>
    </row>
    <row r="915" spans="1:9">
      <c r="A915" s="1" t="s">
        <v>10</v>
      </c>
      <c r="B915" s="1">
        <v>36.42</v>
      </c>
      <c r="C915" s="1">
        <v>35.46</v>
      </c>
      <c r="D915" s="1">
        <v>36.31</v>
      </c>
      <c r="E915" s="1">
        <v>34.15</v>
      </c>
      <c r="F915" s="1">
        <v>37.44</v>
      </c>
      <c r="H915" s="1" t="str">
        <f t="shared" si="49"/>
        <v>2014</v>
      </c>
      <c r="I915" s="12" t="s">
        <v>148</v>
      </c>
    </row>
    <row r="916" spans="1:9">
      <c r="A916" s="1" t="s">
        <v>11</v>
      </c>
      <c r="B916" s="1">
        <v>113.56</v>
      </c>
      <c r="C916" s="1">
        <v>113.5</v>
      </c>
      <c r="D916" s="1">
        <v>113.56</v>
      </c>
      <c r="E916" s="1">
        <v>113.5</v>
      </c>
      <c r="F916" s="1">
        <v>113.5</v>
      </c>
      <c r="H916" s="1" t="str">
        <f t="shared" si="49"/>
        <v>2014</v>
      </c>
      <c r="I916" s="12" t="s">
        <v>148</v>
      </c>
    </row>
    <row r="917" spans="1:9">
      <c r="A917" s="1" t="s">
        <v>32</v>
      </c>
      <c r="B917" s="1">
        <v>28.19</v>
      </c>
      <c r="C917" s="1">
        <v>28.19</v>
      </c>
      <c r="D917" s="1">
        <v>28.65</v>
      </c>
      <c r="E917" s="1">
        <v>27.46</v>
      </c>
      <c r="F917" s="1">
        <v>30.03</v>
      </c>
      <c r="H917" s="1" t="str">
        <f t="shared" si="49"/>
        <v>2014</v>
      </c>
      <c r="I917" s="12" t="s">
        <v>148</v>
      </c>
    </row>
    <row r="918" spans="1:9">
      <c r="A918" s="1" t="s">
        <v>31</v>
      </c>
      <c r="B918" s="1">
        <v>27.88</v>
      </c>
      <c r="C918" s="1">
        <v>27.88</v>
      </c>
      <c r="D918" s="1">
        <v>28.35</v>
      </c>
      <c r="E918" s="1">
        <v>27.49</v>
      </c>
      <c r="F918" s="1">
        <v>30.14</v>
      </c>
      <c r="H918" s="1" t="str">
        <f t="shared" si="49"/>
        <v>2014</v>
      </c>
      <c r="I918" s="12" t="s">
        <v>148</v>
      </c>
    </row>
    <row r="919" spans="1:9">
      <c r="A919" s="1" t="s">
        <v>266</v>
      </c>
      <c r="B919" s="1">
        <v>34.24</v>
      </c>
      <c r="C919" s="1">
        <v>33.35</v>
      </c>
      <c r="D919" s="1">
        <v>33.200000000000003</v>
      </c>
      <c r="E919" s="1">
        <v>35.92</v>
      </c>
      <c r="F919" s="1">
        <v>35.86</v>
      </c>
      <c r="H919" s="1" t="str">
        <f t="shared" si="49"/>
        <v>2014</v>
      </c>
      <c r="I919" s="12" t="s">
        <v>148</v>
      </c>
    </row>
    <row r="920" spans="1:9">
      <c r="A920" s="1" t="s">
        <v>269</v>
      </c>
      <c r="B920" s="1">
        <v>28.5</v>
      </c>
      <c r="C920" s="1">
        <v>28.5</v>
      </c>
      <c r="D920" s="1">
        <v>28.5</v>
      </c>
      <c r="E920" s="1">
        <v>28.5</v>
      </c>
      <c r="F920" s="1">
        <v>28.5</v>
      </c>
      <c r="H920" s="1" t="str">
        <f t="shared" si="49"/>
        <v>2014</v>
      </c>
      <c r="I920" s="12" t="s">
        <v>148</v>
      </c>
    </row>
    <row r="921" spans="1:9">
      <c r="A921" s="1" t="s">
        <v>30</v>
      </c>
      <c r="B921" s="1">
        <v>20.28</v>
      </c>
      <c r="C921" s="1">
        <v>23</v>
      </c>
      <c r="D921" s="1">
        <v>23.05</v>
      </c>
      <c r="E921" s="1">
        <v>22.25</v>
      </c>
      <c r="F921" s="1">
        <v>20.9</v>
      </c>
      <c r="H921" s="1" t="str">
        <f t="shared" si="49"/>
        <v>2014</v>
      </c>
      <c r="I921" s="12" t="s">
        <v>148</v>
      </c>
    </row>
    <row r="922" spans="1:9">
      <c r="A922" s="1" t="s">
        <v>26</v>
      </c>
      <c r="B922" s="1">
        <v>31.42</v>
      </c>
      <c r="C922" s="1">
        <v>31.42</v>
      </c>
      <c r="D922" s="1">
        <v>32</v>
      </c>
      <c r="E922" s="1">
        <v>31.51</v>
      </c>
      <c r="F922" s="1">
        <v>32.42</v>
      </c>
      <c r="H922" s="1" t="str">
        <f t="shared" si="49"/>
        <v>2014</v>
      </c>
      <c r="I922" s="12" t="s">
        <v>148</v>
      </c>
    </row>
    <row r="923" spans="1:9">
      <c r="A923" s="1" t="s">
        <v>271</v>
      </c>
      <c r="B923" s="1">
        <v>47.76</v>
      </c>
      <c r="C923" s="1">
        <v>46.94</v>
      </c>
      <c r="D923" s="1">
        <v>46.48</v>
      </c>
      <c r="E923" s="1">
        <v>48.44</v>
      </c>
      <c r="F923" s="1">
        <v>46.06</v>
      </c>
      <c r="H923" s="1" t="str">
        <f t="shared" si="49"/>
        <v>2014</v>
      </c>
      <c r="I923" s="12" t="s">
        <v>148</v>
      </c>
    </row>
    <row r="924" spans="1:9">
      <c r="A924" s="1" t="s">
        <v>143</v>
      </c>
      <c r="B924" s="1">
        <v>59.99</v>
      </c>
      <c r="C924" s="1">
        <v>57.94</v>
      </c>
      <c r="D924" s="1">
        <v>57.53</v>
      </c>
      <c r="E924" s="1">
        <v>60.17</v>
      </c>
      <c r="F924" s="1">
        <v>57.56</v>
      </c>
      <c r="H924" s="1" t="str">
        <f t="shared" si="49"/>
        <v>2014</v>
      </c>
      <c r="I924" s="12" t="s">
        <v>148</v>
      </c>
    </row>
    <row r="925" spans="1:9">
      <c r="A925" s="1" t="s">
        <v>144</v>
      </c>
      <c r="B925" s="1">
        <v>31.91</v>
      </c>
      <c r="C925" s="1">
        <v>30.8</v>
      </c>
      <c r="D925" s="1">
        <v>31.21</v>
      </c>
      <c r="E925" s="1">
        <v>30.4</v>
      </c>
      <c r="F925" s="1">
        <v>31.55</v>
      </c>
      <c r="H925" s="1" t="str">
        <f t="shared" si="49"/>
        <v>2014</v>
      </c>
      <c r="I925" s="12" t="s">
        <v>148</v>
      </c>
    </row>
    <row r="926" spans="1:9">
      <c r="A926" s="1" t="s">
        <v>14</v>
      </c>
      <c r="B926" s="1">
        <v>40.409999999999997</v>
      </c>
      <c r="C926" s="1">
        <v>40.33</v>
      </c>
      <c r="D926" s="1">
        <v>39.369999999999997</v>
      </c>
      <c r="E926" s="1">
        <v>42.4</v>
      </c>
      <c r="F926" s="1">
        <v>42.2</v>
      </c>
      <c r="H926" s="1" t="str">
        <f t="shared" si="49"/>
        <v>2014</v>
      </c>
      <c r="I926" s="12" t="s">
        <v>148</v>
      </c>
    </row>
    <row r="927" spans="1:9">
      <c r="A927" s="1" t="s">
        <v>145</v>
      </c>
      <c r="B927" s="1">
        <v>18.37</v>
      </c>
      <c r="C927" s="1">
        <v>18.329999999999998</v>
      </c>
      <c r="D927" s="1">
        <v>17.89</v>
      </c>
      <c r="E927" s="1">
        <v>19.27</v>
      </c>
      <c r="F927" s="1">
        <v>19.18</v>
      </c>
      <c r="H927" s="1" t="str">
        <f t="shared" si="49"/>
        <v>2014</v>
      </c>
      <c r="I927" s="12" t="s">
        <v>148</v>
      </c>
    </row>
    <row r="928" spans="1:9">
      <c r="A928" s="1" t="s">
        <v>146</v>
      </c>
      <c r="B928" s="1">
        <v>22.45</v>
      </c>
      <c r="C928" s="1">
        <v>22.41</v>
      </c>
      <c r="D928" s="1">
        <v>21.87</v>
      </c>
      <c r="E928" s="1">
        <v>23.56</v>
      </c>
      <c r="F928" s="1">
        <v>23.45</v>
      </c>
      <c r="H928" s="1" t="str">
        <f t="shared" si="49"/>
        <v>2014</v>
      </c>
      <c r="I928" s="12" t="s">
        <v>148</v>
      </c>
    </row>
    <row r="929" spans="1:9">
      <c r="A929" s="1" t="s">
        <v>147</v>
      </c>
      <c r="B929" s="1">
        <v>16.84</v>
      </c>
      <c r="C929" s="1">
        <v>16.809999999999999</v>
      </c>
      <c r="D929" s="1">
        <v>16.399999999999999</v>
      </c>
      <c r="E929" s="1">
        <v>17.670000000000002</v>
      </c>
      <c r="F929" s="1">
        <v>17.579999999999998</v>
      </c>
      <c r="H929" s="1" t="str">
        <f t="shared" si="49"/>
        <v>2014</v>
      </c>
      <c r="I929" s="12" t="s">
        <v>148</v>
      </c>
    </row>
    <row r="930" spans="1:9">
      <c r="A930" s="1" t="s">
        <v>173</v>
      </c>
    </row>
    <row r="931" spans="1:9">
      <c r="A931" s="1" t="s">
        <v>517</v>
      </c>
    </row>
    <row r="932" spans="1:9">
      <c r="A932" s="1" t="s">
        <v>20</v>
      </c>
      <c r="B932" s="1">
        <v>0</v>
      </c>
      <c r="C932" s="1">
        <v>0</v>
      </c>
      <c r="D932" s="1">
        <v>0</v>
      </c>
      <c r="E932" s="1">
        <v>0</v>
      </c>
      <c r="F932" s="1">
        <v>0</v>
      </c>
      <c r="H932" s="1" t="str">
        <f>RIGHT(A930,4)</f>
        <v>2015</v>
      </c>
      <c r="I932" s="12" t="s">
        <v>519</v>
      </c>
    </row>
    <row r="933" spans="1:9">
      <c r="A933" s="1" t="s">
        <v>17</v>
      </c>
      <c r="B933" s="1">
        <v>286.70999999999998</v>
      </c>
      <c r="C933" s="1">
        <v>1.0900000000000001</v>
      </c>
      <c r="D933" s="1">
        <v>30.76</v>
      </c>
      <c r="E933" s="1">
        <v>0</v>
      </c>
      <c r="F933" s="1">
        <v>21.3</v>
      </c>
      <c r="H933" s="1" t="str">
        <f>H932</f>
        <v>2015</v>
      </c>
      <c r="I933" s="12" t="s">
        <v>519</v>
      </c>
    </row>
    <row r="934" spans="1:9">
      <c r="A934" s="1" t="s">
        <v>10</v>
      </c>
      <c r="B934" s="1">
        <v>182.61</v>
      </c>
      <c r="C934" s="1">
        <v>0.96</v>
      </c>
      <c r="D934" s="1">
        <v>9.08</v>
      </c>
      <c r="E934" s="1">
        <v>0.96</v>
      </c>
      <c r="F934" s="1">
        <v>5.42</v>
      </c>
      <c r="H934" s="1" t="str">
        <f t="shared" ref="H934:H948" si="50">H933</f>
        <v>2015</v>
      </c>
      <c r="I934" s="12" t="s">
        <v>519</v>
      </c>
    </row>
    <row r="935" spans="1:9">
      <c r="A935" s="1" t="s">
        <v>11</v>
      </c>
      <c r="B935" s="1">
        <v>4.79</v>
      </c>
      <c r="C935" s="1">
        <v>0.36</v>
      </c>
      <c r="D935" s="1">
        <v>0.42</v>
      </c>
      <c r="E935" s="1">
        <v>0.5</v>
      </c>
      <c r="F935" s="1">
        <v>1.02</v>
      </c>
      <c r="H935" s="1" t="str">
        <f t="shared" si="50"/>
        <v>2015</v>
      </c>
      <c r="I935" s="12" t="s">
        <v>519</v>
      </c>
    </row>
    <row r="936" spans="1:9">
      <c r="A936" s="1" t="s">
        <v>32</v>
      </c>
      <c r="B936" s="1">
        <v>175.73</v>
      </c>
      <c r="C936" s="1">
        <v>1.91</v>
      </c>
      <c r="D936" s="1">
        <v>36.33</v>
      </c>
      <c r="E936" s="1">
        <v>0</v>
      </c>
      <c r="F936" s="1">
        <v>9.56</v>
      </c>
      <c r="H936" s="1" t="str">
        <f t="shared" si="50"/>
        <v>2015</v>
      </c>
      <c r="I936" s="12" t="s">
        <v>519</v>
      </c>
    </row>
    <row r="937" spans="1:9">
      <c r="A937" s="1" t="s">
        <v>31</v>
      </c>
      <c r="B937" s="1">
        <v>129.13999999999999</v>
      </c>
      <c r="C937" s="1">
        <v>1.75</v>
      </c>
      <c r="D937" s="1">
        <v>22.98</v>
      </c>
      <c r="E937" s="1">
        <v>0</v>
      </c>
      <c r="F937" s="1">
        <v>26.76</v>
      </c>
      <c r="H937" s="1" t="str">
        <f t="shared" si="50"/>
        <v>2015</v>
      </c>
      <c r="I937" s="12" t="s">
        <v>519</v>
      </c>
    </row>
    <row r="938" spans="1:9">
      <c r="A938" s="1" t="s">
        <v>266</v>
      </c>
      <c r="B938" s="1">
        <v>88.11</v>
      </c>
      <c r="C938" s="1">
        <v>0</v>
      </c>
      <c r="D938" s="1">
        <v>5.57</v>
      </c>
      <c r="E938" s="1">
        <v>0</v>
      </c>
      <c r="F938" s="1">
        <v>50.1</v>
      </c>
      <c r="H938" s="1" t="str">
        <f t="shared" si="50"/>
        <v>2015</v>
      </c>
      <c r="I938" s="12" t="s">
        <v>519</v>
      </c>
    </row>
    <row r="939" spans="1:9">
      <c r="A939" s="1" t="s">
        <v>269</v>
      </c>
      <c r="B939" s="1">
        <v>83.56</v>
      </c>
      <c r="C939" s="1">
        <v>95.8</v>
      </c>
      <c r="D939" s="1">
        <v>168.72</v>
      </c>
      <c r="E939" s="1">
        <v>10.130000000000001</v>
      </c>
      <c r="F939" s="1">
        <v>1.91</v>
      </c>
      <c r="H939" s="1" t="str">
        <f t="shared" si="50"/>
        <v>2015</v>
      </c>
      <c r="I939" s="12" t="s">
        <v>519</v>
      </c>
    </row>
    <row r="940" spans="1:9">
      <c r="A940" s="1" t="s">
        <v>30</v>
      </c>
      <c r="B940" s="1">
        <v>3.82</v>
      </c>
      <c r="C940" s="1">
        <v>4.4000000000000004</v>
      </c>
      <c r="D940" s="1">
        <v>281.2</v>
      </c>
      <c r="E940" s="1">
        <v>0</v>
      </c>
      <c r="F940" s="1">
        <v>3.19</v>
      </c>
      <c r="H940" s="1" t="str">
        <f t="shared" si="50"/>
        <v>2015</v>
      </c>
      <c r="I940" s="12" t="s">
        <v>519</v>
      </c>
    </row>
    <row r="941" spans="1:9">
      <c r="A941" s="1" t="s">
        <v>26</v>
      </c>
      <c r="B941" s="1">
        <v>42.41</v>
      </c>
      <c r="C941" s="1">
        <v>6.55</v>
      </c>
      <c r="D941" s="1">
        <v>21.2</v>
      </c>
      <c r="E941" s="1">
        <v>0.94</v>
      </c>
      <c r="F941" s="1">
        <v>29.5</v>
      </c>
      <c r="H941" s="1" t="str">
        <f t="shared" si="50"/>
        <v>2015</v>
      </c>
      <c r="I941" s="12" t="s">
        <v>519</v>
      </c>
    </row>
    <row r="942" spans="1:9">
      <c r="A942" s="1" t="s">
        <v>271</v>
      </c>
      <c r="B942" s="1">
        <v>0.65</v>
      </c>
      <c r="C942" s="1">
        <v>0</v>
      </c>
      <c r="D942" s="1">
        <v>0</v>
      </c>
      <c r="E942" s="1">
        <v>0</v>
      </c>
      <c r="F942" s="1">
        <v>0.9</v>
      </c>
      <c r="H942" s="1" t="str">
        <f t="shared" si="50"/>
        <v>2015</v>
      </c>
      <c r="I942" s="12" t="s">
        <v>519</v>
      </c>
    </row>
    <row r="943" spans="1:9">
      <c r="A943" s="1" t="s">
        <v>143</v>
      </c>
      <c r="B943" s="1">
        <v>301.45999999999998</v>
      </c>
      <c r="C943" s="1">
        <v>0.97</v>
      </c>
      <c r="D943" s="1">
        <v>5.78</v>
      </c>
      <c r="E943" s="1">
        <v>0.97</v>
      </c>
      <c r="F943" s="1">
        <v>25.86</v>
      </c>
      <c r="H943" s="1" t="str">
        <f t="shared" si="50"/>
        <v>2015</v>
      </c>
      <c r="I943" s="12" t="s">
        <v>519</v>
      </c>
    </row>
    <row r="944" spans="1:9">
      <c r="A944" s="1" t="s">
        <v>144</v>
      </c>
      <c r="B944" s="1">
        <v>338.81</v>
      </c>
      <c r="C944" s="1">
        <v>1.0900000000000001</v>
      </c>
      <c r="D944" s="1">
        <v>6.49</v>
      </c>
      <c r="E944" s="1">
        <v>1.0900000000000001</v>
      </c>
      <c r="F944" s="1">
        <v>52.67</v>
      </c>
      <c r="H944" s="1" t="str">
        <f t="shared" si="50"/>
        <v>2015</v>
      </c>
      <c r="I944" s="12" t="s">
        <v>519</v>
      </c>
    </row>
    <row r="945" spans="1:9">
      <c r="A945" s="1" t="s">
        <v>14</v>
      </c>
      <c r="B945" s="1">
        <v>51.58</v>
      </c>
      <c r="C945" s="1">
        <v>0</v>
      </c>
      <c r="D945" s="1">
        <v>5.69</v>
      </c>
      <c r="E945" s="1">
        <v>0</v>
      </c>
      <c r="F945" s="1">
        <v>17.190000000000001</v>
      </c>
      <c r="H945" s="1" t="str">
        <f t="shared" si="50"/>
        <v>2015</v>
      </c>
      <c r="I945" s="12" t="s">
        <v>519</v>
      </c>
    </row>
    <row r="946" spans="1:9">
      <c r="A946" s="1" t="s">
        <v>145</v>
      </c>
      <c r="B946" s="1">
        <v>17.28</v>
      </c>
      <c r="C946" s="1">
        <v>0</v>
      </c>
      <c r="D946" s="1">
        <v>130.22</v>
      </c>
      <c r="E946" s="1">
        <v>0</v>
      </c>
      <c r="F946" s="1">
        <v>26.06</v>
      </c>
      <c r="H946" s="1" t="str">
        <f t="shared" si="50"/>
        <v>2015</v>
      </c>
      <c r="I946" s="12" t="s">
        <v>519</v>
      </c>
    </row>
    <row r="947" spans="1:9">
      <c r="A947" s="1" t="s">
        <v>146</v>
      </c>
      <c r="B947" s="1">
        <v>15.08</v>
      </c>
      <c r="C947" s="1">
        <v>1.29</v>
      </c>
      <c r="D947" s="1">
        <v>339.39</v>
      </c>
      <c r="E947" s="1">
        <v>0.84</v>
      </c>
      <c r="F947" s="1">
        <v>14.19</v>
      </c>
      <c r="H947" s="1" t="str">
        <f t="shared" si="50"/>
        <v>2015</v>
      </c>
      <c r="I947" s="12" t="s">
        <v>519</v>
      </c>
    </row>
    <row r="948" spans="1:9">
      <c r="A948" s="1" t="s">
        <v>147</v>
      </c>
      <c r="B948" s="1">
        <v>91</v>
      </c>
      <c r="C948" s="1">
        <v>0.85</v>
      </c>
      <c r="D948" s="1">
        <v>180.5</v>
      </c>
      <c r="E948" s="1">
        <v>0</v>
      </c>
      <c r="F948" s="1">
        <v>51.02</v>
      </c>
      <c r="H948" s="1" t="str">
        <f t="shared" si="50"/>
        <v>2015</v>
      </c>
      <c r="I948" s="12" t="s">
        <v>519</v>
      </c>
    </row>
    <row r="949" spans="1:9">
      <c r="A949" s="1" t="s">
        <v>518</v>
      </c>
    </row>
    <row r="950" spans="1:9">
      <c r="A950" s="1" t="s">
        <v>20</v>
      </c>
      <c r="B950" s="1">
        <v>113.56</v>
      </c>
      <c r="C950" s="1">
        <v>113.5</v>
      </c>
      <c r="D950" s="1">
        <v>113.56</v>
      </c>
      <c r="E950" s="1">
        <v>113.3</v>
      </c>
      <c r="F950" s="1">
        <v>113.5</v>
      </c>
      <c r="H950" s="1" t="str">
        <f>H932</f>
        <v>2015</v>
      </c>
      <c r="I950" s="12" t="s">
        <v>148</v>
      </c>
    </row>
    <row r="951" spans="1:9">
      <c r="A951" s="1" t="s">
        <v>17</v>
      </c>
      <c r="B951" s="1">
        <v>43.2</v>
      </c>
      <c r="C951" s="1">
        <v>43.66</v>
      </c>
      <c r="D951" s="1">
        <v>43.07</v>
      </c>
      <c r="E951" s="1">
        <v>42.88</v>
      </c>
      <c r="F951" s="1">
        <v>30.68</v>
      </c>
      <c r="H951" s="1" t="str">
        <f t="shared" ref="H951:H966" si="51">H933</f>
        <v>2015</v>
      </c>
      <c r="I951" s="12" t="s">
        <v>148</v>
      </c>
    </row>
    <row r="952" spans="1:9">
      <c r="A952" s="1" t="s">
        <v>10</v>
      </c>
      <c r="B952" s="1">
        <v>37.53</v>
      </c>
      <c r="C952" s="1">
        <v>36.57</v>
      </c>
      <c r="D952" s="1">
        <v>37.409999999999997</v>
      </c>
      <c r="E952" s="1">
        <v>35.19</v>
      </c>
      <c r="F952" s="1">
        <v>37.53</v>
      </c>
      <c r="H952" s="1" t="str">
        <f t="shared" si="51"/>
        <v>2015</v>
      </c>
      <c r="I952" s="12" t="s">
        <v>148</v>
      </c>
    </row>
    <row r="953" spans="1:9">
      <c r="A953" s="1" t="s">
        <v>11</v>
      </c>
      <c r="B953" s="1">
        <v>113.56</v>
      </c>
      <c r="C953" s="1">
        <v>113.5</v>
      </c>
      <c r="D953" s="1">
        <v>113.56</v>
      </c>
      <c r="E953" s="1">
        <v>113.5</v>
      </c>
      <c r="F953" s="1">
        <v>113.5</v>
      </c>
      <c r="H953" s="1" t="str">
        <f t="shared" si="51"/>
        <v>2015</v>
      </c>
      <c r="I953" s="12" t="s">
        <v>148</v>
      </c>
    </row>
    <row r="954" spans="1:9">
      <c r="A954" s="1" t="s">
        <v>32</v>
      </c>
      <c r="B954" s="1">
        <v>29.19</v>
      </c>
      <c r="C954" s="1">
        <v>29.19</v>
      </c>
      <c r="D954" s="1">
        <v>29.66</v>
      </c>
      <c r="E954" s="1">
        <v>28.46</v>
      </c>
      <c r="F954" s="1">
        <v>29.74</v>
      </c>
      <c r="H954" s="1" t="str">
        <f t="shared" si="51"/>
        <v>2015</v>
      </c>
      <c r="I954" s="12" t="s">
        <v>148</v>
      </c>
    </row>
    <row r="955" spans="1:9">
      <c r="A955" s="1" t="s">
        <v>31</v>
      </c>
      <c r="B955" s="1">
        <v>28.79</v>
      </c>
      <c r="C955" s="1">
        <v>28.79</v>
      </c>
      <c r="D955" s="1">
        <v>29.26</v>
      </c>
      <c r="E955" s="1">
        <v>28.39</v>
      </c>
      <c r="F955" s="1">
        <v>29.74</v>
      </c>
      <c r="H955" s="1" t="str">
        <f t="shared" si="51"/>
        <v>2015</v>
      </c>
      <c r="I955" s="12" t="s">
        <v>148</v>
      </c>
    </row>
    <row r="956" spans="1:9">
      <c r="A956" s="1" t="s">
        <v>266</v>
      </c>
      <c r="B956" s="1">
        <v>35.21</v>
      </c>
      <c r="C956" s="1">
        <v>34.32</v>
      </c>
      <c r="D956" s="1">
        <v>34.159999999999997</v>
      </c>
      <c r="E956" s="1">
        <v>37.049999999999997</v>
      </c>
      <c r="F956" s="1">
        <v>36.26</v>
      </c>
      <c r="H956" s="1" t="str">
        <f t="shared" si="51"/>
        <v>2015</v>
      </c>
      <c r="I956" s="12" t="s">
        <v>148</v>
      </c>
    </row>
    <row r="957" spans="1:9">
      <c r="A957" s="1" t="s">
        <v>269</v>
      </c>
      <c r="B957" s="1">
        <v>28.5</v>
      </c>
      <c r="C957" s="1">
        <v>28.5</v>
      </c>
      <c r="D957" s="1">
        <v>28.5</v>
      </c>
      <c r="E957" s="1">
        <v>28.5</v>
      </c>
      <c r="F957" s="1">
        <v>28.5</v>
      </c>
      <c r="H957" s="1" t="str">
        <f t="shared" si="51"/>
        <v>2015</v>
      </c>
      <c r="I957" s="12" t="s">
        <v>148</v>
      </c>
    </row>
    <row r="958" spans="1:9">
      <c r="A958" s="1" t="s">
        <v>30</v>
      </c>
      <c r="B958" s="1">
        <v>21.68</v>
      </c>
      <c r="C958" s="1">
        <v>21.68</v>
      </c>
      <c r="D958" s="1">
        <v>21.68</v>
      </c>
      <c r="E958" s="1">
        <v>21.68</v>
      </c>
      <c r="F958" s="1">
        <v>21.68</v>
      </c>
      <c r="H958" s="1" t="str">
        <f t="shared" si="51"/>
        <v>2015</v>
      </c>
      <c r="I958" s="12" t="s">
        <v>148</v>
      </c>
    </row>
    <row r="959" spans="1:9">
      <c r="A959" s="1" t="s">
        <v>26</v>
      </c>
      <c r="B959" s="1">
        <v>32.450000000000003</v>
      </c>
      <c r="C959" s="1">
        <v>32.450000000000003</v>
      </c>
      <c r="D959" s="1">
        <v>33.04</v>
      </c>
      <c r="E959" s="1">
        <v>32.549999999999997</v>
      </c>
      <c r="F959" s="1">
        <v>32.549999999999997</v>
      </c>
      <c r="H959" s="1" t="str">
        <f t="shared" si="51"/>
        <v>2015</v>
      </c>
      <c r="I959" s="12" t="s">
        <v>148</v>
      </c>
    </row>
    <row r="960" spans="1:9">
      <c r="A960" s="1" t="s">
        <v>271</v>
      </c>
      <c r="B960" s="1">
        <v>47.76</v>
      </c>
      <c r="C960" s="1">
        <v>46.94</v>
      </c>
      <c r="D960" s="1">
        <v>46.48</v>
      </c>
      <c r="E960" s="1">
        <v>48.44</v>
      </c>
      <c r="F960" s="1">
        <v>46.06</v>
      </c>
      <c r="H960" s="1" t="str">
        <f t="shared" si="51"/>
        <v>2015</v>
      </c>
      <c r="I960" s="12" t="s">
        <v>148</v>
      </c>
    </row>
    <row r="961" spans="1:9">
      <c r="A961" s="1" t="s">
        <v>143</v>
      </c>
      <c r="B961" s="1">
        <v>59.99</v>
      </c>
      <c r="C961" s="1">
        <v>57.94</v>
      </c>
      <c r="D961" s="1">
        <v>57.53</v>
      </c>
      <c r="E961" s="1">
        <v>60.17</v>
      </c>
      <c r="F961" s="1">
        <v>57.56</v>
      </c>
      <c r="H961" s="1" t="str">
        <f t="shared" si="51"/>
        <v>2015</v>
      </c>
      <c r="I961" s="12" t="s">
        <v>148</v>
      </c>
    </row>
    <row r="962" spans="1:9">
      <c r="A962" s="1" t="s">
        <v>144</v>
      </c>
      <c r="B962" s="1">
        <v>31.91</v>
      </c>
      <c r="C962" s="1">
        <v>30.8</v>
      </c>
      <c r="D962" s="1">
        <v>31.21</v>
      </c>
      <c r="E962" s="1">
        <v>30.4</v>
      </c>
      <c r="F962" s="1">
        <v>31.55</v>
      </c>
      <c r="H962" s="1" t="str">
        <f t="shared" si="51"/>
        <v>2015</v>
      </c>
      <c r="I962" s="12" t="s">
        <v>148</v>
      </c>
    </row>
    <row r="963" spans="1:9">
      <c r="A963" s="1" t="s">
        <v>14</v>
      </c>
      <c r="B963" s="1">
        <v>41.43</v>
      </c>
      <c r="C963" s="1">
        <v>41.34</v>
      </c>
      <c r="D963" s="1">
        <v>40.380000000000003</v>
      </c>
      <c r="E963" s="1">
        <v>43.49</v>
      </c>
      <c r="F963" s="1">
        <v>42.21</v>
      </c>
      <c r="H963" s="1" t="str">
        <f t="shared" si="51"/>
        <v>2015</v>
      </c>
      <c r="I963" s="12" t="s">
        <v>148</v>
      </c>
    </row>
    <row r="964" spans="1:9">
      <c r="A964" s="1" t="s">
        <v>145</v>
      </c>
      <c r="B964" s="1">
        <v>18.829999999999998</v>
      </c>
      <c r="C964" s="1">
        <v>18.79</v>
      </c>
      <c r="D964" s="1">
        <v>18.350000000000001</v>
      </c>
      <c r="E964" s="1">
        <v>19.77</v>
      </c>
      <c r="F964" s="1">
        <v>19.190000000000001</v>
      </c>
      <c r="H964" s="1" t="str">
        <f t="shared" si="51"/>
        <v>2015</v>
      </c>
      <c r="I964" s="12" t="s">
        <v>148</v>
      </c>
    </row>
    <row r="965" spans="1:9">
      <c r="A965" s="1" t="s">
        <v>146</v>
      </c>
      <c r="B965" s="1">
        <v>23.01</v>
      </c>
      <c r="C965" s="1">
        <v>22.97</v>
      </c>
      <c r="D965" s="1">
        <v>22.43</v>
      </c>
      <c r="E965" s="1">
        <v>24.16</v>
      </c>
      <c r="F965" s="1">
        <v>23.45</v>
      </c>
      <c r="H965" s="1" t="str">
        <f t="shared" si="51"/>
        <v>2015</v>
      </c>
      <c r="I965" s="12" t="s">
        <v>148</v>
      </c>
    </row>
    <row r="966" spans="1:9">
      <c r="A966" s="1" t="s">
        <v>147</v>
      </c>
      <c r="B966" s="1">
        <v>17.260000000000002</v>
      </c>
      <c r="C966" s="1">
        <v>17.23</v>
      </c>
      <c r="D966" s="1">
        <v>16.82</v>
      </c>
      <c r="E966" s="1">
        <v>18.12</v>
      </c>
      <c r="F966" s="1">
        <v>17.59</v>
      </c>
      <c r="H966" s="1" t="str">
        <f t="shared" si="51"/>
        <v>2015</v>
      </c>
      <c r="I966" s="12" t="s">
        <v>148</v>
      </c>
    </row>
    <row r="967" spans="1:9">
      <c r="A967" s="1" t="s">
        <v>174</v>
      </c>
    </row>
    <row r="968" spans="1:9">
      <c r="A968" s="1" t="s">
        <v>517</v>
      </c>
    </row>
    <row r="969" spans="1:9">
      <c r="A969" s="1" t="s">
        <v>20</v>
      </c>
      <c r="B969" s="1">
        <v>0</v>
      </c>
      <c r="C969" s="1">
        <v>0</v>
      </c>
      <c r="D969" s="1">
        <v>0</v>
      </c>
      <c r="E969" s="1">
        <v>0</v>
      </c>
      <c r="F969" s="1">
        <v>0</v>
      </c>
      <c r="H969" s="1" t="str">
        <f>RIGHT(A967,4)</f>
        <v>2016</v>
      </c>
      <c r="I969" s="12" t="s">
        <v>519</v>
      </c>
    </row>
    <row r="970" spans="1:9">
      <c r="A970" s="1" t="s">
        <v>17</v>
      </c>
      <c r="B970" s="1">
        <v>291.02</v>
      </c>
      <c r="C970" s="1">
        <v>1.1100000000000001</v>
      </c>
      <c r="D970" s="1">
        <v>31.23</v>
      </c>
      <c r="E970" s="1">
        <v>0</v>
      </c>
      <c r="F970" s="1">
        <v>21.62</v>
      </c>
      <c r="H970" s="1" t="str">
        <f>H969</f>
        <v>2016</v>
      </c>
      <c r="I970" s="12" t="s">
        <v>519</v>
      </c>
    </row>
    <row r="971" spans="1:9">
      <c r="A971" s="1" t="s">
        <v>10</v>
      </c>
      <c r="B971" s="1">
        <v>186.26</v>
      </c>
      <c r="C971" s="1">
        <v>0.98</v>
      </c>
      <c r="D971" s="1">
        <v>9.26</v>
      </c>
      <c r="E971" s="1">
        <v>0.98</v>
      </c>
      <c r="F971" s="1">
        <v>5.53</v>
      </c>
      <c r="H971" s="1" t="str">
        <f t="shared" ref="H971:H985" si="52">H970</f>
        <v>2016</v>
      </c>
      <c r="I971" s="12" t="s">
        <v>519</v>
      </c>
    </row>
    <row r="972" spans="1:9">
      <c r="A972" s="1" t="s">
        <v>11</v>
      </c>
      <c r="B972" s="1">
        <v>3.6</v>
      </c>
      <c r="C972" s="1">
        <v>0.27</v>
      </c>
      <c r="D972" s="1">
        <v>0.32</v>
      </c>
      <c r="E972" s="1">
        <v>0.38</v>
      </c>
      <c r="F972" s="1">
        <v>0.77</v>
      </c>
      <c r="H972" s="1" t="str">
        <f t="shared" si="52"/>
        <v>2016</v>
      </c>
      <c r="I972" s="12" t="s">
        <v>519</v>
      </c>
    </row>
    <row r="973" spans="1:9">
      <c r="A973" s="1" t="s">
        <v>32</v>
      </c>
      <c r="B973" s="1">
        <v>179.24</v>
      </c>
      <c r="C973" s="1">
        <v>1.95</v>
      </c>
      <c r="D973" s="1">
        <v>37.06</v>
      </c>
      <c r="E973" s="1">
        <v>0</v>
      </c>
      <c r="F973" s="1">
        <v>9.75</v>
      </c>
      <c r="H973" s="1" t="str">
        <f t="shared" si="52"/>
        <v>2016</v>
      </c>
      <c r="I973" s="12" t="s">
        <v>519</v>
      </c>
    </row>
    <row r="974" spans="1:9">
      <c r="A974" s="1" t="s">
        <v>31</v>
      </c>
      <c r="B974" s="1">
        <v>127.85</v>
      </c>
      <c r="C974" s="1">
        <v>1.73</v>
      </c>
      <c r="D974" s="1">
        <v>22.75</v>
      </c>
      <c r="E974" s="1">
        <v>0</v>
      </c>
      <c r="F974" s="1">
        <v>26.49</v>
      </c>
      <c r="H974" s="1" t="str">
        <f t="shared" si="52"/>
        <v>2016</v>
      </c>
      <c r="I974" s="12" t="s">
        <v>519</v>
      </c>
    </row>
    <row r="975" spans="1:9">
      <c r="A975" s="1" t="s">
        <v>266</v>
      </c>
      <c r="B975" s="1">
        <v>89.87</v>
      </c>
      <c r="C975" s="1">
        <v>0</v>
      </c>
      <c r="D975" s="1">
        <v>5.68</v>
      </c>
      <c r="E975" s="1">
        <v>0</v>
      </c>
      <c r="F975" s="1">
        <v>51.1</v>
      </c>
      <c r="H975" s="1" t="str">
        <f t="shared" si="52"/>
        <v>2016</v>
      </c>
      <c r="I975" s="12" t="s">
        <v>519</v>
      </c>
    </row>
    <row r="976" spans="1:9">
      <c r="A976" s="1" t="s">
        <v>269</v>
      </c>
      <c r="B976" s="1">
        <v>85.23</v>
      </c>
      <c r="C976" s="1">
        <v>97.71</v>
      </c>
      <c r="D976" s="1">
        <v>172.09</v>
      </c>
      <c r="E976" s="1">
        <v>10.34</v>
      </c>
      <c r="F976" s="1">
        <v>1.95</v>
      </c>
      <c r="H976" s="1" t="str">
        <f t="shared" si="52"/>
        <v>2016</v>
      </c>
      <c r="I976" s="12" t="s">
        <v>519</v>
      </c>
    </row>
    <row r="977" spans="1:9">
      <c r="A977" s="1" t="s">
        <v>30</v>
      </c>
      <c r="B977" s="1">
        <v>3.9</v>
      </c>
      <c r="C977" s="1">
        <v>4.49</v>
      </c>
      <c r="D977" s="1">
        <v>286.82</v>
      </c>
      <c r="E977" s="1">
        <v>0</v>
      </c>
      <c r="F977" s="1">
        <v>3.25</v>
      </c>
      <c r="H977" s="1" t="str">
        <f t="shared" si="52"/>
        <v>2016</v>
      </c>
      <c r="I977" s="12" t="s">
        <v>519</v>
      </c>
    </row>
    <row r="978" spans="1:9">
      <c r="A978" s="1" t="s">
        <v>26</v>
      </c>
      <c r="B978" s="1">
        <v>43.09</v>
      </c>
      <c r="C978" s="1">
        <v>6.66</v>
      </c>
      <c r="D978" s="1">
        <v>21.54</v>
      </c>
      <c r="E978" s="1">
        <v>0.95</v>
      </c>
      <c r="F978" s="1">
        <v>29.97</v>
      </c>
      <c r="H978" s="1" t="str">
        <f t="shared" si="52"/>
        <v>2016</v>
      </c>
      <c r="I978" s="12" t="s">
        <v>519</v>
      </c>
    </row>
    <row r="979" spans="1:9">
      <c r="A979" s="1" t="s">
        <v>271</v>
      </c>
      <c r="B979" s="1">
        <v>0.67</v>
      </c>
      <c r="C979" s="1">
        <v>0</v>
      </c>
      <c r="D979" s="1">
        <v>0</v>
      </c>
      <c r="E979" s="1">
        <v>0</v>
      </c>
      <c r="F979" s="1">
        <v>0.93</v>
      </c>
      <c r="H979" s="1" t="str">
        <f t="shared" si="52"/>
        <v>2016</v>
      </c>
      <c r="I979" s="12" t="s">
        <v>519</v>
      </c>
    </row>
    <row r="980" spans="1:9">
      <c r="A980" s="1" t="s">
        <v>143</v>
      </c>
      <c r="B980" s="1">
        <v>307.49</v>
      </c>
      <c r="C980" s="1">
        <v>0.98</v>
      </c>
      <c r="D980" s="1">
        <v>5.9</v>
      </c>
      <c r="E980" s="1">
        <v>0.98</v>
      </c>
      <c r="F980" s="1">
        <v>26.38</v>
      </c>
      <c r="H980" s="1" t="str">
        <f t="shared" si="52"/>
        <v>2016</v>
      </c>
      <c r="I980" s="12" t="s">
        <v>519</v>
      </c>
    </row>
    <row r="981" spans="1:9">
      <c r="A981" s="1" t="s">
        <v>144</v>
      </c>
      <c r="B981" s="1">
        <v>350.67</v>
      </c>
      <c r="C981" s="1">
        <v>1.1299999999999999</v>
      </c>
      <c r="D981" s="1">
        <v>6.72</v>
      </c>
      <c r="E981" s="1">
        <v>1.1299999999999999</v>
      </c>
      <c r="F981" s="1">
        <v>54.52</v>
      </c>
      <c r="H981" s="1" t="str">
        <f t="shared" si="52"/>
        <v>2016</v>
      </c>
      <c r="I981" s="12" t="s">
        <v>519</v>
      </c>
    </row>
    <row r="982" spans="1:9">
      <c r="A982" s="1" t="s">
        <v>14</v>
      </c>
      <c r="B982" s="1">
        <v>53.38</v>
      </c>
      <c r="C982" s="1">
        <v>0</v>
      </c>
      <c r="D982" s="1">
        <v>5.89</v>
      </c>
      <c r="E982" s="1">
        <v>0</v>
      </c>
      <c r="F982" s="1">
        <v>17.79</v>
      </c>
      <c r="H982" s="1" t="str">
        <f t="shared" si="52"/>
        <v>2016</v>
      </c>
      <c r="I982" s="12" t="s">
        <v>519</v>
      </c>
    </row>
    <row r="983" spans="1:9">
      <c r="A983" s="1" t="s">
        <v>145</v>
      </c>
      <c r="B983" s="1">
        <v>17.54</v>
      </c>
      <c r="C983" s="1">
        <v>0</v>
      </c>
      <c r="D983" s="1">
        <v>132.16999999999999</v>
      </c>
      <c r="E983" s="1">
        <v>0</v>
      </c>
      <c r="F983" s="1">
        <v>26.45</v>
      </c>
      <c r="H983" s="1" t="str">
        <f t="shared" si="52"/>
        <v>2016</v>
      </c>
      <c r="I983" s="12" t="s">
        <v>519</v>
      </c>
    </row>
    <row r="984" spans="1:9">
      <c r="A984" s="1" t="s">
        <v>146</v>
      </c>
      <c r="B984" s="1">
        <v>15.3</v>
      </c>
      <c r="C984" s="1">
        <v>1.31</v>
      </c>
      <c r="D984" s="1">
        <v>344.49</v>
      </c>
      <c r="E984" s="1">
        <v>0.85</v>
      </c>
      <c r="F984" s="1">
        <v>14.41</v>
      </c>
      <c r="H984" s="1" t="str">
        <f t="shared" si="52"/>
        <v>2016</v>
      </c>
      <c r="I984" s="12" t="s">
        <v>519</v>
      </c>
    </row>
    <row r="985" spans="1:9">
      <c r="A985" s="1" t="s">
        <v>147</v>
      </c>
      <c r="B985" s="1">
        <v>92.36</v>
      </c>
      <c r="C985" s="1">
        <v>0.86</v>
      </c>
      <c r="D985" s="1">
        <v>183.21</v>
      </c>
      <c r="E985" s="1">
        <v>0</v>
      </c>
      <c r="F985" s="1">
        <v>51.78</v>
      </c>
      <c r="H985" s="1" t="str">
        <f t="shared" si="52"/>
        <v>2016</v>
      </c>
      <c r="I985" s="12" t="s">
        <v>519</v>
      </c>
    </row>
    <row r="986" spans="1:9">
      <c r="A986" s="1" t="s">
        <v>518</v>
      </c>
    </row>
    <row r="987" spans="1:9">
      <c r="A987" s="1" t="s">
        <v>20</v>
      </c>
      <c r="B987" s="1">
        <v>113.56</v>
      </c>
      <c r="C987" s="1">
        <v>113.5</v>
      </c>
      <c r="D987" s="1">
        <v>113.56</v>
      </c>
      <c r="E987" s="1">
        <v>113.3</v>
      </c>
      <c r="F987" s="1">
        <v>113.5</v>
      </c>
      <c r="H987" s="1" t="str">
        <f>H969</f>
        <v>2016</v>
      </c>
      <c r="I987" s="12" t="s">
        <v>148</v>
      </c>
    </row>
    <row r="988" spans="1:9">
      <c r="A988" s="1" t="s">
        <v>17</v>
      </c>
      <c r="B988" s="1">
        <v>43.85</v>
      </c>
      <c r="C988" s="1">
        <v>44.31</v>
      </c>
      <c r="D988" s="1">
        <v>43.72</v>
      </c>
      <c r="E988" s="1">
        <v>43.53</v>
      </c>
      <c r="F988" s="1">
        <v>31.09</v>
      </c>
      <c r="H988" s="1" t="str">
        <f t="shared" ref="H988:H1003" si="53">H970</f>
        <v>2016</v>
      </c>
      <c r="I988" s="12" t="s">
        <v>148</v>
      </c>
    </row>
    <row r="989" spans="1:9">
      <c r="A989" s="1" t="s">
        <v>10</v>
      </c>
      <c r="B989" s="1">
        <v>37.64</v>
      </c>
      <c r="C989" s="1">
        <v>36.68</v>
      </c>
      <c r="D989" s="1">
        <v>37.520000000000003</v>
      </c>
      <c r="E989" s="1">
        <v>33.979999999999997</v>
      </c>
      <c r="F989" s="1">
        <v>38.020000000000003</v>
      </c>
      <c r="H989" s="1" t="str">
        <f t="shared" si="53"/>
        <v>2016</v>
      </c>
      <c r="I989" s="12" t="s">
        <v>148</v>
      </c>
    </row>
    <row r="990" spans="1:9">
      <c r="A990" s="1" t="s">
        <v>11</v>
      </c>
      <c r="B990" s="1">
        <v>113.56</v>
      </c>
      <c r="C990" s="1">
        <v>113.5</v>
      </c>
      <c r="D990" s="1">
        <v>113.56</v>
      </c>
      <c r="E990" s="1">
        <v>113.5</v>
      </c>
      <c r="F990" s="1">
        <v>113.5</v>
      </c>
      <c r="H990" s="1" t="str">
        <f t="shared" si="53"/>
        <v>2016</v>
      </c>
      <c r="I990" s="12" t="s">
        <v>148</v>
      </c>
    </row>
    <row r="991" spans="1:9">
      <c r="A991" s="1" t="s">
        <v>32</v>
      </c>
      <c r="B991" s="1">
        <v>28.95</v>
      </c>
      <c r="C991" s="1">
        <v>28.95</v>
      </c>
      <c r="D991" s="1">
        <v>29.42</v>
      </c>
      <c r="E991" s="1">
        <v>28.2</v>
      </c>
      <c r="F991" s="1">
        <v>29.77</v>
      </c>
      <c r="H991" s="1" t="str">
        <f t="shared" si="53"/>
        <v>2016</v>
      </c>
      <c r="I991" s="12" t="s">
        <v>148</v>
      </c>
    </row>
    <row r="992" spans="1:9">
      <c r="A992" s="1" t="s">
        <v>31</v>
      </c>
      <c r="B992" s="1">
        <v>28.66</v>
      </c>
      <c r="C992" s="1">
        <v>28.66</v>
      </c>
      <c r="D992" s="1">
        <v>29.14</v>
      </c>
      <c r="E992" s="1">
        <v>28.26</v>
      </c>
      <c r="F992" s="1">
        <v>29.87</v>
      </c>
      <c r="H992" s="1" t="str">
        <f t="shared" si="53"/>
        <v>2016</v>
      </c>
      <c r="I992" s="12" t="s">
        <v>148</v>
      </c>
    </row>
    <row r="993" spans="1:9">
      <c r="A993" s="1" t="s">
        <v>266</v>
      </c>
      <c r="B993" s="1">
        <v>35.75</v>
      </c>
      <c r="C993" s="1">
        <v>34.86</v>
      </c>
      <c r="D993" s="1">
        <v>34.69</v>
      </c>
      <c r="E993" s="1">
        <v>36.5</v>
      </c>
      <c r="F993" s="1">
        <v>36.979999999999997</v>
      </c>
      <c r="H993" s="1" t="str">
        <f t="shared" si="53"/>
        <v>2016</v>
      </c>
      <c r="I993" s="12" t="s">
        <v>148</v>
      </c>
    </row>
    <row r="994" spans="1:9">
      <c r="A994" s="1" t="s">
        <v>269</v>
      </c>
      <c r="B994" s="1">
        <v>28.5</v>
      </c>
      <c r="C994" s="1">
        <v>28.5</v>
      </c>
      <c r="D994" s="1">
        <v>28.5</v>
      </c>
      <c r="E994" s="1">
        <v>28.5</v>
      </c>
      <c r="F994" s="1">
        <v>28.5</v>
      </c>
      <c r="H994" s="1" t="str">
        <f t="shared" si="53"/>
        <v>2016</v>
      </c>
      <c r="I994" s="12" t="s">
        <v>148</v>
      </c>
    </row>
    <row r="995" spans="1:9">
      <c r="A995" s="1" t="s">
        <v>30</v>
      </c>
      <c r="B995" s="1">
        <v>20.67</v>
      </c>
      <c r="C995" s="1">
        <v>20.67</v>
      </c>
      <c r="D995" s="1">
        <v>20.67</v>
      </c>
      <c r="E995" s="1">
        <v>20.67</v>
      </c>
      <c r="F995" s="1">
        <v>20.67</v>
      </c>
      <c r="H995" s="1" t="str">
        <f t="shared" si="53"/>
        <v>2016</v>
      </c>
      <c r="I995" s="12" t="s">
        <v>148</v>
      </c>
    </row>
    <row r="996" spans="1:9">
      <c r="A996" s="1" t="s">
        <v>26</v>
      </c>
      <c r="B996" s="1">
        <v>33.17</v>
      </c>
      <c r="C996" s="1">
        <v>33.17</v>
      </c>
      <c r="D996" s="1">
        <v>33.770000000000003</v>
      </c>
      <c r="E996" s="1">
        <v>33.270000000000003</v>
      </c>
      <c r="F996" s="1">
        <v>33.270000000000003</v>
      </c>
      <c r="H996" s="1" t="str">
        <f t="shared" si="53"/>
        <v>2016</v>
      </c>
      <c r="I996" s="12" t="s">
        <v>148</v>
      </c>
    </row>
    <row r="997" spans="1:9">
      <c r="A997" s="1" t="s">
        <v>271</v>
      </c>
      <c r="B997" s="1">
        <v>47.76</v>
      </c>
      <c r="C997" s="1">
        <v>46.94</v>
      </c>
      <c r="D997" s="1">
        <v>46.48</v>
      </c>
      <c r="E997" s="1">
        <v>48.44</v>
      </c>
      <c r="F997" s="1">
        <v>46.06</v>
      </c>
      <c r="H997" s="1" t="str">
        <f t="shared" si="53"/>
        <v>2016</v>
      </c>
      <c r="I997" s="12" t="s">
        <v>148</v>
      </c>
    </row>
    <row r="998" spans="1:9">
      <c r="A998" s="1" t="s">
        <v>143</v>
      </c>
      <c r="B998" s="1">
        <v>59.99</v>
      </c>
      <c r="C998" s="1">
        <v>57.94</v>
      </c>
      <c r="D998" s="1">
        <v>57.53</v>
      </c>
      <c r="E998" s="1">
        <v>60.17</v>
      </c>
      <c r="F998" s="1">
        <v>57.56</v>
      </c>
      <c r="H998" s="1" t="str">
        <f t="shared" si="53"/>
        <v>2016</v>
      </c>
      <c r="I998" s="12" t="s">
        <v>148</v>
      </c>
    </row>
    <row r="999" spans="1:9">
      <c r="A999" s="1" t="s">
        <v>144</v>
      </c>
      <c r="B999" s="1">
        <v>31.91</v>
      </c>
      <c r="C999" s="1">
        <v>30.8</v>
      </c>
      <c r="D999" s="1">
        <v>31.21</v>
      </c>
      <c r="E999" s="1">
        <v>30.4</v>
      </c>
      <c r="F999" s="1">
        <v>31.55</v>
      </c>
      <c r="H999" s="1" t="str">
        <f t="shared" si="53"/>
        <v>2016</v>
      </c>
      <c r="I999" s="12" t="s">
        <v>148</v>
      </c>
    </row>
    <row r="1000" spans="1:9">
      <c r="A1000" s="1" t="s">
        <v>14</v>
      </c>
      <c r="B1000" s="1">
        <v>42.14</v>
      </c>
      <c r="C1000" s="1">
        <v>42.05</v>
      </c>
      <c r="D1000" s="1">
        <v>41.09</v>
      </c>
      <c r="E1000" s="1">
        <v>43.11</v>
      </c>
      <c r="F1000" s="1">
        <v>42.82</v>
      </c>
      <c r="H1000" s="1" t="str">
        <f t="shared" si="53"/>
        <v>2016</v>
      </c>
      <c r="I1000" s="12" t="s">
        <v>148</v>
      </c>
    </row>
    <row r="1001" spans="1:9">
      <c r="A1001" s="1" t="s">
        <v>145</v>
      </c>
      <c r="B1001" s="1">
        <v>19.16</v>
      </c>
      <c r="C1001" s="1">
        <v>19.11</v>
      </c>
      <c r="D1001" s="1">
        <v>18.68</v>
      </c>
      <c r="E1001" s="1">
        <v>19.600000000000001</v>
      </c>
      <c r="F1001" s="1">
        <v>19.46</v>
      </c>
      <c r="H1001" s="1" t="str">
        <f t="shared" si="53"/>
        <v>2016</v>
      </c>
      <c r="I1001" s="12" t="s">
        <v>148</v>
      </c>
    </row>
    <row r="1002" spans="1:9">
      <c r="A1002" s="1" t="s">
        <v>146</v>
      </c>
      <c r="B1002" s="1">
        <v>23.41</v>
      </c>
      <c r="C1002" s="1">
        <v>23.36</v>
      </c>
      <c r="D1002" s="1">
        <v>22.83</v>
      </c>
      <c r="E1002" s="1">
        <v>23.95</v>
      </c>
      <c r="F1002" s="1">
        <v>23.79</v>
      </c>
      <c r="H1002" s="1" t="str">
        <f t="shared" si="53"/>
        <v>2016</v>
      </c>
      <c r="I1002" s="12" t="s">
        <v>148</v>
      </c>
    </row>
    <row r="1003" spans="1:9">
      <c r="A1003" s="1" t="s">
        <v>147</v>
      </c>
      <c r="B1003" s="1">
        <v>17.559999999999999</v>
      </c>
      <c r="C1003" s="1">
        <v>17.52</v>
      </c>
      <c r="D1003" s="1">
        <v>17.12</v>
      </c>
      <c r="E1003" s="1">
        <v>17.96</v>
      </c>
      <c r="F1003" s="1">
        <v>17.84</v>
      </c>
      <c r="H1003" s="1" t="str">
        <f t="shared" si="53"/>
        <v>2016</v>
      </c>
      <c r="I1003" s="12" t="s">
        <v>148</v>
      </c>
    </row>
    <row r="1004" spans="1:9">
      <c r="A1004" s="1" t="s">
        <v>175</v>
      </c>
    </row>
    <row r="1005" spans="1:9">
      <c r="A1005" s="1" t="s">
        <v>517</v>
      </c>
    </row>
    <row r="1006" spans="1:9">
      <c r="A1006" s="1" t="s">
        <v>20</v>
      </c>
      <c r="B1006" s="1">
        <v>0</v>
      </c>
      <c r="C1006" s="1">
        <v>0</v>
      </c>
      <c r="D1006" s="1">
        <v>0</v>
      </c>
      <c r="E1006" s="1">
        <v>0</v>
      </c>
      <c r="F1006" s="1">
        <v>0</v>
      </c>
      <c r="H1006" s="1" t="str">
        <f>RIGHT(A1004,4)</f>
        <v>2017</v>
      </c>
      <c r="I1006" s="12" t="s">
        <v>519</v>
      </c>
    </row>
    <row r="1007" spans="1:9">
      <c r="A1007" s="1" t="s">
        <v>17</v>
      </c>
      <c r="B1007" s="1">
        <v>295.38</v>
      </c>
      <c r="C1007" s="1">
        <v>1.1299999999999999</v>
      </c>
      <c r="D1007" s="1">
        <v>31.69</v>
      </c>
      <c r="E1007" s="1">
        <v>0</v>
      </c>
      <c r="F1007" s="1">
        <v>21.94</v>
      </c>
      <c r="H1007" s="1" t="str">
        <f>H1006</f>
        <v>2017</v>
      </c>
      <c r="I1007" s="12" t="s">
        <v>519</v>
      </c>
    </row>
    <row r="1008" spans="1:9">
      <c r="A1008" s="1" t="s">
        <v>10</v>
      </c>
      <c r="B1008" s="1">
        <v>189.99</v>
      </c>
      <c r="C1008" s="1">
        <v>0.99</v>
      </c>
      <c r="D1008" s="1">
        <v>9.4499999999999993</v>
      </c>
      <c r="E1008" s="1">
        <v>0.99</v>
      </c>
      <c r="F1008" s="1">
        <v>5.64</v>
      </c>
      <c r="H1008" s="1" t="str">
        <f t="shared" ref="H1008:H1022" si="54">H1007</f>
        <v>2017</v>
      </c>
      <c r="I1008" s="12" t="s">
        <v>519</v>
      </c>
    </row>
    <row r="1009" spans="1:9">
      <c r="A1009" s="1" t="s">
        <v>11</v>
      </c>
      <c r="B1009" s="1">
        <v>2.7</v>
      </c>
      <c r="C1009" s="1">
        <v>0.2</v>
      </c>
      <c r="D1009" s="1">
        <v>0.24</v>
      </c>
      <c r="E1009" s="1">
        <v>0.28000000000000003</v>
      </c>
      <c r="F1009" s="1">
        <v>0.56999999999999995</v>
      </c>
      <c r="H1009" s="1" t="str">
        <f t="shared" si="54"/>
        <v>2017</v>
      </c>
      <c r="I1009" s="12" t="s">
        <v>519</v>
      </c>
    </row>
    <row r="1010" spans="1:9">
      <c r="A1010" s="1" t="s">
        <v>32</v>
      </c>
      <c r="B1010" s="1">
        <v>182.83</v>
      </c>
      <c r="C1010" s="1">
        <v>1.99</v>
      </c>
      <c r="D1010" s="1">
        <v>37.799999999999997</v>
      </c>
      <c r="E1010" s="1">
        <v>0</v>
      </c>
      <c r="F1010" s="1">
        <v>9.9499999999999993</v>
      </c>
      <c r="H1010" s="1" t="str">
        <f t="shared" si="54"/>
        <v>2017</v>
      </c>
      <c r="I1010" s="12" t="s">
        <v>519</v>
      </c>
    </row>
    <row r="1011" spans="1:9">
      <c r="A1011" s="1" t="s">
        <v>31</v>
      </c>
      <c r="B1011" s="1">
        <v>126.57</v>
      </c>
      <c r="C1011" s="1">
        <v>1.71</v>
      </c>
      <c r="D1011" s="1">
        <v>22.52</v>
      </c>
      <c r="E1011" s="1">
        <v>0</v>
      </c>
      <c r="F1011" s="1">
        <v>26.23</v>
      </c>
      <c r="H1011" s="1" t="str">
        <f t="shared" si="54"/>
        <v>2017</v>
      </c>
      <c r="I1011" s="12" t="s">
        <v>519</v>
      </c>
    </row>
    <row r="1012" spans="1:9">
      <c r="A1012" s="1" t="s">
        <v>266</v>
      </c>
      <c r="B1012" s="1">
        <v>91.67</v>
      </c>
      <c r="C1012" s="1">
        <v>0</v>
      </c>
      <c r="D1012" s="1">
        <v>5.79</v>
      </c>
      <c r="E1012" s="1">
        <v>0</v>
      </c>
      <c r="F1012" s="1">
        <v>52.13</v>
      </c>
      <c r="H1012" s="1" t="str">
        <f t="shared" si="54"/>
        <v>2017</v>
      </c>
      <c r="I1012" s="12" t="s">
        <v>519</v>
      </c>
    </row>
    <row r="1013" spans="1:9">
      <c r="A1013" s="1" t="s">
        <v>269</v>
      </c>
      <c r="B1013" s="1">
        <v>86.94</v>
      </c>
      <c r="C1013" s="1">
        <v>99.67</v>
      </c>
      <c r="D1013" s="1">
        <v>175.54</v>
      </c>
      <c r="E1013" s="1">
        <v>10.54</v>
      </c>
      <c r="F1013" s="1">
        <v>1.99</v>
      </c>
      <c r="H1013" s="1" t="str">
        <f t="shared" si="54"/>
        <v>2017</v>
      </c>
      <c r="I1013" s="12" t="s">
        <v>519</v>
      </c>
    </row>
    <row r="1014" spans="1:9">
      <c r="A1014" s="1" t="s">
        <v>30</v>
      </c>
      <c r="B1014" s="1">
        <v>3.98</v>
      </c>
      <c r="C1014" s="1">
        <v>4.58</v>
      </c>
      <c r="D1014" s="1">
        <v>292.56</v>
      </c>
      <c r="E1014" s="1">
        <v>0</v>
      </c>
      <c r="F1014" s="1">
        <v>3.32</v>
      </c>
      <c r="H1014" s="1" t="str">
        <f t="shared" si="54"/>
        <v>2017</v>
      </c>
      <c r="I1014" s="12" t="s">
        <v>519</v>
      </c>
    </row>
    <row r="1015" spans="1:9">
      <c r="A1015" s="1" t="s">
        <v>26</v>
      </c>
      <c r="B1015" s="1">
        <v>43.78</v>
      </c>
      <c r="C1015" s="1">
        <v>6.76</v>
      </c>
      <c r="D1015" s="1">
        <v>21.89</v>
      </c>
      <c r="E1015" s="1">
        <v>0.97</v>
      </c>
      <c r="F1015" s="1">
        <v>30.45</v>
      </c>
      <c r="H1015" s="1" t="str">
        <f t="shared" si="54"/>
        <v>2017</v>
      </c>
      <c r="I1015" s="12" t="s">
        <v>519</v>
      </c>
    </row>
    <row r="1016" spans="1:9">
      <c r="A1016" s="1" t="s">
        <v>271</v>
      </c>
      <c r="B1016" s="1">
        <v>0.69</v>
      </c>
      <c r="C1016" s="1">
        <v>0</v>
      </c>
      <c r="D1016" s="1">
        <v>0</v>
      </c>
      <c r="E1016" s="1">
        <v>0</v>
      </c>
      <c r="F1016" s="1">
        <v>0.95</v>
      </c>
      <c r="H1016" s="1" t="str">
        <f t="shared" si="54"/>
        <v>2017</v>
      </c>
      <c r="I1016" s="12" t="s">
        <v>519</v>
      </c>
    </row>
    <row r="1017" spans="1:9">
      <c r="A1017" s="1" t="s">
        <v>143</v>
      </c>
      <c r="B1017" s="1">
        <v>313.64</v>
      </c>
      <c r="C1017" s="1">
        <v>1</v>
      </c>
      <c r="D1017" s="1">
        <v>6.02</v>
      </c>
      <c r="E1017" s="1">
        <v>1</v>
      </c>
      <c r="F1017" s="1">
        <v>26.91</v>
      </c>
      <c r="H1017" s="1" t="str">
        <f t="shared" si="54"/>
        <v>2017</v>
      </c>
      <c r="I1017" s="12" t="s">
        <v>519</v>
      </c>
    </row>
    <row r="1018" spans="1:9">
      <c r="A1018" s="1" t="s">
        <v>144</v>
      </c>
      <c r="B1018" s="1">
        <v>362.94</v>
      </c>
      <c r="C1018" s="1">
        <v>1.17</v>
      </c>
      <c r="D1018" s="1">
        <v>6.96</v>
      </c>
      <c r="E1018" s="1">
        <v>1.17</v>
      </c>
      <c r="F1018" s="1">
        <v>56.42</v>
      </c>
      <c r="H1018" s="1" t="str">
        <f t="shared" si="54"/>
        <v>2017</v>
      </c>
      <c r="I1018" s="12" t="s">
        <v>519</v>
      </c>
    </row>
    <row r="1019" spans="1:9">
      <c r="A1019" s="1" t="s">
        <v>14</v>
      </c>
      <c r="B1019" s="1">
        <v>55.25</v>
      </c>
      <c r="C1019" s="1">
        <v>0</v>
      </c>
      <c r="D1019" s="1">
        <v>6.1</v>
      </c>
      <c r="E1019" s="1">
        <v>0</v>
      </c>
      <c r="F1019" s="1">
        <v>18.420000000000002</v>
      </c>
      <c r="H1019" s="1" t="str">
        <f t="shared" si="54"/>
        <v>2017</v>
      </c>
      <c r="I1019" s="12" t="s">
        <v>519</v>
      </c>
    </row>
    <row r="1020" spans="1:9">
      <c r="A1020" s="1" t="s">
        <v>145</v>
      </c>
      <c r="B1020" s="1">
        <v>17.8</v>
      </c>
      <c r="C1020" s="1">
        <v>0</v>
      </c>
      <c r="D1020" s="1">
        <v>134.15</v>
      </c>
      <c r="E1020" s="1">
        <v>0</v>
      </c>
      <c r="F1020" s="1">
        <v>26.85</v>
      </c>
      <c r="H1020" s="1" t="str">
        <f t="shared" si="54"/>
        <v>2017</v>
      </c>
      <c r="I1020" s="12" t="s">
        <v>519</v>
      </c>
    </row>
    <row r="1021" spans="1:9">
      <c r="A1021" s="1" t="s">
        <v>146</v>
      </c>
      <c r="B1021" s="1">
        <v>15.53</v>
      </c>
      <c r="C1021" s="1">
        <v>1.33</v>
      </c>
      <c r="D1021" s="1">
        <v>349.65</v>
      </c>
      <c r="E1021" s="1">
        <v>0.86</v>
      </c>
      <c r="F1021" s="1">
        <v>14.62</v>
      </c>
      <c r="H1021" s="1" t="str">
        <f t="shared" si="54"/>
        <v>2017</v>
      </c>
      <c r="I1021" s="12" t="s">
        <v>519</v>
      </c>
    </row>
    <row r="1022" spans="1:9">
      <c r="A1022" s="1" t="s">
        <v>147</v>
      </c>
      <c r="B1022" s="1">
        <v>93.75</v>
      </c>
      <c r="C1022" s="1">
        <v>0.88</v>
      </c>
      <c r="D1022" s="1">
        <v>185.96</v>
      </c>
      <c r="E1022" s="1">
        <v>0</v>
      </c>
      <c r="F1022" s="1">
        <v>52.56</v>
      </c>
      <c r="H1022" s="1" t="str">
        <f t="shared" si="54"/>
        <v>2017</v>
      </c>
      <c r="I1022" s="12" t="s">
        <v>519</v>
      </c>
    </row>
    <row r="1023" spans="1:9">
      <c r="A1023" s="1" t="s">
        <v>518</v>
      </c>
    </row>
    <row r="1024" spans="1:9">
      <c r="A1024" s="1" t="s">
        <v>20</v>
      </c>
      <c r="B1024" s="1">
        <v>113.56</v>
      </c>
      <c r="C1024" s="1">
        <v>113.5</v>
      </c>
      <c r="D1024" s="1">
        <v>113.56</v>
      </c>
      <c r="E1024" s="1">
        <v>113.3</v>
      </c>
      <c r="F1024" s="1">
        <v>113.5</v>
      </c>
      <c r="H1024" s="1" t="str">
        <f>H1006</f>
        <v>2017</v>
      </c>
      <c r="I1024" s="12" t="s">
        <v>148</v>
      </c>
    </row>
    <row r="1025" spans="1:9">
      <c r="A1025" s="1" t="s">
        <v>17</v>
      </c>
      <c r="B1025" s="1">
        <v>43.97</v>
      </c>
      <c r="C1025" s="1">
        <v>44.44</v>
      </c>
      <c r="D1025" s="1">
        <v>43.85</v>
      </c>
      <c r="E1025" s="1">
        <v>43.66</v>
      </c>
      <c r="F1025" s="1">
        <v>31.01</v>
      </c>
      <c r="H1025" s="1" t="str">
        <f t="shared" ref="H1025:H1040" si="55">H1007</f>
        <v>2017</v>
      </c>
      <c r="I1025" s="12" t="s">
        <v>148</v>
      </c>
    </row>
    <row r="1026" spans="1:9">
      <c r="A1026" s="1" t="s">
        <v>10</v>
      </c>
      <c r="B1026" s="1">
        <v>38.159999999999997</v>
      </c>
      <c r="C1026" s="1">
        <v>37.200000000000003</v>
      </c>
      <c r="D1026" s="1">
        <v>38.04</v>
      </c>
      <c r="E1026" s="1">
        <v>35.130000000000003</v>
      </c>
      <c r="F1026" s="1">
        <v>38.79</v>
      </c>
      <c r="H1026" s="1" t="str">
        <f t="shared" si="55"/>
        <v>2017</v>
      </c>
      <c r="I1026" s="12" t="s">
        <v>148</v>
      </c>
    </row>
    <row r="1027" spans="1:9">
      <c r="A1027" s="1" t="s">
        <v>11</v>
      </c>
      <c r="B1027" s="1">
        <v>113.56</v>
      </c>
      <c r="C1027" s="1">
        <v>113.5</v>
      </c>
      <c r="D1027" s="1">
        <v>113.56</v>
      </c>
      <c r="E1027" s="1">
        <v>113.5</v>
      </c>
      <c r="F1027" s="1">
        <v>113.5</v>
      </c>
      <c r="H1027" s="1" t="str">
        <f t="shared" si="55"/>
        <v>2017</v>
      </c>
      <c r="I1027" s="12" t="s">
        <v>148</v>
      </c>
    </row>
    <row r="1028" spans="1:9">
      <c r="A1028" s="1" t="s">
        <v>32</v>
      </c>
      <c r="B1028" s="1">
        <v>29.63</v>
      </c>
      <c r="C1028" s="1">
        <v>29.63</v>
      </c>
      <c r="D1028" s="1">
        <v>30.1</v>
      </c>
      <c r="E1028" s="1">
        <v>28.89</v>
      </c>
      <c r="F1028" s="1">
        <v>30.39</v>
      </c>
      <c r="H1028" s="1" t="str">
        <f t="shared" si="55"/>
        <v>2017</v>
      </c>
      <c r="I1028" s="12" t="s">
        <v>148</v>
      </c>
    </row>
    <row r="1029" spans="1:9">
      <c r="A1029" s="1" t="s">
        <v>31</v>
      </c>
      <c r="B1029" s="1">
        <v>29.27</v>
      </c>
      <c r="C1029" s="1">
        <v>29.27</v>
      </c>
      <c r="D1029" s="1">
        <v>29.74</v>
      </c>
      <c r="E1029" s="1">
        <v>28.87</v>
      </c>
      <c r="F1029" s="1">
        <v>30.45</v>
      </c>
      <c r="H1029" s="1" t="str">
        <f t="shared" si="55"/>
        <v>2017</v>
      </c>
      <c r="I1029" s="12" t="s">
        <v>148</v>
      </c>
    </row>
    <row r="1030" spans="1:9">
      <c r="A1030" s="1" t="s">
        <v>266</v>
      </c>
      <c r="B1030" s="1">
        <v>35.89</v>
      </c>
      <c r="C1030" s="1">
        <v>35</v>
      </c>
      <c r="D1030" s="1">
        <v>34.840000000000003</v>
      </c>
      <c r="E1030" s="1">
        <v>36.64</v>
      </c>
      <c r="F1030" s="1">
        <v>37.29</v>
      </c>
      <c r="H1030" s="1" t="str">
        <f t="shared" si="55"/>
        <v>2017</v>
      </c>
      <c r="I1030" s="12" t="s">
        <v>148</v>
      </c>
    </row>
    <row r="1031" spans="1:9">
      <c r="A1031" s="1" t="s">
        <v>269</v>
      </c>
      <c r="B1031" s="1">
        <v>28.5</v>
      </c>
      <c r="C1031" s="1">
        <v>28.5</v>
      </c>
      <c r="D1031" s="1">
        <v>28.5</v>
      </c>
      <c r="E1031" s="1">
        <v>28.5</v>
      </c>
      <c r="F1031" s="1">
        <v>28.5</v>
      </c>
      <c r="H1031" s="1" t="str">
        <f t="shared" si="55"/>
        <v>2017</v>
      </c>
      <c r="I1031" s="12" t="s">
        <v>148</v>
      </c>
    </row>
    <row r="1032" spans="1:9">
      <c r="A1032" s="1" t="s">
        <v>30</v>
      </c>
      <c r="B1032" s="1">
        <v>20.54</v>
      </c>
      <c r="C1032" s="1">
        <v>20.54</v>
      </c>
      <c r="D1032" s="1">
        <v>20.54</v>
      </c>
      <c r="E1032" s="1">
        <v>20.54</v>
      </c>
      <c r="F1032" s="1">
        <v>20.54</v>
      </c>
      <c r="H1032" s="1" t="str">
        <f t="shared" si="55"/>
        <v>2017</v>
      </c>
      <c r="I1032" s="12" t="s">
        <v>148</v>
      </c>
    </row>
    <row r="1033" spans="1:9">
      <c r="A1033" s="1" t="s">
        <v>26</v>
      </c>
      <c r="B1033" s="1">
        <v>33.81</v>
      </c>
      <c r="C1033" s="1">
        <v>33.81</v>
      </c>
      <c r="D1033" s="1">
        <v>34.4</v>
      </c>
      <c r="E1033" s="1">
        <v>33.9</v>
      </c>
      <c r="F1033" s="1">
        <v>33.9</v>
      </c>
      <c r="H1033" s="1" t="str">
        <f t="shared" si="55"/>
        <v>2017</v>
      </c>
      <c r="I1033" s="12" t="s">
        <v>148</v>
      </c>
    </row>
    <row r="1034" spans="1:9">
      <c r="A1034" s="1" t="s">
        <v>271</v>
      </c>
      <c r="B1034" s="1">
        <v>47.76</v>
      </c>
      <c r="C1034" s="1">
        <v>46.94</v>
      </c>
      <c r="D1034" s="1">
        <v>46.48</v>
      </c>
      <c r="E1034" s="1">
        <v>48.44</v>
      </c>
      <c r="F1034" s="1">
        <v>46.06</v>
      </c>
      <c r="H1034" s="1" t="str">
        <f t="shared" si="55"/>
        <v>2017</v>
      </c>
      <c r="I1034" s="12" t="s">
        <v>148</v>
      </c>
    </row>
    <row r="1035" spans="1:9">
      <c r="A1035" s="1" t="s">
        <v>143</v>
      </c>
      <c r="B1035" s="1">
        <v>59.99</v>
      </c>
      <c r="C1035" s="1">
        <v>57.94</v>
      </c>
      <c r="D1035" s="1">
        <v>57.53</v>
      </c>
      <c r="E1035" s="1">
        <v>60.17</v>
      </c>
      <c r="F1035" s="1">
        <v>57.56</v>
      </c>
      <c r="H1035" s="1" t="str">
        <f t="shared" si="55"/>
        <v>2017</v>
      </c>
      <c r="I1035" s="12" t="s">
        <v>148</v>
      </c>
    </row>
    <row r="1036" spans="1:9">
      <c r="A1036" s="1" t="s">
        <v>144</v>
      </c>
      <c r="B1036" s="1">
        <v>31.91</v>
      </c>
      <c r="C1036" s="1">
        <v>30.8</v>
      </c>
      <c r="D1036" s="1">
        <v>31.21</v>
      </c>
      <c r="E1036" s="1">
        <v>30.4</v>
      </c>
      <c r="F1036" s="1">
        <v>31.55</v>
      </c>
      <c r="H1036" s="1" t="str">
        <f t="shared" si="55"/>
        <v>2017</v>
      </c>
      <c r="I1036" s="12" t="s">
        <v>148</v>
      </c>
    </row>
    <row r="1037" spans="1:9">
      <c r="A1037" s="1" t="s">
        <v>14</v>
      </c>
      <c r="B1037" s="1">
        <v>42.19</v>
      </c>
      <c r="C1037" s="1">
        <v>42.1</v>
      </c>
      <c r="D1037" s="1">
        <v>41.14</v>
      </c>
      <c r="E1037" s="1">
        <v>43.16</v>
      </c>
      <c r="F1037" s="1">
        <v>43.09</v>
      </c>
      <c r="H1037" s="1" t="str">
        <f t="shared" si="55"/>
        <v>2017</v>
      </c>
      <c r="I1037" s="12" t="s">
        <v>148</v>
      </c>
    </row>
    <row r="1038" spans="1:9">
      <c r="A1038" s="1" t="s">
        <v>145</v>
      </c>
      <c r="B1038" s="1">
        <v>19.18</v>
      </c>
      <c r="C1038" s="1">
        <v>19.14</v>
      </c>
      <c r="D1038" s="1">
        <v>18.7</v>
      </c>
      <c r="E1038" s="1">
        <v>19.62</v>
      </c>
      <c r="F1038" s="1">
        <v>19.59</v>
      </c>
      <c r="H1038" s="1" t="str">
        <f t="shared" si="55"/>
        <v>2017</v>
      </c>
      <c r="I1038" s="12" t="s">
        <v>148</v>
      </c>
    </row>
    <row r="1039" spans="1:9">
      <c r="A1039" s="1" t="s">
        <v>146</v>
      </c>
      <c r="B1039" s="1">
        <v>23.44</v>
      </c>
      <c r="C1039" s="1">
        <v>23.39</v>
      </c>
      <c r="D1039" s="1">
        <v>22.86</v>
      </c>
      <c r="E1039" s="1">
        <v>23.98</v>
      </c>
      <c r="F1039" s="1">
        <v>23.94</v>
      </c>
      <c r="H1039" s="1" t="str">
        <f t="shared" si="55"/>
        <v>2017</v>
      </c>
      <c r="I1039" s="12" t="s">
        <v>148</v>
      </c>
    </row>
    <row r="1040" spans="1:9">
      <c r="A1040" s="1" t="s">
        <v>147</v>
      </c>
      <c r="B1040" s="1">
        <v>17.579999999999998</v>
      </c>
      <c r="C1040" s="1">
        <v>17.54</v>
      </c>
      <c r="D1040" s="1">
        <v>17.14</v>
      </c>
      <c r="E1040" s="1">
        <v>17.98</v>
      </c>
      <c r="F1040" s="1">
        <v>17.96</v>
      </c>
      <c r="H1040" s="1" t="str">
        <f t="shared" si="55"/>
        <v>2017</v>
      </c>
      <c r="I1040" s="12" t="s">
        <v>148</v>
      </c>
    </row>
    <row r="1041" spans="1:9">
      <c r="A1041" s="1" t="s">
        <v>176</v>
      </c>
    </row>
    <row r="1042" spans="1:9">
      <c r="A1042" s="1" t="s">
        <v>517</v>
      </c>
    </row>
    <row r="1043" spans="1:9">
      <c r="A1043" s="1" t="s">
        <v>20</v>
      </c>
      <c r="B1043" s="1">
        <v>0</v>
      </c>
      <c r="C1043" s="1">
        <v>0</v>
      </c>
      <c r="D1043" s="1">
        <v>0</v>
      </c>
      <c r="E1043" s="1">
        <v>0</v>
      </c>
      <c r="F1043" s="1">
        <v>0</v>
      </c>
      <c r="H1043" s="1" t="str">
        <f>RIGHT(A1041,4)</f>
        <v>2018</v>
      </c>
      <c r="I1043" s="12" t="s">
        <v>519</v>
      </c>
    </row>
    <row r="1044" spans="1:9">
      <c r="A1044" s="1" t="s">
        <v>17</v>
      </c>
      <c r="B1044" s="1">
        <v>299.81</v>
      </c>
      <c r="C1044" s="1">
        <v>1.1399999999999999</v>
      </c>
      <c r="D1044" s="1">
        <v>32.17</v>
      </c>
      <c r="E1044" s="1">
        <v>0</v>
      </c>
      <c r="F1044" s="1">
        <v>22.27</v>
      </c>
      <c r="H1044" s="1" t="str">
        <f>H1043</f>
        <v>2018</v>
      </c>
      <c r="I1044" s="12" t="s">
        <v>519</v>
      </c>
    </row>
    <row r="1045" spans="1:9">
      <c r="A1045" s="1" t="s">
        <v>10</v>
      </c>
      <c r="B1045" s="1">
        <v>193.79</v>
      </c>
      <c r="C1045" s="1">
        <v>1.01</v>
      </c>
      <c r="D1045" s="1">
        <v>9.64</v>
      </c>
      <c r="E1045" s="1">
        <v>1.01</v>
      </c>
      <c r="F1045" s="1">
        <v>5.75</v>
      </c>
      <c r="H1045" s="1" t="str">
        <f t="shared" ref="H1045:H1059" si="56">H1044</f>
        <v>2018</v>
      </c>
      <c r="I1045" s="12" t="s">
        <v>519</v>
      </c>
    </row>
    <row r="1046" spans="1:9">
      <c r="A1046" s="1" t="s">
        <v>11</v>
      </c>
      <c r="B1046" s="1">
        <v>2.02</v>
      </c>
      <c r="C1046" s="1">
        <v>0.15</v>
      </c>
      <c r="D1046" s="1">
        <v>0.18</v>
      </c>
      <c r="E1046" s="1">
        <v>0.21</v>
      </c>
      <c r="F1046" s="1">
        <v>0.43</v>
      </c>
      <c r="H1046" s="1" t="str">
        <f t="shared" si="56"/>
        <v>2018</v>
      </c>
      <c r="I1046" s="12" t="s">
        <v>519</v>
      </c>
    </row>
    <row r="1047" spans="1:9">
      <c r="A1047" s="1" t="s">
        <v>32</v>
      </c>
      <c r="B1047" s="1">
        <v>186.48</v>
      </c>
      <c r="C1047" s="1">
        <v>2.0299999999999998</v>
      </c>
      <c r="D1047" s="1">
        <v>38.549999999999997</v>
      </c>
      <c r="E1047" s="1">
        <v>0</v>
      </c>
      <c r="F1047" s="1">
        <v>10.15</v>
      </c>
      <c r="H1047" s="1" t="str">
        <f t="shared" si="56"/>
        <v>2018</v>
      </c>
      <c r="I1047" s="12" t="s">
        <v>519</v>
      </c>
    </row>
    <row r="1048" spans="1:9">
      <c r="A1048" s="1" t="s">
        <v>31</v>
      </c>
      <c r="B1048" s="1">
        <v>125.3</v>
      </c>
      <c r="C1048" s="1">
        <v>1.69</v>
      </c>
      <c r="D1048" s="1">
        <v>22.29</v>
      </c>
      <c r="E1048" s="1">
        <v>0</v>
      </c>
      <c r="F1048" s="1">
        <v>25.96</v>
      </c>
      <c r="H1048" s="1" t="str">
        <f t="shared" si="56"/>
        <v>2018</v>
      </c>
      <c r="I1048" s="12" t="s">
        <v>519</v>
      </c>
    </row>
    <row r="1049" spans="1:9">
      <c r="A1049" s="1" t="s">
        <v>266</v>
      </c>
      <c r="B1049" s="1">
        <v>93.5</v>
      </c>
      <c r="C1049" s="1">
        <v>0</v>
      </c>
      <c r="D1049" s="1">
        <v>5.91</v>
      </c>
      <c r="E1049" s="1">
        <v>0</v>
      </c>
      <c r="F1049" s="1">
        <v>53.17</v>
      </c>
      <c r="H1049" s="1" t="str">
        <f t="shared" si="56"/>
        <v>2018</v>
      </c>
      <c r="I1049" s="12" t="s">
        <v>519</v>
      </c>
    </row>
    <row r="1050" spans="1:9">
      <c r="A1050" s="1" t="s">
        <v>269</v>
      </c>
      <c r="B1050" s="1">
        <v>88.68</v>
      </c>
      <c r="C1050" s="1">
        <v>101.6</v>
      </c>
      <c r="D1050" s="1">
        <v>179.05</v>
      </c>
      <c r="E1050" s="1">
        <v>10.75</v>
      </c>
      <c r="F1050" s="1">
        <v>2.0299999999999998</v>
      </c>
      <c r="H1050" s="1" t="str">
        <f t="shared" si="56"/>
        <v>2018</v>
      </c>
      <c r="I1050" s="12" t="s">
        <v>519</v>
      </c>
    </row>
    <row r="1051" spans="1:9">
      <c r="A1051" s="1" t="s">
        <v>30</v>
      </c>
      <c r="B1051" s="1">
        <v>4.0599999999999996</v>
      </c>
      <c r="C1051" s="1">
        <v>4.67</v>
      </c>
      <c r="D1051" s="1">
        <v>298.41000000000003</v>
      </c>
      <c r="E1051" s="1">
        <v>0</v>
      </c>
      <c r="F1051" s="1">
        <v>3.38</v>
      </c>
      <c r="H1051" s="1" t="str">
        <f t="shared" si="56"/>
        <v>2018</v>
      </c>
      <c r="I1051" s="12" t="s">
        <v>519</v>
      </c>
    </row>
    <row r="1052" spans="1:9">
      <c r="A1052" s="1" t="s">
        <v>26</v>
      </c>
      <c r="B1052" s="1">
        <v>44.48</v>
      </c>
      <c r="C1052" s="1">
        <v>6.87</v>
      </c>
      <c r="D1052" s="1">
        <v>22.24</v>
      </c>
      <c r="E1052" s="1">
        <v>0.98</v>
      </c>
      <c r="F1052" s="1">
        <v>30.94</v>
      </c>
      <c r="H1052" s="1" t="str">
        <f t="shared" si="56"/>
        <v>2018</v>
      </c>
      <c r="I1052" s="12" t="s">
        <v>519</v>
      </c>
    </row>
    <row r="1053" spans="1:9">
      <c r="A1053" s="1" t="s">
        <v>271</v>
      </c>
      <c r="B1053" s="1">
        <v>0.71</v>
      </c>
      <c r="C1053" s="1">
        <v>0</v>
      </c>
      <c r="D1053" s="1">
        <v>0</v>
      </c>
      <c r="E1053" s="1">
        <v>0</v>
      </c>
      <c r="F1053" s="1">
        <v>0.98</v>
      </c>
      <c r="H1053" s="1" t="str">
        <f t="shared" si="56"/>
        <v>2018</v>
      </c>
      <c r="I1053" s="12" t="s">
        <v>519</v>
      </c>
    </row>
    <row r="1054" spans="1:9">
      <c r="A1054" s="1" t="s">
        <v>143</v>
      </c>
      <c r="B1054" s="1">
        <v>319.92</v>
      </c>
      <c r="C1054" s="1">
        <v>1.02</v>
      </c>
      <c r="D1054" s="1">
        <v>6.14</v>
      </c>
      <c r="E1054" s="1">
        <v>1.02</v>
      </c>
      <c r="F1054" s="1">
        <v>27.44</v>
      </c>
      <c r="H1054" s="1" t="str">
        <f t="shared" si="56"/>
        <v>2018</v>
      </c>
      <c r="I1054" s="12" t="s">
        <v>519</v>
      </c>
    </row>
    <row r="1055" spans="1:9">
      <c r="A1055" s="1" t="s">
        <v>144</v>
      </c>
      <c r="B1055" s="1">
        <v>375.64</v>
      </c>
      <c r="C1055" s="1">
        <v>1.21</v>
      </c>
      <c r="D1055" s="1">
        <v>7.2</v>
      </c>
      <c r="E1055" s="1">
        <v>1.21</v>
      </c>
      <c r="F1055" s="1">
        <v>58.4</v>
      </c>
      <c r="H1055" s="1" t="str">
        <f t="shared" si="56"/>
        <v>2018</v>
      </c>
      <c r="I1055" s="12" t="s">
        <v>519</v>
      </c>
    </row>
    <row r="1056" spans="1:9">
      <c r="A1056" s="1" t="s">
        <v>14</v>
      </c>
      <c r="B1056" s="1">
        <v>57.18</v>
      </c>
      <c r="C1056" s="1">
        <v>0</v>
      </c>
      <c r="D1056" s="1">
        <v>6.31</v>
      </c>
      <c r="E1056" s="1">
        <v>0</v>
      </c>
      <c r="F1056" s="1">
        <v>19.059999999999999</v>
      </c>
      <c r="H1056" s="1" t="str">
        <f t="shared" si="56"/>
        <v>2018</v>
      </c>
      <c r="I1056" s="12" t="s">
        <v>519</v>
      </c>
    </row>
    <row r="1057" spans="1:9">
      <c r="A1057" s="1" t="s">
        <v>145</v>
      </c>
      <c r="B1057" s="1">
        <v>18.07</v>
      </c>
      <c r="C1057" s="1">
        <v>0</v>
      </c>
      <c r="D1057" s="1">
        <v>136.16999999999999</v>
      </c>
      <c r="E1057" s="1">
        <v>0</v>
      </c>
      <c r="F1057" s="1">
        <v>27.25</v>
      </c>
      <c r="H1057" s="1" t="str">
        <f t="shared" si="56"/>
        <v>2018</v>
      </c>
      <c r="I1057" s="12" t="s">
        <v>519</v>
      </c>
    </row>
    <row r="1058" spans="1:9">
      <c r="A1058" s="1" t="s">
        <v>146</v>
      </c>
      <c r="B1058" s="1">
        <v>15.77</v>
      </c>
      <c r="C1058" s="1">
        <v>1.35</v>
      </c>
      <c r="D1058" s="1">
        <v>354.9</v>
      </c>
      <c r="E1058" s="1">
        <v>0.88</v>
      </c>
      <c r="F1058" s="1">
        <v>14.84</v>
      </c>
      <c r="H1058" s="1" t="str">
        <f t="shared" si="56"/>
        <v>2018</v>
      </c>
      <c r="I1058" s="12" t="s">
        <v>519</v>
      </c>
    </row>
    <row r="1059" spans="1:9">
      <c r="A1059" s="1" t="s">
        <v>147</v>
      </c>
      <c r="B1059" s="1">
        <v>95.16</v>
      </c>
      <c r="C1059" s="1">
        <v>0.89</v>
      </c>
      <c r="D1059" s="1">
        <v>188.74</v>
      </c>
      <c r="E1059" s="1">
        <v>0</v>
      </c>
      <c r="F1059" s="1">
        <v>53.35</v>
      </c>
      <c r="H1059" s="1" t="str">
        <f t="shared" si="56"/>
        <v>2018</v>
      </c>
      <c r="I1059" s="12" t="s">
        <v>519</v>
      </c>
    </row>
    <row r="1060" spans="1:9">
      <c r="A1060" s="1" t="s">
        <v>518</v>
      </c>
    </row>
    <row r="1061" spans="1:9">
      <c r="A1061" s="1" t="s">
        <v>20</v>
      </c>
      <c r="B1061" s="1">
        <v>113.56</v>
      </c>
      <c r="C1061" s="1">
        <v>113.5</v>
      </c>
      <c r="D1061" s="1">
        <v>113.56</v>
      </c>
      <c r="E1061" s="1">
        <v>113.3</v>
      </c>
      <c r="F1061" s="1">
        <v>113.5</v>
      </c>
      <c r="H1061" s="1" t="str">
        <f>H1043</f>
        <v>2018</v>
      </c>
      <c r="I1061" s="12" t="s">
        <v>148</v>
      </c>
    </row>
    <row r="1062" spans="1:9">
      <c r="A1062" s="1" t="s">
        <v>17</v>
      </c>
      <c r="B1062" s="1">
        <v>44.7</v>
      </c>
      <c r="C1062" s="1">
        <v>45.17</v>
      </c>
      <c r="D1062" s="1">
        <v>44.58</v>
      </c>
      <c r="E1062" s="1">
        <v>44.39</v>
      </c>
      <c r="F1062" s="1">
        <v>30.62</v>
      </c>
      <c r="H1062" s="1" t="str">
        <f t="shared" ref="H1062:H1077" si="57">H1044</f>
        <v>2018</v>
      </c>
      <c r="I1062" s="12" t="s">
        <v>148</v>
      </c>
    </row>
    <row r="1063" spans="1:9">
      <c r="A1063" s="1" t="s">
        <v>10</v>
      </c>
      <c r="B1063" s="1">
        <v>38.9</v>
      </c>
      <c r="C1063" s="1">
        <v>37.93</v>
      </c>
      <c r="D1063" s="1">
        <v>38.78</v>
      </c>
      <c r="E1063" s="1">
        <v>35.26</v>
      </c>
      <c r="F1063" s="1">
        <v>39</v>
      </c>
      <c r="H1063" s="1" t="str">
        <f t="shared" si="57"/>
        <v>2018</v>
      </c>
      <c r="I1063" s="12" t="s">
        <v>148</v>
      </c>
    </row>
    <row r="1064" spans="1:9">
      <c r="A1064" s="1" t="s">
        <v>11</v>
      </c>
      <c r="B1064" s="1">
        <v>113.56</v>
      </c>
      <c r="C1064" s="1">
        <v>113.5</v>
      </c>
      <c r="D1064" s="1">
        <v>113.56</v>
      </c>
      <c r="E1064" s="1">
        <v>113.5</v>
      </c>
      <c r="F1064" s="1">
        <v>113.5</v>
      </c>
      <c r="H1064" s="1" t="str">
        <f t="shared" si="57"/>
        <v>2018</v>
      </c>
      <c r="I1064" s="12" t="s">
        <v>148</v>
      </c>
    </row>
    <row r="1065" spans="1:9">
      <c r="A1065" s="1" t="s">
        <v>32</v>
      </c>
      <c r="B1065" s="1">
        <v>30.25</v>
      </c>
      <c r="C1065" s="1">
        <v>30.25</v>
      </c>
      <c r="D1065" s="1">
        <v>30.72</v>
      </c>
      <c r="E1065" s="1">
        <v>29.51</v>
      </c>
      <c r="F1065" s="1">
        <v>30.22</v>
      </c>
      <c r="H1065" s="1" t="str">
        <f t="shared" si="57"/>
        <v>2018</v>
      </c>
      <c r="I1065" s="12" t="s">
        <v>148</v>
      </c>
    </row>
    <row r="1066" spans="1:9">
      <c r="A1066" s="1" t="s">
        <v>31</v>
      </c>
      <c r="B1066" s="1">
        <v>29.95</v>
      </c>
      <c r="C1066" s="1">
        <v>29.95</v>
      </c>
      <c r="D1066" s="1">
        <v>30.42</v>
      </c>
      <c r="E1066" s="1">
        <v>29.55</v>
      </c>
      <c r="F1066" s="1">
        <v>30.32</v>
      </c>
      <c r="H1066" s="1" t="str">
        <f t="shared" si="57"/>
        <v>2018</v>
      </c>
      <c r="I1066" s="12" t="s">
        <v>148</v>
      </c>
    </row>
    <row r="1067" spans="1:9">
      <c r="A1067" s="1" t="s">
        <v>266</v>
      </c>
      <c r="B1067" s="1">
        <v>36.17</v>
      </c>
      <c r="C1067" s="1">
        <v>35.51</v>
      </c>
      <c r="D1067" s="1">
        <v>35.119999999999997</v>
      </c>
      <c r="E1067" s="1">
        <v>36.909999999999997</v>
      </c>
      <c r="F1067" s="1">
        <v>37.840000000000003</v>
      </c>
      <c r="H1067" s="1" t="str">
        <f t="shared" si="57"/>
        <v>2018</v>
      </c>
      <c r="I1067" s="12" t="s">
        <v>148</v>
      </c>
    </row>
    <row r="1068" spans="1:9">
      <c r="A1068" s="1" t="s">
        <v>269</v>
      </c>
      <c r="B1068" s="1">
        <v>28.5</v>
      </c>
      <c r="C1068" s="1">
        <v>28.5</v>
      </c>
      <c r="D1068" s="1">
        <v>28.5</v>
      </c>
      <c r="E1068" s="1">
        <v>28.5</v>
      </c>
      <c r="F1068" s="1">
        <v>28.5</v>
      </c>
      <c r="H1068" s="1" t="str">
        <f t="shared" si="57"/>
        <v>2018</v>
      </c>
      <c r="I1068" s="12" t="s">
        <v>148</v>
      </c>
    </row>
    <row r="1069" spans="1:9">
      <c r="A1069" s="1" t="s">
        <v>30</v>
      </c>
      <c r="B1069" s="1">
        <v>21.34</v>
      </c>
      <c r="C1069" s="1">
        <v>21.34</v>
      </c>
      <c r="D1069" s="1">
        <v>21.34</v>
      </c>
      <c r="E1069" s="1">
        <v>21.34</v>
      </c>
      <c r="F1069" s="1">
        <v>21.34</v>
      </c>
      <c r="H1069" s="1" t="str">
        <f t="shared" si="57"/>
        <v>2018</v>
      </c>
      <c r="I1069" s="12" t="s">
        <v>148</v>
      </c>
    </row>
    <row r="1070" spans="1:9">
      <c r="A1070" s="1" t="s">
        <v>26</v>
      </c>
      <c r="B1070" s="1">
        <v>34.39</v>
      </c>
      <c r="C1070" s="1">
        <v>34.39</v>
      </c>
      <c r="D1070" s="1">
        <v>34.979999999999997</v>
      </c>
      <c r="E1070" s="1">
        <v>34.49</v>
      </c>
      <c r="F1070" s="1">
        <v>34.49</v>
      </c>
      <c r="H1070" s="1" t="str">
        <f t="shared" si="57"/>
        <v>2018</v>
      </c>
      <c r="I1070" s="12" t="s">
        <v>148</v>
      </c>
    </row>
    <row r="1071" spans="1:9">
      <c r="A1071" s="1" t="s">
        <v>271</v>
      </c>
      <c r="B1071" s="1">
        <v>47.76</v>
      </c>
      <c r="C1071" s="1">
        <v>46.94</v>
      </c>
      <c r="D1071" s="1">
        <v>46.48</v>
      </c>
      <c r="E1071" s="1">
        <v>48.44</v>
      </c>
      <c r="F1071" s="1">
        <v>46.06</v>
      </c>
      <c r="H1071" s="1" t="str">
        <f t="shared" si="57"/>
        <v>2018</v>
      </c>
      <c r="I1071" s="12" t="s">
        <v>148</v>
      </c>
    </row>
    <row r="1072" spans="1:9">
      <c r="A1072" s="1" t="s">
        <v>143</v>
      </c>
      <c r="B1072" s="1">
        <v>59.99</v>
      </c>
      <c r="C1072" s="1">
        <v>57.94</v>
      </c>
      <c r="D1072" s="1">
        <v>57.53</v>
      </c>
      <c r="E1072" s="1">
        <v>60.17</v>
      </c>
      <c r="F1072" s="1">
        <v>57.56</v>
      </c>
      <c r="H1072" s="1" t="str">
        <f t="shared" si="57"/>
        <v>2018</v>
      </c>
      <c r="I1072" s="12" t="s">
        <v>148</v>
      </c>
    </row>
    <row r="1073" spans="1:9">
      <c r="A1073" s="1" t="s">
        <v>144</v>
      </c>
      <c r="B1073" s="1">
        <v>31.91</v>
      </c>
      <c r="C1073" s="1">
        <v>30.8</v>
      </c>
      <c r="D1073" s="1">
        <v>31.21</v>
      </c>
      <c r="E1073" s="1">
        <v>30.4</v>
      </c>
      <c r="F1073" s="1">
        <v>31.55</v>
      </c>
      <c r="H1073" s="1" t="str">
        <f t="shared" si="57"/>
        <v>2018</v>
      </c>
      <c r="I1073" s="12" t="s">
        <v>148</v>
      </c>
    </row>
    <row r="1074" spans="1:9">
      <c r="A1074" s="1" t="s">
        <v>14</v>
      </c>
      <c r="B1074" s="1">
        <v>43.03</v>
      </c>
      <c r="C1074" s="1">
        <v>42.94</v>
      </c>
      <c r="D1074" s="1">
        <v>41.97</v>
      </c>
      <c r="E1074" s="1">
        <v>43.77</v>
      </c>
      <c r="F1074" s="1">
        <v>43.57</v>
      </c>
      <c r="H1074" s="1" t="str">
        <f t="shared" si="57"/>
        <v>2018</v>
      </c>
      <c r="I1074" s="12" t="s">
        <v>148</v>
      </c>
    </row>
    <row r="1075" spans="1:9">
      <c r="A1075" s="1" t="s">
        <v>145</v>
      </c>
      <c r="B1075" s="1">
        <v>19.559999999999999</v>
      </c>
      <c r="C1075" s="1">
        <v>19.52</v>
      </c>
      <c r="D1075" s="1">
        <v>19.079999999999998</v>
      </c>
      <c r="E1075" s="1">
        <v>19.899999999999999</v>
      </c>
      <c r="F1075" s="1">
        <v>19.809999999999999</v>
      </c>
      <c r="H1075" s="1" t="str">
        <f t="shared" si="57"/>
        <v>2018</v>
      </c>
      <c r="I1075" s="12" t="s">
        <v>148</v>
      </c>
    </row>
    <row r="1076" spans="1:9">
      <c r="A1076" s="1" t="s">
        <v>146</v>
      </c>
      <c r="B1076" s="1">
        <v>23.91</v>
      </c>
      <c r="C1076" s="1">
        <v>23.85</v>
      </c>
      <c r="D1076" s="1">
        <v>23.32</v>
      </c>
      <c r="E1076" s="1">
        <v>24.32</v>
      </c>
      <c r="F1076" s="1">
        <v>24.21</v>
      </c>
      <c r="H1076" s="1" t="str">
        <f t="shared" si="57"/>
        <v>2018</v>
      </c>
      <c r="I1076" s="12" t="s">
        <v>148</v>
      </c>
    </row>
    <row r="1077" spans="1:9">
      <c r="A1077" s="1" t="s">
        <v>147</v>
      </c>
      <c r="B1077" s="1">
        <v>17.93</v>
      </c>
      <c r="C1077" s="1">
        <v>17.89</v>
      </c>
      <c r="D1077" s="1">
        <v>17.489999999999998</v>
      </c>
      <c r="E1077" s="1">
        <v>18.239999999999998</v>
      </c>
      <c r="F1077" s="1">
        <v>18.16</v>
      </c>
      <c r="H1077" s="1" t="str">
        <f t="shared" si="57"/>
        <v>2018</v>
      </c>
      <c r="I1077" s="12" t="s">
        <v>148</v>
      </c>
    </row>
    <row r="1078" spans="1:9">
      <c r="A1078" s="1" t="s">
        <v>177</v>
      </c>
    </row>
    <row r="1079" spans="1:9">
      <c r="A1079" s="1" t="s">
        <v>517</v>
      </c>
    </row>
    <row r="1080" spans="1:9">
      <c r="A1080" s="1" t="s">
        <v>20</v>
      </c>
      <c r="B1080" s="1">
        <v>0</v>
      </c>
      <c r="C1080" s="1">
        <v>0</v>
      </c>
      <c r="D1080" s="1">
        <v>0</v>
      </c>
      <c r="E1080" s="1">
        <v>0</v>
      </c>
      <c r="F1080" s="1">
        <v>0</v>
      </c>
      <c r="H1080" s="1" t="str">
        <f>RIGHT(A1078,4)</f>
        <v>2019</v>
      </c>
      <c r="I1080" s="12" t="s">
        <v>519</v>
      </c>
    </row>
    <row r="1081" spans="1:9">
      <c r="A1081" s="1" t="s">
        <v>17</v>
      </c>
      <c r="B1081" s="1">
        <v>304.31</v>
      </c>
      <c r="C1081" s="1">
        <v>1.1599999999999999</v>
      </c>
      <c r="D1081" s="1">
        <v>32.65</v>
      </c>
      <c r="E1081" s="1">
        <v>0</v>
      </c>
      <c r="F1081" s="1">
        <v>22.61</v>
      </c>
      <c r="H1081" s="1" t="str">
        <f>H1080</f>
        <v>2019</v>
      </c>
      <c r="I1081" s="12" t="s">
        <v>519</v>
      </c>
    </row>
    <row r="1082" spans="1:9">
      <c r="A1082" s="1" t="s">
        <v>10</v>
      </c>
      <c r="B1082" s="1">
        <v>197.66</v>
      </c>
      <c r="C1082" s="1">
        <v>1.03</v>
      </c>
      <c r="D1082" s="1">
        <v>9.83</v>
      </c>
      <c r="E1082" s="1">
        <v>1.03</v>
      </c>
      <c r="F1082" s="1">
        <v>5.86</v>
      </c>
      <c r="H1082" s="1" t="str">
        <f t="shared" ref="H1082:H1096" si="58">H1081</f>
        <v>2019</v>
      </c>
      <c r="I1082" s="12" t="s">
        <v>519</v>
      </c>
    </row>
    <row r="1083" spans="1:9">
      <c r="A1083" s="1" t="s">
        <v>11</v>
      </c>
      <c r="B1083" s="1">
        <v>1.52</v>
      </c>
      <c r="C1083" s="1">
        <v>0.11</v>
      </c>
      <c r="D1083" s="1">
        <v>0.13</v>
      </c>
      <c r="E1083" s="1">
        <v>0.16</v>
      </c>
      <c r="F1083" s="1">
        <v>0.32</v>
      </c>
      <c r="H1083" s="1" t="str">
        <f t="shared" si="58"/>
        <v>2019</v>
      </c>
      <c r="I1083" s="12" t="s">
        <v>519</v>
      </c>
    </row>
    <row r="1084" spans="1:9">
      <c r="A1084" s="1" t="s">
        <v>32</v>
      </c>
      <c r="B1084" s="1">
        <v>190.21</v>
      </c>
      <c r="C1084" s="1">
        <v>2.0699999999999998</v>
      </c>
      <c r="D1084" s="1">
        <v>39.33</v>
      </c>
      <c r="E1084" s="1">
        <v>0</v>
      </c>
      <c r="F1084" s="1">
        <v>10.35</v>
      </c>
      <c r="H1084" s="1" t="str">
        <f t="shared" si="58"/>
        <v>2019</v>
      </c>
      <c r="I1084" s="12" t="s">
        <v>519</v>
      </c>
    </row>
    <row r="1085" spans="1:9">
      <c r="A1085" s="1" t="s">
        <v>31</v>
      </c>
      <c r="B1085" s="1">
        <v>124.05</v>
      </c>
      <c r="C1085" s="1">
        <v>1.68</v>
      </c>
      <c r="D1085" s="1">
        <v>22.07</v>
      </c>
      <c r="E1085" s="1">
        <v>0</v>
      </c>
      <c r="F1085" s="1">
        <v>25.7</v>
      </c>
      <c r="H1085" s="1" t="str">
        <f t="shared" si="58"/>
        <v>2019</v>
      </c>
      <c r="I1085" s="12" t="s">
        <v>519</v>
      </c>
    </row>
    <row r="1086" spans="1:9">
      <c r="A1086" s="1" t="s">
        <v>266</v>
      </c>
      <c r="B1086" s="1">
        <v>95.38</v>
      </c>
      <c r="C1086" s="1">
        <v>0</v>
      </c>
      <c r="D1086" s="1">
        <v>6.03</v>
      </c>
      <c r="E1086" s="1">
        <v>0</v>
      </c>
      <c r="F1086" s="1">
        <v>54.23</v>
      </c>
      <c r="H1086" s="1" t="str">
        <f t="shared" si="58"/>
        <v>2019</v>
      </c>
      <c r="I1086" s="12" t="s">
        <v>519</v>
      </c>
    </row>
    <row r="1087" spans="1:9">
      <c r="A1087" s="1" t="s">
        <v>269</v>
      </c>
      <c r="B1087" s="1">
        <v>90.45</v>
      </c>
      <c r="C1087" s="1">
        <v>103.7</v>
      </c>
      <c r="D1087" s="1">
        <v>182.63</v>
      </c>
      <c r="E1087" s="1">
        <v>10.97</v>
      </c>
      <c r="F1087" s="1">
        <v>2.0699999999999998</v>
      </c>
      <c r="H1087" s="1" t="str">
        <f t="shared" si="58"/>
        <v>2019</v>
      </c>
      <c r="I1087" s="12" t="s">
        <v>519</v>
      </c>
    </row>
    <row r="1088" spans="1:9">
      <c r="A1088" s="1" t="s">
        <v>30</v>
      </c>
      <c r="B1088" s="1">
        <v>4.1399999999999997</v>
      </c>
      <c r="C1088" s="1">
        <v>4.76</v>
      </c>
      <c r="D1088" s="1">
        <v>304.38</v>
      </c>
      <c r="E1088" s="1">
        <v>0</v>
      </c>
      <c r="F1088" s="1">
        <v>3.45</v>
      </c>
      <c r="H1088" s="1" t="str">
        <f t="shared" si="58"/>
        <v>2019</v>
      </c>
      <c r="I1088" s="12" t="s">
        <v>519</v>
      </c>
    </row>
    <row r="1089" spans="1:9">
      <c r="A1089" s="1" t="s">
        <v>26</v>
      </c>
      <c r="B1089" s="1">
        <v>45.19</v>
      </c>
      <c r="C1089" s="1">
        <v>6.98</v>
      </c>
      <c r="D1089" s="1">
        <v>22.59</v>
      </c>
      <c r="E1089" s="1">
        <v>1</v>
      </c>
      <c r="F1089" s="1">
        <v>31.44</v>
      </c>
      <c r="H1089" s="1" t="str">
        <f t="shared" si="58"/>
        <v>2019</v>
      </c>
      <c r="I1089" s="12" t="s">
        <v>519</v>
      </c>
    </row>
    <row r="1090" spans="1:9">
      <c r="A1090" s="1" t="s">
        <v>271</v>
      </c>
      <c r="B1090" s="1">
        <v>0.73</v>
      </c>
      <c r="C1090" s="1">
        <v>0</v>
      </c>
      <c r="D1090" s="1">
        <v>0</v>
      </c>
      <c r="E1090" s="1">
        <v>0</v>
      </c>
      <c r="F1090" s="1">
        <v>1.01</v>
      </c>
      <c r="H1090" s="1" t="str">
        <f t="shared" si="58"/>
        <v>2019</v>
      </c>
      <c r="I1090" s="12" t="s">
        <v>519</v>
      </c>
    </row>
    <row r="1091" spans="1:9">
      <c r="A1091" s="1" t="s">
        <v>143</v>
      </c>
      <c r="B1091" s="1">
        <v>326.31</v>
      </c>
      <c r="C1091" s="1">
        <v>1.05</v>
      </c>
      <c r="D1091" s="1">
        <v>6.26</v>
      </c>
      <c r="E1091" s="1">
        <v>1.05</v>
      </c>
      <c r="F1091" s="1">
        <v>27.99</v>
      </c>
      <c r="H1091" s="1" t="str">
        <f t="shared" si="58"/>
        <v>2019</v>
      </c>
      <c r="I1091" s="12" t="s">
        <v>519</v>
      </c>
    </row>
    <row r="1092" spans="1:9">
      <c r="A1092" s="1" t="s">
        <v>144</v>
      </c>
      <c r="B1092" s="1">
        <v>388.79</v>
      </c>
      <c r="C1092" s="1">
        <v>1.25</v>
      </c>
      <c r="D1092" s="1">
        <v>7.45</v>
      </c>
      <c r="E1092" s="1">
        <v>1.25</v>
      </c>
      <c r="F1092" s="1">
        <v>60.44</v>
      </c>
      <c r="H1092" s="1" t="str">
        <f t="shared" si="58"/>
        <v>2019</v>
      </c>
      <c r="I1092" s="12" t="s">
        <v>519</v>
      </c>
    </row>
    <row r="1093" spans="1:9">
      <c r="A1093" s="1" t="s">
        <v>14</v>
      </c>
      <c r="B1093" s="1">
        <v>59.19</v>
      </c>
      <c r="C1093" s="1">
        <v>0</v>
      </c>
      <c r="D1093" s="1">
        <v>6.54</v>
      </c>
      <c r="E1093" s="1">
        <v>0</v>
      </c>
      <c r="F1093" s="1">
        <v>19.73</v>
      </c>
      <c r="H1093" s="1" t="str">
        <f t="shared" si="58"/>
        <v>2019</v>
      </c>
      <c r="I1093" s="12" t="s">
        <v>519</v>
      </c>
    </row>
    <row r="1094" spans="1:9">
      <c r="A1094" s="1" t="s">
        <v>145</v>
      </c>
      <c r="B1094" s="1">
        <v>18.34</v>
      </c>
      <c r="C1094" s="1">
        <v>0</v>
      </c>
      <c r="D1094" s="1">
        <v>138.21</v>
      </c>
      <c r="E1094" s="1">
        <v>0</v>
      </c>
      <c r="F1094" s="1">
        <v>27.66</v>
      </c>
      <c r="H1094" s="1" t="str">
        <f t="shared" si="58"/>
        <v>2019</v>
      </c>
      <c r="I1094" s="12" t="s">
        <v>519</v>
      </c>
    </row>
    <row r="1095" spans="1:9">
      <c r="A1095" s="1" t="s">
        <v>146</v>
      </c>
      <c r="B1095" s="1">
        <v>16</v>
      </c>
      <c r="C1095" s="1">
        <v>1.37</v>
      </c>
      <c r="D1095" s="1">
        <v>360.22</v>
      </c>
      <c r="E1095" s="1">
        <v>0.89</v>
      </c>
      <c r="F1095" s="1">
        <v>15.06</v>
      </c>
      <c r="H1095" s="1" t="str">
        <f t="shared" si="58"/>
        <v>2019</v>
      </c>
      <c r="I1095" s="12" t="s">
        <v>519</v>
      </c>
    </row>
    <row r="1096" spans="1:9">
      <c r="A1096" s="1" t="s">
        <v>147</v>
      </c>
      <c r="B1096" s="1">
        <v>96.58</v>
      </c>
      <c r="C1096" s="1">
        <v>0.9</v>
      </c>
      <c r="D1096" s="1">
        <v>191.58</v>
      </c>
      <c r="E1096" s="1">
        <v>0</v>
      </c>
      <c r="F1096" s="1">
        <v>54.15</v>
      </c>
      <c r="H1096" s="1" t="str">
        <f t="shared" si="58"/>
        <v>2019</v>
      </c>
      <c r="I1096" s="12" t="s">
        <v>519</v>
      </c>
    </row>
    <row r="1097" spans="1:9">
      <c r="A1097" s="1" t="s">
        <v>518</v>
      </c>
    </row>
    <row r="1098" spans="1:9">
      <c r="A1098" s="1" t="s">
        <v>20</v>
      </c>
      <c r="B1098" s="1">
        <v>113.56</v>
      </c>
      <c r="C1098" s="1">
        <v>113.5</v>
      </c>
      <c r="D1098" s="1">
        <v>113.56</v>
      </c>
      <c r="E1098" s="1">
        <v>113.3</v>
      </c>
      <c r="F1098" s="1">
        <v>113.5</v>
      </c>
      <c r="H1098" s="1" t="str">
        <f>H1080</f>
        <v>2019</v>
      </c>
      <c r="I1098" s="12" t="s">
        <v>148</v>
      </c>
    </row>
    <row r="1099" spans="1:9">
      <c r="A1099" s="1" t="s">
        <v>17</v>
      </c>
      <c r="B1099" s="1">
        <v>46.78</v>
      </c>
      <c r="C1099" s="1">
        <v>47.24</v>
      </c>
      <c r="D1099" s="1">
        <v>46.65</v>
      </c>
      <c r="E1099" s="1">
        <v>46.46</v>
      </c>
      <c r="F1099" s="1">
        <v>31.36</v>
      </c>
      <c r="H1099" s="1" t="str">
        <f t="shared" ref="H1099:H1114" si="59">H1081</f>
        <v>2019</v>
      </c>
      <c r="I1099" s="12" t="s">
        <v>148</v>
      </c>
    </row>
    <row r="1100" spans="1:9">
      <c r="A1100" s="1" t="s">
        <v>10</v>
      </c>
      <c r="B1100" s="1">
        <v>40.25</v>
      </c>
      <c r="C1100" s="1">
        <v>39.28</v>
      </c>
      <c r="D1100" s="1">
        <v>40.57</v>
      </c>
      <c r="E1100" s="1">
        <v>36.979999999999997</v>
      </c>
      <c r="F1100" s="1">
        <v>39.79</v>
      </c>
      <c r="H1100" s="1" t="str">
        <f t="shared" si="59"/>
        <v>2019</v>
      </c>
      <c r="I1100" s="12" t="s">
        <v>148</v>
      </c>
    </row>
    <row r="1101" spans="1:9">
      <c r="A1101" s="1" t="s">
        <v>11</v>
      </c>
      <c r="B1101" s="1">
        <v>113.56</v>
      </c>
      <c r="C1101" s="1">
        <v>113.5</v>
      </c>
      <c r="D1101" s="1">
        <v>113.56</v>
      </c>
      <c r="E1101" s="1">
        <v>113.5</v>
      </c>
      <c r="F1101" s="1">
        <v>113.5</v>
      </c>
      <c r="H1101" s="1" t="str">
        <f t="shared" si="59"/>
        <v>2019</v>
      </c>
      <c r="I1101" s="12" t="s">
        <v>148</v>
      </c>
    </row>
    <row r="1102" spans="1:9">
      <c r="A1102" s="1" t="s">
        <v>32</v>
      </c>
      <c r="B1102" s="1">
        <v>31.73</v>
      </c>
      <c r="C1102" s="1">
        <v>31.73</v>
      </c>
      <c r="D1102" s="1">
        <v>32.22</v>
      </c>
      <c r="E1102" s="1">
        <v>30.98</v>
      </c>
      <c r="F1102" s="1">
        <v>30.42</v>
      </c>
      <c r="H1102" s="1" t="str">
        <f t="shared" si="59"/>
        <v>2019</v>
      </c>
      <c r="I1102" s="12" t="s">
        <v>148</v>
      </c>
    </row>
    <row r="1103" spans="1:9">
      <c r="A1103" s="1" t="s">
        <v>31</v>
      </c>
      <c r="B1103" s="1">
        <v>31.42</v>
      </c>
      <c r="C1103" s="1">
        <v>31.42</v>
      </c>
      <c r="D1103" s="1">
        <v>31.78</v>
      </c>
      <c r="E1103" s="1">
        <v>30.88</v>
      </c>
      <c r="F1103" s="1">
        <v>30.53</v>
      </c>
      <c r="H1103" s="1" t="str">
        <f t="shared" si="59"/>
        <v>2019</v>
      </c>
      <c r="I1103" s="12" t="s">
        <v>148</v>
      </c>
    </row>
    <row r="1104" spans="1:9">
      <c r="A1104" s="1" t="s">
        <v>266</v>
      </c>
      <c r="B1104" s="1">
        <v>37.96</v>
      </c>
      <c r="C1104" s="1">
        <v>37.29</v>
      </c>
      <c r="D1104" s="1">
        <v>36.880000000000003</v>
      </c>
      <c r="E1104" s="1">
        <v>39.04</v>
      </c>
      <c r="F1104" s="1">
        <v>39.270000000000003</v>
      </c>
      <c r="H1104" s="1" t="str">
        <f t="shared" si="59"/>
        <v>2019</v>
      </c>
      <c r="I1104" s="12" t="s">
        <v>148</v>
      </c>
    </row>
    <row r="1105" spans="1:9">
      <c r="A1105" s="1" t="s">
        <v>269</v>
      </c>
      <c r="B1105" s="1">
        <v>28.5</v>
      </c>
      <c r="C1105" s="1">
        <v>28.5</v>
      </c>
      <c r="D1105" s="1">
        <v>28.5</v>
      </c>
      <c r="E1105" s="1">
        <v>28.5</v>
      </c>
      <c r="F1105" s="1">
        <v>28.5</v>
      </c>
      <c r="H1105" s="1" t="str">
        <f t="shared" si="59"/>
        <v>2019</v>
      </c>
      <c r="I1105" s="12" t="s">
        <v>148</v>
      </c>
    </row>
    <row r="1106" spans="1:9">
      <c r="A1106" s="1" t="s">
        <v>30</v>
      </c>
      <c r="B1106" s="1">
        <v>22.45</v>
      </c>
      <c r="C1106" s="1">
        <v>22.45</v>
      </c>
      <c r="D1106" s="1">
        <v>22.45</v>
      </c>
      <c r="E1106" s="1">
        <v>22.45</v>
      </c>
      <c r="F1106" s="1">
        <v>22.45</v>
      </c>
      <c r="H1106" s="1" t="str">
        <f t="shared" si="59"/>
        <v>2019</v>
      </c>
      <c r="I1106" s="12" t="s">
        <v>148</v>
      </c>
    </row>
    <row r="1107" spans="1:9">
      <c r="A1107" s="1" t="s">
        <v>26</v>
      </c>
      <c r="B1107" s="1">
        <v>40.79</v>
      </c>
      <c r="C1107" s="1">
        <v>40.79</v>
      </c>
      <c r="D1107" s="1">
        <v>41.4</v>
      </c>
      <c r="E1107" s="1">
        <v>40.9</v>
      </c>
      <c r="F1107" s="1">
        <v>40.9</v>
      </c>
      <c r="H1107" s="1" t="str">
        <f t="shared" si="59"/>
        <v>2019</v>
      </c>
      <c r="I1107" s="12" t="s">
        <v>148</v>
      </c>
    </row>
    <row r="1108" spans="1:9">
      <c r="A1108" s="1" t="s">
        <v>271</v>
      </c>
      <c r="B1108" s="1">
        <v>47.76</v>
      </c>
      <c r="C1108" s="1">
        <v>46.94</v>
      </c>
      <c r="D1108" s="1">
        <v>46.48</v>
      </c>
      <c r="E1108" s="1">
        <v>48.44</v>
      </c>
      <c r="F1108" s="1">
        <v>46.06</v>
      </c>
      <c r="H1108" s="1" t="str">
        <f t="shared" si="59"/>
        <v>2019</v>
      </c>
      <c r="I1108" s="12" t="s">
        <v>148</v>
      </c>
    </row>
    <row r="1109" spans="1:9">
      <c r="A1109" s="1" t="s">
        <v>143</v>
      </c>
      <c r="B1109" s="1">
        <v>59.99</v>
      </c>
      <c r="C1109" s="1">
        <v>57.94</v>
      </c>
      <c r="D1109" s="1">
        <v>57.53</v>
      </c>
      <c r="E1109" s="1">
        <v>60.17</v>
      </c>
      <c r="F1109" s="1">
        <v>57.56</v>
      </c>
      <c r="H1109" s="1" t="str">
        <f t="shared" si="59"/>
        <v>2019</v>
      </c>
      <c r="I1109" s="12" t="s">
        <v>148</v>
      </c>
    </row>
    <row r="1110" spans="1:9">
      <c r="A1110" s="1" t="s">
        <v>144</v>
      </c>
      <c r="B1110" s="1">
        <v>31.91</v>
      </c>
      <c r="C1110" s="1">
        <v>30.8</v>
      </c>
      <c r="D1110" s="1">
        <v>31.21</v>
      </c>
      <c r="E1110" s="1">
        <v>30.4</v>
      </c>
      <c r="F1110" s="1">
        <v>31.55</v>
      </c>
      <c r="H1110" s="1" t="str">
        <f t="shared" si="59"/>
        <v>2019</v>
      </c>
      <c r="I1110" s="12" t="s">
        <v>148</v>
      </c>
    </row>
    <row r="1111" spans="1:9">
      <c r="A1111" s="1" t="s">
        <v>14</v>
      </c>
      <c r="B1111" s="1">
        <v>45.96</v>
      </c>
      <c r="C1111" s="1">
        <v>45.85</v>
      </c>
      <c r="D1111" s="1">
        <v>44.88</v>
      </c>
      <c r="E1111" s="1">
        <v>47.04</v>
      </c>
      <c r="F1111" s="1">
        <v>46.13</v>
      </c>
      <c r="H1111" s="1" t="str">
        <f t="shared" si="59"/>
        <v>2019</v>
      </c>
      <c r="I1111" s="12" t="s">
        <v>148</v>
      </c>
    </row>
    <row r="1112" spans="1:9">
      <c r="A1112" s="1" t="s">
        <v>145</v>
      </c>
      <c r="B1112" s="1">
        <v>20.89</v>
      </c>
      <c r="C1112" s="1">
        <v>20.84</v>
      </c>
      <c r="D1112" s="1">
        <v>20.399999999999999</v>
      </c>
      <c r="E1112" s="1">
        <v>21.38</v>
      </c>
      <c r="F1112" s="1">
        <v>20.97</v>
      </c>
      <c r="H1112" s="1" t="str">
        <f t="shared" si="59"/>
        <v>2019</v>
      </c>
      <c r="I1112" s="12" t="s">
        <v>148</v>
      </c>
    </row>
    <row r="1113" spans="1:9">
      <c r="A1113" s="1" t="s">
        <v>146</v>
      </c>
      <c r="B1113" s="1">
        <v>25.53</v>
      </c>
      <c r="C1113" s="1">
        <v>25.47</v>
      </c>
      <c r="D1113" s="1">
        <v>24.93</v>
      </c>
      <c r="E1113" s="1">
        <v>26.13</v>
      </c>
      <c r="F1113" s="1">
        <v>25.63</v>
      </c>
      <c r="H1113" s="1" t="str">
        <f t="shared" si="59"/>
        <v>2019</v>
      </c>
      <c r="I1113" s="12" t="s">
        <v>148</v>
      </c>
    </row>
    <row r="1114" spans="1:9">
      <c r="A1114" s="1" t="s">
        <v>147</v>
      </c>
      <c r="B1114" s="1">
        <v>19.149999999999999</v>
      </c>
      <c r="C1114" s="1">
        <v>19.100000000000001</v>
      </c>
      <c r="D1114" s="1">
        <v>18.7</v>
      </c>
      <c r="E1114" s="1">
        <v>19.600000000000001</v>
      </c>
      <c r="F1114" s="1">
        <v>19.22</v>
      </c>
      <c r="H1114" s="1" t="str">
        <f t="shared" si="59"/>
        <v>2019</v>
      </c>
      <c r="I1114" s="12" t="s">
        <v>148</v>
      </c>
    </row>
    <row r="1115" spans="1:9">
      <c r="A1115" s="1" t="s">
        <v>178</v>
      </c>
    </row>
    <row r="1116" spans="1:9">
      <c r="A1116" s="1" t="s">
        <v>517</v>
      </c>
    </row>
    <row r="1117" spans="1:9">
      <c r="A1117" s="1" t="s">
        <v>20</v>
      </c>
      <c r="B1117" s="1">
        <v>0</v>
      </c>
      <c r="C1117" s="1">
        <v>0</v>
      </c>
      <c r="D1117" s="1">
        <v>0</v>
      </c>
      <c r="E1117" s="1">
        <v>0</v>
      </c>
      <c r="F1117" s="1">
        <v>0</v>
      </c>
      <c r="H1117" s="1" t="str">
        <f>RIGHT(A1115,4)</f>
        <v>2020</v>
      </c>
      <c r="I1117" s="12" t="s">
        <v>519</v>
      </c>
    </row>
    <row r="1118" spans="1:9">
      <c r="A1118" s="1" t="s">
        <v>17</v>
      </c>
      <c r="B1118" s="1">
        <v>308.87</v>
      </c>
      <c r="C1118" s="1">
        <v>1.18</v>
      </c>
      <c r="D1118" s="1">
        <v>33.14</v>
      </c>
      <c r="E1118" s="1">
        <v>0</v>
      </c>
      <c r="F1118" s="1">
        <v>22.94</v>
      </c>
      <c r="H1118" s="1" t="str">
        <f>H1117</f>
        <v>2020</v>
      </c>
      <c r="I1118" s="12" t="s">
        <v>519</v>
      </c>
    </row>
    <row r="1119" spans="1:9">
      <c r="A1119" s="1" t="s">
        <v>10</v>
      </c>
      <c r="B1119" s="1">
        <v>201.62</v>
      </c>
      <c r="C1119" s="1">
        <v>1.06</v>
      </c>
      <c r="D1119" s="1">
        <v>10.029999999999999</v>
      </c>
      <c r="E1119" s="1">
        <v>1.06</v>
      </c>
      <c r="F1119" s="1">
        <v>5.98</v>
      </c>
      <c r="H1119" s="1" t="str">
        <f t="shared" ref="H1119:H1133" si="60">H1118</f>
        <v>2020</v>
      </c>
      <c r="I1119" s="12" t="s">
        <v>519</v>
      </c>
    </row>
    <row r="1120" spans="1:9">
      <c r="A1120" s="1" t="s">
        <v>11</v>
      </c>
      <c r="B1120" s="1">
        <v>1.1399999999999999</v>
      </c>
      <c r="C1120" s="1">
        <v>0.09</v>
      </c>
      <c r="D1120" s="1">
        <v>0.1</v>
      </c>
      <c r="E1120" s="1">
        <v>0.12</v>
      </c>
      <c r="F1120" s="1">
        <v>0.24</v>
      </c>
      <c r="H1120" s="1" t="str">
        <f t="shared" si="60"/>
        <v>2020</v>
      </c>
      <c r="I1120" s="12" t="s">
        <v>519</v>
      </c>
    </row>
    <row r="1121" spans="1:9">
      <c r="A1121" s="1" t="s">
        <v>32</v>
      </c>
      <c r="B1121" s="1">
        <v>194.02</v>
      </c>
      <c r="C1121" s="1">
        <v>2.11</v>
      </c>
      <c r="D1121" s="1">
        <v>40.11</v>
      </c>
      <c r="E1121" s="1">
        <v>0</v>
      </c>
      <c r="F1121" s="1">
        <v>10.56</v>
      </c>
      <c r="H1121" s="1" t="str">
        <f t="shared" si="60"/>
        <v>2020</v>
      </c>
      <c r="I1121" s="12" t="s">
        <v>519</v>
      </c>
    </row>
    <row r="1122" spans="1:9">
      <c r="A1122" s="1" t="s">
        <v>31</v>
      </c>
      <c r="B1122" s="1">
        <v>122.81</v>
      </c>
      <c r="C1122" s="1">
        <v>1.66</v>
      </c>
      <c r="D1122" s="1">
        <v>21.85</v>
      </c>
      <c r="E1122" s="1">
        <v>0</v>
      </c>
      <c r="F1122" s="1">
        <v>25.45</v>
      </c>
      <c r="H1122" s="1" t="str">
        <f t="shared" si="60"/>
        <v>2020</v>
      </c>
      <c r="I1122" s="12" t="s">
        <v>519</v>
      </c>
    </row>
    <row r="1123" spans="1:9">
      <c r="A1123" s="1" t="s">
        <v>266</v>
      </c>
      <c r="B1123" s="1">
        <v>97.28</v>
      </c>
      <c r="C1123" s="1">
        <v>0</v>
      </c>
      <c r="D1123" s="1">
        <v>6.15</v>
      </c>
      <c r="E1123" s="1">
        <v>0</v>
      </c>
      <c r="F1123" s="1">
        <v>55.32</v>
      </c>
      <c r="H1123" s="1" t="str">
        <f t="shared" si="60"/>
        <v>2020</v>
      </c>
      <c r="I1123" s="12" t="s">
        <v>519</v>
      </c>
    </row>
    <row r="1124" spans="1:9">
      <c r="A1124" s="1" t="s">
        <v>269</v>
      </c>
      <c r="B1124" s="1">
        <v>92.26</v>
      </c>
      <c r="C1124" s="1">
        <v>105.7</v>
      </c>
      <c r="D1124" s="1">
        <v>186.28</v>
      </c>
      <c r="E1124" s="1">
        <v>11.19</v>
      </c>
      <c r="F1124" s="1">
        <v>2.11</v>
      </c>
      <c r="H1124" s="1" t="str">
        <f t="shared" si="60"/>
        <v>2020</v>
      </c>
      <c r="I1124" s="12" t="s">
        <v>519</v>
      </c>
    </row>
    <row r="1125" spans="1:9">
      <c r="A1125" s="1" t="s">
        <v>30</v>
      </c>
      <c r="B1125" s="1">
        <v>4.22</v>
      </c>
      <c r="C1125" s="1">
        <v>4.8600000000000003</v>
      </c>
      <c r="D1125" s="1">
        <v>310.47000000000003</v>
      </c>
      <c r="E1125" s="1">
        <v>0</v>
      </c>
      <c r="F1125" s="1">
        <v>3.52</v>
      </c>
      <c r="H1125" s="1" t="str">
        <f t="shared" si="60"/>
        <v>2020</v>
      </c>
      <c r="I1125" s="12" t="s">
        <v>519</v>
      </c>
    </row>
    <row r="1126" spans="1:9">
      <c r="A1126" s="1" t="s">
        <v>26</v>
      </c>
      <c r="B1126" s="1">
        <v>45.91</v>
      </c>
      <c r="C1126" s="1">
        <v>7.09</v>
      </c>
      <c r="D1126" s="1">
        <v>22.96</v>
      </c>
      <c r="E1126" s="1">
        <v>1.01</v>
      </c>
      <c r="F1126" s="1">
        <v>31.94</v>
      </c>
      <c r="H1126" s="1" t="str">
        <f t="shared" si="60"/>
        <v>2020</v>
      </c>
      <c r="I1126" s="12" t="s">
        <v>519</v>
      </c>
    </row>
    <row r="1127" spans="1:9">
      <c r="A1127" s="1" t="s">
        <v>271</v>
      </c>
      <c r="B1127" s="1">
        <v>0.75</v>
      </c>
      <c r="C1127" s="1">
        <v>0</v>
      </c>
      <c r="D1127" s="1">
        <v>0</v>
      </c>
      <c r="E1127" s="1">
        <v>0</v>
      </c>
      <c r="F1127" s="1">
        <v>1.04</v>
      </c>
      <c r="H1127" s="1" t="str">
        <f t="shared" si="60"/>
        <v>2020</v>
      </c>
      <c r="I1127" s="12" t="s">
        <v>519</v>
      </c>
    </row>
    <row r="1128" spans="1:9">
      <c r="A1128" s="1" t="s">
        <v>143</v>
      </c>
      <c r="B1128" s="1">
        <v>332.84</v>
      </c>
      <c r="C1128" s="1">
        <v>1.07</v>
      </c>
      <c r="D1128" s="1">
        <v>6.39</v>
      </c>
      <c r="E1128" s="1">
        <v>1.07</v>
      </c>
      <c r="F1128" s="1">
        <v>28.55</v>
      </c>
      <c r="H1128" s="1" t="str">
        <f t="shared" si="60"/>
        <v>2020</v>
      </c>
      <c r="I1128" s="12" t="s">
        <v>519</v>
      </c>
    </row>
    <row r="1129" spans="1:9">
      <c r="A1129" s="1" t="s">
        <v>144</v>
      </c>
      <c r="B1129" s="1">
        <v>402.4</v>
      </c>
      <c r="C1129" s="1">
        <v>1.29</v>
      </c>
      <c r="D1129" s="1">
        <v>7.71</v>
      </c>
      <c r="E1129" s="1">
        <v>1.29</v>
      </c>
      <c r="F1129" s="1">
        <v>62.56</v>
      </c>
      <c r="H1129" s="1" t="str">
        <f t="shared" si="60"/>
        <v>2020</v>
      </c>
      <c r="I1129" s="12" t="s">
        <v>519</v>
      </c>
    </row>
    <row r="1130" spans="1:9">
      <c r="A1130" s="1" t="s">
        <v>14</v>
      </c>
      <c r="B1130" s="1">
        <v>61.26</v>
      </c>
      <c r="C1130" s="1">
        <v>0</v>
      </c>
      <c r="D1130" s="1">
        <v>6.76</v>
      </c>
      <c r="E1130" s="1">
        <v>0</v>
      </c>
      <c r="F1130" s="1">
        <v>20.420000000000002</v>
      </c>
      <c r="H1130" s="1" t="str">
        <f t="shared" si="60"/>
        <v>2020</v>
      </c>
      <c r="I1130" s="12" t="s">
        <v>519</v>
      </c>
    </row>
    <row r="1131" spans="1:9">
      <c r="A1131" s="1" t="s">
        <v>145</v>
      </c>
      <c r="B1131" s="1">
        <v>18.62</v>
      </c>
      <c r="C1131" s="1">
        <v>0</v>
      </c>
      <c r="D1131" s="1">
        <v>140.28</v>
      </c>
      <c r="E1131" s="1">
        <v>0</v>
      </c>
      <c r="F1131" s="1">
        <v>28.08</v>
      </c>
      <c r="H1131" s="1" t="str">
        <f t="shared" si="60"/>
        <v>2020</v>
      </c>
      <c r="I1131" s="12" t="s">
        <v>519</v>
      </c>
    </row>
    <row r="1132" spans="1:9">
      <c r="A1132" s="1" t="s">
        <v>146</v>
      </c>
      <c r="B1132" s="1">
        <v>16.239999999999998</v>
      </c>
      <c r="C1132" s="1">
        <v>1.39</v>
      </c>
      <c r="D1132" s="1">
        <v>365.62</v>
      </c>
      <c r="E1132" s="1">
        <v>0.9</v>
      </c>
      <c r="F1132" s="1">
        <v>15.29</v>
      </c>
      <c r="H1132" s="1" t="str">
        <f t="shared" si="60"/>
        <v>2020</v>
      </c>
      <c r="I1132" s="12" t="s">
        <v>519</v>
      </c>
    </row>
    <row r="1133" spans="1:9">
      <c r="A1133" s="1" t="s">
        <v>147</v>
      </c>
      <c r="B1133" s="1">
        <v>98.03</v>
      </c>
      <c r="C1133" s="1">
        <v>0.92</v>
      </c>
      <c r="D1133" s="1">
        <v>194.45</v>
      </c>
      <c r="E1133" s="1">
        <v>0</v>
      </c>
      <c r="F1133" s="1">
        <v>54.96</v>
      </c>
      <c r="H1133" s="1" t="str">
        <f t="shared" si="60"/>
        <v>2020</v>
      </c>
      <c r="I1133" s="12" t="s">
        <v>519</v>
      </c>
    </row>
    <row r="1134" spans="1:9">
      <c r="A1134" s="1" t="s">
        <v>518</v>
      </c>
    </row>
    <row r="1135" spans="1:9">
      <c r="A1135" s="1" t="s">
        <v>20</v>
      </c>
      <c r="B1135" s="1">
        <v>113.56</v>
      </c>
      <c r="C1135" s="1">
        <v>113.5</v>
      </c>
      <c r="D1135" s="1">
        <v>113.56</v>
      </c>
      <c r="E1135" s="1">
        <v>113.3</v>
      </c>
      <c r="F1135" s="1">
        <v>113.5</v>
      </c>
      <c r="H1135" s="1" t="str">
        <f>H1117</f>
        <v>2020</v>
      </c>
      <c r="I1135" s="12" t="s">
        <v>148</v>
      </c>
    </row>
    <row r="1136" spans="1:9">
      <c r="A1136" s="1" t="s">
        <v>17</v>
      </c>
      <c r="B1136" s="1">
        <v>46.77</v>
      </c>
      <c r="C1136" s="1">
        <v>47.23</v>
      </c>
      <c r="D1136" s="1">
        <v>46.65</v>
      </c>
      <c r="E1136" s="1">
        <v>46.46</v>
      </c>
      <c r="F1136" s="1">
        <v>30.65</v>
      </c>
      <c r="H1136" s="1" t="str">
        <f t="shared" ref="H1136:H1151" si="61">H1118</f>
        <v>2020</v>
      </c>
      <c r="I1136" s="12" t="s">
        <v>148</v>
      </c>
    </row>
    <row r="1137" spans="1:9">
      <c r="A1137" s="1" t="s">
        <v>10</v>
      </c>
      <c r="B1137" s="1">
        <v>40.57</v>
      </c>
      <c r="C1137" s="1">
        <v>39.6</v>
      </c>
      <c r="D1137" s="1">
        <v>41.05</v>
      </c>
      <c r="E1137" s="1">
        <v>37.42</v>
      </c>
      <c r="F1137" s="1">
        <v>40.35</v>
      </c>
      <c r="H1137" s="1" t="str">
        <f t="shared" si="61"/>
        <v>2020</v>
      </c>
      <c r="I1137" s="12" t="s">
        <v>148</v>
      </c>
    </row>
    <row r="1138" spans="1:9">
      <c r="A1138" s="1" t="s">
        <v>11</v>
      </c>
      <c r="B1138" s="1">
        <v>113.56</v>
      </c>
      <c r="C1138" s="1">
        <v>113.5</v>
      </c>
      <c r="D1138" s="1">
        <v>113.56</v>
      </c>
      <c r="E1138" s="1">
        <v>113.5</v>
      </c>
      <c r="F1138" s="1">
        <v>113.5</v>
      </c>
      <c r="H1138" s="1" t="str">
        <f t="shared" si="61"/>
        <v>2020</v>
      </c>
      <c r="I1138" s="12" t="s">
        <v>148</v>
      </c>
    </row>
    <row r="1139" spans="1:9">
      <c r="A1139" s="1" t="s">
        <v>32</v>
      </c>
      <c r="B1139" s="1">
        <v>32.119999999999997</v>
      </c>
      <c r="C1139" s="1">
        <v>32.119999999999997</v>
      </c>
      <c r="D1139" s="1">
        <v>32.6</v>
      </c>
      <c r="E1139" s="1">
        <v>31.37</v>
      </c>
      <c r="F1139" s="1">
        <v>30.83</v>
      </c>
      <c r="H1139" s="1" t="str">
        <f t="shared" si="61"/>
        <v>2020</v>
      </c>
      <c r="I1139" s="12" t="s">
        <v>148</v>
      </c>
    </row>
    <row r="1140" spans="1:9">
      <c r="A1140" s="1" t="s">
        <v>31</v>
      </c>
      <c r="B1140" s="1">
        <v>31.8</v>
      </c>
      <c r="C1140" s="1">
        <v>31.8</v>
      </c>
      <c r="D1140" s="1">
        <v>32.28</v>
      </c>
      <c r="E1140" s="1">
        <v>31.39</v>
      </c>
      <c r="F1140" s="1">
        <v>30.96</v>
      </c>
      <c r="H1140" s="1" t="str">
        <f t="shared" si="61"/>
        <v>2020</v>
      </c>
      <c r="I1140" s="12" t="s">
        <v>148</v>
      </c>
    </row>
    <row r="1141" spans="1:9">
      <c r="A1141" s="1" t="s">
        <v>266</v>
      </c>
      <c r="B1141" s="1">
        <v>38.340000000000003</v>
      </c>
      <c r="C1141" s="1">
        <v>37.68</v>
      </c>
      <c r="D1141" s="1">
        <v>37.28</v>
      </c>
      <c r="E1141" s="1">
        <v>38.42</v>
      </c>
      <c r="F1141" s="1">
        <v>38.729999999999997</v>
      </c>
      <c r="H1141" s="1" t="str">
        <f t="shared" si="61"/>
        <v>2020</v>
      </c>
      <c r="I1141" s="12" t="s">
        <v>148</v>
      </c>
    </row>
    <row r="1142" spans="1:9">
      <c r="A1142" s="1" t="s">
        <v>269</v>
      </c>
      <c r="B1142" s="1">
        <v>28.5</v>
      </c>
      <c r="C1142" s="1">
        <v>28.5</v>
      </c>
      <c r="D1142" s="1">
        <v>28.5</v>
      </c>
      <c r="E1142" s="1">
        <v>28.5</v>
      </c>
      <c r="F1142" s="1">
        <v>28.5</v>
      </c>
      <c r="H1142" s="1" t="str">
        <f t="shared" si="61"/>
        <v>2020</v>
      </c>
      <c r="I1142" s="12" t="s">
        <v>148</v>
      </c>
    </row>
    <row r="1143" spans="1:9">
      <c r="A1143" s="1" t="s">
        <v>30</v>
      </c>
      <c r="B1143" s="1">
        <v>22.5</v>
      </c>
      <c r="C1143" s="1">
        <v>24.85</v>
      </c>
      <c r="D1143" s="1">
        <v>24.91</v>
      </c>
      <c r="E1143" s="1">
        <v>24.09</v>
      </c>
      <c r="F1143" s="1">
        <v>11.24</v>
      </c>
      <c r="H1143" s="1" t="str">
        <f t="shared" si="61"/>
        <v>2020</v>
      </c>
      <c r="I1143" s="12" t="s">
        <v>148</v>
      </c>
    </row>
    <row r="1144" spans="1:9">
      <c r="A1144" s="1" t="s">
        <v>26</v>
      </c>
      <c r="B1144" s="1">
        <v>41.16</v>
      </c>
      <c r="C1144" s="1">
        <v>41.16</v>
      </c>
      <c r="D1144" s="1">
        <v>41.76</v>
      </c>
      <c r="E1144" s="1">
        <v>41.27</v>
      </c>
      <c r="F1144" s="1">
        <v>41.27</v>
      </c>
      <c r="H1144" s="1" t="str">
        <f t="shared" si="61"/>
        <v>2020</v>
      </c>
      <c r="I1144" s="12" t="s">
        <v>148</v>
      </c>
    </row>
    <row r="1145" spans="1:9">
      <c r="A1145" s="1" t="s">
        <v>271</v>
      </c>
      <c r="B1145" s="1">
        <v>47.76</v>
      </c>
      <c r="C1145" s="1">
        <v>46.94</v>
      </c>
      <c r="D1145" s="1">
        <v>46.48</v>
      </c>
      <c r="E1145" s="1">
        <v>48.44</v>
      </c>
      <c r="F1145" s="1">
        <v>46.06</v>
      </c>
      <c r="H1145" s="1" t="str">
        <f t="shared" si="61"/>
        <v>2020</v>
      </c>
      <c r="I1145" s="12" t="s">
        <v>148</v>
      </c>
    </row>
    <row r="1146" spans="1:9">
      <c r="A1146" s="1" t="s">
        <v>143</v>
      </c>
      <c r="B1146" s="1">
        <v>59.99</v>
      </c>
      <c r="C1146" s="1">
        <v>57.94</v>
      </c>
      <c r="D1146" s="1">
        <v>57.53</v>
      </c>
      <c r="E1146" s="1">
        <v>60.17</v>
      </c>
      <c r="F1146" s="1">
        <v>57.56</v>
      </c>
      <c r="H1146" s="1" t="str">
        <f t="shared" si="61"/>
        <v>2020</v>
      </c>
      <c r="I1146" s="12" t="s">
        <v>148</v>
      </c>
    </row>
    <row r="1147" spans="1:9">
      <c r="A1147" s="1" t="s">
        <v>144</v>
      </c>
      <c r="B1147" s="1">
        <v>31.91</v>
      </c>
      <c r="C1147" s="1">
        <v>30.8</v>
      </c>
      <c r="D1147" s="1">
        <v>31.21</v>
      </c>
      <c r="E1147" s="1">
        <v>30.4</v>
      </c>
      <c r="F1147" s="1">
        <v>31.55</v>
      </c>
      <c r="H1147" s="1" t="str">
        <f t="shared" si="61"/>
        <v>2020</v>
      </c>
      <c r="I1147" s="12" t="s">
        <v>148</v>
      </c>
    </row>
    <row r="1148" spans="1:9">
      <c r="A1148" s="1" t="s">
        <v>14</v>
      </c>
      <c r="B1148" s="1">
        <v>44.81</v>
      </c>
      <c r="C1148" s="1">
        <v>44.71</v>
      </c>
      <c r="D1148" s="1">
        <v>43.75</v>
      </c>
      <c r="E1148" s="1">
        <v>44.76</v>
      </c>
      <c r="F1148" s="1">
        <v>44.43</v>
      </c>
      <c r="H1148" s="1" t="str">
        <f t="shared" si="61"/>
        <v>2020</v>
      </c>
      <c r="I1148" s="12" t="s">
        <v>148</v>
      </c>
    </row>
    <row r="1149" spans="1:9">
      <c r="A1149" s="1" t="s">
        <v>145</v>
      </c>
      <c r="B1149" s="1">
        <v>20.37</v>
      </c>
      <c r="C1149" s="1">
        <v>20.32</v>
      </c>
      <c r="D1149" s="1">
        <v>19.88</v>
      </c>
      <c r="E1149" s="1">
        <v>20.350000000000001</v>
      </c>
      <c r="F1149" s="1">
        <v>20.2</v>
      </c>
      <c r="H1149" s="1" t="str">
        <f t="shared" si="61"/>
        <v>2020</v>
      </c>
      <c r="I1149" s="12" t="s">
        <v>148</v>
      </c>
    </row>
    <row r="1150" spans="1:9">
      <c r="A1150" s="1" t="s">
        <v>146</v>
      </c>
      <c r="B1150" s="1">
        <v>24.9</v>
      </c>
      <c r="C1150" s="1">
        <v>24.84</v>
      </c>
      <c r="D1150" s="1">
        <v>24.3</v>
      </c>
      <c r="E1150" s="1">
        <v>24.87</v>
      </c>
      <c r="F1150" s="1">
        <v>24.68</v>
      </c>
      <c r="H1150" s="1" t="str">
        <f t="shared" si="61"/>
        <v>2020</v>
      </c>
      <c r="I1150" s="12" t="s">
        <v>148</v>
      </c>
    </row>
    <row r="1151" spans="1:9">
      <c r="A1151" s="1" t="s">
        <v>147</v>
      </c>
      <c r="B1151" s="1">
        <v>18.670000000000002</v>
      </c>
      <c r="C1151" s="1">
        <v>18.63</v>
      </c>
      <c r="D1151" s="1">
        <v>18.23</v>
      </c>
      <c r="E1151" s="1">
        <v>18.649999999999999</v>
      </c>
      <c r="F1151" s="1">
        <v>18.510000000000002</v>
      </c>
      <c r="H1151" s="1" t="str">
        <f t="shared" si="61"/>
        <v>2020</v>
      </c>
      <c r="I1151" s="12" t="s">
        <v>148</v>
      </c>
    </row>
    <row r="1154" spans="9:9">
      <c r="I1154" s="12"/>
    </row>
    <row r="1155" spans="9:9">
      <c r="I1155" s="12"/>
    </row>
    <row r="1156" spans="9:9">
      <c r="I1156" s="12"/>
    </row>
    <row r="1157" spans="9:9">
      <c r="I1157" s="12"/>
    </row>
    <row r="1158" spans="9:9">
      <c r="I1158" s="12"/>
    </row>
    <row r="1159" spans="9:9">
      <c r="I1159" s="12"/>
    </row>
    <row r="1160" spans="9:9">
      <c r="I1160" s="12"/>
    </row>
    <row r="1161" spans="9:9">
      <c r="I1161" s="12"/>
    </row>
    <row r="1162" spans="9:9">
      <c r="I1162" s="12"/>
    </row>
    <row r="1163" spans="9:9">
      <c r="I1163" s="12"/>
    </row>
    <row r="1164" spans="9:9">
      <c r="I1164" s="12"/>
    </row>
    <row r="1165" spans="9:9">
      <c r="I1165" s="12"/>
    </row>
    <row r="1166" spans="9:9">
      <c r="I1166" s="12"/>
    </row>
    <row r="1167" spans="9:9">
      <c r="I1167" s="12"/>
    </row>
    <row r="1168" spans="9:9">
      <c r="I1168" s="12"/>
    </row>
    <row r="1169" spans="9:9">
      <c r="I1169" s="12"/>
    </row>
    <row r="1170" spans="9:9">
      <c r="I1170" s="12"/>
    </row>
    <row r="1172" spans="9:9">
      <c r="I1172" s="12"/>
    </row>
    <row r="1173" spans="9:9">
      <c r="I1173" s="12"/>
    </row>
    <row r="1174" spans="9:9">
      <c r="I1174" s="12"/>
    </row>
    <row r="1175" spans="9:9">
      <c r="I1175" s="12"/>
    </row>
    <row r="1176" spans="9:9">
      <c r="I1176" s="12"/>
    </row>
    <row r="1177" spans="9:9">
      <c r="I1177" s="12"/>
    </row>
    <row r="1178" spans="9:9">
      <c r="I1178" s="12"/>
    </row>
    <row r="1179" spans="9:9">
      <c r="I1179" s="12"/>
    </row>
    <row r="1180" spans="9:9">
      <c r="I1180" s="12"/>
    </row>
    <row r="1181" spans="9:9">
      <c r="I1181" s="12"/>
    </row>
    <row r="1182" spans="9:9">
      <c r="I1182" s="12"/>
    </row>
    <row r="1183" spans="9:9">
      <c r="I1183" s="12"/>
    </row>
    <row r="1184" spans="9:9">
      <c r="I1184" s="12"/>
    </row>
    <row r="1185" spans="9:9">
      <c r="I1185" s="12"/>
    </row>
    <row r="1186" spans="9:9">
      <c r="I1186" s="12"/>
    </row>
    <row r="1187" spans="9:9">
      <c r="I1187" s="12"/>
    </row>
    <row r="1188" spans="9:9">
      <c r="I1188" s="12"/>
    </row>
  </sheetData>
  <phoneticPr fontId="21" type="noConversion"/>
  <pageMargins left="0.75" right="0.75" top="1" bottom="1" header="0.5" footer="0.5"/>
  <pageSetup orientation="portrait" r:id="rId1"/>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AW141"/>
  <sheetViews>
    <sheetView showFormulas="1" zoomScale="75" workbookViewId="0">
      <pane xSplit="1" ySplit="11" topLeftCell="B120" activePane="bottomRight" state="frozen"/>
      <selection activeCell="K53" sqref="K53"/>
      <selection pane="topRight" activeCell="K53" sqref="K53"/>
      <selection pane="bottomLeft" activeCell="K53" sqref="K53"/>
      <selection pane="bottomRight" activeCell="C28" sqref="C28"/>
    </sheetView>
  </sheetViews>
  <sheetFormatPr defaultColWidth="9.140625" defaultRowHeight="14.25" customHeight="1"/>
  <cols>
    <col min="1" max="1" width="11.42578125" style="9" customWidth="1"/>
    <col min="2" max="2" width="12.140625" style="9" bestFit="1" customWidth="1"/>
    <col min="3" max="3" width="52.42578125" style="9" bestFit="1" customWidth="1"/>
    <col min="4" max="4" width="8" style="9" bestFit="1" customWidth="1"/>
    <col min="5" max="5" width="12" style="9" customWidth="1"/>
    <col min="6" max="6" width="11.7109375" style="9" bestFit="1" customWidth="1"/>
    <col min="7" max="7" width="11.140625" style="9" customWidth="1"/>
    <col min="8" max="21" width="10" style="9" customWidth="1"/>
    <col min="22" max="22" width="3.85546875" style="9" customWidth="1"/>
    <col min="23" max="23" width="9.140625" style="9" customWidth="1"/>
    <col min="24" max="27" width="11.42578125" style="9" customWidth="1"/>
    <col min="28" max="28" width="14.28515625" style="9" customWidth="1"/>
    <col min="29" max="35" width="9.140625" style="9"/>
    <col min="36" max="37" width="9.85546875" style="9" customWidth="1"/>
    <col min="38" max="50" width="18.85546875" style="9" customWidth="1"/>
    <col min="51" max="16384" width="9.140625" style="9"/>
  </cols>
  <sheetData>
    <row r="1" spans="1:37" ht="12.75">
      <c r="A1" s="10" t="s">
        <v>540</v>
      </c>
    </row>
    <row r="2" spans="1:37" ht="12.75">
      <c r="A2" s="10"/>
    </row>
    <row r="3" spans="1:37" ht="12.75">
      <c r="A3" s="10" t="s">
        <v>524</v>
      </c>
    </row>
    <row r="4" spans="1:37" ht="12.75">
      <c r="A4" s="10"/>
      <c r="C4" s="50" t="s">
        <v>148</v>
      </c>
      <c r="D4" s="10"/>
      <c r="E4" s="22" t="s">
        <v>519</v>
      </c>
    </row>
    <row r="5" spans="1:37" ht="12.75">
      <c r="A5" s="65" t="s">
        <v>525</v>
      </c>
      <c r="B5" s="9">
        <v>1</v>
      </c>
      <c r="C5" s="81">
        <v>0.9</v>
      </c>
      <c r="D5" s="9">
        <v>1</v>
      </c>
      <c r="E5" s="39">
        <v>0.1</v>
      </c>
      <c r="G5" s="9" t="s">
        <v>938</v>
      </c>
      <c r="J5" s="9">
        <v>1.05</v>
      </c>
      <c r="K5" s="9">
        <v>1.1000000000000001</v>
      </c>
    </row>
    <row r="6" spans="1:37" ht="12.75">
      <c r="A6" s="10"/>
      <c r="B6" s="9">
        <v>2</v>
      </c>
      <c r="C6" s="81">
        <v>0.95</v>
      </c>
      <c r="D6" s="9">
        <v>2</v>
      </c>
      <c r="E6" s="39">
        <v>0.2</v>
      </c>
      <c r="J6" s="9" t="s">
        <v>939</v>
      </c>
    </row>
    <row r="7" spans="1:37" ht="12.75">
      <c r="A7" s="10"/>
      <c r="B7" s="9">
        <v>3</v>
      </c>
      <c r="C7" s="81">
        <v>1</v>
      </c>
      <c r="D7" s="9">
        <v>3</v>
      </c>
      <c r="E7" s="39">
        <v>1</v>
      </c>
    </row>
    <row r="8" spans="1:37" ht="12.75">
      <c r="A8" s="10"/>
      <c r="B8" s="9">
        <v>4</v>
      </c>
      <c r="C8" s="81">
        <v>1.05</v>
      </c>
      <c r="D8" s="9">
        <v>4</v>
      </c>
      <c r="E8" s="39">
        <v>1.2</v>
      </c>
    </row>
    <row r="9" spans="1:37" ht="12.75">
      <c r="A9" s="10"/>
      <c r="B9" s="9">
        <v>5</v>
      </c>
      <c r="C9" s="81">
        <v>1.3</v>
      </c>
      <c r="D9" s="9">
        <v>5</v>
      </c>
      <c r="E9" s="42">
        <v>1.3</v>
      </c>
    </row>
    <row r="10" spans="1:37" ht="14.25" customHeight="1">
      <c r="G10" s="255" t="s">
        <v>179</v>
      </c>
      <c r="H10" s="255"/>
      <c r="I10" s="255"/>
      <c r="J10" s="255"/>
      <c r="K10" s="255" t="s">
        <v>131</v>
      </c>
      <c r="L10" s="255"/>
      <c r="M10" s="255"/>
      <c r="N10" s="255"/>
      <c r="O10" s="255"/>
      <c r="P10" s="255"/>
      <c r="Q10" s="255"/>
      <c r="R10" s="255"/>
      <c r="S10" s="255"/>
      <c r="T10" s="255"/>
      <c r="U10" s="255"/>
      <c r="V10" s="48"/>
      <c r="W10" s="252" t="s">
        <v>180</v>
      </c>
      <c r="X10" s="252"/>
      <c r="Y10" s="252"/>
      <c r="Z10" s="252"/>
      <c r="AA10" s="255" t="s">
        <v>132</v>
      </c>
      <c r="AB10" s="255"/>
      <c r="AC10" s="255"/>
      <c r="AD10" s="255"/>
      <c r="AE10" s="255"/>
      <c r="AF10" s="255"/>
      <c r="AG10" s="255"/>
      <c r="AH10" s="255"/>
      <c r="AI10" s="255"/>
      <c r="AJ10" s="255"/>
      <c r="AK10" s="255"/>
    </row>
    <row r="11" spans="1:37" ht="41.25" customHeight="1">
      <c r="A11" s="9" t="s">
        <v>398</v>
      </c>
      <c r="B11" s="10" t="s">
        <v>130</v>
      </c>
      <c r="C11" s="10" t="s">
        <v>8</v>
      </c>
      <c r="D11" s="48" t="s">
        <v>128</v>
      </c>
      <c r="E11" s="48" t="s">
        <v>129</v>
      </c>
      <c r="F11" s="48" t="s">
        <v>51</v>
      </c>
      <c r="G11" s="10">
        <v>2005</v>
      </c>
      <c r="H11" s="48">
        <v>2010</v>
      </c>
      <c r="I11" s="10">
        <v>2015</v>
      </c>
      <c r="J11" s="48">
        <v>2020</v>
      </c>
      <c r="K11" s="10">
        <v>2005</v>
      </c>
      <c r="L11" s="48">
        <v>2010</v>
      </c>
      <c r="M11" s="10">
        <v>2015</v>
      </c>
      <c r="N11" s="48">
        <v>2020</v>
      </c>
      <c r="O11" s="10">
        <v>2025</v>
      </c>
      <c r="P11" s="48">
        <v>2030</v>
      </c>
      <c r="Q11" s="10">
        <v>2035</v>
      </c>
      <c r="R11" s="48">
        <v>2040</v>
      </c>
      <c r="S11" s="10">
        <v>2045</v>
      </c>
      <c r="T11" s="48">
        <v>2050</v>
      </c>
      <c r="U11" s="10">
        <v>2055</v>
      </c>
      <c r="V11" s="10"/>
      <c r="W11" s="10">
        <v>2005</v>
      </c>
      <c r="X11" s="48">
        <v>2010</v>
      </c>
      <c r="Y11" s="10">
        <v>2015</v>
      </c>
      <c r="Z11" s="48">
        <v>2020</v>
      </c>
      <c r="AA11" s="10">
        <v>2005</v>
      </c>
      <c r="AB11" s="48">
        <v>2010</v>
      </c>
      <c r="AC11" s="10">
        <v>2015</v>
      </c>
      <c r="AD11" s="48">
        <v>2020</v>
      </c>
      <c r="AE11" s="10">
        <v>2005</v>
      </c>
      <c r="AF11" s="48">
        <v>2010</v>
      </c>
      <c r="AG11" s="10">
        <v>2015</v>
      </c>
      <c r="AH11" s="48">
        <v>2020</v>
      </c>
      <c r="AI11" s="10"/>
      <c r="AJ11" s="48"/>
      <c r="AK11" s="10"/>
    </row>
    <row r="12" spans="1:37" ht="12.75">
      <c r="A12" s="10" t="s">
        <v>522</v>
      </c>
      <c r="B12" s="10"/>
      <c r="C12" s="10"/>
      <c r="D12" s="48"/>
      <c r="E12" s="48"/>
      <c r="F12" s="48"/>
      <c r="G12" s="10"/>
      <c r="H12" s="48"/>
      <c r="I12" s="10"/>
      <c r="J12" s="48"/>
      <c r="K12" s="10"/>
      <c r="L12" s="48"/>
      <c r="M12" s="10"/>
      <c r="N12" s="48"/>
      <c r="O12" s="10"/>
      <c r="P12" s="48"/>
      <c r="Q12" s="10"/>
      <c r="R12" s="48"/>
      <c r="S12" s="10"/>
      <c r="T12" s="48"/>
      <c r="U12" s="10"/>
      <c r="V12" s="10"/>
      <c r="W12" s="10"/>
      <c r="X12" s="48"/>
      <c r="Y12" s="10"/>
      <c r="Z12" s="48"/>
      <c r="AA12" s="10"/>
      <c r="AB12" s="48"/>
      <c r="AC12" s="10"/>
      <c r="AD12" s="48"/>
      <c r="AE12" s="10"/>
      <c r="AF12" s="48"/>
      <c r="AG12" s="10"/>
      <c r="AH12" s="48"/>
      <c r="AI12" s="10"/>
      <c r="AJ12" s="48"/>
      <c r="AK12" s="10"/>
    </row>
    <row r="13" spans="1:37" ht="14.25" customHeight="1">
      <c r="A13" s="9" t="str">
        <f>'Agg crdcrv'!C4</f>
        <v>FHH</v>
      </c>
      <c r="B13" s="9" t="str">
        <f t="shared" ref="B13:B80" si="0">CONCATENATE("IMP",D13,E13)</f>
        <v>IMPOILHH13</v>
      </c>
      <c r="C13" s="9" t="str">
        <f>CONCATENATE("Imported ",VLOOKUP($A13,Types!$A$13:$C$18,3,FALSE),", PADD ",RIGHT(F13,1),", Step ",RIGHT(E13,1))</f>
        <v>Imported Imported Oil-High Sulfur, Heavy G, PADD 1, Step 3</v>
      </c>
      <c r="D13" s="9" t="str">
        <f>CONCATENATE(VLOOKUP($A13,Types!$A$14:$C$18,2,FALSE),RIGHT(F13,1))</f>
        <v>OILHH1</v>
      </c>
      <c r="E13" s="9">
        <v>3</v>
      </c>
      <c r="F13" s="9" t="str">
        <f>'Agg crdcrv'!D4</f>
        <v>P1</v>
      </c>
      <c r="G13" s="66">
        <f>'Agg crdcrv'!H4*$K$5</f>
        <v>31.900000000000002</v>
      </c>
      <c r="H13" s="66">
        <f>'Agg crdcrv'!H9*K5</f>
        <v>46.406250000000007</v>
      </c>
      <c r="I13" s="66">
        <f>'Agg crdcrv'!H14*K5</f>
        <v>31.57</v>
      </c>
      <c r="J13" s="66">
        <f>'Agg crdcrv'!H19*K5</f>
        <v>33.407000000000004</v>
      </c>
      <c r="K13" s="67">
        <f>G13*Conv!$J$20/10^6/Conv!$C$47/Conv!$I$5</f>
        <v>7.6738981061112703</v>
      </c>
      <c r="L13" s="67">
        <f>H13*Conv!$J$20/10^6/Conv!$C$47/Conv!$I$5</f>
        <v>11.163537115571355</v>
      </c>
      <c r="M13" s="67" t="e">
        <f>L13*#REF!</f>
        <v>#REF!</v>
      </c>
      <c r="N13" s="67" t="e">
        <f>M13*#REF!</f>
        <v>#REF!</v>
      </c>
      <c r="O13" s="67" t="e">
        <f>N13*#REF!</f>
        <v>#REF!</v>
      </c>
      <c r="P13" s="67" t="e">
        <f>O13*#REF!</f>
        <v>#REF!</v>
      </c>
      <c r="Q13" s="67" t="e">
        <f>P13*#REF!</f>
        <v>#REF!</v>
      </c>
      <c r="R13" s="67" t="e">
        <f>Q13*#REF!</f>
        <v>#REF!</v>
      </c>
      <c r="S13" s="67" t="e">
        <f>R13*#REF!</f>
        <v>#REF!</v>
      </c>
      <c r="T13" s="67" t="e">
        <f>S13*#REF!</f>
        <v>#REF!</v>
      </c>
      <c r="U13" s="67" t="e">
        <f>T13*#REF!</f>
        <v>#REF!</v>
      </c>
      <c r="V13" s="42"/>
      <c r="W13" s="9">
        <f>'Agg crdcrv'!F4</f>
        <v>256.31</v>
      </c>
      <c r="X13" s="9">
        <f>'Agg crdcrv'!F9</f>
        <v>128.74</v>
      </c>
      <c r="Y13" s="9">
        <f>'Agg crdcrv'!F14</f>
        <v>45.75</v>
      </c>
      <c r="Z13" s="9">
        <f>'Agg crdcrv'!F19</f>
        <v>50.51</v>
      </c>
      <c r="AA13" s="82">
        <f>W13*Conv!$C$47*Conv!$I$5*1000*365</f>
        <v>596.75554982346068</v>
      </c>
      <c r="AB13" s="82">
        <f>X13*Conv!$C$47*Conv!$I$5*1000*365</f>
        <v>299.73980525251585</v>
      </c>
      <c r="AC13" s="82">
        <f>Y13*Conv!$C$47*Conv!$I$5*1000*365</f>
        <v>106.51775742040235</v>
      </c>
      <c r="AD13" s="82">
        <f>Z13*Conv!$C$47*Conv!$I$5*1000*365</f>
        <v>117.60026070610976</v>
      </c>
      <c r="AE13" s="82">
        <f>AA13-AA15</f>
        <v>477.40443985876851</v>
      </c>
      <c r="AF13" s="82">
        <f t="shared" ref="AF13" si="1">AB13-AB15</f>
        <v>239.79184420201267</v>
      </c>
      <c r="AG13" s="82">
        <f t="shared" ref="AG13" si="2">AC13-AC15</f>
        <v>85.214205936321875</v>
      </c>
      <c r="AH13" s="82">
        <f t="shared" ref="AH13" si="3">AD13-AD15</f>
        <v>94.080208564887798</v>
      </c>
      <c r="AI13" s="53"/>
    </row>
    <row r="14" spans="1:37" ht="14.25" customHeight="1">
      <c r="A14" s="9" t="str">
        <f>A13</f>
        <v>FHH</v>
      </c>
      <c r="B14" s="9" t="str">
        <f t="shared" ref="B14:B17" si="4">CONCATENATE("IMP",D14,E14)</f>
        <v>IMPOILHH11</v>
      </c>
      <c r="C14" s="9" t="str">
        <f>CONCATENATE("Imported ",VLOOKUP($A14,Types!$A$13:$C$18,3,FALSE),", PADD ",RIGHT(F14,1),", Step ",RIGHT(E14,1))</f>
        <v>Imported Imported Oil-High Sulfur, Heavy G, PADD 1, Step 1</v>
      </c>
      <c r="D14" s="9" t="str">
        <f>D13</f>
        <v>OILHH1</v>
      </c>
      <c r="E14" s="9">
        <v>1</v>
      </c>
      <c r="F14" s="9" t="str">
        <f>F13</f>
        <v>P1</v>
      </c>
      <c r="G14" s="66">
        <f>G13*$C$5</f>
        <v>28.71</v>
      </c>
      <c r="H14" s="66">
        <f t="shared" ref="H14:J14" si="5">H13*$C$5</f>
        <v>41.765625000000007</v>
      </c>
      <c r="I14" s="66">
        <f t="shared" si="5"/>
        <v>28.413</v>
      </c>
      <c r="J14" s="66">
        <f t="shared" si="5"/>
        <v>30.066300000000005</v>
      </c>
      <c r="K14" s="67">
        <f>G14*Conv!$J$20/10^6/Conv!$C$47/Conv!$I$5</f>
        <v>6.9065082955001431</v>
      </c>
      <c r="L14" s="67">
        <f>H14*Conv!$J$20/10^6/Conv!$C$47/Conv!$I$5</f>
        <v>10.04718340401422</v>
      </c>
      <c r="M14" s="67" t="e">
        <f>L14*#REF!</f>
        <v>#REF!</v>
      </c>
      <c r="N14" s="67" t="e">
        <f>M14*#REF!</f>
        <v>#REF!</v>
      </c>
      <c r="O14" s="67" t="e">
        <f>N14*#REF!</f>
        <v>#REF!</v>
      </c>
      <c r="P14" s="67" t="e">
        <f>O14*#REF!</f>
        <v>#REF!</v>
      </c>
      <c r="Q14" s="67" t="e">
        <f>P14*#REF!</f>
        <v>#REF!</v>
      </c>
      <c r="R14" s="67" t="e">
        <f>Q14*#REF!</f>
        <v>#REF!</v>
      </c>
      <c r="S14" s="67" t="e">
        <f>R14*#REF!</f>
        <v>#REF!</v>
      </c>
      <c r="T14" s="67" t="e">
        <f>S14*#REF!</f>
        <v>#REF!</v>
      </c>
      <c r="U14" s="67" t="e">
        <f>T14*#REF!</f>
        <v>#REF!</v>
      </c>
      <c r="V14" s="42"/>
      <c r="W14" s="83">
        <f>W13*$E$5</f>
        <v>25.631</v>
      </c>
      <c r="X14" s="83">
        <f t="shared" ref="X14:Z14" si="6">X13*$E$5</f>
        <v>12.874000000000002</v>
      </c>
      <c r="Y14" s="83">
        <f t="shared" si="6"/>
        <v>4.5750000000000002</v>
      </c>
      <c r="Z14" s="83">
        <f t="shared" si="6"/>
        <v>5.0510000000000002</v>
      </c>
      <c r="AA14" s="82">
        <f>W14*Conv!$C$47*Conv!$I$5*1000*365</f>
        <v>59.675554982346078</v>
      </c>
      <c r="AB14" s="82">
        <f>X14*Conv!$C$47*Conv!$I$5*1000*365</f>
        <v>29.973980525251584</v>
      </c>
      <c r="AC14" s="82">
        <f>Y14*Conv!$C$47*Conv!$I$5*1000*365</f>
        <v>10.651775742040236</v>
      </c>
      <c r="AD14" s="82">
        <f>Z14*Conv!$C$47*Conv!$I$5*1000*365</f>
        <v>11.760026070610982</v>
      </c>
      <c r="AE14" s="82">
        <f>AA14</f>
        <v>59.675554982346078</v>
      </c>
      <c r="AF14" s="82">
        <f t="shared" ref="AF14" si="7">AB14</f>
        <v>29.973980525251584</v>
      </c>
      <c r="AG14" s="82">
        <f t="shared" ref="AG14" si="8">AC14</f>
        <v>10.651775742040236</v>
      </c>
      <c r="AH14" s="82">
        <f t="shared" ref="AH14" si="9">AD14</f>
        <v>11.760026070610982</v>
      </c>
      <c r="AI14" s="53"/>
    </row>
    <row r="15" spans="1:37" ht="14.25" customHeight="1">
      <c r="A15" s="9" t="str">
        <f t="shared" ref="A15:A17" si="10">A14</f>
        <v>FHH</v>
      </c>
      <c r="B15" s="9" t="str">
        <f t="shared" si="4"/>
        <v>IMPOILHH12</v>
      </c>
      <c r="C15" s="9" t="str">
        <f>CONCATENATE("Imported ",VLOOKUP($A15,Types!$A$13:$C$18,3,FALSE),", PADD ",RIGHT(F15,1),", Step ",RIGHT(E15,1))</f>
        <v>Imported Imported Oil-High Sulfur, Heavy G, PADD 1, Step 2</v>
      </c>
      <c r="D15" s="9" t="str">
        <f t="shared" ref="D15:D17" si="11">D14</f>
        <v>OILHH1</v>
      </c>
      <c r="E15" s="9">
        <v>2</v>
      </c>
      <c r="F15" s="9" t="str">
        <f t="shared" ref="F15:F17" si="12">F14</f>
        <v>P1</v>
      </c>
      <c r="G15" s="66">
        <f>G13*$C$6</f>
        <v>30.305</v>
      </c>
      <c r="H15" s="66">
        <f t="shared" ref="H15:J15" si="13">H13*$C$6</f>
        <v>44.085937500000007</v>
      </c>
      <c r="I15" s="66">
        <f t="shared" si="13"/>
        <v>29.991499999999998</v>
      </c>
      <c r="J15" s="66">
        <f t="shared" si="13"/>
        <v>31.736650000000001</v>
      </c>
      <c r="K15" s="67">
        <f>G15*Conv!$J$20/10^6/Conv!$C$47/Conv!$I$5</f>
        <v>7.2902032008057063</v>
      </c>
      <c r="L15" s="67">
        <f>H15*Conv!$J$20/10^6/Conv!$C$47/Conv!$I$5</f>
        <v>10.605360259792784</v>
      </c>
      <c r="M15" s="67" t="e">
        <f>L15*#REF!</f>
        <v>#REF!</v>
      </c>
      <c r="N15" s="67" t="e">
        <f>M15*#REF!</f>
        <v>#REF!</v>
      </c>
      <c r="O15" s="67" t="e">
        <f>N15*#REF!</f>
        <v>#REF!</v>
      </c>
      <c r="P15" s="67" t="e">
        <f>O15*#REF!</f>
        <v>#REF!</v>
      </c>
      <c r="Q15" s="67" t="e">
        <f>P15*#REF!</f>
        <v>#REF!</v>
      </c>
      <c r="R15" s="67" t="e">
        <f>Q15*#REF!</f>
        <v>#REF!</v>
      </c>
      <c r="S15" s="67" t="e">
        <f>R15*#REF!</f>
        <v>#REF!</v>
      </c>
      <c r="T15" s="67" t="e">
        <f>S15*#REF!</f>
        <v>#REF!</v>
      </c>
      <c r="U15" s="67" t="e">
        <f>T15*#REF!</f>
        <v>#REF!</v>
      </c>
      <c r="V15" s="42"/>
      <c r="W15" s="83">
        <f>W13*$E$6</f>
        <v>51.262</v>
      </c>
      <c r="X15" s="83">
        <f t="shared" ref="X15:Z15" si="14">X13*$E$6</f>
        <v>25.748000000000005</v>
      </c>
      <c r="Y15" s="83">
        <f t="shared" si="14"/>
        <v>9.15</v>
      </c>
      <c r="Z15" s="83">
        <f t="shared" si="14"/>
        <v>10.102</v>
      </c>
      <c r="AA15" s="82">
        <f>W15*Conv!$C$47*Conv!$I$5*1000*365</f>
        <v>119.35110996469216</v>
      </c>
      <c r="AB15" s="82">
        <f>X15*Conv!$C$47*Conv!$I$5*1000*365</f>
        <v>59.947961050503167</v>
      </c>
      <c r="AC15" s="82">
        <f>Y15*Conv!$C$47*Conv!$I$5*1000*365</f>
        <v>21.303551484080472</v>
      </c>
      <c r="AD15" s="82">
        <f>Z15*Conv!$C$47*Conv!$I$5*1000*365</f>
        <v>23.520052141221964</v>
      </c>
      <c r="AE15" s="82">
        <f>AA15-AE14</f>
        <v>59.675554982346078</v>
      </c>
      <c r="AF15" s="82">
        <f t="shared" ref="AF15" si="15">AB15-AF14</f>
        <v>29.973980525251584</v>
      </c>
      <c r="AG15" s="82">
        <f t="shared" ref="AG15" si="16">AC15-AG14</f>
        <v>10.651775742040236</v>
      </c>
      <c r="AH15" s="82">
        <f t="shared" ref="AH15" si="17">AD15-AH14</f>
        <v>11.760026070610982</v>
      </c>
      <c r="AI15" s="53"/>
    </row>
    <row r="16" spans="1:37" ht="14.25" customHeight="1">
      <c r="A16" s="9" t="str">
        <f t="shared" si="10"/>
        <v>FHH</v>
      </c>
      <c r="B16" s="9" t="str">
        <f t="shared" si="4"/>
        <v>IMPOILHH14</v>
      </c>
      <c r="C16" s="9" t="str">
        <f>CONCATENATE("Imported ",VLOOKUP($A16,Types!$A$13:$C$18,3,FALSE),", PADD ",RIGHT(F16,1),", Step ",RIGHT(E16,1))</f>
        <v>Imported Imported Oil-High Sulfur, Heavy G, PADD 1, Step 4</v>
      </c>
      <c r="D16" s="9" t="str">
        <f t="shared" si="11"/>
        <v>OILHH1</v>
      </c>
      <c r="E16" s="9">
        <v>4</v>
      </c>
      <c r="F16" s="9" t="str">
        <f t="shared" si="12"/>
        <v>P1</v>
      </c>
      <c r="G16" s="66">
        <f>G13*$C$8</f>
        <v>33.495000000000005</v>
      </c>
      <c r="H16" s="66">
        <f t="shared" ref="H16:J16" si="18">H13*$C$8</f>
        <v>48.726562500000007</v>
      </c>
      <c r="I16" s="66">
        <f t="shared" si="18"/>
        <v>33.148499999999999</v>
      </c>
      <c r="J16" s="66">
        <f t="shared" si="18"/>
        <v>35.077350000000003</v>
      </c>
      <c r="K16" s="67">
        <f>G16*Conv!$J$20/10^6/Conv!$C$47/Conv!$I$5</f>
        <v>8.0575930114168361</v>
      </c>
      <c r="L16" s="67">
        <f>H16*Conv!$J$20/10^6/Conv!$C$47/Conv!$I$5</f>
        <v>11.721713971349921</v>
      </c>
      <c r="M16" s="67" t="e">
        <f>L16*#REF!</f>
        <v>#REF!</v>
      </c>
      <c r="N16" s="67" t="e">
        <f>M16*#REF!</f>
        <v>#REF!</v>
      </c>
      <c r="O16" s="67" t="e">
        <f>N16*#REF!</f>
        <v>#REF!</v>
      </c>
      <c r="P16" s="67" t="e">
        <f>O16*#REF!</f>
        <v>#REF!</v>
      </c>
      <c r="Q16" s="67" t="e">
        <f>P16*#REF!</f>
        <v>#REF!</v>
      </c>
      <c r="R16" s="67" t="e">
        <f>Q16*#REF!</f>
        <v>#REF!</v>
      </c>
      <c r="S16" s="67" t="e">
        <f>R16*#REF!</f>
        <v>#REF!</v>
      </c>
      <c r="T16" s="67" t="e">
        <f>S16*#REF!</f>
        <v>#REF!</v>
      </c>
      <c r="U16" s="67" t="e">
        <f>T16*#REF!</f>
        <v>#REF!</v>
      </c>
      <c r="V16" s="42"/>
      <c r="W16" s="83">
        <f>W13*$E$8</f>
        <v>307.572</v>
      </c>
      <c r="X16" s="83">
        <f t="shared" ref="X16:Z16" si="19">X13*$E$8</f>
        <v>154.488</v>
      </c>
      <c r="Y16" s="83">
        <f t="shared" si="19"/>
        <v>54.9</v>
      </c>
      <c r="Z16" s="83">
        <f t="shared" si="19"/>
        <v>60.611999999999995</v>
      </c>
      <c r="AA16" s="82">
        <f>W16*Conv!$C$47*Conv!$I$5*1000*365</f>
        <v>716.1066597881528</v>
      </c>
      <c r="AB16" s="82">
        <f>X16*Conv!$C$47*Conv!$I$5*1000*365</f>
        <v>359.68776630301898</v>
      </c>
      <c r="AC16" s="82">
        <f>Y16*Conv!$C$47*Conv!$I$5*1000*365</f>
        <v>127.82130890448282</v>
      </c>
      <c r="AD16" s="82">
        <f>Z16*Conv!$C$47*Conv!$I$5*1000*365</f>
        <v>141.12031284733175</v>
      </c>
      <c r="AE16" s="82">
        <f>AA16-AA13</f>
        <v>119.35110996469211</v>
      </c>
      <c r="AF16" s="82">
        <f t="shared" ref="AF16" si="20">AB16-AB13</f>
        <v>59.947961050503125</v>
      </c>
      <c r="AG16" s="82">
        <f t="shared" ref="AG16" si="21">AC16-AC13</f>
        <v>21.303551484080472</v>
      </c>
      <c r="AH16" s="82">
        <f t="shared" ref="AH16" si="22">AD16-AD13</f>
        <v>23.520052141221981</v>
      </c>
      <c r="AI16" s="53"/>
    </row>
    <row r="17" spans="1:49" ht="14.25" customHeight="1">
      <c r="A17" s="9" t="str">
        <f t="shared" si="10"/>
        <v>FHH</v>
      </c>
      <c r="B17" s="9" t="str">
        <f t="shared" si="4"/>
        <v>IMPOILHH15</v>
      </c>
      <c r="C17" s="9" t="str">
        <f>CONCATENATE("Imported ",VLOOKUP($A17,Types!$A$13:$C$18,3,FALSE),", PADD ",RIGHT(F17,1),", Step ",RIGHT(E17,1))</f>
        <v>Imported Imported Oil-High Sulfur, Heavy G, PADD 1, Step 5</v>
      </c>
      <c r="D17" s="9" t="str">
        <f t="shared" si="11"/>
        <v>OILHH1</v>
      </c>
      <c r="E17" s="9">
        <v>5</v>
      </c>
      <c r="F17" s="9" t="str">
        <f t="shared" si="12"/>
        <v>P1</v>
      </c>
      <c r="G17" s="66">
        <f>G13*$C$9</f>
        <v>41.470000000000006</v>
      </c>
      <c r="H17" s="66">
        <f t="shared" ref="H17:J17" si="23">H13*$C$9</f>
        <v>60.328125000000014</v>
      </c>
      <c r="I17" s="66">
        <f t="shared" si="23"/>
        <v>41.041000000000004</v>
      </c>
      <c r="J17" s="66">
        <f t="shared" si="23"/>
        <v>43.429100000000005</v>
      </c>
      <c r="K17" s="67">
        <f>G17*Conv!$J$20/10^6/Conv!$C$47/Conv!$I$5</f>
        <v>9.9760675379446511</v>
      </c>
      <c r="L17" s="67">
        <f>H17*Conv!$J$20/10^6/Conv!$C$47/Conv!$I$5</f>
        <v>14.512598250242762</v>
      </c>
      <c r="M17" s="67" t="e">
        <f>L17*#REF!</f>
        <v>#REF!</v>
      </c>
      <c r="N17" s="67" t="e">
        <f>M17*#REF!</f>
        <v>#REF!</v>
      </c>
      <c r="O17" s="67" t="e">
        <f>N17*#REF!</f>
        <v>#REF!</v>
      </c>
      <c r="P17" s="67" t="e">
        <f>O17*#REF!</f>
        <v>#REF!</v>
      </c>
      <c r="Q17" s="67" t="e">
        <f>P17*#REF!</f>
        <v>#REF!</v>
      </c>
      <c r="R17" s="67" t="e">
        <f>Q17*#REF!</f>
        <v>#REF!</v>
      </c>
      <c r="S17" s="67" t="e">
        <f>R17*#REF!</f>
        <v>#REF!</v>
      </c>
      <c r="T17" s="67" t="e">
        <f>S17*#REF!</f>
        <v>#REF!</v>
      </c>
      <c r="U17" s="67" t="e">
        <f>T17*#REF!</f>
        <v>#REF!</v>
      </c>
      <c r="V17" s="42"/>
      <c r="W17" s="83">
        <f>W13*$E$9</f>
        <v>333.20300000000003</v>
      </c>
      <c r="X17" s="83">
        <f t="shared" ref="X17:Z17" si="24">X13*$E$9</f>
        <v>167.36200000000002</v>
      </c>
      <c r="Y17" s="83">
        <f t="shared" si="24"/>
        <v>59.475000000000001</v>
      </c>
      <c r="Z17" s="83">
        <f t="shared" si="24"/>
        <v>65.662999999999997</v>
      </c>
      <c r="AA17" s="82">
        <f>W17*Conv!$C$47*Conv!$I$5*1000*365</f>
        <v>775.78221477049885</v>
      </c>
      <c r="AB17" s="82">
        <f>X17*Conv!$C$47*Conv!$I$5*1000*365</f>
        <v>389.66174682827062</v>
      </c>
      <c r="AC17" s="82">
        <f>Y17*Conv!$C$47*Conv!$I$5*1000*365</f>
        <v>138.47308464652306</v>
      </c>
      <c r="AD17" s="82">
        <f>Z17*Conv!$C$47*Conv!$I$5*1000*365</f>
        <v>152.88033891794271</v>
      </c>
      <c r="AE17" s="82">
        <f>AA17-AA16</f>
        <v>59.675554982346057</v>
      </c>
      <c r="AF17" s="82">
        <f t="shared" ref="AF17" si="25">AB17-AB16</f>
        <v>29.973980525251648</v>
      </c>
      <c r="AG17" s="82">
        <f t="shared" ref="AG17" si="26">AC17-AC16</f>
        <v>10.651775742040243</v>
      </c>
      <c r="AH17" s="82">
        <f t="shared" ref="AH17" si="27">AD17-AD16</f>
        <v>11.760026070610962</v>
      </c>
      <c r="AI17" s="53"/>
    </row>
    <row r="18" spans="1:49" ht="14.25" customHeight="1">
      <c r="A18" s="9" t="str">
        <f>'Agg crdcrv'!C5</f>
        <v>FHL</v>
      </c>
      <c r="B18" s="9" t="str">
        <f t="shared" si="0"/>
        <v>IMPOILHL13</v>
      </c>
      <c r="C18" s="9" t="str">
        <f>CONCATENATE("Imported ",VLOOKUP($A18,Types!$A$13:$C$18,3,FALSE),", PADD ",RIGHT(F18,1),", Step ",RIGHT(E18,1))</f>
        <v>Imported Imported Oil-High Sulfur, Low G, PADD 1, Step 3</v>
      </c>
      <c r="D18" s="9" t="str">
        <f>CONCATENATE(VLOOKUP($A18,Types!$A$14:$C$18,2,FALSE),RIGHT(F18,1))</f>
        <v>OILHL1</v>
      </c>
      <c r="E18" s="9">
        <v>3</v>
      </c>
      <c r="F18" s="9" t="str">
        <f>'Agg crdcrv'!D5</f>
        <v>P1</v>
      </c>
      <c r="G18" s="66">
        <f>'Agg crdcrv'!H5*$K$5</f>
        <v>41.514000000000003</v>
      </c>
      <c r="H18" s="66">
        <f>'Agg crdcrv'!H10*K5</f>
        <v>50.187500000000007</v>
      </c>
      <c r="I18" s="66">
        <f>'Agg crdcrv'!H15*K5</f>
        <v>34.551000000000002</v>
      </c>
      <c r="J18" s="66">
        <f>'Agg crdcrv'!H20*K5</f>
        <v>36.410000000000004</v>
      </c>
      <c r="K18" s="67">
        <f>G18*Conv!$J$20/10^6/Conv!$C$47/Conv!$I$5</f>
        <v>9.9866522249875622</v>
      </c>
      <c r="L18" s="67">
        <f>H18*Conv!$J$20/10^6/Conv!$C$47/Conv!$I$5</f>
        <v>12.073158658321612</v>
      </c>
      <c r="M18" s="67" t="e">
        <f>L18*#REF!</f>
        <v>#REF!</v>
      </c>
      <c r="N18" s="67" t="e">
        <f>M18*#REF!</f>
        <v>#REF!</v>
      </c>
      <c r="O18" s="67" t="e">
        <f>N18*#REF!</f>
        <v>#REF!</v>
      </c>
      <c r="P18" s="67" t="e">
        <f>O18*#REF!</f>
        <v>#REF!</v>
      </c>
      <c r="Q18" s="67" t="e">
        <f>P18*#REF!</f>
        <v>#REF!</v>
      </c>
      <c r="R18" s="67" t="e">
        <f>Q18*#REF!</f>
        <v>#REF!</v>
      </c>
      <c r="S18" s="67" t="e">
        <f>R18*#REF!</f>
        <v>#REF!</v>
      </c>
      <c r="T18" s="67" t="e">
        <f>S18*#REF!</f>
        <v>#REF!</v>
      </c>
      <c r="U18" s="67" t="e">
        <f>T18*#REF!</f>
        <v>#REF!</v>
      </c>
      <c r="V18" s="42"/>
      <c r="W18" s="9">
        <f>'Agg crdcrv'!F5</f>
        <v>93.86</v>
      </c>
      <c r="X18" s="9">
        <f>'Agg crdcrv'!F10</f>
        <v>79.84</v>
      </c>
      <c r="Y18" s="9">
        <f>'Agg crdcrv'!F15</f>
        <v>8.02</v>
      </c>
      <c r="Z18" s="9">
        <f>'Agg crdcrv'!F20</f>
        <v>8.85</v>
      </c>
      <c r="AA18" s="82">
        <f>W18*Conv!$C$47*Conv!$I$5*1000*365</f>
        <v>218.53020134380253</v>
      </c>
      <c r="AB18" s="82">
        <f>X18*Conv!$C$47*Conv!$I$5*1000*365</f>
        <v>185.88803830480708</v>
      </c>
      <c r="AC18" s="82">
        <f>Y18*Conv!$C$47*Conv!$I$5*1000*365</f>
        <v>18.672621082221351</v>
      </c>
      <c r="AD18" s="82">
        <f>Z18*Conv!$C$47*Conv!$I$5*1000*365</f>
        <v>20.605074386241768</v>
      </c>
      <c r="AE18" s="82">
        <f>AA18-AA20</f>
        <v>174.82416107504201</v>
      </c>
      <c r="AF18" s="82">
        <f t="shared" ref="AF18" si="28">AB18-AB20</f>
        <v>148.71043064384565</v>
      </c>
      <c r="AG18" s="82">
        <f t="shared" ref="AG18" si="29">AC18-AC20</f>
        <v>14.93809686577708</v>
      </c>
      <c r="AH18" s="82">
        <f t="shared" ref="AH18" si="30">AD18-AD20</f>
        <v>16.484059508993415</v>
      </c>
      <c r="AI18" s="38"/>
      <c r="AJ18" s="38"/>
      <c r="AK18" s="38"/>
      <c r="AL18" s="38"/>
      <c r="AM18" s="38"/>
      <c r="AN18" s="38"/>
      <c r="AO18" s="38"/>
      <c r="AP18" s="38"/>
      <c r="AQ18" s="38"/>
      <c r="AR18" s="38"/>
      <c r="AS18" s="38"/>
      <c r="AT18" s="38"/>
      <c r="AU18" s="38"/>
      <c r="AV18" s="38"/>
      <c r="AW18" s="38"/>
    </row>
    <row r="19" spans="1:49" ht="14.25" customHeight="1">
      <c r="A19" s="9" t="str">
        <f>A18</f>
        <v>FHL</v>
      </c>
      <c r="B19" s="9" t="str">
        <f t="shared" si="0"/>
        <v>IMPOILHL11</v>
      </c>
      <c r="C19" s="9" t="str">
        <f>CONCATENATE("Imported ",VLOOKUP($A19,Types!$A$13:$C$18,3,FALSE),", PADD ",RIGHT(F19,1),", Step ",RIGHT(E19,1))</f>
        <v>Imported Imported Oil-High Sulfur, Low G, PADD 1, Step 1</v>
      </c>
      <c r="D19" s="9" t="str">
        <f>D18</f>
        <v>OILHL1</v>
      </c>
      <c r="E19" s="9">
        <v>1</v>
      </c>
      <c r="F19" s="9" t="str">
        <f>F18</f>
        <v>P1</v>
      </c>
      <c r="G19" s="66">
        <f>G18*$C$5</f>
        <v>37.3626</v>
      </c>
      <c r="H19" s="66">
        <f t="shared" ref="H19" si="31">H18*$C$5</f>
        <v>45.16875000000001</v>
      </c>
      <c r="I19" s="66">
        <f t="shared" ref="I19" si="32">I18*$C$5</f>
        <v>31.095900000000004</v>
      </c>
      <c r="J19" s="66">
        <f t="shared" ref="J19" si="33">J18*$C$5</f>
        <v>32.769000000000005</v>
      </c>
      <c r="K19" s="67">
        <f>G19*Conv!$J$20/10^6/Conv!$C$47/Conv!$I$5</f>
        <v>8.987987002488806</v>
      </c>
      <c r="L19" s="67">
        <f>H19*Conv!$J$20/10^6/Conv!$C$47/Conv!$I$5</f>
        <v>10.865842792489451</v>
      </c>
      <c r="M19" s="67" t="e">
        <f>L19*#REF!</f>
        <v>#REF!</v>
      </c>
      <c r="N19" s="67" t="e">
        <f>M19*#REF!</f>
        <v>#REF!</v>
      </c>
      <c r="O19" s="67" t="e">
        <f>N19*#REF!</f>
        <v>#REF!</v>
      </c>
      <c r="P19" s="67" t="e">
        <f>O19*#REF!</f>
        <v>#REF!</v>
      </c>
      <c r="Q19" s="67" t="e">
        <f>P19*#REF!</f>
        <v>#REF!</v>
      </c>
      <c r="R19" s="67" t="e">
        <f>Q19*#REF!</f>
        <v>#REF!</v>
      </c>
      <c r="S19" s="67" t="e">
        <f>R19*#REF!</f>
        <v>#REF!</v>
      </c>
      <c r="T19" s="67" t="e">
        <f>S19*#REF!</f>
        <v>#REF!</v>
      </c>
      <c r="U19" s="67" t="e">
        <f>T19*#REF!</f>
        <v>#REF!</v>
      </c>
      <c r="V19" s="42"/>
      <c r="W19" s="83">
        <f>W18*$E$5</f>
        <v>9.386000000000001</v>
      </c>
      <c r="X19" s="83">
        <f t="shared" ref="X19" si="34">X18*$E$5</f>
        <v>7.9840000000000009</v>
      </c>
      <c r="Y19" s="83">
        <f t="shared" ref="Y19" si="35">Y18*$E$5</f>
        <v>0.80200000000000005</v>
      </c>
      <c r="Z19" s="83">
        <f t="shared" ref="Z19" si="36">Z18*$E$5</f>
        <v>0.88500000000000001</v>
      </c>
      <c r="AA19" s="82">
        <f>W19*Conv!$C$47*Conv!$I$5*1000*365</f>
        <v>21.853020134380252</v>
      </c>
      <c r="AB19" s="82">
        <f>X19*Conv!$C$47*Conv!$I$5*1000*365</f>
        <v>18.58880383048071</v>
      </c>
      <c r="AC19" s="82">
        <f>Y19*Conv!$C$47*Conv!$I$5*1000*365</f>
        <v>1.8672621082221355</v>
      </c>
      <c r="AD19" s="82">
        <f>Z19*Conv!$C$47*Conv!$I$5*1000*365</f>
        <v>2.0605074386241764</v>
      </c>
      <c r="AE19" s="82">
        <f>AA19</f>
        <v>21.853020134380252</v>
      </c>
      <c r="AF19" s="82">
        <f t="shared" ref="AF19" si="37">AB19</f>
        <v>18.58880383048071</v>
      </c>
      <c r="AG19" s="82">
        <f t="shared" ref="AG19" si="38">AC19</f>
        <v>1.8672621082221355</v>
      </c>
      <c r="AH19" s="82">
        <f t="shared" ref="AH19" si="39">AD19</f>
        <v>2.0605074386241764</v>
      </c>
      <c r="AI19" s="53"/>
    </row>
    <row r="20" spans="1:49" ht="14.25" customHeight="1">
      <c r="A20" s="9" t="str">
        <f t="shared" ref="A20:A22" si="40">A19</f>
        <v>FHL</v>
      </c>
      <c r="B20" s="9" t="str">
        <f t="shared" si="0"/>
        <v>IMPOILHL12</v>
      </c>
      <c r="C20" s="9" t="str">
        <f>CONCATENATE("Imported ",VLOOKUP($A20,Types!$A$13:$C$18,3,FALSE),", PADD ",RIGHT(F20,1),", Step ",RIGHT(E20,1))</f>
        <v>Imported Imported Oil-High Sulfur, Low G, PADD 1, Step 2</v>
      </c>
      <c r="D20" s="9" t="str">
        <f t="shared" ref="D20:D22" si="41">D19</f>
        <v>OILHL1</v>
      </c>
      <c r="E20" s="9">
        <v>2</v>
      </c>
      <c r="F20" s="9" t="str">
        <f t="shared" ref="F20:F22" si="42">F19</f>
        <v>P1</v>
      </c>
      <c r="G20" s="66">
        <f>G18*$C$6</f>
        <v>39.438299999999998</v>
      </c>
      <c r="H20" s="66">
        <f t="shared" ref="H20:J20" si="43">H18*$C$6</f>
        <v>47.678125000000001</v>
      </c>
      <c r="I20" s="66">
        <f t="shared" si="43"/>
        <v>32.823450000000001</v>
      </c>
      <c r="J20" s="66">
        <f t="shared" si="43"/>
        <v>34.589500000000001</v>
      </c>
      <c r="K20" s="67">
        <f>G20*Conv!$J$20/10^6/Conv!$C$47/Conv!$I$5</f>
        <v>9.487319613738185</v>
      </c>
      <c r="L20" s="67">
        <f>H20*Conv!$J$20/10^6/Conv!$C$47/Conv!$I$5</f>
        <v>11.469500725405531</v>
      </c>
      <c r="M20" s="67" t="e">
        <f>L20*#REF!</f>
        <v>#REF!</v>
      </c>
      <c r="N20" s="67" t="e">
        <f>M20*#REF!</f>
        <v>#REF!</v>
      </c>
      <c r="O20" s="67" t="e">
        <f>N20*#REF!</f>
        <v>#REF!</v>
      </c>
      <c r="P20" s="67" t="e">
        <f>O20*#REF!</f>
        <v>#REF!</v>
      </c>
      <c r="Q20" s="67" t="e">
        <f>P20*#REF!</f>
        <v>#REF!</v>
      </c>
      <c r="R20" s="67" t="e">
        <f>Q20*#REF!</f>
        <v>#REF!</v>
      </c>
      <c r="S20" s="67" t="e">
        <f>R20*#REF!</f>
        <v>#REF!</v>
      </c>
      <c r="T20" s="67" t="e">
        <f>S20*#REF!</f>
        <v>#REF!</v>
      </c>
      <c r="U20" s="67" t="e">
        <f>T20*#REF!</f>
        <v>#REF!</v>
      </c>
      <c r="V20" s="42"/>
      <c r="W20" s="83">
        <f>W18*$E$6</f>
        <v>18.772000000000002</v>
      </c>
      <c r="X20" s="83">
        <f t="shared" ref="X20:Z20" si="44">X18*$E$6</f>
        <v>15.968000000000002</v>
      </c>
      <c r="Y20" s="83">
        <f t="shared" si="44"/>
        <v>1.6040000000000001</v>
      </c>
      <c r="Z20" s="83">
        <f t="shared" si="44"/>
        <v>1.77</v>
      </c>
      <c r="AA20" s="82">
        <f>W20*Conv!$C$47*Conv!$I$5*1000*365</f>
        <v>43.706040268760503</v>
      </c>
      <c r="AB20" s="82">
        <f>X20*Conv!$C$47*Conv!$I$5*1000*365</f>
        <v>37.177607660961421</v>
      </c>
      <c r="AC20" s="82">
        <f>Y20*Conv!$C$47*Conv!$I$5*1000*365</f>
        <v>3.7345242164442709</v>
      </c>
      <c r="AD20" s="82">
        <f>Z20*Conv!$C$47*Conv!$I$5*1000*365</f>
        <v>4.1210148772483528</v>
      </c>
      <c r="AE20" s="82">
        <f>AA20-AE19</f>
        <v>21.853020134380252</v>
      </c>
      <c r="AF20" s="82">
        <f t="shared" ref="AF20" si="45">AB20-AF19</f>
        <v>18.58880383048071</v>
      </c>
      <c r="AG20" s="82">
        <f t="shared" ref="AG20" si="46">AC20-AG19</f>
        <v>1.8672621082221355</v>
      </c>
      <c r="AH20" s="82">
        <f t="shared" ref="AH20" si="47">AD20-AH19</f>
        <v>2.0605074386241764</v>
      </c>
      <c r="AI20" s="53"/>
    </row>
    <row r="21" spans="1:49" ht="14.25" customHeight="1">
      <c r="A21" s="9" t="str">
        <f t="shared" si="40"/>
        <v>FHL</v>
      </c>
      <c r="B21" s="9" t="str">
        <f t="shared" si="0"/>
        <v>IMPOILHL14</v>
      </c>
      <c r="C21" s="9" t="str">
        <f>CONCATENATE("Imported ",VLOOKUP($A21,Types!$A$13:$C$18,3,FALSE),", PADD ",RIGHT(F21,1),", Step ",RIGHT(E21,1))</f>
        <v>Imported Imported Oil-High Sulfur, Low G, PADD 1, Step 4</v>
      </c>
      <c r="D21" s="9" t="str">
        <f t="shared" si="41"/>
        <v>OILHL1</v>
      </c>
      <c r="E21" s="9">
        <v>4</v>
      </c>
      <c r="F21" s="9" t="str">
        <f t="shared" si="42"/>
        <v>P1</v>
      </c>
      <c r="G21" s="66">
        <f>G18*$C$8</f>
        <v>43.589700000000008</v>
      </c>
      <c r="H21" s="66">
        <f t="shared" ref="H21:J21" si="48">H18*$C$8</f>
        <v>52.696875000000013</v>
      </c>
      <c r="I21" s="66">
        <f t="shared" si="48"/>
        <v>36.278550000000003</v>
      </c>
      <c r="J21" s="66">
        <f t="shared" si="48"/>
        <v>38.230500000000006</v>
      </c>
      <c r="K21" s="67">
        <f>G21*Conv!$J$20/10^6/Conv!$C$47/Conv!$I$5</f>
        <v>10.485984836236943</v>
      </c>
      <c r="L21" s="67">
        <f>H21*Conv!$J$20/10^6/Conv!$C$47/Conv!$I$5</f>
        <v>12.676816591237694</v>
      </c>
      <c r="M21" s="67" t="e">
        <f>L21*#REF!</f>
        <v>#REF!</v>
      </c>
      <c r="N21" s="67" t="e">
        <f>M21*#REF!</f>
        <v>#REF!</v>
      </c>
      <c r="O21" s="67" t="e">
        <f>N21*#REF!</f>
        <v>#REF!</v>
      </c>
      <c r="P21" s="67" t="e">
        <f>O21*#REF!</f>
        <v>#REF!</v>
      </c>
      <c r="Q21" s="67" t="e">
        <f>P21*#REF!</f>
        <v>#REF!</v>
      </c>
      <c r="R21" s="67" t="e">
        <f>Q21*#REF!</f>
        <v>#REF!</v>
      </c>
      <c r="S21" s="67" t="e">
        <f>R21*#REF!</f>
        <v>#REF!</v>
      </c>
      <c r="T21" s="67" t="e">
        <f>S21*#REF!</f>
        <v>#REF!</v>
      </c>
      <c r="U21" s="67" t="e">
        <f>T21*#REF!</f>
        <v>#REF!</v>
      </c>
      <c r="V21" s="42"/>
      <c r="W21" s="83">
        <f>W18*$E$8</f>
        <v>112.63199999999999</v>
      </c>
      <c r="X21" s="83">
        <f t="shared" ref="X21:Z21" si="49">X18*$E$8</f>
        <v>95.808000000000007</v>
      </c>
      <c r="Y21" s="83">
        <f t="shared" si="49"/>
        <v>9.6239999999999988</v>
      </c>
      <c r="Z21" s="83">
        <f t="shared" si="49"/>
        <v>10.62</v>
      </c>
      <c r="AA21" s="82">
        <f>W21*Conv!$C$47*Conv!$I$5*1000*365</f>
        <v>262.23624161256299</v>
      </c>
      <c r="AB21" s="82">
        <f>X21*Conv!$C$47*Conv!$I$5*1000*365</f>
        <v>223.06564596576854</v>
      </c>
      <c r="AC21" s="82">
        <f>Y21*Conv!$C$47*Conv!$I$5*1000*365</f>
        <v>22.407145298665618</v>
      </c>
      <c r="AD21" s="82">
        <f>Z21*Conv!$C$47*Conv!$I$5*1000*365</f>
        <v>24.726089263490113</v>
      </c>
      <c r="AE21" s="82">
        <f>AA21-AA18</f>
        <v>43.706040268760461</v>
      </c>
      <c r="AF21" s="82">
        <f t="shared" ref="AF21" si="50">AB21-AB18</f>
        <v>37.177607660961456</v>
      </c>
      <c r="AG21" s="82">
        <f t="shared" ref="AG21" si="51">AC21-AC18</f>
        <v>3.7345242164442674</v>
      </c>
      <c r="AH21" s="82">
        <f t="shared" ref="AH21" si="52">AD21-AD18</f>
        <v>4.1210148772483457</v>
      </c>
      <c r="AI21" s="53"/>
    </row>
    <row r="22" spans="1:49" ht="14.25" customHeight="1">
      <c r="A22" s="9" t="str">
        <f t="shared" si="40"/>
        <v>FHL</v>
      </c>
      <c r="B22" s="9" t="str">
        <f t="shared" si="0"/>
        <v>IMPOILHL15</v>
      </c>
      <c r="C22" s="9" t="str">
        <f>CONCATENATE("Imported ",VLOOKUP($A22,Types!$A$13:$C$18,3,FALSE),", PADD ",RIGHT(F22,1),", Step ",RIGHT(E22,1))</f>
        <v>Imported Imported Oil-High Sulfur, Low G, PADD 1, Step 5</v>
      </c>
      <c r="D22" s="9" t="str">
        <f t="shared" si="41"/>
        <v>OILHL1</v>
      </c>
      <c r="E22" s="9">
        <v>5</v>
      </c>
      <c r="F22" s="9" t="str">
        <f t="shared" si="42"/>
        <v>P1</v>
      </c>
      <c r="G22" s="66">
        <f>G18*$C$9</f>
        <v>53.968200000000003</v>
      </c>
      <c r="H22" s="66">
        <f t="shared" ref="H22:J22" si="53">H18*$C$9</f>
        <v>65.243750000000006</v>
      </c>
      <c r="I22" s="66">
        <f t="shared" si="53"/>
        <v>44.916300000000007</v>
      </c>
      <c r="J22" s="66">
        <f t="shared" si="53"/>
        <v>47.333000000000006</v>
      </c>
      <c r="K22" s="67">
        <f>G22*Conv!$J$20/10^6/Conv!$C$47/Conv!$I$5</f>
        <v>12.982647892483834</v>
      </c>
      <c r="L22" s="67">
        <f>H22*Conv!$J$20/10^6/Conv!$C$47/Conv!$I$5</f>
        <v>15.695106255818095</v>
      </c>
      <c r="M22" s="67" t="e">
        <f>L22*#REF!</f>
        <v>#REF!</v>
      </c>
      <c r="N22" s="67" t="e">
        <f>M22*#REF!</f>
        <v>#REF!</v>
      </c>
      <c r="O22" s="67" t="e">
        <f>N22*#REF!</f>
        <v>#REF!</v>
      </c>
      <c r="P22" s="67" t="e">
        <f>O22*#REF!</f>
        <v>#REF!</v>
      </c>
      <c r="Q22" s="67" t="e">
        <f>P22*#REF!</f>
        <v>#REF!</v>
      </c>
      <c r="R22" s="67" t="e">
        <f>Q22*#REF!</f>
        <v>#REF!</v>
      </c>
      <c r="S22" s="67" t="e">
        <f>R22*#REF!</f>
        <v>#REF!</v>
      </c>
      <c r="T22" s="67" t="e">
        <f>S22*#REF!</f>
        <v>#REF!</v>
      </c>
      <c r="U22" s="67" t="e">
        <f>T22*#REF!</f>
        <v>#REF!</v>
      </c>
      <c r="V22" s="42"/>
      <c r="W22" s="83">
        <f>W18*$E$9</f>
        <v>122.018</v>
      </c>
      <c r="X22" s="83">
        <f t="shared" ref="X22:Z22" si="54">X18*$E$9</f>
        <v>103.792</v>
      </c>
      <c r="Y22" s="83">
        <f t="shared" si="54"/>
        <v>10.426</v>
      </c>
      <c r="Z22" s="83">
        <f t="shared" si="54"/>
        <v>11.505000000000001</v>
      </c>
      <c r="AA22" s="82">
        <f>W22*Conv!$C$47*Conv!$I$5*1000*365</f>
        <v>284.08926174694324</v>
      </c>
      <c r="AB22" s="82">
        <f>X22*Conv!$C$47*Conv!$I$5*1000*365</f>
        <v>241.6544497962492</v>
      </c>
      <c r="AC22" s="82">
        <f>Y22*Conv!$C$47*Conv!$I$5*1000*365</f>
        <v>24.274407406887757</v>
      </c>
      <c r="AD22" s="82">
        <f>Z22*Conv!$C$47*Conv!$I$5*1000*365</f>
        <v>26.786596702114302</v>
      </c>
      <c r="AE22" s="82">
        <f>AA22-AA21</f>
        <v>21.853020134380245</v>
      </c>
      <c r="AF22" s="82">
        <f t="shared" ref="AF22" si="55">AB22-AB21</f>
        <v>18.588803830480657</v>
      </c>
      <c r="AG22" s="82">
        <f t="shared" ref="AG22" si="56">AC22-AC21</f>
        <v>1.867262108222139</v>
      </c>
      <c r="AH22" s="82">
        <f t="shared" ref="AH22" si="57">AD22-AD21</f>
        <v>2.0605074386241888</v>
      </c>
      <c r="AI22" s="53"/>
    </row>
    <row r="23" spans="1:49" ht="14.25" customHeight="1">
      <c r="A23" s="9" t="str">
        <f>'Agg crdcrv'!C6</f>
        <v>FHV</v>
      </c>
      <c r="B23" s="9" t="str">
        <f t="shared" si="0"/>
        <v>IMPOILHV13</v>
      </c>
      <c r="C23" s="9" t="str">
        <f>CONCATENATE("Imported ",VLOOKUP($A23,Types!$A$13:$C$18,3,FALSE),", PADD ",RIGHT(F23,1),", Step ",RIGHT(E23,1))</f>
        <v>Imported Imported Oil-High Sulfur, Very HG, PADD 1, Step 3</v>
      </c>
      <c r="D23" s="9" t="str">
        <f>CONCATENATE(VLOOKUP($A23,Types!$A$14:$C$18,2,FALSE),RIGHT(F23,1))</f>
        <v>OILHV1</v>
      </c>
      <c r="E23" s="9">
        <v>3</v>
      </c>
      <c r="F23" s="9" t="str">
        <f>'Agg crdcrv'!D6</f>
        <v>P1</v>
      </c>
      <c r="G23" s="66">
        <f>'Agg crdcrv'!H6*$K$5</f>
        <v>28.6</v>
      </c>
      <c r="H23" s="66">
        <f>'Agg crdcrv'!H11*K5</f>
        <v>45.993750000000006</v>
      </c>
      <c r="I23" s="66">
        <f>'Agg crdcrv'!H16*K5</f>
        <v>31.251000000000001</v>
      </c>
      <c r="J23" s="66">
        <f>'Agg crdcrv'!H21*K5</f>
        <v>33.088000000000001</v>
      </c>
      <c r="K23" s="67">
        <f>G23*Conv!$J$20/10^6/Conv!$C$47/Conv!$I$5</f>
        <v>6.8800465778928626</v>
      </c>
      <c r="L23" s="67">
        <f>H23*Conv!$J$20/10^6/Conv!$C$47/Conv!$I$5</f>
        <v>11.064305674544054</v>
      </c>
      <c r="M23" s="67" t="e">
        <f>L23*#REF!</f>
        <v>#REF!</v>
      </c>
      <c r="N23" s="67" t="e">
        <f>M23*#REF!</f>
        <v>#REF!</v>
      </c>
      <c r="O23" s="67" t="e">
        <f>N23*#REF!</f>
        <v>#REF!</v>
      </c>
      <c r="P23" s="67" t="e">
        <f>O23*#REF!</f>
        <v>#REF!</v>
      </c>
      <c r="Q23" s="67" t="e">
        <f>P23*#REF!</f>
        <v>#REF!</v>
      </c>
      <c r="R23" s="67" t="e">
        <f>Q23*#REF!</f>
        <v>#REF!</v>
      </c>
      <c r="S23" s="67" t="e">
        <f>R23*#REF!</f>
        <v>#REF!</v>
      </c>
      <c r="T23" s="67" t="e">
        <f>S23*#REF!</f>
        <v>#REF!</v>
      </c>
      <c r="U23" s="67" t="e">
        <f>T23*#REF!</f>
        <v>#REF!</v>
      </c>
      <c r="V23" s="42"/>
      <c r="W23" s="9">
        <f>'Agg crdcrv'!F6</f>
        <v>123.31</v>
      </c>
      <c r="X23" s="9">
        <f>'Agg crdcrv'!F11</f>
        <v>63.32</v>
      </c>
      <c r="Y23" s="9">
        <f>'Agg crdcrv'!F16</f>
        <v>21.34</v>
      </c>
      <c r="Z23" s="9">
        <f>'Agg crdcrv'!F21</f>
        <v>23.56</v>
      </c>
      <c r="AA23" s="82">
        <f>W23*Conv!$C$47*Conv!$I$5*1000*365</f>
        <v>287.09736978163528</v>
      </c>
      <c r="AB23" s="82">
        <f>X23*Conv!$C$47*Conv!$I$5*1000*365</f>
        <v>147.42523278382245</v>
      </c>
      <c r="AC23" s="82">
        <f>Y23*Conv!$C$47*Conv!$I$5*1000*365</f>
        <v>49.685004226259807</v>
      </c>
      <c r="AD23" s="82">
        <f>Z23*Conv!$C$47*Conv!$I$5*1000*365</f>
        <v>54.85373475026622</v>
      </c>
      <c r="AE23" s="82">
        <f>AA23-AA25</f>
        <v>229.67789582530821</v>
      </c>
      <c r="AF23" s="82">
        <f t="shared" ref="AF23" si="58">AB23-AB25</f>
        <v>117.94018622705795</v>
      </c>
      <c r="AG23" s="82">
        <f t="shared" ref="AG23" si="59">AC23-AC25</f>
        <v>39.748003381007848</v>
      </c>
      <c r="AH23" s="82">
        <f t="shared" ref="AH23" si="60">AD23-AD25</f>
        <v>43.882987800212973</v>
      </c>
      <c r="AI23" s="84"/>
      <c r="AJ23" s="84"/>
      <c r="AK23" s="84"/>
      <c r="AL23" s="84"/>
      <c r="AM23" s="84"/>
      <c r="AN23" s="84"/>
      <c r="AO23" s="84"/>
      <c r="AP23" s="84"/>
      <c r="AQ23" s="84"/>
      <c r="AR23" s="84"/>
      <c r="AS23" s="84"/>
      <c r="AT23" s="84"/>
      <c r="AU23" s="84"/>
      <c r="AV23" s="84"/>
      <c r="AW23" s="84"/>
    </row>
    <row r="24" spans="1:49" ht="14.25" customHeight="1">
      <c r="A24" s="9" t="str">
        <f>A23</f>
        <v>FHV</v>
      </c>
      <c r="B24" s="9" t="str">
        <f t="shared" si="0"/>
        <v>IMPOILHV11</v>
      </c>
      <c r="C24" s="9" t="str">
        <f>CONCATENATE("Imported ",VLOOKUP($A24,Types!$A$13:$C$18,3,FALSE),", PADD ",RIGHT(F24,1),", Step ",RIGHT(E24,1))</f>
        <v>Imported Imported Oil-High Sulfur, Very HG, PADD 1, Step 1</v>
      </c>
      <c r="D24" s="9" t="str">
        <f>D23</f>
        <v>OILHV1</v>
      </c>
      <c r="E24" s="9">
        <v>1</v>
      </c>
      <c r="F24" s="9" t="str">
        <f>F23</f>
        <v>P1</v>
      </c>
      <c r="G24" s="66">
        <f>G23*$C$5</f>
        <v>25.740000000000002</v>
      </c>
      <c r="H24" s="66">
        <f t="shared" ref="H24" si="61">H23*$C$5</f>
        <v>41.394375000000004</v>
      </c>
      <c r="I24" s="66">
        <f t="shared" ref="I24" si="62">I23*$C$5</f>
        <v>28.125900000000001</v>
      </c>
      <c r="J24" s="66">
        <f t="shared" ref="J24" si="63">J23*$C$5</f>
        <v>29.779200000000003</v>
      </c>
      <c r="K24" s="67">
        <f>G24*Conv!$J$20/10^6/Conv!$C$47/Conv!$I$5</f>
        <v>6.192041920103577</v>
      </c>
      <c r="L24" s="67">
        <f>H24*Conv!$J$20/10^6/Conv!$C$47/Conv!$I$5</f>
        <v>9.9578751070896452</v>
      </c>
      <c r="M24" s="67" t="e">
        <f>L24*#REF!</f>
        <v>#REF!</v>
      </c>
      <c r="N24" s="67" t="e">
        <f>M24*#REF!</f>
        <v>#REF!</v>
      </c>
      <c r="O24" s="67" t="e">
        <f>N24*#REF!</f>
        <v>#REF!</v>
      </c>
      <c r="P24" s="67" t="e">
        <f>O24*#REF!</f>
        <v>#REF!</v>
      </c>
      <c r="Q24" s="67" t="e">
        <f>P24*#REF!</f>
        <v>#REF!</v>
      </c>
      <c r="R24" s="67" t="e">
        <f>Q24*#REF!</f>
        <v>#REF!</v>
      </c>
      <c r="S24" s="67" t="e">
        <f>R24*#REF!</f>
        <v>#REF!</v>
      </c>
      <c r="T24" s="67" t="e">
        <f>S24*#REF!</f>
        <v>#REF!</v>
      </c>
      <c r="U24" s="67" t="e">
        <f>T24*#REF!</f>
        <v>#REF!</v>
      </c>
      <c r="V24" s="42"/>
      <c r="W24" s="83">
        <f>W23*$E$5</f>
        <v>12.331000000000001</v>
      </c>
      <c r="X24" s="83">
        <f t="shared" ref="X24" si="64">X23*$E$5</f>
        <v>6.3320000000000007</v>
      </c>
      <c r="Y24" s="83">
        <f t="shared" ref="Y24" si="65">Y23*$E$5</f>
        <v>2.1339999999999999</v>
      </c>
      <c r="Z24" s="83">
        <f t="shared" ref="Z24" si="66">Z23*$E$5</f>
        <v>2.3559999999999999</v>
      </c>
      <c r="AA24" s="82">
        <f>W24*Conv!$C$47*Conv!$I$5*1000*365</f>
        <v>28.709736978163527</v>
      </c>
      <c r="AB24" s="82">
        <f>X24*Conv!$C$47*Conv!$I$5*1000*365</f>
        <v>14.742523278382247</v>
      </c>
      <c r="AC24" s="82">
        <f>Y24*Conv!$C$47*Conv!$I$5*1000*365</f>
        <v>4.9685004226259801</v>
      </c>
      <c r="AD24" s="82">
        <f>Z24*Conv!$C$47*Conv!$I$5*1000*365</f>
        <v>5.4853734750266216</v>
      </c>
      <c r="AE24" s="82">
        <f>AA24</f>
        <v>28.709736978163527</v>
      </c>
      <c r="AF24" s="82">
        <f t="shared" ref="AF24" si="67">AB24</f>
        <v>14.742523278382247</v>
      </c>
      <c r="AG24" s="82">
        <f t="shared" ref="AG24" si="68">AC24</f>
        <v>4.9685004226259801</v>
      </c>
      <c r="AH24" s="82">
        <f t="shared" ref="AH24" si="69">AD24</f>
        <v>5.4853734750266216</v>
      </c>
      <c r="AI24" s="53"/>
    </row>
    <row r="25" spans="1:49" ht="14.25" customHeight="1">
      <c r="A25" s="9" t="str">
        <f t="shared" ref="A25:A27" si="70">A24</f>
        <v>FHV</v>
      </c>
      <c r="B25" s="9" t="str">
        <f t="shared" si="0"/>
        <v>IMPOILHV12</v>
      </c>
      <c r="C25" s="9" t="str">
        <f>CONCATENATE("Imported ",VLOOKUP($A25,Types!$A$13:$C$18,3,FALSE),", PADD ",RIGHT(F25,1),", Step ",RIGHT(E25,1))</f>
        <v>Imported Imported Oil-High Sulfur, Very HG, PADD 1, Step 2</v>
      </c>
      <c r="D25" s="9" t="str">
        <f t="shared" ref="D25:D27" si="71">D24</f>
        <v>OILHV1</v>
      </c>
      <c r="E25" s="9">
        <v>2</v>
      </c>
      <c r="F25" s="9" t="str">
        <f t="shared" ref="F25:F27" si="72">F24</f>
        <v>P1</v>
      </c>
      <c r="G25" s="66">
        <f>G23*$C$6</f>
        <v>27.17</v>
      </c>
      <c r="H25" s="66">
        <f t="shared" ref="H25:J25" si="73">H23*$C$6</f>
        <v>43.694062500000001</v>
      </c>
      <c r="I25" s="66">
        <f t="shared" si="73"/>
        <v>29.68845</v>
      </c>
      <c r="J25" s="66">
        <f t="shared" si="73"/>
        <v>31.433599999999998</v>
      </c>
      <c r="K25" s="67">
        <f>G25*Conv!$J$20/10^6/Conv!$C$47/Conv!$I$5</f>
        <v>6.5360442489982198</v>
      </c>
      <c r="L25" s="67">
        <f>H25*Conv!$J$20/10^6/Conv!$C$47/Conv!$I$5</f>
        <v>10.511090390816848</v>
      </c>
      <c r="M25" s="67" t="e">
        <f>L25*#REF!</f>
        <v>#REF!</v>
      </c>
      <c r="N25" s="67" t="e">
        <f>M25*#REF!</f>
        <v>#REF!</v>
      </c>
      <c r="O25" s="67" t="e">
        <f>N25*#REF!</f>
        <v>#REF!</v>
      </c>
      <c r="P25" s="67" t="e">
        <f>O25*#REF!</f>
        <v>#REF!</v>
      </c>
      <c r="Q25" s="67" t="e">
        <f>P25*#REF!</f>
        <v>#REF!</v>
      </c>
      <c r="R25" s="67" t="e">
        <f>Q25*#REF!</f>
        <v>#REF!</v>
      </c>
      <c r="S25" s="67" t="e">
        <f>R25*#REF!</f>
        <v>#REF!</v>
      </c>
      <c r="T25" s="67" t="e">
        <f>S25*#REF!</f>
        <v>#REF!</v>
      </c>
      <c r="U25" s="67" t="e">
        <f>T25*#REF!</f>
        <v>#REF!</v>
      </c>
      <c r="V25" s="42"/>
      <c r="W25" s="83">
        <f>W23*$E$6</f>
        <v>24.662000000000003</v>
      </c>
      <c r="X25" s="83">
        <f t="shared" ref="X25:Z25" si="74">X23*$E$6</f>
        <v>12.664000000000001</v>
      </c>
      <c r="Y25" s="83">
        <f t="shared" si="74"/>
        <v>4.2679999999999998</v>
      </c>
      <c r="Z25" s="83">
        <f t="shared" si="74"/>
        <v>4.7119999999999997</v>
      </c>
      <c r="AA25" s="82">
        <f>W25*Conv!$C$47*Conv!$I$5*1000*365</f>
        <v>57.419473956327053</v>
      </c>
      <c r="AB25" s="82">
        <f>X25*Conv!$C$47*Conv!$I$5*1000*365</f>
        <v>29.485046556764495</v>
      </c>
      <c r="AC25" s="82">
        <f>Y25*Conv!$C$47*Conv!$I$5*1000*365</f>
        <v>9.9370008452519603</v>
      </c>
      <c r="AD25" s="82">
        <f>Z25*Conv!$C$47*Conv!$I$5*1000*365</f>
        <v>10.970746950053243</v>
      </c>
      <c r="AE25" s="82">
        <f>AA25-AE24</f>
        <v>28.709736978163527</v>
      </c>
      <c r="AF25" s="82">
        <f t="shared" ref="AF25" si="75">AB25-AF24</f>
        <v>14.742523278382247</v>
      </c>
      <c r="AG25" s="82">
        <f t="shared" ref="AG25" si="76">AC25-AG24</f>
        <v>4.9685004226259801</v>
      </c>
      <c r="AH25" s="82">
        <f t="shared" ref="AH25" si="77">AD25-AH24</f>
        <v>5.4853734750266216</v>
      </c>
      <c r="AI25" s="53"/>
    </row>
    <row r="26" spans="1:49" ht="14.25" customHeight="1">
      <c r="A26" s="9" t="str">
        <f t="shared" si="70"/>
        <v>FHV</v>
      </c>
      <c r="B26" s="9" t="str">
        <f t="shared" si="0"/>
        <v>IMPOILHV14</v>
      </c>
      <c r="C26" s="9" t="str">
        <f>CONCATENATE("Imported ",VLOOKUP($A26,Types!$A$13:$C$18,3,FALSE),", PADD ",RIGHT(F26,1),", Step ",RIGHT(E26,1))</f>
        <v>Imported Imported Oil-High Sulfur, Very HG, PADD 1, Step 4</v>
      </c>
      <c r="D26" s="9" t="str">
        <f t="shared" si="71"/>
        <v>OILHV1</v>
      </c>
      <c r="E26" s="9">
        <v>4</v>
      </c>
      <c r="F26" s="9" t="str">
        <f t="shared" si="72"/>
        <v>P1</v>
      </c>
      <c r="G26" s="66">
        <f>G23*$C$8</f>
        <v>30.03</v>
      </c>
      <c r="H26" s="66">
        <f t="shared" ref="H26:J26" si="78">H23*$C$8</f>
        <v>48.29343750000001</v>
      </c>
      <c r="I26" s="66">
        <f t="shared" si="78"/>
        <v>32.813549999999999</v>
      </c>
      <c r="J26" s="66">
        <f t="shared" si="78"/>
        <v>34.742400000000004</v>
      </c>
      <c r="K26" s="67">
        <f>G26*Conv!$J$20/10^6/Conv!$C$47/Conv!$I$5</f>
        <v>7.2240489067875053</v>
      </c>
      <c r="L26" s="67">
        <f>H26*Conv!$J$20/10^6/Conv!$C$47/Conv!$I$5</f>
        <v>11.617520958271253</v>
      </c>
      <c r="M26" s="67" t="e">
        <f>L26*#REF!</f>
        <v>#REF!</v>
      </c>
      <c r="N26" s="67" t="e">
        <f>M26*#REF!</f>
        <v>#REF!</v>
      </c>
      <c r="O26" s="67" t="e">
        <f>N26*#REF!</f>
        <v>#REF!</v>
      </c>
      <c r="P26" s="67" t="e">
        <f>O26*#REF!</f>
        <v>#REF!</v>
      </c>
      <c r="Q26" s="67" t="e">
        <f>P26*#REF!</f>
        <v>#REF!</v>
      </c>
      <c r="R26" s="67" t="e">
        <f>Q26*#REF!</f>
        <v>#REF!</v>
      </c>
      <c r="S26" s="67" t="e">
        <f>R26*#REF!</f>
        <v>#REF!</v>
      </c>
      <c r="T26" s="67" t="e">
        <f>S26*#REF!</f>
        <v>#REF!</v>
      </c>
      <c r="U26" s="67" t="e">
        <f>T26*#REF!</f>
        <v>#REF!</v>
      </c>
      <c r="V26" s="42"/>
      <c r="W26" s="83">
        <f>W23*$E$8</f>
        <v>147.97200000000001</v>
      </c>
      <c r="X26" s="83">
        <f t="shared" ref="X26:Z26" si="79">X23*$E$8</f>
        <v>75.983999999999995</v>
      </c>
      <c r="Y26" s="83">
        <f t="shared" si="79"/>
        <v>25.608000000000001</v>
      </c>
      <c r="Z26" s="83">
        <f t="shared" si="79"/>
        <v>28.271999999999998</v>
      </c>
      <c r="AA26" s="82">
        <f>W26*Conv!$C$47*Conv!$I$5*1000*365</f>
        <v>344.51684373796235</v>
      </c>
      <c r="AB26" s="82">
        <f>X26*Conv!$C$47*Conv!$I$5*1000*365</f>
        <v>176.91027934058692</v>
      </c>
      <c r="AC26" s="82">
        <f>Y26*Conv!$C$47*Conv!$I$5*1000*365</f>
        <v>59.622005071511772</v>
      </c>
      <c r="AD26" s="82">
        <f>Z26*Conv!$C$47*Conv!$I$5*1000*365</f>
        <v>65.824481700319438</v>
      </c>
      <c r="AE26" s="82">
        <f>AA26-AA23</f>
        <v>57.419473956327067</v>
      </c>
      <c r="AF26" s="82">
        <f t="shared" ref="AF26" si="80">AB26-AB23</f>
        <v>29.485046556764473</v>
      </c>
      <c r="AG26" s="82">
        <f t="shared" ref="AG26" si="81">AC26-AC23</f>
        <v>9.9370008452519656</v>
      </c>
      <c r="AH26" s="82">
        <f t="shared" ref="AH26" si="82">AD26-AD23</f>
        <v>10.970746950053218</v>
      </c>
      <c r="AI26" s="53"/>
    </row>
    <row r="27" spans="1:49" ht="14.25" customHeight="1">
      <c r="A27" s="9" t="str">
        <f t="shared" si="70"/>
        <v>FHV</v>
      </c>
      <c r="B27" s="9" t="str">
        <f t="shared" si="0"/>
        <v>IMPOILHV15</v>
      </c>
      <c r="C27" s="9" t="str">
        <f>CONCATENATE("Imported ",VLOOKUP($A27,Types!$A$13:$C$18,3,FALSE),", PADD ",RIGHT(F27,1),", Step ",RIGHT(E27,1))</f>
        <v>Imported Imported Oil-High Sulfur, Very HG, PADD 1, Step 5</v>
      </c>
      <c r="D27" s="9" t="str">
        <f t="shared" si="71"/>
        <v>OILHV1</v>
      </c>
      <c r="E27" s="9">
        <v>5</v>
      </c>
      <c r="F27" s="9" t="str">
        <f t="shared" si="72"/>
        <v>P1</v>
      </c>
      <c r="G27" s="66">
        <f>G23*$C$9</f>
        <v>37.18</v>
      </c>
      <c r="H27" s="66">
        <f t="shared" ref="H27:J27" si="83">H23*$C$9</f>
        <v>59.791875000000012</v>
      </c>
      <c r="I27" s="66">
        <f t="shared" si="83"/>
        <v>40.626300000000001</v>
      </c>
      <c r="J27" s="66">
        <f t="shared" si="83"/>
        <v>43.014400000000002</v>
      </c>
      <c r="K27" s="67">
        <f>G27*Conv!$J$20/10^6/Conv!$C$47/Conv!$I$5</f>
        <v>8.944060551260721</v>
      </c>
      <c r="L27" s="67">
        <f>H27*Conv!$J$20/10^6/Conv!$C$47/Conv!$I$5</f>
        <v>14.383597376907268</v>
      </c>
      <c r="M27" s="67" t="e">
        <f>L27*#REF!</f>
        <v>#REF!</v>
      </c>
      <c r="N27" s="67" t="e">
        <f>M27*#REF!</f>
        <v>#REF!</v>
      </c>
      <c r="O27" s="67" t="e">
        <f>N27*#REF!</f>
        <v>#REF!</v>
      </c>
      <c r="P27" s="67" t="e">
        <f>O27*#REF!</f>
        <v>#REF!</v>
      </c>
      <c r="Q27" s="67" t="e">
        <f>P27*#REF!</f>
        <v>#REF!</v>
      </c>
      <c r="R27" s="67" t="e">
        <f>Q27*#REF!</f>
        <v>#REF!</v>
      </c>
      <c r="S27" s="67" t="e">
        <f>R27*#REF!</f>
        <v>#REF!</v>
      </c>
      <c r="T27" s="67" t="e">
        <f>S27*#REF!</f>
        <v>#REF!</v>
      </c>
      <c r="U27" s="67" t="e">
        <f>T27*#REF!</f>
        <v>#REF!</v>
      </c>
      <c r="V27" s="42"/>
      <c r="W27" s="83">
        <f>W23*$E$9</f>
        <v>160.303</v>
      </c>
      <c r="X27" s="83">
        <f t="shared" ref="X27:Z27" si="84">X23*$E$9</f>
        <v>82.316000000000003</v>
      </c>
      <c r="Y27" s="83">
        <f t="shared" si="84"/>
        <v>27.742000000000001</v>
      </c>
      <c r="Z27" s="83">
        <f t="shared" si="84"/>
        <v>30.628</v>
      </c>
      <c r="AA27" s="82">
        <f>W27*Conv!$C$47*Conv!$I$5*1000*365</f>
        <v>373.22658071612585</v>
      </c>
      <c r="AB27" s="82">
        <f>X27*Conv!$C$47*Conv!$I$5*1000*365</f>
        <v>191.65280261896919</v>
      </c>
      <c r="AC27" s="82">
        <f>Y27*Conv!$C$47*Conv!$I$5*1000*365</f>
        <v>64.590505494137759</v>
      </c>
      <c r="AD27" s="82">
        <f>Z27*Conv!$C$47*Conv!$I$5*1000*365</f>
        <v>71.309855175346087</v>
      </c>
      <c r="AE27" s="82">
        <f>AA27-AA26</f>
        <v>28.709736978163505</v>
      </c>
      <c r="AF27" s="82">
        <f t="shared" ref="AF27" si="85">AB27-AB26</f>
        <v>14.742523278382265</v>
      </c>
      <c r="AG27" s="82">
        <f t="shared" ref="AG27" si="86">AC27-AC26</f>
        <v>4.9685004226259863</v>
      </c>
      <c r="AH27" s="82">
        <f t="shared" ref="AH27" si="87">AD27-AD26</f>
        <v>5.4853734750266483</v>
      </c>
      <c r="AI27" s="53"/>
    </row>
    <row r="28" spans="1:49" ht="14.25" customHeight="1">
      <c r="A28" s="9" t="str">
        <f>'Agg crdcrv'!C7</f>
        <v>FLL</v>
      </c>
      <c r="B28" s="9" t="str">
        <f t="shared" si="0"/>
        <v>IMPOILLL13</v>
      </c>
      <c r="C28" s="9" t="str">
        <f>CONCATENATE("Imported ",VLOOKUP($A28,Types!$A$13:$C$18,3,FALSE),", PADD ",RIGHT(F28,1),", Step ",RIGHT(E28,1))</f>
        <v>Imported Imported Oil-Low Sulfur, Low G, PADD 1, Step 3</v>
      </c>
      <c r="D28" s="9" t="str">
        <f>CONCATENATE(VLOOKUP($A28,Types!$A$14:$C$18,2,FALSE),RIGHT(F28,1))</f>
        <v>OILLL1</v>
      </c>
      <c r="E28" s="9">
        <v>3</v>
      </c>
      <c r="F28" s="9" t="str">
        <f>'Agg crdcrv'!D7</f>
        <v>P1</v>
      </c>
      <c r="G28" s="66">
        <f>'Agg crdcrv'!H7*K5</f>
        <v>40.260000000000005</v>
      </c>
      <c r="H28" s="66">
        <f>'Agg crdcrv'!H12*K5</f>
        <v>60.981250000000003</v>
      </c>
      <c r="I28" s="66">
        <f>'Agg crdcrv'!H17*K5</f>
        <v>42.283999999999999</v>
      </c>
      <c r="J28" s="66">
        <f>'Agg crdcrv'!H22*K5</f>
        <v>44.440000000000005</v>
      </c>
      <c r="K28" s="67">
        <f>G28*Conv!$J$20/10^6/Conv!$C$47/Conv!$I$5</f>
        <v>9.6849886442645694</v>
      </c>
      <c r="L28" s="67">
        <f>H28*Conv!$J$20/10^6/Conv!$C$47/Conv!$I$5</f>
        <v>14.669714698535982</v>
      </c>
      <c r="M28" s="67" t="e">
        <f>L28*#REF!</f>
        <v>#REF!</v>
      </c>
      <c r="N28" s="67" t="e">
        <f>M28*#REF!</f>
        <v>#REF!</v>
      </c>
      <c r="O28" s="67" t="e">
        <f>N28*#REF!</f>
        <v>#REF!</v>
      </c>
      <c r="P28" s="67" t="e">
        <f>O28*#REF!</f>
        <v>#REF!</v>
      </c>
      <c r="Q28" s="67" t="e">
        <f>P28*#REF!</f>
        <v>#REF!</v>
      </c>
      <c r="R28" s="67" t="e">
        <f>Q28*#REF!</f>
        <v>#REF!</v>
      </c>
      <c r="S28" s="67" t="e">
        <f>R28*#REF!</f>
        <v>#REF!</v>
      </c>
      <c r="T28" s="67" t="e">
        <f>S28*#REF!</f>
        <v>#REF!</v>
      </c>
      <c r="U28" s="67" t="e">
        <f>T28*#REF!</f>
        <v>#REF!</v>
      </c>
      <c r="V28" s="42"/>
      <c r="W28" s="9">
        <f>'Agg crdcrv'!F7</f>
        <v>1062.18</v>
      </c>
      <c r="X28" s="9">
        <f>'Agg crdcrv'!F12</f>
        <v>891.61</v>
      </c>
      <c r="Y28" s="9">
        <f>'Agg crdcrv'!F17</f>
        <v>13.24</v>
      </c>
      <c r="Z28" s="9">
        <f>'Agg crdcrv'!F22</f>
        <v>14.61</v>
      </c>
      <c r="AA28" s="82">
        <f>W28*Conv!$C$47*Conv!$I$5*1000*365</f>
        <v>2473.0280126077155</v>
      </c>
      <c r="AB28" s="82">
        <f>X28*Conv!$C$47*Conv!$I$5*1000*365</f>
        <v>2075.8972173465563</v>
      </c>
      <c r="AC28" s="82">
        <f>Y28*Conv!$C$47*Conv!$I$5*1000*365</f>
        <v>30.826122584614804</v>
      </c>
      <c r="AD28" s="82">
        <f>Z28*Conv!$C$47*Conv!$I$5*1000*365</f>
        <v>34.015834664744887</v>
      </c>
      <c r="AE28" s="82">
        <f>AA28-AA30</f>
        <v>1978.4224100861722</v>
      </c>
      <c r="AF28" s="82">
        <f t="shared" ref="AF28" si="88">AB28-AB30</f>
        <v>1660.717773877245</v>
      </c>
      <c r="AG28" s="82">
        <f t="shared" ref="AG28" si="89">AC28-AC30</f>
        <v>24.660898067691843</v>
      </c>
      <c r="AH28" s="82">
        <f t="shared" ref="AH28" si="90">AD28-AD30</f>
        <v>27.212667731795911</v>
      </c>
    </row>
    <row r="29" spans="1:49" ht="14.25" customHeight="1">
      <c r="A29" s="9" t="str">
        <f>A28</f>
        <v>FLL</v>
      </c>
      <c r="B29" s="9" t="str">
        <f t="shared" si="0"/>
        <v>IMPOILLL11</v>
      </c>
      <c r="C29" s="9" t="str">
        <f>CONCATENATE("Imported ",VLOOKUP($A29,Types!$A$13:$C$18,3,FALSE),", PADD ",RIGHT(F29,1),", Step ",RIGHT(E29,1))</f>
        <v>Imported Imported Oil-Low Sulfur, Low G, PADD 1, Step 1</v>
      </c>
      <c r="D29" s="9" t="str">
        <f>D28</f>
        <v>OILLL1</v>
      </c>
      <c r="E29" s="9">
        <v>1</v>
      </c>
      <c r="F29" s="9" t="str">
        <f>F28</f>
        <v>P1</v>
      </c>
      <c r="G29" s="66">
        <f>G28*$C$5</f>
        <v>36.234000000000009</v>
      </c>
      <c r="H29" s="66">
        <f t="shared" ref="H29" si="91">H28*$C$5</f>
        <v>54.883125000000007</v>
      </c>
      <c r="I29" s="66">
        <f t="shared" ref="I29" si="92">I28*$C$5</f>
        <v>38.055599999999998</v>
      </c>
      <c r="J29" s="66">
        <f t="shared" ref="J29" si="93">J28*$C$5</f>
        <v>39.996000000000002</v>
      </c>
      <c r="K29" s="67">
        <f>G29*Conv!$J$20/10^6/Conv!$C$47/Conv!$I$5</f>
        <v>8.7164897798381133</v>
      </c>
      <c r="L29" s="67">
        <f>H29*Conv!$J$20/10^6/Conv!$C$47/Conv!$I$5</f>
        <v>13.202743228682387</v>
      </c>
      <c r="M29" s="67" t="e">
        <f>L29*#REF!</f>
        <v>#REF!</v>
      </c>
      <c r="N29" s="67" t="e">
        <f>M29*#REF!</f>
        <v>#REF!</v>
      </c>
      <c r="O29" s="67" t="e">
        <f>N29*#REF!</f>
        <v>#REF!</v>
      </c>
      <c r="P29" s="67" t="e">
        <f>O29*#REF!</f>
        <v>#REF!</v>
      </c>
      <c r="Q29" s="67" t="e">
        <f>P29*#REF!</f>
        <v>#REF!</v>
      </c>
      <c r="R29" s="67" t="e">
        <f>Q29*#REF!</f>
        <v>#REF!</v>
      </c>
      <c r="S29" s="67" t="e">
        <f>R29*#REF!</f>
        <v>#REF!</v>
      </c>
      <c r="T29" s="67" t="e">
        <f>S29*#REF!</f>
        <v>#REF!</v>
      </c>
      <c r="U29" s="67" t="e">
        <f>T29*#REF!</f>
        <v>#REF!</v>
      </c>
      <c r="V29" s="42"/>
      <c r="W29" s="83">
        <f>W28*$E$5</f>
        <v>106.21800000000002</v>
      </c>
      <c r="X29" s="83">
        <f t="shared" ref="X29" si="94">X28*$E$5</f>
        <v>89.161000000000001</v>
      </c>
      <c r="Y29" s="83">
        <f t="shared" ref="Y29" si="95">Y28*$E$5</f>
        <v>1.3240000000000001</v>
      </c>
      <c r="Z29" s="83">
        <f t="shared" ref="Z29" si="96">Z28*$E$5</f>
        <v>1.4610000000000001</v>
      </c>
      <c r="AA29" s="82">
        <f>W29*Conv!$C$47*Conv!$I$5*1000*365</f>
        <v>247.30280126077159</v>
      </c>
      <c r="AB29" s="82">
        <f>X29*Conv!$C$47*Conv!$I$5*1000*365</f>
        <v>207.58972173465565</v>
      </c>
      <c r="AC29" s="82">
        <f>Y29*Conv!$C$47*Conv!$I$5*1000*365</f>
        <v>3.0826122584614803</v>
      </c>
      <c r="AD29" s="82">
        <f>Z29*Conv!$C$47*Conv!$I$5*1000*365</f>
        <v>3.4015834664744884</v>
      </c>
      <c r="AE29" s="82">
        <f>AA29</f>
        <v>247.30280126077159</v>
      </c>
      <c r="AF29" s="82">
        <f t="shared" ref="AF29" si="97">AB29</f>
        <v>207.58972173465565</v>
      </c>
      <c r="AG29" s="82">
        <f t="shared" ref="AG29" si="98">AC29</f>
        <v>3.0826122584614803</v>
      </c>
      <c r="AH29" s="82">
        <f t="shared" ref="AH29" si="99">AD29</f>
        <v>3.4015834664744884</v>
      </c>
      <c r="AI29" s="53"/>
    </row>
    <row r="30" spans="1:49" ht="14.25" customHeight="1">
      <c r="A30" s="9" t="str">
        <f t="shared" ref="A30:A32" si="100">A29</f>
        <v>FLL</v>
      </c>
      <c r="B30" s="9" t="str">
        <f t="shared" si="0"/>
        <v>IMPOILLL12</v>
      </c>
      <c r="C30" s="9" t="str">
        <f>CONCATENATE("Imported ",VLOOKUP($A30,Types!$A$13:$C$18,3,FALSE),", PADD ",RIGHT(F30,1),", Step ",RIGHT(E30,1))</f>
        <v>Imported Imported Oil-Low Sulfur, Low G, PADD 1, Step 2</v>
      </c>
      <c r="D30" s="9" t="str">
        <f t="shared" ref="D30:D32" si="101">D29</f>
        <v>OILLL1</v>
      </c>
      <c r="E30" s="9">
        <v>2</v>
      </c>
      <c r="F30" s="9" t="str">
        <f t="shared" ref="F30:F32" si="102">F29</f>
        <v>P1</v>
      </c>
      <c r="G30" s="66">
        <f>G28*$C$6</f>
        <v>38.247</v>
      </c>
      <c r="H30" s="66">
        <f t="shared" ref="H30:J30" si="103">H28*$C$6</f>
        <v>57.932187499999998</v>
      </c>
      <c r="I30" s="66">
        <f t="shared" si="103"/>
        <v>40.169799999999995</v>
      </c>
      <c r="J30" s="66">
        <f t="shared" si="103"/>
        <v>42.218000000000004</v>
      </c>
      <c r="K30" s="67">
        <f>G30*Conv!$J$20/10^6/Conv!$C$47/Conv!$I$5</f>
        <v>9.2007392120513387</v>
      </c>
      <c r="L30" s="67">
        <f>H30*Conv!$J$20/10^6/Conv!$C$47/Conv!$I$5</f>
        <v>13.936228963609183</v>
      </c>
      <c r="M30" s="67" t="e">
        <f>L30*#REF!</f>
        <v>#REF!</v>
      </c>
      <c r="N30" s="67" t="e">
        <f>M30*#REF!</f>
        <v>#REF!</v>
      </c>
      <c r="O30" s="67" t="e">
        <f>N30*#REF!</f>
        <v>#REF!</v>
      </c>
      <c r="P30" s="67" t="e">
        <f>O30*#REF!</f>
        <v>#REF!</v>
      </c>
      <c r="Q30" s="67" t="e">
        <f>P30*#REF!</f>
        <v>#REF!</v>
      </c>
      <c r="R30" s="67" t="e">
        <f>Q30*#REF!</f>
        <v>#REF!</v>
      </c>
      <c r="S30" s="67" t="e">
        <f>R30*#REF!</f>
        <v>#REF!</v>
      </c>
      <c r="T30" s="67" t="e">
        <f>S30*#REF!</f>
        <v>#REF!</v>
      </c>
      <c r="U30" s="67" t="e">
        <f>T30*#REF!</f>
        <v>#REF!</v>
      </c>
      <c r="V30" s="42"/>
      <c r="W30" s="83">
        <f>W28*$E$6</f>
        <v>212.43600000000004</v>
      </c>
      <c r="X30" s="83">
        <f t="shared" ref="X30:Z30" si="104">X28*$E$6</f>
        <v>178.322</v>
      </c>
      <c r="Y30" s="83">
        <f t="shared" si="104"/>
        <v>2.6480000000000001</v>
      </c>
      <c r="Z30" s="83">
        <f t="shared" si="104"/>
        <v>2.9220000000000002</v>
      </c>
      <c r="AA30" s="82">
        <f>W30*Conv!$C$47*Conv!$I$5*1000*365</f>
        <v>494.60560252154318</v>
      </c>
      <c r="AB30" s="82">
        <f>X30*Conv!$C$47*Conv!$I$5*1000*365</f>
        <v>415.17944346931131</v>
      </c>
      <c r="AC30" s="82">
        <f>Y30*Conv!$C$47*Conv!$I$5*1000*365</f>
        <v>6.1652245169229607</v>
      </c>
      <c r="AD30" s="82">
        <f>Z30*Conv!$C$47*Conv!$I$5*1000*365</f>
        <v>6.8031669329489768</v>
      </c>
      <c r="AE30" s="82">
        <f>AA30-AE29</f>
        <v>247.30280126077159</v>
      </c>
      <c r="AF30" s="82">
        <f t="shared" ref="AF30" si="105">AB30-AF29</f>
        <v>207.58972173465565</v>
      </c>
      <c r="AG30" s="82">
        <f t="shared" ref="AG30" si="106">AC30-AG29</f>
        <v>3.0826122584614803</v>
      </c>
      <c r="AH30" s="82">
        <f t="shared" ref="AH30" si="107">AD30-AH29</f>
        <v>3.4015834664744884</v>
      </c>
      <c r="AI30" s="53"/>
    </row>
    <row r="31" spans="1:49" ht="14.25" customHeight="1">
      <c r="A31" s="9" t="str">
        <f t="shared" si="100"/>
        <v>FLL</v>
      </c>
      <c r="B31" s="9" t="str">
        <f t="shared" si="0"/>
        <v>IMPOILLL14</v>
      </c>
      <c r="C31" s="9" t="str">
        <f>CONCATENATE("Imported ",VLOOKUP($A31,Types!$A$13:$C$18,3,FALSE),", PADD ",RIGHT(F31,1),", Step ",RIGHT(E31,1))</f>
        <v>Imported Imported Oil-Low Sulfur, Low G, PADD 1, Step 4</v>
      </c>
      <c r="D31" s="9" t="str">
        <f t="shared" si="101"/>
        <v>OILLL1</v>
      </c>
      <c r="E31" s="9">
        <v>4</v>
      </c>
      <c r="F31" s="9" t="str">
        <f t="shared" si="102"/>
        <v>P1</v>
      </c>
      <c r="G31" s="66">
        <f>G28*$C$8</f>
        <v>42.27300000000001</v>
      </c>
      <c r="H31" s="66">
        <f t="shared" ref="H31:J31" si="108">H28*$C$8</f>
        <v>64.030312500000008</v>
      </c>
      <c r="I31" s="66">
        <f t="shared" si="108"/>
        <v>44.398200000000003</v>
      </c>
      <c r="J31" s="66">
        <f t="shared" si="108"/>
        <v>46.662000000000006</v>
      </c>
      <c r="K31" s="67">
        <f>G31*Conv!$J$20/10^6/Conv!$C$47/Conv!$I$5</f>
        <v>10.169238076477798</v>
      </c>
      <c r="L31" s="67">
        <f>H31*Conv!$J$20/10^6/Conv!$C$47/Conv!$I$5</f>
        <v>15.403200433462786</v>
      </c>
      <c r="M31" s="67" t="e">
        <f>L31*#REF!</f>
        <v>#REF!</v>
      </c>
      <c r="N31" s="67" t="e">
        <f>M31*#REF!</f>
        <v>#REF!</v>
      </c>
      <c r="O31" s="67" t="e">
        <f>N31*#REF!</f>
        <v>#REF!</v>
      </c>
      <c r="P31" s="67" t="e">
        <f>O31*#REF!</f>
        <v>#REF!</v>
      </c>
      <c r="Q31" s="67" t="e">
        <f>P31*#REF!</f>
        <v>#REF!</v>
      </c>
      <c r="R31" s="67" t="e">
        <f>Q31*#REF!</f>
        <v>#REF!</v>
      </c>
      <c r="S31" s="67" t="e">
        <f>R31*#REF!</f>
        <v>#REF!</v>
      </c>
      <c r="T31" s="67" t="e">
        <f>S31*#REF!</f>
        <v>#REF!</v>
      </c>
      <c r="U31" s="67" t="e">
        <f>T31*#REF!</f>
        <v>#REF!</v>
      </c>
      <c r="V31" s="42"/>
      <c r="W31" s="83">
        <f>W28*$E$8</f>
        <v>1274.616</v>
      </c>
      <c r="X31" s="83">
        <f t="shared" ref="X31:Z31" si="109">X28*$E$8</f>
        <v>1069.932</v>
      </c>
      <c r="Y31" s="83">
        <f t="shared" si="109"/>
        <v>15.888</v>
      </c>
      <c r="Z31" s="83">
        <f t="shared" si="109"/>
        <v>17.532</v>
      </c>
      <c r="AA31" s="82">
        <f>W31*Conv!$C$47*Conv!$I$5*1000*365</f>
        <v>2967.6336151292585</v>
      </c>
      <c r="AB31" s="82">
        <f>X31*Conv!$C$47*Conv!$I$5*1000*365</f>
        <v>2491.0766608158674</v>
      </c>
      <c r="AC31" s="82">
        <f>Y31*Conv!$C$47*Conv!$I$5*1000*365</f>
        <v>36.991347101537762</v>
      </c>
      <c r="AD31" s="82">
        <f>Z31*Conv!$C$47*Conv!$I$5*1000*365</f>
        <v>40.819001597693862</v>
      </c>
      <c r="AE31" s="82">
        <f>AA31-AA28</f>
        <v>494.60560252154301</v>
      </c>
      <c r="AF31" s="82">
        <f t="shared" ref="AF31" si="110">AB31-AB28</f>
        <v>415.17944346931108</v>
      </c>
      <c r="AG31" s="82">
        <f t="shared" ref="AG31" si="111">AC31-AC28</f>
        <v>6.165224516922958</v>
      </c>
      <c r="AH31" s="82">
        <f t="shared" ref="AH31" si="112">AD31-AD28</f>
        <v>6.8031669329489759</v>
      </c>
      <c r="AI31" s="53"/>
    </row>
    <row r="32" spans="1:49" ht="14.25" customHeight="1">
      <c r="A32" s="9" t="str">
        <f t="shared" si="100"/>
        <v>FLL</v>
      </c>
      <c r="B32" s="9" t="str">
        <f t="shared" si="0"/>
        <v>IMPOILLL15</v>
      </c>
      <c r="C32" s="9" t="str">
        <f>CONCATENATE("Imported ",VLOOKUP($A32,Types!$A$13:$C$18,3,FALSE),", PADD ",RIGHT(F32,1),", Step ",RIGHT(E32,1))</f>
        <v>Imported Imported Oil-Low Sulfur, Low G, PADD 1, Step 5</v>
      </c>
      <c r="D32" s="9" t="str">
        <f t="shared" si="101"/>
        <v>OILLL1</v>
      </c>
      <c r="E32" s="9">
        <v>5</v>
      </c>
      <c r="F32" s="9" t="str">
        <f t="shared" si="102"/>
        <v>P1</v>
      </c>
      <c r="G32" s="66">
        <f>G28*$C$9</f>
        <v>52.338000000000008</v>
      </c>
      <c r="H32" s="66">
        <f t="shared" ref="H32:J32" si="113">H28*$C$9</f>
        <v>79.275625000000005</v>
      </c>
      <c r="I32" s="66">
        <f t="shared" si="113"/>
        <v>54.969200000000001</v>
      </c>
      <c r="J32" s="66">
        <f t="shared" si="113"/>
        <v>57.772000000000006</v>
      </c>
      <c r="K32" s="67">
        <f>G32*Conv!$J$20/10^6/Conv!$C$47/Conv!$I$5</f>
        <v>12.590485237543941</v>
      </c>
      <c r="L32" s="67">
        <f>H32*Conv!$J$20/10^6/Conv!$C$47/Conv!$I$5</f>
        <v>19.070629108096782</v>
      </c>
      <c r="M32" s="67" t="e">
        <f>L32*#REF!</f>
        <v>#REF!</v>
      </c>
      <c r="N32" s="67" t="e">
        <f>M32*#REF!</f>
        <v>#REF!</v>
      </c>
      <c r="O32" s="67" t="e">
        <f>N32*#REF!</f>
        <v>#REF!</v>
      </c>
      <c r="P32" s="67" t="e">
        <f>O32*#REF!</f>
        <v>#REF!</v>
      </c>
      <c r="Q32" s="67" t="e">
        <f>P32*#REF!</f>
        <v>#REF!</v>
      </c>
      <c r="R32" s="67" t="e">
        <f>Q32*#REF!</f>
        <v>#REF!</v>
      </c>
      <c r="S32" s="67" t="e">
        <f>R32*#REF!</f>
        <v>#REF!</v>
      </c>
      <c r="T32" s="67" t="e">
        <f>S32*#REF!</f>
        <v>#REF!</v>
      </c>
      <c r="U32" s="67" t="e">
        <f>T32*#REF!</f>
        <v>#REF!</v>
      </c>
      <c r="V32" s="42"/>
      <c r="W32" s="83">
        <f>W28*$E$9</f>
        <v>1380.8340000000001</v>
      </c>
      <c r="X32" s="83">
        <f t="shared" ref="X32:Z32" si="114">X28*$E$9</f>
        <v>1159.0930000000001</v>
      </c>
      <c r="Y32" s="83">
        <f t="shared" si="114"/>
        <v>17.212</v>
      </c>
      <c r="Z32" s="83">
        <f t="shared" si="114"/>
        <v>18.992999999999999</v>
      </c>
      <c r="AA32" s="82">
        <f>W32*Conv!$C$47*Conv!$I$5*1000*365</f>
        <v>3214.93641639003</v>
      </c>
      <c r="AB32" s="82">
        <f>X32*Conv!$C$47*Conv!$I$5*1000*365</f>
        <v>2698.6663825505229</v>
      </c>
      <c r="AC32" s="82">
        <f>Y32*Conv!$C$47*Conv!$I$5*1000*365</f>
        <v>40.073959359999243</v>
      </c>
      <c r="AD32" s="82">
        <f>Z32*Conv!$C$47*Conv!$I$5*1000*365</f>
        <v>44.220585064168347</v>
      </c>
      <c r="AE32" s="82">
        <f>AA32-AA31</f>
        <v>247.3028012607715</v>
      </c>
      <c r="AF32" s="82">
        <f t="shared" ref="AF32" si="115">AB32-AB31</f>
        <v>207.58972173465554</v>
      </c>
      <c r="AG32" s="82">
        <f t="shared" ref="AG32" si="116">AC32-AC31</f>
        <v>3.0826122584614808</v>
      </c>
      <c r="AH32" s="82">
        <f t="shared" ref="AH32" si="117">AD32-AD31</f>
        <v>3.4015834664744844</v>
      </c>
      <c r="AI32" s="53"/>
    </row>
    <row r="33" spans="1:37" ht="14.25" customHeight="1">
      <c r="A33" s="9" t="str">
        <f>'Agg crdcrv'!C8</f>
        <v>FMH</v>
      </c>
      <c r="B33" s="9" t="str">
        <f t="shared" si="0"/>
        <v>IMPOILMH13</v>
      </c>
      <c r="C33" s="9" t="str">
        <f>CONCATENATE("Imported ",VLOOKUP($A33,Types!$A$13:$C$18,3,FALSE),", PADD ",RIGHT(F33,1),", Step ",RIGHT(E33,1))</f>
        <v>Imported Imported Oil-Medium Sulfur, HG, PADD 1, Step 3</v>
      </c>
      <c r="D33" s="9" t="str">
        <f>CONCATENATE(VLOOKUP($A33,Types!$A$14:$C$18,2,FALSE),RIGHT(F33,1))</f>
        <v>OILMH1</v>
      </c>
      <c r="E33" s="9">
        <v>3</v>
      </c>
      <c r="F33" s="9" t="str">
        <f>'Agg crdcrv'!D8</f>
        <v>P1</v>
      </c>
      <c r="G33" s="66">
        <f>'Agg crdcrv'!H8*K5</f>
        <v>36.201000000000001</v>
      </c>
      <c r="H33" s="66">
        <f>'Agg crdcrv'!H13*K5</f>
        <v>50.105000000000004</v>
      </c>
      <c r="I33" s="66">
        <f>'Agg crdcrv'!H18*K5</f>
        <v>34.441000000000003</v>
      </c>
      <c r="J33" s="66">
        <f>'Agg crdcrv'!H23*K5</f>
        <v>36.32200000000001</v>
      </c>
      <c r="K33" s="67">
        <f>G33*Conv!$J$20/10^6/Conv!$C$47/Conv!$I$5</f>
        <v>8.7085512645559255</v>
      </c>
      <c r="L33" s="67">
        <f>H33*Conv!$J$20/10^6/Conv!$C$47/Conv!$I$5</f>
        <v>12.053312370116149</v>
      </c>
      <c r="M33" s="67" t="e">
        <f>L33*#REF!</f>
        <v>#REF!</v>
      </c>
      <c r="N33" s="67" t="e">
        <f>M33*#REF!</f>
        <v>#REF!</v>
      </c>
      <c r="O33" s="67" t="e">
        <f>N33*#REF!</f>
        <v>#REF!</v>
      </c>
      <c r="P33" s="67" t="e">
        <f>O33*#REF!</f>
        <v>#REF!</v>
      </c>
      <c r="Q33" s="67" t="e">
        <f>P33*#REF!</f>
        <v>#REF!</v>
      </c>
      <c r="R33" s="67" t="e">
        <f>Q33*#REF!</f>
        <v>#REF!</v>
      </c>
      <c r="S33" s="67" t="e">
        <f>R33*#REF!</f>
        <v>#REF!</v>
      </c>
      <c r="T33" s="67" t="e">
        <f>S33*#REF!</f>
        <v>#REF!</v>
      </c>
      <c r="U33" s="67" t="e">
        <f>T33*#REF!</f>
        <v>#REF!</v>
      </c>
      <c r="V33" s="42"/>
      <c r="W33" s="9">
        <f>'Agg crdcrv'!F8</f>
        <v>52.75</v>
      </c>
      <c r="X33" s="9">
        <f>'Agg crdcrv'!F13</f>
        <v>50.87</v>
      </c>
      <c r="Y33" s="9">
        <f>'Agg crdcrv'!F18</f>
        <v>15.65</v>
      </c>
      <c r="Z33" s="9">
        <f>'Agg crdcrv'!F23</f>
        <v>17.28</v>
      </c>
      <c r="AA33" s="82">
        <f>W33*Conv!$C$47*Conv!$I$5*1000*365</f>
        <v>122.81555636997211</v>
      </c>
      <c r="AB33" s="82">
        <f>X33*Conv!$C$47*Conv!$I$5*1000*365</f>
        <v>118.43843322351623</v>
      </c>
      <c r="AC33" s="82">
        <f>Y33*Conv!$C$47*Conv!$I$5*1000*365</f>
        <v>36.437221937252389</v>
      </c>
      <c r="AD33" s="82">
        <f>Z33*Conv!$C$47*Conv!$I$5*1000*365</f>
        <v>40.23228083550935</v>
      </c>
      <c r="AE33" s="82">
        <f>AA33-AA35</f>
        <v>98.252445095977691</v>
      </c>
      <c r="AF33" s="82">
        <f t="shared" ref="AF33" si="118">AB33-AB35</f>
        <v>94.750746578812979</v>
      </c>
      <c r="AG33" s="82">
        <f t="shared" ref="AG33" si="119">AC33-AC35</f>
        <v>29.149777549801911</v>
      </c>
      <c r="AH33" s="82">
        <f t="shared" ref="AH33" si="120">AD33-AD35</f>
        <v>32.185824668407477</v>
      </c>
    </row>
    <row r="34" spans="1:37" ht="14.25" customHeight="1">
      <c r="A34" s="9" t="str">
        <f>A33</f>
        <v>FMH</v>
      </c>
      <c r="B34" s="9" t="str">
        <f t="shared" ref="B34:B37" si="121">CONCATENATE("IMP",D34,E34)</f>
        <v>IMPOILMH11</v>
      </c>
      <c r="C34" s="9" t="str">
        <f>CONCATENATE("Imported ",VLOOKUP($A34,Types!$A$13:$C$18,3,FALSE),", PADD ",RIGHT(F34,1),", Step ",RIGHT(E34,1))</f>
        <v>Imported Imported Oil-Medium Sulfur, HG, PADD 1, Step 1</v>
      </c>
      <c r="D34" s="9" t="str">
        <f>D33</f>
        <v>OILMH1</v>
      </c>
      <c r="E34" s="9">
        <v>1</v>
      </c>
      <c r="F34" s="9" t="str">
        <f>F33</f>
        <v>P1</v>
      </c>
      <c r="G34" s="66">
        <f>G33*$C$5</f>
        <v>32.5809</v>
      </c>
      <c r="H34" s="66">
        <f t="shared" ref="H34" si="122">H33*$C$5</f>
        <v>45.094500000000004</v>
      </c>
      <c r="I34" s="66">
        <f t="shared" ref="I34" si="123">I33*$C$5</f>
        <v>30.996900000000004</v>
      </c>
      <c r="J34" s="66">
        <f t="shared" ref="J34" si="124">J33*$C$5</f>
        <v>32.689800000000012</v>
      </c>
      <c r="K34" s="67">
        <f>G34*Conv!$J$20/10^6/Conv!$C$47/Conv!$I$5</f>
        <v>7.8376961381003349</v>
      </c>
      <c r="L34" s="67">
        <f>H34*Conv!$J$20/10^6/Conv!$C$47/Conv!$I$5</f>
        <v>10.847981133104536</v>
      </c>
      <c r="M34" s="67" t="e">
        <f>L34*#REF!</f>
        <v>#REF!</v>
      </c>
      <c r="N34" s="67" t="e">
        <f>M34*#REF!</f>
        <v>#REF!</v>
      </c>
      <c r="O34" s="67" t="e">
        <f>N34*#REF!</f>
        <v>#REF!</v>
      </c>
      <c r="P34" s="67" t="e">
        <f>O34*#REF!</f>
        <v>#REF!</v>
      </c>
      <c r="Q34" s="67" t="e">
        <f>P34*#REF!</f>
        <v>#REF!</v>
      </c>
      <c r="R34" s="67" t="e">
        <f>Q34*#REF!</f>
        <v>#REF!</v>
      </c>
      <c r="S34" s="67" t="e">
        <f>R34*#REF!</f>
        <v>#REF!</v>
      </c>
      <c r="T34" s="67" t="e">
        <f>S34*#REF!</f>
        <v>#REF!</v>
      </c>
      <c r="U34" s="67" t="e">
        <f>T34*#REF!</f>
        <v>#REF!</v>
      </c>
      <c r="V34" s="42"/>
      <c r="W34" s="83">
        <f>W33*$E$5</f>
        <v>5.2750000000000004</v>
      </c>
      <c r="X34" s="83">
        <f t="shared" ref="X34" si="125">X33*$E$5</f>
        <v>5.0869999999999997</v>
      </c>
      <c r="Y34" s="83">
        <f t="shared" ref="Y34" si="126">Y33*$E$5</f>
        <v>1.5650000000000002</v>
      </c>
      <c r="Z34" s="83">
        <f t="shared" ref="Z34" si="127">Z33*$E$5</f>
        <v>1.7280000000000002</v>
      </c>
      <c r="AA34" s="82">
        <f>W34*Conv!$C$47*Conv!$I$5*1000*365</f>
        <v>12.281555636997211</v>
      </c>
      <c r="AB34" s="82">
        <f>X34*Conv!$C$47*Conv!$I$5*1000*365</f>
        <v>11.843843322351622</v>
      </c>
      <c r="AC34" s="82">
        <f>Y34*Conv!$C$47*Conv!$I$5*1000*365</f>
        <v>3.6437221937252389</v>
      </c>
      <c r="AD34" s="82">
        <f>Z34*Conv!$C$47*Conv!$I$5*1000*365</f>
        <v>4.0232280835509355</v>
      </c>
      <c r="AE34" s="82">
        <f>AA34</f>
        <v>12.281555636997211</v>
      </c>
      <c r="AF34" s="82">
        <f t="shared" ref="AF34" si="128">AB34</f>
        <v>11.843843322351622</v>
      </c>
      <c r="AG34" s="82">
        <f t="shared" ref="AG34" si="129">AC34</f>
        <v>3.6437221937252389</v>
      </c>
      <c r="AH34" s="82">
        <f t="shared" ref="AH34" si="130">AD34</f>
        <v>4.0232280835509355</v>
      </c>
      <c r="AI34" s="53"/>
    </row>
    <row r="35" spans="1:37" ht="14.25" customHeight="1">
      <c r="A35" s="9" t="str">
        <f t="shared" ref="A35:A37" si="131">A34</f>
        <v>FMH</v>
      </c>
      <c r="B35" s="9" t="str">
        <f t="shared" si="121"/>
        <v>IMPOILMH12</v>
      </c>
      <c r="C35" s="9" t="str">
        <f>CONCATENATE("Imported ",VLOOKUP($A35,Types!$A$13:$C$18,3,FALSE),", PADD ",RIGHT(F35,1),", Step ",RIGHT(E35,1))</f>
        <v>Imported Imported Oil-Medium Sulfur, HG, PADD 1, Step 2</v>
      </c>
      <c r="D35" s="9" t="str">
        <f t="shared" ref="D35:D37" si="132">D34</f>
        <v>OILMH1</v>
      </c>
      <c r="E35" s="9">
        <v>2</v>
      </c>
      <c r="F35" s="9" t="str">
        <f t="shared" ref="F35:F37" si="133">F34</f>
        <v>P1</v>
      </c>
      <c r="G35" s="66">
        <f>G33*$C$6</f>
        <v>34.390949999999997</v>
      </c>
      <c r="H35" s="66">
        <f t="shared" ref="H35:J35" si="134">H33*$C$6</f>
        <v>47.59975</v>
      </c>
      <c r="I35" s="66">
        <f t="shared" si="134"/>
        <v>32.71895</v>
      </c>
      <c r="J35" s="66">
        <f t="shared" si="134"/>
        <v>34.505900000000011</v>
      </c>
      <c r="K35" s="67">
        <f>G35*Conv!$J$20/10^6/Conv!$C$47/Conv!$I$5</f>
        <v>8.2731237013281316</v>
      </c>
      <c r="L35" s="67">
        <f>H35*Conv!$J$20/10^6/Conv!$C$47/Conv!$I$5</f>
        <v>11.450646751610343</v>
      </c>
      <c r="M35" s="67" t="e">
        <f>L35*#REF!</f>
        <v>#REF!</v>
      </c>
      <c r="N35" s="67" t="e">
        <f>M35*#REF!</f>
        <v>#REF!</v>
      </c>
      <c r="O35" s="67" t="e">
        <f>N35*#REF!</f>
        <v>#REF!</v>
      </c>
      <c r="P35" s="67" t="e">
        <f>O35*#REF!</f>
        <v>#REF!</v>
      </c>
      <c r="Q35" s="67" t="e">
        <f>P35*#REF!</f>
        <v>#REF!</v>
      </c>
      <c r="R35" s="67" t="e">
        <f>Q35*#REF!</f>
        <v>#REF!</v>
      </c>
      <c r="S35" s="67" t="e">
        <f>R35*#REF!</f>
        <v>#REF!</v>
      </c>
      <c r="T35" s="67" t="e">
        <f>S35*#REF!</f>
        <v>#REF!</v>
      </c>
      <c r="U35" s="67" t="e">
        <f>T35*#REF!</f>
        <v>#REF!</v>
      </c>
      <c r="V35" s="42"/>
      <c r="W35" s="83">
        <f>W33*$E$6</f>
        <v>10.55</v>
      </c>
      <c r="X35" s="83">
        <f t="shared" ref="X35:Z35" si="135">X33*$E$6</f>
        <v>10.173999999999999</v>
      </c>
      <c r="Y35" s="83">
        <f t="shared" si="135"/>
        <v>3.1300000000000003</v>
      </c>
      <c r="Z35" s="83">
        <f t="shared" si="135"/>
        <v>3.4560000000000004</v>
      </c>
      <c r="AA35" s="82">
        <f>W35*Conv!$C$47*Conv!$I$5*1000*365</f>
        <v>24.563111273994423</v>
      </c>
      <c r="AB35" s="82">
        <f>X35*Conv!$C$47*Conv!$I$5*1000*365</f>
        <v>23.687686644703245</v>
      </c>
      <c r="AC35" s="82">
        <f>Y35*Conv!$C$47*Conv!$I$5*1000*365</f>
        <v>7.2874443874504777</v>
      </c>
      <c r="AD35" s="82">
        <f>Z35*Conv!$C$47*Conv!$I$5*1000*365</f>
        <v>8.0464561671018711</v>
      </c>
      <c r="AE35" s="82">
        <f>AA35-AE34</f>
        <v>12.281555636997211</v>
      </c>
      <c r="AF35" s="82">
        <f t="shared" ref="AF35" si="136">AB35-AF34</f>
        <v>11.843843322351622</v>
      </c>
      <c r="AG35" s="82">
        <f t="shared" ref="AG35" si="137">AC35-AG34</f>
        <v>3.6437221937252389</v>
      </c>
      <c r="AH35" s="82">
        <f t="shared" ref="AH35" si="138">AD35-AH34</f>
        <v>4.0232280835509355</v>
      </c>
      <c r="AI35" s="53"/>
    </row>
    <row r="36" spans="1:37" ht="14.25" customHeight="1">
      <c r="A36" s="9" t="str">
        <f t="shared" si="131"/>
        <v>FMH</v>
      </c>
      <c r="B36" s="9" t="str">
        <f t="shared" si="121"/>
        <v>IMPOILMH14</v>
      </c>
      <c r="C36" s="9" t="str">
        <f>CONCATENATE("Imported ",VLOOKUP($A36,Types!$A$13:$C$18,3,FALSE),", PADD ",RIGHT(F36,1),", Step ",RIGHT(E36,1))</f>
        <v>Imported Imported Oil-Medium Sulfur, HG, PADD 1, Step 4</v>
      </c>
      <c r="D36" s="9" t="str">
        <f t="shared" si="132"/>
        <v>OILMH1</v>
      </c>
      <c r="E36" s="9">
        <v>4</v>
      </c>
      <c r="F36" s="9" t="str">
        <f t="shared" si="133"/>
        <v>P1</v>
      </c>
      <c r="G36" s="66">
        <f>G33*$C$8</f>
        <v>38.011050000000004</v>
      </c>
      <c r="H36" s="66">
        <f t="shared" ref="H36:J36" si="139">H33*$C$8</f>
        <v>52.610250000000008</v>
      </c>
      <c r="I36" s="66">
        <f t="shared" si="139"/>
        <v>36.163050000000005</v>
      </c>
      <c r="J36" s="66">
        <f t="shared" si="139"/>
        <v>38.138100000000009</v>
      </c>
      <c r="K36" s="67">
        <f>G36*Conv!$J$20/10^6/Conv!$C$47/Conv!$I$5</f>
        <v>9.1439788277837248</v>
      </c>
      <c r="L36" s="67">
        <f>H36*Conv!$J$20/10^6/Conv!$C$47/Conv!$I$5</f>
        <v>12.655977988621959</v>
      </c>
      <c r="M36" s="67" t="e">
        <f>L36*#REF!</f>
        <v>#REF!</v>
      </c>
      <c r="N36" s="67" t="e">
        <f>M36*#REF!</f>
        <v>#REF!</v>
      </c>
      <c r="O36" s="67" t="e">
        <f>N36*#REF!</f>
        <v>#REF!</v>
      </c>
      <c r="P36" s="67" t="e">
        <f>O36*#REF!</f>
        <v>#REF!</v>
      </c>
      <c r="Q36" s="67" t="e">
        <f>P36*#REF!</f>
        <v>#REF!</v>
      </c>
      <c r="R36" s="67" t="e">
        <f>Q36*#REF!</f>
        <v>#REF!</v>
      </c>
      <c r="S36" s="67" t="e">
        <f>R36*#REF!</f>
        <v>#REF!</v>
      </c>
      <c r="T36" s="67" t="e">
        <f>S36*#REF!</f>
        <v>#REF!</v>
      </c>
      <c r="U36" s="67" t="e">
        <f>T36*#REF!</f>
        <v>#REF!</v>
      </c>
      <c r="V36" s="42"/>
      <c r="W36" s="83">
        <f>W33*$E$8</f>
        <v>63.3</v>
      </c>
      <c r="X36" s="83">
        <f t="shared" ref="X36:Z36" si="140">X33*$E$8</f>
        <v>61.043999999999997</v>
      </c>
      <c r="Y36" s="83">
        <f t="shared" si="140"/>
        <v>18.78</v>
      </c>
      <c r="Z36" s="83">
        <f t="shared" si="140"/>
        <v>20.736000000000001</v>
      </c>
      <c r="AA36" s="82">
        <f>W36*Conv!$C$47*Conv!$I$5*1000*365</f>
        <v>147.37866764396651</v>
      </c>
      <c r="AB36" s="82">
        <f>X36*Conv!$C$47*Conv!$I$5*1000*365</f>
        <v>142.12611986821949</v>
      </c>
      <c r="AC36" s="82">
        <f>Y36*Conv!$C$47*Conv!$I$5*1000*365</f>
        <v>43.724666324702866</v>
      </c>
      <c r="AD36" s="82">
        <f>Z36*Conv!$C$47*Conv!$I$5*1000*365</f>
        <v>48.278737002611216</v>
      </c>
      <c r="AE36" s="82">
        <f>AA36-AA33</f>
        <v>24.563111273994394</v>
      </c>
      <c r="AF36" s="82">
        <f t="shared" ref="AF36" si="141">AB36-AB33</f>
        <v>23.687686644703263</v>
      </c>
      <c r="AG36" s="82">
        <f t="shared" ref="AG36" si="142">AC36-AC33</f>
        <v>7.2874443874504777</v>
      </c>
      <c r="AH36" s="82">
        <f t="shared" ref="AH36" si="143">AD36-AD33</f>
        <v>8.0464561671018657</v>
      </c>
      <c r="AI36" s="53"/>
    </row>
    <row r="37" spans="1:37" ht="14.25" customHeight="1">
      <c r="A37" s="9" t="str">
        <f t="shared" si="131"/>
        <v>FMH</v>
      </c>
      <c r="B37" s="9" t="str">
        <f t="shared" si="121"/>
        <v>IMPOILMH15</v>
      </c>
      <c r="C37" s="9" t="str">
        <f>CONCATENATE("Imported ",VLOOKUP($A37,Types!$A$13:$C$18,3,FALSE),", PADD ",RIGHT(F37,1),", Step ",RIGHT(E37,1))</f>
        <v>Imported Imported Oil-Medium Sulfur, HG, PADD 1, Step 5</v>
      </c>
      <c r="D37" s="9" t="str">
        <f t="shared" si="132"/>
        <v>OILMH1</v>
      </c>
      <c r="E37" s="9">
        <v>5</v>
      </c>
      <c r="F37" s="9" t="str">
        <f t="shared" si="133"/>
        <v>P1</v>
      </c>
      <c r="G37" s="66">
        <f>G33*$C$9</f>
        <v>47.061300000000003</v>
      </c>
      <c r="H37" s="66">
        <f t="shared" ref="H37:J37" si="144">H33*$C$9</f>
        <v>65.136500000000012</v>
      </c>
      <c r="I37" s="66">
        <f t="shared" si="144"/>
        <v>44.773300000000006</v>
      </c>
      <c r="J37" s="66">
        <f t="shared" si="144"/>
        <v>47.218600000000016</v>
      </c>
      <c r="K37" s="67">
        <f>G37*Conv!$J$20/10^6/Conv!$C$47/Conv!$I$5</f>
        <v>11.321116643922707</v>
      </c>
      <c r="L37" s="67">
        <f>H37*Conv!$J$20/10^6/Conv!$C$47/Conv!$I$5</f>
        <v>15.669306081150996</v>
      </c>
      <c r="M37" s="67" t="e">
        <f>L37*#REF!</f>
        <v>#REF!</v>
      </c>
      <c r="N37" s="67" t="e">
        <f>M37*#REF!</f>
        <v>#REF!</v>
      </c>
      <c r="O37" s="67" t="e">
        <f>N37*#REF!</f>
        <v>#REF!</v>
      </c>
      <c r="P37" s="67" t="e">
        <f>O37*#REF!</f>
        <v>#REF!</v>
      </c>
      <c r="Q37" s="67" t="e">
        <f>P37*#REF!</f>
        <v>#REF!</v>
      </c>
      <c r="R37" s="67" t="e">
        <f>Q37*#REF!</f>
        <v>#REF!</v>
      </c>
      <c r="S37" s="67" t="e">
        <f>R37*#REF!</f>
        <v>#REF!</v>
      </c>
      <c r="T37" s="67" t="e">
        <f>S37*#REF!</f>
        <v>#REF!</v>
      </c>
      <c r="U37" s="67" t="e">
        <f>T37*#REF!</f>
        <v>#REF!</v>
      </c>
      <c r="V37" s="42"/>
      <c r="W37" s="83">
        <f>W33*$E$9</f>
        <v>68.575000000000003</v>
      </c>
      <c r="X37" s="83">
        <f t="shared" ref="X37:Z37" si="145">X33*$E$9</f>
        <v>66.131</v>
      </c>
      <c r="Y37" s="83">
        <f t="shared" si="145"/>
        <v>20.345000000000002</v>
      </c>
      <c r="Z37" s="83">
        <f t="shared" si="145"/>
        <v>22.464000000000002</v>
      </c>
      <c r="AA37" s="82">
        <f>W37*Conv!$C$47*Conv!$I$5*1000*365</f>
        <v>159.66022328096375</v>
      </c>
      <c r="AB37" s="82">
        <f>X37*Conv!$C$47*Conv!$I$5*1000*365</f>
        <v>153.96996319057112</v>
      </c>
      <c r="AC37" s="82">
        <f>Y37*Conv!$C$47*Conv!$I$5*1000*365</f>
        <v>47.368388518428112</v>
      </c>
      <c r="AD37" s="82">
        <f>Z37*Conv!$C$47*Conv!$I$5*1000*365</f>
        <v>52.301965086162163</v>
      </c>
      <c r="AE37" s="82">
        <f>AA37-AA36</f>
        <v>12.28155563699724</v>
      </c>
      <c r="AF37" s="82">
        <f t="shared" ref="AF37" si="146">AB37-AB36</f>
        <v>11.843843322351631</v>
      </c>
      <c r="AG37" s="82">
        <f t="shared" ref="AG37" si="147">AC37-AC36</f>
        <v>3.643722193725246</v>
      </c>
      <c r="AH37" s="82">
        <f t="shared" ref="AH37" si="148">AD37-AD36</f>
        <v>4.0232280835509471</v>
      </c>
      <c r="AI37" s="53"/>
    </row>
    <row r="38" spans="1:37" ht="12.75">
      <c r="A38" s="10" t="s">
        <v>527</v>
      </c>
      <c r="B38" s="10"/>
      <c r="C38" s="10"/>
      <c r="D38" s="48"/>
      <c r="E38" s="48"/>
      <c r="F38" s="48"/>
      <c r="G38" s="63"/>
      <c r="H38" s="73"/>
      <c r="I38" s="63"/>
      <c r="J38" s="73"/>
      <c r="K38" s="64"/>
      <c r="L38" s="74"/>
      <c r="M38" s="64"/>
      <c r="N38" s="74"/>
      <c r="O38" s="64"/>
      <c r="P38" s="74"/>
      <c r="Q38" s="64"/>
      <c r="R38" s="74"/>
      <c r="S38" s="64"/>
      <c r="T38" s="74"/>
      <c r="U38" s="64"/>
      <c r="V38" s="10"/>
      <c r="W38" s="10"/>
      <c r="X38" s="48"/>
      <c r="Y38" s="10"/>
      <c r="Z38" s="48"/>
      <c r="AA38" s="75"/>
      <c r="AB38" s="75"/>
      <c r="AC38" s="76"/>
      <c r="AD38" s="75"/>
      <c r="AE38" s="76"/>
      <c r="AF38" s="75"/>
      <c r="AG38" s="76"/>
      <c r="AH38" s="75"/>
      <c r="AI38" s="10"/>
      <c r="AJ38" s="48"/>
      <c r="AK38" s="10"/>
    </row>
    <row r="39" spans="1:37" ht="14.25" customHeight="1">
      <c r="A39" s="9" t="str">
        <f>'Agg crdcrv'!C24</f>
        <v>FHH</v>
      </c>
      <c r="B39" s="9" t="str">
        <f t="shared" si="0"/>
        <v>IMPOILHH23</v>
      </c>
      <c r="C39" s="9" t="str">
        <f>CONCATENATE("Imported ",VLOOKUP($A39,Types!$A$13:$C$18,3,FALSE),", PADD ",RIGHT(F39,1),", Step ",RIGHT(E39,1))</f>
        <v>Imported Imported Oil-High Sulfur, Heavy G, PADD 2, Step 3</v>
      </c>
      <c r="D39" s="9" t="str">
        <f>CONCATENATE(VLOOKUP($A39,Types!$A$14:$C$18,2,FALSE),RIGHT(F39,1))</f>
        <v>OILHH2</v>
      </c>
      <c r="E39" s="9">
        <v>3</v>
      </c>
      <c r="F39" s="9" t="str">
        <f>'Agg crdcrv'!D24</f>
        <v>P2</v>
      </c>
      <c r="G39" s="66">
        <f>'Agg crdcrv'!H24*K5</f>
        <v>31.900000000000002</v>
      </c>
      <c r="H39" s="66">
        <f>'Agg crdcrv'!H29*K5</f>
        <v>46.406250000000007</v>
      </c>
      <c r="I39" s="66">
        <f>'Agg crdcrv'!H34*K5</f>
        <v>31.57</v>
      </c>
      <c r="J39" s="66">
        <f>'Agg crdcrv'!H39*K5</f>
        <v>33.407000000000004</v>
      </c>
      <c r="K39" s="67">
        <f>G39*Conv!$J$20/10^6/Conv!$C$47/Conv!$I$5</f>
        <v>7.6738981061112703</v>
      </c>
      <c r="L39" s="67">
        <f>H39*Conv!$J$20/10^6/Conv!$C$47/Conv!$I$5</f>
        <v>11.163537115571355</v>
      </c>
      <c r="M39" s="67" t="e">
        <f>L39*#REF!</f>
        <v>#REF!</v>
      </c>
      <c r="N39" s="67" t="e">
        <f>M39*#REF!</f>
        <v>#REF!</v>
      </c>
      <c r="O39" s="67" t="e">
        <f>N39*#REF!</f>
        <v>#REF!</v>
      </c>
      <c r="P39" s="67" t="e">
        <f>O39*#REF!</f>
        <v>#REF!</v>
      </c>
      <c r="Q39" s="67" t="e">
        <f>P39*#REF!</f>
        <v>#REF!</v>
      </c>
      <c r="R39" s="67" t="e">
        <f>Q39*#REF!</f>
        <v>#REF!</v>
      </c>
      <c r="S39" s="67" t="e">
        <f>R39*#REF!</f>
        <v>#REF!</v>
      </c>
      <c r="T39" s="67" t="e">
        <f>S39*#REF!</f>
        <v>#REF!</v>
      </c>
      <c r="U39" s="67" t="e">
        <f>T39*#REF!</f>
        <v>#REF!</v>
      </c>
      <c r="V39" s="42"/>
      <c r="W39" s="9">
        <f>'Agg crdcrv'!F24</f>
        <v>227.78</v>
      </c>
      <c r="X39" s="9">
        <f>'Agg crdcrv'!F29</f>
        <v>243.83</v>
      </c>
      <c r="Y39" s="9">
        <f>'Agg crdcrv'!F34</f>
        <v>44.46</v>
      </c>
      <c r="Z39" s="9">
        <f>'Agg crdcrv'!F39</f>
        <v>49.09</v>
      </c>
      <c r="AA39" s="82">
        <f>W39*Conv!$C$47*Conv!$I$5*1000*365</f>
        <v>530.33037781900009</v>
      </c>
      <c r="AB39" s="82">
        <f>X39*Conv!$C$47*Conv!$I$5*1000*365</f>
        <v>567.69890255337066</v>
      </c>
      <c r="AC39" s="82">
        <f>Y39*Conv!$C$47*Conv!$I$5*1000*365</f>
        <v>103.51430589969591</v>
      </c>
      <c r="AD39" s="82">
        <f>Z39*Conv!$C$47*Conv!$I$5*1000*365</f>
        <v>114.29413577633993</v>
      </c>
      <c r="AE39" s="82">
        <f>AA39-AA41</f>
        <v>424.26430225520011</v>
      </c>
      <c r="AF39" s="82">
        <f t="shared" ref="AF39" si="149">AB39-AB41</f>
        <v>454.15912204269654</v>
      </c>
      <c r="AG39" s="82">
        <f t="shared" ref="AG39" si="150">AC39-AC41</f>
        <v>82.811444719756722</v>
      </c>
      <c r="AH39" s="82">
        <f t="shared" ref="AH39" si="151">AD39-AD41</f>
        <v>91.43530862107194</v>
      </c>
    </row>
    <row r="40" spans="1:37" ht="14.25" customHeight="1">
      <c r="A40" s="9" t="str">
        <f>A39</f>
        <v>FHH</v>
      </c>
      <c r="B40" s="9" t="str">
        <f t="shared" si="0"/>
        <v>IMPOILHH21</v>
      </c>
      <c r="C40" s="9" t="str">
        <f>CONCATENATE("Imported ",VLOOKUP($A40,Types!$A$13:$C$18,3,FALSE),", PADD ",RIGHT(F40,1),", Step ",RIGHT(E40,1))</f>
        <v>Imported Imported Oil-High Sulfur, Heavy G, PADD 2, Step 1</v>
      </c>
      <c r="D40" s="9" t="str">
        <f>D39</f>
        <v>OILHH2</v>
      </c>
      <c r="E40" s="9">
        <v>1</v>
      </c>
      <c r="F40" s="9" t="str">
        <f>F39</f>
        <v>P2</v>
      </c>
      <c r="G40" s="66">
        <f>G39*$C$5</f>
        <v>28.71</v>
      </c>
      <c r="H40" s="66">
        <f t="shared" ref="H40" si="152">H39*$C$5</f>
        <v>41.765625000000007</v>
      </c>
      <c r="I40" s="66">
        <f t="shared" ref="I40" si="153">I39*$C$5</f>
        <v>28.413</v>
      </c>
      <c r="J40" s="66">
        <f t="shared" ref="J40" si="154">J39*$C$5</f>
        <v>30.066300000000005</v>
      </c>
      <c r="K40" s="67">
        <f>G40*Conv!$J$20/10^6/Conv!$C$47/Conv!$I$5</f>
        <v>6.9065082955001431</v>
      </c>
      <c r="L40" s="67">
        <f>H40*Conv!$J$20/10^6/Conv!$C$47/Conv!$I$5</f>
        <v>10.04718340401422</v>
      </c>
      <c r="M40" s="67" t="e">
        <f>L40*#REF!</f>
        <v>#REF!</v>
      </c>
      <c r="N40" s="67" t="e">
        <f>M40*#REF!</f>
        <v>#REF!</v>
      </c>
      <c r="O40" s="67" t="e">
        <f>N40*#REF!</f>
        <v>#REF!</v>
      </c>
      <c r="P40" s="67" t="e">
        <f>O40*#REF!</f>
        <v>#REF!</v>
      </c>
      <c r="Q40" s="67" t="e">
        <f>P40*#REF!</f>
        <v>#REF!</v>
      </c>
      <c r="R40" s="67" t="e">
        <f>Q40*#REF!</f>
        <v>#REF!</v>
      </c>
      <c r="S40" s="67" t="e">
        <f>R40*#REF!</f>
        <v>#REF!</v>
      </c>
      <c r="T40" s="67" t="e">
        <f>S40*#REF!</f>
        <v>#REF!</v>
      </c>
      <c r="U40" s="67" t="e">
        <f>T40*#REF!</f>
        <v>#REF!</v>
      </c>
      <c r="V40" s="42"/>
      <c r="W40" s="83">
        <f>W39*$E$5</f>
        <v>22.778000000000002</v>
      </c>
      <c r="X40" s="83">
        <f t="shared" ref="X40" si="155">X39*$E$5</f>
        <v>24.383000000000003</v>
      </c>
      <c r="Y40" s="83">
        <f t="shared" ref="Y40" si="156">Y39*$E$5</f>
        <v>4.4460000000000006</v>
      </c>
      <c r="Z40" s="83">
        <f t="shared" ref="Z40" si="157">Z39*$E$5</f>
        <v>4.9090000000000007</v>
      </c>
      <c r="AA40" s="82">
        <f>W40*Conv!$C$47*Conv!$I$5*1000*365</f>
        <v>53.033037781899999</v>
      </c>
      <c r="AB40" s="82">
        <f>X40*Conv!$C$47*Conv!$I$5*1000*365</f>
        <v>56.769890255337067</v>
      </c>
      <c r="AC40" s="82">
        <f>Y40*Conv!$C$47*Conv!$I$5*1000*365</f>
        <v>10.351430589969594</v>
      </c>
      <c r="AD40" s="82">
        <f>Z40*Conv!$C$47*Conv!$I$5*1000*365</f>
        <v>11.429413577633994</v>
      </c>
      <c r="AE40" s="82">
        <f>AA40</f>
        <v>53.033037781899999</v>
      </c>
      <c r="AF40" s="82">
        <f t="shared" ref="AF40" si="158">AB40</f>
        <v>56.769890255337067</v>
      </c>
      <c r="AG40" s="82">
        <f t="shared" ref="AG40" si="159">AC40</f>
        <v>10.351430589969594</v>
      </c>
      <c r="AH40" s="82">
        <f t="shared" ref="AH40" si="160">AD40</f>
        <v>11.429413577633994</v>
      </c>
      <c r="AI40" s="53"/>
    </row>
    <row r="41" spans="1:37" ht="14.25" customHeight="1">
      <c r="A41" s="9" t="str">
        <f t="shared" ref="A41:A43" si="161">A40</f>
        <v>FHH</v>
      </c>
      <c r="B41" s="9" t="str">
        <f t="shared" si="0"/>
        <v>IMPOILHH22</v>
      </c>
      <c r="C41" s="9" t="str">
        <f>CONCATENATE("Imported ",VLOOKUP($A41,Types!$A$13:$C$18,3,FALSE),", PADD ",RIGHT(F41,1),", Step ",RIGHT(E41,1))</f>
        <v>Imported Imported Oil-High Sulfur, Heavy G, PADD 2, Step 2</v>
      </c>
      <c r="D41" s="9" t="str">
        <f t="shared" ref="D41:D43" si="162">D40</f>
        <v>OILHH2</v>
      </c>
      <c r="E41" s="9">
        <v>2</v>
      </c>
      <c r="F41" s="9" t="str">
        <f t="shared" ref="F41:F43" si="163">F40</f>
        <v>P2</v>
      </c>
      <c r="G41" s="66">
        <f>G39*$C$6</f>
        <v>30.305</v>
      </c>
      <c r="H41" s="66">
        <f t="shared" ref="H41:J41" si="164">H39*$C$6</f>
        <v>44.085937500000007</v>
      </c>
      <c r="I41" s="66">
        <f t="shared" si="164"/>
        <v>29.991499999999998</v>
      </c>
      <c r="J41" s="66">
        <f t="shared" si="164"/>
        <v>31.736650000000001</v>
      </c>
      <c r="K41" s="67">
        <f>G41*Conv!$J$20/10^6/Conv!$C$47/Conv!$I$5</f>
        <v>7.2902032008057063</v>
      </c>
      <c r="L41" s="67">
        <f>H41*Conv!$J$20/10^6/Conv!$C$47/Conv!$I$5</f>
        <v>10.605360259792784</v>
      </c>
      <c r="M41" s="67" t="e">
        <f>L41*#REF!</f>
        <v>#REF!</v>
      </c>
      <c r="N41" s="67" t="e">
        <f>M41*#REF!</f>
        <v>#REF!</v>
      </c>
      <c r="O41" s="67" t="e">
        <f>N41*#REF!</f>
        <v>#REF!</v>
      </c>
      <c r="P41" s="67" t="e">
        <f>O41*#REF!</f>
        <v>#REF!</v>
      </c>
      <c r="Q41" s="67" t="e">
        <f>P41*#REF!</f>
        <v>#REF!</v>
      </c>
      <c r="R41" s="67" t="e">
        <f>Q41*#REF!</f>
        <v>#REF!</v>
      </c>
      <c r="S41" s="67" t="e">
        <f>R41*#REF!</f>
        <v>#REF!</v>
      </c>
      <c r="T41" s="67" t="e">
        <f>S41*#REF!</f>
        <v>#REF!</v>
      </c>
      <c r="U41" s="67" t="e">
        <f>T41*#REF!</f>
        <v>#REF!</v>
      </c>
      <c r="V41" s="42"/>
      <c r="W41" s="83">
        <f>W39*$E$6</f>
        <v>45.556000000000004</v>
      </c>
      <c r="X41" s="83">
        <f t="shared" ref="X41:Z41" si="165">X39*$E$6</f>
        <v>48.766000000000005</v>
      </c>
      <c r="Y41" s="83">
        <f t="shared" si="165"/>
        <v>8.8920000000000012</v>
      </c>
      <c r="Z41" s="83">
        <f t="shared" si="165"/>
        <v>9.8180000000000014</v>
      </c>
      <c r="AA41" s="82">
        <f>W41*Conv!$C$47*Conv!$I$5*1000*365</f>
        <v>106.0660755638</v>
      </c>
      <c r="AB41" s="82">
        <f>X41*Conv!$C$47*Conv!$I$5*1000*365</f>
        <v>113.53978051067413</v>
      </c>
      <c r="AC41" s="82">
        <f>Y41*Conv!$C$47*Conv!$I$5*1000*365</f>
        <v>20.702861179939188</v>
      </c>
      <c r="AD41" s="82">
        <f>Z41*Conv!$C$47*Conv!$I$5*1000*365</f>
        <v>22.858827155267988</v>
      </c>
      <c r="AE41" s="82">
        <f>AA41-AE40</f>
        <v>53.033037781899999</v>
      </c>
      <c r="AF41" s="82">
        <f t="shared" ref="AF41" si="166">AB41-AF40</f>
        <v>56.769890255337067</v>
      </c>
      <c r="AG41" s="82">
        <f t="shared" ref="AG41" si="167">AC41-AG40</f>
        <v>10.351430589969594</v>
      </c>
      <c r="AH41" s="82">
        <f t="shared" ref="AH41" si="168">AD41-AH40</f>
        <v>11.429413577633994</v>
      </c>
      <c r="AI41" s="53"/>
    </row>
    <row r="42" spans="1:37" ht="14.25" customHeight="1">
      <c r="A42" s="9" t="str">
        <f t="shared" si="161"/>
        <v>FHH</v>
      </c>
      <c r="B42" s="9" t="str">
        <f t="shared" si="0"/>
        <v>IMPOILHH24</v>
      </c>
      <c r="C42" s="9" t="str">
        <f>CONCATENATE("Imported ",VLOOKUP($A42,Types!$A$13:$C$18,3,FALSE),", PADD ",RIGHT(F42,1),", Step ",RIGHT(E42,1))</f>
        <v>Imported Imported Oil-High Sulfur, Heavy G, PADD 2, Step 4</v>
      </c>
      <c r="D42" s="9" t="str">
        <f t="shared" si="162"/>
        <v>OILHH2</v>
      </c>
      <c r="E42" s="9">
        <v>4</v>
      </c>
      <c r="F42" s="9" t="str">
        <f t="shared" si="163"/>
        <v>P2</v>
      </c>
      <c r="G42" s="66">
        <f>G39*$C$8</f>
        <v>33.495000000000005</v>
      </c>
      <c r="H42" s="66">
        <f t="shared" ref="H42:J42" si="169">H39*$C$8</f>
        <v>48.726562500000007</v>
      </c>
      <c r="I42" s="66">
        <f t="shared" si="169"/>
        <v>33.148499999999999</v>
      </c>
      <c r="J42" s="66">
        <f t="shared" si="169"/>
        <v>35.077350000000003</v>
      </c>
      <c r="K42" s="67">
        <f>G42*Conv!$J$20/10^6/Conv!$C$47/Conv!$I$5</f>
        <v>8.0575930114168361</v>
      </c>
      <c r="L42" s="67">
        <f>H42*Conv!$J$20/10^6/Conv!$C$47/Conv!$I$5</f>
        <v>11.721713971349921</v>
      </c>
      <c r="M42" s="67" t="e">
        <f>L42*#REF!</f>
        <v>#REF!</v>
      </c>
      <c r="N42" s="67" t="e">
        <f>M42*#REF!</f>
        <v>#REF!</v>
      </c>
      <c r="O42" s="67" t="e">
        <f>N42*#REF!</f>
        <v>#REF!</v>
      </c>
      <c r="P42" s="67" t="e">
        <f>O42*#REF!</f>
        <v>#REF!</v>
      </c>
      <c r="Q42" s="67" t="e">
        <f>P42*#REF!</f>
        <v>#REF!</v>
      </c>
      <c r="R42" s="67" t="e">
        <f>Q42*#REF!</f>
        <v>#REF!</v>
      </c>
      <c r="S42" s="67" t="e">
        <f>R42*#REF!</f>
        <v>#REF!</v>
      </c>
      <c r="T42" s="67" t="e">
        <f>S42*#REF!</f>
        <v>#REF!</v>
      </c>
      <c r="U42" s="67" t="e">
        <f>T42*#REF!</f>
        <v>#REF!</v>
      </c>
      <c r="V42" s="42"/>
      <c r="W42" s="83">
        <f>W39*$E$8</f>
        <v>273.33600000000001</v>
      </c>
      <c r="X42" s="83">
        <f t="shared" ref="X42:Z42" si="170">X39*$E$8</f>
        <v>292.596</v>
      </c>
      <c r="Y42" s="83">
        <f t="shared" si="170"/>
        <v>53.351999999999997</v>
      </c>
      <c r="Z42" s="83">
        <f t="shared" si="170"/>
        <v>58.908000000000001</v>
      </c>
      <c r="AA42" s="82">
        <f>W42*Conv!$C$47*Conv!$I$5*1000*365</f>
        <v>636.3964533827999</v>
      </c>
      <c r="AB42" s="82">
        <f>X42*Conv!$C$47*Conv!$I$5*1000*365</f>
        <v>681.23868306404484</v>
      </c>
      <c r="AC42" s="82">
        <f>Y42*Conv!$C$47*Conv!$I$5*1000*365</f>
        <v>124.2171670796351</v>
      </c>
      <c r="AD42" s="82">
        <f>Z42*Conv!$C$47*Conv!$I$5*1000*365</f>
        <v>137.1529629316079</v>
      </c>
      <c r="AE42" s="82">
        <f>AA42-AA39</f>
        <v>106.06607556379981</v>
      </c>
      <c r="AF42" s="82">
        <f t="shared" ref="AF42" si="171">AB42-AB39</f>
        <v>113.53978051067418</v>
      </c>
      <c r="AG42" s="82">
        <f t="shared" ref="AG42" si="172">AC42-AC39</f>
        <v>20.702861179939191</v>
      </c>
      <c r="AH42" s="82">
        <f t="shared" ref="AH42" si="173">AD42-AD39</f>
        <v>22.858827155267974</v>
      </c>
      <c r="AI42" s="53"/>
    </row>
    <row r="43" spans="1:37" ht="14.25" customHeight="1">
      <c r="A43" s="9" t="str">
        <f t="shared" si="161"/>
        <v>FHH</v>
      </c>
      <c r="B43" s="9" t="str">
        <f t="shared" si="0"/>
        <v>IMPOILHH25</v>
      </c>
      <c r="C43" s="9" t="str">
        <f>CONCATENATE("Imported ",VLOOKUP($A43,Types!$A$13:$C$18,3,FALSE),", PADD ",RIGHT(F43,1),", Step ",RIGHT(E43,1))</f>
        <v>Imported Imported Oil-High Sulfur, Heavy G, PADD 2, Step 5</v>
      </c>
      <c r="D43" s="9" t="str">
        <f t="shared" si="162"/>
        <v>OILHH2</v>
      </c>
      <c r="E43" s="9">
        <v>5</v>
      </c>
      <c r="F43" s="9" t="str">
        <f t="shared" si="163"/>
        <v>P2</v>
      </c>
      <c r="G43" s="66">
        <f>G39*$C$9</f>
        <v>41.470000000000006</v>
      </c>
      <c r="H43" s="66">
        <f t="shared" ref="H43:J43" si="174">H39*$C$9</f>
        <v>60.328125000000014</v>
      </c>
      <c r="I43" s="66">
        <f t="shared" si="174"/>
        <v>41.041000000000004</v>
      </c>
      <c r="J43" s="66">
        <f t="shared" si="174"/>
        <v>43.429100000000005</v>
      </c>
      <c r="K43" s="67">
        <f>G43*Conv!$J$20/10^6/Conv!$C$47/Conv!$I$5</f>
        <v>9.9760675379446511</v>
      </c>
      <c r="L43" s="67">
        <f>H43*Conv!$J$20/10^6/Conv!$C$47/Conv!$I$5</f>
        <v>14.512598250242762</v>
      </c>
      <c r="M43" s="67" t="e">
        <f>L43*#REF!</f>
        <v>#REF!</v>
      </c>
      <c r="N43" s="67" t="e">
        <f>M43*#REF!</f>
        <v>#REF!</v>
      </c>
      <c r="O43" s="67" t="e">
        <f>N43*#REF!</f>
        <v>#REF!</v>
      </c>
      <c r="P43" s="67" t="e">
        <f>O43*#REF!</f>
        <v>#REF!</v>
      </c>
      <c r="Q43" s="67" t="e">
        <f>P43*#REF!</f>
        <v>#REF!</v>
      </c>
      <c r="R43" s="67" t="e">
        <f>Q43*#REF!</f>
        <v>#REF!</v>
      </c>
      <c r="S43" s="67" t="e">
        <f>R43*#REF!</f>
        <v>#REF!</v>
      </c>
      <c r="T43" s="67" t="e">
        <f>S43*#REF!</f>
        <v>#REF!</v>
      </c>
      <c r="U43" s="67" t="e">
        <f>T43*#REF!</f>
        <v>#REF!</v>
      </c>
      <c r="V43" s="42"/>
      <c r="W43" s="83">
        <f>W39*$E$9</f>
        <v>296.11400000000003</v>
      </c>
      <c r="X43" s="83">
        <f t="shared" ref="X43:Z43" si="175">X39*$E$9</f>
        <v>316.97900000000004</v>
      </c>
      <c r="Y43" s="83">
        <f t="shared" si="175"/>
        <v>57.798000000000002</v>
      </c>
      <c r="Z43" s="83">
        <f t="shared" si="175"/>
        <v>63.817000000000007</v>
      </c>
      <c r="AA43" s="82">
        <f>W43*Conv!$C$47*Conv!$I$5*1000*365</f>
        <v>689.42949116470004</v>
      </c>
      <c r="AB43" s="82">
        <f>X43*Conv!$C$47*Conv!$I$5*1000*365</f>
        <v>738.00857331938175</v>
      </c>
      <c r="AC43" s="82">
        <f>Y43*Conv!$C$47*Conv!$I$5*1000*365</f>
        <v>134.56859766960471</v>
      </c>
      <c r="AD43" s="82">
        <f>Z43*Conv!$C$47*Conv!$I$5*1000*365</f>
        <v>148.58237650924193</v>
      </c>
      <c r="AE43" s="82">
        <f>AA43-AA42</f>
        <v>53.033037781900134</v>
      </c>
      <c r="AF43" s="82">
        <f t="shared" ref="AF43" si="176">AB43-AB42</f>
        <v>56.769890255336918</v>
      </c>
      <c r="AG43" s="82">
        <f t="shared" ref="AG43" si="177">AC43-AC42</f>
        <v>10.35143058996961</v>
      </c>
      <c r="AH43" s="82">
        <f t="shared" ref="AH43" si="178">AD43-AD42</f>
        <v>11.429413577634023</v>
      </c>
      <c r="AI43" s="53"/>
    </row>
    <row r="44" spans="1:37" ht="14.25" customHeight="1">
      <c r="A44" s="9" t="str">
        <f>'Agg crdcrv'!C25</f>
        <v>FHL</v>
      </c>
      <c r="B44" s="9" t="str">
        <f t="shared" si="0"/>
        <v>IMPOILHL23</v>
      </c>
      <c r="C44" s="9" t="str">
        <f>CONCATENATE("Imported ",VLOOKUP($A44,Types!$A$13:$C$18,3,FALSE),", PADD ",RIGHT(F44,1),", Step ",RIGHT(E44,1))</f>
        <v>Imported Imported Oil-High Sulfur, Low G, PADD 2, Step 3</v>
      </c>
      <c r="D44" s="9" t="str">
        <f>CONCATENATE(VLOOKUP($A44,Types!$A$14:$C$18,2,FALSE),RIGHT(F44,1))</f>
        <v>OILHL2</v>
      </c>
      <c r="E44" s="9">
        <v>3</v>
      </c>
      <c r="F44" s="9" t="str">
        <f>'Agg crdcrv'!D25</f>
        <v>P2</v>
      </c>
      <c r="G44" s="66">
        <f>'Agg crdcrv'!H25*K5</f>
        <v>41.514000000000003</v>
      </c>
      <c r="H44" s="66">
        <f>'Agg crdcrv'!H30*K5</f>
        <v>50.187500000000007</v>
      </c>
      <c r="I44" s="66">
        <f>'Agg crdcrv'!H35*K5</f>
        <v>34.551000000000002</v>
      </c>
      <c r="J44" s="66">
        <f>'Agg crdcrv'!H40*K5</f>
        <v>36.410000000000004</v>
      </c>
      <c r="K44" s="67">
        <f>G44*Conv!$J$20/10^6/Conv!$C$47/Conv!$I$5</f>
        <v>9.9866522249875622</v>
      </c>
      <c r="L44" s="67">
        <f>H44*Conv!$J$20/10^6/Conv!$C$47/Conv!$I$5</f>
        <v>12.073158658321612</v>
      </c>
      <c r="M44" s="67" t="e">
        <f>L44*#REF!</f>
        <v>#REF!</v>
      </c>
      <c r="N44" s="67" t="e">
        <f>M44*#REF!</f>
        <v>#REF!</v>
      </c>
      <c r="O44" s="67" t="e">
        <f>N44*#REF!</f>
        <v>#REF!</v>
      </c>
      <c r="P44" s="67" t="e">
        <f>O44*#REF!</f>
        <v>#REF!</v>
      </c>
      <c r="Q44" s="67" t="e">
        <f>P44*#REF!</f>
        <v>#REF!</v>
      </c>
      <c r="R44" s="67" t="e">
        <f>Q44*#REF!</f>
        <v>#REF!</v>
      </c>
      <c r="S44" s="67" t="e">
        <f>R44*#REF!</f>
        <v>#REF!</v>
      </c>
      <c r="T44" s="67" t="e">
        <f>S44*#REF!</f>
        <v>#REF!</v>
      </c>
      <c r="U44" s="67" t="e">
        <f>T44*#REF!</f>
        <v>#REF!</v>
      </c>
      <c r="V44" s="42"/>
      <c r="W44" s="9">
        <f>'Agg crdcrv'!F25</f>
        <v>148.24</v>
      </c>
      <c r="X44" s="9">
        <f>'Agg crdcrv'!F30</f>
        <v>118.79</v>
      </c>
      <c r="Y44" s="9">
        <f>'Agg crdcrv'!F35</f>
        <v>30.27</v>
      </c>
      <c r="Z44" s="9">
        <f>'Agg crdcrv'!F40</f>
        <v>33.42</v>
      </c>
      <c r="AA44" s="82">
        <f>W44*Conv!$C$47*Conv!$I$5*1000*365</f>
        <v>345.14081661203164</v>
      </c>
      <c r="AB44" s="82">
        <f>X44*Conv!$C$47*Conv!$I$5*1000*365</f>
        <v>276.57364817419881</v>
      </c>
      <c r="AC44" s="82">
        <f>Y44*Conv!$C$47*Conv!$I$5*1000*365</f>
        <v>70.476339171925218</v>
      </c>
      <c r="AD44" s="82">
        <f>Z44*Conv!$C$47*Conv!$I$5*1000*365</f>
        <v>77.810348699231625</v>
      </c>
      <c r="AE44" s="82">
        <f>AA44-AA46</f>
        <v>276.11265328962531</v>
      </c>
      <c r="AF44" s="82">
        <f t="shared" ref="AF44" si="179">AB44-AB46</f>
        <v>221.25891853935906</v>
      </c>
      <c r="AG44" s="82">
        <f t="shared" ref="AG44" si="180">AC44-AC46</f>
        <v>56.381071337540178</v>
      </c>
      <c r="AH44" s="82">
        <f t="shared" ref="AH44" si="181">AD44-AD46</f>
        <v>62.248278959385296</v>
      </c>
    </row>
    <row r="45" spans="1:37" ht="14.25" customHeight="1">
      <c r="A45" s="9" t="str">
        <f>A44</f>
        <v>FHL</v>
      </c>
      <c r="B45" s="9" t="str">
        <f t="shared" si="0"/>
        <v>IMPOILHL21</v>
      </c>
      <c r="C45" s="9" t="str">
        <f>CONCATENATE("Imported ",VLOOKUP($A45,Types!$A$13:$C$18,3,FALSE),", PADD ",RIGHT(F45,1),", Step ",RIGHT(E45,1))</f>
        <v>Imported Imported Oil-High Sulfur, Low G, PADD 2, Step 1</v>
      </c>
      <c r="D45" s="9" t="str">
        <f>D44</f>
        <v>OILHL2</v>
      </c>
      <c r="E45" s="9">
        <v>1</v>
      </c>
      <c r="F45" s="9" t="str">
        <f>F44</f>
        <v>P2</v>
      </c>
      <c r="G45" s="66">
        <f>G44*$C$5</f>
        <v>37.3626</v>
      </c>
      <c r="H45" s="66">
        <f t="shared" ref="H45" si="182">H44*$C$5</f>
        <v>45.16875000000001</v>
      </c>
      <c r="I45" s="66">
        <f t="shared" ref="I45" si="183">I44*$C$5</f>
        <v>31.095900000000004</v>
      </c>
      <c r="J45" s="66">
        <f t="shared" ref="J45" si="184">J44*$C$5</f>
        <v>32.769000000000005</v>
      </c>
      <c r="K45" s="67">
        <f>G45*Conv!$J$20/10^6/Conv!$C$47/Conv!$I$5</f>
        <v>8.987987002488806</v>
      </c>
      <c r="L45" s="67">
        <f>H45*Conv!$J$20/10^6/Conv!$C$47/Conv!$I$5</f>
        <v>10.865842792489451</v>
      </c>
      <c r="M45" s="67" t="e">
        <f>L45*#REF!</f>
        <v>#REF!</v>
      </c>
      <c r="N45" s="67" t="e">
        <f>M45*#REF!</f>
        <v>#REF!</v>
      </c>
      <c r="O45" s="67" t="e">
        <f>N45*#REF!</f>
        <v>#REF!</v>
      </c>
      <c r="P45" s="67" t="e">
        <f>O45*#REF!</f>
        <v>#REF!</v>
      </c>
      <c r="Q45" s="67" t="e">
        <f>P45*#REF!</f>
        <v>#REF!</v>
      </c>
      <c r="R45" s="67" t="e">
        <f>Q45*#REF!</f>
        <v>#REF!</v>
      </c>
      <c r="S45" s="67" t="e">
        <f>R45*#REF!</f>
        <v>#REF!</v>
      </c>
      <c r="T45" s="67" t="e">
        <f>S45*#REF!</f>
        <v>#REF!</v>
      </c>
      <c r="U45" s="67" t="e">
        <f>T45*#REF!</f>
        <v>#REF!</v>
      </c>
      <c r="V45" s="42"/>
      <c r="W45" s="83">
        <f>W44*$E$5</f>
        <v>14.824000000000002</v>
      </c>
      <c r="X45" s="83">
        <f t="shared" ref="X45" si="185">X44*$E$5</f>
        <v>11.879000000000001</v>
      </c>
      <c r="Y45" s="83">
        <f t="shared" ref="Y45" si="186">Y44*$E$5</f>
        <v>3.0270000000000001</v>
      </c>
      <c r="Z45" s="83">
        <f t="shared" ref="Z45" si="187">Z44*$E$5</f>
        <v>3.3420000000000005</v>
      </c>
      <c r="AA45" s="82">
        <f>W45*Conv!$C$47*Conv!$I$5*1000*365</f>
        <v>34.514081661203164</v>
      </c>
      <c r="AB45" s="82">
        <f>X45*Conv!$C$47*Conv!$I$5*1000*365</f>
        <v>27.657364817419879</v>
      </c>
      <c r="AC45" s="82">
        <f>Y45*Conv!$C$47*Conv!$I$5*1000*365</f>
        <v>7.0476339171925222</v>
      </c>
      <c r="AD45" s="82">
        <f>Z45*Conv!$C$47*Conv!$I$5*1000*365</f>
        <v>7.7810348699231637</v>
      </c>
      <c r="AE45" s="82">
        <f>AA45</f>
        <v>34.514081661203164</v>
      </c>
      <c r="AF45" s="82">
        <f t="shared" ref="AF45" si="188">AB45</f>
        <v>27.657364817419879</v>
      </c>
      <c r="AG45" s="82">
        <f t="shared" ref="AG45" si="189">AC45</f>
        <v>7.0476339171925222</v>
      </c>
      <c r="AH45" s="82">
        <f t="shared" ref="AH45" si="190">AD45</f>
        <v>7.7810348699231637</v>
      </c>
      <c r="AI45" s="53"/>
    </row>
    <row r="46" spans="1:37" ht="14.25" customHeight="1">
      <c r="A46" s="9" t="str">
        <f t="shared" ref="A46:A48" si="191">A45</f>
        <v>FHL</v>
      </c>
      <c r="B46" s="9" t="str">
        <f t="shared" si="0"/>
        <v>IMPOILHL22</v>
      </c>
      <c r="C46" s="9" t="str">
        <f>CONCATENATE("Imported ",VLOOKUP($A46,Types!$A$13:$C$18,3,FALSE),", PADD ",RIGHT(F46,1),", Step ",RIGHT(E46,1))</f>
        <v>Imported Imported Oil-High Sulfur, Low G, PADD 2, Step 2</v>
      </c>
      <c r="D46" s="9" t="str">
        <f t="shared" ref="D46:D48" si="192">D45</f>
        <v>OILHL2</v>
      </c>
      <c r="E46" s="9">
        <v>2</v>
      </c>
      <c r="F46" s="9" t="str">
        <f t="shared" ref="F46:F48" si="193">F45</f>
        <v>P2</v>
      </c>
      <c r="G46" s="66">
        <f>G44*$C$6</f>
        <v>39.438299999999998</v>
      </c>
      <c r="H46" s="66">
        <f t="shared" ref="H46:J46" si="194">H44*$C$6</f>
        <v>47.678125000000001</v>
      </c>
      <c r="I46" s="66">
        <f t="shared" si="194"/>
        <v>32.823450000000001</v>
      </c>
      <c r="J46" s="66">
        <f t="shared" si="194"/>
        <v>34.589500000000001</v>
      </c>
      <c r="K46" s="67">
        <f>G46*Conv!$J$20/10^6/Conv!$C$47/Conv!$I$5</f>
        <v>9.487319613738185</v>
      </c>
      <c r="L46" s="67">
        <f>H46*Conv!$J$20/10^6/Conv!$C$47/Conv!$I$5</f>
        <v>11.469500725405531</v>
      </c>
      <c r="M46" s="67" t="e">
        <f>L46*#REF!</f>
        <v>#REF!</v>
      </c>
      <c r="N46" s="67" t="e">
        <f>M46*#REF!</f>
        <v>#REF!</v>
      </c>
      <c r="O46" s="67" t="e">
        <f>N46*#REF!</f>
        <v>#REF!</v>
      </c>
      <c r="P46" s="67" t="e">
        <f>O46*#REF!</f>
        <v>#REF!</v>
      </c>
      <c r="Q46" s="67" t="e">
        <f>P46*#REF!</f>
        <v>#REF!</v>
      </c>
      <c r="R46" s="67" t="e">
        <f>Q46*#REF!</f>
        <v>#REF!</v>
      </c>
      <c r="S46" s="67" t="e">
        <f>R46*#REF!</f>
        <v>#REF!</v>
      </c>
      <c r="T46" s="67" t="e">
        <f>S46*#REF!</f>
        <v>#REF!</v>
      </c>
      <c r="U46" s="67" t="e">
        <f>T46*#REF!</f>
        <v>#REF!</v>
      </c>
      <c r="V46" s="42"/>
      <c r="W46" s="83">
        <f>W44*$E$6</f>
        <v>29.648000000000003</v>
      </c>
      <c r="X46" s="83">
        <f t="shared" ref="X46:Z46" si="195">X44*$E$6</f>
        <v>23.758000000000003</v>
      </c>
      <c r="Y46" s="83">
        <f t="shared" si="195"/>
        <v>6.0540000000000003</v>
      </c>
      <c r="Z46" s="83">
        <f t="shared" si="195"/>
        <v>6.6840000000000011</v>
      </c>
      <c r="AA46" s="82">
        <f>W46*Conv!$C$47*Conv!$I$5*1000*365</f>
        <v>69.028163322406328</v>
      </c>
      <c r="AB46" s="82">
        <f>X46*Conv!$C$47*Conv!$I$5*1000*365</f>
        <v>55.314729634839757</v>
      </c>
      <c r="AC46" s="82">
        <f>Y46*Conv!$C$47*Conv!$I$5*1000*365</f>
        <v>14.095267834385044</v>
      </c>
      <c r="AD46" s="82">
        <f>Z46*Conv!$C$47*Conv!$I$5*1000*365</f>
        <v>15.562069739846327</v>
      </c>
      <c r="AE46" s="82">
        <f>AA46-AE45</f>
        <v>34.514081661203164</v>
      </c>
      <c r="AF46" s="82">
        <f t="shared" ref="AF46" si="196">AB46-AF45</f>
        <v>27.657364817419879</v>
      </c>
      <c r="AG46" s="82">
        <f t="shared" ref="AG46" si="197">AC46-AG45</f>
        <v>7.0476339171925222</v>
      </c>
      <c r="AH46" s="82">
        <f t="shared" ref="AH46" si="198">AD46-AH45</f>
        <v>7.7810348699231637</v>
      </c>
      <c r="AI46" s="53"/>
    </row>
    <row r="47" spans="1:37" ht="14.25" customHeight="1">
      <c r="A47" s="9" t="str">
        <f t="shared" si="191"/>
        <v>FHL</v>
      </c>
      <c r="B47" s="9" t="str">
        <f t="shared" si="0"/>
        <v>IMPOILHL24</v>
      </c>
      <c r="C47" s="9" t="str">
        <f>CONCATENATE("Imported ",VLOOKUP($A47,Types!$A$13:$C$18,3,FALSE),", PADD ",RIGHT(F47,1),", Step ",RIGHT(E47,1))</f>
        <v>Imported Imported Oil-High Sulfur, Low G, PADD 2, Step 4</v>
      </c>
      <c r="D47" s="9" t="str">
        <f t="shared" si="192"/>
        <v>OILHL2</v>
      </c>
      <c r="E47" s="9">
        <v>4</v>
      </c>
      <c r="F47" s="9" t="str">
        <f t="shared" si="193"/>
        <v>P2</v>
      </c>
      <c r="G47" s="66">
        <f>G44*$C$8</f>
        <v>43.589700000000008</v>
      </c>
      <c r="H47" s="66">
        <f t="shared" ref="H47:J47" si="199">H44*$C$8</f>
        <v>52.696875000000013</v>
      </c>
      <c r="I47" s="66">
        <f t="shared" si="199"/>
        <v>36.278550000000003</v>
      </c>
      <c r="J47" s="66">
        <f t="shared" si="199"/>
        <v>38.230500000000006</v>
      </c>
      <c r="K47" s="67">
        <f>G47*Conv!$J$20/10^6/Conv!$C$47/Conv!$I$5</f>
        <v>10.485984836236943</v>
      </c>
      <c r="L47" s="67">
        <f>H47*Conv!$J$20/10^6/Conv!$C$47/Conv!$I$5</f>
        <v>12.676816591237694</v>
      </c>
      <c r="M47" s="67" t="e">
        <f>L47*#REF!</f>
        <v>#REF!</v>
      </c>
      <c r="N47" s="67" t="e">
        <f>M47*#REF!</f>
        <v>#REF!</v>
      </c>
      <c r="O47" s="67" t="e">
        <f>N47*#REF!</f>
        <v>#REF!</v>
      </c>
      <c r="P47" s="67" t="e">
        <f>O47*#REF!</f>
        <v>#REF!</v>
      </c>
      <c r="Q47" s="67" t="e">
        <f>P47*#REF!</f>
        <v>#REF!</v>
      </c>
      <c r="R47" s="67" t="e">
        <f>Q47*#REF!</f>
        <v>#REF!</v>
      </c>
      <c r="S47" s="67" t="e">
        <f>R47*#REF!</f>
        <v>#REF!</v>
      </c>
      <c r="T47" s="67" t="e">
        <f>S47*#REF!</f>
        <v>#REF!</v>
      </c>
      <c r="U47" s="67" t="e">
        <f>T47*#REF!</f>
        <v>#REF!</v>
      </c>
      <c r="V47" s="42"/>
      <c r="W47" s="83">
        <f>W44*$E$8</f>
        <v>177.88800000000001</v>
      </c>
      <c r="X47" s="83">
        <f t="shared" ref="X47:Z47" si="200">X44*$E$8</f>
        <v>142.548</v>
      </c>
      <c r="Y47" s="83">
        <f t="shared" si="200"/>
        <v>36.323999999999998</v>
      </c>
      <c r="Z47" s="83">
        <f t="shared" si="200"/>
        <v>40.103999999999999</v>
      </c>
      <c r="AA47" s="82">
        <f>W47*Conv!$C$47*Conv!$I$5*1000*365</f>
        <v>414.16897993443797</v>
      </c>
      <c r="AB47" s="82">
        <f>X47*Conv!$C$47*Conv!$I$5*1000*365</f>
        <v>331.88837780903856</v>
      </c>
      <c r="AC47" s="82">
        <f>Y47*Conv!$C$47*Conv!$I$5*1000*365</f>
        <v>84.571607006310273</v>
      </c>
      <c r="AD47" s="82">
        <f>Z47*Conv!$C$47*Conv!$I$5*1000*365</f>
        <v>93.372418439077947</v>
      </c>
      <c r="AE47" s="82">
        <f>AA47-AA44</f>
        <v>69.028163322406328</v>
      </c>
      <c r="AF47" s="82">
        <f t="shared" ref="AF47" si="201">AB47-AB44</f>
        <v>55.31472963483975</v>
      </c>
      <c r="AG47" s="82">
        <f t="shared" ref="AG47" si="202">AC47-AC44</f>
        <v>14.095267834385055</v>
      </c>
      <c r="AH47" s="82">
        <f t="shared" ref="AH47" si="203">AD47-AD44</f>
        <v>15.562069739846322</v>
      </c>
      <c r="AI47" s="53"/>
    </row>
    <row r="48" spans="1:37" ht="14.25" customHeight="1">
      <c r="A48" s="9" t="str">
        <f t="shared" si="191"/>
        <v>FHL</v>
      </c>
      <c r="B48" s="9" t="str">
        <f t="shared" si="0"/>
        <v>IMPOILHL25</v>
      </c>
      <c r="C48" s="9" t="str">
        <f>CONCATENATE("Imported ",VLOOKUP($A48,Types!$A$13:$C$18,3,FALSE),", PADD ",RIGHT(F48,1),", Step ",RIGHT(E48,1))</f>
        <v>Imported Imported Oil-High Sulfur, Low G, PADD 2, Step 5</v>
      </c>
      <c r="D48" s="9" t="str">
        <f t="shared" si="192"/>
        <v>OILHL2</v>
      </c>
      <c r="E48" s="9">
        <v>5</v>
      </c>
      <c r="F48" s="9" t="str">
        <f t="shared" si="193"/>
        <v>P2</v>
      </c>
      <c r="G48" s="66">
        <f>G44*$C$9</f>
        <v>53.968200000000003</v>
      </c>
      <c r="H48" s="66">
        <f t="shared" ref="H48:J48" si="204">H44*$C$9</f>
        <v>65.243750000000006</v>
      </c>
      <c r="I48" s="66">
        <f t="shared" si="204"/>
        <v>44.916300000000007</v>
      </c>
      <c r="J48" s="66">
        <f t="shared" si="204"/>
        <v>47.333000000000006</v>
      </c>
      <c r="K48" s="67">
        <f>G48*Conv!$J$20/10^6/Conv!$C$47/Conv!$I$5</f>
        <v>12.982647892483834</v>
      </c>
      <c r="L48" s="67">
        <f>H48*Conv!$J$20/10^6/Conv!$C$47/Conv!$I$5</f>
        <v>15.695106255818095</v>
      </c>
      <c r="M48" s="67" t="e">
        <f>L48*#REF!</f>
        <v>#REF!</v>
      </c>
      <c r="N48" s="67" t="e">
        <f>M48*#REF!</f>
        <v>#REF!</v>
      </c>
      <c r="O48" s="67" t="e">
        <f>N48*#REF!</f>
        <v>#REF!</v>
      </c>
      <c r="P48" s="67" t="e">
        <f>O48*#REF!</f>
        <v>#REF!</v>
      </c>
      <c r="Q48" s="67" t="e">
        <f>P48*#REF!</f>
        <v>#REF!</v>
      </c>
      <c r="R48" s="67" t="e">
        <f>Q48*#REF!</f>
        <v>#REF!</v>
      </c>
      <c r="S48" s="67" t="e">
        <f>R48*#REF!</f>
        <v>#REF!</v>
      </c>
      <c r="T48" s="67" t="e">
        <f>S48*#REF!</f>
        <v>#REF!</v>
      </c>
      <c r="U48" s="67" t="e">
        <f>T48*#REF!</f>
        <v>#REF!</v>
      </c>
      <c r="V48" s="42"/>
      <c r="W48" s="83">
        <f>W44*$E$9</f>
        <v>192.71200000000002</v>
      </c>
      <c r="X48" s="83">
        <f t="shared" ref="X48:Z48" si="205">X44*$E$9</f>
        <v>154.42700000000002</v>
      </c>
      <c r="Y48" s="83">
        <f t="shared" si="205"/>
        <v>39.350999999999999</v>
      </c>
      <c r="Z48" s="83">
        <f t="shared" si="205"/>
        <v>43.446000000000005</v>
      </c>
      <c r="AA48" s="82">
        <f>W48*Conv!$C$47*Conv!$I$5*1000*365</f>
        <v>448.68306159564105</v>
      </c>
      <c r="AB48" s="82">
        <f>X48*Conv!$C$47*Conv!$I$5*1000*365</f>
        <v>359.54574262645849</v>
      </c>
      <c r="AC48" s="82">
        <f>Y48*Conv!$C$47*Conv!$I$5*1000*365</f>
        <v>91.619240923502801</v>
      </c>
      <c r="AD48" s="82">
        <f>Z48*Conv!$C$47*Conv!$I$5*1000*365</f>
        <v>101.15345330900111</v>
      </c>
      <c r="AE48" s="82">
        <f>AA48-AA47</f>
        <v>34.514081661203079</v>
      </c>
      <c r="AF48" s="82">
        <f t="shared" ref="AF48" si="206">AB48-AB47</f>
        <v>27.657364817419932</v>
      </c>
      <c r="AG48" s="82">
        <f t="shared" ref="AG48" si="207">AC48-AC47</f>
        <v>7.0476339171925275</v>
      </c>
      <c r="AH48" s="82">
        <f t="shared" ref="AH48" si="208">AD48-AD47</f>
        <v>7.7810348699231611</v>
      </c>
      <c r="AI48" s="53"/>
    </row>
    <row r="49" spans="1:37" ht="14.25" customHeight="1">
      <c r="A49" s="9" t="str">
        <f>'Agg crdcrv'!C26</f>
        <v>FHV</v>
      </c>
      <c r="B49" s="9" t="str">
        <f t="shared" si="0"/>
        <v>IMPOILHV23</v>
      </c>
      <c r="C49" s="9" t="str">
        <f>CONCATENATE("Imported ",VLOOKUP($A49,Types!$A$13:$C$18,3,FALSE),", PADD ",RIGHT(F49,1),", Step ",RIGHT(E49,1))</f>
        <v>Imported Imported Oil-High Sulfur, Very HG, PADD 2, Step 3</v>
      </c>
      <c r="D49" s="9" t="str">
        <f>CONCATENATE(VLOOKUP($A49,Types!$A$14:$C$18,2,FALSE),RIGHT(F49,1))</f>
        <v>OILHV2</v>
      </c>
      <c r="E49" s="9">
        <v>3</v>
      </c>
      <c r="F49" s="9" t="str">
        <f>'Agg crdcrv'!D26</f>
        <v>P2</v>
      </c>
      <c r="G49" s="66">
        <f>'Agg crdcrv'!H26*K5</f>
        <v>28.6</v>
      </c>
      <c r="H49" s="66">
        <f>'Agg crdcrv'!H31*K5</f>
        <v>45.993750000000006</v>
      </c>
      <c r="I49" s="66">
        <f>'Agg crdcrv'!H36*K5</f>
        <v>31.251000000000001</v>
      </c>
      <c r="J49" s="66">
        <f>'Agg crdcrv'!H41*K5</f>
        <v>33.088000000000001</v>
      </c>
      <c r="K49" s="67">
        <f>G49*Conv!$J$20/10^6/Conv!$C$47/Conv!$I$5</f>
        <v>6.8800465778928626</v>
      </c>
      <c r="L49" s="67">
        <f>H49*Conv!$J$20/10^6/Conv!$C$47/Conv!$I$5</f>
        <v>11.064305674544054</v>
      </c>
      <c r="M49" s="67" t="e">
        <f>L49*#REF!</f>
        <v>#REF!</v>
      </c>
      <c r="N49" s="67" t="e">
        <f>M49*#REF!</f>
        <v>#REF!</v>
      </c>
      <c r="O49" s="67" t="e">
        <f>N49*#REF!</f>
        <v>#REF!</v>
      </c>
      <c r="P49" s="67" t="e">
        <f>O49*#REF!</f>
        <v>#REF!</v>
      </c>
      <c r="Q49" s="67" t="e">
        <f>P49*#REF!</f>
        <v>#REF!</v>
      </c>
      <c r="R49" s="67" t="e">
        <f>Q49*#REF!</f>
        <v>#REF!</v>
      </c>
      <c r="S49" s="67" t="e">
        <f>R49*#REF!</f>
        <v>#REF!</v>
      </c>
      <c r="T49" s="67" t="e">
        <f>S49*#REF!</f>
        <v>#REF!</v>
      </c>
      <c r="U49" s="67" t="e">
        <f>T49*#REF!</f>
        <v>#REF!</v>
      </c>
      <c r="V49" s="42"/>
      <c r="W49" s="9">
        <f>'Agg crdcrv'!F26</f>
        <v>583.42999999999995</v>
      </c>
      <c r="X49" s="9">
        <f>'Agg crdcrv'!F31</f>
        <v>699.11</v>
      </c>
      <c r="Y49" s="9">
        <f>'Agg crdcrv'!F36</f>
        <v>43.85</v>
      </c>
      <c r="Z49" s="9">
        <f>'Agg crdcrv'!F41</f>
        <v>48.42</v>
      </c>
      <c r="AA49" s="82">
        <f>W49*Conv!$C$47*Conv!$I$5*1000*365</f>
        <v>1358.3749773067834</v>
      </c>
      <c r="AB49" s="82">
        <f>X49*Conv!$C$47*Conv!$I$5*1000*365</f>
        <v>1627.707746233388</v>
      </c>
      <c r="AC49" s="82">
        <f>Y49*Conv!$C$47*Conv!$I$5*1000*365</f>
        <v>102.09406913409059</v>
      </c>
      <c r="AD49" s="82">
        <f>Z49*Conv!$C$47*Conv!$I$5*1000*365</f>
        <v>112.73420359116682</v>
      </c>
      <c r="AE49" s="82">
        <f>AA49-AA51</f>
        <v>1086.6999818454267</v>
      </c>
      <c r="AF49" s="82">
        <f t="shared" ref="AF49" si="209">AB49-AB51</f>
        <v>1302.1661969867105</v>
      </c>
      <c r="AG49" s="82">
        <f t="shared" ref="AG49" si="210">AC49-AC51</f>
        <v>81.675255307272465</v>
      </c>
      <c r="AH49" s="82">
        <f t="shared" ref="AH49" si="211">AD49-AD51</f>
        <v>90.187362872933448</v>
      </c>
    </row>
    <row r="50" spans="1:37" ht="14.25" customHeight="1">
      <c r="A50" s="9" t="str">
        <f>A49</f>
        <v>FHV</v>
      </c>
      <c r="B50" s="9" t="str">
        <f t="shared" si="0"/>
        <v>IMPOILHV21</v>
      </c>
      <c r="C50" s="9" t="str">
        <f>CONCATENATE("Imported ",VLOOKUP($A50,Types!$A$13:$C$18,3,FALSE),", PADD ",RIGHT(F50,1),", Step ",RIGHT(E50,1))</f>
        <v>Imported Imported Oil-High Sulfur, Very HG, PADD 2, Step 1</v>
      </c>
      <c r="D50" s="9" t="str">
        <f>D49</f>
        <v>OILHV2</v>
      </c>
      <c r="E50" s="9">
        <v>1</v>
      </c>
      <c r="F50" s="9" t="str">
        <f>F49</f>
        <v>P2</v>
      </c>
      <c r="G50" s="66">
        <f>G49*$C$5</f>
        <v>25.740000000000002</v>
      </c>
      <c r="H50" s="66">
        <f t="shared" ref="H50" si="212">H49*$C$5</f>
        <v>41.394375000000004</v>
      </c>
      <c r="I50" s="66">
        <f t="shared" ref="I50" si="213">I49*$C$5</f>
        <v>28.125900000000001</v>
      </c>
      <c r="J50" s="66">
        <f t="shared" ref="J50" si="214">J49*$C$5</f>
        <v>29.779200000000003</v>
      </c>
      <c r="K50" s="67">
        <f>G50*Conv!$J$20/10^6/Conv!$C$47/Conv!$I$5</f>
        <v>6.192041920103577</v>
      </c>
      <c r="L50" s="67">
        <f>H50*Conv!$J$20/10^6/Conv!$C$47/Conv!$I$5</f>
        <v>9.9578751070896452</v>
      </c>
      <c r="M50" s="67" t="e">
        <f>L50*#REF!</f>
        <v>#REF!</v>
      </c>
      <c r="N50" s="67" t="e">
        <f>M50*#REF!</f>
        <v>#REF!</v>
      </c>
      <c r="O50" s="67" t="e">
        <f>N50*#REF!</f>
        <v>#REF!</v>
      </c>
      <c r="P50" s="67" t="e">
        <f>O50*#REF!</f>
        <v>#REF!</v>
      </c>
      <c r="Q50" s="67" t="e">
        <f>P50*#REF!</f>
        <v>#REF!</v>
      </c>
      <c r="R50" s="67" t="e">
        <f>Q50*#REF!</f>
        <v>#REF!</v>
      </c>
      <c r="S50" s="67" t="e">
        <f>R50*#REF!</f>
        <v>#REF!</v>
      </c>
      <c r="T50" s="67" t="e">
        <f>S50*#REF!</f>
        <v>#REF!</v>
      </c>
      <c r="U50" s="67" t="e">
        <f>T50*#REF!</f>
        <v>#REF!</v>
      </c>
      <c r="V50" s="42"/>
      <c r="W50" s="83">
        <f>W49*$E$5</f>
        <v>58.342999999999996</v>
      </c>
      <c r="X50" s="83">
        <f t="shared" ref="X50" si="215">X49*$E$5</f>
        <v>69.911000000000001</v>
      </c>
      <c r="Y50" s="83">
        <f t="shared" ref="Y50" si="216">Y49*$E$5</f>
        <v>4.3850000000000007</v>
      </c>
      <c r="Z50" s="83">
        <f t="shared" ref="Z50" si="217">Z49*$E$5</f>
        <v>4.8420000000000005</v>
      </c>
      <c r="AA50" s="82">
        <f>W50*Conv!$C$47*Conv!$I$5*1000*365</f>
        <v>135.83749773067834</v>
      </c>
      <c r="AB50" s="82">
        <f>X50*Conv!$C$47*Conv!$I$5*1000*365</f>
        <v>162.77077462333878</v>
      </c>
      <c r="AC50" s="82">
        <f>Y50*Conv!$C$47*Conv!$I$5*1000*365</f>
        <v>10.209406913409058</v>
      </c>
      <c r="AD50" s="82">
        <f>Z50*Conv!$C$47*Conv!$I$5*1000*365</f>
        <v>11.273420359116683</v>
      </c>
      <c r="AE50" s="82">
        <f>AA50</f>
        <v>135.83749773067834</v>
      </c>
      <c r="AF50" s="82">
        <f t="shared" ref="AF50" si="218">AB50</f>
        <v>162.77077462333878</v>
      </c>
      <c r="AG50" s="82">
        <f t="shared" ref="AG50" si="219">AC50</f>
        <v>10.209406913409058</v>
      </c>
      <c r="AH50" s="82">
        <f t="shared" ref="AH50" si="220">AD50</f>
        <v>11.273420359116683</v>
      </c>
      <c r="AI50" s="53"/>
    </row>
    <row r="51" spans="1:37" ht="14.25" customHeight="1">
      <c r="A51" s="9" t="str">
        <f t="shared" ref="A51:A53" si="221">A50</f>
        <v>FHV</v>
      </c>
      <c r="B51" s="9" t="str">
        <f t="shared" si="0"/>
        <v>IMPOILHV22</v>
      </c>
      <c r="C51" s="9" t="str">
        <f>CONCATENATE("Imported ",VLOOKUP($A51,Types!$A$13:$C$18,3,FALSE),", PADD ",RIGHT(F51,1),", Step ",RIGHT(E51,1))</f>
        <v>Imported Imported Oil-High Sulfur, Very HG, PADD 2, Step 2</v>
      </c>
      <c r="D51" s="9" t="str">
        <f t="shared" ref="D51:D53" si="222">D50</f>
        <v>OILHV2</v>
      </c>
      <c r="E51" s="9">
        <v>2</v>
      </c>
      <c r="F51" s="9" t="str">
        <f t="shared" ref="F51:F53" si="223">F50</f>
        <v>P2</v>
      </c>
      <c r="G51" s="66">
        <f>G49*$C$6</f>
        <v>27.17</v>
      </c>
      <c r="H51" s="66">
        <f t="shared" ref="H51:J51" si="224">H49*$C$6</f>
        <v>43.694062500000001</v>
      </c>
      <c r="I51" s="66">
        <f t="shared" si="224"/>
        <v>29.68845</v>
      </c>
      <c r="J51" s="66">
        <f t="shared" si="224"/>
        <v>31.433599999999998</v>
      </c>
      <c r="K51" s="67">
        <f>G51*Conv!$J$20/10^6/Conv!$C$47/Conv!$I$5</f>
        <v>6.5360442489982198</v>
      </c>
      <c r="L51" s="67">
        <f>H51*Conv!$J$20/10^6/Conv!$C$47/Conv!$I$5</f>
        <v>10.511090390816848</v>
      </c>
      <c r="M51" s="67" t="e">
        <f>L51*#REF!</f>
        <v>#REF!</v>
      </c>
      <c r="N51" s="67" t="e">
        <f>M51*#REF!</f>
        <v>#REF!</v>
      </c>
      <c r="O51" s="67" t="e">
        <f>N51*#REF!</f>
        <v>#REF!</v>
      </c>
      <c r="P51" s="67" t="e">
        <f>O51*#REF!</f>
        <v>#REF!</v>
      </c>
      <c r="Q51" s="67" t="e">
        <f>P51*#REF!</f>
        <v>#REF!</v>
      </c>
      <c r="R51" s="67" t="e">
        <f>Q51*#REF!</f>
        <v>#REF!</v>
      </c>
      <c r="S51" s="67" t="e">
        <f>R51*#REF!</f>
        <v>#REF!</v>
      </c>
      <c r="T51" s="67" t="e">
        <f>S51*#REF!</f>
        <v>#REF!</v>
      </c>
      <c r="U51" s="67" t="e">
        <f>T51*#REF!</f>
        <v>#REF!</v>
      </c>
      <c r="V51" s="42"/>
      <c r="W51" s="83">
        <f>W49*$E$6</f>
        <v>116.68599999999999</v>
      </c>
      <c r="X51" s="83">
        <f t="shared" ref="X51:Z51" si="225">X49*$E$6</f>
        <v>139.822</v>
      </c>
      <c r="Y51" s="83">
        <f t="shared" si="225"/>
        <v>8.7700000000000014</v>
      </c>
      <c r="Z51" s="83">
        <f t="shared" si="225"/>
        <v>9.6840000000000011</v>
      </c>
      <c r="AA51" s="82">
        <f>W51*Conv!$C$47*Conv!$I$5*1000*365</f>
        <v>271.67499546135667</v>
      </c>
      <c r="AB51" s="82">
        <f>X51*Conv!$C$47*Conv!$I$5*1000*365</f>
        <v>325.54154924667756</v>
      </c>
      <c r="AC51" s="82">
        <f>Y51*Conv!$C$47*Conv!$I$5*1000*365</f>
        <v>20.418813826818116</v>
      </c>
      <c r="AD51" s="82">
        <f>Z51*Conv!$C$47*Conv!$I$5*1000*365</f>
        <v>22.546840718233366</v>
      </c>
      <c r="AE51" s="82">
        <f>AA51-AE50</f>
        <v>135.83749773067834</v>
      </c>
      <c r="AF51" s="82">
        <f t="shared" ref="AF51" si="226">AB51-AF50</f>
        <v>162.77077462333878</v>
      </c>
      <c r="AG51" s="82">
        <f t="shared" ref="AG51" si="227">AC51-AG50</f>
        <v>10.209406913409058</v>
      </c>
      <c r="AH51" s="82">
        <f t="shared" ref="AH51" si="228">AD51-AH50</f>
        <v>11.273420359116683</v>
      </c>
      <c r="AI51" s="53"/>
    </row>
    <row r="52" spans="1:37" ht="14.25" customHeight="1">
      <c r="A52" s="9" t="str">
        <f t="shared" si="221"/>
        <v>FHV</v>
      </c>
      <c r="B52" s="9" t="str">
        <f t="shared" si="0"/>
        <v>IMPOILHV24</v>
      </c>
      <c r="C52" s="9" t="str">
        <f>CONCATENATE("Imported ",VLOOKUP($A52,Types!$A$13:$C$18,3,FALSE),", PADD ",RIGHT(F52,1),", Step ",RIGHT(E52,1))</f>
        <v>Imported Imported Oil-High Sulfur, Very HG, PADD 2, Step 4</v>
      </c>
      <c r="D52" s="9" t="str">
        <f t="shared" si="222"/>
        <v>OILHV2</v>
      </c>
      <c r="E52" s="9">
        <v>4</v>
      </c>
      <c r="F52" s="9" t="str">
        <f t="shared" si="223"/>
        <v>P2</v>
      </c>
      <c r="G52" s="66">
        <f>G49*$C$8</f>
        <v>30.03</v>
      </c>
      <c r="H52" s="66">
        <f t="shared" ref="H52:J52" si="229">H49*$C$8</f>
        <v>48.29343750000001</v>
      </c>
      <c r="I52" s="66">
        <f t="shared" si="229"/>
        <v>32.813549999999999</v>
      </c>
      <c r="J52" s="66">
        <f t="shared" si="229"/>
        <v>34.742400000000004</v>
      </c>
      <c r="K52" s="67">
        <f>G52*Conv!$J$20/10^6/Conv!$C$47/Conv!$I$5</f>
        <v>7.2240489067875053</v>
      </c>
      <c r="L52" s="67">
        <f>H52*Conv!$J$20/10^6/Conv!$C$47/Conv!$I$5</f>
        <v>11.617520958271253</v>
      </c>
      <c r="M52" s="67" t="e">
        <f>L52*#REF!</f>
        <v>#REF!</v>
      </c>
      <c r="N52" s="67" t="e">
        <f>M52*#REF!</f>
        <v>#REF!</v>
      </c>
      <c r="O52" s="67" t="e">
        <f>N52*#REF!</f>
        <v>#REF!</v>
      </c>
      <c r="P52" s="67" t="e">
        <f>O52*#REF!</f>
        <v>#REF!</v>
      </c>
      <c r="Q52" s="67" t="e">
        <f>P52*#REF!</f>
        <v>#REF!</v>
      </c>
      <c r="R52" s="67" t="e">
        <f>Q52*#REF!</f>
        <v>#REF!</v>
      </c>
      <c r="S52" s="67" t="e">
        <f>R52*#REF!</f>
        <v>#REF!</v>
      </c>
      <c r="T52" s="67" t="e">
        <f>S52*#REF!</f>
        <v>#REF!</v>
      </c>
      <c r="U52" s="67" t="e">
        <f>T52*#REF!</f>
        <v>#REF!</v>
      </c>
      <c r="V52" s="42"/>
      <c r="W52" s="83">
        <f>W49*$E$8</f>
        <v>700.11599999999987</v>
      </c>
      <c r="X52" s="83">
        <f t="shared" ref="X52:Z52" si="230">X49*$E$8</f>
        <v>838.93200000000002</v>
      </c>
      <c r="Y52" s="83">
        <f t="shared" si="230"/>
        <v>52.62</v>
      </c>
      <c r="Z52" s="83">
        <f t="shared" si="230"/>
        <v>58.103999999999999</v>
      </c>
      <c r="AA52" s="82">
        <f>W52*Conv!$C$47*Conv!$I$5*1000*365</f>
        <v>1630.0499727681397</v>
      </c>
      <c r="AB52" s="82">
        <f>X52*Conv!$C$47*Conv!$I$5*1000*365</f>
        <v>1953.2492954800657</v>
      </c>
      <c r="AC52" s="82">
        <f>Y52*Conv!$C$47*Conv!$I$5*1000*365</f>
        <v>122.51288296090867</v>
      </c>
      <c r="AD52" s="82">
        <f>Z52*Conv!$C$47*Conv!$I$5*1000*365</f>
        <v>135.28104430940019</v>
      </c>
      <c r="AE52" s="82">
        <f>AA52-AA49</f>
        <v>271.67499546135627</v>
      </c>
      <c r="AF52" s="82">
        <f t="shared" ref="AF52" si="231">AB52-AB49</f>
        <v>325.54154924667773</v>
      </c>
      <c r="AG52" s="82">
        <f t="shared" ref="AG52" si="232">AC52-AC49</f>
        <v>20.418813826818081</v>
      </c>
      <c r="AH52" s="82">
        <f t="shared" ref="AH52" si="233">AD52-AD49</f>
        <v>22.546840718233369</v>
      </c>
      <c r="AI52" s="53"/>
    </row>
    <row r="53" spans="1:37" ht="14.25" customHeight="1">
      <c r="A53" s="9" t="str">
        <f t="shared" si="221"/>
        <v>FHV</v>
      </c>
      <c r="B53" s="9" t="str">
        <f t="shared" si="0"/>
        <v>IMPOILHV25</v>
      </c>
      <c r="C53" s="9" t="str">
        <f>CONCATENATE("Imported ",VLOOKUP($A53,Types!$A$13:$C$18,3,FALSE),", PADD ",RIGHT(F53,1),", Step ",RIGHT(E53,1))</f>
        <v>Imported Imported Oil-High Sulfur, Very HG, PADD 2, Step 5</v>
      </c>
      <c r="D53" s="9" t="str">
        <f t="shared" si="222"/>
        <v>OILHV2</v>
      </c>
      <c r="E53" s="9">
        <v>5</v>
      </c>
      <c r="F53" s="9" t="str">
        <f t="shared" si="223"/>
        <v>P2</v>
      </c>
      <c r="G53" s="66">
        <f>G49*$C$9</f>
        <v>37.18</v>
      </c>
      <c r="H53" s="66">
        <f t="shared" ref="H53:J53" si="234">H49*$C$9</f>
        <v>59.791875000000012</v>
      </c>
      <c r="I53" s="66">
        <f t="shared" si="234"/>
        <v>40.626300000000001</v>
      </c>
      <c r="J53" s="66">
        <f t="shared" si="234"/>
        <v>43.014400000000002</v>
      </c>
      <c r="K53" s="67">
        <f>G53*Conv!$J$20/10^6/Conv!$C$47/Conv!$I$5</f>
        <v>8.944060551260721</v>
      </c>
      <c r="L53" s="67">
        <f>H53*Conv!$J$20/10^6/Conv!$C$47/Conv!$I$5</f>
        <v>14.383597376907268</v>
      </c>
      <c r="M53" s="67" t="e">
        <f>L53*#REF!</f>
        <v>#REF!</v>
      </c>
      <c r="N53" s="67" t="e">
        <f>M53*#REF!</f>
        <v>#REF!</v>
      </c>
      <c r="O53" s="67" t="e">
        <f>N53*#REF!</f>
        <v>#REF!</v>
      </c>
      <c r="P53" s="67" t="e">
        <f>O53*#REF!</f>
        <v>#REF!</v>
      </c>
      <c r="Q53" s="67" t="e">
        <f>P53*#REF!</f>
        <v>#REF!</v>
      </c>
      <c r="R53" s="67" t="e">
        <f>Q53*#REF!</f>
        <v>#REF!</v>
      </c>
      <c r="S53" s="67" t="e">
        <f>R53*#REF!</f>
        <v>#REF!</v>
      </c>
      <c r="T53" s="67" t="e">
        <f>S53*#REF!</f>
        <v>#REF!</v>
      </c>
      <c r="U53" s="67" t="e">
        <f>T53*#REF!</f>
        <v>#REF!</v>
      </c>
      <c r="V53" s="42"/>
      <c r="W53" s="83">
        <f>W49*$E$9</f>
        <v>758.45899999999995</v>
      </c>
      <c r="X53" s="83">
        <f t="shared" ref="X53:Z53" si="235">X49*$E$9</f>
        <v>908.84300000000007</v>
      </c>
      <c r="Y53" s="83">
        <f t="shared" si="235"/>
        <v>57.005000000000003</v>
      </c>
      <c r="Z53" s="83">
        <f t="shared" si="235"/>
        <v>62.946000000000005</v>
      </c>
      <c r="AA53" s="82">
        <f>W53*Conv!$C$47*Conv!$I$5*1000*365</f>
        <v>1765.8874704988184</v>
      </c>
      <c r="AB53" s="82">
        <f>X53*Conv!$C$47*Conv!$I$5*1000*365</f>
        <v>2116.0200701034041</v>
      </c>
      <c r="AC53" s="82">
        <f>Y53*Conv!$C$47*Conv!$I$5*1000*365</f>
        <v>132.72228987431774</v>
      </c>
      <c r="AD53" s="82">
        <f>Z53*Conv!$C$47*Conv!$I$5*1000*365</f>
        <v>146.55446466851686</v>
      </c>
      <c r="AE53" s="82">
        <f>AA53-AA52</f>
        <v>135.83749773067871</v>
      </c>
      <c r="AF53" s="82">
        <f t="shared" ref="AF53" si="236">AB53-AB52</f>
        <v>162.77077462333841</v>
      </c>
      <c r="AG53" s="82">
        <f t="shared" ref="AG53" si="237">AC53-AC52</f>
        <v>10.209406913409069</v>
      </c>
      <c r="AH53" s="82">
        <f t="shared" ref="AH53" si="238">AD53-AD52</f>
        <v>11.27342035911667</v>
      </c>
      <c r="AI53" s="53"/>
    </row>
    <row r="54" spans="1:37" ht="14.25" customHeight="1">
      <c r="A54" s="9" t="str">
        <f>'Agg crdcrv'!C27</f>
        <v>FLL</v>
      </c>
      <c r="B54" s="9" t="str">
        <f t="shared" si="0"/>
        <v>IMPOILLL23</v>
      </c>
      <c r="C54" s="9" t="str">
        <f>CONCATENATE("Imported ",VLOOKUP($A54,Types!$A$13:$C$18,3,FALSE),", PADD ",RIGHT(F54,1),", Step ",RIGHT(E54,1))</f>
        <v>Imported Imported Oil-Low Sulfur, Low G, PADD 2, Step 3</v>
      </c>
      <c r="D54" s="9" t="str">
        <f>CONCATENATE(VLOOKUP($A54,Types!$A$14:$C$18,2,FALSE),RIGHT(F54,1))</f>
        <v>OILLL2</v>
      </c>
      <c r="E54" s="9">
        <v>3</v>
      </c>
      <c r="F54" s="9" t="str">
        <f>'Agg crdcrv'!D27</f>
        <v>P2</v>
      </c>
      <c r="G54" s="66">
        <f>'Agg crdcrv'!H27*K5</f>
        <v>40.260000000000005</v>
      </c>
      <c r="H54" s="66">
        <f>'Agg crdcrv'!H32*K5</f>
        <v>60.981250000000003</v>
      </c>
      <c r="I54" s="66">
        <f>'Agg crdcrv'!H37*K5</f>
        <v>42.283999999999999</v>
      </c>
      <c r="J54" s="66">
        <f>'Agg crdcrv'!H42*K5</f>
        <v>44.440000000000005</v>
      </c>
      <c r="K54" s="67">
        <f>G54*Conv!$J$20/10^6/Conv!$C$47/Conv!$I$5</f>
        <v>9.6849886442645694</v>
      </c>
      <c r="L54" s="67">
        <f>H54*Conv!$J$20/10^6/Conv!$C$47/Conv!$I$5</f>
        <v>14.669714698535982</v>
      </c>
      <c r="M54" s="67" t="e">
        <f>L54*#REF!</f>
        <v>#REF!</v>
      </c>
      <c r="N54" s="67" t="e">
        <f>M54*#REF!</f>
        <v>#REF!</v>
      </c>
      <c r="O54" s="67" t="e">
        <f>N54*#REF!</f>
        <v>#REF!</v>
      </c>
      <c r="P54" s="67" t="e">
        <f>O54*#REF!</f>
        <v>#REF!</v>
      </c>
      <c r="Q54" s="67" t="e">
        <f>P54*#REF!</f>
        <v>#REF!</v>
      </c>
      <c r="R54" s="67" t="e">
        <f>Q54*#REF!</f>
        <v>#REF!</v>
      </c>
      <c r="S54" s="67" t="e">
        <f>R54*#REF!</f>
        <v>#REF!</v>
      </c>
      <c r="T54" s="67" t="e">
        <f>S54*#REF!</f>
        <v>#REF!</v>
      </c>
      <c r="U54" s="67" t="e">
        <f>T54*#REF!</f>
        <v>#REF!</v>
      </c>
      <c r="V54" s="42"/>
      <c r="W54" s="9">
        <f>'Agg crdcrv'!F27</f>
        <v>374.87</v>
      </c>
      <c r="X54" s="9">
        <f>'Agg crdcrv'!F32</f>
        <v>369.94</v>
      </c>
      <c r="Y54" s="9">
        <f>'Agg crdcrv'!F37</f>
        <v>1.85</v>
      </c>
      <c r="Z54" s="9">
        <f>'Agg crdcrv'!F42</f>
        <v>2.0499999999999998</v>
      </c>
      <c r="AA54" s="82">
        <f>W54*Conv!$C$47*Conv!$I$5*1000*365</f>
        <v>872.79369888931649</v>
      </c>
      <c r="AB54" s="82">
        <f>X54*Conv!$C$47*Conv!$I$5*1000*365</f>
        <v>861.31539191483387</v>
      </c>
      <c r="AC54" s="82">
        <f>Y54*Conv!$C$47*Conv!$I$5*1000*365</f>
        <v>4.3072754366720076</v>
      </c>
      <c r="AD54" s="82">
        <f>Z54*Conv!$C$47*Conv!$I$5*1000*365</f>
        <v>4.7729268352311429</v>
      </c>
      <c r="AE54" s="82">
        <f>AA54-AA56</f>
        <v>698.23495911145324</v>
      </c>
      <c r="AF54" s="82">
        <f t="shared" ref="AF54" si="239">AB54-AB56</f>
        <v>689.05231353186718</v>
      </c>
      <c r="AG54" s="82">
        <f t="shared" ref="AG54" si="240">AC54-AC56</f>
        <v>3.4458203493376063</v>
      </c>
      <c r="AH54" s="82">
        <f t="shared" ref="AH54" si="241">AD54-AD56</f>
        <v>3.8183414681849142</v>
      </c>
    </row>
    <row r="55" spans="1:37" ht="14.25" customHeight="1">
      <c r="A55" s="9" t="str">
        <f>A54</f>
        <v>FLL</v>
      </c>
      <c r="B55" s="9" t="str">
        <f t="shared" si="0"/>
        <v>IMPOILLL21</v>
      </c>
      <c r="C55" s="9" t="str">
        <f>CONCATENATE("Imported ",VLOOKUP($A55,Types!$A$13:$C$18,3,FALSE),", PADD ",RIGHT(F55,1),", Step ",RIGHT(E55,1))</f>
        <v>Imported Imported Oil-Low Sulfur, Low G, PADD 2, Step 1</v>
      </c>
      <c r="D55" s="9" t="str">
        <f>D54</f>
        <v>OILLL2</v>
      </c>
      <c r="E55" s="9">
        <v>1</v>
      </c>
      <c r="F55" s="9" t="str">
        <f>F54</f>
        <v>P2</v>
      </c>
      <c r="G55" s="66">
        <f>G54*$C$5</f>
        <v>36.234000000000009</v>
      </c>
      <c r="H55" s="66">
        <f t="shared" ref="H55" si="242">H54*$C$5</f>
        <v>54.883125000000007</v>
      </c>
      <c r="I55" s="66">
        <f t="shared" ref="I55" si="243">I54*$C$5</f>
        <v>38.055599999999998</v>
      </c>
      <c r="J55" s="66">
        <f t="shared" ref="J55" si="244">J54*$C$5</f>
        <v>39.996000000000002</v>
      </c>
      <c r="K55" s="67">
        <f>G55*Conv!$J$20/10^6/Conv!$C$47/Conv!$I$5</f>
        <v>8.7164897798381133</v>
      </c>
      <c r="L55" s="67">
        <f>H55*Conv!$J$20/10^6/Conv!$C$47/Conv!$I$5</f>
        <v>13.202743228682387</v>
      </c>
      <c r="M55" s="67" t="e">
        <f>L55*#REF!</f>
        <v>#REF!</v>
      </c>
      <c r="N55" s="67" t="e">
        <f>M55*#REF!</f>
        <v>#REF!</v>
      </c>
      <c r="O55" s="67" t="e">
        <f>N55*#REF!</f>
        <v>#REF!</v>
      </c>
      <c r="P55" s="67" t="e">
        <f>O55*#REF!</f>
        <v>#REF!</v>
      </c>
      <c r="Q55" s="67" t="e">
        <f>P55*#REF!</f>
        <v>#REF!</v>
      </c>
      <c r="R55" s="67" t="e">
        <f>Q55*#REF!</f>
        <v>#REF!</v>
      </c>
      <c r="S55" s="67" t="e">
        <f>R55*#REF!</f>
        <v>#REF!</v>
      </c>
      <c r="T55" s="67" t="e">
        <f>S55*#REF!</f>
        <v>#REF!</v>
      </c>
      <c r="U55" s="67" t="e">
        <f>T55*#REF!</f>
        <v>#REF!</v>
      </c>
      <c r="V55" s="42"/>
      <c r="W55" s="83">
        <f>W54*$E$5</f>
        <v>37.487000000000002</v>
      </c>
      <c r="X55" s="83">
        <f t="shared" ref="X55" si="245">X54*$E$5</f>
        <v>36.994</v>
      </c>
      <c r="Y55" s="83">
        <f t="shared" ref="Y55" si="246">Y54*$E$5</f>
        <v>0.18500000000000003</v>
      </c>
      <c r="Z55" s="83">
        <f t="shared" ref="Z55" si="247">Z54*$E$5</f>
        <v>0.20499999999999999</v>
      </c>
      <c r="AA55" s="82">
        <f>W55*Conv!$C$47*Conv!$I$5*1000*365</f>
        <v>87.279369888931654</v>
      </c>
      <c r="AB55" s="82">
        <f>X55*Conv!$C$47*Conv!$I$5*1000*365</f>
        <v>86.13153919148337</v>
      </c>
      <c r="AC55" s="82">
        <f>Y55*Conv!$C$47*Conv!$I$5*1000*365</f>
        <v>0.43072754366720079</v>
      </c>
      <c r="AD55" s="82">
        <f>Z55*Conv!$C$47*Conv!$I$5*1000*365</f>
        <v>0.47729268352311444</v>
      </c>
      <c r="AE55" s="82">
        <f>AA55</f>
        <v>87.279369888931654</v>
      </c>
      <c r="AF55" s="82">
        <f t="shared" ref="AF55" si="248">AB55</f>
        <v>86.13153919148337</v>
      </c>
      <c r="AG55" s="82">
        <f t="shared" ref="AG55" si="249">AC55</f>
        <v>0.43072754366720079</v>
      </c>
      <c r="AH55" s="82">
        <f t="shared" ref="AH55" si="250">AD55</f>
        <v>0.47729268352311444</v>
      </c>
      <c r="AI55" s="53"/>
    </row>
    <row r="56" spans="1:37" ht="14.25" customHeight="1">
      <c r="A56" s="9" t="str">
        <f t="shared" ref="A56:A58" si="251">A55</f>
        <v>FLL</v>
      </c>
      <c r="B56" s="9" t="str">
        <f t="shared" si="0"/>
        <v>IMPOILLL22</v>
      </c>
      <c r="C56" s="9" t="str">
        <f>CONCATENATE("Imported ",VLOOKUP($A56,Types!$A$13:$C$18,3,FALSE),", PADD ",RIGHT(F56,1),", Step ",RIGHT(E56,1))</f>
        <v>Imported Imported Oil-Low Sulfur, Low G, PADD 2, Step 2</v>
      </c>
      <c r="D56" s="9" t="str">
        <f t="shared" ref="D56:D58" si="252">D55</f>
        <v>OILLL2</v>
      </c>
      <c r="E56" s="9">
        <v>2</v>
      </c>
      <c r="F56" s="9" t="str">
        <f t="shared" ref="F56:F58" si="253">F55</f>
        <v>P2</v>
      </c>
      <c r="G56" s="66">
        <f>G54*$C$6</f>
        <v>38.247</v>
      </c>
      <c r="H56" s="66">
        <f t="shared" ref="H56:J56" si="254">H54*$C$6</f>
        <v>57.932187499999998</v>
      </c>
      <c r="I56" s="66">
        <f t="shared" si="254"/>
        <v>40.169799999999995</v>
      </c>
      <c r="J56" s="66">
        <f t="shared" si="254"/>
        <v>42.218000000000004</v>
      </c>
      <c r="K56" s="67">
        <f>G56*Conv!$J$20/10^6/Conv!$C$47/Conv!$I$5</f>
        <v>9.2007392120513387</v>
      </c>
      <c r="L56" s="67">
        <f>H56*Conv!$J$20/10^6/Conv!$C$47/Conv!$I$5</f>
        <v>13.936228963609183</v>
      </c>
      <c r="M56" s="67" t="e">
        <f>L56*#REF!</f>
        <v>#REF!</v>
      </c>
      <c r="N56" s="67" t="e">
        <f>M56*#REF!</f>
        <v>#REF!</v>
      </c>
      <c r="O56" s="67" t="e">
        <f>N56*#REF!</f>
        <v>#REF!</v>
      </c>
      <c r="P56" s="67" t="e">
        <f>O56*#REF!</f>
        <v>#REF!</v>
      </c>
      <c r="Q56" s="67" t="e">
        <f>P56*#REF!</f>
        <v>#REF!</v>
      </c>
      <c r="R56" s="67" t="e">
        <f>Q56*#REF!</f>
        <v>#REF!</v>
      </c>
      <c r="S56" s="67" t="e">
        <f>R56*#REF!</f>
        <v>#REF!</v>
      </c>
      <c r="T56" s="67" t="e">
        <f>S56*#REF!</f>
        <v>#REF!</v>
      </c>
      <c r="U56" s="67" t="e">
        <f>T56*#REF!</f>
        <v>#REF!</v>
      </c>
      <c r="V56" s="42"/>
      <c r="W56" s="83">
        <f>W54*$E$6</f>
        <v>74.974000000000004</v>
      </c>
      <c r="X56" s="83">
        <f t="shared" ref="X56:Z56" si="255">X54*$E$6</f>
        <v>73.988</v>
      </c>
      <c r="Y56" s="83">
        <f t="shared" si="255"/>
        <v>0.37000000000000005</v>
      </c>
      <c r="Z56" s="83">
        <f t="shared" si="255"/>
        <v>0.41</v>
      </c>
      <c r="AA56" s="82">
        <f>W56*Conv!$C$47*Conv!$I$5*1000*365</f>
        <v>174.55873977786331</v>
      </c>
      <c r="AB56" s="82">
        <f>X56*Conv!$C$47*Conv!$I$5*1000*365</f>
        <v>172.26307838296674</v>
      </c>
      <c r="AC56" s="82">
        <f>Y56*Conv!$C$47*Conv!$I$5*1000*365</f>
        <v>0.86145508733440157</v>
      </c>
      <c r="AD56" s="82">
        <f>Z56*Conv!$C$47*Conv!$I$5*1000*365</f>
        <v>0.95458536704622887</v>
      </c>
      <c r="AE56" s="82">
        <f>AA56-AE55</f>
        <v>87.279369888931654</v>
      </c>
      <c r="AF56" s="82">
        <f t="shared" ref="AF56" si="256">AB56-AF55</f>
        <v>86.13153919148337</v>
      </c>
      <c r="AG56" s="82">
        <f t="shared" ref="AG56" si="257">AC56-AG55</f>
        <v>0.43072754366720079</v>
      </c>
      <c r="AH56" s="82">
        <f t="shared" ref="AH56" si="258">AD56-AH55</f>
        <v>0.47729268352311444</v>
      </c>
      <c r="AI56" s="53"/>
    </row>
    <row r="57" spans="1:37" ht="14.25" customHeight="1">
      <c r="A57" s="9" t="str">
        <f t="shared" si="251"/>
        <v>FLL</v>
      </c>
      <c r="B57" s="9" t="str">
        <f t="shared" si="0"/>
        <v>IMPOILLL24</v>
      </c>
      <c r="C57" s="9" t="str">
        <f>CONCATENATE("Imported ",VLOOKUP($A57,Types!$A$13:$C$18,3,FALSE),", PADD ",RIGHT(F57,1),", Step ",RIGHT(E57,1))</f>
        <v>Imported Imported Oil-Low Sulfur, Low G, PADD 2, Step 4</v>
      </c>
      <c r="D57" s="9" t="str">
        <f t="shared" si="252"/>
        <v>OILLL2</v>
      </c>
      <c r="E57" s="9">
        <v>4</v>
      </c>
      <c r="F57" s="9" t="str">
        <f t="shared" si="253"/>
        <v>P2</v>
      </c>
      <c r="G57" s="66">
        <f>G54*$C$8</f>
        <v>42.27300000000001</v>
      </c>
      <c r="H57" s="66">
        <f t="shared" ref="H57:J57" si="259">H54*$C$8</f>
        <v>64.030312500000008</v>
      </c>
      <c r="I57" s="66">
        <f t="shared" si="259"/>
        <v>44.398200000000003</v>
      </c>
      <c r="J57" s="66">
        <f t="shared" si="259"/>
        <v>46.662000000000006</v>
      </c>
      <c r="K57" s="67">
        <f>G57*Conv!$J$20/10^6/Conv!$C$47/Conv!$I$5</f>
        <v>10.169238076477798</v>
      </c>
      <c r="L57" s="67">
        <f>H57*Conv!$J$20/10^6/Conv!$C$47/Conv!$I$5</f>
        <v>15.403200433462786</v>
      </c>
      <c r="M57" s="67" t="e">
        <f>L57*#REF!</f>
        <v>#REF!</v>
      </c>
      <c r="N57" s="67" t="e">
        <f>M57*#REF!</f>
        <v>#REF!</v>
      </c>
      <c r="O57" s="67" t="e">
        <f>N57*#REF!</f>
        <v>#REF!</v>
      </c>
      <c r="P57" s="67" t="e">
        <f>O57*#REF!</f>
        <v>#REF!</v>
      </c>
      <c r="Q57" s="67" t="e">
        <f>P57*#REF!</f>
        <v>#REF!</v>
      </c>
      <c r="R57" s="67" t="e">
        <f>Q57*#REF!</f>
        <v>#REF!</v>
      </c>
      <c r="S57" s="67" t="e">
        <f>R57*#REF!</f>
        <v>#REF!</v>
      </c>
      <c r="T57" s="67" t="e">
        <f>S57*#REF!</f>
        <v>#REF!</v>
      </c>
      <c r="U57" s="67" t="e">
        <f>T57*#REF!</f>
        <v>#REF!</v>
      </c>
      <c r="V57" s="42"/>
      <c r="W57" s="83">
        <f>W54*$E$8</f>
        <v>449.84399999999999</v>
      </c>
      <c r="X57" s="83">
        <f t="shared" ref="X57:Z57" si="260">X54*$E$8</f>
        <v>443.928</v>
      </c>
      <c r="Y57" s="83">
        <f t="shared" si="260"/>
        <v>2.2200000000000002</v>
      </c>
      <c r="Z57" s="83">
        <f t="shared" si="260"/>
        <v>2.4599999999999995</v>
      </c>
      <c r="AA57" s="82">
        <f>W57*Conv!$C$47*Conv!$I$5*1000*365</f>
        <v>1047.3524386671797</v>
      </c>
      <c r="AB57" s="82">
        <f>X57*Conv!$C$47*Conv!$I$5*1000*365</f>
        <v>1033.5784702978008</v>
      </c>
      <c r="AC57" s="82">
        <f>Y57*Conv!$C$47*Conv!$I$5*1000*365</f>
        <v>5.168730524006409</v>
      </c>
      <c r="AD57" s="82">
        <f>Z57*Conv!$C$47*Conv!$I$5*1000*365</f>
        <v>5.7275122022773708</v>
      </c>
      <c r="AE57" s="82">
        <f>AA57-AA54</f>
        <v>174.55873977786325</v>
      </c>
      <c r="AF57" s="82">
        <f t="shared" ref="AF57" si="261">AB57-AB54</f>
        <v>172.26307838296691</v>
      </c>
      <c r="AG57" s="82">
        <f t="shared" ref="AG57" si="262">AC57-AC54</f>
        <v>0.86145508733440135</v>
      </c>
      <c r="AH57" s="82">
        <f t="shared" ref="AH57" si="263">AD57-AD54</f>
        <v>0.95458536704622787</v>
      </c>
      <c r="AI57" s="53"/>
    </row>
    <row r="58" spans="1:37" ht="14.25" customHeight="1">
      <c r="A58" s="9" t="str">
        <f t="shared" si="251"/>
        <v>FLL</v>
      </c>
      <c r="B58" s="9" t="str">
        <f t="shared" si="0"/>
        <v>IMPOILLL25</v>
      </c>
      <c r="C58" s="9" t="str">
        <f>CONCATENATE("Imported ",VLOOKUP($A58,Types!$A$13:$C$18,3,FALSE),", PADD ",RIGHT(F58,1),", Step ",RIGHT(E58,1))</f>
        <v>Imported Imported Oil-Low Sulfur, Low G, PADD 2, Step 5</v>
      </c>
      <c r="D58" s="9" t="str">
        <f t="shared" si="252"/>
        <v>OILLL2</v>
      </c>
      <c r="E58" s="9">
        <v>5</v>
      </c>
      <c r="F58" s="9" t="str">
        <f t="shared" si="253"/>
        <v>P2</v>
      </c>
      <c r="G58" s="66">
        <f>G54*$C$9</f>
        <v>52.338000000000008</v>
      </c>
      <c r="H58" s="66">
        <f t="shared" ref="H58:J58" si="264">H54*$C$9</f>
        <v>79.275625000000005</v>
      </c>
      <c r="I58" s="66">
        <f t="shared" si="264"/>
        <v>54.969200000000001</v>
      </c>
      <c r="J58" s="66">
        <f t="shared" si="264"/>
        <v>57.772000000000006</v>
      </c>
      <c r="K58" s="67">
        <f>G58*Conv!$J$20/10^6/Conv!$C$47/Conv!$I$5</f>
        <v>12.590485237543941</v>
      </c>
      <c r="L58" s="67">
        <f>H58*Conv!$J$20/10^6/Conv!$C$47/Conv!$I$5</f>
        <v>19.070629108096782</v>
      </c>
      <c r="M58" s="67" t="e">
        <f>L58*#REF!</f>
        <v>#REF!</v>
      </c>
      <c r="N58" s="67" t="e">
        <f>M58*#REF!</f>
        <v>#REF!</v>
      </c>
      <c r="O58" s="67" t="e">
        <f>N58*#REF!</f>
        <v>#REF!</v>
      </c>
      <c r="P58" s="67" t="e">
        <f>O58*#REF!</f>
        <v>#REF!</v>
      </c>
      <c r="Q58" s="67" t="e">
        <f>P58*#REF!</f>
        <v>#REF!</v>
      </c>
      <c r="R58" s="67" t="e">
        <f>Q58*#REF!</f>
        <v>#REF!</v>
      </c>
      <c r="S58" s="67" t="e">
        <f>R58*#REF!</f>
        <v>#REF!</v>
      </c>
      <c r="T58" s="67" t="e">
        <f>S58*#REF!</f>
        <v>#REF!</v>
      </c>
      <c r="U58" s="67" t="e">
        <f>T58*#REF!</f>
        <v>#REF!</v>
      </c>
      <c r="V58" s="42"/>
      <c r="W58" s="83">
        <f>W54*$E$9</f>
        <v>487.33100000000002</v>
      </c>
      <c r="X58" s="83">
        <f t="shared" ref="X58:Z58" si="265">X54*$E$9</f>
        <v>480.92200000000003</v>
      </c>
      <c r="Y58" s="83">
        <f t="shared" si="265"/>
        <v>2.4050000000000002</v>
      </c>
      <c r="Z58" s="83">
        <f t="shared" si="265"/>
        <v>2.665</v>
      </c>
      <c r="AA58" s="82">
        <f>W58*Conv!$C$47*Conv!$I$5*1000*365</f>
        <v>1134.6318085561115</v>
      </c>
      <c r="AB58" s="82">
        <f>X58*Conv!$C$47*Conv!$I$5*1000*365</f>
        <v>1119.7100094892839</v>
      </c>
      <c r="AC58" s="82">
        <f>Y58*Conv!$C$47*Conv!$I$5*1000*365</f>
        <v>5.5994580676736101</v>
      </c>
      <c r="AD58" s="82">
        <f>Z58*Conv!$C$47*Conv!$I$5*1000*365</f>
        <v>6.2048048858004874</v>
      </c>
      <c r="AE58" s="82">
        <f>AA58-AA57</f>
        <v>87.279369888931797</v>
      </c>
      <c r="AF58" s="82">
        <f t="shared" ref="AF58" si="266">AB58-AB57</f>
        <v>86.131539191483171</v>
      </c>
      <c r="AG58" s="82">
        <f t="shared" ref="AG58" si="267">AC58-AC57</f>
        <v>0.43072754366720112</v>
      </c>
      <c r="AH58" s="82">
        <f t="shared" ref="AH58" si="268">AD58-AD57</f>
        <v>0.4772926835231166</v>
      </c>
      <c r="AI58" s="53"/>
    </row>
    <row r="59" spans="1:37" ht="14.25" customHeight="1">
      <c r="A59" s="9" t="str">
        <f>'Agg crdcrv'!C28</f>
        <v>FMH</v>
      </c>
      <c r="B59" s="9" t="str">
        <f t="shared" si="0"/>
        <v>IMPOILMH23</v>
      </c>
      <c r="C59" s="9" t="str">
        <f>CONCATENATE("Imported ",VLOOKUP($A59,Types!$A$13:$C$18,3,FALSE),", PADD ",RIGHT(F59,1),", Step ",RIGHT(E59,1))</f>
        <v>Imported Imported Oil-Medium Sulfur, HG, PADD 2, Step 3</v>
      </c>
      <c r="D59" s="9" t="str">
        <f>CONCATENATE(VLOOKUP($A59,Types!$A$14:$C$18,2,FALSE),RIGHT(F59,1))</f>
        <v>OILMH2</v>
      </c>
      <c r="E59" s="9">
        <v>3</v>
      </c>
      <c r="F59" s="9" t="str">
        <f>'Agg crdcrv'!D28</f>
        <v>P2</v>
      </c>
      <c r="G59" s="66">
        <f>'Agg crdcrv'!H28*K5</f>
        <v>36.201000000000001</v>
      </c>
      <c r="H59" s="66">
        <f>'Agg crdcrv'!H33*K5</f>
        <v>50.105000000000004</v>
      </c>
      <c r="I59" s="66">
        <f>'Agg crdcrv'!H38*K5</f>
        <v>34.441000000000003</v>
      </c>
      <c r="J59" s="66">
        <f>'Agg crdcrv'!H43*K5</f>
        <v>36.32200000000001</v>
      </c>
      <c r="K59" s="67">
        <f>G59*Conv!$J$20/10^6/Conv!$C$47/Conv!$I$5</f>
        <v>8.7085512645559255</v>
      </c>
      <c r="L59" s="67">
        <f>H59*Conv!$J$20/10^6/Conv!$C$47/Conv!$I$5</f>
        <v>12.053312370116149</v>
      </c>
      <c r="M59" s="67" t="e">
        <f>L59*#REF!</f>
        <v>#REF!</v>
      </c>
      <c r="N59" s="67" t="e">
        <f>M59*#REF!</f>
        <v>#REF!</v>
      </c>
      <c r="O59" s="67" t="e">
        <f>N59*#REF!</f>
        <v>#REF!</v>
      </c>
      <c r="P59" s="67" t="e">
        <f>O59*#REF!</f>
        <v>#REF!</v>
      </c>
      <c r="Q59" s="67" t="e">
        <f>P59*#REF!</f>
        <v>#REF!</v>
      </c>
      <c r="R59" s="67" t="e">
        <f>Q59*#REF!</f>
        <v>#REF!</v>
      </c>
      <c r="S59" s="67" t="e">
        <f>R59*#REF!</f>
        <v>#REF!</v>
      </c>
      <c r="T59" s="67" t="e">
        <f>S59*#REF!</f>
        <v>#REF!</v>
      </c>
      <c r="U59" s="67" t="e">
        <f>T59*#REF!</f>
        <v>#REF!</v>
      </c>
      <c r="V59" s="42"/>
      <c r="W59" s="9">
        <f>'Agg crdcrv'!F28</f>
        <v>227.53</v>
      </c>
      <c r="X59" s="9">
        <f>'Agg crdcrv'!F33</f>
        <v>34.909999999999997</v>
      </c>
      <c r="Y59" s="9">
        <f>'Agg crdcrv'!F38</f>
        <v>3.86</v>
      </c>
      <c r="Z59" s="9">
        <f>'Agg crdcrv'!F43</f>
        <v>4.26</v>
      </c>
      <c r="AA59" s="82">
        <f>W59*Conv!$C$47*Conv!$I$5*1000*365</f>
        <v>529.74831357080109</v>
      </c>
      <c r="AB59" s="82">
        <f>X59*Conv!$C$47*Conv!$I$5*1000*365</f>
        <v>81.279451618497177</v>
      </c>
      <c r="AC59" s="82">
        <f>Y59*Conv!$C$47*Conv!$I$5*1000*365</f>
        <v>8.9870719921913249</v>
      </c>
      <c r="AD59" s="82">
        <f>Z59*Conv!$C$47*Conv!$I$5*1000*365</f>
        <v>9.9183747893095955</v>
      </c>
      <c r="AE59" s="82">
        <f>AA59-AA61</f>
        <v>423.7986508566409</v>
      </c>
      <c r="AF59" s="82">
        <f t="shared" ref="AF59" si="269">AB59-AB61</f>
        <v>65.023561294797744</v>
      </c>
      <c r="AG59" s="82">
        <f t="shared" ref="AG59" si="270">AC59-AC61</f>
        <v>7.1896575937530596</v>
      </c>
      <c r="AH59" s="82">
        <f t="shared" ref="AH59" si="271">AD59-AD61</f>
        <v>7.9346998314476762</v>
      </c>
    </row>
    <row r="60" spans="1:37" ht="14.25" customHeight="1">
      <c r="A60" s="9" t="str">
        <f>A59</f>
        <v>FMH</v>
      </c>
      <c r="B60" s="9" t="str">
        <f t="shared" si="0"/>
        <v>IMPOILMH21</v>
      </c>
      <c r="C60" s="9" t="str">
        <f>CONCATENATE("Imported ",VLOOKUP($A60,Types!$A$13:$C$18,3,FALSE),", PADD ",RIGHT(F60,1),", Step ",RIGHT(E60,1))</f>
        <v>Imported Imported Oil-Medium Sulfur, HG, PADD 2, Step 1</v>
      </c>
      <c r="D60" s="9" t="str">
        <f>D59</f>
        <v>OILMH2</v>
      </c>
      <c r="E60" s="9">
        <v>1</v>
      </c>
      <c r="F60" s="9" t="str">
        <f>F59</f>
        <v>P2</v>
      </c>
      <c r="G60" s="66">
        <f>G59*$C$5</f>
        <v>32.5809</v>
      </c>
      <c r="H60" s="66">
        <f t="shared" ref="H60" si="272">H59*$C$5</f>
        <v>45.094500000000004</v>
      </c>
      <c r="I60" s="66">
        <f t="shared" ref="I60" si="273">I59*$C$5</f>
        <v>30.996900000000004</v>
      </c>
      <c r="J60" s="66">
        <f t="shared" ref="J60" si="274">J59*$C$5</f>
        <v>32.689800000000012</v>
      </c>
      <c r="K60" s="67">
        <f>G60*Conv!$J$20/10^6/Conv!$C$47/Conv!$I$5</f>
        <v>7.8376961381003349</v>
      </c>
      <c r="L60" s="67">
        <f>H60*Conv!$J$20/10^6/Conv!$C$47/Conv!$I$5</f>
        <v>10.847981133104536</v>
      </c>
      <c r="M60" s="67" t="e">
        <f>L60*#REF!</f>
        <v>#REF!</v>
      </c>
      <c r="N60" s="67" t="e">
        <f>M60*#REF!</f>
        <v>#REF!</v>
      </c>
      <c r="O60" s="67" t="e">
        <f>N60*#REF!</f>
        <v>#REF!</v>
      </c>
      <c r="P60" s="67" t="e">
        <f>O60*#REF!</f>
        <v>#REF!</v>
      </c>
      <c r="Q60" s="67" t="e">
        <f>P60*#REF!</f>
        <v>#REF!</v>
      </c>
      <c r="R60" s="67" t="e">
        <f>Q60*#REF!</f>
        <v>#REF!</v>
      </c>
      <c r="S60" s="67" t="e">
        <f>R60*#REF!</f>
        <v>#REF!</v>
      </c>
      <c r="T60" s="67" t="e">
        <f>S60*#REF!</f>
        <v>#REF!</v>
      </c>
      <c r="U60" s="67" t="e">
        <f>T60*#REF!</f>
        <v>#REF!</v>
      </c>
      <c r="V60" s="42"/>
      <c r="W60" s="83">
        <f>W59*$E$5</f>
        <v>22.753</v>
      </c>
      <c r="X60" s="83">
        <f t="shared" ref="X60" si="275">X59*$E$5</f>
        <v>3.4909999999999997</v>
      </c>
      <c r="Y60" s="83">
        <f t="shared" ref="Y60" si="276">Y59*$E$5</f>
        <v>0.38600000000000001</v>
      </c>
      <c r="Z60" s="83">
        <f t="shared" ref="Z60" si="277">Z59*$E$5</f>
        <v>0.42599999999999999</v>
      </c>
      <c r="AA60" s="82">
        <f>W60*Conv!$C$47*Conv!$I$5*1000*365</f>
        <v>52.974831357080099</v>
      </c>
      <c r="AB60" s="82">
        <f>X60*Conv!$C$47*Conv!$I$5*1000*365</f>
        <v>8.127945161849718</v>
      </c>
      <c r="AC60" s="82">
        <f>Y60*Conv!$C$47*Conv!$I$5*1000*365</f>
        <v>0.89870719921913245</v>
      </c>
      <c r="AD60" s="82">
        <f>Z60*Conv!$C$47*Conv!$I$5*1000*365</f>
        <v>0.99183747893095964</v>
      </c>
      <c r="AE60" s="82">
        <f>AA60</f>
        <v>52.974831357080099</v>
      </c>
      <c r="AF60" s="82">
        <f t="shared" ref="AF60" si="278">AB60</f>
        <v>8.127945161849718</v>
      </c>
      <c r="AG60" s="82">
        <f t="shared" ref="AG60" si="279">AC60</f>
        <v>0.89870719921913245</v>
      </c>
      <c r="AH60" s="82">
        <f t="shared" ref="AH60" si="280">AD60</f>
        <v>0.99183747893095964</v>
      </c>
      <c r="AI60" s="53"/>
    </row>
    <row r="61" spans="1:37" ht="14.25" customHeight="1">
      <c r="A61" s="9" t="str">
        <f t="shared" ref="A61:A63" si="281">A60</f>
        <v>FMH</v>
      </c>
      <c r="B61" s="9" t="str">
        <f t="shared" si="0"/>
        <v>IMPOILMH22</v>
      </c>
      <c r="C61" s="9" t="str">
        <f>CONCATENATE("Imported ",VLOOKUP($A61,Types!$A$13:$C$18,3,FALSE),", PADD ",RIGHT(F61,1),", Step ",RIGHT(E61,1))</f>
        <v>Imported Imported Oil-Medium Sulfur, HG, PADD 2, Step 2</v>
      </c>
      <c r="D61" s="9" t="str">
        <f t="shared" ref="D61:D63" si="282">D60</f>
        <v>OILMH2</v>
      </c>
      <c r="E61" s="9">
        <v>2</v>
      </c>
      <c r="F61" s="9" t="str">
        <f t="shared" ref="F61:F63" si="283">F60</f>
        <v>P2</v>
      </c>
      <c r="G61" s="66">
        <f>G59*$C$6</f>
        <v>34.390949999999997</v>
      </c>
      <c r="H61" s="66">
        <f t="shared" ref="H61:J61" si="284">H59*$C$6</f>
        <v>47.59975</v>
      </c>
      <c r="I61" s="66">
        <f t="shared" si="284"/>
        <v>32.71895</v>
      </c>
      <c r="J61" s="66">
        <f t="shared" si="284"/>
        <v>34.505900000000011</v>
      </c>
      <c r="K61" s="67">
        <f>G61*Conv!$J$20/10^6/Conv!$C$47/Conv!$I$5</f>
        <v>8.2731237013281316</v>
      </c>
      <c r="L61" s="67">
        <f>H61*Conv!$J$20/10^6/Conv!$C$47/Conv!$I$5</f>
        <v>11.450646751610343</v>
      </c>
      <c r="M61" s="67" t="e">
        <f>L61*#REF!</f>
        <v>#REF!</v>
      </c>
      <c r="N61" s="67" t="e">
        <f>M61*#REF!</f>
        <v>#REF!</v>
      </c>
      <c r="O61" s="67" t="e">
        <f>N61*#REF!</f>
        <v>#REF!</v>
      </c>
      <c r="P61" s="67" t="e">
        <f>O61*#REF!</f>
        <v>#REF!</v>
      </c>
      <c r="Q61" s="67" t="e">
        <f>P61*#REF!</f>
        <v>#REF!</v>
      </c>
      <c r="R61" s="67" t="e">
        <f>Q61*#REF!</f>
        <v>#REF!</v>
      </c>
      <c r="S61" s="67" t="e">
        <f>R61*#REF!</f>
        <v>#REF!</v>
      </c>
      <c r="T61" s="67" t="e">
        <f>S61*#REF!</f>
        <v>#REF!</v>
      </c>
      <c r="U61" s="67" t="e">
        <f>T61*#REF!</f>
        <v>#REF!</v>
      </c>
      <c r="V61" s="42"/>
      <c r="W61" s="83">
        <f>W59*$E$6</f>
        <v>45.506</v>
      </c>
      <c r="X61" s="83">
        <f t="shared" ref="X61:Z61" si="285">X59*$E$6</f>
        <v>6.9819999999999993</v>
      </c>
      <c r="Y61" s="83">
        <f t="shared" si="285"/>
        <v>0.77200000000000002</v>
      </c>
      <c r="Z61" s="83">
        <f t="shared" si="285"/>
        <v>0.85199999999999998</v>
      </c>
      <c r="AA61" s="82">
        <f>W61*Conv!$C$47*Conv!$I$5*1000*365</f>
        <v>105.9496627141602</v>
      </c>
      <c r="AB61" s="82">
        <f>X61*Conv!$C$47*Conv!$I$5*1000*365</f>
        <v>16.255890323699436</v>
      </c>
      <c r="AC61" s="82">
        <f>Y61*Conv!$C$47*Conv!$I$5*1000*365</f>
        <v>1.7974143984382649</v>
      </c>
      <c r="AD61" s="82">
        <f>Z61*Conv!$C$47*Conv!$I$5*1000*365</f>
        <v>1.9836749578619193</v>
      </c>
      <c r="AE61" s="82">
        <f>AA61-AE60</f>
        <v>52.974831357080099</v>
      </c>
      <c r="AF61" s="82">
        <f t="shared" ref="AF61" si="286">AB61-AF60</f>
        <v>8.127945161849718</v>
      </c>
      <c r="AG61" s="82">
        <f t="shared" ref="AG61" si="287">AC61-AG60</f>
        <v>0.89870719921913245</v>
      </c>
      <c r="AH61" s="82">
        <f t="shared" ref="AH61" si="288">AD61-AH60</f>
        <v>0.99183747893095964</v>
      </c>
      <c r="AI61" s="53"/>
    </row>
    <row r="62" spans="1:37" ht="14.25" customHeight="1">
      <c r="A62" s="9" t="str">
        <f t="shared" si="281"/>
        <v>FMH</v>
      </c>
      <c r="B62" s="9" t="str">
        <f t="shared" si="0"/>
        <v>IMPOILMH24</v>
      </c>
      <c r="C62" s="9" t="str">
        <f>CONCATENATE("Imported ",VLOOKUP($A62,Types!$A$13:$C$18,3,FALSE),", PADD ",RIGHT(F62,1),", Step ",RIGHT(E62,1))</f>
        <v>Imported Imported Oil-Medium Sulfur, HG, PADD 2, Step 4</v>
      </c>
      <c r="D62" s="9" t="str">
        <f t="shared" si="282"/>
        <v>OILMH2</v>
      </c>
      <c r="E62" s="9">
        <v>4</v>
      </c>
      <c r="F62" s="9" t="str">
        <f t="shared" si="283"/>
        <v>P2</v>
      </c>
      <c r="G62" s="66">
        <f>G59*$C$8</f>
        <v>38.011050000000004</v>
      </c>
      <c r="H62" s="66">
        <f t="shared" ref="H62:J62" si="289">H59*$C$8</f>
        <v>52.610250000000008</v>
      </c>
      <c r="I62" s="66">
        <f t="shared" si="289"/>
        <v>36.163050000000005</v>
      </c>
      <c r="J62" s="66">
        <f t="shared" si="289"/>
        <v>38.138100000000009</v>
      </c>
      <c r="K62" s="67">
        <f>G62*Conv!$J$20/10^6/Conv!$C$47/Conv!$I$5</f>
        <v>9.1439788277837248</v>
      </c>
      <c r="L62" s="67">
        <f>H62*Conv!$J$20/10^6/Conv!$C$47/Conv!$I$5</f>
        <v>12.655977988621959</v>
      </c>
      <c r="M62" s="67" t="e">
        <f>L62*#REF!</f>
        <v>#REF!</v>
      </c>
      <c r="N62" s="67" t="e">
        <f>M62*#REF!</f>
        <v>#REF!</v>
      </c>
      <c r="O62" s="67" t="e">
        <f>N62*#REF!</f>
        <v>#REF!</v>
      </c>
      <c r="P62" s="67" t="e">
        <f>O62*#REF!</f>
        <v>#REF!</v>
      </c>
      <c r="Q62" s="67" t="e">
        <f>P62*#REF!</f>
        <v>#REF!</v>
      </c>
      <c r="R62" s="67" t="e">
        <f>Q62*#REF!</f>
        <v>#REF!</v>
      </c>
      <c r="S62" s="67" t="e">
        <f>R62*#REF!</f>
        <v>#REF!</v>
      </c>
      <c r="T62" s="67" t="e">
        <f>S62*#REF!</f>
        <v>#REF!</v>
      </c>
      <c r="U62" s="67" t="e">
        <f>T62*#REF!</f>
        <v>#REF!</v>
      </c>
      <c r="V62" s="42"/>
      <c r="W62" s="83">
        <f>W59*$E$8</f>
        <v>273.036</v>
      </c>
      <c r="X62" s="83">
        <f t="shared" ref="X62:Z62" si="290">X59*$E$8</f>
        <v>41.891999999999996</v>
      </c>
      <c r="Y62" s="83">
        <f t="shared" si="290"/>
        <v>4.6319999999999997</v>
      </c>
      <c r="Z62" s="83">
        <f t="shared" si="290"/>
        <v>5.1119999999999992</v>
      </c>
      <c r="AA62" s="82">
        <f>W62*Conv!$C$47*Conv!$I$5*1000*365</f>
        <v>635.69797628496133</v>
      </c>
      <c r="AB62" s="82">
        <f>X62*Conv!$C$47*Conv!$I$5*1000*365</f>
        <v>97.535341942196609</v>
      </c>
      <c r="AC62" s="82">
        <f>Y62*Conv!$C$47*Conv!$I$5*1000*365</f>
        <v>10.784486390629588</v>
      </c>
      <c r="AD62" s="82">
        <f>Z62*Conv!$C$47*Conv!$I$5*1000*365</f>
        <v>11.902049747171514</v>
      </c>
      <c r="AE62" s="82">
        <f>AA62-AA59</f>
        <v>105.94966271416024</v>
      </c>
      <c r="AF62" s="82">
        <f t="shared" ref="AF62" si="291">AB62-AB59</f>
        <v>16.255890323699433</v>
      </c>
      <c r="AG62" s="82">
        <f t="shared" ref="AG62" si="292">AC62-AC59</f>
        <v>1.7974143984382636</v>
      </c>
      <c r="AH62" s="82">
        <f t="shared" ref="AH62" si="293">AD62-AD59</f>
        <v>1.9836749578619184</v>
      </c>
      <c r="AI62" s="53"/>
    </row>
    <row r="63" spans="1:37" ht="14.25" customHeight="1">
      <c r="A63" s="9" t="str">
        <f t="shared" si="281"/>
        <v>FMH</v>
      </c>
      <c r="B63" s="9" t="str">
        <f t="shared" si="0"/>
        <v>IMPOILMH25</v>
      </c>
      <c r="C63" s="9" t="str">
        <f>CONCATENATE("Imported ",VLOOKUP($A63,Types!$A$13:$C$18,3,FALSE),", PADD ",RIGHT(F63,1),", Step ",RIGHT(E63,1))</f>
        <v>Imported Imported Oil-Medium Sulfur, HG, PADD 2, Step 5</v>
      </c>
      <c r="D63" s="9" t="str">
        <f t="shared" si="282"/>
        <v>OILMH2</v>
      </c>
      <c r="E63" s="9">
        <v>5</v>
      </c>
      <c r="F63" s="9" t="str">
        <f t="shared" si="283"/>
        <v>P2</v>
      </c>
      <c r="G63" s="66">
        <f>G59*$C$9</f>
        <v>47.061300000000003</v>
      </c>
      <c r="H63" s="66">
        <f t="shared" ref="H63:J63" si="294">H59*$C$9</f>
        <v>65.136500000000012</v>
      </c>
      <c r="I63" s="66">
        <f t="shared" si="294"/>
        <v>44.773300000000006</v>
      </c>
      <c r="J63" s="66">
        <f t="shared" si="294"/>
        <v>47.218600000000016</v>
      </c>
      <c r="K63" s="67">
        <f>G63*Conv!$J$20/10^6/Conv!$C$47/Conv!$I$5</f>
        <v>11.321116643922707</v>
      </c>
      <c r="L63" s="67">
        <f>H63*Conv!$J$20/10^6/Conv!$C$47/Conv!$I$5</f>
        <v>15.669306081150996</v>
      </c>
      <c r="M63" s="67" t="e">
        <f>L63*#REF!</f>
        <v>#REF!</v>
      </c>
      <c r="N63" s="67" t="e">
        <f>M63*#REF!</f>
        <v>#REF!</v>
      </c>
      <c r="O63" s="67" t="e">
        <f>N63*#REF!</f>
        <v>#REF!</v>
      </c>
      <c r="P63" s="67" t="e">
        <f>O63*#REF!</f>
        <v>#REF!</v>
      </c>
      <c r="Q63" s="67" t="e">
        <f>P63*#REF!</f>
        <v>#REF!</v>
      </c>
      <c r="R63" s="67" t="e">
        <f>Q63*#REF!</f>
        <v>#REF!</v>
      </c>
      <c r="S63" s="67" t="e">
        <f>R63*#REF!</f>
        <v>#REF!</v>
      </c>
      <c r="T63" s="67" t="e">
        <f>S63*#REF!</f>
        <v>#REF!</v>
      </c>
      <c r="U63" s="67" t="e">
        <f>T63*#REF!</f>
        <v>#REF!</v>
      </c>
      <c r="V63" s="42"/>
      <c r="W63" s="83">
        <f>W59*$E$9</f>
        <v>295.78899999999999</v>
      </c>
      <c r="X63" s="83">
        <f t="shared" ref="X63:Z63" si="295">X59*$E$9</f>
        <v>45.382999999999996</v>
      </c>
      <c r="Y63" s="83">
        <f t="shared" si="295"/>
        <v>5.0179999999999998</v>
      </c>
      <c r="Z63" s="83">
        <f t="shared" si="295"/>
        <v>5.5380000000000003</v>
      </c>
      <c r="AA63" s="82">
        <f>W63*Conv!$C$47*Conv!$I$5*1000*365</f>
        <v>688.67280764204133</v>
      </c>
      <c r="AB63" s="82">
        <f>X63*Conv!$C$47*Conv!$I$5*1000*365</f>
        <v>105.66328710404632</v>
      </c>
      <c r="AC63" s="82">
        <f>Y63*Conv!$C$47*Conv!$I$5*1000*365</f>
        <v>11.68319358984872</v>
      </c>
      <c r="AD63" s="82">
        <f>Z63*Conv!$C$47*Conv!$I$5*1000*365</f>
        <v>12.893887226102477</v>
      </c>
      <c r="AE63" s="82">
        <f>AA63-AA62</f>
        <v>52.974831357080006</v>
      </c>
      <c r="AF63" s="82">
        <f t="shared" ref="AF63" si="296">AB63-AB62</f>
        <v>8.1279451618497092</v>
      </c>
      <c r="AG63" s="82">
        <f t="shared" ref="AG63" si="297">AC63-AC62</f>
        <v>0.89870719921913178</v>
      </c>
      <c r="AH63" s="82">
        <f t="shared" ref="AH63" si="298">AD63-AD62</f>
        <v>0.99183747893096275</v>
      </c>
      <c r="AI63" s="53"/>
    </row>
    <row r="64" spans="1:37" ht="12.75">
      <c r="A64" s="10" t="s">
        <v>528</v>
      </c>
      <c r="B64" s="10"/>
      <c r="C64" s="10"/>
      <c r="D64" s="48"/>
      <c r="E64" s="48"/>
      <c r="F64" s="48"/>
      <c r="G64" s="63"/>
      <c r="H64" s="73"/>
      <c r="I64" s="63"/>
      <c r="J64" s="73"/>
      <c r="K64" s="64"/>
      <c r="L64" s="74"/>
      <c r="M64" s="64"/>
      <c r="N64" s="74"/>
      <c r="O64" s="64"/>
      <c r="P64" s="74"/>
      <c r="Q64" s="64"/>
      <c r="R64" s="74"/>
      <c r="S64" s="64"/>
      <c r="T64" s="74"/>
      <c r="U64" s="64"/>
      <c r="V64" s="10"/>
      <c r="W64" s="10"/>
      <c r="X64" s="48"/>
      <c r="Y64" s="10"/>
      <c r="Z64" s="48"/>
      <c r="AA64" s="76"/>
      <c r="AB64" s="76"/>
      <c r="AC64" s="76"/>
      <c r="AD64" s="76"/>
      <c r="AE64" s="76"/>
      <c r="AF64" s="75"/>
      <c r="AG64" s="76"/>
      <c r="AH64" s="75"/>
      <c r="AI64" s="10"/>
      <c r="AJ64" s="48"/>
      <c r="AK64" s="10"/>
    </row>
    <row r="65" spans="1:35" ht="14.25" customHeight="1">
      <c r="A65" s="9" t="str">
        <f>'Agg crdcrv'!C44</f>
        <v>FHH</v>
      </c>
      <c r="B65" s="9" t="str">
        <f t="shared" si="0"/>
        <v>IMPOILHH33</v>
      </c>
      <c r="C65" s="9" t="str">
        <f>CONCATENATE("Imported ",VLOOKUP($A65,Types!$A$13:$C$18,3,FALSE),", PADD ",RIGHT(F65,1),", Step ",RIGHT(E65,1))</f>
        <v>Imported Imported Oil-High Sulfur, Heavy G, PADD 3, Step 3</v>
      </c>
      <c r="D65" s="9" t="str">
        <f>CONCATENATE(VLOOKUP($A65,Types!$A$14:$C$18,2,FALSE),RIGHT(F65,1))</f>
        <v>OILHH3</v>
      </c>
      <c r="E65" s="9">
        <v>3</v>
      </c>
      <c r="F65" s="9" t="str">
        <f>'Agg crdcrv'!D44</f>
        <v>P3</v>
      </c>
      <c r="G65" s="66">
        <f>'Agg crdcrv'!H44*K5</f>
        <v>31.900000000000002</v>
      </c>
      <c r="H65" s="66">
        <f>'Agg crdcrv'!H49*K5</f>
        <v>46.406250000000007</v>
      </c>
      <c r="I65" s="66">
        <f>'Agg crdcrv'!H54*K5</f>
        <v>31.57</v>
      </c>
      <c r="J65" s="66">
        <f>'Agg crdcrv'!H59*K5</f>
        <v>33.407000000000004</v>
      </c>
      <c r="K65" s="67">
        <f>G65*Conv!$J$20/10^6/Conv!$C$47/Conv!$I$5</f>
        <v>7.6738981061112703</v>
      </c>
      <c r="L65" s="67">
        <f>H65*Conv!$J$20/10^6/Conv!$C$47/Conv!$I$5</f>
        <v>11.163537115571355</v>
      </c>
      <c r="M65" s="67" t="e">
        <f>L65*#REF!</f>
        <v>#REF!</v>
      </c>
      <c r="N65" s="67" t="e">
        <f>M65*#REF!</f>
        <v>#REF!</v>
      </c>
      <c r="O65" s="67" t="e">
        <f>N65*#REF!</f>
        <v>#REF!</v>
      </c>
      <c r="P65" s="67" t="e">
        <f>O65*#REF!</f>
        <v>#REF!</v>
      </c>
      <c r="Q65" s="67" t="e">
        <f>P65*#REF!</f>
        <v>#REF!</v>
      </c>
      <c r="R65" s="67" t="e">
        <f>Q65*#REF!</f>
        <v>#REF!</v>
      </c>
      <c r="S65" s="67" t="e">
        <f>R65*#REF!</f>
        <v>#REF!</v>
      </c>
      <c r="T65" s="67" t="e">
        <f>S65*#REF!</f>
        <v>#REF!</v>
      </c>
      <c r="U65" s="67" t="e">
        <f>T65*#REF!</f>
        <v>#REF!</v>
      </c>
      <c r="V65" s="42"/>
      <c r="W65" s="9">
        <f>'Agg crdcrv'!F44</f>
        <v>1525.41</v>
      </c>
      <c r="X65" s="9">
        <f>'Agg crdcrv'!F49</f>
        <v>1078.94</v>
      </c>
      <c r="Y65" s="9">
        <f>'Agg crdcrv'!F54</f>
        <v>432.71</v>
      </c>
      <c r="Z65" s="9">
        <f>'Agg crdcrv'!F59</f>
        <v>477.74</v>
      </c>
      <c r="AA65" s="82">
        <f>W65*Conv!$C$47*Conv!$I$5*1000*365</f>
        <v>3551.546499380458</v>
      </c>
      <c r="AB65" s="82">
        <f>X65*Conv!$C$47*Conv!$I$5*1000*365</f>
        <v>2512.0495998069709</v>
      </c>
      <c r="AC65" s="82">
        <f>Y65*Conv!$C$47*Conv!$I$5*1000*365</f>
        <v>1007.4600833526185</v>
      </c>
      <c r="AD65" s="82">
        <f>Z65*Conv!$C$47*Conv!$I$5*1000*365</f>
        <v>1112.3014957382081</v>
      </c>
      <c r="AE65" s="82">
        <f>AA65-AA67</f>
        <v>2841.2371995043663</v>
      </c>
      <c r="AF65" s="82">
        <f t="shared" ref="AF65" si="299">AB65-AB67</f>
        <v>2009.6396798455767</v>
      </c>
      <c r="AG65" s="82">
        <f t="shared" ref="AG65" si="300">AC65-AC67</f>
        <v>805.96806668209479</v>
      </c>
      <c r="AH65" s="82">
        <f t="shared" ref="AH65" si="301">AD65-AD67</f>
        <v>889.84119659056648</v>
      </c>
    </row>
    <row r="66" spans="1:35" ht="14.25" customHeight="1">
      <c r="A66" s="9" t="str">
        <f>A65</f>
        <v>FHH</v>
      </c>
      <c r="B66" s="9" t="str">
        <f t="shared" si="0"/>
        <v>IMPOILHH31</v>
      </c>
      <c r="C66" s="9" t="str">
        <f>CONCATENATE("Imported ",VLOOKUP($A66,Types!$A$13:$C$18,3,FALSE),", PADD ",RIGHT(F66,1),", Step ",RIGHT(E66,1))</f>
        <v>Imported Imported Oil-High Sulfur, Heavy G, PADD 3, Step 1</v>
      </c>
      <c r="D66" s="9" t="str">
        <f>D65</f>
        <v>OILHH3</v>
      </c>
      <c r="E66" s="9">
        <v>1</v>
      </c>
      <c r="F66" s="9" t="str">
        <f>F65</f>
        <v>P3</v>
      </c>
      <c r="G66" s="66">
        <f>G65*$C$5</f>
        <v>28.71</v>
      </c>
      <c r="H66" s="66">
        <f t="shared" ref="H66" si="302">H65*$C$5</f>
        <v>41.765625000000007</v>
      </c>
      <c r="I66" s="66">
        <f t="shared" ref="I66" si="303">I65*$C$5</f>
        <v>28.413</v>
      </c>
      <c r="J66" s="66">
        <f t="shared" ref="J66" si="304">J65*$C$5</f>
        <v>30.066300000000005</v>
      </c>
      <c r="K66" s="67">
        <f>G66*Conv!$J$20/10^6/Conv!$C$47/Conv!$I$5</f>
        <v>6.9065082955001431</v>
      </c>
      <c r="L66" s="67">
        <f>H66*Conv!$J$20/10^6/Conv!$C$47/Conv!$I$5</f>
        <v>10.04718340401422</v>
      </c>
      <c r="M66" s="67" t="e">
        <f>L66*#REF!</f>
        <v>#REF!</v>
      </c>
      <c r="N66" s="67" t="e">
        <f>M66*#REF!</f>
        <v>#REF!</v>
      </c>
      <c r="O66" s="67" t="e">
        <f>N66*#REF!</f>
        <v>#REF!</v>
      </c>
      <c r="P66" s="67" t="e">
        <f>O66*#REF!</f>
        <v>#REF!</v>
      </c>
      <c r="Q66" s="67" t="e">
        <f>P66*#REF!</f>
        <v>#REF!</v>
      </c>
      <c r="R66" s="67" t="e">
        <f>Q66*#REF!</f>
        <v>#REF!</v>
      </c>
      <c r="S66" s="67" t="e">
        <f>R66*#REF!</f>
        <v>#REF!</v>
      </c>
      <c r="T66" s="67" t="e">
        <f>S66*#REF!</f>
        <v>#REF!</v>
      </c>
      <c r="U66" s="67" t="e">
        <f>T66*#REF!</f>
        <v>#REF!</v>
      </c>
      <c r="V66" s="42"/>
      <c r="W66" s="83">
        <f>W65*$E$5</f>
        <v>152.54100000000003</v>
      </c>
      <c r="X66" s="83">
        <f t="shared" ref="X66" si="305">X65*$E$5</f>
        <v>107.89400000000001</v>
      </c>
      <c r="Y66" s="83">
        <f t="shared" ref="Y66" si="306">Y65*$E$5</f>
        <v>43.271000000000001</v>
      </c>
      <c r="Z66" s="83">
        <f t="shared" ref="Z66" si="307">Z65*$E$5</f>
        <v>47.774000000000001</v>
      </c>
      <c r="AA66" s="82">
        <f>W66*Conv!$C$47*Conv!$I$5*1000*365</f>
        <v>355.15464993804585</v>
      </c>
      <c r="AB66" s="82">
        <f>X66*Conv!$C$47*Conv!$I$5*1000*365</f>
        <v>251.20495998069708</v>
      </c>
      <c r="AC66" s="82">
        <f>Y66*Conv!$C$47*Conv!$I$5*1000*365</f>
        <v>100.74600833526185</v>
      </c>
      <c r="AD66" s="82">
        <f>Z66*Conv!$C$47*Conv!$I$5*1000*365</f>
        <v>111.23014957382081</v>
      </c>
      <c r="AE66" s="82">
        <f>AA66</f>
        <v>355.15464993804585</v>
      </c>
      <c r="AF66" s="82">
        <f t="shared" ref="AF66" si="308">AB66</f>
        <v>251.20495998069708</v>
      </c>
      <c r="AG66" s="82">
        <f t="shared" ref="AG66" si="309">AC66</f>
        <v>100.74600833526185</v>
      </c>
      <c r="AH66" s="82">
        <f t="shared" ref="AH66" si="310">AD66</f>
        <v>111.23014957382081</v>
      </c>
      <c r="AI66" s="53"/>
    </row>
    <row r="67" spans="1:35" ht="14.25" customHeight="1">
      <c r="A67" s="9" t="str">
        <f t="shared" ref="A67:A69" si="311">A66</f>
        <v>FHH</v>
      </c>
      <c r="B67" s="9" t="str">
        <f t="shared" si="0"/>
        <v>IMPOILHH32</v>
      </c>
      <c r="C67" s="9" t="str">
        <f>CONCATENATE("Imported ",VLOOKUP($A67,Types!$A$13:$C$18,3,FALSE),", PADD ",RIGHT(F67,1),", Step ",RIGHT(E67,1))</f>
        <v>Imported Imported Oil-High Sulfur, Heavy G, PADD 3, Step 2</v>
      </c>
      <c r="D67" s="9" t="str">
        <f t="shared" ref="D67:D69" si="312">D66</f>
        <v>OILHH3</v>
      </c>
      <c r="E67" s="9">
        <v>2</v>
      </c>
      <c r="F67" s="9" t="str">
        <f t="shared" ref="F67:F69" si="313">F66</f>
        <v>P3</v>
      </c>
      <c r="G67" s="66">
        <f>G65*$C$6</f>
        <v>30.305</v>
      </c>
      <c r="H67" s="66">
        <f t="shared" ref="H67:J67" si="314">H65*$C$6</f>
        <v>44.085937500000007</v>
      </c>
      <c r="I67" s="66">
        <f t="shared" si="314"/>
        <v>29.991499999999998</v>
      </c>
      <c r="J67" s="66">
        <f t="shared" si="314"/>
        <v>31.736650000000001</v>
      </c>
      <c r="K67" s="67">
        <f>G67*Conv!$J$20/10^6/Conv!$C$47/Conv!$I$5</f>
        <v>7.2902032008057063</v>
      </c>
      <c r="L67" s="67">
        <f>H67*Conv!$J$20/10^6/Conv!$C$47/Conv!$I$5</f>
        <v>10.605360259792784</v>
      </c>
      <c r="M67" s="67" t="e">
        <f>L67*#REF!</f>
        <v>#REF!</v>
      </c>
      <c r="N67" s="67" t="e">
        <f>M67*#REF!</f>
        <v>#REF!</v>
      </c>
      <c r="O67" s="67" t="e">
        <f>N67*#REF!</f>
        <v>#REF!</v>
      </c>
      <c r="P67" s="67" t="e">
        <f>O67*#REF!</f>
        <v>#REF!</v>
      </c>
      <c r="Q67" s="67" t="e">
        <f>P67*#REF!</f>
        <v>#REF!</v>
      </c>
      <c r="R67" s="67" t="e">
        <f>Q67*#REF!</f>
        <v>#REF!</v>
      </c>
      <c r="S67" s="67" t="e">
        <f>R67*#REF!</f>
        <v>#REF!</v>
      </c>
      <c r="T67" s="67" t="e">
        <f>S67*#REF!</f>
        <v>#REF!</v>
      </c>
      <c r="U67" s="67" t="e">
        <f>T67*#REF!</f>
        <v>#REF!</v>
      </c>
      <c r="V67" s="42"/>
      <c r="W67" s="83">
        <f>W65*$E$6</f>
        <v>305.08200000000005</v>
      </c>
      <c r="X67" s="83">
        <f t="shared" ref="X67:Z67" si="315">X65*$E$6</f>
        <v>215.78800000000001</v>
      </c>
      <c r="Y67" s="83">
        <f t="shared" si="315"/>
        <v>86.542000000000002</v>
      </c>
      <c r="Z67" s="83">
        <f t="shared" si="315"/>
        <v>95.548000000000002</v>
      </c>
      <c r="AA67" s="82">
        <f>W67*Conv!$C$47*Conv!$I$5*1000*365</f>
        <v>710.3092998760917</v>
      </c>
      <c r="AB67" s="82">
        <f>X67*Conv!$C$47*Conv!$I$5*1000*365</f>
        <v>502.40991996139417</v>
      </c>
      <c r="AC67" s="82">
        <f>Y67*Conv!$C$47*Conv!$I$5*1000*365</f>
        <v>201.4920166705237</v>
      </c>
      <c r="AD67" s="82">
        <f>Z67*Conv!$C$47*Conv!$I$5*1000*365</f>
        <v>222.46029914764162</v>
      </c>
      <c r="AE67" s="82">
        <f>AA67-AE66</f>
        <v>355.15464993804585</v>
      </c>
      <c r="AF67" s="82">
        <f t="shared" ref="AF67" si="316">AB67-AF66</f>
        <v>251.20495998069708</v>
      </c>
      <c r="AG67" s="82">
        <f t="shared" ref="AG67" si="317">AC67-AG66</f>
        <v>100.74600833526185</v>
      </c>
      <c r="AH67" s="82">
        <f t="shared" ref="AH67" si="318">AD67-AH66</f>
        <v>111.23014957382081</v>
      </c>
      <c r="AI67" s="53"/>
    </row>
    <row r="68" spans="1:35" ht="14.25" customHeight="1">
      <c r="A68" s="9" t="str">
        <f t="shared" si="311"/>
        <v>FHH</v>
      </c>
      <c r="B68" s="9" t="str">
        <f t="shared" si="0"/>
        <v>IMPOILHH34</v>
      </c>
      <c r="C68" s="9" t="str">
        <f>CONCATENATE("Imported ",VLOOKUP($A68,Types!$A$13:$C$18,3,FALSE),", PADD ",RIGHT(F68,1),", Step ",RIGHT(E68,1))</f>
        <v>Imported Imported Oil-High Sulfur, Heavy G, PADD 3, Step 4</v>
      </c>
      <c r="D68" s="9" t="str">
        <f t="shared" si="312"/>
        <v>OILHH3</v>
      </c>
      <c r="E68" s="9">
        <v>4</v>
      </c>
      <c r="F68" s="9" t="str">
        <f t="shared" si="313"/>
        <v>P3</v>
      </c>
      <c r="G68" s="66">
        <f>G65*$C$8</f>
        <v>33.495000000000005</v>
      </c>
      <c r="H68" s="66">
        <f t="shared" ref="H68:J68" si="319">H65*$C$8</f>
        <v>48.726562500000007</v>
      </c>
      <c r="I68" s="66">
        <f t="shared" si="319"/>
        <v>33.148499999999999</v>
      </c>
      <c r="J68" s="66">
        <f t="shared" si="319"/>
        <v>35.077350000000003</v>
      </c>
      <c r="K68" s="67">
        <f>G68*Conv!$J$20/10^6/Conv!$C$47/Conv!$I$5</f>
        <v>8.0575930114168361</v>
      </c>
      <c r="L68" s="67">
        <f>H68*Conv!$J$20/10^6/Conv!$C$47/Conv!$I$5</f>
        <v>11.721713971349921</v>
      </c>
      <c r="M68" s="67" t="e">
        <f>L68*#REF!</f>
        <v>#REF!</v>
      </c>
      <c r="N68" s="67" t="e">
        <f>M68*#REF!</f>
        <v>#REF!</v>
      </c>
      <c r="O68" s="67" t="e">
        <f>N68*#REF!</f>
        <v>#REF!</v>
      </c>
      <c r="P68" s="67" t="e">
        <f>O68*#REF!</f>
        <v>#REF!</v>
      </c>
      <c r="Q68" s="67" t="e">
        <f>P68*#REF!</f>
        <v>#REF!</v>
      </c>
      <c r="R68" s="67" t="e">
        <f>Q68*#REF!</f>
        <v>#REF!</v>
      </c>
      <c r="S68" s="67" t="e">
        <f>R68*#REF!</f>
        <v>#REF!</v>
      </c>
      <c r="T68" s="67" t="e">
        <f>S68*#REF!</f>
        <v>#REF!</v>
      </c>
      <c r="U68" s="67" t="e">
        <f>T68*#REF!</f>
        <v>#REF!</v>
      </c>
      <c r="V68" s="42"/>
      <c r="W68" s="83">
        <f>W65*$E$8</f>
        <v>1830.492</v>
      </c>
      <c r="X68" s="83">
        <f t="shared" ref="X68:Z68" si="320">X65*$E$8</f>
        <v>1294.7280000000001</v>
      </c>
      <c r="Y68" s="83">
        <f t="shared" si="320"/>
        <v>519.25199999999995</v>
      </c>
      <c r="Z68" s="83">
        <f t="shared" si="320"/>
        <v>573.28800000000001</v>
      </c>
      <c r="AA68" s="82">
        <f>W68*Conv!$C$47*Conv!$I$5*1000*365</f>
        <v>4261.8557992565502</v>
      </c>
      <c r="AB68" s="82">
        <f>X68*Conv!$C$47*Conv!$I$5*1000*365</f>
        <v>3014.4595197683648</v>
      </c>
      <c r="AC68" s="82">
        <f>Y68*Conv!$C$47*Conv!$I$5*1000*365</f>
        <v>1208.9521000231421</v>
      </c>
      <c r="AD68" s="82">
        <f>Z68*Conv!$C$47*Conv!$I$5*1000*365</f>
        <v>1334.7617948858497</v>
      </c>
      <c r="AE68" s="82">
        <f>AA68-AA65</f>
        <v>710.30929987609215</v>
      </c>
      <c r="AF68" s="82">
        <f t="shared" ref="AF68" si="321">AB68-AB65</f>
        <v>502.40991996139383</v>
      </c>
      <c r="AG68" s="82">
        <f t="shared" ref="AG68" si="322">AC68-AC65</f>
        <v>201.49201667052353</v>
      </c>
      <c r="AH68" s="82">
        <f t="shared" ref="AH68" si="323">AD68-AD65</f>
        <v>222.46029914764154</v>
      </c>
      <c r="AI68" s="53"/>
    </row>
    <row r="69" spans="1:35" ht="14.25" customHeight="1">
      <c r="A69" s="9" t="str">
        <f t="shared" si="311"/>
        <v>FHH</v>
      </c>
      <c r="B69" s="9" t="str">
        <f t="shared" si="0"/>
        <v>IMPOILHH35</v>
      </c>
      <c r="C69" s="9" t="str">
        <f>CONCATENATE("Imported ",VLOOKUP($A69,Types!$A$13:$C$18,3,FALSE),", PADD ",RIGHT(F69,1),", Step ",RIGHT(E69,1))</f>
        <v>Imported Imported Oil-High Sulfur, Heavy G, PADD 3, Step 5</v>
      </c>
      <c r="D69" s="9" t="str">
        <f t="shared" si="312"/>
        <v>OILHH3</v>
      </c>
      <c r="E69" s="9">
        <v>5</v>
      </c>
      <c r="F69" s="9" t="str">
        <f t="shared" si="313"/>
        <v>P3</v>
      </c>
      <c r="G69" s="66">
        <f>G65*$C$9</f>
        <v>41.470000000000006</v>
      </c>
      <c r="H69" s="66">
        <f t="shared" ref="H69:J69" si="324">H65*$C$9</f>
        <v>60.328125000000014</v>
      </c>
      <c r="I69" s="66">
        <f t="shared" si="324"/>
        <v>41.041000000000004</v>
      </c>
      <c r="J69" s="66">
        <f t="shared" si="324"/>
        <v>43.429100000000005</v>
      </c>
      <c r="K69" s="67">
        <f>G69*Conv!$J$20/10^6/Conv!$C$47/Conv!$I$5</f>
        <v>9.9760675379446511</v>
      </c>
      <c r="L69" s="67">
        <f>H69*Conv!$J$20/10^6/Conv!$C$47/Conv!$I$5</f>
        <v>14.512598250242762</v>
      </c>
      <c r="M69" s="67" t="e">
        <f>L69*#REF!</f>
        <v>#REF!</v>
      </c>
      <c r="N69" s="67" t="e">
        <f>M69*#REF!</f>
        <v>#REF!</v>
      </c>
      <c r="O69" s="67" t="e">
        <f>N69*#REF!</f>
        <v>#REF!</v>
      </c>
      <c r="P69" s="67" t="e">
        <f>O69*#REF!</f>
        <v>#REF!</v>
      </c>
      <c r="Q69" s="67" t="e">
        <f>P69*#REF!</f>
        <v>#REF!</v>
      </c>
      <c r="R69" s="67" t="e">
        <f>Q69*#REF!</f>
        <v>#REF!</v>
      </c>
      <c r="S69" s="67" t="e">
        <f>R69*#REF!</f>
        <v>#REF!</v>
      </c>
      <c r="T69" s="67" t="e">
        <f>S69*#REF!</f>
        <v>#REF!</v>
      </c>
      <c r="U69" s="67" t="e">
        <f>T69*#REF!</f>
        <v>#REF!</v>
      </c>
      <c r="V69" s="42"/>
      <c r="W69" s="83">
        <f>W65*$E$9</f>
        <v>1983.0330000000001</v>
      </c>
      <c r="X69" s="83">
        <f t="shared" ref="X69:Z69" si="325">X65*$E$9</f>
        <v>1402.6220000000001</v>
      </c>
      <c r="Y69" s="83">
        <f t="shared" si="325"/>
        <v>562.52300000000002</v>
      </c>
      <c r="Z69" s="83">
        <f t="shared" si="325"/>
        <v>621.06200000000001</v>
      </c>
      <c r="AA69" s="82">
        <f>W69*Conv!$C$47*Conv!$I$5*1000*365</f>
        <v>4617.0104491945967</v>
      </c>
      <c r="AB69" s="82">
        <f>X69*Conv!$C$47*Conv!$I$5*1000*365</f>
        <v>3265.6644797490626</v>
      </c>
      <c r="AC69" s="82">
        <f>Y69*Conv!$C$47*Conv!$I$5*1000*365</f>
        <v>1309.6981083584042</v>
      </c>
      <c r="AD69" s="82">
        <f>Z69*Conv!$C$47*Conv!$I$5*1000*365</f>
        <v>1445.9919444596705</v>
      </c>
      <c r="AE69" s="82">
        <f>AA69-AA68</f>
        <v>355.15464993804653</v>
      </c>
      <c r="AF69" s="82">
        <f t="shared" ref="AF69" si="326">AB69-AB68</f>
        <v>251.20495998069782</v>
      </c>
      <c r="AG69" s="82">
        <f t="shared" ref="AG69" si="327">AC69-AC68</f>
        <v>100.7460083352621</v>
      </c>
      <c r="AH69" s="82">
        <f t="shared" ref="AH69" si="328">AD69-AD68</f>
        <v>111.23014957382088</v>
      </c>
      <c r="AI69" s="53"/>
    </row>
    <row r="70" spans="1:35" ht="14.25" customHeight="1">
      <c r="A70" s="9" t="str">
        <f>'Agg crdcrv'!C45</f>
        <v>FHL</v>
      </c>
      <c r="B70" s="9" t="str">
        <f t="shared" si="0"/>
        <v>IMPOILHL33</v>
      </c>
      <c r="C70" s="9" t="str">
        <f>CONCATENATE("Imported ",VLOOKUP($A70,Types!$A$13:$C$18,3,FALSE),", PADD ",RIGHT(F70,1),", Step ",RIGHT(E70,1))</f>
        <v>Imported Imported Oil-High Sulfur, Low G, PADD 3, Step 3</v>
      </c>
      <c r="D70" s="9" t="str">
        <f>CONCATENATE(VLOOKUP($A70,Types!$A$14:$C$18,2,FALSE),RIGHT(F70,1))</f>
        <v>OILHL3</v>
      </c>
      <c r="E70" s="9">
        <v>3</v>
      </c>
      <c r="F70" s="9" t="str">
        <f>'Agg crdcrv'!D45</f>
        <v>P3</v>
      </c>
      <c r="G70" s="66">
        <f>'Agg crdcrv'!H45*K5</f>
        <v>41.514000000000003</v>
      </c>
      <c r="H70" s="66">
        <f>'Agg crdcrv'!H50*K5</f>
        <v>50.187500000000007</v>
      </c>
      <c r="I70" s="66">
        <f>'Agg crdcrv'!H55*K5</f>
        <v>34.551000000000002</v>
      </c>
      <c r="J70" s="66">
        <f>'Agg crdcrv'!H60*K5</f>
        <v>36.410000000000004</v>
      </c>
      <c r="K70" s="67">
        <f>G70*Conv!$J$20/10^6/Conv!$C$47/Conv!$I$5</f>
        <v>9.9866522249875622</v>
      </c>
      <c r="L70" s="67">
        <f>H70*Conv!$J$20/10^6/Conv!$C$47/Conv!$I$5</f>
        <v>12.073158658321612</v>
      </c>
      <c r="M70" s="67" t="e">
        <f>L70*#REF!</f>
        <v>#REF!</v>
      </c>
      <c r="N70" s="67" t="e">
        <f>M70*#REF!</f>
        <v>#REF!</v>
      </c>
      <c r="O70" s="67" t="e">
        <f>N70*#REF!</f>
        <v>#REF!</v>
      </c>
      <c r="P70" s="67" t="e">
        <f>O70*#REF!</f>
        <v>#REF!</v>
      </c>
      <c r="Q70" s="67" t="e">
        <f>P70*#REF!</f>
        <v>#REF!</v>
      </c>
      <c r="R70" s="67" t="e">
        <f>Q70*#REF!</f>
        <v>#REF!</v>
      </c>
      <c r="S70" s="67" t="e">
        <f>R70*#REF!</f>
        <v>#REF!</v>
      </c>
      <c r="T70" s="67" t="e">
        <f>S70*#REF!</f>
        <v>#REF!</v>
      </c>
      <c r="U70" s="67" t="e">
        <f>T70*#REF!</f>
        <v>#REF!</v>
      </c>
      <c r="V70" s="42"/>
      <c r="W70" s="9">
        <f>'Agg crdcrv'!F45</f>
        <v>270.20999999999998</v>
      </c>
      <c r="X70" s="9">
        <f>'Agg crdcrv'!F50</f>
        <v>328.69</v>
      </c>
      <c r="Y70" s="9">
        <f>'Agg crdcrv'!F55</f>
        <v>63.98</v>
      </c>
      <c r="Z70" s="9">
        <f>'Agg crdcrv'!F60</f>
        <v>70.64</v>
      </c>
      <c r="AA70" s="82">
        <f>W70*Conv!$C$47*Conv!$I$5*1000*365</f>
        <v>629.11832202332062</v>
      </c>
      <c r="AB70" s="82">
        <f>X70*Conv!$C$47*Conv!$I$5*1000*365</f>
        <v>765.27479096201193</v>
      </c>
      <c r="AC70" s="82">
        <f>Y70*Conv!$C$47*Conv!$I$5*1000*365</f>
        <v>148.96188239906758</v>
      </c>
      <c r="AD70" s="82">
        <f>Z70*Conv!$C$47*Conv!$I$5*1000*365</f>
        <v>164.46807397108685</v>
      </c>
      <c r="AE70" s="82">
        <f>AA70-AA72</f>
        <v>503.29465761865652</v>
      </c>
      <c r="AF70" s="82">
        <f t="shared" ref="AF70" si="329">AB70-AB72</f>
        <v>612.21983276960952</v>
      </c>
      <c r="AG70" s="82">
        <f t="shared" ref="AG70" si="330">AC70-AC72</f>
        <v>119.16950591925406</v>
      </c>
      <c r="AH70" s="82">
        <f t="shared" ref="AH70" si="331">AD70-AD72</f>
        <v>131.57445917686948</v>
      </c>
    </row>
    <row r="71" spans="1:35" ht="14.25" customHeight="1">
      <c r="A71" s="9" t="str">
        <f>A70</f>
        <v>FHL</v>
      </c>
      <c r="B71" s="9" t="str">
        <f t="shared" si="0"/>
        <v>IMPOILHL31</v>
      </c>
      <c r="C71" s="9" t="str">
        <f>CONCATENATE("Imported ",VLOOKUP($A71,Types!$A$13:$C$18,3,FALSE),", PADD ",RIGHT(F71,1),", Step ",RIGHT(E71,1))</f>
        <v>Imported Imported Oil-High Sulfur, Low G, PADD 3, Step 1</v>
      </c>
      <c r="D71" s="9" t="str">
        <f>D70</f>
        <v>OILHL3</v>
      </c>
      <c r="E71" s="9">
        <v>1</v>
      </c>
      <c r="F71" s="9" t="str">
        <f>F70</f>
        <v>P3</v>
      </c>
      <c r="G71" s="66">
        <f>G70*$C$5</f>
        <v>37.3626</v>
      </c>
      <c r="H71" s="66">
        <f t="shared" ref="H71" si="332">H70*$C$5</f>
        <v>45.16875000000001</v>
      </c>
      <c r="I71" s="66">
        <f t="shared" ref="I71" si="333">I70*$C$5</f>
        <v>31.095900000000004</v>
      </c>
      <c r="J71" s="66">
        <f t="shared" ref="J71" si="334">J70*$C$5</f>
        <v>32.769000000000005</v>
      </c>
      <c r="K71" s="67">
        <f>G71*Conv!$J$20/10^6/Conv!$C$47/Conv!$I$5</f>
        <v>8.987987002488806</v>
      </c>
      <c r="L71" s="67">
        <f>H71*Conv!$J$20/10^6/Conv!$C$47/Conv!$I$5</f>
        <v>10.865842792489451</v>
      </c>
      <c r="M71" s="67" t="e">
        <f>L71*#REF!</f>
        <v>#REF!</v>
      </c>
      <c r="N71" s="67" t="e">
        <f>M71*#REF!</f>
        <v>#REF!</v>
      </c>
      <c r="O71" s="67" t="e">
        <f>N71*#REF!</f>
        <v>#REF!</v>
      </c>
      <c r="P71" s="67" t="e">
        <f>O71*#REF!</f>
        <v>#REF!</v>
      </c>
      <c r="Q71" s="67" t="e">
        <f>P71*#REF!</f>
        <v>#REF!</v>
      </c>
      <c r="R71" s="67" t="e">
        <f>Q71*#REF!</f>
        <v>#REF!</v>
      </c>
      <c r="S71" s="67" t="e">
        <f>R71*#REF!</f>
        <v>#REF!</v>
      </c>
      <c r="T71" s="67" t="e">
        <f>S71*#REF!</f>
        <v>#REF!</v>
      </c>
      <c r="U71" s="67" t="e">
        <f>T71*#REF!</f>
        <v>#REF!</v>
      </c>
      <c r="V71" s="42"/>
      <c r="W71" s="83">
        <f>W70*$E$5</f>
        <v>27.021000000000001</v>
      </c>
      <c r="X71" s="83">
        <f t="shared" ref="X71" si="335">X70*$E$5</f>
        <v>32.869</v>
      </c>
      <c r="Y71" s="83">
        <f t="shared" ref="Y71" si="336">Y70*$E$5</f>
        <v>6.3979999999999997</v>
      </c>
      <c r="Z71" s="83">
        <f t="shared" ref="Z71" si="337">Z70*$E$5</f>
        <v>7.0640000000000001</v>
      </c>
      <c r="AA71" s="82">
        <f>W71*Conv!$C$47*Conv!$I$5*1000*365</f>
        <v>62.911832202332064</v>
      </c>
      <c r="AB71" s="82">
        <f>X71*Conv!$C$47*Conv!$I$5*1000*365</f>
        <v>76.527479096201191</v>
      </c>
      <c r="AC71" s="82">
        <f>Y71*Conv!$C$47*Conv!$I$5*1000*365</f>
        <v>14.896188239906758</v>
      </c>
      <c r="AD71" s="82">
        <f>Z71*Conv!$C$47*Conv!$I$5*1000*365</f>
        <v>16.446807397108682</v>
      </c>
      <c r="AE71" s="82">
        <f>AA71</f>
        <v>62.911832202332064</v>
      </c>
      <c r="AF71" s="82">
        <f t="shared" ref="AF71" si="338">AB71</f>
        <v>76.527479096201191</v>
      </c>
      <c r="AG71" s="82">
        <f t="shared" ref="AG71" si="339">AC71</f>
        <v>14.896188239906758</v>
      </c>
      <c r="AH71" s="82">
        <f t="shared" ref="AH71" si="340">AD71</f>
        <v>16.446807397108682</v>
      </c>
      <c r="AI71" s="53"/>
    </row>
    <row r="72" spans="1:35" ht="14.25" customHeight="1">
      <c r="A72" s="9" t="str">
        <f t="shared" ref="A72:A74" si="341">A71</f>
        <v>FHL</v>
      </c>
      <c r="B72" s="9" t="str">
        <f t="shared" si="0"/>
        <v>IMPOILHL32</v>
      </c>
      <c r="C72" s="9" t="str">
        <f>CONCATENATE("Imported ",VLOOKUP($A72,Types!$A$13:$C$18,3,FALSE),", PADD ",RIGHT(F72,1),", Step ",RIGHT(E72,1))</f>
        <v>Imported Imported Oil-High Sulfur, Low G, PADD 3, Step 2</v>
      </c>
      <c r="D72" s="9" t="str">
        <f t="shared" ref="D72:D74" si="342">D71</f>
        <v>OILHL3</v>
      </c>
      <c r="E72" s="9">
        <v>2</v>
      </c>
      <c r="F72" s="9" t="str">
        <f t="shared" ref="F72:F74" si="343">F71</f>
        <v>P3</v>
      </c>
      <c r="G72" s="66">
        <f>G70*$C$6</f>
        <v>39.438299999999998</v>
      </c>
      <c r="H72" s="66">
        <f t="shared" ref="H72:J72" si="344">H70*$C$6</f>
        <v>47.678125000000001</v>
      </c>
      <c r="I72" s="66">
        <f t="shared" si="344"/>
        <v>32.823450000000001</v>
      </c>
      <c r="J72" s="66">
        <f t="shared" si="344"/>
        <v>34.589500000000001</v>
      </c>
      <c r="K72" s="67">
        <f>G72*Conv!$J$20/10^6/Conv!$C$47/Conv!$I$5</f>
        <v>9.487319613738185</v>
      </c>
      <c r="L72" s="67">
        <f>H72*Conv!$J$20/10^6/Conv!$C$47/Conv!$I$5</f>
        <v>11.469500725405531</v>
      </c>
      <c r="M72" s="67" t="e">
        <f>L72*#REF!</f>
        <v>#REF!</v>
      </c>
      <c r="N72" s="67" t="e">
        <f>M72*#REF!</f>
        <v>#REF!</v>
      </c>
      <c r="O72" s="67" t="e">
        <f>N72*#REF!</f>
        <v>#REF!</v>
      </c>
      <c r="P72" s="67" t="e">
        <f>O72*#REF!</f>
        <v>#REF!</v>
      </c>
      <c r="Q72" s="67" t="e">
        <f>P72*#REF!</f>
        <v>#REF!</v>
      </c>
      <c r="R72" s="67" t="e">
        <f>Q72*#REF!</f>
        <v>#REF!</v>
      </c>
      <c r="S72" s="67" t="e">
        <f>R72*#REF!</f>
        <v>#REF!</v>
      </c>
      <c r="T72" s="67" t="e">
        <f>S72*#REF!</f>
        <v>#REF!</v>
      </c>
      <c r="U72" s="67" t="e">
        <f>T72*#REF!</f>
        <v>#REF!</v>
      </c>
      <c r="V72" s="42"/>
      <c r="W72" s="83">
        <f>W70*$E$6</f>
        <v>54.042000000000002</v>
      </c>
      <c r="X72" s="83">
        <f t="shared" ref="X72:Z72" si="345">X70*$E$6</f>
        <v>65.738</v>
      </c>
      <c r="Y72" s="83">
        <f t="shared" si="345"/>
        <v>12.795999999999999</v>
      </c>
      <c r="Z72" s="83">
        <f t="shared" si="345"/>
        <v>14.128</v>
      </c>
      <c r="AA72" s="82">
        <f>W72*Conv!$C$47*Conv!$I$5*1000*365</f>
        <v>125.82366440466413</v>
      </c>
      <c r="AB72" s="82">
        <f>X72*Conv!$C$47*Conv!$I$5*1000*365</f>
        <v>153.05495819240238</v>
      </c>
      <c r="AC72" s="82">
        <f>Y72*Conv!$C$47*Conv!$I$5*1000*365</f>
        <v>29.792376479813516</v>
      </c>
      <c r="AD72" s="82">
        <f>Z72*Conv!$C$47*Conv!$I$5*1000*365</f>
        <v>32.893614794217363</v>
      </c>
      <c r="AE72" s="82">
        <f>AA72-AE71</f>
        <v>62.911832202332064</v>
      </c>
      <c r="AF72" s="82">
        <f t="shared" ref="AF72" si="346">AB72-AF71</f>
        <v>76.527479096201191</v>
      </c>
      <c r="AG72" s="82">
        <f t="shared" ref="AG72" si="347">AC72-AG71</f>
        <v>14.896188239906758</v>
      </c>
      <c r="AH72" s="82">
        <f t="shared" ref="AH72" si="348">AD72-AH71</f>
        <v>16.446807397108682</v>
      </c>
      <c r="AI72" s="53"/>
    </row>
    <row r="73" spans="1:35" ht="14.25" customHeight="1">
      <c r="A73" s="9" t="str">
        <f t="shared" si="341"/>
        <v>FHL</v>
      </c>
      <c r="B73" s="9" t="str">
        <f t="shared" si="0"/>
        <v>IMPOILHL34</v>
      </c>
      <c r="C73" s="9" t="str">
        <f>CONCATENATE("Imported ",VLOOKUP($A73,Types!$A$13:$C$18,3,FALSE),", PADD ",RIGHT(F73,1),", Step ",RIGHT(E73,1))</f>
        <v>Imported Imported Oil-High Sulfur, Low G, PADD 3, Step 4</v>
      </c>
      <c r="D73" s="9" t="str">
        <f t="shared" si="342"/>
        <v>OILHL3</v>
      </c>
      <c r="E73" s="9">
        <v>4</v>
      </c>
      <c r="F73" s="9" t="str">
        <f t="shared" si="343"/>
        <v>P3</v>
      </c>
      <c r="G73" s="66">
        <f>G70*$C$8</f>
        <v>43.589700000000008</v>
      </c>
      <c r="H73" s="66">
        <f t="shared" ref="H73:J73" si="349">H70*$C$8</f>
        <v>52.696875000000013</v>
      </c>
      <c r="I73" s="66">
        <f t="shared" si="349"/>
        <v>36.278550000000003</v>
      </c>
      <c r="J73" s="66">
        <f t="shared" si="349"/>
        <v>38.230500000000006</v>
      </c>
      <c r="K73" s="67">
        <f>G73*Conv!$J$20/10^6/Conv!$C$47/Conv!$I$5</f>
        <v>10.485984836236943</v>
      </c>
      <c r="L73" s="67">
        <f>H73*Conv!$J$20/10^6/Conv!$C$47/Conv!$I$5</f>
        <v>12.676816591237694</v>
      </c>
      <c r="M73" s="67" t="e">
        <f>L73*#REF!</f>
        <v>#REF!</v>
      </c>
      <c r="N73" s="67" t="e">
        <f>M73*#REF!</f>
        <v>#REF!</v>
      </c>
      <c r="O73" s="67" t="e">
        <f>N73*#REF!</f>
        <v>#REF!</v>
      </c>
      <c r="P73" s="67" t="e">
        <f>O73*#REF!</f>
        <v>#REF!</v>
      </c>
      <c r="Q73" s="67" t="e">
        <f>P73*#REF!</f>
        <v>#REF!</v>
      </c>
      <c r="R73" s="67" t="e">
        <f>Q73*#REF!</f>
        <v>#REF!</v>
      </c>
      <c r="S73" s="67" t="e">
        <f>R73*#REF!</f>
        <v>#REF!</v>
      </c>
      <c r="T73" s="67" t="e">
        <f>S73*#REF!</f>
        <v>#REF!</v>
      </c>
      <c r="U73" s="67" t="e">
        <f>T73*#REF!</f>
        <v>#REF!</v>
      </c>
      <c r="V73" s="42"/>
      <c r="W73" s="83">
        <f>W70*$E$8</f>
        <v>324.25199999999995</v>
      </c>
      <c r="X73" s="83">
        <f t="shared" ref="X73:Z73" si="350">X70*$E$8</f>
        <v>394.428</v>
      </c>
      <c r="Y73" s="83">
        <f t="shared" si="350"/>
        <v>76.775999999999996</v>
      </c>
      <c r="Z73" s="83">
        <f t="shared" si="350"/>
        <v>84.768000000000001</v>
      </c>
      <c r="AA73" s="82">
        <f>W73*Conv!$C$47*Conv!$I$5*1000*365</f>
        <v>754.94198642798483</v>
      </c>
      <c r="AB73" s="82">
        <f>X73*Conv!$C$47*Conv!$I$5*1000*365</f>
        <v>918.32974915441434</v>
      </c>
      <c r="AC73" s="82">
        <f>Y73*Conv!$C$47*Conv!$I$5*1000*365</f>
        <v>178.7542588788811</v>
      </c>
      <c r="AD73" s="82">
        <f>Z73*Conv!$C$47*Conv!$I$5*1000*365</f>
        <v>197.36168876530419</v>
      </c>
      <c r="AE73" s="82">
        <f>AA73-AA70</f>
        <v>125.82366440466421</v>
      </c>
      <c r="AF73" s="82">
        <f t="shared" ref="AF73" si="351">AB73-AB70</f>
        <v>153.05495819240241</v>
      </c>
      <c r="AG73" s="82">
        <f t="shared" ref="AG73" si="352">AC73-AC70</f>
        <v>29.792376479813527</v>
      </c>
      <c r="AH73" s="82">
        <f t="shared" ref="AH73" si="353">AD73-AD70</f>
        <v>32.893614794217342</v>
      </c>
      <c r="AI73" s="53"/>
    </row>
    <row r="74" spans="1:35" ht="14.25" customHeight="1">
      <c r="A74" s="9" t="str">
        <f t="shared" si="341"/>
        <v>FHL</v>
      </c>
      <c r="B74" s="9" t="str">
        <f t="shared" si="0"/>
        <v>IMPOILHL35</v>
      </c>
      <c r="C74" s="9" t="str">
        <f>CONCATENATE("Imported ",VLOOKUP($A74,Types!$A$13:$C$18,3,FALSE),", PADD ",RIGHT(F74,1),", Step ",RIGHT(E74,1))</f>
        <v>Imported Imported Oil-High Sulfur, Low G, PADD 3, Step 5</v>
      </c>
      <c r="D74" s="9" t="str">
        <f t="shared" si="342"/>
        <v>OILHL3</v>
      </c>
      <c r="E74" s="9">
        <v>5</v>
      </c>
      <c r="F74" s="9" t="str">
        <f t="shared" si="343"/>
        <v>P3</v>
      </c>
      <c r="G74" s="66">
        <f>G70*$C$9</f>
        <v>53.968200000000003</v>
      </c>
      <c r="H74" s="66">
        <f t="shared" ref="H74:J74" si="354">H70*$C$9</f>
        <v>65.243750000000006</v>
      </c>
      <c r="I74" s="66">
        <f t="shared" si="354"/>
        <v>44.916300000000007</v>
      </c>
      <c r="J74" s="66">
        <f t="shared" si="354"/>
        <v>47.333000000000006</v>
      </c>
      <c r="K74" s="67">
        <f>G74*Conv!$J$20/10^6/Conv!$C$47/Conv!$I$5</f>
        <v>12.982647892483834</v>
      </c>
      <c r="L74" s="67">
        <f>H74*Conv!$J$20/10^6/Conv!$C$47/Conv!$I$5</f>
        <v>15.695106255818095</v>
      </c>
      <c r="M74" s="67" t="e">
        <f>L74*#REF!</f>
        <v>#REF!</v>
      </c>
      <c r="N74" s="67" t="e">
        <f>M74*#REF!</f>
        <v>#REF!</v>
      </c>
      <c r="O74" s="67" t="e">
        <f>N74*#REF!</f>
        <v>#REF!</v>
      </c>
      <c r="P74" s="67" t="e">
        <f>O74*#REF!</f>
        <v>#REF!</v>
      </c>
      <c r="Q74" s="67" t="e">
        <f>P74*#REF!</f>
        <v>#REF!</v>
      </c>
      <c r="R74" s="67" t="e">
        <f>Q74*#REF!</f>
        <v>#REF!</v>
      </c>
      <c r="S74" s="67" t="e">
        <f>R74*#REF!</f>
        <v>#REF!</v>
      </c>
      <c r="T74" s="67" t="e">
        <f>S74*#REF!</f>
        <v>#REF!</v>
      </c>
      <c r="U74" s="67" t="e">
        <f>T74*#REF!</f>
        <v>#REF!</v>
      </c>
      <c r="V74" s="42"/>
      <c r="W74" s="83">
        <f>W70*$E$9</f>
        <v>351.27299999999997</v>
      </c>
      <c r="X74" s="83">
        <f t="shared" ref="X74:Z74" si="355">X70*$E$9</f>
        <v>427.29700000000003</v>
      </c>
      <c r="Y74" s="83">
        <f t="shared" si="355"/>
        <v>83.173999999999992</v>
      </c>
      <c r="Z74" s="83">
        <f t="shared" si="355"/>
        <v>91.832000000000008</v>
      </c>
      <c r="AA74" s="82">
        <f>W74*Conv!$C$47*Conv!$I$5*1000*365</f>
        <v>817.85381863031682</v>
      </c>
      <c r="AB74" s="82">
        <f>X74*Conv!$C$47*Conv!$I$5*1000*365</f>
        <v>994.85722825061578</v>
      </c>
      <c r="AC74" s="82">
        <f>Y74*Conv!$C$47*Conv!$I$5*1000*365</f>
        <v>193.65044711878784</v>
      </c>
      <c r="AD74" s="82">
        <f>Z74*Conv!$C$47*Conv!$I$5*1000*365</f>
        <v>213.80849616241289</v>
      </c>
      <c r="AE74" s="82">
        <f>AA74-AA73</f>
        <v>62.911832202331993</v>
      </c>
      <c r="AF74" s="82">
        <f t="shared" ref="AF74" si="356">AB74-AB73</f>
        <v>76.527479096201432</v>
      </c>
      <c r="AG74" s="82">
        <f t="shared" ref="AG74" si="357">AC74-AC73</f>
        <v>14.896188239906735</v>
      </c>
      <c r="AH74" s="82">
        <f t="shared" ref="AH74" si="358">AD74-AD73</f>
        <v>16.446807397108699</v>
      </c>
      <c r="AI74" s="53"/>
    </row>
    <row r="75" spans="1:35" ht="14.25" customHeight="1">
      <c r="A75" s="9" t="str">
        <f>'Agg crdcrv'!C46</f>
        <v>FHV</v>
      </c>
      <c r="B75" s="9" t="str">
        <f t="shared" si="0"/>
        <v>IMPOILHV33</v>
      </c>
      <c r="C75" s="9" t="str">
        <f>CONCATENATE("Imported ",VLOOKUP($A75,Types!$A$13:$C$18,3,FALSE),", PADD ",RIGHT(F75,1),", Step ",RIGHT(E75,1))</f>
        <v>Imported Imported Oil-High Sulfur, Very HG, PADD 3, Step 3</v>
      </c>
      <c r="D75" s="9" t="str">
        <f>CONCATENATE(VLOOKUP($A75,Types!$A$14:$C$18,2,FALSE),RIGHT(F75,1))</f>
        <v>OILHV3</v>
      </c>
      <c r="E75" s="9">
        <v>3</v>
      </c>
      <c r="F75" s="9" t="str">
        <f>'Agg crdcrv'!D46</f>
        <v>P3</v>
      </c>
      <c r="G75" s="66">
        <f>'Agg crdcrv'!H46*K5</f>
        <v>28.6</v>
      </c>
      <c r="H75" s="66">
        <f>'Agg crdcrv'!H51*K5</f>
        <v>45.993750000000006</v>
      </c>
      <c r="I75" s="66">
        <f>'Agg crdcrv'!H56*K5</f>
        <v>31.251000000000001</v>
      </c>
      <c r="J75" s="66">
        <f>'Agg crdcrv'!H61*K5</f>
        <v>33.088000000000001</v>
      </c>
      <c r="K75" s="67">
        <f>G75*Conv!$J$20/10^6/Conv!$C$47/Conv!$I$5</f>
        <v>6.8800465778928626</v>
      </c>
      <c r="L75" s="67">
        <f>H75*Conv!$J$20/10^6/Conv!$C$47/Conv!$I$5</f>
        <v>11.064305674544054</v>
      </c>
      <c r="M75" s="67" t="e">
        <f>L75*#REF!</f>
        <v>#REF!</v>
      </c>
      <c r="N75" s="67" t="e">
        <f>M75*#REF!</f>
        <v>#REF!</v>
      </c>
      <c r="O75" s="67" t="e">
        <f>N75*#REF!</f>
        <v>#REF!</v>
      </c>
      <c r="P75" s="67" t="e">
        <f>O75*#REF!</f>
        <v>#REF!</v>
      </c>
      <c r="Q75" s="67" t="e">
        <f>P75*#REF!</f>
        <v>#REF!</v>
      </c>
      <c r="R75" s="67" t="e">
        <f>Q75*#REF!</f>
        <v>#REF!</v>
      </c>
      <c r="S75" s="67" t="e">
        <f>R75*#REF!</f>
        <v>#REF!</v>
      </c>
      <c r="T75" s="67" t="e">
        <f>S75*#REF!</f>
        <v>#REF!</v>
      </c>
      <c r="U75" s="67" t="e">
        <f>T75*#REF!</f>
        <v>#REF!</v>
      </c>
      <c r="V75" s="42"/>
      <c r="W75" s="9">
        <f>'Agg crdcrv'!F46</f>
        <v>2051.17</v>
      </c>
      <c r="X75" s="9">
        <f>'Agg crdcrv'!F51</f>
        <v>2083.44</v>
      </c>
      <c r="Y75" s="9">
        <f>'Agg crdcrv'!F56</f>
        <v>99.62</v>
      </c>
      <c r="Z75" s="9">
        <f>'Agg crdcrv'!F61</f>
        <v>109.98</v>
      </c>
      <c r="AA75" s="82">
        <f>W75*Conv!$C$47*Conv!$I$5*1000*365</f>
        <v>4775.650895912715</v>
      </c>
      <c r="AB75" s="82">
        <f>X75*Conv!$C$47*Conv!$I$5*1000*365</f>
        <v>4850.7837490702314</v>
      </c>
      <c r="AC75" s="82">
        <f>Y75*Conv!$C$47*Conv!$I$5*1000*365</f>
        <v>231.94096162230565</v>
      </c>
      <c r="AD75" s="82">
        <f>Z75*Conv!$C$47*Conv!$I$5*1000*365</f>
        <v>256.06170406766887</v>
      </c>
      <c r="AE75" s="82">
        <f>AA75-AA77</f>
        <v>3820.5207167301719</v>
      </c>
      <c r="AF75" s="82">
        <f t="shared" ref="AF75" si="359">AB75-AB77</f>
        <v>3880.6269992561847</v>
      </c>
      <c r="AG75" s="82">
        <f t="shared" ref="AG75" si="360">AC75-AC77</f>
        <v>185.55276929784452</v>
      </c>
      <c r="AH75" s="82">
        <f t="shared" ref="AH75" si="361">AD75-AD77</f>
        <v>204.84936325413508</v>
      </c>
    </row>
    <row r="76" spans="1:35" ht="14.25" customHeight="1">
      <c r="A76" s="9" t="str">
        <f>A75</f>
        <v>FHV</v>
      </c>
      <c r="B76" s="9" t="str">
        <f t="shared" si="0"/>
        <v>IMPOILHV31</v>
      </c>
      <c r="C76" s="9" t="str">
        <f>CONCATENATE("Imported ",VLOOKUP($A76,Types!$A$13:$C$18,3,FALSE),", PADD ",RIGHT(F76,1),", Step ",RIGHT(E76,1))</f>
        <v>Imported Imported Oil-High Sulfur, Very HG, PADD 3, Step 1</v>
      </c>
      <c r="D76" s="9" t="str">
        <f>D75</f>
        <v>OILHV3</v>
      </c>
      <c r="E76" s="9">
        <v>1</v>
      </c>
      <c r="F76" s="9" t="str">
        <f>F75</f>
        <v>P3</v>
      </c>
      <c r="G76" s="66">
        <f>G75*$C$5</f>
        <v>25.740000000000002</v>
      </c>
      <c r="H76" s="66">
        <f t="shared" ref="H76" si="362">H75*$C$5</f>
        <v>41.394375000000004</v>
      </c>
      <c r="I76" s="66">
        <f t="shared" ref="I76" si="363">I75*$C$5</f>
        <v>28.125900000000001</v>
      </c>
      <c r="J76" s="66">
        <f t="shared" ref="J76" si="364">J75*$C$5</f>
        <v>29.779200000000003</v>
      </c>
      <c r="K76" s="67">
        <f>G76*Conv!$J$20/10^6/Conv!$C$47/Conv!$I$5</f>
        <v>6.192041920103577</v>
      </c>
      <c r="L76" s="67">
        <f>H76*Conv!$J$20/10^6/Conv!$C$47/Conv!$I$5</f>
        <v>9.9578751070896452</v>
      </c>
      <c r="M76" s="67" t="e">
        <f>L76*#REF!</f>
        <v>#REF!</v>
      </c>
      <c r="N76" s="67" t="e">
        <f>M76*#REF!</f>
        <v>#REF!</v>
      </c>
      <c r="O76" s="67" t="e">
        <f>N76*#REF!</f>
        <v>#REF!</v>
      </c>
      <c r="P76" s="67" t="e">
        <f>O76*#REF!</f>
        <v>#REF!</v>
      </c>
      <c r="Q76" s="67" t="e">
        <f>P76*#REF!</f>
        <v>#REF!</v>
      </c>
      <c r="R76" s="67" t="e">
        <f>Q76*#REF!</f>
        <v>#REF!</v>
      </c>
      <c r="S76" s="67" t="e">
        <f>R76*#REF!</f>
        <v>#REF!</v>
      </c>
      <c r="T76" s="67" t="e">
        <f>S76*#REF!</f>
        <v>#REF!</v>
      </c>
      <c r="U76" s="67" t="e">
        <f>T76*#REF!</f>
        <v>#REF!</v>
      </c>
      <c r="V76" s="42"/>
      <c r="W76" s="83">
        <f>W75*$E$5</f>
        <v>205.11700000000002</v>
      </c>
      <c r="X76" s="83">
        <f t="shared" ref="X76" si="365">X75*$E$5</f>
        <v>208.34400000000002</v>
      </c>
      <c r="Y76" s="83">
        <f t="shared" ref="Y76" si="366">Y75*$E$5</f>
        <v>9.9620000000000015</v>
      </c>
      <c r="Z76" s="83">
        <f t="shared" ref="Z76" si="367">Z75*$E$5</f>
        <v>10.998000000000001</v>
      </c>
      <c r="AA76" s="82">
        <f>W76*Conv!$C$47*Conv!$I$5*1000*365</f>
        <v>477.56508959127149</v>
      </c>
      <c r="AB76" s="82">
        <f>X76*Conv!$C$47*Conv!$I$5*1000*365</f>
        <v>485.0783749070232</v>
      </c>
      <c r="AC76" s="82">
        <f>Y76*Conv!$C$47*Conv!$I$5*1000*365</f>
        <v>23.194096162230565</v>
      </c>
      <c r="AD76" s="82">
        <f>Z76*Conv!$C$47*Conv!$I$5*1000*365</f>
        <v>25.606170406766893</v>
      </c>
      <c r="AE76" s="82">
        <f>AA76</f>
        <v>477.56508959127149</v>
      </c>
      <c r="AF76" s="82">
        <f t="shared" ref="AF76" si="368">AB76</f>
        <v>485.0783749070232</v>
      </c>
      <c r="AG76" s="82">
        <f t="shared" ref="AG76" si="369">AC76</f>
        <v>23.194096162230565</v>
      </c>
      <c r="AH76" s="82">
        <f t="shared" ref="AH76" si="370">AD76</f>
        <v>25.606170406766893</v>
      </c>
      <c r="AI76" s="53"/>
    </row>
    <row r="77" spans="1:35" ht="14.25" customHeight="1">
      <c r="A77" s="9" t="str">
        <f t="shared" ref="A77:A79" si="371">A76</f>
        <v>FHV</v>
      </c>
      <c r="B77" s="9" t="str">
        <f t="shared" si="0"/>
        <v>IMPOILHV32</v>
      </c>
      <c r="C77" s="9" t="str">
        <f>CONCATENATE("Imported ",VLOOKUP($A77,Types!$A$13:$C$18,3,FALSE),", PADD ",RIGHT(F77,1),", Step ",RIGHT(E77,1))</f>
        <v>Imported Imported Oil-High Sulfur, Very HG, PADD 3, Step 2</v>
      </c>
      <c r="D77" s="9" t="str">
        <f t="shared" ref="D77:D79" si="372">D76</f>
        <v>OILHV3</v>
      </c>
      <c r="E77" s="9">
        <v>2</v>
      </c>
      <c r="F77" s="9" t="str">
        <f t="shared" ref="F77:F79" si="373">F76</f>
        <v>P3</v>
      </c>
      <c r="G77" s="66">
        <f>G75*$C$6</f>
        <v>27.17</v>
      </c>
      <c r="H77" s="66">
        <f t="shared" ref="H77:J77" si="374">H75*$C$6</f>
        <v>43.694062500000001</v>
      </c>
      <c r="I77" s="66">
        <f t="shared" si="374"/>
        <v>29.68845</v>
      </c>
      <c r="J77" s="66">
        <f t="shared" si="374"/>
        <v>31.433599999999998</v>
      </c>
      <c r="K77" s="67">
        <f>G77*Conv!$J$20/10^6/Conv!$C$47/Conv!$I$5</f>
        <v>6.5360442489982198</v>
      </c>
      <c r="L77" s="67">
        <f>H77*Conv!$J$20/10^6/Conv!$C$47/Conv!$I$5</f>
        <v>10.511090390816848</v>
      </c>
      <c r="M77" s="67" t="e">
        <f>L77*#REF!</f>
        <v>#REF!</v>
      </c>
      <c r="N77" s="67" t="e">
        <f>M77*#REF!</f>
        <v>#REF!</v>
      </c>
      <c r="O77" s="67" t="e">
        <f>N77*#REF!</f>
        <v>#REF!</v>
      </c>
      <c r="P77" s="67" t="e">
        <f>O77*#REF!</f>
        <v>#REF!</v>
      </c>
      <c r="Q77" s="67" t="e">
        <f>P77*#REF!</f>
        <v>#REF!</v>
      </c>
      <c r="R77" s="67" t="e">
        <f>Q77*#REF!</f>
        <v>#REF!</v>
      </c>
      <c r="S77" s="67" t="e">
        <f>R77*#REF!</f>
        <v>#REF!</v>
      </c>
      <c r="T77" s="67" t="e">
        <f>S77*#REF!</f>
        <v>#REF!</v>
      </c>
      <c r="U77" s="67" t="e">
        <f>T77*#REF!</f>
        <v>#REF!</v>
      </c>
      <c r="V77" s="42"/>
      <c r="W77" s="83">
        <f>W75*$E$6</f>
        <v>410.23400000000004</v>
      </c>
      <c r="X77" s="83">
        <f t="shared" ref="X77:Z77" si="375">X75*$E$6</f>
        <v>416.68800000000005</v>
      </c>
      <c r="Y77" s="83">
        <f t="shared" si="375"/>
        <v>19.924000000000003</v>
      </c>
      <c r="Z77" s="83">
        <f t="shared" si="375"/>
        <v>21.996000000000002</v>
      </c>
      <c r="AA77" s="82">
        <f>W77*Conv!$C$47*Conv!$I$5*1000*365</f>
        <v>955.13017918254297</v>
      </c>
      <c r="AB77" s="82">
        <f>X77*Conv!$C$47*Conv!$I$5*1000*365</f>
        <v>970.15674981404641</v>
      </c>
      <c r="AC77" s="82">
        <f>Y77*Conv!$C$47*Conv!$I$5*1000*365</f>
        <v>46.38819232446113</v>
      </c>
      <c r="AD77" s="82">
        <f>Z77*Conv!$C$47*Conv!$I$5*1000*365</f>
        <v>51.212340813533785</v>
      </c>
      <c r="AE77" s="82">
        <f>AA77-AE76</f>
        <v>477.56508959127149</v>
      </c>
      <c r="AF77" s="82">
        <f t="shared" ref="AF77" si="376">AB77-AF76</f>
        <v>485.0783749070232</v>
      </c>
      <c r="AG77" s="82">
        <f t="shared" ref="AG77" si="377">AC77-AG76</f>
        <v>23.194096162230565</v>
      </c>
      <c r="AH77" s="82">
        <f t="shared" ref="AH77" si="378">AD77-AH76</f>
        <v>25.606170406766893</v>
      </c>
      <c r="AI77" s="53"/>
    </row>
    <row r="78" spans="1:35" ht="14.25" customHeight="1">
      <c r="A78" s="9" t="str">
        <f t="shared" si="371"/>
        <v>FHV</v>
      </c>
      <c r="B78" s="9" t="str">
        <f t="shared" si="0"/>
        <v>IMPOILHV34</v>
      </c>
      <c r="C78" s="9" t="str">
        <f>CONCATENATE("Imported ",VLOOKUP($A78,Types!$A$13:$C$18,3,FALSE),", PADD ",RIGHT(F78,1),", Step ",RIGHT(E78,1))</f>
        <v>Imported Imported Oil-High Sulfur, Very HG, PADD 3, Step 4</v>
      </c>
      <c r="D78" s="9" t="str">
        <f t="shared" si="372"/>
        <v>OILHV3</v>
      </c>
      <c r="E78" s="9">
        <v>4</v>
      </c>
      <c r="F78" s="9" t="str">
        <f t="shared" si="373"/>
        <v>P3</v>
      </c>
      <c r="G78" s="66">
        <f>G75*$C$8</f>
        <v>30.03</v>
      </c>
      <c r="H78" s="66">
        <f t="shared" ref="H78:J78" si="379">H75*$C$8</f>
        <v>48.29343750000001</v>
      </c>
      <c r="I78" s="66">
        <f t="shared" si="379"/>
        <v>32.813549999999999</v>
      </c>
      <c r="J78" s="66">
        <f t="shared" si="379"/>
        <v>34.742400000000004</v>
      </c>
      <c r="K78" s="67">
        <f>G78*Conv!$J$20/10^6/Conv!$C$47/Conv!$I$5</f>
        <v>7.2240489067875053</v>
      </c>
      <c r="L78" s="67">
        <f>H78*Conv!$J$20/10^6/Conv!$C$47/Conv!$I$5</f>
        <v>11.617520958271253</v>
      </c>
      <c r="M78" s="67" t="e">
        <f>L78*#REF!</f>
        <v>#REF!</v>
      </c>
      <c r="N78" s="67" t="e">
        <f>M78*#REF!</f>
        <v>#REF!</v>
      </c>
      <c r="O78" s="67" t="e">
        <f>N78*#REF!</f>
        <v>#REF!</v>
      </c>
      <c r="P78" s="67" t="e">
        <f>O78*#REF!</f>
        <v>#REF!</v>
      </c>
      <c r="Q78" s="67" t="e">
        <f>P78*#REF!</f>
        <v>#REF!</v>
      </c>
      <c r="R78" s="67" t="e">
        <f>Q78*#REF!</f>
        <v>#REF!</v>
      </c>
      <c r="S78" s="67" t="e">
        <f>R78*#REF!</f>
        <v>#REF!</v>
      </c>
      <c r="T78" s="67" t="e">
        <f>S78*#REF!</f>
        <v>#REF!</v>
      </c>
      <c r="U78" s="67" t="e">
        <f>T78*#REF!</f>
        <v>#REF!</v>
      </c>
      <c r="V78" s="42"/>
      <c r="W78" s="83">
        <f>W75*$E$8</f>
        <v>2461.404</v>
      </c>
      <c r="X78" s="83">
        <f t="shared" ref="X78:Z78" si="380">X75*$E$8</f>
        <v>2500.1280000000002</v>
      </c>
      <c r="Y78" s="83">
        <f t="shared" si="380"/>
        <v>119.544</v>
      </c>
      <c r="Z78" s="83">
        <f t="shared" si="380"/>
        <v>131.976</v>
      </c>
      <c r="AA78" s="82">
        <f>W78*Conv!$C$47*Conv!$I$5*1000*365</f>
        <v>5730.7810750952576</v>
      </c>
      <c r="AB78" s="82">
        <f>X78*Conv!$C$47*Conv!$I$5*1000*365</f>
        <v>5820.940498884278</v>
      </c>
      <c r="AC78" s="82">
        <f>Y78*Conv!$C$47*Conv!$I$5*1000*365</f>
        <v>278.32915394676672</v>
      </c>
      <c r="AD78" s="82">
        <f>Z78*Conv!$C$47*Conv!$I$5*1000*365</f>
        <v>307.27404488120266</v>
      </c>
      <c r="AE78" s="82">
        <f>AA78-AA75</f>
        <v>955.13017918254263</v>
      </c>
      <c r="AF78" s="82">
        <f t="shared" ref="AF78" si="381">AB78-AB75</f>
        <v>970.15674981404663</v>
      </c>
      <c r="AG78" s="82">
        <f t="shared" ref="AG78" si="382">AC78-AC75</f>
        <v>46.388192324461073</v>
      </c>
      <c r="AH78" s="82">
        <f t="shared" ref="AH78" si="383">AD78-AD75</f>
        <v>51.212340813533785</v>
      </c>
      <c r="AI78" s="53"/>
    </row>
    <row r="79" spans="1:35" ht="14.25" customHeight="1">
      <c r="A79" s="9" t="str">
        <f t="shared" si="371"/>
        <v>FHV</v>
      </c>
      <c r="B79" s="9" t="str">
        <f t="shared" si="0"/>
        <v>IMPOILHV35</v>
      </c>
      <c r="C79" s="9" t="str">
        <f>CONCATENATE("Imported ",VLOOKUP($A79,Types!$A$13:$C$18,3,FALSE),", PADD ",RIGHT(F79,1),", Step ",RIGHT(E79,1))</f>
        <v>Imported Imported Oil-High Sulfur, Very HG, PADD 3, Step 5</v>
      </c>
      <c r="D79" s="9" t="str">
        <f t="shared" si="372"/>
        <v>OILHV3</v>
      </c>
      <c r="E79" s="9">
        <v>5</v>
      </c>
      <c r="F79" s="9" t="str">
        <f t="shared" si="373"/>
        <v>P3</v>
      </c>
      <c r="G79" s="66">
        <f>G75*$C$9</f>
        <v>37.18</v>
      </c>
      <c r="H79" s="66">
        <f t="shared" ref="H79:J79" si="384">H75*$C$9</f>
        <v>59.791875000000012</v>
      </c>
      <c r="I79" s="66">
        <f t="shared" si="384"/>
        <v>40.626300000000001</v>
      </c>
      <c r="J79" s="66">
        <f t="shared" si="384"/>
        <v>43.014400000000002</v>
      </c>
      <c r="K79" s="67">
        <f>G79*Conv!$J$20/10^6/Conv!$C$47/Conv!$I$5</f>
        <v>8.944060551260721</v>
      </c>
      <c r="L79" s="67">
        <f>H79*Conv!$J$20/10^6/Conv!$C$47/Conv!$I$5</f>
        <v>14.383597376907268</v>
      </c>
      <c r="M79" s="67" t="e">
        <f>L79*#REF!</f>
        <v>#REF!</v>
      </c>
      <c r="N79" s="67" t="e">
        <f>M79*#REF!</f>
        <v>#REF!</v>
      </c>
      <c r="O79" s="67" t="e">
        <f>N79*#REF!</f>
        <v>#REF!</v>
      </c>
      <c r="P79" s="67" t="e">
        <f>O79*#REF!</f>
        <v>#REF!</v>
      </c>
      <c r="Q79" s="67" t="e">
        <f>P79*#REF!</f>
        <v>#REF!</v>
      </c>
      <c r="R79" s="67" t="e">
        <f>Q79*#REF!</f>
        <v>#REF!</v>
      </c>
      <c r="S79" s="67" t="e">
        <f>R79*#REF!</f>
        <v>#REF!</v>
      </c>
      <c r="T79" s="67" t="e">
        <f>S79*#REF!</f>
        <v>#REF!</v>
      </c>
      <c r="U79" s="67" t="e">
        <f>T79*#REF!</f>
        <v>#REF!</v>
      </c>
      <c r="V79" s="42"/>
      <c r="W79" s="83">
        <f>W75*$E$9</f>
        <v>2666.5210000000002</v>
      </c>
      <c r="X79" s="83">
        <f t="shared" ref="X79:Z79" si="385">X75*$E$9</f>
        <v>2708.4720000000002</v>
      </c>
      <c r="Y79" s="83">
        <f t="shared" si="385"/>
        <v>129.506</v>
      </c>
      <c r="Z79" s="83">
        <f t="shared" si="385"/>
        <v>142.97400000000002</v>
      </c>
      <c r="AA79" s="82">
        <f>W79*Conv!$C$47*Conv!$I$5*1000*365</f>
        <v>6208.3461646865298</v>
      </c>
      <c r="AB79" s="82">
        <f>X79*Conv!$C$47*Conv!$I$5*1000*365</f>
        <v>6306.0188737913004</v>
      </c>
      <c r="AC79" s="82">
        <f>Y79*Conv!$C$47*Conv!$I$5*1000*365</f>
        <v>301.52325010899733</v>
      </c>
      <c r="AD79" s="82">
        <f>Z79*Conv!$C$47*Conv!$I$5*1000*365</f>
        <v>332.88021528796958</v>
      </c>
      <c r="AE79" s="82">
        <f>AA79-AA78</f>
        <v>477.56508959127223</v>
      </c>
      <c r="AF79" s="82">
        <f t="shared" ref="AF79" si="386">AB79-AB78</f>
        <v>485.07837490702241</v>
      </c>
      <c r="AG79" s="82">
        <f t="shared" ref="AG79" si="387">AC79-AC78</f>
        <v>23.194096162230608</v>
      </c>
      <c r="AH79" s="82">
        <f t="shared" ref="AH79" si="388">AD79-AD78</f>
        <v>25.606170406766921</v>
      </c>
      <c r="AI79" s="53"/>
    </row>
    <row r="80" spans="1:35" ht="14.25" customHeight="1">
      <c r="A80" s="9" t="str">
        <f>'Agg crdcrv'!C47</f>
        <v>FLL</v>
      </c>
      <c r="B80" s="9" t="str">
        <f t="shared" si="0"/>
        <v>IMPOILLL33</v>
      </c>
      <c r="C80" s="9" t="str">
        <f>CONCATENATE("Imported ",VLOOKUP($A80,Types!$A$13:$C$18,3,FALSE),", PADD ",RIGHT(F80,1),", Step ",RIGHT(E80,1))</f>
        <v>Imported Imported Oil-Low Sulfur, Low G, PADD 3, Step 3</v>
      </c>
      <c r="D80" s="9" t="str">
        <f>CONCATENATE(VLOOKUP($A80,Types!$A$14:$C$18,2,FALSE),RIGHT(F80,1))</f>
        <v>OILLL3</v>
      </c>
      <c r="E80" s="9">
        <v>3</v>
      </c>
      <c r="F80" s="9" t="str">
        <f>'Agg crdcrv'!D47</f>
        <v>P3</v>
      </c>
      <c r="G80" s="66">
        <f>'Agg crdcrv'!H47*K5</f>
        <v>40.260000000000005</v>
      </c>
      <c r="H80" s="66">
        <f>'Agg crdcrv'!H52*K5</f>
        <v>60.981250000000003</v>
      </c>
      <c r="I80" s="66">
        <f>'Agg crdcrv'!H57*K5</f>
        <v>42.283999999999999</v>
      </c>
      <c r="J80" s="66">
        <f>'Agg crdcrv'!H62*K5</f>
        <v>44.440000000000005</v>
      </c>
      <c r="K80" s="67">
        <f>G80*Conv!$J$20/10^6/Conv!$C$47/Conv!$I$5</f>
        <v>9.6849886442645694</v>
      </c>
      <c r="L80" s="67">
        <f>H80*Conv!$J$20/10^6/Conv!$C$47/Conv!$I$5</f>
        <v>14.669714698535982</v>
      </c>
      <c r="M80" s="67" t="e">
        <f>L80*#REF!</f>
        <v>#REF!</v>
      </c>
      <c r="N80" s="67" t="e">
        <f>M80*#REF!</f>
        <v>#REF!</v>
      </c>
      <c r="O80" s="67" t="e">
        <f>N80*#REF!</f>
        <v>#REF!</v>
      </c>
      <c r="P80" s="67" t="e">
        <f>O80*#REF!</f>
        <v>#REF!</v>
      </c>
      <c r="Q80" s="67" t="e">
        <f>P80*#REF!</f>
        <v>#REF!</v>
      </c>
      <c r="R80" s="67" t="e">
        <f>Q80*#REF!</f>
        <v>#REF!</v>
      </c>
      <c r="S80" s="67" t="e">
        <f>R80*#REF!</f>
        <v>#REF!</v>
      </c>
      <c r="T80" s="67" t="e">
        <f>S80*#REF!</f>
        <v>#REF!</v>
      </c>
      <c r="U80" s="67" t="e">
        <f>T80*#REF!</f>
        <v>#REF!</v>
      </c>
      <c r="V80" s="42"/>
      <c r="W80" s="9">
        <f>'Agg crdcrv'!F47</f>
        <v>1327.66</v>
      </c>
      <c r="X80" s="9">
        <f>'Agg crdcrv'!F52</f>
        <v>1310.29</v>
      </c>
      <c r="Y80" s="9">
        <f>'Agg crdcrv'!F57</f>
        <v>16.72</v>
      </c>
      <c r="Z80" s="9">
        <f>'Agg crdcrv'!F62</f>
        <v>18.46</v>
      </c>
      <c r="AA80" s="82">
        <f>W80*Conv!$C$47*Conv!$I$5*1000*365</f>
        <v>3091.1336790551122</v>
      </c>
      <c r="AB80" s="82">
        <f>X80*Conv!$C$47*Conv!$I$5*1000*365</f>
        <v>3050.691855090251</v>
      </c>
      <c r="AC80" s="82">
        <f>Y80*Conv!$C$47*Conv!$I$5*1000*365</f>
        <v>38.928456919543763</v>
      </c>
      <c r="AD80" s="82">
        <f>Z80*Conv!$C$47*Conv!$I$5*1000*365</f>
        <v>42.979624087008254</v>
      </c>
      <c r="AE80" s="82">
        <f>AA80-AA82</f>
        <v>2472.9069432440897</v>
      </c>
      <c r="AF80" s="82">
        <f t="shared" ref="AF80" si="389">AB80-AB82</f>
        <v>2440.5534840722007</v>
      </c>
      <c r="AG80" s="82">
        <f t="shared" ref="AG80" si="390">AC80-AC82</f>
        <v>31.142765535635011</v>
      </c>
      <c r="AH80" s="82">
        <f t="shared" ref="AH80" si="391">AD80-AD82</f>
        <v>34.383699269606602</v>
      </c>
    </row>
    <row r="81" spans="1:37" ht="14.25" customHeight="1">
      <c r="A81" s="9" t="str">
        <f>A80</f>
        <v>FLL</v>
      </c>
      <c r="B81" s="9" t="str">
        <f t="shared" ref="B81:B84" si="392">CONCATENATE("IMP",D81,E81)</f>
        <v>IMPOILLL31</v>
      </c>
      <c r="C81" s="9" t="str">
        <f>CONCATENATE("Imported ",VLOOKUP($A81,Types!$A$13:$C$18,3,FALSE),", PADD ",RIGHT(F81,1),", Step ",RIGHT(E81,1))</f>
        <v>Imported Imported Oil-Low Sulfur, Low G, PADD 3, Step 1</v>
      </c>
      <c r="D81" s="9" t="str">
        <f>D80</f>
        <v>OILLL3</v>
      </c>
      <c r="E81" s="9">
        <v>1</v>
      </c>
      <c r="F81" s="9" t="str">
        <f>F80</f>
        <v>P3</v>
      </c>
      <c r="G81" s="66">
        <f>G80*$C$5</f>
        <v>36.234000000000009</v>
      </c>
      <c r="H81" s="66">
        <f t="shared" ref="H81" si="393">H80*$C$5</f>
        <v>54.883125000000007</v>
      </c>
      <c r="I81" s="66">
        <f t="shared" ref="I81" si="394">I80*$C$5</f>
        <v>38.055599999999998</v>
      </c>
      <c r="J81" s="66">
        <f t="shared" ref="J81" si="395">J80*$C$5</f>
        <v>39.996000000000002</v>
      </c>
      <c r="K81" s="67">
        <f>G81*Conv!$J$20/10^6/Conv!$C$47/Conv!$I$5</f>
        <v>8.7164897798381133</v>
      </c>
      <c r="L81" s="67">
        <f>H81*Conv!$J$20/10^6/Conv!$C$47/Conv!$I$5</f>
        <v>13.202743228682387</v>
      </c>
      <c r="M81" s="67" t="e">
        <f>L81*#REF!</f>
        <v>#REF!</v>
      </c>
      <c r="N81" s="67" t="e">
        <f>M81*#REF!</f>
        <v>#REF!</v>
      </c>
      <c r="O81" s="67" t="e">
        <f>N81*#REF!</f>
        <v>#REF!</v>
      </c>
      <c r="P81" s="67" t="e">
        <f>O81*#REF!</f>
        <v>#REF!</v>
      </c>
      <c r="Q81" s="67" t="e">
        <f>P81*#REF!</f>
        <v>#REF!</v>
      </c>
      <c r="R81" s="67" t="e">
        <f>Q81*#REF!</f>
        <v>#REF!</v>
      </c>
      <c r="S81" s="67" t="e">
        <f>R81*#REF!</f>
        <v>#REF!</v>
      </c>
      <c r="T81" s="67" t="e">
        <f>S81*#REF!</f>
        <v>#REF!</v>
      </c>
      <c r="U81" s="67" t="e">
        <f>T81*#REF!</f>
        <v>#REF!</v>
      </c>
      <c r="V81" s="42"/>
      <c r="W81" s="83">
        <f>W80*$E$5</f>
        <v>132.76600000000002</v>
      </c>
      <c r="X81" s="83">
        <f t="shared" ref="X81" si="396">X80*$E$5</f>
        <v>131.029</v>
      </c>
      <c r="Y81" s="83">
        <f t="shared" ref="Y81" si="397">Y80*$E$5</f>
        <v>1.6719999999999999</v>
      </c>
      <c r="Z81" s="83">
        <f t="shared" ref="Z81" si="398">Z80*$E$5</f>
        <v>1.8460000000000001</v>
      </c>
      <c r="AA81" s="82">
        <f>W81*Conv!$C$47*Conv!$I$5*1000*365</f>
        <v>309.11336790551127</v>
      </c>
      <c r="AB81" s="82">
        <f>X81*Conv!$C$47*Conv!$I$5*1000*365</f>
        <v>305.06918550902515</v>
      </c>
      <c r="AC81" s="82">
        <f>Y81*Conv!$C$47*Conv!$I$5*1000*365</f>
        <v>3.8928456919543764</v>
      </c>
      <c r="AD81" s="82">
        <f>Z81*Conv!$C$47*Conv!$I$5*1000*365</f>
        <v>4.2979624087008252</v>
      </c>
      <c r="AE81" s="82">
        <f>AA81</f>
        <v>309.11336790551127</v>
      </c>
      <c r="AF81" s="82">
        <f t="shared" ref="AF81" si="399">AB81</f>
        <v>305.06918550902515</v>
      </c>
      <c r="AG81" s="82">
        <f t="shared" ref="AG81" si="400">AC81</f>
        <v>3.8928456919543764</v>
      </c>
      <c r="AH81" s="82">
        <f t="shared" ref="AH81" si="401">AD81</f>
        <v>4.2979624087008252</v>
      </c>
      <c r="AI81" s="53"/>
    </row>
    <row r="82" spans="1:37" ht="14.25" customHeight="1">
      <c r="A82" s="9" t="str">
        <f t="shared" ref="A82:A84" si="402">A81</f>
        <v>FLL</v>
      </c>
      <c r="B82" s="9" t="str">
        <f t="shared" si="392"/>
        <v>IMPOILLL32</v>
      </c>
      <c r="C82" s="9" t="str">
        <f>CONCATENATE("Imported ",VLOOKUP($A82,Types!$A$13:$C$18,3,FALSE),", PADD ",RIGHT(F82,1),", Step ",RIGHT(E82,1))</f>
        <v>Imported Imported Oil-Low Sulfur, Low G, PADD 3, Step 2</v>
      </c>
      <c r="D82" s="9" t="str">
        <f t="shared" ref="D82:D84" si="403">D81</f>
        <v>OILLL3</v>
      </c>
      <c r="E82" s="9">
        <v>2</v>
      </c>
      <c r="F82" s="9" t="str">
        <f t="shared" ref="F82:F84" si="404">F81</f>
        <v>P3</v>
      </c>
      <c r="G82" s="66">
        <f>G80*$C$6</f>
        <v>38.247</v>
      </c>
      <c r="H82" s="66">
        <f t="shared" ref="H82:J82" si="405">H80*$C$6</f>
        <v>57.932187499999998</v>
      </c>
      <c r="I82" s="66">
        <f t="shared" si="405"/>
        <v>40.169799999999995</v>
      </c>
      <c r="J82" s="66">
        <f t="shared" si="405"/>
        <v>42.218000000000004</v>
      </c>
      <c r="K82" s="67">
        <f>G82*Conv!$J$20/10^6/Conv!$C$47/Conv!$I$5</f>
        <v>9.2007392120513387</v>
      </c>
      <c r="L82" s="67">
        <f>H82*Conv!$J$20/10^6/Conv!$C$47/Conv!$I$5</f>
        <v>13.936228963609183</v>
      </c>
      <c r="M82" s="67" t="e">
        <f>L82*#REF!</f>
        <v>#REF!</v>
      </c>
      <c r="N82" s="67" t="e">
        <f>M82*#REF!</f>
        <v>#REF!</v>
      </c>
      <c r="O82" s="67" t="e">
        <f>N82*#REF!</f>
        <v>#REF!</v>
      </c>
      <c r="P82" s="67" t="e">
        <f>O82*#REF!</f>
        <v>#REF!</v>
      </c>
      <c r="Q82" s="67" t="e">
        <f>P82*#REF!</f>
        <v>#REF!</v>
      </c>
      <c r="R82" s="67" t="e">
        <f>Q82*#REF!</f>
        <v>#REF!</v>
      </c>
      <c r="S82" s="67" t="e">
        <f>R82*#REF!</f>
        <v>#REF!</v>
      </c>
      <c r="T82" s="67" t="e">
        <f>S82*#REF!</f>
        <v>#REF!</v>
      </c>
      <c r="U82" s="67" t="e">
        <f>T82*#REF!</f>
        <v>#REF!</v>
      </c>
      <c r="V82" s="42"/>
      <c r="W82" s="83">
        <f>W80*$E$6</f>
        <v>265.53200000000004</v>
      </c>
      <c r="X82" s="83">
        <f t="shared" ref="X82:Z82" si="406">X80*$E$6</f>
        <v>262.05799999999999</v>
      </c>
      <c r="Y82" s="83">
        <f t="shared" si="406"/>
        <v>3.3439999999999999</v>
      </c>
      <c r="Z82" s="83">
        <f t="shared" si="406"/>
        <v>3.6920000000000002</v>
      </c>
      <c r="AA82" s="82">
        <f>W82*Conv!$C$47*Conv!$I$5*1000*365</f>
        <v>618.22673581102254</v>
      </c>
      <c r="AB82" s="82">
        <f>X82*Conv!$C$47*Conv!$I$5*1000*365</f>
        <v>610.13837101805029</v>
      </c>
      <c r="AC82" s="82">
        <f>Y82*Conv!$C$47*Conv!$I$5*1000*365</f>
        <v>7.7856913839087527</v>
      </c>
      <c r="AD82" s="82">
        <f>Z82*Conv!$C$47*Conv!$I$5*1000*365</f>
        <v>8.5959248174016505</v>
      </c>
      <c r="AE82" s="82">
        <f>AA82-AE81</f>
        <v>309.11336790551127</v>
      </c>
      <c r="AF82" s="82">
        <f t="shared" ref="AF82" si="407">AB82-AF81</f>
        <v>305.06918550902515</v>
      </c>
      <c r="AG82" s="82">
        <f t="shared" ref="AG82" si="408">AC82-AG81</f>
        <v>3.8928456919543764</v>
      </c>
      <c r="AH82" s="82">
        <f t="shared" ref="AH82" si="409">AD82-AH81</f>
        <v>4.2979624087008252</v>
      </c>
      <c r="AI82" s="53"/>
    </row>
    <row r="83" spans="1:37" ht="14.25" customHeight="1">
      <c r="A83" s="9" t="str">
        <f t="shared" si="402"/>
        <v>FLL</v>
      </c>
      <c r="B83" s="9" t="str">
        <f t="shared" si="392"/>
        <v>IMPOILLL34</v>
      </c>
      <c r="C83" s="9" t="str">
        <f>CONCATENATE("Imported ",VLOOKUP($A83,Types!$A$13:$C$18,3,FALSE),", PADD ",RIGHT(F83,1),", Step ",RIGHT(E83,1))</f>
        <v>Imported Imported Oil-Low Sulfur, Low G, PADD 3, Step 4</v>
      </c>
      <c r="D83" s="9" t="str">
        <f t="shared" si="403"/>
        <v>OILLL3</v>
      </c>
      <c r="E83" s="9">
        <v>4</v>
      </c>
      <c r="F83" s="9" t="str">
        <f t="shared" si="404"/>
        <v>P3</v>
      </c>
      <c r="G83" s="66">
        <f>G80*$C$8</f>
        <v>42.27300000000001</v>
      </c>
      <c r="H83" s="66">
        <f t="shared" ref="H83:J83" si="410">H80*$C$8</f>
        <v>64.030312500000008</v>
      </c>
      <c r="I83" s="66">
        <f t="shared" si="410"/>
        <v>44.398200000000003</v>
      </c>
      <c r="J83" s="66">
        <f t="shared" si="410"/>
        <v>46.662000000000006</v>
      </c>
      <c r="K83" s="67">
        <f>G83*Conv!$J$20/10^6/Conv!$C$47/Conv!$I$5</f>
        <v>10.169238076477798</v>
      </c>
      <c r="L83" s="67">
        <f>H83*Conv!$J$20/10^6/Conv!$C$47/Conv!$I$5</f>
        <v>15.403200433462786</v>
      </c>
      <c r="M83" s="67" t="e">
        <f>L83*#REF!</f>
        <v>#REF!</v>
      </c>
      <c r="N83" s="67" t="e">
        <f>M83*#REF!</f>
        <v>#REF!</v>
      </c>
      <c r="O83" s="67" t="e">
        <f>N83*#REF!</f>
        <v>#REF!</v>
      </c>
      <c r="P83" s="67" t="e">
        <f>O83*#REF!</f>
        <v>#REF!</v>
      </c>
      <c r="Q83" s="67" t="e">
        <f>P83*#REF!</f>
        <v>#REF!</v>
      </c>
      <c r="R83" s="67" t="e">
        <f>Q83*#REF!</f>
        <v>#REF!</v>
      </c>
      <c r="S83" s="67" t="e">
        <f>R83*#REF!</f>
        <v>#REF!</v>
      </c>
      <c r="T83" s="67" t="e">
        <f>S83*#REF!</f>
        <v>#REF!</v>
      </c>
      <c r="U83" s="67" t="e">
        <f>T83*#REF!</f>
        <v>#REF!</v>
      </c>
      <c r="V83" s="42"/>
      <c r="W83" s="83">
        <f>W80*$E$8</f>
        <v>1593.192</v>
      </c>
      <c r="X83" s="83">
        <f t="shared" ref="X83:Z83" si="411">X80*$E$8</f>
        <v>1572.348</v>
      </c>
      <c r="Y83" s="83">
        <f t="shared" si="411"/>
        <v>20.063999999999997</v>
      </c>
      <c r="Z83" s="83">
        <f t="shared" si="411"/>
        <v>22.152000000000001</v>
      </c>
      <c r="AA83" s="82">
        <f>W83*Conv!$C$47*Conv!$I$5*1000*365</f>
        <v>3709.3604148661348</v>
      </c>
      <c r="AB83" s="82">
        <f>X83*Conv!$C$47*Conv!$I$5*1000*365</f>
        <v>3660.8302261083013</v>
      </c>
      <c r="AC83" s="82">
        <f>Y83*Conv!$C$47*Conv!$I$5*1000*365</f>
        <v>46.714148303452511</v>
      </c>
      <c r="AD83" s="82">
        <f>Z83*Conv!$C$47*Conv!$I$5*1000*365</f>
        <v>51.575548904409906</v>
      </c>
      <c r="AE83" s="82">
        <f>AA83-AA80</f>
        <v>618.22673581102254</v>
      </c>
      <c r="AF83" s="82">
        <f t="shared" ref="AF83" si="412">AB83-AB80</f>
        <v>610.13837101805029</v>
      </c>
      <c r="AG83" s="82">
        <f t="shared" ref="AG83" si="413">AC83-AC80</f>
        <v>7.7856913839087483</v>
      </c>
      <c r="AH83" s="82">
        <f t="shared" ref="AH83" si="414">AD83-AD80</f>
        <v>8.5959248174016523</v>
      </c>
      <c r="AI83" s="53"/>
    </row>
    <row r="84" spans="1:37" ht="14.25" customHeight="1">
      <c r="A84" s="9" t="str">
        <f t="shared" si="402"/>
        <v>FLL</v>
      </c>
      <c r="B84" s="9" t="str">
        <f t="shared" si="392"/>
        <v>IMPOILLL35</v>
      </c>
      <c r="C84" s="9" t="str">
        <f>CONCATENATE("Imported ",VLOOKUP($A84,Types!$A$13:$C$18,3,FALSE),", PADD ",RIGHT(F84,1),", Step ",RIGHT(E84,1))</f>
        <v>Imported Imported Oil-Low Sulfur, Low G, PADD 3, Step 5</v>
      </c>
      <c r="D84" s="9" t="str">
        <f t="shared" si="403"/>
        <v>OILLL3</v>
      </c>
      <c r="E84" s="9">
        <v>5</v>
      </c>
      <c r="F84" s="9" t="str">
        <f t="shared" si="404"/>
        <v>P3</v>
      </c>
      <c r="G84" s="66">
        <f>G80*$C$9</f>
        <v>52.338000000000008</v>
      </c>
      <c r="H84" s="66">
        <f t="shared" ref="H84:J84" si="415">H80*$C$9</f>
        <v>79.275625000000005</v>
      </c>
      <c r="I84" s="66">
        <f t="shared" si="415"/>
        <v>54.969200000000001</v>
      </c>
      <c r="J84" s="66">
        <f t="shared" si="415"/>
        <v>57.772000000000006</v>
      </c>
      <c r="K84" s="67">
        <f>G84*Conv!$J$20/10^6/Conv!$C$47/Conv!$I$5</f>
        <v>12.590485237543941</v>
      </c>
      <c r="L84" s="67">
        <f>H84*Conv!$J$20/10^6/Conv!$C$47/Conv!$I$5</f>
        <v>19.070629108096782</v>
      </c>
      <c r="M84" s="67" t="e">
        <f>L84*#REF!</f>
        <v>#REF!</v>
      </c>
      <c r="N84" s="67" t="e">
        <f>M84*#REF!</f>
        <v>#REF!</v>
      </c>
      <c r="O84" s="67" t="e">
        <f>N84*#REF!</f>
        <v>#REF!</v>
      </c>
      <c r="P84" s="67" t="e">
        <f>O84*#REF!</f>
        <v>#REF!</v>
      </c>
      <c r="Q84" s="67" t="e">
        <f>P84*#REF!</f>
        <v>#REF!</v>
      </c>
      <c r="R84" s="67" t="e">
        <f>Q84*#REF!</f>
        <v>#REF!</v>
      </c>
      <c r="S84" s="67" t="e">
        <f>R84*#REF!</f>
        <v>#REF!</v>
      </c>
      <c r="T84" s="67" t="e">
        <f>S84*#REF!</f>
        <v>#REF!</v>
      </c>
      <c r="U84" s="67" t="e">
        <f>T84*#REF!</f>
        <v>#REF!</v>
      </c>
      <c r="V84" s="42"/>
      <c r="W84" s="83">
        <f>W80*$E$9</f>
        <v>1725.9580000000001</v>
      </c>
      <c r="X84" s="83">
        <f t="shared" ref="X84:Z84" si="416">X80*$E$9</f>
        <v>1703.377</v>
      </c>
      <c r="Y84" s="83">
        <f t="shared" si="416"/>
        <v>21.736000000000001</v>
      </c>
      <c r="Z84" s="83">
        <f t="shared" si="416"/>
        <v>23.998000000000001</v>
      </c>
      <c r="AA84" s="82">
        <f>W84*Conv!$C$47*Conv!$I$5*1000*365</f>
        <v>4018.4737827716463</v>
      </c>
      <c r="AB84" s="82">
        <f>X84*Conv!$C$47*Conv!$I$5*1000*365</f>
        <v>3965.8994116173267</v>
      </c>
      <c r="AC84" s="82">
        <f>Y84*Conv!$C$47*Conv!$I$5*1000*365</f>
        <v>50.606993995406903</v>
      </c>
      <c r="AD84" s="82">
        <f>Z84*Conv!$C$47*Conv!$I$5*1000*365</f>
        <v>55.873511313110725</v>
      </c>
      <c r="AE84" s="82">
        <f>AA84-AA83</f>
        <v>309.1133679055115</v>
      </c>
      <c r="AF84" s="82">
        <f t="shared" ref="AF84" si="417">AB84-AB83</f>
        <v>305.06918550902537</v>
      </c>
      <c r="AG84" s="82">
        <f t="shared" ref="AG84" si="418">AC84-AC83</f>
        <v>3.8928456919543919</v>
      </c>
      <c r="AH84" s="82">
        <f t="shared" ref="AH84" si="419">AD84-AD83</f>
        <v>4.297962408700819</v>
      </c>
      <c r="AI84" s="53"/>
    </row>
    <row r="85" spans="1:37" ht="14.25" customHeight="1">
      <c r="A85" s="9" t="str">
        <f>'Agg crdcrv'!C48</f>
        <v>FMH</v>
      </c>
      <c r="B85" s="9" t="str">
        <f t="shared" ref="B85:B141" si="420">CONCATENATE("IMP",D85,E85)</f>
        <v>IMPOILMH33</v>
      </c>
      <c r="C85" s="9" t="str">
        <f>CONCATENATE("Imported ",VLOOKUP($A85,Types!$A$13:$C$18,3,FALSE),", PADD ",RIGHT(F85,1),", Step ",RIGHT(E85,1))</f>
        <v>Imported Imported Oil-Medium Sulfur, HG, PADD 3, Step 3</v>
      </c>
      <c r="D85" s="9" t="str">
        <f>CONCATENATE(VLOOKUP($A85,Types!$A$14:$C$18,2,FALSE),RIGHT(F85,1))</f>
        <v>OILMH3</v>
      </c>
      <c r="E85" s="9">
        <v>3</v>
      </c>
      <c r="F85" s="9" t="str">
        <f>'Agg crdcrv'!D48</f>
        <v>P3</v>
      </c>
      <c r="G85" s="66">
        <f>'Agg crdcrv'!H48*K5</f>
        <v>36.201000000000001</v>
      </c>
      <c r="H85" s="66">
        <f>'Agg crdcrv'!H53*K5</f>
        <v>50.105000000000004</v>
      </c>
      <c r="I85" s="66">
        <f>'Agg crdcrv'!H58*K5</f>
        <v>34.441000000000003</v>
      </c>
      <c r="J85" s="66">
        <f>'Agg crdcrv'!H63*K5</f>
        <v>36.32200000000001</v>
      </c>
      <c r="K85" s="67">
        <f>G85*Conv!$J$20/10^6/Conv!$C$47/Conv!$I$5</f>
        <v>8.7085512645559255</v>
      </c>
      <c r="L85" s="67">
        <f>H85*Conv!$J$20/10^6/Conv!$C$47/Conv!$I$5</f>
        <v>12.053312370116149</v>
      </c>
      <c r="M85" s="67" t="e">
        <f>L85*#REF!</f>
        <v>#REF!</v>
      </c>
      <c r="N85" s="67" t="e">
        <f>M85*#REF!</f>
        <v>#REF!</v>
      </c>
      <c r="O85" s="67" t="e">
        <f>N85*#REF!</f>
        <v>#REF!</v>
      </c>
      <c r="P85" s="67" t="e">
        <f>O85*#REF!</f>
        <v>#REF!</v>
      </c>
      <c r="Q85" s="67" t="e">
        <f>P85*#REF!</f>
        <v>#REF!</v>
      </c>
      <c r="R85" s="67" t="e">
        <f>Q85*#REF!</f>
        <v>#REF!</v>
      </c>
      <c r="S85" s="67" t="e">
        <f>R85*#REF!</f>
        <v>#REF!</v>
      </c>
      <c r="T85" s="67" t="e">
        <f>S85*#REF!</f>
        <v>#REF!</v>
      </c>
      <c r="U85" s="67" t="e">
        <f>T85*#REF!</f>
        <v>#REF!</v>
      </c>
      <c r="V85" s="42"/>
      <c r="W85" s="9">
        <f>'Agg crdcrv'!F48</f>
        <v>545.74</v>
      </c>
      <c r="X85" s="9">
        <f>'Agg crdcrv'!F53</f>
        <v>425.12</v>
      </c>
      <c r="Y85" s="9">
        <f>'Agg crdcrv'!F58</f>
        <v>80.13</v>
      </c>
      <c r="Z85" s="9">
        <f>'Agg crdcrv'!F63</f>
        <v>88.47</v>
      </c>
      <c r="AA85" s="82">
        <f>W85*Conv!$C$47*Conv!$I$5*1000*365</f>
        <v>1270.6229712483141</v>
      </c>
      <c r="AB85" s="82">
        <f>X85*Conv!$C$47*Conv!$I$5*1000*365</f>
        <v>989.78861277729959</v>
      </c>
      <c r="AC85" s="82">
        <f>Y85*Conv!$C$47*Conv!$I$5*1000*365</f>
        <v>186.56323283271783</v>
      </c>
      <c r="AD85" s="82">
        <f>Z85*Conv!$C$47*Conv!$I$5*1000*365</f>
        <v>205.98089615263379</v>
      </c>
      <c r="AE85" s="82">
        <f>AA85-AA87</f>
        <v>1016.4983769986512</v>
      </c>
      <c r="AF85" s="82">
        <f t="shared" ref="AF85" si="421">AB85-AB87</f>
        <v>791.8308902218397</v>
      </c>
      <c r="AG85" s="82">
        <f t="shared" ref="AG85" si="422">AC85-AC87</f>
        <v>149.25058626617425</v>
      </c>
      <c r="AH85" s="82">
        <f t="shared" ref="AH85" si="423">AD85-AD87</f>
        <v>164.78471692210704</v>
      </c>
    </row>
    <row r="86" spans="1:37" ht="14.25" customHeight="1">
      <c r="A86" s="9" t="str">
        <f>A85</f>
        <v>FMH</v>
      </c>
      <c r="B86" s="9" t="str">
        <f t="shared" si="420"/>
        <v>IMPOILMH31</v>
      </c>
      <c r="C86" s="9" t="str">
        <f>CONCATENATE("Imported ",VLOOKUP($A86,Types!$A$13:$C$18,3,FALSE),", PADD ",RIGHT(F86,1),", Step ",RIGHT(E86,1))</f>
        <v>Imported Imported Oil-Medium Sulfur, HG, PADD 3, Step 1</v>
      </c>
      <c r="D86" s="9" t="str">
        <f>D85</f>
        <v>OILMH3</v>
      </c>
      <c r="E86" s="9">
        <v>1</v>
      </c>
      <c r="F86" s="9" t="str">
        <f>F85</f>
        <v>P3</v>
      </c>
      <c r="G86" s="66">
        <f>G85*$C$5</f>
        <v>32.5809</v>
      </c>
      <c r="H86" s="66">
        <f t="shared" ref="H86" si="424">H85*$C$5</f>
        <v>45.094500000000004</v>
      </c>
      <c r="I86" s="66">
        <f t="shared" ref="I86" si="425">I85*$C$5</f>
        <v>30.996900000000004</v>
      </c>
      <c r="J86" s="66">
        <f t="shared" ref="J86" si="426">J85*$C$5</f>
        <v>32.689800000000012</v>
      </c>
      <c r="K86" s="67">
        <f>G86*Conv!$J$20/10^6/Conv!$C$47/Conv!$I$5</f>
        <v>7.8376961381003349</v>
      </c>
      <c r="L86" s="67">
        <f>H86*Conv!$J$20/10^6/Conv!$C$47/Conv!$I$5</f>
        <v>10.847981133104536</v>
      </c>
      <c r="M86" s="67" t="e">
        <f>L86*#REF!</f>
        <v>#REF!</v>
      </c>
      <c r="N86" s="67" t="e">
        <f>M86*#REF!</f>
        <v>#REF!</v>
      </c>
      <c r="O86" s="67" t="e">
        <f>N86*#REF!</f>
        <v>#REF!</v>
      </c>
      <c r="P86" s="67" t="e">
        <f>O86*#REF!</f>
        <v>#REF!</v>
      </c>
      <c r="Q86" s="67" t="e">
        <f>P86*#REF!</f>
        <v>#REF!</v>
      </c>
      <c r="R86" s="67" t="e">
        <f>Q86*#REF!</f>
        <v>#REF!</v>
      </c>
      <c r="S86" s="67" t="e">
        <f>R86*#REF!</f>
        <v>#REF!</v>
      </c>
      <c r="T86" s="67" t="e">
        <f>S86*#REF!</f>
        <v>#REF!</v>
      </c>
      <c r="U86" s="67" t="e">
        <f>T86*#REF!</f>
        <v>#REF!</v>
      </c>
      <c r="V86" s="42"/>
      <c r="W86" s="83">
        <f>W85*$E$5</f>
        <v>54.574000000000005</v>
      </c>
      <c r="X86" s="83">
        <f t="shared" ref="X86" si="427">X85*$E$5</f>
        <v>42.512</v>
      </c>
      <c r="Y86" s="83">
        <f t="shared" ref="Y86" si="428">Y85*$E$5</f>
        <v>8.0129999999999999</v>
      </c>
      <c r="Z86" s="83">
        <f t="shared" ref="Z86" si="429">Z85*$E$5</f>
        <v>8.8469999999999995</v>
      </c>
      <c r="AA86" s="82">
        <f>W86*Conv!$C$47*Conv!$I$5*1000*365</f>
        <v>127.06229712483145</v>
      </c>
      <c r="AB86" s="82">
        <f>X86*Conv!$C$47*Conv!$I$5*1000*365</f>
        <v>98.978861277729933</v>
      </c>
      <c r="AC86" s="82">
        <f>Y86*Conv!$C$47*Conv!$I$5*1000*365</f>
        <v>18.656323283271782</v>
      </c>
      <c r="AD86" s="82">
        <f>Z86*Conv!$C$47*Conv!$I$5*1000*365</f>
        <v>20.59808961526338</v>
      </c>
      <c r="AE86" s="82">
        <f>AA86</f>
        <v>127.06229712483145</v>
      </c>
      <c r="AF86" s="82">
        <f t="shared" ref="AF86" si="430">AB86</f>
        <v>98.978861277729933</v>
      </c>
      <c r="AG86" s="82">
        <f t="shared" ref="AG86" si="431">AC86</f>
        <v>18.656323283271782</v>
      </c>
      <c r="AH86" s="82">
        <f t="shared" ref="AH86" si="432">AD86</f>
        <v>20.59808961526338</v>
      </c>
      <c r="AI86" s="53"/>
    </row>
    <row r="87" spans="1:37" ht="14.25" customHeight="1">
      <c r="A87" s="9" t="str">
        <f t="shared" ref="A87:A89" si="433">A86</f>
        <v>FMH</v>
      </c>
      <c r="B87" s="9" t="str">
        <f t="shared" si="420"/>
        <v>IMPOILMH32</v>
      </c>
      <c r="C87" s="9" t="str">
        <f>CONCATENATE("Imported ",VLOOKUP($A87,Types!$A$13:$C$18,3,FALSE),", PADD ",RIGHT(F87,1),", Step ",RIGHT(E87,1))</f>
        <v>Imported Imported Oil-Medium Sulfur, HG, PADD 3, Step 2</v>
      </c>
      <c r="D87" s="9" t="str">
        <f t="shared" ref="D87:D89" si="434">D86</f>
        <v>OILMH3</v>
      </c>
      <c r="E87" s="9">
        <v>2</v>
      </c>
      <c r="F87" s="9" t="str">
        <f t="shared" ref="F87:F89" si="435">F86</f>
        <v>P3</v>
      </c>
      <c r="G87" s="66">
        <f>G85*$C$6</f>
        <v>34.390949999999997</v>
      </c>
      <c r="H87" s="66">
        <f t="shared" ref="H87:J87" si="436">H85*$C$6</f>
        <v>47.59975</v>
      </c>
      <c r="I87" s="66">
        <f t="shared" si="436"/>
        <v>32.71895</v>
      </c>
      <c r="J87" s="66">
        <f t="shared" si="436"/>
        <v>34.505900000000011</v>
      </c>
      <c r="K87" s="67">
        <f>G87*Conv!$J$20/10^6/Conv!$C$47/Conv!$I$5</f>
        <v>8.2731237013281316</v>
      </c>
      <c r="L87" s="67">
        <f>H87*Conv!$J$20/10^6/Conv!$C$47/Conv!$I$5</f>
        <v>11.450646751610343</v>
      </c>
      <c r="M87" s="67" t="e">
        <f>L87*#REF!</f>
        <v>#REF!</v>
      </c>
      <c r="N87" s="67" t="e">
        <f>M87*#REF!</f>
        <v>#REF!</v>
      </c>
      <c r="O87" s="67" t="e">
        <f>N87*#REF!</f>
        <v>#REF!</v>
      </c>
      <c r="P87" s="67" t="e">
        <f>O87*#REF!</f>
        <v>#REF!</v>
      </c>
      <c r="Q87" s="67" t="e">
        <f>P87*#REF!</f>
        <v>#REF!</v>
      </c>
      <c r="R87" s="67" t="e">
        <f>Q87*#REF!</f>
        <v>#REF!</v>
      </c>
      <c r="S87" s="67" t="e">
        <f>R87*#REF!</f>
        <v>#REF!</v>
      </c>
      <c r="T87" s="67" t="e">
        <f>S87*#REF!</f>
        <v>#REF!</v>
      </c>
      <c r="U87" s="67" t="e">
        <f>T87*#REF!</f>
        <v>#REF!</v>
      </c>
      <c r="V87" s="42"/>
      <c r="W87" s="83">
        <f>W85*$E$6</f>
        <v>109.14800000000001</v>
      </c>
      <c r="X87" s="83">
        <f t="shared" ref="X87:Z87" si="437">X85*$E$6</f>
        <v>85.024000000000001</v>
      </c>
      <c r="Y87" s="83">
        <f t="shared" si="437"/>
        <v>16.026</v>
      </c>
      <c r="Z87" s="83">
        <f t="shared" si="437"/>
        <v>17.693999999999999</v>
      </c>
      <c r="AA87" s="82">
        <f>W87*Conv!$C$47*Conv!$I$5*1000*365</f>
        <v>254.12459424966289</v>
      </c>
      <c r="AB87" s="82">
        <f>X87*Conv!$C$47*Conv!$I$5*1000*365</f>
        <v>197.95772255545987</v>
      </c>
      <c r="AC87" s="82">
        <f>Y87*Conv!$C$47*Conv!$I$5*1000*365</f>
        <v>37.312646566543563</v>
      </c>
      <c r="AD87" s="82">
        <f>Z87*Conv!$C$47*Conv!$I$5*1000*365</f>
        <v>41.196179230526759</v>
      </c>
      <c r="AE87" s="82">
        <f>AA87-AE86</f>
        <v>127.06229712483145</v>
      </c>
      <c r="AF87" s="82">
        <f t="shared" ref="AF87" si="438">AB87-AF86</f>
        <v>98.978861277729933</v>
      </c>
      <c r="AG87" s="82">
        <f t="shared" ref="AG87" si="439">AC87-AG86</f>
        <v>18.656323283271782</v>
      </c>
      <c r="AH87" s="82">
        <f t="shared" ref="AH87" si="440">AD87-AH86</f>
        <v>20.59808961526338</v>
      </c>
      <c r="AI87" s="53"/>
    </row>
    <row r="88" spans="1:37" ht="14.25" customHeight="1">
      <c r="A88" s="9" t="str">
        <f t="shared" si="433"/>
        <v>FMH</v>
      </c>
      <c r="B88" s="9" t="str">
        <f t="shared" si="420"/>
        <v>IMPOILMH34</v>
      </c>
      <c r="C88" s="9" t="str">
        <f>CONCATENATE("Imported ",VLOOKUP($A88,Types!$A$13:$C$18,3,FALSE),", PADD ",RIGHT(F88,1),", Step ",RIGHT(E88,1))</f>
        <v>Imported Imported Oil-Medium Sulfur, HG, PADD 3, Step 4</v>
      </c>
      <c r="D88" s="9" t="str">
        <f t="shared" si="434"/>
        <v>OILMH3</v>
      </c>
      <c r="E88" s="9">
        <v>4</v>
      </c>
      <c r="F88" s="9" t="str">
        <f t="shared" si="435"/>
        <v>P3</v>
      </c>
      <c r="G88" s="66">
        <f>G85*$C$8</f>
        <v>38.011050000000004</v>
      </c>
      <c r="H88" s="66">
        <f t="shared" ref="H88:J88" si="441">H85*$C$8</f>
        <v>52.610250000000008</v>
      </c>
      <c r="I88" s="66">
        <f t="shared" si="441"/>
        <v>36.163050000000005</v>
      </c>
      <c r="J88" s="66">
        <f t="shared" si="441"/>
        <v>38.138100000000009</v>
      </c>
      <c r="K88" s="67">
        <f>G88*Conv!$J$20/10^6/Conv!$C$47/Conv!$I$5</f>
        <v>9.1439788277837248</v>
      </c>
      <c r="L88" s="67">
        <f>H88*Conv!$J$20/10^6/Conv!$C$47/Conv!$I$5</f>
        <v>12.655977988621959</v>
      </c>
      <c r="M88" s="67" t="e">
        <f>L88*#REF!</f>
        <v>#REF!</v>
      </c>
      <c r="N88" s="67" t="e">
        <f>M88*#REF!</f>
        <v>#REF!</v>
      </c>
      <c r="O88" s="67" t="e">
        <f>N88*#REF!</f>
        <v>#REF!</v>
      </c>
      <c r="P88" s="67" t="e">
        <f>O88*#REF!</f>
        <v>#REF!</v>
      </c>
      <c r="Q88" s="67" t="e">
        <f>P88*#REF!</f>
        <v>#REF!</v>
      </c>
      <c r="R88" s="67" t="e">
        <f>Q88*#REF!</f>
        <v>#REF!</v>
      </c>
      <c r="S88" s="67" t="e">
        <f>R88*#REF!</f>
        <v>#REF!</v>
      </c>
      <c r="T88" s="67" t="e">
        <f>S88*#REF!</f>
        <v>#REF!</v>
      </c>
      <c r="U88" s="67" t="e">
        <f>T88*#REF!</f>
        <v>#REF!</v>
      </c>
      <c r="V88" s="42"/>
      <c r="W88" s="83">
        <f>W85*$E$8</f>
        <v>654.88800000000003</v>
      </c>
      <c r="X88" s="83">
        <f t="shared" ref="X88:Z88" si="442">X85*$E$8</f>
        <v>510.14400000000001</v>
      </c>
      <c r="Y88" s="83">
        <f t="shared" si="442"/>
        <v>96.155999999999992</v>
      </c>
      <c r="Z88" s="83">
        <f t="shared" si="442"/>
        <v>106.164</v>
      </c>
      <c r="AA88" s="82">
        <f>W88*Conv!$C$47*Conv!$I$5*1000*365</f>
        <v>1524.7475654979771</v>
      </c>
      <c r="AB88" s="82">
        <f>X88*Conv!$C$47*Conv!$I$5*1000*365</f>
        <v>1187.7463353327594</v>
      </c>
      <c r="AC88" s="82">
        <f>Y88*Conv!$C$47*Conv!$I$5*1000*365</f>
        <v>223.87587939926138</v>
      </c>
      <c r="AD88" s="82">
        <f>Z88*Conv!$C$47*Conv!$I$5*1000*365</f>
        <v>247.17707538316054</v>
      </c>
      <c r="AE88" s="82">
        <f>AA88-AA85</f>
        <v>254.12459424966301</v>
      </c>
      <c r="AF88" s="82">
        <f t="shared" ref="AF88" si="443">AB88-AB85</f>
        <v>197.95772255545978</v>
      </c>
      <c r="AG88" s="82">
        <f t="shared" ref="AG88" si="444">AC88-AC85</f>
        <v>37.312646566543549</v>
      </c>
      <c r="AH88" s="82">
        <f t="shared" ref="AH88" si="445">AD88-AD85</f>
        <v>41.196179230526752</v>
      </c>
      <c r="AI88" s="53"/>
    </row>
    <row r="89" spans="1:37" ht="14.25" customHeight="1">
      <c r="A89" s="9" t="str">
        <f t="shared" si="433"/>
        <v>FMH</v>
      </c>
      <c r="B89" s="9" t="str">
        <f t="shared" si="420"/>
        <v>IMPOILMH35</v>
      </c>
      <c r="C89" s="9" t="str">
        <f>CONCATENATE("Imported ",VLOOKUP($A89,Types!$A$13:$C$18,3,FALSE),", PADD ",RIGHT(F89,1),", Step ",RIGHT(E89,1))</f>
        <v>Imported Imported Oil-Medium Sulfur, HG, PADD 3, Step 5</v>
      </c>
      <c r="D89" s="9" t="str">
        <f t="shared" si="434"/>
        <v>OILMH3</v>
      </c>
      <c r="E89" s="9">
        <v>5</v>
      </c>
      <c r="F89" s="9" t="str">
        <f t="shared" si="435"/>
        <v>P3</v>
      </c>
      <c r="G89" s="66">
        <f>G85*$C$9</f>
        <v>47.061300000000003</v>
      </c>
      <c r="H89" s="66">
        <f t="shared" ref="H89:J89" si="446">H85*$C$9</f>
        <v>65.136500000000012</v>
      </c>
      <c r="I89" s="66">
        <f t="shared" si="446"/>
        <v>44.773300000000006</v>
      </c>
      <c r="J89" s="66">
        <f t="shared" si="446"/>
        <v>47.218600000000016</v>
      </c>
      <c r="K89" s="67">
        <f>G89*Conv!$J$20/10^6/Conv!$C$47/Conv!$I$5</f>
        <v>11.321116643922707</v>
      </c>
      <c r="L89" s="67">
        <f>H89*Conv!$J$20/10^6/Conv!$C$47/Conv!$I$5</f>
        <v>15.669306081150996</v>
      </c>
      <c r="M89" s="67" t="e">
        <f>L89*#REF!</f>
        <v>#REF!</v>
      </c>
      <c r="N89" s="67" t="e">
        <f>M89*#REF!</f>
        <v>#REF!</v>
      </c>
      <c r="O89" s="67" t="e">
        <f>N89*#REF!</f>
        <v>#REF!</v>
      </c>
      <c r="P89" s="67" t="e">
        <f>O89*#REF!</f>
        <v>#REF!</v>
      </c>
      <c r="Q89" s="67" t="e">
        <f>P89*#REF!</f>
        <v>#REF!</v>
      </c>
      <c r="R89" s="67" t="e">
        <f>Q89*#REF!</f>
        <v>#REF!</v>
      </c>
      <c r="S89" s="67" t="e">
        <f>R89*#REF!</f>
        <v>#REF!</v>
      </c>
      <c r="T89" s="67" t="e">
        <f>S89*#REF!</f>
        <v>#REF!</v>
      </c>
      <c r="U89" s="67" t="e">
        <f>T89*#REF!</f>
        <v>#REF!</v>
      </c>
      <c r="V89" s="42"/>
      <c r="W89" s="83">
        <f>W85*$E$9</f>
        <v>709.46199999999999</v>
      </c>
      <c r="X89" s="83">
        <f t="shared" ref="X89:Z89" si="447">X85*$E$9</f>
        <v>552.65600000000006</v>
      </c>
      <c r="Y89" s="83">
        <f t="shared" si="447"/>
        <v>104.169</v>
      </c>
      <c r="Z89" s="83">
        <f t="shared" si="447"/>
        <v>115.011</v>
      </c>
      <c r="AA89" s="82">
        <f>W89*Conv!$C$47*Conv!$I$5*1000*365</f>
        <v>1651.8098626228086</v>
      </c>
      <c r="AB89" s="82">
        <f>X89*Conv!$C$47*Conv!$I$5*1000*365</f>
        <v>1286.7251966104893</v>
      </c>
      <c r="AC89" s="82">
        <f>Y89*Conv!$C$47*Conv!$I$5*1000*365</f>
        <v>242.53220268253315</v>
      </c>
      <c r="AD89" s="82">
        <f>Z89*Conv!$C$47*Conv!$I$5*1000*365</f>
        <v>267.77516499842392</v>
      </c>
      <c r="AE89" s="82">
        <f>AA89-AA88</f>
        <v>127.0622971248315</v>
      </c>
      <c r="AF89" s="82">
        <f t="shared" ref="AF89" si="448">AB89-AB88</f>
        <v>98.978861277729948</v>
      </c>
      <c r="AG89" s="82">
        <f t="shared" ref="AG89" si="449">AC89-AC88</f>
        <v>18.656323283271774</v>
      </c>
      <c r="AH89" s="82">
        <f t="shared" ref="AH89" si="450">AD89-AD88</f>
        <v>20.598089615263376</v>
      </c>
      <c r="AI89" s="53"/>
    </row>
    <row r="90" spans="1:37" ht="12.75">
      <c r="A90" s="10" t="s">
        <v>529</v>
      </c>
      <c r="B90" s="10"/>
      <c r="C90" s="10"/>
      <c r="D90" s="48"/>
      <c r="E90" s="48"/>
      <c r="F90" s="48"/>
      <c r="G90" s="63"/>
      <c r="H90" s="73"/>
      <c r="I90" s="63"/>
      <c r="J90" s="73"/>
      <c r="K90" s="64"/>
      <c r="L90" s="74"/>
      <c r="M90" s="64"/>
      <c r="N90" s="74"/>
      <c r="O90" s="64"/>
      <c r="P90" s="74"/>
      <c r="Q90" s="64"/>
      <c r="R90" s="74"/>
      <c r="S90" s="64"/>
      <c r="T90" s="74"/>
      <c r="U90" s="64"/>
      <c r="V90" s="10"/>
      <c r="W90" s="10"/>
      <c r="X90" s="48"/>
      <c r="Y90" s="10"/>
      <c r="Z90" s="48"/>
      <c r="AA90" s="76"/>
      <c r="AB90" s="76"/>
      <c r="AC90" s="76"/>
      <c r="AD90" s="76"/>
      <c r="AE90" s="76"/>
      <c r="AF90" s="75"/>
      <c r="AG90" s="76"/>
      <c r="AH90" s="75"/>
      <c r="AI90" s="10"/>
      <c r="AJ90" s="48"/>
      <c r="AK90" s="10"/>
    </row>
    <row r="91" spans="1:37" ht="14.25" customHeight="1">
      <c r="A91" s="9" t="str">
        <f>'Agg crdcrv'!C64</f>
        <v>FHH</v>
      </c>
      <c r="B91" s="9" t="str">
        <f t="shared" si="420"/>
        <v>IMPOILHH43</v>
      </c>
      <c r="C91" s="9" t="str">
        <f>CONCATENATE("Imported ",VLOOKUP($A91,Types!$A$13:$C$18,3,FALSE),", PADD ",RIGHT(F91,1),", Step ",RIGHT(E91,1))</f>
        <v>Imported Imported Oil-High Sulfur, Heavy G, PADD 4, Step 3</v>
      </c>
      <c r="D91" s="9" t="str">
        <f>CONCATENATE(VLOOKUP($A91,Types!$A$14:$C$18,2,FALSE),RIGHT(F91,1))</f>
        <v>OILHH4</v>
      </c>
      <c r="E91" s="9">
        <v>3</v>
      </c>
      <c r="F91" s="9" t="str">
        <f>'Agg crdcrv'!D64</f>
        <v>P4</v>
      </c>
      <c r="G91" s="66">
        <f>'Agg crdcrv'!H64*K5</f>
        <v>31.900000000000002</v>
      </c>
      <c r="H91" s="66">
        <f>'Agg crdcrv'!H69*K5</f>
        <v>46.406250000000007</v>
      </c>
      <c r="I91" s="66">
        <f>'Agg crdcrv'!H74*K5</f>
        <v>31.57</v>
      </c>
      <c r="J91" s="66">
        <f>'Agg crdcrv'!H79*K5</f>
        <v>33.407000000000004</v>
      </c>
      <c r="K91" s="67">
        <f>G91*Conv!$J$20/10^6/Conv!$C$47/Conv!$I$5</f>
        <v>7.6738981061112703</v>
      </c>
      <c r="L91" s="67">
        <f>H91*Conv!$J$20/10^6/Conv!$C$47/Conv!$I$5</f>
        <v>11.163537115571355</v>
      </c>
      <c r="M91" s="67" t="e">
        <f>L91*#REF!</f>
        <v>#REF!</v>
      </c>
      <c r="N91" s="67" t="e">
        <f>M91*#REF!</f>
        <v>#REF!</v>
      </c>
      <c r="O91" s="67" t="e">
        <f>N91*#REF!</f>
        <v>#REF!</v>
      </c>
      <c r="P91" s="67" t="e">
        <f>O91*#REF!</f>
        <v>#REF!</v>
      </c>
      <c r="Q91" s="67" t="e">
        <f>P91*#REF!</f>
        <v>#REF!</v>
      </c>
      <c r="R91" s="67" t="e">
        <f>Q91*#REF!</f>
        <v>#REF!</v>
      </c>
      <c r="S91" s="67" t="e">
        <f>R91*#REF!</f>
        <v>#REF!</v>
      </c>
      <c r="T91" s="67" t="e">
        <f>S91*#REF!</f>
        <v>#REF!</v>
      </c>
      <c r="U91" s="67" t="e">
        <f>T91*#REF!</f>
        <v>#REF!</v>
      </c>
      <c r="V91" s="42"/>
      <c r="W91" s="9">
        <f>'Agg crdcrv'!F64</f>
        <v>19.690000000000001</v>
      </c>
      <c r="X91" s="9">
        <f>'Agg crdcrv'!F69</f>
        <v>43.33</v>
      </c>
      <c r="Y91" s="9">
        <f>'Agg crdcrv'!F74</f>
        <v>22.09</v>
      </c>
      <c r="Z91" s="9">
        <f>'Agg crdcrv'!F79</f>
        <v>24.39</v>
      </c>
      <c r="AA91" s="82">
        <f>W91*Conv!$C$47*Conv!$I$5*1000*365</f>
        <v>45.843380188146938</v>
      </c>
      <c r="AB91" s="82">
        <f>X91*Conv!$C$47*Conv!$I$5*1000*365</f>
        <v>100.88337549783682</v>
      </c>
      <c r="AC91" s="82">
        <f>Y91*Conv!$C$47*Conv!$I$5*1000*365</f>
        <v>51.431196970856568</v>
      </c>
      <c r="AD91" s="82">
        <f>Z91*Conv!$C$47*Conv!$I$5*1000*365</f>
        <v>56.786188054286633</v>
      </c>
      <c r="AE91" s="82">
        <f>AA91-AA93</f>
        <v>36.674704150517549</v>
      </c>
      <c r="AF91" s="82">
        <f t="shared" ref="AF91" si="451">AB91-AB93</f>
        <v>80.706700398269462</v>
      </c>
      <c r="AG91" s="82">
        <f t="shared" ref="AG91" si="452">AC91-AC93</f>
        <v>41.144957576685258</v>
      </c>
      <c r="AH91" s="82">
        <f t="shared" ref="AH91" si="453">AD91-AD93</f>
        <v>45.428950443429308</v>
      </c>
      <c r="AI91" s="77"/>
      <c r="AJ91" s="78"/>
      <c r="AK91" s="78"/>
    </row>
    <row r="92" spans="1:37" ht="14.25" customHeight="1">
      <c r="A92" s="9" t="str">
        <f>A91</f>
        <v>FHH</v>
      </c>
      <c r="B92" s="9" t="str">
        <f t="shared" si="420"/>
        <v>IMPOILHH41</v>
      </c>
      <c r="C92" s="9" t="str">
        <f>CONCATENATE("Imported ",VLOOKUP($A92,Types!$A$13:$C$18,3,FALSE),", PADD ",RIGHT(F92,1),", Step ",RIGHT(E92,1))</f>
        <v>Imported Imported Oil-High Sulfur, Heavy G, PADD 4, Step 1</v>
      </c>
      <c r="D92" s="9" t="str">
        <f>D91</f>
        <v>OILHH4</v>
      </c>
      <c r="E92" s="9">
        <v>1</v>
      </c>
      <c r="F92" s="9" t="str">
        <f>F91</f>
        <v>P4</v>
      </c>
      <c r="G92" s="66">
        <f>G91*$C$5</f>
        <v>28.71</v>
      </c>
      <c r="H92" s="66">
        <f t="shared" ref="H92" si="454">H91*$C$5</f>
        <v>41.765625000000007</v>
      </c>
      <c r="I92" s="66">
        <f t="shared" ref="I92" si="455">I91*$C$5</f>
        <v>28.413</v>
      </c>
      <c r="J92" s="66">
        <f t="shared" ref="J92" si="456">J91*$C$5</f>
        <v>30.066300000000005</v>
      </c>
      <c r="K92" s="67">
        <f>G92*Conv!$J$20/10^6/Conv!$C$47/Conv!$I$5</f>
        <v>6.9065082955001431</v>
      </c>
      <c r="L92" s="67">
        <f>H92*Conv!$J$20/10^6/Conv!$C$47/Conv!$I$5</f>
        <v>10.04718340401422</v>
      </c>
      <c r="M92" s="67" t="e">
        <f>L92*#REF!</f>
        <v>#REF!</v>
      </c>
      <c r="N92" s="67" t="e">
        <f>M92*#REF!</f>
        <v>#REF!</v>
      </c>
      <c r="O92" s="67" t="e">
        <f>N92*#REF!</f>
        <v>#REF!</v>
      </c>
      <c r="P92" s="67" t="e">
        <f>O92*#REF!</f>
        <v>#REF!</v>
      </c>
      <c r="Q92" s="67" t="e">
        <f>P92*#REF!</f>
        <v>#REF!</v>
      </c>
      <c r="R92" s="67" t="e">
        <f>Q92*#REF!</f>
        <v>#REF!</v>
      </c>
      <c r="S92" s="67" t="e">
        <f>R92*#REF!</f>
        <v>#REF!</v>
      </c>
      <c r="T92" s="67" t="e">
        <f>S92*#REF!</f>
        <v>#REF!</v>
      </c>
      <c r="U92" s="67" t="e">
        <f>T92*#REF!</f>
        <v>#REF!</v>
      </c>
      <c r="V92" s="42"/>
      <c r="W92" s="83">
        <f>W91*$E$5</f>
        <v>1.9690000000000003</v>
      </c>
      <c r="X92" s="83">
        <f t="shared" ref="X92" si="457">X91*$E$5</f>
        <v>4.3330000000000002</v>
      </c>
      <c r="Y92" s="83">
        <f t="shared" ref="Y92" si="458">Y91*$E$5</f>
        <v>2.2090000000000001</v>
      </c>
      <c r="Z92" s="83">
        <f t="shared" ref="Z92" si="459">Z91*$E$5</f>
        <v>2.4390000000000001</v>
      </c>
      <c r="AA92" s="82">
        <f>W92*Conv!$C$47*Conv!$I$5*1000*365</f>
        <v>4.5843380188146945</v>
      </c>
      <c r="AB92" s="82">
        <f>X92*Conv!$C$47*Conv!$I$5*1000*365</f>
        <v>10.088337549783681</v>
      </c>
      <c r="AC92" s="82">
        <f>Y92*Conv!$C$47*Conv!$I$5*1000*365</f>
        <v>5.1431196970856572</v>
      </c>
      <c r="AD92" s="82">
        <f>Z92*Conv!$C$47*Conv!$I$5*1000*365</f>
        <v>5.6786188054286635</v>
      </c>
      <c r="AE92" s="82">
        <f>AA92</f>
        <v>4.5843380188146945</v>
      </c>
      <c r="AF92" s="82">
        <f t="shared" ref="AF92" si="460">AB92</f>
        <v>10.088337549783681</v>
      </c>
      <c r="AG92" s="82">
        <f t="shared" ref="AG92" si="461">AC92</f>
        <v>5.1431196970856572</v>
      </c>
      <c r="AH92" s="82">
        <f t="shared" ref="AH92" si="462">AD92</f>
        <v>5.6786188054286635</v>
      </c>
      <c r="AI92" s="77"/>
    </row>
    <row r="93" spans="1:37" ht="14.25" customHeight="1">
      <c r="A93" s="9" t="str">
        <f t="shared" ref="A93:A95" si="463">A92</f>
        <v>FHH</v>
      </c>
      <c r="B93" s="9" t="str">
        <f t="shared" si="420"/>
        <v>IMPOILHH42</v>
      </c>
      <c r="C93" s="9" t="str">
        <f>CONCATENATE("Imported ",VLOOKUP($A93,Types!$A$13:$C$18,3,FALSE),", PADD ",RIGHT(F93,1),", Step ",RIGHT(E93,1))</f>
        <v>Imported Imported Oil-High Sulfur, Heavy G, PADD 4, Step 2</v>
      </c>
      <c r="D93" s="9" t="str">
        <f t="shared" ref="D93:D95" si="464">D92</f>
        <v>OILHH4</v>
      </c>
      <c r="E93" s="9">
        <v>2</v>
      </c>
      <c r="F93" s="9" t="str">
        <f t="shared" ref="F93:F95" si="465">F92</f>
        <v>P4</v>
      </c>
      <c r="G93" s="66">
        <f>G91*$C$6</f>
        <v>30.305</v>
      </c>
      <c r="H93" s="66">
        <f t="shared" ref="H93:J93" si="466">H91*$C$6</f>
        <v>44.085937500000007</v>
      </c>
      <c r="I93" s="66">
        <f t="shared" si="466"/>
        <v>29.991499999999998</v>
      </c>
      <c r="J93" s="66">
        <f t="shared" si="466"/>
        <v>31.736650000000001</v>
      </c>
      <c r="K93" s="67">
        <f>G93*Conv!$J$20/10^6/Conv!$C$47/Conv!$I$5</f>
        <v>7.2902032008057063</v>
      </c>
      <c r="L93" s="67">
        <f>H93*Conv!$J$20/10^6/Conv!$C$47/Conv!$I$5</f>
        <v>10.605360259792784</v>
      </c>
      <c r="M93" s="67" t="e">
        <f>L93*#REF!</f>
        <v>#REF!</v>
      </c>
      <c r="N93" s="67" t="e">
        <f>M93*#REF!</f>
        <v>#REF!</v>
      </c>
      <c r="O93" s="67" t="e">
        <f>N93*#REF!</f>
        <v>#REF!</v>
      </c>
      <c r="P93" s="67" t="e">
        <f>O93*#REF!</f>
        <v>#REF!</v>
      </c>
      <c r="Q93" s="67" t="e">
        <f>P93*#REF!</f>
        <v>#REF!</v>
      </c>
      <c r="R93" s="67" t="e">
        <f>Q93*#REF!</f>
        <v>#REF!</v>
      </c>
      <c r="S93" s="67" t="e">
        <f>R93*#REF!</f>
        <v>#REF!</v>
      </c>
      <c r="T93" s="67" t="e">
        <f>S93*#REF!</f>
        <v>#REF!</v>
      </c>
      <c r="U93" s="67" t="e">
        <f>T93*#REF!</f>
        <v>#REF!</v>
      </c>
      <c r="V93" s="42"/>
      <c r="W93" s="83">
        <f>W91*$E$6</f>
        <v>3.9380000000000006</v>
      </c>
      <c r="X93" s="83">
        <f t="shared" ref="X93:Z93" si="467">X91*$E$6</f>
        <v>8.6660000000000004</v>
      </c>
      <c r="Y93" s="83">
        <f t="shared" si="467"/>
        <v>4.4180000000000001</v>
      </c>
      <c r="Z93" s="83">
        <f t="shared" si="467"/>
        <v>4.8780000000000001</v>
      </c>
      <c r="AA93" s="82">
        <f>W93*Conv!$C$47*Conv!$I$5*1000*365</f>
        <v>9.168676037629389</v>
      </c>
      <c r="AB93" s="82">
        <f>X93*Conv!$C$47*Conv!$I$5*1000*365</f>
        <v>20.176675099567362</v>
      </c>
      <c r="AC93" s="82">
        <f>Y93*Conv!$C$47*Conv!$I$5*1000*365</f>
        <v>10.286239394171314</v>
      </c>
      <c r="AD93" s="82">
        <f>Z93*Conv!$C$47*Conv!$I$5*1000*365</f>
        <v>11.357237610857327</v>
      </c>
      <c r="AE93" s="82">
        <f>AA93-AE92</f>
        <v>4.5843380188146945</v>
      </c>
      <c r="AF93" s="82">
        <f t="shared" ref="AF93" si="468">AB93-AF92</f>
        <v>10.088337549783681</v>
      </c>
      <c r="AG93" s="82">
        <f t="shared" ref="AG93" si="469">AC93-AG92</f>
        <v>5.1431196970856572</v>
      </c>
      <c r="AH93" s="82">
        <f t="shared" ref="AH93" si="470">AD93-AH92</f>
        <v>5.6786188054286635</v>
      </c>
      <c r="AI93" s="77"/>
    </row>
    <row r="94" spans="1:37" ht="14.25" customHeight="1">
      <c r="A94" s="9" t="str">
        <f t="shared" si="463"/>
        <v>FHH</v>
      </c>
      <c r="B94" s="9" t="str">
        <f t="shared" si="420"/>
        <v>IMPOILHH44</v>
      </c>
      <c r="C94" s="9" t="str">
        <f>CONCATENATE("Imported ",VLOOKUP($A94,Types!$A$13:$C$18,3,FALSE),", PADD ",RIGHT(F94,1),", Step ",RIGHT(E94,1))</f>
        <v>Imported Imported Oil-High Sulfur, Heavy G, PADD 4, Step 4</v>
      </c>
      <c r="D94" s="9" t="str">
        <f t="shared" si="464"/>
        <v>OILHH4</v>
      </c>
      <c r="E94" s="9">
        <v>4</v>
      </c>
      <c r="F94" s="9" t="str">
        <f t="shared" si="465"/>
        <v>P4</v>
      </c>
      <c r="G94" s="66">
        <f>G91*$C$8</f>
        <v>33.495000000000005</v>
      </c>
      <c r="H94" s="66">
        <f t="shared" ref="H94:J94" si="471">H91*$C$8</f>
        <v>48.726562500000007</v>
      </c>
      <c r="I94" s="66">
        <f t="shared" si="471"/>
        <v>33.148499999999999</v>
      </c>
      <c r="J94" s="66">
        <f t="shared" si="471"/>
        <v>35.077350000000003</v>
      </c>
      <c r="K94" s="67">
        <f>G94*Conv!$J$20/10^6/Conv!$C$47/Conv!$I$5</f>
        <v>8.0575930114168361</v>
      </c>
      <c r="L94" s="67">
        <f>H94*Conv!$J$20/10^6/Conv!$C$47/Conv!$I$5</f>
        <v>11.721713971349921</v>
      </c>
      <c r="M94" s="67" t="e">
        <f>L94*#REF!</f>
        <v>#REF!</v>
      </c>
      <c r="N94" s="67" t="e">
        <f>M94*#REF!</f>
        <v>#REF!</v>
      </c>
      <c r="O94" s="67" t="e">
        <f>N94*#REF!</f>
        <v>#REF!</v>
      </c>
      <c r="P94" s="67" t="e">
        <f>O94*#REF!</f>
        <v>#REF!</v>
      </c>
      <c r="Q94" s="67" t="e">
        <f>P94*#REF!</f>
        <v>#REF!</v>
      </c>
      <c r="R94" s="67" t="e">
        <f>Q94*#REF!</f>
        <v>#REF!</v>
      </c>
      <c r="S94" s="67" t="e">
        <f>R94*#REF!</f>
        <v>#REF!</v>
      </c>
      <c r="T94" s="67" t="e">
        <f>S94*#REF!</f>
        <v>#REF!</v>
      </c>
      <c r="U94" s="67" t="e">
        <f>T94*#REF!</f>
        <v>#REF!</v>
      </c>
      <c r="V94" s="42"/>
      <c r="W94" s="83">
        <f>W91*$E$8</f>
        <v>23.628</v>
      </c>
      <c r="X94" s="83">
        <f t="shared" ref="X94:Z94" si="472">X91*$E$8</f>
        <v>51.995999999999995</v>
      </c>
      <c r="Y94" s="83">
        <f t="shared" si="472"/>
        <v>26.507999999999999</v>
      </c>
      <c r="Z94" s="83">
        <f t="shared" si="472"/>
        <v>29.268000000000001</v>
      </c>
      <c r="AA94" s="82">
        <f>W94*Conv!$C$47*Conv!$I$5*1000*365</f>
        <v>55.012056225776327</v>
      </c>
      <c r="AB94" s="82">
        <f>X94*Conv!$C$47*Conv!$I$5*1000*365</f>
        <v>121.06005059740416</v>
      </c>
      <c r="AC94" s="82">
        <f>Y94*Conv!$C$47*Conv!$I$5*1000*365</f>
        <v>61.717436365027879</v>
      </c>
      <c r="AD94" s="82">
        <f>Z94*Conv!$C$47*Conv!$I$5*1000*365</f>
        <v>68.143425665143965</v>
      </c>
      <c r="AE94" s="82">
        <f>AA94-AA91</f>
        <v>9.168676037629389</v>
      </c>
      <c r="AF94" s="82">
        <f t="shared" ref="AF94" si="473">AB94-AB91</f>
        <v>20.176675099567333</v>
      </c>
      <c r="AG94" s="82">
        <f t="shared" ref="AG94" si="474">AC94-AC91</f>
        <v>10.286239394171311</v>
      </c>
      <c r="AH94" s="82">
        <f t="shared" ref="AH94" si="475">AD94-AD91</f>
        <v>11.357237610857332</v>
      </c>
      <c r="AI94" s="77"/>
    </row>
    <row r="95" spans="1:37" ht="14.25" customHeight="1">
      <c r="A95" s="9" t="str">
        <f t="shared" si="463"/>
        <v>FHH</v>
      </c>
      <c r="B95" s="9" t="str">
        <f t="shared" si="420"/>
        <v>IMPOILHH45</v>
      </c>
      <c r="C95" s="9" t="str">
        <f>CONCATENATE("Imported ",VLOOKUP($A95,Types!$A$13:$C$18,3,FALSE),", PADD ",RIGHT(F95,1),", Step ",RIGHT(E95,1))</f>
        <v>Imported Imported Oil-High Sulfur, Heavy G, PADD 4, Step 5</v>
      </c>
      <c r="D95" s="9" t="str">
        <f t="shared" si="464"/>
        <v>OILHH4</v>
      </c>
      <c r="E95" s="9">
        <v>5</v>
      </c>
      <c r="F95" s="9" t="str">
        <f t="shared" si="465"/>
        <v>P4</v>
      </c>
      <c r="G95" s="66">
        <f>G91*$C$9</f>
        <v>41.470000000000006</v>
      </c>
      <c r="H95" s="66">
        <f t="shared" ref="H95:J95" si="476">H91*$C$9</f>
        <v>60.328125000000014</v>
      </c>
      <c r="I95" s="66">
        <f t="shared" si="476"/>
        <v>41.041000000000004</v>
      </c>
      <c r="J95" s="66">
        <f t="shared" si="476"/>
        <v>43.429100000000005</v>
      </c>
      <c r="K95" s="67">
        <f>G95*Conv!$J$20/10^6/Conv!$C$47/Conv!$I$5</f>
        <v>9.9760675379446511</v>
      </c>
      <c r="L95" s="67">
        <f>H95*Conv!$J$20/10^6/Conv!$C$47/Conv!$I$5</f>
        <v>14.512598250242762</v>
      </c>
      <c r="M95" s="67" t="e">
        <f>L95*#REF!</f>
        <v>#REF!</v>
      </c>
      <c r="N95" s="67" t="e">
        <f>M95*#REF!</f>
        <v>#REF!</v>
      </c>
      <c r="O95" s="67" t="e">
        <f>N95*#REF!</f>
        <v>#REF!</v>
      </c>
      <c r="P95" s="67" t="e">
        <f>O95*#REF!</f>
        <v>#REF!</v>
      </c>
      <c r="Q95" s="67" t="e">
        <f>P95*#REF!</f>
        <v>#REF!</v>
      </c>
      <c r="R95" s="67" t="e">
        <f>Q95*#REF!</f>
        <v>#REF!</v>
      </c>
      <c r="S95" s="67" t="e">
        <f>R95*#REF!</f>
        <v>#REF!</v>
      </c>
      <c r="T95" s="67" t="e">
        <f>S95*#REF!</f>
        <v>#REF!</v>
      </c>
      <c r="U95" s="67" t="e">
        <f>T95*#REF!</f>
        <v>#REF!</v>
      </c>
      <c r="V95" s="42"/>
      <c r="W95" s="83">
        <f>W91*$E$9</f>
        <v>25.597000000000001</v>
      </c>
      <c r="X95" s="83">
        <f t="shared" ref="X95:Z95" si="477">X91*$E$9</f>
        <v>56.329000000000001</v>
      </c>
      <c r="Y95" s="83">
        <f t="shared" si="477"/>
        <v>28.717000000000002</v>
      </c>
      <c r="Z95" s="83">
        <f t="shared" si="477"/>
        <v>31.707000000000001</v>
      </c>
      <c r="AA95" s="82">
        <f>W95*Conv!$C$47*Conv!$I$5*1000*365</f>
        <v>59.596394244591018</v>
      </c>
      <c r="AB95" s="82">
        <f>X95*Conv!$C$47*Conv!$I$5*1000*365</f>
        <v>131.14838814718783</v>
      </c>
      <c r="AC95" s="82">
        <f>Y95*Conv!$C$47*Conv!$I$5*1000*365</f>
        <v>66.860556062113545</v>
      </c>
      <c r="AD95" s="82">
        <f>Z95*Conv!$C$47*Conv!$I$5*1000*365</f>
        <v>73.822044470572621</v>
      </c>
      <c r="AE95" s="82">
        <f>AA95-AA94</f>
        <v>4.5843380188146909</v>
      </c>
      <c r="AF95" s="82">
        <f t="shared" ref="AF95" si="478">AB95-AB94</f>
        <v>10.088337549783674</v>
      </c>
      <c r="AG95" s="82">
        <f t="shared" ref="AG95" si="479">AC95-AC94</f>
        <v>5.1431196970856661</v>
      </c>
      <c r="AH95" s="82">
        <f t="shared" ref="AH95" si="480">AD95-AD94</f>
        <v>5.6786188054286555</v>
      </c>
      <c r="AI95" s="77"/>
    </row>
    <row r="96" spans="1:37" ht="14.25" customHeight="1">
      <c r="A96" s="9" t="str">
        <f>'Agg crdcrv'!C65</f>
        <v>FHL</v>
      </c>
      <c r="B96" s="9" t="str">
        <f t="shared" si="420"/>
        <v>IMPOILHL43</v>
      </c>
      <c r="C96" s="9" t="str">
        <f>CONCATENATE("Imported ",VLOOKUP($A96,Types!$A$13:$C$18,3,FALSE),", PADD ",RIGHT(F96,1),", Step ",RIGHT(E96,1))</f>
        <v>Imported Imported Oil-High Sulfur, Low G, PADD 4, Step 3</v>
      </c>
      <c r="D96" s="9" t="str">
        <f>CONCATENATE(VLOOKUP($A96,Types!$A$14:$C$18,2,FALSE),RIGHT(F96,1))</f>
        <v>OILHL4</v>
      </c>
      <c r="E96" s="9">
        <v>3</v>
      </c>
      <c r="F96" s="9" t="str">
        <f>'Agg crdcrv'!D65</f>
        <v>P4</v>
      </c>
      <c r="G96" s="66">
        <f>'Agg crdcrv'!H65*K5</f>
        <v>41.514000000000003</v>
      </c>
      <c r="H96" s="66">
        <f>'Agg crdcrv'!H70*K5</f>
        <v>50.187500000000007</v>
      </c>
      <c r="I96" s="66">
        <f>'Agg crdcrv'!H75*K5</f>
        <v>34.551000000000002</v>
      </c>
      <c r="J96" s="66">
        <f>'Agg crdcrv'!H80*K5</f>
        <v>36.410000000000004</v>
      </c>
      <c r="K96" s="67">
        <f>G96*Conv!$J$20/10^6/Conv!$C$47/Conv!$I$5</f>
        <v>9.9866522249875622</v>
      </c>
      <c r="L96" s="67">
        <f>H96*Conv!$J$20/10^6/Conv!$C$47/Conv!$I$5</f>
        <v>12.073158658321612</v>
      </c>
      <c r="M96" s="67" t="e">
        <f>L96*#REF!</f>
        <v>#REF!</v>
      </c>
      <c r="N96" s="67" t="e">
        <f>M96*#REF!</f>
        <v>#REF!</v>
      </c>
      <c r="O96" s="67" t="e">
        <f>N96*#REF!</f>
        <v>#REF!</v>
      </c>
      <c r="P96" s="67" t="e">
        <f>O96*#REF!</f>
        <v>#REF!</v>
      </c>
      <c r="Q96" s="67" t="e">
        <f>P96*#REF!</f>
        <v>#REF!</v>
      </c>
      <c r="R96" s="67" t="e">
        <f>Q96*#REF!</f>
        <v>#REF!</v>
      </c>
      <c r="S96" s="67" t="e">
        <f>R96*#REF!</f>
        <v>#REF!</v>
      </c>
      <c r="T96" s="67" t="e">
        <f>S96*#REF!</f>
        <v>#REF!</v>
      </c>
      <c r="U96" s="67" t="e">
        <f>T96*#REF!</f>
        <v>#REF!</v>
      </c>
      <c r="V96" s="42"/>
      <c r="W96" s="9">
        <f>'Agg crdcrv'!F65</f>
        <v>2.4500000000000002</v>
      </c>
      <c r="X96" s="9">
        <f>'Agg crdcrv'!F70</f>
        <v>1.29</v>
      </c>
      <c r="Y96" s="9">
        <f>'Agg crdcrv'!F75</f>
        <v>10.25</v>
      </c>
      <c r="Z96" s="9">
        <f>'Agg crdcrv'!F80</f>
        <v>11.32</v>
      </c>
      <c r="AA96" s="82">
        <f>W96*Conv!$C$47*Conv!$I$5*1000*365</f>
        <v>5.7042296323494153</v>
      </c>
      <c r="AB96" s="82">
        <f>X96*Conv!$C$47*Conv!$I$5*1000*365</f>
        <v>3.003451520706427</v>
      </c>
      <c r="AC96" s="82">
        <f>Y96*Conv!$C$47*Conv!$I$5*1000*365</f>
        <v>23.864634176155722</v>
      </c>
      <c r="AD96" s="82">
        <f>Z96*Conv!$C$47*Conv!$I$5*1000*365</f>
        <v>26.355869158447096</v>
      </c>
      <c r="AE96" s="82">
        <f>AA96-AA98</f>
        <v>4.5633837058795326</v>
      </c>
      <c r="AF96" s="82">
        <f t="shared" ref="AF96" si="481">AB96-AB98</f>
        <v>2.4027612165651417</v>
      </c>
      <c r="AG96" s="82">
        <f t="shared" ref="AG96" si="482">AC96-AC98</f>
        <v>19.091707340924579</v>
      </c>
      <c r="AH96" s="82">
        <f t="shared" ref="AH96" si="483">AD96-AD98</f>
        <v>21.084695326757675</v>
      </c>
      <c r="AI96" s="77"/>
      <c r="AJ96" s="78"/>
      <c r="AK96" s="78"/>
    </row>
    <row r="97" spans="1:37" ht="14.25" customHeight="1">
      <c r="A97" s="9" t="str">
        <f>A96</f>
        <v>FHL</v>
      </c>
      <c r="B97" s="9" t="str">
        <f t="shared" si="420"/>
        <v>IMPOILHL41</v>
      </c>
      <c r="C97" s="9" t="str">
        <f>CONCATENATE("Imported ",VLOOKUP($A97,Types!$A$13:$C$18,3,FALSE),", PADD ",RIGHT(F97,1),", Step ",RIGHT(E97,1))</f>
        <v>Imported Imported Oil-High Sulfur, Low G, PADD 4, Step 1</v>
      </c>
      <c r="D97" s="9" t="str">
        <f>D96</f>
        <v>OILHL4</v>
      </c>
      <c r="E97" s="9">
        <v>1</v>
      </c>
      <c r="F97" s="9" t="str">
        <f>F96</f>
        <v>P4</v>
      </c>
      <c r="G97" s="66">
        <f>G96*$C$5</f>
        <v>37.3626</v>
      </c>
      <c r="H97" s="66">
        <f t="shared" ref="H97" si="484">H96*$C$5</f>
        <v>45.16875000000001</v>
      </c>
      <c r="I97" s="66">
        <f t="shared" ref="I97" si="485">I96*$C$5</f>
        <v>31.095900000000004</v>
      </c>
      <c r="J97" s="66">
        <f t="shared" ref="J97" si="486">J96*$C$5</f>
        <v>32.769000000000005</v>
      </c>
      <c r="K97" s="67">
        <f>G97*Conv!$J$20/10^6/Conv!$C$47/Conv!$I$5</f>
        <v>8.987987002488806</v>
      </c>
      <c r="L97" s="67">
        <f>H97*Conv!$J$20/10^6/Conv!$C$47/Conv!$I$5</f>
        <v>10.865842792489451</v>
      </c>
      <c r="M97" s="67" t="e">
        <f>L97*#REF!</f>
        <v>#REF!</v>
      </c>
      <c r="N97" s="67" t="e">
        <f>M97*#REF!</f>
        <v>#REF!</v>
      </c>
      <c r="O97" s="67" t="e">
        <f>N97*#REF!</f>
        <v>#REF!</v>
      </c>
      <c r="P97" s="67" t="e">
        <f>O97*#REF!</f>
        <v>#REF!</v>
      </c>
      <c r="Q97" s="67" t="e">
        <f>P97*#REF!</f>
        <v>#REF!</v>
      </c>
      <c r="R97" s="67" t="e">
        <f>Q97*#REF!</f>
        <v>#REF!</v>
      </c>
      <c r="S97" s="67" t="e">
        <f>R97*#REF!</f>
        <v>#REF!</v>
      </c>
      <c r="T97" s="67" t="e">
        <f>S97*#REF!</f>
        <v>#REF!</v>
      </c>
      <c r="U97" s="67" t="e">
        <f>T97*#REF!</f>
        <v>#REF!</v>
      </c>
      <c r="V97" s="42"/>
      <c r="W97" s="83">
        <f>W96*$E$5</f>
        <v>0.24500000000000002</v>
      </c>
      <c r="X97" s="83">
        <f t="shared" ref="X97" si="487">X96*$E$5</f>
        <v>0.129</v>
      </c>
      <c r="Y97" s="83">
        <f t="shared" ref="Y97" si="488">Y96*$E$5</f>
        <v>1.0250000000000001</v>
      </c>
      <c r="Z97" s="83">
        <f t="shared" ref="Z97" si="489">Z96*$E$5</f>
        <v>1.1320000000000001</v>
      </c>
      <c r="AA97" s="82">
        <f>W97*Conv!$C$47*Conv!$I$5*1000*365</f>
        <v>0.57042296323494157</v>
      </c>
      <c r="AB97" s="82">
        <f>X97*Conv!$C$47*Conv!$I$5*1000*365</f>
        <v>0.30034515207064266</v>
      </c>
      <c r="AC97" s="82">
        <f>Y97*Conv!$C$47*Conv!$I$5*1000*365</f>
        <v>2.3864634176155723</v>
      </c>
      <c r="AD97" s="82">
        <f>Z97*Conv!$C$47*Conv!$I$5*1000*365</f>
        <v>2.6355869158447103</v>
      </c>
      <c r="AE97" s="82">
        <f>AA97</f>
        <v>0.57042296323494157</v>
      </c>
      <c r="AF97" s="82">
        <f t="shared" ref="AF97" si="490">AB97</f>
        <v>0.30034515207064266</v>
      </c>
      <c r="AG97" s="82">
        <f t="shared" ref="AG97" si="491">AC97</f>
        <v>2.3864634176155723</v>
      </c>
      <c r="AH97" s="82">
        <f t="shared" ref="AH97" si="492">AD97</f>
        <v>2.6355869158447103</v>
      </c>
      <c r="AI97" s="53"/>
    </row>
    <row r="98" spans="1:37" ht="14.25" customHeight="1">
      <c r="A98" s="9" t="str">
        <f t="shared" ref="A98:A100" si="493">A97</f>
        <v>FHL</v>
      </c>
      <c r="B98" s="9" t="str">
        <f t="shared" si="420"/>
        <v>IMPOILHL42</v>
      </c>
      <c r="C98" s="9" t="str">
        <f>CONCATENATE("Imported ",VLOOKUP($A98,Types!$A$13:$C$18,3,FALSE),", PADD ",RIGHT(F98,1),", Step ",RIGHT(E98,1))</f>
        <v>Imported Imported Oil-High Sulfur, Low G, PADD 4, Step 2</v>
      </c>
      <c r="D98" s="9" t="str">
        <f t="shared" ref="D98:D100" si="494">D97</f>
        <v>OILHL4</v>
      </c>
      <c r="E98" s="9">
        <v>2</v>
      </c>
      <c r="F98" s="9" t="str">
        <f t="shared" ref="F98:F100" si="495">F97</f>
        <v>P4</v>
      </c>
      <c r="G98" s="66">
        <f>G96*$C$6</f>
        <v>39.438299999999998</v>
      </c>
      <c r="H98" s="66">
        <f t="shared" ref="H98:J98" si="496">H96*$C$6</f>
        <v>47.678125000000001</v>
      </c>
      <c r="I98" s="66">
        <f t="shared" si="496"/>
        <v>32.823450000000001</v>
      </c>
      <c r="J98" s="66">
        <f t="shared" si="496"/>
        <v>34.589500000000001</v>
      </c>
      <c r="K98" s="67">
        <f>G98*Conv!$J$20/10^6/Conv!$C$47/Conv!$I$5</f>
        <v>9.487319613738185</v>
      </c>
      <c r="L98" s="67">
        <f>H98*Conv!$J$20/10^6/Conv!$C$47/Conv!$I$5</f>
        <v>11.469500725405531</v>
      </c>
      <c r="M98" s="67" t="e">
        <f>L98*#REF!</f>
        <v>#REF!</v>
      </c>
      <c r="N98" s="67" t="e">
        <f>M98*#REF!</f>
        <v>#REF!</v>
      </c>
      <c r="O98" s="67" t="e">
        <f>N98*#REF!</f>
        <v>#REF!</v>
      </c>
      <c r="P98" s="67" t="e">
        <f>O98*#REF!</f>
        <v>#REF!</v>
      </c>
      <c r="Q98" s="67" t="e">
        <f>P98*#REF!</f>
        <v>#REF!</v>
      </c>
      <c r="R98" s="67" t="e">
        <f>Q98*#REF!</f>
        <v>#REF!</v>
      </c>
      <c r="S98" s="67" t="e">
        <f>R98*#REF!</f>
        <v>#REF!</v>
      </c>
      <c r="T98" s="67" t="e">
        <f>S98*#REF!</f>
        <v>#REF!</v>
      </c>
      <c r="U98" s="67" t="e">
        <f>T98*#REF!</f>
        <v>#REF!</v>
      </c>
      <c r="V98" s="42"/>
      <c r="W98" s="83">
        <f>W96*$E$6</f>
        <v>0.49000000000000005</v>
      </c>
      <c r="X98" s="83">
        <f t="shared" ref="X98:Z98" si="497">X96*$E$6</f>
        <v>0.25800000000000001</v>
      </c>
      <c r="Y98" s="83">
        <f t="shared" si="497"/>
        <v>2.0500000000000003</v>
      </c>
      <c r="Z98" s="83">
        <f t="shared" si="497"/>
        <v>2.2640000000000002</v>
      </c>
      <c r="AA98" s="82">
        <f>W98*Conv!$C$47*Conv!$I$5*1000*365</f>
        <v>1.1408459264698831</v>
      </c>
      <c r="AB98" s="82">
        <f>X98*Conv!$C$47*Conv!$I$5*1000*365</f>
        <v>0.60069030414128533</v>
      </c>
      <c r="AC98" s="82">
        <f>Y98*Conv!$C$47*Conv!$I$5*1000*365</f>
        <v>4.7729268352311447</v>
      </c>
      <c r="AD98" s="82">
        <f>Z98*Conv!$C$47*Conv!$I$5*1000*365</f>
        <v>5.2711738316894206</v>
      </c>
      <c r="AE98" s="82">
        <f>AA98-AE97</f>
        <v>0.57042296323494157</v>
      </c>
      <c r="AF98" s="82">
        <f t="shared" ref="AF98" si="498">AB98-AF97</f>
        <v>0.30034515207064266</v>
      </c>
      <c r="AG98" s="82">
        <f t="shared" ref="AG98" si="499">AC98-AG97</f>
        <v>2.3864634176155723</v>
      </c>
      <c r="AH98" s="82">
        <f t="shared" ref="AH98" si="500">AD98-AH97</f>
        <v>2.6355869158447103</v>
      </c>
      <c r="AI98" s="53"/>
    </row>
    <row r="99" spans="1:37" ht="14.25" customHeight="1">
      <c r="A99" s="9" t="str">
        <f t="shared" si="493"/>
        <v>FHL</v>
      </c>
      <c r="B99" s="9" t="str">
        <f t="shared" si="420"/>
        <v>IMPOILHL44</v>
      </c>
      <c r="C99" s="9" t="str">
        <f>CONCATENATE("Imported ",VLOOKUP($A99,Types!$A$13:$C$18,3,FALSE),", PADD ",RIGHT(F99,1),", Step ",RIGHT(E99,1))</f>
        <v>Imported Imported Oil-High Sulfur, Low G, PADD 4, Step 4</v>
      </c>
      <c r="D99" s="9" t="str">
        <f t="shared" si="494"/>
        <v>OILHL4</v>
      </c>
      <c r="E99" s="9">
        <v>4</v>
      </c>
      <c r="F99" s="9" t="str">
        <f t="shared" si="495"/>
        <v>P4</v>
      </c>
      <c r="G99" s="66">
        <f>G96*$C$8</f>
        <v>43.589700000000008</v>
      </c>
      <c r="H99" s="66">
        <f t="shared" ref="H99:J99" si="501">H96*$C$8</f>
        <v>52.696875000000013</v>
      </c>
      <c r="I99" s="66">
        <f t="shared" si="501"/>
        <v>36.278550000000003</v>
      </c>
      <c r="J99" s="66">
        <f t="shared" si="501"/>
        <v>38.230500000000006</v>
      </c>
      <c r="K99" s="67">
        <f>G99*Conv!$J$20/10^6/Conv!$C$47/Conv!$I$5</f>
        <v>10.485984836236943</v>
      </c>
      <c r="L99" s="67">
        <f>H99*Conv!$J$20/10^6/Conv!$C$47/Conv!$I$5</f>
        <v>12.676816591237694</v>
      </c>
      <c r="M99" s="67" t="e">
        <f>L99*#REF!</f>
        <v>#REF!</v>
      </c>
      <c r="N99" s="67" t="e">
        <f>M99*#REF!</f>
        <v>#REF!</v>
      </c>
      <c r="O99" s="67" t="e">
        <f>N99*#REF!</f>
        <v>#REF!</v>
      </c>
      <c r="P99" s="67" t="e">
        <f>O99*#REF!</f>
        <v>#REF!</v>
      </c>
      <c r="Q99" s="67" t="e">
        <f>P99*#REF!</f>
        <v>#REF!</v>
      </c>
      <c r="R99" s="67" t="e">
        <f>Q99*#REF!</f>
        <v>#REF!</v>
      </c>
      <c r="S99" s="67" t="e">
        <f>R99*#REF!</f>
        <v>#REF!</v>
      </c>
      <c r="T99" s="67" t="e">
        <f>S99*#REF!</f>
        <v>#REF!</v>
      </c>
      <c r="U99" s="67" t="e">
        <f>T99*#REF!</f>
        <v>#REF!</v>
      </c>
      <c r="V99" s="42"/>
      <c r="W99" s="83">
        <f>W96*$E$8</f>
        <v>2.94</v>
      </c>
      <c r="X99" s="83">
        <f t="shared" ref="X99:Z99" si="502">X96*$E$8</f>
        <v>1.548</v>
      </c>
      <c r="Y99" s="83">
        <f t="shared" si="502"/>
        <v>12.299999999999999</v>
      </c>
      <c r="Z99" s="83">
        <f t="shared" si="502"/>
        <v>13.584</v>
      </c>
      <c r="AA99" s="82">
        <f>W99*Conv!$C$47*Conv!$I$5*1000*365</f>
        <v>6.8450755588192989</v>
      </c>
      <c r="AB99" s="82">
        <f>X99*Conv!$C$47*Conv!$I$5*1000*365</f>
        <v>3.6041418248477122</v>
      </c>
      <c r="AC99" s="82">
        <f>Y99*Conv!$C$47*Conv!$I$5*1000*365</f>
        <v>28.637561011386861</v>
      </c>
      <c r="AD99" s="82">
        <f>Z99*Conv!$C$47*Conv!$I$5*1000*365</f>
        <v>31.627042990136516</v>
      </c>
      <c r="AE99" s="82">
        <f>AA99-AA96</f>
        <v>1.1408459264698836</v>
      </c>
      <c r="AF99" s="82">
        <f t="shared" ref="AF99" si="503">AB99-AB96</f>
        <v>0.60069030414128521</v>
      </c>
      <c r="AG99" s="82">
        <f t="shared" ref="AG99" si="504">AC99-AC96</f>
        <v>4.7729268352311394</v>
      </c>
      <c r="AH99" s="82">
        <f t="shared" ref="AH99" si="505">AD99-AD96</f>
        <v>5.2711738316894206</v>
      </c>
      <c r="AI99" s="53"/>
    </row>
    <row r="100" spans="1:37" ht="14.25" customHeight="1">
      <c r="A100" s="9" t="str">
        <f t="shared" si="493"/>
        <v>FHL</v>
      </c>
      <c r="B100" s="9" t="str">
        <f t="shared" si="420"/>
        <v>IMPOILHL45</v>
      </c>
      <c r="C100" s="9" t="str">
        <f>CONCATENATE("Imported ",VLOOKUP($A100,Types!$A$13:$C$18,3,FALSE),", PADD ",RIGHT(F100,1),", Step ",RIGHT(E100,1))</f>
        <v>Imported Imported Oil-High Sulfur, Low G, PADD 4, Step 5</v>
      </c>
      <c r="D100" s="9" t="str">
        <f t="shared" si="494"/>
        <v>OILHL4</v>
      </c>
      <c r="E100" s="9">
        <v>5</v>
      </c>
      <c r="F100" s="9" t="str">
        <f t="shared" si="495"/>
        <v>P4</v>
      </c>
      <c r="G100" s="66">
        <f>G96*$C$9</f>
        <v>53.968200000000003</v>
      </c>
      <c r="H100" s="66">
        <f t="shared" ref="H100:J100" si="506">H96*$C$9</f>
        <v>65.243750000000006</v>
      </c>
      <c r="I100" s="66">
        <f t="shared" si="506"/>
        <v>44.916300000000007</v>
      </c>
      <c r="J100" s="66">
        <f t="shared" si="506"/>
        <v>47.333000000000006</v>
      </c>
      <c r="K100" s="67">
        <f>G100*Conv!$J$20/10^6/Conv!$C$47/Conv!$I$5</f>
        <v>12.982647892483834</v>
      </c>
      <c r="L100" s="67">
        <f>H100*Conv!$J$20/10^6/Conv!$C$47/Conv!$I$5</f>
        <v>15.695106255818095</v>
      </c>
      <c r="M100" s="67" t="e">
        <f>L100*#REF!</f>
        <v>#REF!</v>
      </c>
      <c r="N100" s="67" t="e">
        <f>M100*#REF!</f>
        <v>#REF!</v>
      </c>
      <c r="O100" s="67" t="e">
        <f>N100*#REF!</f>
        <v>#REF!</v>
      </c>
      <c r="P100" s="67" t="e">
        <f>O100*#REF!</f>
        <v>#REF!</v>
      </c>
      <c r="Q100" s="67" t="e">
        <f>P100*#REF!</f>
        <v>#REF!</v>
      </c>
      <c r="R100" s="67" t="e">
        <f>Q100*#REF!</f>
        <v>#REF!</v>
      </c>
      <c r="S100" s="67" t="e">
        <f>R100*#REF!</f>
        <v>#REF!</v>
      </c>
      <c r="T100" s="67" t="e">
        <f>S100*#REF!</f>
        <v>#REF!</v>
      </c>
      <c r="U100" s="67" t="e">
        <f>T100*#REF!</f>
        <v>#REF!</v>
      </c>
      <c r="V100" s="42"/>
      <c r="W100" s="83">
        <f>W96*$E$9</f>
        <v>3.1850000000000005</v>
      </c>
      <c r="X100" s="83">
        <f t="shared" ref="X100:Z100" si="507">X96*$E$9</f>
        <v>1.677</v>
      </c>
      <c r="Y100" s="83">
        <f t="shared" si="507"/>
        <v>13.325000000000001</v>
      </c>
      <c r="Z100" s="83">
        <f t="shared" si="507"/>
        <v>14.716000000000001</v>
      </c>
      <c r="AA100" s="82">
        <f>W100*Conv!$C$47*Conv!$I$5*1000*365</f>
        <v>7.4154985220542411</v>
      </c>
      <c r="AB100" s="82">
        <f>X100*Conv!$C$47*Conv!$I$5*1000*365</f>
        <v>3.904486976918355</v>
      </c>
      <c r="AC100" s="82">
        <f>Y100*Conv!$C$47*Conv!$I$5*1000*365</f>
        <v>31.024024429002438</v>
      </c>
      <c r="AD100" s="82">
        <f>Z100*Conv!$C$47*Conv!$I$5*1000*365</f>
        <v>34.262629905981228</v>
      </c>
      <c r="AE100" s="82">
        <f>AA100-AA99</f>
        <v>0.57042296323494224</v>
      </c>
      <c r="AF100" s="82">
        <f t="shared" ref="AF100" si="508">AB100-AB99</f>
        <v>0.30034515207064283</v>
      </c>
      <c r="AG100" s="82">
        <f t="shared" ref="AG100" si="509">AC100-AC99</f>
        <v>2.3864634176155768</v>
      </c>
      <c r="AH100" s="82">
        <f t="shared" ref="AH100" si="510">AD100-AD99</f>
        <v>2.6355869158447121</v>
      </c>
      <c r="AI100" s="53"/>
    </row>
    <row r="101" spans="1:37" ht="14.25" customHeight="1">
      <c r="A101" s="9" t="str">
        <f>'Agg crdcrv'!C66</f>
        <v>FHV</v>
      </c>
      <c r="B101" s="9" t="str">
        <f t="shared" si="420"/>
        <v>IMPOILHV43</v>
      </c>
      <c r="C101" s="9" t="str">
        <f>CONCATENATE("Imported ",VLOOKUP($A101,Types!$A$13:$C$18,3,FALSE),", PADD ",RIGHT(F101,1),", Step ",RIGHT(E101,1))</f>
        <v>Imported Imported Oil-High Sulfur, Very HG, PADD 4, Step 3</v>
      </c>
      <c r="D101" s="9" t="str">
        <f>CONCATENATE(VLOOKUP($A101,Types!$A$14:$C$18,2,FALSE),RIGHT(F101,1))</f>
        <v>OILHV4</v>
      </c>
      <c r="E101" s="9">
        <v>3</v>
      </c>
      <c r="F101" s="9" t="str">
        <f>'Agg crdcrv'!D66</f>
        <v>P4</v>
      </c>
      <c r="G101" s="66">
        <f>'Agg crdcrv'!H66*K5</f>
        <v>28.6</v>
      </c>
      <c r="H101" s="66">
        <f>'Agg crdcrv'!H71*K5</f>
        <v>45.993750000000006</v>
      </c>
      <c r="I101" s="66">
        <f>'Agg crdcrv'!H76*K5</f>
        <v>31.251000000000001</v>
      </c>
      <c r="J101" s="66">
        <f>'Agg crdcrv'!H81*K5</f>
        <v>33.088000000000001</v>
      </c>
      <c r="K101" s="67">
        <f>G101*Conv!$J$20/10^6/Conv!$C$47/Conv!$I$5</f>
        <v>6.8800465778928626</v>
      </c>
      <c r="L101" s="67">
        <f>H101*Conv!$J$20/10^6/Conv!$C$47/Conv!$I$5</f>
        <v>11.064305674544054</v>
      </c>
      <c r="M101" s="67" t="e">
        <f>L101*#REF!</f>
        <v>#REF!</v>
      </c>
      <c r="N101" s="67" t="e">
        <f>M101*#REF!</f>
        <v>#REF!</v>
      </c>
      <c r="O101" s="67" t="e">
        <f>N101*#REF!</f>
        <v>#REF!</v>
      </c>
      <c r="P101" s="67" t="e">
        <f>O101*#REF!</f>
        <v>#REF!</v>
      </c>
      <c r="Q101" s="67" t="e">
        <f>P101*#REF!</f>
        <v>#REF!</v>
      </c>
      <c r="R101" s="67" t="e">
        <f>Q101*#REF!</f>
        <v>#REF!</v>
      </c>
      <c r="S101" s="67" t="e">
        <f>R101*#REF!</f>
        <v>#REF!</v>
      </c>
      <c r="T101" s="67" t="e">
        <f>S101*#REF!</f>
        <v>#REF!</v>
      </c>
      <c r="U101" s="67" t="e">
        <f>T101*#REF!</f>
        <v>#REF!</v>
      </c>
      <c r="V101" s="42"/>
      <c r="W101" s="9">
        <f>'Agg crdcrv'!F66</f>
        <v>135.31</v>
      </c>
      <c r="X101" s="9">
        <f>'Agg crdcrv'!F71</f>
        <v>115.78</v>
      </c>
      <c r="Y101" s="9">
        <f>'Agg crdcrv'!F76</f>
        <v>5.3</v>
      </c>
      <c r="Z101" s="9">
        <f>'Agg crdcrv'!F81</f>
        <v>5.85</v>
      </c>
      <c r="AA101" s="82">
        <f>W101*Conv!$C$47*Conv!$I$5*1000*365</f>
        <v>315.03645369518341</v>
      </c>
      <c r="AB101" s="82">
        <f>X101*Conv!$C$47*Conv!$I$5*1000*365</f>
        <v>269.56559462588382</v>
      </c>
      <c r="AC101" s="82">
        <f>Y101*Conv!$C$47*Conv!$I$5*1000*365</f>
        <v>12.339762061817103</v>
      </c>
      <c r="AD101" s="82">
        <f>Z101*Conv!$C$47*Conv!$I$5*1000*365</f>
        <v>13.620303407854728</v>
      </c>
      <c r="AE101" s="82">
        <f>AA101-AA103</f>
        <v>252.02916295614671</v>
      </c>
      <c r="AF101" s="82">
        <f t="shared" ref="AF101" si="511">AB101-AB103</f>
        <v>215.65247570070704</v>
      </c>
      <c r="AG101" s="82">
        <f t="shared" ref="AG101" si="512">AC101-AC103</f>
        <v>9.8718096494536827</v>
      </c>
      <c r="AH101" s="82">
        <f t="shared" ref="AH101" si="513">AD101-AD103</f>
        <v>10.896242726283782</v>
      </c>
      <c r="AI101" s="79"/>
      <c r="AJ101" s="80"/>
      <c r="AK101" s="80"/>
    </row>
    <row r="102" spans="1:37" ht="14.25" customHeight="1">
      <c r="A102" s="9" t="str">
        <f>A101</f>
        <v>FHV</v>
      </c>
      <c r="B102" s="9" t="str">
        <f t="shared" si="420"/>
        <v>IMPOILHV41</v>
      </c>
      <c r="C102" s="9" t="str">
        <f>CONCATENATE("Imported ",VLOOKUP($A102,Types!$A$13:$C$18,3,FALSE),", PADD ",RIGHT(F102,1),", Step ",RIGHT(E102,1))</f>
        <v>Imported Imported Oil-High Sulfur, Very HG, PADD 4, Step 1</v>
      </c>
      <c r="D102" s="9" t="str">
        <f>D101</f>
        <v>OILHV4</v>
      </c>
      <c r="E102" s="9">
        <v>1</v>
      </c>
      <c r="F102" s="9" t="str">
        <f>F101</f>
        <v>P4</v>
      </c>
      <c r="G102" s="66">
        <f>G101*$C$5</f>
        <v>25.740000000000002</v>
      </c>
      <c r="H102" s="66">
        <f t="shared" ref="H102" si="514">H101*$C$5</f>
        <v>41.394375000000004</v>
      </c>
      <c r="I102" s="66">
        <f t="shared" ref="I102" si="515">I101*$C$5</f>
        <v>28.125900000000001</v>
      </c>
      <c r="J102" s="66">
        <f t="shared" ref="J102" si="516">J101*$C$5</f>
        <v>29.779200000000003</v>
      </c>
      <c r="K102" s="67">
        <f>G102*Conv!$J$20/10^6/Conv!$C$47/Conv!$I$5</f>
        <v>6.192041920103577</v>
      </c>
      <c r="L102" s="67">
        <f>H102*Conv!$J$20/10^6/Conv!$C$47/Conv!$I$5</f>
        <v>9.9578751070896452</v>
      </c>
      <c r="M102" s="67" t="e">
        <f>L102*#REF!</f>
        <v>#REF!</v>
      </c>
      <c r="N102" s="67" t="e">
        <f>M102*#REF!</f>
        <v>#REF!</v>
      </c>
      <c r="O102" s="67" t="e">
        <f>N102*#REF!</f>
        <v>#REF!</v>
      </c>
      <c r="P102" s="67" t="e">
        <f>O102*#REF!</f>
        <v>#REF!</v>
      </c>
      <c r="Q102" s="67" t="e">
        <f>P102*#REF!</f>
        <v>#REF!</v>
      </c>
      <c r="R102" s="67" t="e">
        <f>Q102*#REF!</f>
        <v>#REF!</v>
      </c>
      <c r="S102" s="67" t="e">
        <f>R102*#REF!</f>
        <v>#REF!</v>
      </c>
      <c r="T102" s="67" t="e">
        <f>S102*#REF!</f>
        <v>#REF!</v>
      </c>
      <c r="U102" s="67" t="e">
        <f>T102*#REF!</f>
        <v>#REF!</v>
      </c>
      <c r="V102" s="42"/>
      <c r="W102" s="83">
        <f>W101*$E$5</f>
        <v>13.531000000000001</v>
      </c>
      <c r="X102" s="83">
        <f t="shared" ref="X102" si="517">X101*$E$5</f>
        <v>11.578000000000001</v>
      </c>
      <c r="Y102" s="83">
        <f t="shared" ref="Y102" si="518">Y101*$E$5</f>
        <v>0.53</v>
      </c>
      <c r="Z102" s="83">
        <f t="shared" ref="Z102" si="519">Z101*$E$5</f>
        <v>0.58499999999999996</v>
      </c>
      <c r="AA102" s="82">
        <f>W102*Conv!$C$47*Conv!$I$5*1000*365</f>
        <v>31.503645369518349</v>
      </c>
      <c r="AB102" s="82">
        <f>X102*Conv!$C$47*Conv!$I$5*1000*365</f>
        <v>26.95655946258838</v>
      </c>
      <c r="AC102" s="82">
        <f>Y102*Conv!$C$47*Conv!$I$5*1000*365</f>
        <v>1.2339762061817103</v>
      </c>
      <c r="AD102" s="82">
        <f>Z102*Conv!$C$47*Conv!$I$5*1000*365</f>
        <v>1.3620303407854726</v>
      </c>
      <c r="AE102" s="82">
        <f>AA102</f>
        <v>31.503645369518349</v>
      </c>
      <c r="AF102" s="82">
        <f t="shared" ref="AF102" si="520">AB102</f>
        <v>26.95655946258838</v>
      </c>
      <c r="AG102" s="82">
        <f t="shared" ref="AG102" si="521">AC102</f>
        <v>1.2339762061817103</v>
      </c>
      <c r="AH102" s="82">
        <f t="shared" ref="AH102" si="522">AD102</f>
        <v>1.3620303407854726</v>
      </c>
      <c r="AI102" s="53"/>
    </row>
    <row r="103" spans="1:37" ht="14.25" customHeight="1">
      <c r="A103" s="9" t="str">
        <f t="shared" ref="A103:A105" si="523">A102</f>
        <v>FHV</v>
      </c>
      <c r="B103" s="9" t="str">
        <f t="shared" si="420"/>
        <v>IMPOILHV42</v>
      </c>
      <c r="C103" s="9" t="str">
        <f>CONCATENATE("Imported ",VLOOKUP($A103,Types!$A$13:$C$18,3,FALSE),", PADD ",RIGHT(F103,1),", Step ",RIGHT(E103,1))</f>
        <v>Imported Imported Oil-High Sulfur, Very HG, PADD 4, Step 2</v>
      </c>
      <c r="D103" s="9" t="str">
        <f t="shared" ref="D103:D105" si="524">D102</f>
        <v>OILHV4</v>
      </c>
      <c r="E103" s="9">
        <v>2</v>
      </c>
      <c r="F103" s="9" t="str">
        <f t="shared" ref="F103:F105" si="525">F102</f>
        <v>P4</v>
      </c>
      <c r="G103" s="66">
        <f>G101*$C$6</f>
        <v>27.17</v>
      </c>
      <c r="H103" s="66">
        <f t="shared" ref="H103:J103" si="526">H101*$C$6</f>
        <v>43.694062500000001</v>
      </c>
      <c r="I103" s="66">
        <f t="shared" si="526"/>
        <v>29.68845</v>
      </c>
      <c r="J103" s="66">
        <f t="shared" si="526"/>
        <v>31.433599999999998</v>
      </c>
      <c r="K103" s="67">
        <f>G103*Conv!$J$20/10^6/Conv!$C$47/Conv!$I$5</f>
        <v>6.5360442489982198</v>
      </c>
      <c r="L103" s="67">
        <f>H103*Conv!$J$20/10^6/Conv!$C$47/Conv!$I$5</f>
        <v>10.511090390816848</v>
      </c>
      <c r="M103" s="67" t="e">
        <f>L103*#REF!</f>
        <v>#REF!</v>
      </c>
      <c r="N103" s="67" t="e">
        <f>M103*#REF!</f>
        <v>#REF!</v>
      </c>
      <c r="O103" s="67" t="e">
        <f>N103*#REF!</f>
        <v>#REF!</v>
      </c>
      <c r="P103" s="67" t="e">
        <f>O103*#REF!</f>
        <v>#REF!</v>
      </c>
      <c r="Q103" s="67" t="e">
        <f>P103*#REF!</f>
        <v>#REF!</v>
      </c>
      <c r="R103" s="67" t="e">
        <f>Q103*#REF!</f>
        <v>#REF!</v>
      </c>
      <c r="S103" s="67" t="e">
        <f>R103*#REF!</f>
        <v>#REF!</v>
      </c>
      <c r="T103" s="67" t="e">
        <f>S103*#REF!</f>
        <v>#REF!</v>
      </c>
      <c r="U103" s="67" t="e">
        <f>T103*#REF!</f>
        <v>#REF!</v>
      </c>
      <c r="V103" s="42"/>
      <c r="W103" s="83">
        <f>W101*$E$6</f>
        <v>27.062000000000001</v>
      </c>
      <c r="X103" s="83">
        <f t="shared" ref="X103:Z103" si="527">X101*$E$6</f>
        <v>23.156000000000002</v>
      </c>
      <c r="Y103" s="83">
        <f t="shared" si="527"/>
        <v>1.06</v>
      </c>
      <c r="Z103" s="83">
        <f t="shared" si="527"/>
        <v>1.17</v>
      </c>
      <c r="AA103" s="82">
        <f>W103*Conv!$C$47*Conv!$I$5*1000*365</f>
        <v>63.007290739036698</v>
      </c>
      <c r="AB103" s="82">
        <f>X103*Conv!$C$47*Conv!$I$5*1000*365</f>
        <v>53.913118925176761</v>
      </c>
      <c r="AC103" s="82">
        <f>Y103*Conv!$C$47*Conv!$I$5*1000*365</f>
        <v>2.4679524123634207</v>
      </c>
      <c r="AD103" s="82">
        <f>Z103*Conv!$C$47*Conv!$I$5*1000*365</f>
        <v>2.7240606815709452</v>
      </c>
      <c r="AE103" s="82">
        <f>AA103-AE102</f>
        <v>31.503645369518349</v>
      </c>
      <c r="AF103" s="82">
        <f t="shared" ref="AF103" si="528">AB103-AF102</f>
        <v>26.95655946258838</v>
      </c>
      <c r="AG103" s="82">
        <f t="shared" ref="AG103" si="529">AC103-AG102</f>
        <v>1.2339762061817103</v>
      </c>
      <c r="AH103" s="82">
        <f t="shared" ref="AH103" si="530">AD103-AH102</f>
        <v>1.3620303407854726</v>
      </c>
      <c r="AI103" s="53"/>
    </row>
    <row r="104" spans="1:37" ht="14.25" customHeight="1">
      <c r="A104" s="9" t="str">
        <f t="shared" si="523"/>
        <v>FHV</v>
      </c>
      <c r="B104" s="9" t="str">
        <f t="shared" si="420"/>
        <v>IMPOILHV44</v>
      </c>
      <c r="C104" s="9" t="str">
        <f>CONCATENATE("Imported ",VLOOKUP($A104,Types!$A$13:$C$18,3,FALSE),", PADD ",RIGHT(F104,1),", Step ",RIGHT(E104,1))</f>
        <v>Imported Imported Oil-High Sulfur, Very HG, PADD 4, Step 4</v>
      </c>
      <c r="D104" s="9" t="str">
        <f t="shared" si="524"/>
        <v>OILHV4</v>
      </c>
      <c r="E104" s="9">
        <v>4</v>
      </c>
      <c r="F104" s="9" t="str">
        <f t="shared" si="525"/>
        <v>P4</v>
      </c>
      <c r="G104" s="66">
        <f>G101*$C$8</f>
        <v>30.03</v>
      </c>
      <c r="H104" s="66">
        <f t="shared" ref="H104:J104" si="531">H101*$C$8</f>
        <v>48.29343750000001</v>
      </c>
      <c r="I104" s="66">
        <f t="shared" si="531"/>
        <v>32.813549999999999</v>
      </c>
      <c r="J104" s="66">
        <f t="shared" si="531"/>
        <v>34.742400000000004</v>
      </c>
      <c r="K104" s="67">
        <f>G104*Conv!$J$20/10^6/Conv!$C$47/Conv!$I$5</f>
        <v>7.2240489067875053</v>
      </c>
      <c r="L104" s="67">
        <f>H104*Conv!$J$20/10^6/Conv!$C$47/Conv!$I$5</f>
        <v>11.617520958271253</v>
      </c>
      <c r="M104" s="67" t="e">
        <f>L104*#REF!</f>
        <v>#REF!</v>
      </c>
      <c r="N104" s="67" t="e">
        <f>M104*#REF!</f>
        <v>#REF!</v>
      </c>
      <c r="O104" s="67" t="e">
        <f>N104*#REF!</f>
        <v>#REF!</v>
      </c>
      <c r="P104" s="67" t="e">
        <f>O104*#REF!</f>
        <v>#REF!</v>
      </c>
      <c r="Q104" s="67" t="e">
        <f>P104*#REF!</f>
        <v>#REF!</v>
      </c>
      <c r="R104" s="67" t="e">
        <f>Q104*#REF!</f>
        <v>#REF!</v>
      </c>
      <c r="S104" s="67" t="e">
        <f>R104*#REF!</f>
        <v>#REF!</v>
      </c>
      <c r="T104" s="67" t="e">
        <f>S104*#REF!</f>
        <v>#REF!</v>
      </c>
      <c r="U104" s="67" t="e">
        <f>T104*#REF!</f>
        <v>#REF!</v>
      </c>
      <c r="V104" s="42"/>
      <c r="W104" s="83">
        <f>W101*$E$8</f>
        <v>162.37199999999999</v>
      </c>
      <c r="X104" s="83">
        <f t="shared" ref="X104:Z104" si="532">X101*$E$8</f>
        <v>138.93600000000001</v>
      </c>
      <c r="Y104" s="83">
        <f t="shared" si="532"/>
        <v>6.3599999999999994</v>
      </c>
      <c r="Z104" s="83">
        <f t="shared" si="532"/>
        <v>7.02</v>
      </c>
      <c r="AA104" s="82">
        <f>W104*Conv!$C$47*Conv!$I$5*1000*365</f>
        <v>378.04374443422</v>
      </c>
      <c r="AB104" s="82">
        <f>X104*Conv!$C$47*Conv!$I$5*1000*365</f>
        <v>323.47871355106059</v>
      </c>
      <c r="AC104" s="82">
        <f>Y104*Conv!$C$47*Conv!$I$5*1000*365</f>
        <v>14.80771447418052</v>
      </c>
      <c r="AD104" s="82">
        <f>Z104*Conv!$C$47*Conv!$I$5*1000*365</f>
        <v>16.344364089425675</v>
      </c>
      <c r="AE104" s="82">
        <f>AA104-AA101</f>
        <v>63.007290739036591</v>
      </c>
      <c r="AF104" s="82">
        <f t="shared" ref="AF104" si="533">AB104-AB101</f>
        <v>53.913118925176775</v>
      </c>
      <c r="AG104" s="82">
        <f t="shared" ref="AG104" si="534">AC104-AC101</f>
        <v>2.4679524123634167</v>
      </c>
      <c r="AH104" s="82">
        <f t="shared" ref="AH104" si="535">AD104-AD101</f>
        <v>2.7240606815709469</v>
      </c>
      <c r="AI104" s="53"/>
    </row>
    <row r="105" spans="1:37" ht="14.25" customHeight="1">
      <c r="A105" s="9" t="str">
        <f t="shared" si="523"/>
        <v>FHV</v>
      </c>
      <c r="B105" s="9" t="str">
        <f t="shared" si="420"/>
        <v>IMPOILHV45</v>
      </c>
      <c r="C105" s="9" t="str">
        <f>CONCATENATE("Imported ",VLOOKUP($A105,Types!$A$13:$C$18,3,FALSE),", PADD ",RIGHT(F105,1),", Step ",RIGHT(E105,1))</f>
        <v>Imported Imported Oil-High Sulfur, Very HG, PADD 4, Step 5</v>
      </c>
      <c r="D105" s="9" t="str">
        <f t="shared" si="524"/>
        <v>OILHV4</v>
      </c>
      <c r="E105" s="9">
        <v>5</v>
      </c>
      <c r="F105" s="9" t="str">
        <f t="shared" si="525"/>
        <v>P4</v>
      </c>
      <c r="G105" s="66">
        <f>G101*$C$9</f>
        <v>37.18</v>
      </c>
      <c r="H105" s="66">
        <f t="shared" ref="H105:J105" si="536">H101*$C$9</f>
        <v>59.791875000000012</v>
      </c>
      <c r="I105" s="66">
        <f t="shared" si="536"/>
        <v>40.626300000000001</v>
      </c>
      <c r="J105" s="66">
        <f t="shared" si="536"/>
        <v>43.014400000000002</v>
      </c>
      <c r="K105" s="67">
        <f>G105*Conv!$J$20/10^6/Conv!$C$47/Conv!$I$5</f>
        <v>8.944060551260721</v>
      </c>
      <c r="L105" s="67">
        <f>H105*Conv!$J$20/10^6/Conv!$C$47/Conv!$I$5</f>
        <v>14.383597376907268</v>
      </c>
      <c r="M105" s="67" t="e">
        <f>L105*#REF!</f>
        <v>#REF!</v>
      </c>
      <c r="N105" s="67" t="e">
        <f>M105*#REF!</f>
        <v>#REF!</v>
      </c>
      <c r="O105" s="67" t="e">
        <f>N105*#REF!</f>
        <v>#REF!</v>
      </c>
      <c r="P105" s="67" t="e">
        <f>O105*#REF!</f>
        <v>#REF!</v>
      </c>
      <c r="Q105" s="67" t="e">
        <f>P105*#REF!</f>
        <v>#REF!</v>
      </c>
      <c r="R105" s="67" t="e">
        <f>Q105*#REF!</f>
        <v>#REF!</v>
      </c>
      <c r="S105" s="67" t="e">
        <f>R105*#REF!</f>
        <v>#REF!</v>
      </c>
      <c r="T105" s="67" t="e">
        <f>S105*#REF!</f>
        <v>#REF!</v>
      </c>
      <c r="U105" s="67" t="e">
        <f>T105*#REF!</f>
        <v>#REF!</v>
      </c>
      <c r="V105" s="42"/>
      <c r="W105" s="83">
        <f>W101*$E$9</f>
        <v>175.90300000000002</v>
      </c>
      <c r="X105" s="83">
        <f t="shared" ref="X105:Z105" si="537">X101*$E$9</f>
        <v>150.51400000000001</v>
      </c>
      <c r="Y105" s="83">
        <f t="shared" si="537"/>
        <v>6.89</v>
      </c>
      <c r="Z105" s="83">
        <f t="shared" si="537"/>
        <v>7.6049999999999995</v>
      </c>
      <c r="AA105" s="82">
        <f>W105*Conv!$C$47*Conv!$I$5*1000*365</f>
        <v>409.54738980373855</v>
      </c>
      <c r="AB105" s="82">
        <f>X105*Conv!$C$47*Conv!$I$5*1000*365</f>
        <v>350.43527301364901</v>
      </c>
      <c r="AC105" s="82">
        <f>Y105*Conv!$C$47*Conv!$I$5*1000*365</f>
        <v>16.041690680362233</v>
      </c>
      <c r="AD105" s="82">
        <f>Z105*Conv!$C$47*Conv!$I$5*1000*365</f>
        <v>17.706394430211144</v>
      </c>
      <c r="AE105" s="82">
        <f>AA105-AA104</f>
        <v>31.503645369518551</v>
      </c>
      <c r="AF105" s="82">
        <f t="shared" ref="AF105" si="538">AB105-AB104</f>
        <v>26.956559462588416</v>
      </c>
      <c r="AG105" s="82">
        <f t="shared" ref="AG105" si="539">AC105-AC104</f>
        <v>1.2339762061817137</v>
      </c>
      <c r="AH105" s="82">
        <f t="shared" ref="AH105" si="540">AD105-AD104</f>
        <v>1.3620303407854699</v>
      </c>
      <c r="AI105" s="53"/>
    </row>
    <row r="106" spans="1:37" ht="14.25" customHeight="1">
      <c r="A106" s="9" t="str">
        <f>'Agg crdcrv'!C67</f>
        <v>FLL</v>
      </c>
      <c r="B106" s="9" t="str">
        <f t="shared" si="420"/>
        <v>IMPOILLL43</v>
      </c>
      <c r="C106" s="9" t="str">
        <f>CONCATENATE("Imported ",VLOOKUP($A106,Types!$A$13:$C$18,3,FALSE),", PADD ",RIGHT(F106,1),", Step ",RIGHT(E106,1))</f>
        <v>Imported Imported Oil-Low Sulfur, Low G, PADD 4, Step 3</v>
      </c>
      <c r="D106" s="9" t="str">
        <f>CONCATENATE(VLOOKUP($A106,Types!$A$14:$C$18,2,FALSE),RIGHT(F106,1))</f>
        <v>OILLL4</v>
      </c>
      <c r="E106" s="9">
        <v>3</v>
      </c>
      <c r="F106" s="9" t="str">
        <f>'Agg crdcrv'!D67</f>
        <v>P4</v>
      </c>
      <c r="G106" s="66">
        <f>'Agg crdcrv'!H67*K5</f>
        <v>40.260000000000005</v>
      </c>
      <c r="H106" s="66">
        <f>'Agg crdcrv'!H72*K5</f>
        <v>60.981250000000003</v>
      </c>
      <c r="I106" s="66">
        <f>'Agg crdcrv'!H77*K5</f>
        <v>42.283999999999999</v>
      </c>
      <c r="J106" s="66">
        <f>'Agg crdcrv'!H82*K5</f>
        <v>44.440000000000005</v>
      </c>
      <c r="K106" s="67">
        <f>G106*Conv!$J$20/10^6/Conv!$C$47/Conv!$I$5</f>
        <v>9.6849886442645694</v>
      </c>
      <c r="L106" s="67">
        <f>H106*Conv!$J$20/10^6/Conv!$C$47/Conv!$I$5</f>
        <v>14.669714698535982</v>
      </c>
      <c r="M106" s="67" t="e">
        <f>L106*#REF!</f>
        <v>#REF!</v>
      </c>
      <c r="N106" s="67" t="e">
        <f>M106*#REF!</f>
        <v>#REF!</v>
      </c>
      <c r="O106" s="67" t="e">
        <f>N106*#REF!</f>
        <v>#REF!</v>
      </c>
      <c r="P106" s="67" t="e">
        <f>O106*#REF!</f>
        <v>#REF!</v>
      </c>
      <c r="Q106" s="67" t="e">
        <f>P106*#REF!</f>
        <v>#REF!</v>
      </c>
      <c r="R106" s="67" t="e">
        <f>Q106*#REF!</f>
        <v>#REF!</v>
      </c>
      <c r="S106" s="67" t="e">
        <f>R106*#REF!</f>
        <v>#REF!</v>
      </c>
      <c r="T106" s="67" t="e">
        <f>S106*#REF!</f>
        <v>#REF!</v>
      </c>
      <c r="U106" s="67" t="e">
        <f>T106*#REF!</f>
        <v>#REF!</v>
      </c>
      <c r="V106" s="42"/>
      <c r="W106" s="9">
        <f>'Agg crdcrv'!F67</f>
        <v>85.87</v>
      </c>
      <c r="X106" s="9">
        <f>'Agg crdcrv'!F72</f>
        <v>38.9</v>
      </c>
      <c r="Y106" s="9">
        <f>'Agg crdcrv'!F77</f>
        <v>1.1100000000000001</v>
      </c>
      <c r="Z106" s="9">
        <f>'Agg crdcrv'!F82</f>
        <v>1.22</v>
      </c>
      <c r="AA106" s="82">
        <f>W106*Conv!$C$47*Conv!$I$5*1000*365</f>
        <v>199.92742797136501</v>
      </c>
      <c r="AB106" s="82">
        <f>X106*Conv!$C$47*Conv!$I$5*1000*365</f>
        <v>90.569197019751954</v>
      </c>
      <c r="AC106" s="82">
        <f>Y106*Conv!$C$47*Conv!$I$5*1000*365</f>
        <v>2.5843652620032045</v>
      </c>
      <c r="AD106" s="82">
        <f>Z106*Conv!$C$47*Conv!$I$5*1000*365</f>
        <v>2.8404735312107294</v>
      </c>
      <c r="AE106" s="82">
        <f>AA106-AA108</f>
        <v>159.941942377092</v>
      </c>
      <c r="AF106" s="82">
        <f t="shared" ref="AF106" si="541">AB106-AB108</f>
        <v>72.45535761580156</v>
      </c>
      <c r="AG106" s="82">
        <f t="shared" ref="AG106" si="542">AC106-AC108</f>
        <v>2.0674922096025634</v>
      </c>
      <c r="AH106" s="82">
        <f t="shared" ref="AH106" si="543">AD106-AD108</f>
        <v>2.2723788249685839</v>
      </c>
      <c r="AI106" s="79"/>
      <c r="AJ106" s="80"/>
      <c r="AK106" s="80"/>
    </row>
    <row r="107" spans="1:37" ht="14.25" customHeight="1">
      <c r="A107" s="9" t="str">
        <f>A106</f>
        <v>FLL</v>
      </c>
      <c r="B107" s="9" t="str">
        <f t="shared" si="420"/>
        <v>IMPOILLL41</v>
      </c>
      <c r="C107" s="9" t="str">
        <f>CONCATENATE("Imported ",VLOOKUP($A107,Types!$A$13:$C$18,3,FALSE),", PADD ",RIGHT(F107,1),", Step ",RIGHT(E107,1))</f>
        <v>Imported Imported Oil-Low Sulfur, Low G, PADD 4, Step 1</v>
      </c>
      <c r="D107" s="9" t="str">
        <f>D106</f>
        <v>OILLL4</v>
      </c>
      <c r="E107" s="9">
        <v>1</v>
      </c>
      <c r="F107" s="9" t="str">
        <f>F106</f>
        <v>P4</v>
      </c>
      <c r="G107" s="66">
        <f>G106*$C$5</f>
        <v>36.234000000000009</v>
      </c>
      <c r="H107" s="66">
        <f t="shared" ref="H107" si="544">H106*$C$5</f>
        <v>54.883125000000007</v>
      </c>
      <c r="I107" s="66">
        <f t="shared" ref="I107" si="545">I106*$C$5</f>
        <v>38.055599999999998</v>
      </c>
      <c r="J107" s="66">
        <f t="shared" ref="J107" si="546">J106*$C$5</f>
        <v>39.996000000000002</v>
      </c>
      <c r="K107" s="67">
        <f>G107*Conv!$J$20/10^6/Conv!$C$47/Conv!$I$5</f>
        <v>8.7164897798381133</v>
      </c>
      <c r="L107" s="67">
        <f>H107*Conv!$J$20/10^6/Conv!$C$47/Conv!$I$5</f>
        <v>13.202743228682387</v>
      </c>
      <c r="M107" s="67" t="e">
        <f>L107*#REF!</f>
        <v>#REF!</v>
      </c>
      <c r="N107" s="67" t="e">
        <f>M107*#REF!</f>
        <v>#REF!</v>
      </c>
      <c r="O107" s="67" t="e">
        <f>N107*#REF!</f>
        <v>#REF!</v>
      </c>
      <c r="P107" s="67" t="e">
        <f>O107*#REF!</f>
        <v>#REF!</v>
      </c>
      <c r="Q107" s="67" t="e">
        <f>P107*#REF!</f>
        <v>#REF!</v>
      </c>
      <c r="R107" s="67" t="e">
        <f>Q107*#REF!</f>
        <v>#REF!</v>
      </c>
      <c r="S107" s="67" t="e">
        <f>R107*#REF!</f>
        <v>#REF!</v>
      </c>
      <c r="T107" s="67" t="e">
        <f>S107*#REF!</f>
        <v>#REF!</v>
      </c>
      <c r="U107" s="67" t="e">
        <f>T107*#REF!</f>
        <v>#REF!</v>
      </c>
      <c r="V107" s="42"/>
      <c r="W107" s="83">
        <f>W106*$E$5</f>
        <v>8.5870000000000015</v>
      </c>
      <c r="X107" s="83">
        <f t="shared" ref="X107" si="547">X106*$E$5</f>
        <v>3.89</v>
      </c>
      <c r="Y107" s="83">
        <f t="shared" ref="Y107" si="548">Y106*$E$5</f>
        <v>0.11100000000000002</v>
      </c>
      <c r="Z107" s="83">
        <f t="shared" ref="Z107" si="549">Z106*$E$5</f>
        <v>0.122</v>
      </c>
      <c r="AA107" s="82">
        <f>W107*Conv!$C$47*Conv!$I$5*1000*365</f>
        <v>19.992742797136504</v>
      </c>
      <c r="AB107" s="82">
        <f>X107*Conv!$C$47*Conv!$I$5*1000*365</f>
        <v>9.056919701975195</v>
      </c>
      <c r="AC107" s="82">
        <f>Y107*Conv!$C$47*Conv!$I$5*1000*365</f>
        <v>0.25843652620032048</v>
      </c>
      <c r="AD107" s="82">
        <f>Z107*Conv!$C$47*Conv!$I$5*1000*365</f>
        <v>0.28404735312107288</v>
      </c>
      <c r="AE107" s="82">
        <f>AA107</f>
        <v>19.992742797136504</v>
      </c>
      <c r="AF107" s="82">
        <f t="shared" ref="AF107" si="550">AB107</f>
        <v>9.056919701975195</v>
      </c>
      <c r="AG107" s="82">
        <f t="shared" ref="AG107" si="551">AC107</f>
        <v>0.25843652620032048</v>
      </c>
      <c r="AH107" s="82">
        <f t="shared" ref="AH107" si="552">AD107</f>
        <v>0.28404735312107288</v>
      </c>
      <c r="AI107" s="53"/>
    </row>
    <row r="108" spans="1:37" ht="14.25" customHeight="1">
      <c r="A108" s="9" t="str">
        <f t="shared" ref="A108:A110" si="553">A107</f>
        <v>FLL</v>
      </c>
      <c r="B108" s="9" t="str">
        <f t="shared" si="420"/>
        <v>IMPOILLL42</v>
      </c>
      <c r="C108" s="9" t="str">
        <f>CONCATENATE("Imported ",VLOOKUP($A108,Types!$A$13:$C$18,3,FALSE),", PADD ",RIGHT(F108,1),", Step ",RIGHT(E108,1))</f>
        <v>Imported Imported Oil-Low Sulfur, Low G, PADD 4, Step 2</v>
      </c>
      <c r="D108" s="9" t="str">
        <f t="shared" ref="D108:D110" si="554">D107</f>
        <v>OILLL4</v>
      </c>
      <c r="E108" s="9">
        <v>2</v>
      </c>
      <c r="F108" s="9" t="str">
        <f t="shared" ref="F108:F110" si="555">F107</f>
        <v>P4</v>
      </c>
      <c r="G108" s="66">
        <f>G106*$C$6</f>
        <v>38.247</v>
      </c>
      <c r="H108" s="66">
        <f t="shared" ref="H108:J108" si="556">H106*$C$6</f>
        <v>57.932187499999998</v>
      </c>
      <c r="I108" s="66">
        <f t="shared" si="556"/>
        <v>40.169799999999995</v>
      </c>
      <c r="J108" s="66">
        <f t="shared" si="556"/>
        <v>42.218000000000004</v>
      </c>
      <c r="K108" s="67">
        <f>G108*Conv!$J$20/10^6/Conv!$C$47/Conv!$I$5</f>
        <v>9.2007392120513387</v>
      </c>
      <c r="L108" s="67">
        <f>H108*Conv!$J$20/10^6/Conv!$C$47/Conv!$I$5</f>
        <v>13.936228963609183</v>
      </c>
      <c r="M108" s="67" t="e">
        <f>L108*#REF!</f>
        <v>#REF!</v>
      </c>
      <c r="N108" s="67" t="e">
        <f>M108*#REF!</f>
        <v>#REF!</v>
      </c>
      <c r="O108" s="67" t="e">
        <f>N108*#REF!</f>
        <v>#REF!</v>
      </c>
      <c r="P108" s="67" t="e">
        <f>O108*#REF!</f>
        <v>#REF!</v>
      </c>
      <c r="Q108" s="67" t="e">
        <f>P108*#REF!</f>
        <v>#REF!</v>
      </c>
      <c r="R108" s="67" t="e">
        <f>Q108*#REF!</f>
        <v>#REF!</v>
      </c>
      <c r="S108" s="67" t="e">
        <f>R108*#REF!</f>
        <v>#REF!</v>
      </c>
      <c r="T108" s="67" t="e">
        <f>S108*#REF!</f>
        <v>#REF!</v>
      </c>
      <c r="U108" s="67" t="e">
        <f>T108*#REF!</f>
        <v>#REF!</v>
      </c>
      <c r="V108" s="42"/>
      <c r="W108" s="83">
        <f>W106*$E$6</f>
        <v>17.174000000000003</v>
      </c>
      <c r="X108" s="83">
        <f t="shared" ref="X108:Z108" si="557">X106*$E$6</f>
        <v>7.78</v>
      </c>
      <c r="Y108" s="83">
        <f t="shared" si="557"/>
        <v>0.22200000000000003</v>
      </c>
      <c r="Z108" s="83">
        <f t="shared" si="557"/>
        <v>0.24399999999999999</v>
      </c>
      <c r="AA108" s="82">
        <f>W108*Conv!$C$47*Conv!$I$5*1000*365</f>
        <v>39.985485594273008</v>
      </c>
      <c r="AB108" s="82">
        <f>X108*Conv!$C$47*Conv!$I$5*1000*365</f>
        <v>18.11383940395039</v>
      </c>
      <c r="AC108" s="82">
        <f>Y108*Conv!$C$47*Conv!$I$5*1000*365</f>
        <v>0.51687305240064096</v>
      </c>
      <c r="AD108" s="82">
        <f>Z108*Conv!$C$47*Conv!$I$5*1000*365</f>
        <v>0.56809470624214575</v>
      </c>
      <c r="AE108" s="82">
        <f>AA108-AE107</f>
        <v>19.992742797136504</v>
      </c>
      <c r="AF108" s="82">
        <f t="shared" ref="AF108" si="558">AB108-AF107</f>
        <v>9.056919701975195</v>
      </c>
      <c r="AG108" s="82">
        <f t="shared" ref="AG108" si="559">AC108-AG107</f>
        <v>0.25843652620032048</v>
      </c>
      <c r="AH108" s="82">
        <f t="shared" ref="AH108" si="560">AD108-AH107</f>
        <v>0.28404735312107288</v>
      </c>
      <c r="AI108" s="53"/>
    </row>
    <row r="109" spans="1:37" ht="14.25" customHeight="1">
      <c r="A109" s="9" t="str">
        <f t="shared" si="553"/>
        <v>FLL</v>
      </c>
      <c r="B109" s="9" t="str">
        <f t="shared" si="420"/>
        <v>IMPOILLL44</v>
      </c>
      <c r="C109" s="9" t="str">
        <f>CONCATENATE("Imported ",VLOOKUP($A109,Types!$A$13:$C$18,3,FALSE),", PADD ",RIGHT(F109,1),", Step ",RIGHT(E109,1))</f>
        <v>Imported Imported Oil-Low Sulfur, Low G, PADD 4, Step 4</v>
      </c>
      <c r="D109" s="9" t="str">
        <f t="shared" si="554"/>
        <v>OILLL4</v>
      </c>
      <c r="E109" s="9">
        <v>4</v>
      </c>
      <c r="F109" s="9" t="str">
        <f t="shared" si="555"/>
        <v>P4</v>
      </c>
      <c r="G109" s="66">
        <f>G106*$C$8</f>
        <v>42.27300000000001</v>
      </c>
      <c r="H109" s="66">
        <f t="shared" ref="H109:J109" si="561">H106*$C$8</f>
        <v>64.030312500000008</v>
      </c>
      <c r="I109" s="66">
        <f t="shared" si="561"/>
        <v>44.398200000000003</v>
      </c>
      <c r="J109" s="66">
        <f t="shared" si="561"/>
        <v>46.662000000000006</v>
      </c>
      <c r="K109" s="67">
        <f>G109*Conv!$J$20/10^6/Conv!$C$47/Conv!$I$5</f>
        <v>10.169238076477798</v>
      </c>
      <c r="L109" s="67">
        <f>H109*Conv!$J$20/10^6/Conv!$C$47/Conv!$I$5</f>
        <v>15.403200433462786</v>
      </c>
      <c r="M109" s="67" t="e">
        <f>L109*#REF!</f>
        <v>#REF!</v>
      </c>
      <c r="N109" s="67" t="e">
        <f>M109*#REF!</f>
        <v>#REF!</v>
      </c>
      <c r="O109" s="67" t="e">
        <f>N109*#REF!</f>
        <v>#REF!</v>
      </c>
      <c r="P109" s="67" t="e">
        <f>O109*#REF!</f>
        <v>#REF!</v>
      </c>
      <c r="Q109" s="67" t="e">
        <f>P109*#REF!</f>
        <v>#REF!</v>
      </c>
      <c r="R109" s="67" t="e">
        <f>Q109*#REF!</f>
        <v>#REF!</v>
      </c>
      <c r="S109" s="67" t="e">
        <f>R109*#REF!</f>
        <v>#REF!</v>
      </c>
      <c r="T109" s="67" t="e">
        <f>S109*#REF!</f>
        <v>#REF!</v>
      </c>
      <c r="U109" s="67" t="e">
        <f>T109*#REF!</f>
        <v>#REF!</v>
      </c>
      <c r="V109" s="42"/>
      <c r="W109" s="83">
        <f>W106*$E$8</f>
        <v>103.044</v>
      </c>
      <c r="X109" s="83">
        <f t="shared" ref="X109:Z109" si="562">X106*$E$8</f>
        <v>46.68</v>
      </c>
      <c r="Y109" s="83">
        <f t="shared" si="562"/>
        <v>1.3320000000000001</v>
      </c>
      <c r="Z109" s="83">
        <f t="shared" si="562"/>
        <v>1.464</v>
      </c>
      <c r="AA109" s="82">
        <f>W109*Conv!$C$47*Conv!$I$5*1000*365</f>
        <v>239.91291356563806</v>
      </c>
      <c r="AB109" s="82">
        <f>X109*Conv!$C$47*Conv!$I$5*1000*365</f>
        <v>108.68303642370233</v>
      </c>
      <c r="AC109" s="82">
        <f>Y109*Conv!$C$47*Conv!$I$5*1000*365</f>
        <v>3.1012383144038456</v>
      </c>
      <c r="AD109" s="82">
        <f>Z109*Conv!$C$47*Conv!$I$5*1000*365</f>
        <v>3.408568237452875</v>
      </c>
      <c r="AE109" s="82">
        <f>AA109-AA106</f>
        <v>39.985485594273058</v>
      </c>
      <c r="AF109" s="82">
        <f t="shared" ref="AF109" si="563">AB109-AB106</f>
        <v>18.113839403950379</v>
      </c>
      <c r="AG109" s="82">
        <f t="shared" ref="AG109" si="564">AC109-AC106</f>
        <v>0.51687305240064108</v>
      </c>
      <c r="AH109" s="82">
        <f t="shared" ref="AH109" si="565">AD109-AD106</f>
        <v>0.56809470624214553</v>
      </c>
      <c r="AI109" s="53"/>
    </row>
    <row r="110" spans="1:37" ht="14.25" customHeight="1">
      <c r="A110" s="9" t="str">
        <f t="shared" si="553"/>
        <v>FLL</v>
      </c>
      <c r="B110" s="9" t="str">
        <f t="shared" si="420"/>
        <v>IMPOILLL45</v>
      </c>
      <c r="C110" s="9" t="str">
        <f>CONCATENATE("Imported ",VLOOKUP($A110,Types!$A$13:$C$18,3,FALSE),", PADD ",RIGHT(F110,1),", Step ",RIGHT(E110,1))</f>
        <v>Imported Imported Oil-Low Sulfur, Low G, PADD 4, Step 5</v>
      </c>
      <c r="D110" s="9" t="str">
        <f t="shared" si="554"/>
        <v>OILLL4</v>
      </c>
      <c r="E110" s="9">
        <v>5</v>
      </c>
      <c r="F110" s="9" t="str">
        <f t="shared" si="555"/>
        <v>P4</v>
      </c>
      <c r="G110" s="66">
        <f>G106*$C$9</f>
        <v>52.338000000000008</v>
      </c>
      <c r="H110" s="66">
        <f t="shared" ref="H110:J110" si="566">H106*$C$9</f>
        <v>79.275625000000005</v>
      </c>
      <c r="I110" s="66">
        <f t="shared" si="566"/>
        <v>54.969200000000001</v>
      </c>
      <c r="J110" s="66">
        <f t="shared" si="566"/>
        <v>57.772000000000006</v>
      </c>
      <c r="K110" s="67">
        <f>G110*Conv!$J$20/10^6/Conv!$C$47/Conv!$I$5</f>
        <v>12.590485237543941</v>
      </c>
      <c r="L110" s="67">
        <f>H110*Conv!$J$20/10^6/Conv!$C$47/Conv!$I$5</f>
        <v>19.070629108096782</v>
      </c>
      <c r="M110" s="67" t="e">
        <f>L110*#REF!</f>
        <v>#REF!</v>
      </c>
      <c r="N110" s="67" t="e">
        <f>M110*#REF!</f>
        <v>#REF!</v>
      </c>
      <c r="O110" s="67" t="e">
        <f>N110*#REF!</f>
        <v>#REF!</v>
      </c>
      <c r="P110" s="67" t="e">
        <f>O110*#REF!</f>
        <v>#REF!</v>
      </c>
      <c r="Q110" s="67" t="e">
        <f>P110*#REF!</f>
        <v>#REF!</v>
      </c>
      <c r="R110" s="67" t="e">
        <f>Q110*#REF!</f>
        <v>#REF!</v>
      </c>
      <c r="S110" s="67" t="e">
        <f>R110*#REF!</f>
        <v>#REF!</v>
      </c>
      <c r="T110" s="67" t="e">
        <f>S110*#REF!</f>
        <v>#REF!</v>
      </c>
      <c r="U110" s="67" t="e">
        <f>T110*#REF!</f>
        <v>#REF!</v>
      </c>
      <c r="V110" s="42"/>
      <c r="W110" s="83">
        <f>W106*$E$9</f>
        <v>111.63100000000001</v>
      </c>
      <c r="X110" s="83">
        <f t="shared" ref="X110:Z110" si="567">X106*$E$9</f>
        <v>50.57</v>
      </c>
      <c r="Y110" s="83">
        <f t="shared" si="567"/>
        <v>1.4430000000000003</v>
      </c>
      <c r="Z110" s="83">
        <f t="shared" si="567"/>
        <v>1.5860000000000001</v>
      </c>
      <c r="AA110" s="82">
        <f>W110*Conv!$C$47*Conv!$I$5*1000*365</f>
        <v>259.90565636277455</v>
      </c>
      <c r="AB110" s="82">
        <f>X110*Conv!$C$47*Conv!$I$5*1000*365</f>
        <v>117.73995612567752</v>
      </c>
      <c r="AC110" s="82">
        <f>Y110*Conv!$C$47*Conv!$I$5*1000*365</f>
        <v>3.3596748406041672</v>
      </c>
      <c r="AD110" s="82">
        <f>Z110*Conv!$C$47*Conv!$I$5*1000*365</f>
        <v>3.6926155905739488</v>
      </c>
      <c r="AE110" s="82">
        <f>AA110-AA109</f>
        <v>19.992742797136486</v>
      </c>
      <c r="AF110" s="82">
        <f t="shared" ref="AF110" si="568">AB110-AB109</f>
        <v>9.0569197019751897</v>
      </c>
      <c r="AG110" s="82">
        <f t="shared" ref="AG110" si="569">AC110-AC109</f>
        <v>0.25843652620032165</v>
      </c>
      <c r="AH110" s="82">
        <f t="shared" ref="AH110" si="570">AD110-AD109</f>
        <v>0.28404735312107388</v>
      </c>
      <c r="AI110" s="53"/>
    </row>
    <row r="111" spans="1:37" ht="14.25" customHeight="1">
      <c r="A111" s="9" t="str">
        <f>'Agg crdcrv'!C68</f>
        <v>FMH</v>
      </c>
      <c r="B111" s="9" t="str">
        <f t="shared" si="420"/>
        <v>IMPOILMH43</v>
      </c>
      <c r="C111" s="9" t="str">
        <f>CONCATENATE("Imported ",VLOOKUP($A111,Types!$A$13:$C$18,3,FALSE),", PADD ",RIGHT(F111,1),", Step ",RIGHT(E111,1))</f>
        <v>Imported Imported Oil-Medium Sulfur, HG, PADD 4, Step 3</v>
      </c>
      <c r="D111" s="9" t="str">
        <f>CONCATENATE(VLOOKUP($A111,Types!$A$14:$C$18,2,FALSE),RIGHT(F111,1))</f>
        <v>OILMH4</v>
      </c>
      <c r="E111" s="9">
        <v>3</v>
      </c>
      <c r="F111" s="9" t="str">
        <f>'Agg crdcrv'!D68</f>
        <v>P4</v>
      </c>
      <c r="G111" s="66">
        <f>'Agg crdcrv'!H68*K5</f>
        <v>36.201000000000001</v>
      </c>
      <c r="H111" s="66">
        <f>'Agg crdcrv'!H73*K5</f>
        <v>50.105000000000004</v>
      </c>
      <c r="I111" s="66">
        <f>'Agg crdcrv'!H78*K5</f>
        <v>34.441000000000003</v>
      </c>
      <c r="J111" s="66">
        <f>'Agg crdcrv'!H83*K5</f>
        <v>36.32200000000001</v>
      </c>
      <c r="K111" s="67">
        <f>G111*Conv!$J$20/10^6/Conv!$C$47/Conv!$I$5</f>
        <v>8.7085512645559255</v>
      </c>
      <c r="L111" s="67">
        <f>H111*Conv!$J$20/10^6/Conv!$C$47/Conv!$I$5</f>
        <v>12.053312370116149</v>
      </c>
      <c r="M111" s="67" t="e">
        <f>L111*#REF!</f>
        <v>#REF!</v>
      </c>
      <c r="N111" s="67" t="e">
        <f>M111*#REF!</f>
        <v>#REF!</v>
      </c>
      <c r="O111" s="67" t="e">
        <f>N111*#REF!</f>
        <v>#REF!</v>
      </c>
      <c r="P111" s="67" t="e">
        <f>O111*#REF!</f>
        <v>#REF!</v>
      </c>
      <c r="Q111" s="67" t="e">
        <f>P111*#REF!</f>
        <v>#REF!</v>
      </c>
      <c r="R111" s="67" t="e">
        <f>Q111*#REF!</f>
        <v>#REF!</v>
      </c>
      <c r="S111" s="67" t="e">
        <f>R111*#REF!</f>
        <v>#REF!</v>
      </c>
      <c r="T111" s="67" t="e">
        <f>S111*#REF!</f>
        <v>#REF!</v>
      </c>
      <c r="U111" s="67" t="e">
        <f>T111*#REF!</f>
        <v>#REF!</v>
      </c>
      <c r="V111" s="42"/>
      <c r="W111" s="9">
        <f>'Agg crdcrv'!F68</f>
        <v>50.96</v>
      </c>
      <c r="X111" s="9">
        <f>'Agg crdcrv'!F73</f>
        <v>25.12</v>
      </c>
      <c r="Y111" s="9">
        <f>'Agg crdcrv'!F78</f>
        <v>2.2999999999999998</v>
      </c>
      <c r="Z111" s="9">
        <f>'Agg crdcrv'!F83</f>
        <v>2.54</v>
      </c>
      <c r="AA111" s="82">
        <f>W111*Conv!$C$47*Conv!$I$5*1000*365</f>
        <v>118.64797635286784</v>
      </c>
      <c r="AB111" s="82">
        <f>X111*Conv!$C$47*Conv!$I$5*1000*365</f>
        <v>58.48581565902748</v>
      </c>
      <c r="AC111" s="82">
        <f>Y111*Conv!$C$47*Conv!$I$5*1000*365</f>
        <v>5.3549910834300629</v>
      </c>
      <c r="AD111" s="82">
        <f>Z111*Conv!$C$47*Conv!$I$5*1000*365</f>
        <v>5.9137727617010256</v>
      </c>
      <c r="AE111" s="82">
        <f>AA111-AA113</f>
        <v>94.918381082294275</v>
      </c>
      <c r="AF111" s="82">
        <f t="shared" ref="AF111" si="571">AB111-AB113</f>
        <v>46.788652527221984</v>
      </c>
      <c r="AG111" s="82">
        <f t="shared" ref="AG111" si="572">AC111-AC113</f>
        <v>4.2839928667440503</v>
      </c>
      <c r="AH111" s="82">
        <f t="shared" ref="AH111" si="573">AD111-AD113</f>
        <v>4.7310182093608208</v>
      </c>
      <c r="AI111" s="79"/>
      <c r="AJ111" s="80"/>
      <c r="AK111" s="80"/>
    </row>
    <row r="112" spans="1:37" ht="14.25" customHeight="1">
      <c r="A112" s="9" t="str">
        <f>A111</f>
        <v>FMH</v>
      </c>
      <c r="B112" s="9" t="str">
        <f t="shared" si="420"/>
        <v>IMPOILMH41</v>
      </c>
      <c r="C112" s="9" t="str">
        <f>CONCATENATE("Imported ",VLOOKUP($A112,Types!$A$13:$C$18,3,FALSE),", PADD ",RIGHT(F112,1),", Step ",RIGHT(E112,1))</f>
        <v>Imported Imported Oil-Medium Sulfur, HG, PADD 4, Step 1</v>
      </c>
      <c r="D112" s="9" t="str">
        <f>D111</f>
        <v>OILMH4</v>
      </c>
      <c r="E112" s="9">
        <v>1</v>
      </c>
      <c r="F112" s="9" t="str">
        <f>F111</f>
        <v>P4</v>
      </c>
      <c r="G112" s="66">
        <f>G111*$C$5</f>
        <v>32.5809</v>
      </c>
      <c r="H112" s="66">
        <f t="shared" ref="H112" si="574">H111*$C$5</f>
        <v>45.094500000000004</v>
      </c>
      <c r="I112" s="66">
        <f t="shared" ref="I112" si="575">I111*$C$5</f>
        <v>30.996900000000004</v>
      </c>
      <c r="J112" s="66">
        <f t="shared" ref="J112" si="576">J111*$C$5</f>
        <v>32.689800000000012</v>
      </c>
      <c r="K112" s="67">
        <f>G112*Conv!$J$20/10^6/Conv!$C$47/Conv!$I$5</f>
        <v>7.8376961381003349</v>
      </c>
      <c r="L112" s="67">
        <f>H112*Conv!$J$20/10^6/Conv!$C$47/Conv!$I$5</f>
        <v>10.847981133104536</v>
      </c>
      <c r="M112" s="67" t="e">
        <f>L112*#REF!</f>
        <v>#REF!</v>
      </c>
      <c r="N112" s="67" t="e">
        <f>M112*#REF!</f>
        <v>#REF!</v>
      </c>
      <c r="O112" s="67" t="e">
        <f>N112*#REF!</f>
        <v>#REF!</v>
      </c>
      <c r="P112" s="67" t="e">
        <f>O112*#REF!</f>
        <v>#REF!</v>
      </c>
      <c r="Q112" s="67" t="e">
        <f>P112*#REF!</f>
        <v>#REF!</v>
      </c>
      <c r="R112" s="67" t="e">
        <f>Q112*#REF!</f>
        <v>#REF!</v>
      </c>
      <c r="S112" s="67" t="e">
        <f>R112*#REF!</f>
        <v>#REF!</v>
      </c>
      <c r="T112" s="67" t="e">
        <f>S112*#REF!</f>
        <v>#REF!</v>
      </c>
      <c r="U112" s="67" t="e">
        <f>T112*#REF!</f>
        <v>#REF!</v>
      </c>
      <c r="V112" s="42"/>
      <c r="W112" s="83">
        <f>W111*$E$5</f>
        <v>5.0960000000000001</v>
      </c>
      <c r="X112" s="83">
        <f t="shared" ref="X112" si="577">X111*$E$5</f>
        <v>2.5120000000000005</v>
      </c>
      <c r="Y112" s="83">
        <f t="shared" ref="Y112" si="578">Y111*$E$5</f>
        <v>0.22999999999999998</v>
      </c>
      <c r="Z112" s="83">
        <f t="shared" ref="Z112" si="579">Z111*$E$5</f>
        <v>0.254</v>
      </c>
      <c r="AA112" s="82">
        <f>W112*Conv!$C$47*Conv!$I$5*1000*365</f>
        <v>11.864797635286784</v>
      </c>
      <c r="AB112" s="82">
        <f>X112*Conv!$C$47*Conv!$I$5*1000*365</f>
        <v>5.8485815659027489</v>
      </c>
      <c r="AC112" s="82">
        <f>Y112*Conv!$C$47*Conv!$I$5*1000*365</f>
        <v>0.53549910834300629</v>
      </c>
      <c r="AD112" s="82">
        <f>Z112*Conv!$C$47*Conv!$I$5*1000*365</f>
        <v>0.59137727617010261</v>
      </c>
      <c r="AE112" s="82">
        <f>AA112</f>
        <v>11.864797635286784</v>
      </c>
      <c r="AF112" s="82">
        <f t="shared" ref="AF112" si="580">AB112</f>
        <v>5.8485815659027489</v>
      </c>
      <c r="AG112" s="82">
        <f t="shared" ref="AG112" si="581">AC112</f>
        <v>0.53549910834300629</v>
      </c>
      <c r="AH112" s="82">
        <f t="shared" ref="AH112" si="582">AD112</f>
        <v>0.59137727617010261</v>
      </c>
      <c r="AI112" s="53"/>
    </row>
    <row r="113" spans="1:37" ht="14.25" customHeight="1">
      <c r="A113" s="9" t="str">
        <f t="shared" ref="A113:A115" si="583">A112</f>
        <v>FMH</v>
      </c>
      <c r="B113" s="9" t="str">
        <f t="shared" si="420"/>
        <v>IMPOILMH42</v>
      </c>
      <c r="C113" s="9" t="str">
        <f>CONCATENATE("Imported ",VLOOKUP($A113,Types!$A$13:$C$18,3,FALSE),", PADD ",RIGHT(F113,1),", Step ",RIGHT(E113,1))</f>
        <v>Imported Imported Oil-Medium Sulfur, HG, PADD 4, Step 2</v>
      </c>
      <c r="D113" s="9" t="str">
        <f t="shared" ref="D113:D115" si="584">D112</f>
        <v>OILMH4</v>
      </c>
      <c r="E113" s="9">
        <v>2</v>
      </c>
      <c r="F113" s="9" t="str">
        <f t="shared" ref="F113:F115" si="585">F112</f>
        <v>P4</v>
      </c>
      <c r="G113" s="66">
        <f>G111*$C$6</f>
        <v>34.390949999999997</v>
      </c>
      <c r="H113" s="66">
        <f t="shared" ref="H113:J113" si="586">H111*$C$6</f>
        <v>47.59975</v>
      </c>
      <c r="I113" s="66">
        <f t="shared" si="586"/>
        <v>32.71895</v>
      </c>
      <c r="J113" s="66">
        <f t="shared" si="586"/>
        <v>34.505900000000011</v>
      </c>
      <c r="K113" s="67">
        <f>G113*Conv!$J$20/10^6/Conv!$C$47/Conv!$I$5</f>
        <v>8.2731237013281316</v>
      </c>
      <c r="L113" s="67">
        <f>H113*Conv!$J$20/10^6/Conv!$C$47/Conv!$I$5</f>
        <v>11.450646751610343</v>
      </c>
      <c r="M113" s="67" t="e">
        <f>L113*#REF!</f>
        <v>#REF!</v>
      </c>
      <c r="N113" s="67" t="e">
        <f>M113*#REF!</f>
        <v>#REF!</v>
      </c>
      <c r="O113" s="67" t="e">
        <f>N113*#REF!</f>
        <v>#REF!</v>
      </c>
      <c r="P113" s="67" t="e">
        <f>O113*#REF!</f>
        <v>#REF!</v>
      </c>
      <c r="Q113" s="67" t="e">
        <f>P113*#REF!</f>
        <v>#REF!</v>
      </c>
      <c r="R113" s="67" t="e">
        <f>Q113*#REF!</f>
        <v>#REF!</v>
      </c>
      <c r="S113" s="67" t="e">
        <f>R113*#REF!</f>
        <v>#REF!</v>
      </c>
      <c r="T113" s="67" t="e">
        <f>S113*#REF!</f>
        <v>#REF!</v>
      </c>
      <c r="U113" s="67" t="e">
        <f>T113*#REF!</f>
        <v>#REF!</v>
      </c>
      <c r="V113" s="42"/>
      <c r="W113" s="83">
        <f>W111*$E$6</f>
        <v>10.192</v>
      </c>
      <c r="X113" s="83">
        <f t="shared" ref="X113:Z113" si="587">X111*$E$6</f>
        <v>5.0240000000000009</v>
      </c>
      <c r="Y113" s="83">
        <f t="shared" si="587"/>
        <v>0.45999999999999996</v>
      </c>
      <c r="Z113" s="83">
        <f t="shared" si="587"/>
        <v>0.50800000000000001</v>
      </c>
      <c r="AA113" s="82">
        <f>W113*Conv!$C$47*Conv!$I$5*1000*365</f>
        <v>23.729595270573569</v>
      </c>
      <c r="AB113" s="82">
        <f>X113*Conv!$C$47*Conv!$I$5*1000*365</f>
        <v>11.697163131805498</v>
      </c>
      <c r="AC113" s="82">
        <f>Y113*Conv!$C$47*Conv!$I$5*1000*365</f>
        <v>1.0709982166860126</v>
      </c>
      <c r="AD113" s="82">
        <f>Z113*Conv!$C$47*Conv!$I$5*1000*365</f>
        <v>1.1827545523402052</v>
      </c>
      <c r="AE113" s="82">
        <f>AA113-AE112</f>
        <v>11.864797635286784</v>
      </c>
      <c r="AF113" s="82">
        <f t="shared" ref="AF113" si="588">AB113-AF112</f>
        <v>5.8485815659027489</v>
      </c>
      <c r="AG113" s="82">
        <f t="shared" ref="AG113" si="589">AC113-AG112</f>
        <v>0.53549910834300629</v>
      </c>
      <c r="AH113" s="82">
        <f t="shared" ref="AH113" si="590">AD113-AH112</f>
        <v>0.59137727617010261</v>
      </c>
      <c r="AI113" s="53"/>
    </row>
    <row r="114" spans="1:37" ht="14.25" customHeight="1">
      <c r="A114" s="9" t="str">
        <f t="shared" si="583"/>
        <v>FMH</v>
      </c>
      <c r="B114" s="9" t="str">
        <f t="shared" si="420"/>
        <v>IMPOILMH44</v>
      </c>
      <c r="C114" s="9" t="str">
        <f>CONCATENATE("Imported ",VLOOKUP($A114,Types!$A$13:$C$18,3,FALSE),", PADD ",RIGHT(F114,1),", Step ",RIGHT(E114,1))</f>
        <v>Imported Imported Oil-Medium Sulfur, HG, PADD 4, Step 4</v>
      </c>
      <c r="D114" s="9" t="str">
        <f t="shared" si="584"/>
        <v>OILMH4</v>
      </c>
      <c r="E114" s="9">
        <v>4</v>
      </c>
      <c r="F114" s="9" t="str">
        <f t="shared" si="585"/>
        <v>P4</v>
      </c>
      <c r="G114" s="66">
        <f>G111*$C$8</f>
        <v>38.011050000000004</v>
      </c>
      <c r="H114" s="66">
        <f t="shared" ref="H114:J114" si="591">H111*$C$8</f>
        <v>52.610250000000008</v>
      </c>
      <c r="I114" s="66">
        <f t="shared" si="591"/>
        <v>36.163050000000005</v>
      </c>
      <c r="J114" s="66">
        <f t="shared" si="591"/>
        <v>38.138100000000009</v>
      </c>
      <c r="K114" s="67">
        <f>G114*Conv!$J$20/10^6/Conv!$C$47/Conv!$I$5</f>
        <v>9.1439788277837248</v>
      </c>
      <c r="L114" s="67">
        <f>H114*Conv!$J$20/10^6/Conv!$C$47/Conv!$I$5</f>
        <v>12.655977988621959</v>
      </c>
      <c r="M114" s="67" t="e">
        <f>L114*#REF!</f>
        <v>#REF!</v>
      </c>
      <c r="N114" s="67" t="e">
        <f>M114*#REF!</f>
        <v>#REF!</v>
      </c>
      <c r="O114" s="67" t="e">
        <f>N114*#REF!</f>
        <v>#REF!</v>
      </c>
      <c r="P114" s="67" t="e">
        <f>O114*#REF!</f>
        <v>#REF!</v>
      </c>
      <c r="Q114" s="67" t="e">
        <f>P114*#REF!</f>
        <v>#REF!</v>
      </c>
      <c r="R114" s="67" t="e">
        <f>Q114*#REF!</f>
        <v>#REF!</v>
      </c>
      <c r="S114" s="67" t="e">
        <f>R114*#REF!</f>
        <v>#REF!</v>
      </c>
      <c r="T114" s="67" t="e">
        <f>S114*#REF!</f>
        <v>#REF!</v>
      </c>
      <c r="U114" s="67" t="e">
        <f>T114*#REF!</f>
        <v>#REF!</v>
      </c>
      <c r="V114" s="42"/>
      <c r="W114" s="83">
        <f>W111*$E$8</f>
        <v>61.152000000000001</v>
      </c>
      <c r="X114" s="83">
        <f t="shared" ref="X114:Z114" si="592">X111*$E$8</f>
        <v>30.143999999999998</v>
      </c>
      <c r="Y114" s="83">
        <f t="shared" si="592"/>
        <v>2.76</v>
      </c>
      <c r="Z114" s="83">
        <f t="shared" si="592"/>
        <v>3.048</v>
      </c>
      <c r="AA114" s="82">
        <f>W114*Conv!$C$47*Conv!$I$5*1000*365</f>
        <v>142.37757162344141</v>
      </c>
      <c r="AB114" s="82">
        <f>X114*Conv!$C$47*Conv!$I$5*1000*365</f>
        <v>70.182978790832976</v>
      </c>
      <c r="AC114" s="82">
        <f>Y114*Conv!$C$47*Conv!$I$5*1000*365</f>
        <v>6.4259893001160764</v>
      </c>
      <c r="AD114" s="82">
        <f>Z114*Conv!$C$47*Conv!$I$5*1000*365</f>
        <v>7.0965273140412322</v>
      </c>
      <c r="AE114" s="82">
        <f>AA114-AA111</f>
        <v>23.729595270573569</v>
      </c>
      <c r="AF114" s="82">
        <f t="shared" ref="AF114" si="593">AB114-AB111</f>
        <v>11.697163131805496</v>
      </c>
      <c r="AG114" s="82">
        <f t="shared" ref="AG114" si="594">AC114-AC111</f>
        <v>1.0709982166860135</v>
      </c>
      <c r="AH114" s="82">
        <f t="shared" ref="AH114" si="595">AD114-AD111</f>
        <v>1.1827545523402065</v>
      </c>
      <c r="AI114" s="53"/>
    </row>
    <row r="115" spans="1:37" ht="14.25" customHeight="1">
      <c r="A115" s="9" t="str">
        <f t="shared" si="583"/>
        <v>FMH</v>
      </c>
      <c r="B115" s="9" t="str">
        <f t="shared" si="420"/>
        <v>IMPOILMH45</v>
      </c>
      <c r="C115" s="9" t="str">
        <f>CONCATENATE("Imported ",VLOOKUP($A115,Types!$A$13:$C$18,3,FALSE),", PADD ",RIGHT(F115,1),", Step ",RIGHT(E115,1))</f>
        <v>Imported Imported Oil-Medium Sulfur, HG, PADD 4, Step 5</v>
      </c>
      <c r="D115" s="9" t="str">
        <f t="shared" si="584"/>
        <v>OILMH4</v>
      </c>
      <c r="E115" s="9">
        <v>5</v>
      </c>
      <c r="F115" s="9" t="str">
        <f t="shared" si="585"/>
        <v>P4</v>
      </c>
      <c r="G115" s="66">
        <f>G111*$C$9</f>
        <v>47.061300000000003</v>
      </c>
      <c r="H115" s="66">
        <f t="shared" ref="H115:J115" si="596">H111*$C$9</f>
        <v>65.136500000000012</v>
      </c>
      <c r="I115" s="66">
        <f t="shared" si="596"/>
        <v>44.773300000000006</v>
      </c>
      <c r="J115" s="66">
        <f t="shared" si="596"/>
        <v>47.218600000000016</v>
      </c>
      <c r="K115" s="67">
        <f>G115*Conv!$J$20/10^6/Conv!$C$47/Conv!$I$5</f>
        <v>11.321116643922707</v>
      </c>
      <c r="L115" s="67">
        <f>H115*Conv!$J$20/10^6/Conv!$C$47/Conv!$I$5</f>
        <v>15.669306081150996</v>
      </c>
      <c r="M115" s="67" t="e">
        <f>L115*#REF!</f>
        <v>#REF!</v>
      </c>
      <c r="N115" s="67" t="e">
        <f>M115*#REF!</f>
        <v>#REF!</v>
      </c>
      <c r="O115" s="67" t="e">
        <f>N115*#REF!</f>
        <v>#REF!</v>
      </c>
      <c r="P115" s="67" t="e">
        <f>O115*#REF!</f>
        <v>#REF!</v>
      </c>
      <c r="Q115" s="67" t="e">
        <f>P115*#REF!</f>
        <v>#REF!</v>
      </c>
      <c r="R115" s="67" t="e">
        <f>Q115*#REF!</f>
        <v>#REF!</v>
      </c>
      <c r="S115" s="67" t="e">
        <f>R115*#REF!</f>
        <v>#REF!</v>
      </c>
      <c r="T115" s="67" t="e">
        <f>S115*#REF!</f>
        <v>#REF!</v>
      </c>
      <c r="U115" s="67" t="e">
        <f>T115*#REF!</f>
        <v>#REF!</v>
      </c>
      <c r="V115" s="42"/>
      <c r="W115" s="83">
        <f>W111*$E$9</f>
        <v>66.248000000000005</v>
      </c>
      <c r="X115" s="83">
        <f t="shared" ref="X115:Z115" si="597">X111*$E$9</f>
        <v>32.656000000000006</v>
      </c>
      <c r="Y115" s="83">
        <f t="shared" si="597"/>
        <v>2.9899999999999998</v>
      </c>
      <c r="Z115" s="83">
        <f t="shared" si="597"/>
        <v>3.302</v>
      </c>
      <c r="AA115" s="82">
        <f>W115*Conv!$C$47*Conv!$I$5*1000*365</f>
        <v>154.24236925872822</v>
      </c>
      <c r="AB115" s="82">
        <f>X115*Conv!$C$47*Conv!$I$5*1000*365</f>
        <v>76.031560356735739</v>
      </c>
      <c r="AC115" s="82">
        <f>Y115*Conv!$C$47*Conv!$I$5*1000*365</f>
        <v>6.9614884084590818</v>
      </c>
      <c r="AD115" s="82">
        <f>Z115*Conv!$C$47*Conv!$I$5*1000*365</f>
        <v>7.6879045902113345</v>
      </c>
      <c r="AE115" s="82">
        <f>AA115-AA114</f>
        <v>11.864797635286806</v>
      </c>
      <c r="AF115" s="82">
        <f t="shared" ref="AF115" si="598">AB115-AB114</f>
        <v>5.8485815659027622</v>
      </c>
      <c r="AG115" s="82">
        <f t="shared" ref="AG115" si="599">AC115-AC114</f>
        <v>0.5354991083430054</v>
      </c>
      <c r="AH115" s="82">
        <f t="shared" ref="AH115" si="600">AD115-AD114</f>
        <v>0.59137727617010238</v>
      </c>
      <c r="AI115" s="53"/>
    </row>
    <row r="116" spans="1:37" ht="12.75">
      <c r="A116" s="10" t="s">
        <v>530</v>
      </c>
      <c r="B116" s="10"/>
      <c r="C116" s="10"/>
      <c r="D116" s="48"/>
      <c r="E116" s="48"/>
      <c r="F116" s="48"/>
      <c r="G116" s="63"/>
      <c r="H116" s="73"/>
      <c r="I116" s="63"/>
      <c r="J116" s="73"/>
      <c r="K116" s="64"/>
      <c r="L116" s="74"/>
      <c r="M116" s="64"/>
      <c r="N116" s="74"/>
      <c r="O116" s="64"/>
      <c r="P116" s="74"/>
      <c r="Q116" s="64"/>
      <c r="R116" s="74"/>
      <c r="S116" s="64"/>
      <c r="T116" s="74"/>
      <c r="U116" s="64"/>
      <c r="V116" s="10"/>
      <c r="W116" s="10"/>
      <c r="X116" s="48"/>
      <c r="Y116" s="10"/>
      <c r="Z116" s="48"/>
      <c r="AA116" s="76"/>
      <c r="AB116" s="76"/>
      <c r="AC116" s="76"/>
      <c r="AD116" s="76"/>
      <c r="AE116" s="76"/>
      <c r="AF116" s="75"/>
      <c r="AG116" s="76"/>
      <c r="AH116" s="75"/>
      <c r="AI116" s="10"/>
      <c r="AJ116" s="48"/>
      <c r="AK116" s="10"/>
    </row>
    <row r="117" spans="1:37" ht="14.25" customHeight="1">
      <c r="A117" s="9" t="str">
        <f>'Agg crdcrv'!C84</f>
        <v>FHH</v>
      </c>
      <c r="B117" s="9" t="str">
        <f t="shared" si="420"/>
        <v>IMPOILHH53</v>
      </c>
      <c r="C117" s="9" t="str">
        <f>CONCATENATE("Imported ",VLOOKUP($A117,Types!$A$13:$C$18,3,FALSE),", PADD ",RIGHT(F117,1),", Step ",RIGHT(E117,1))</f>
        <v>Imported Imported Oil-High Sulfur, Heavy G, PADD 5, Step 3</v>
      </c>
      <c r="D117" s="9" t="str">
        <f>CONCATENATE(VLOOKUP($A117,Types!$A$14:$C$18,2,FALSE),RIGHT(F117,1))</f>
        <v>OILHH5</v>
      </c>
      <c r="E117" s="9">
        <v>3</v>
      </c>
      <c r="F117" s="9" t="str">
        <f>'Agg crdcrv'!D84</f>
        <v>P5</v>
      </c>
      <c r="G117" s="66">
        <f>'Agg crdcrv'!H84*K5</f>
        <v>31.900000000000002</v>
      </c>
      <c r="H117" s="66">
        <f>'Agg crdcrv'!H89*K5</f>
        <v>46.406250000000007</v>
      </c>
      <c r="I117" s="66">
        <f>'Agg crdcrv'!H94*K5</f>
        <v>31.57</v>
      </c>
      <c r="J117" s="66">
        <f>'Agg crdcrv'!H99*K5</f>
        <v>33.407000000000004</v>
      </c>
      <c r="K117" s="67">
        <f>G117*Conv!$J$20/10^6/Conv!$C$47/Conv!$I$5</f>
        <v>7.6738981061112703</v>
      </c>
      <c r="L117" s="67">
        <f>H117*Conv!$J$20/10^6/Conv!$C$47/Conv!$I$5</f>
        <v>11.163537115571355</v>
      </c>
      <c r="M117" s="67" t="e">
        <f>L117*#REF!</f>
        <v>#REF!</v>
      </c>
      <c r="N117" s="67" t="e">
        <f>M117*#REF!</f>
        <v>#REF!</v>
      </c>
      <c r="O117" s="67" t="e">
        <f>N117*#REF!</f>
        <v>#REF!</v>
      </c>
      <c r="P117" s="67" t="e">
        <f>O117*#REF!</f>
        <v>#REF!</v>
      </c>
      <c r="Q117" s="67" t="e">
        <f>P117*#REF!</f>
        <v>#REF!</v>
      </c>
      <c r="R117" s="67" t="e">
        <f>Q117*#REF!</f>
        <v>#REF!</v>
      </c>
      <c r="S117" s="67" t="e">
        <f>R117*#REF!</f>
        <v>#REF!</v>
      </c>
      <c r="T117" s="67" t="e">
        <f>S117*#REF!</f>
        <v>#REF!</v>
      </c>
      <c r="U117" s="67" t="e">
        <f>T117*#REF!</f>
        <v>#REF!</v>
      </c>
      <c r="V117" s="42"/>
      <c r="W117" s="9">
        <f>'Agg crdcrv'!F84</f>
        <v>336.83</v>
      </c>
      <c r="X117" s="9">
        <f>'Agg crdcrv'!F89</f>
        <v>245.37</v>
      </c>
      <c r="Y117" s="9">
        <f>'Agg crdcrv'!F94</f>
        <v>56.99</v>
      </c>
      <c r="Z117" s="9">
        <f>'Agg crdcrv'!F99</f>
        <v>62.92</v>
      </c>
      <c r="AA117" s="82">
        <f>W117*Conv!$C$47*Conv!$I$5*1000*365</f>
        <v>784.2268028833688</v>
      </c>
      <c r="AB117" s="82">
        <f>X117*Conv!$C$47*Conv!$I$5*1000*365</f>
        <v>571.284418322276</v>
      </c>
      <c r="AC117" s="82">
        <f>Y117*Conv!$C$47*Conv!$I$5*1000*365</f>
        <v>132.68736601942578</v>
      </c>
      <c r="AD117" s="82">
        <f>Z117*Conv!$C$47*Conv!$I$5*1000*365</f>
        <v>146.49392998670416</v>
      </c>
      <c r="AE117" s="82">
        <f>AA117-AA119</f>
        <v>627.38144230669502</v>
      </c>
      <c r="AF117" s="82">
        <f t="shared" ref="AF117" si="601">AB117-AB119</f>
        <v>457.02753465782081</v>
      </c>
      <c r="AG117" s="82">
        <f t="shared" ref="AG117" si="602">AC117-AC119</f>
        <v>106.14989281554062</v>
      </c>
      <c r="AH117" s="82">
        <f t="shared" ref="AH117" si="603">AD117-AD119</f>
        <v>117.19514398936332</v>
      </c>
    </row>
    <row r="118" spans="1:37" ht="14.25" customHeight="1">
      <c r="A118" s="9" t="str">
        <f>A117</f>
        <v>FHH</v>
      </c>
      <c r="B118" s="9" t="str">
        <f t="shared" si="420"/>
        <v>IMPOILHH51</v>
      </c>
      <c r="C118" s="9" t="str">
        <f>CONCATENATE("Imported ",VLOOKUP($A118,Types!$A$13:$C$18,3,FALSE),", PADD ",RIGHT(F118,1),", Step ",RIGHT(E118,1))</f>
        <v>Imported Imported Oil-High Sulfur, Heavy G, PADD 5, Step 1</v>
      </c>
      <c r="D118" s="9" t="str">
        <f>D117</f>
        <v>OILHH5</v>
      </c>
      <c r="E118" s="9">
        <v>1</v>
      </c>
      <c r="F118" s="9" t="str">
        <f>F117</f>
        <v>P5</v>
      </c>
      <c r="G118" s="66">
        <f>G117*$C$5</f>
        <v>28.71</v>
      </c>
      <c r="H118" s="66">
        <f t="shared" ref="H118" si="604">H117*$C$5</f>
        <v>41.765625000000007</v>
      </c>
      <c r="I118" s="66">
        <f t="shared" ref="I118" si="605">I117*$C$5</f>
        <v>28.413</v>
      </c>
      <c r="J118" s="66">
        <f t="shared" ref="J118" si="606">J117*$C$5</f>
        <v>30.066300000000005</v>
      </c>
      <c r="K118" s="67">
        <f>G118*Conv!$J$20/10^6/Conv!$C$47/Conv!$I$5</f>
        <v>6.9065082955001431</v>
      </c>
      <c r="L118" s="67">
        <f>H118*Conv!$J$20/10^6/Conv!$C$47/Conv!$I$5</f>
        <v>10.04718340401422</v>
      </c>
      <c r="M118" s="67" t="e">
        <f>L118*#REF!</f>
        <v>#REF!</v>
      </c>
      <c r="N118" s="67" t="e">
        <f>M118*#REF!</f>
        <v>#REF!</v>
      </c>
      <c r="O118" s="67" t="e">
        <f>N118*#REF!</f>
        <v>#REF!</v>
      </c>
      <c r="P118" s="67" t="e">
        <f>O118*#REF!</f>
        <v>#REF!</v>
      </c>
      <c r="Q118" s="67" t="e">
        <f>P118*#REF!</f>
        <v>#REF!</v>
      </c>
      <c r="R118" s="67" t="e">
        <f>Q118*#REF!</f>
        <v>#REF!</v>
      </c>
      <c r="S118" s="67" t="e">
        <f>R118*#REF!</f>
        <v>#REF!</v>
      </c>
      <c r="T118" s="67" t="e">
        <f>S118*#REF!</f>
        <v>#REF!</v>
      </c>
      <c r="U118" s="67" t="e">
        <f>T118*#REF!</f>
        <v>#REF!</v>
      </c>
      <c r="V118" s="42"/>
      <c r="W118" s="83">
        <f>W117*$E$5</f>
        <v>33.683</v>
      </c>
      <c r="X118" s="83">
        <f t="shared" ref="X118" si="607">X117*$E$5</f>
        <v>24.537000000000003</v>
      </c>
      <c r="Y118" s="83">
        <f t="shared" ref="Y118" si="608">Y117*$E$5</f>
        <v>5.6990000000000007</v>
      </c>
      <c r="Z118" s="83">
        <f t="shared" ref="Z118" si="609">Z117*$E$5</f>
        <v>6.2920000000000007</v>
      </c>
      <c r="AA118" s="82">
        <f>W118*Conv!$C$47*Conv!$I$5*1000*365</f>
        <v>78.422680288336878</v>
      </c>
      <c r="AB118" s="82">
        <f>X118*Conv!$C$47*Conv!$I$5*1000*365</f>
        <v>57.128441832227601</v>
      </c>
      <c r="AC118" s="82">
        <f>Y118*Conv!$C$47*Conv!$I$5*1000*365</f>
        <v>13.268736601942578</v>
      </c>
      <c r="AD118" s="82">
        <f>Z118*Conv!$C$47*Conv!$I$5*1000*365</f>
        <v>14.649392998670418</v>
      </c>
      <c r="AE118" s="82">
        <f>AA118</f>
        <v>78.422680288336878</v>
      </c>
      <c r="AF118" s="82">
        <f t="shared" ref="AF118" si="610">AB118</f>
        <v>57.128441832227601</v>
      </c>
      <c r="AG118" s="82">
        <f t="shared" ref="AG118" si="611">AC118</f>
        <v>13.268736601942578</v>
      </c>
      <c r="AH118" s="82">
        <f t="shared" ref="AH118" si="612">AD118</f>
        <v>14.649392998670418</v>
      </c>
      <c r="AI118" s="53"/>
    </row>
    <row r="119" spans="1:37" ht="14.25" customHeight="1">
      <c r="A119" s="9" t="str">
        <f t="shared" ref="A119:A121" si="613">A118</f>
        <v>FHH</v>
      </c>
      <c r="B119" s="9" t="str">
        <f t="shared" si="420"/>
        <v>IMPOILHH52</v>
      </c>
      <c r="C119" s="9" t="str">
        <f>CONCATENATE("Imported ",VLOOKUP($A119,Types!$A$13:$C$18,3,FALSE),", PADD ",RIGHT(F119,1),", Step ",RIGHT(E119,1))</f>
        <v>Imported Imported Oil-High Sulfur, Heavy G, PADD 5, Step 2</v>
      </c>
      <c r="D119" s="9" t="str">
        <f t="shared" ref="D119:D121" si="614">D118</f>
        <v>OILHH5</v>
      </c>
      <c r="E119" s="9">
        <v>2</v>
      </c>
      <c r="F119" s="9" t="str">
        <f t="shared" ref="F119:F121" si="615">F118</f>
        <v>P5</v>
      </c>
      <c r="G119" s="66">
        <f>G117*$C$6</f>
        <v>30.305</v>
      </c>
      <c r="H119" s="66">
        <f t="shared" ref="H119:J119" si="616">H117*$C$6</f>
        <v>44.085937500000007</v>
      </c>
      <c r="I119" s="66">
        <f t="shared" si="616"/>
        <v>29.991499999999998</v>
      </c>
      <c r="J119" s="66">
        <f t="shared" si="616"/>
        <v>31.736650000000001</v>
      </c>
      <c r="K119" s="67">
        <f>G119*Conv!$J$20/10^6/Conv!$C$47/Conv!$I$5</f>
        <v>7.2902032008057063</v>
      </c>
      <c r="L119" s="67">
        <f>H119*Conv!$J$20/10^6/Conv!$C$47/Conv!$I$5</f>
        <v>10.605360259792784</v>
      </c>
      <c r="M119" s="67" t="e">
        <f>L119*#REF!</f>
        <v>#REF!</v>
      </c>
      <c r="N119" s="67" t="e">
        <f>M119*#REF!</f>
        <v>#REF!</v>
      </c>
      <c r="O119" s="67" t="e">
        <f>N119*#REF!</f>
        <v>#REF!</v>
      </c>
      <c r="P119" s="67" t="e">
        <f>O119*#REF!</f>
        <v>#REF!</v>
      </c>
      <c r="Q119" s="67" t="e">
        <f>P119*#REF!</f>
        <v>#REF!</v>
      </c>
      <c r="R119" s="67" t="e">
        <f>Q119*#REF!</f>
        <v>#REF!</v>
      </c>
      <c r="S119" s="67" t="e">
        <f>R119*#REF!</f>
        <v>#REF!</v>
      </c>
      <c r="T119" s="67" t="e">
        <f>S119*#REF!</f>
        <v>#REF!</v>
      </c>
      <c r="U119" s="67" t="e">
        <f>T119*#REF!</f>
        <v>#REF!</v>
      </c>
      <c r="V119" s="42"/>
      <c r="W119" s="83">
        <f>W117*$E$6</f>
        <v>67.366</v>
      </c>
      <c r="X119" s="83">
        <f t="shared" ref="X119:Z119" si="617">X117*$E$6</f>
        <v>49.074000000000005</v>
      </c>
      <c r="Y119" s="83">
        <f t="shared" si="617"/>
        <v>11.398000000000001</v>
      </c>
      <c r="Z119" s="83">
        <f t="shared" si="617"/>
        <v>12.584000000000001</v>
      </c>
      <c r="AA119" s="82">
        <f>W119*Conv!$C$47*Conv!$I$5*1000*365</f>
        <v>156.84536057667376</v>
      </c>
      <c r="AB119" s="82">
        <f>X119*Conv!$C$47*Conv!$I$5*1000*365</f>
        <v>114.2568836644552</v>
      </c>
      <c r="AC119" s="82">
        <f>Y119*Conv!$C$47*Conv!$I$5*1000*365</f>
        <v>26.537473203885156</v>
      </c>
      <c r="AD119" s="82">
        <f>Z119*Conv!$C$47*Conv!$I$5*1000*365</f>
        <v>29.298785997340836</v>
      </c>
      <c r="AE119" s="82">
        <f>AA119-AE118</f>
        <v>78.422680288336878</v>
      </c>
      <c r="AF119" s="82">
        <f t="shared" ref="AF119" si="618">AB119-AF118</f>
        <v>57.128441832227601</v>
      </c>
      <c r="AG119" s="82">
        <f t="shared" ref="AG119" si="619">AC119-AG118</f>
        <v>13.268736601942578</v>
      </c>
      <c r="AH119" s="82">
        <f t="shared" ref="AH119" si="620">AD119-AH118</f>
        <v>14.649392998670418</v>
      </c>
      <c r="AI119" s="53"/>
    </row>
    <row r="120" spans="1:37" ht="14.25" customHeight="1">
      <c r="A120" s="9" t="str">
        <f t="shared" si="613"/>
        <v>FHH</v>
      </c>
      <c r="B120" s="9" t="str">
        <f t="shared" si="420"/>
        <v>IMPOILHH54</v>
      </c>
      <c r="C120" s="9" t="str">
        <f>CONCATENATE("Imported ",VLOOKUP($A120,Types!$A$13:$C$18,3,FALSE),", PADD ",RIGHT(F120,1),", Step ",RIGHT(E120,1))</f>
        <v>Imported Imported Oil-High Sulfur, Heavy G, PADD 5, Step 4</v>
      </c>
      <c r="D120" s="9" t="str">
        <f t="shared" si="614"/>
        <v>OILHH5</v>
      </c>
      <c r="E120" s="9">
        <v>4</v>
      </c>
      <c r="F120" s="9" t="str">
        <f t="shared" si="615"/>
        <v>P5</v>
      </c>
      <c r="G120" s="66">
        <f>G117*$C$8</f>
        <v>33.495000000000005</v>
      </c>
      <c r="H120" s="66">
        <f t="shared" ref="H120:J120" si="621">H117*$C$8</f>
        <v>48.726562500000007</v>
      </c>
      <c r="I120" s="66">
        <f t="shared" si="621"/>
        <v>33.148499999999999</v>
      </c>
      <c r="J120" s="66">
        <f t="shared" si="621"/>
        <v>35.077350000000003</v>
      </c>
      <c r="K120" s="67">
        <f>G120*Conv!$J$20/10^6/Conv!$C$47/Conv!$I$5</f>
        <v>8.0575930114168361</v>
      </c>
      <c r="L120" s="67">
        <f>H120*Conv!$J$20/10^6/Conv!$C$47/Conv!$I$5</f>
        <v>11.721713971349921</v>
      </c>
      <c r="M120" s="67" t="e">
        <f>L120*#REF!</f>
        <v>#REF!</v>
      </c>
      <c r="N120" s="67" t="e">
        <f>M120*#REF!</f>
        <v>#REF!</v>
      </c>
      <c r="O120" s="67" t="e">
        <f>N120*#REF!</f>
        <v>#REF!</v>
      </c>
      <c r="P120" s="67" t="e">
        <f>O120*#REF!</f>
        <v>#REF!</v>
      </c>
      <c r="Q120" s="67" t="e">
        <f>P120*#REF!</f>
        <v>#REF!</v>
      </c>
      <c r="R120" s="67" t="e">
        <f>Q120*#REF!</f>
        <v>#REF!</v>
      </c>
      <c r="S120" s="67" t="e">
        <f>R120*#REF!</f>
        <v>#REF!</v>
      </c>
      <c r="T120" s="67" t="e">
        <f>S120*#REF!</f>
        <v>#REF!</v>
      </c>
      <c r="U120" s="67" t="e">
        <f>T120*#REF!</f>
        <v>#REF!</v>
      </c>
      <c r="V120" s="42"/>
      <c r="W120" s="83">
        <f>W117*$E$8</f>
        <v>404.19599999999997</v>
      </c>
      <c r="X120" s="83">
        <f t="shared" ref="X120:Z120" si="622">X117*$E$8</f>
        <v>294.44400000000002</v>
      </c>
      <c r="Y120" s="83">
        <f t="shared" si="622"/>
        <v>68.388000000000005</v>
      </c>
      <c r="Z120" s="83">
        <f t="shared" si="622"/>
        <v>75.504000000000005</v>
      </c>
      <c r="AA120" s="82">
        <f>W120*Conv!$C$47*Conv!$I$5*1000*365</f>
        <v>941.07216346004259</v>
      </c>
      <c r="AB120" s="82">
        <f>X120*Conv!$C$47*Conv!$I$5*1000*365</f>
        <v>685.54130198673113</v>
      </c>
      <c r="AC120" s="82">
        <f>Y120*Conv!$C$47*Conv!$I$5*1000*365</f>
        <v>159.22483922331097</v>
      </c>
      <c r="AD120" s="82">
        <f>Z120*Conv!$C$47*Conv!$I$5*1000*365</f>
        <v>175.792715984045</v>
      </c>
      <c r="AE120" s="82">
        <f>AA120-AA117</f>
        <v>156.84536057667378</v>
      </c>
      <c r="AF120" s="82">
        <f t="shared" ref="AF120" si="623">AB120-AB117</f>
        <v>114.25688366445513</v>
      </c>
      <c r="AG120" s="82">
        <f t="shared" ref="AG120" si="624">AC120-AC117</f>
        <v>26.537473203885185</v>
      </c>
      <c r="AH120" s="82">
        <f t="shared" ref="AH120" si="625">AD120-AD117</f>
        <v>29.298785997340843</v>
      </c>
      <c r="AI120" s="53"/>
    </row>
    <row r="121" spans="1:37" ht="14.25" customHeight="1">
      <c r="A121" s="9" t="str">
        <f t="shared" si="613"/>
        <v>FHH</v>
      </c>
      <c r="B121" s="9" t="str">
        <f t="shared" si="420"/>
        <v>IMPOILHH55</v>
      </c>
      <c r="C121" s="9" t="str">
        <f>CONCATENATE("Imported ",VLOOKUP($A121,Types!$A$13:$C$18,3,FALSE),", PADD ",RIGHT(F121,1),", Step ",RIGHT(E121,1))</f>
        <v>Imported Imported Oil-High Sulfur, Heavy G, PADD 5, Step 5</v>
      </c>
      <c r="D121" s="9" t="str">
        <f t="shared" si="614"/>
        <v>OILHH5</v>
      </c>
      <c r="E121" s="9">
        <v>5</v>
      </c>
      <c r="F121" s="9" t="str">
        <f t="shared" si="615"/>
        <v>P5</v>
      </c>
      <c r="G121" s="66">
        <f>G117*$C$9</f>
        <v>41.470000000000006</v>
      </c>
      <c r="H121" s="66">
        <f t="shared" ref="H121:J121" si="626">H117*$C$9</f>
        <v>60.328125000000014</v>
      </c>
      <c r="I121" s="66">
        <f t="shared" si="626"/>
        <v>41.041000000000004</v>
      </c>
      <c r="J121" s="66">
        <f t="shared" si="626"/>
        <v>43.429100000000005</v>
      </c>
      <c r="K121" s="67">
        <f>G121*Conv!$J$20/10^6/Conv!$C$47/Conv!$I$5</f>
        <v>9.9760675379446511</v>
      </c>
      <c r="L121" s="67">
        <f>H121*Conv!$J$20/10^6/Conv!$C$47/Conv!$I$5</f>
        <v>14.512598250242762</v>
      </c>
      <c r="M121" s="67" t="e">
        <f>L121*#REF!</f>
        <v>#REF!</v>
      </c>
      <c r="N121" s="67" t="e">
        <f>M121*#REF!</f>
        <v>#REF!</v>
      </c>
      <c r="O121" s="67" t="e">
        <f>N121*#REF!</f>
        <v>#REF!</v>
      </c>
      <c r="P121" s="67" t="e">
        <f>O121*#REF!</f>
        <v>#REF!</v>
      </c>
      <c r="Q121" s="67" t="e">
        <f>P121*#REF!</f>
        <v>#REF!</v>
      </c>
      <c r="R121" s="67" t="e">
        <f>Q121*#REF!</f>
        <v>#REF!</v>
      </c>
      <c r="S121" s="67" t="e">
        <f>R121*#REF!</f>
        <v>#REF!</v>
      </c>
      <c r="T121" s="67" t="e">
        <f>S121*#REF!</f>
        <v>#REF!</v>
      </c>
      <c r="U121" s="67" t="e">
        <f>T121*#REF!</f>
        <v>#REF!</v>
      </c>
      <c r="V121" s="42"/>
      <c r="W121" s="83">
        <f>W117*$E$9</f>
        <v>437.87900000000002</v>
      </c>
      <c r="X121" s="83">
        <f t="shared" ref="X121:Z121" si="627">X117*$E$9</f>
        <v>318.98099999999999</v>
      </c>
      <c r="Y121" s="83">
        <f t="shared" si="627"/>
        <v>74.087000000000003</v>
      </c>
      <c r="Z121" s="83">
        <f t="shared" si="627"/>
        <v>81.796000000000006</v>
      </c>
      <c r="AA121" s="82">
        <f>W121*Conv!$C$47*Conv!$I$5*1000*365</f>
        <v>1019.4948437483796</v>
      </c>
      <c r="AB121" s="82">
        <f>X121*Conv!$C$47*Conv!$I$5*1000*365</f>
        <v>742.66974381895875</v>
      </c>
      <c r="AC121" s="82">
        <f>Y121*Conv!$C$47*Conv!$I$5*1000*365</f>
        <v>172.49357582525352</v>
      </c>
      <c r="AD121" s="82">
        <f>Z121*Conv!$C$47*Conv!$I$5*1000*365</f>
        <v>190.44210898271544</v>
      </c>
      <c r="AE121" s="82">
        <f>AA121-AA120</f>
        <v>78.422680288337006</v>
      </c>
      <c r="AF121" s="82">
        <f t="shared" ref="AF121" si="628">AB121-AB120</f>
        <v>57.128441832227622</v>
      </c>
      <c r="AG121" s="82">
        <f t="shared" ref="AG121" si="629">AC121-AC120</f>
        <v>13.26873660194255</v>
      </c>
      <c r="AH121" s="82">
        <f t="shared" ref="AH121" si="630">AD121-AD120</f>
        <v>14.649392998670436</v>
      </c>
      <c r="AI121" s="53"/>
    </row>
    <row r="122" spans="1:37" ht="14.25" customHeight="1">
      <c r="A122" s="9" t="str">
        <f>'Agg crdcrv'!C85</f>
        <v>FHL</v>
      </c>
      <c r="B122" s="9" t="str">
        <f t="shared" si="420"/>
        <v>IMPOILHL53</v>
      </c>
      <c r="C122" s="9" t="str">
        <f>CONCATENATE("Imported ",VLOOKUP($A122,Types!$A$13:$C$18,3,FALSE),", PADD ",RIGHT(F122,1),", Step ",RIGHT(E122,1))</f>
        <v>Imported Imported Oil-High Sulfur, Low G, PADD 5, Step 3</v>
      </c>
      <c r="D122" s="9" t="str">
        <f>CONCATENATE(VLOOKUP($A122,Types!$A$14:$C$18,2,FALSE),RIGHT(F122,1))</f>
        <v>OILHL5</v>
      </c>
      <c r="E122" s="9">
        <v>3</v>
      </c>
      <c r="F122" s="9" t="str">
        <f>'Agg crdcrv'!D85</f>
        <v>P5</v>
      </c>
      <c r="G122" s="66">
        <f>'Agg crdcrv'!H85*K5</f>
        <v>41.514000000000003</v>
      </c>
      <c r="H122" s="66">
        <f>'Agg crdcrv'!H90*K5</f>
        <v>50.187500000000007</v>
      </c>
      <c r="I122" s="66">
        <f>'Agg crdcrv'!H95*K5</f>
        <v>34.551000000000002</v>
      </c>
      <c r="J122" s="66">
        <f>'Agg crdcrv'!H100*K5</f>
        <v>36.410000000000004</v>
      </c>
      <c r="K122" s="67">
        <f>G122*Conv!$J$20/10^6/Conv!$C$47/Conv!$I$5</f>
        <v>9.9866522249875622</v>
      </c>
      <c r="L122" s="67">
        <f>H122*Conv!$J$20/10^6/Conv!$C$47/Conv!$I$5</f>
        <v>12.073158658321612</v>
      </c>
      <c r="M122" s="67" t="e">
        <f>L122*#REF!</f>
        <v>#REF!</v>
      </c>
      <c r="N122" s="67" t="e">
        <f>M122*#REF!</f>
        <v>#REF!</v>
      </c>
      <c r="O122" s="67" t="e">
        <f>N122*#REF!</f>
        <v>#REF!</v>
      </c>
      <c r="P122" s="67" t="e">
        <f>O122*#REF!</f>
        <v>#REF!</v>
      </c>
      <c r="Q122" s="67" t="e">
        <f>P122*#REF!</f>
        <v>#REF!</v>
      </c>
      <c r="R122" s="67" t="e">
        <f>Q122*#REF!</f>
        <v>#REF!</v>
      </c>
      <c r="S122" s="67" t="e">
        <f>R122*#REF!</f>
        <v>#REF!</v>
      </c>
      <c r="T122" s="67" t="e">
        <f>S122*#REF!</f>
        <v>#REF!</v>
      </c>
      <c r="U122" s="67" t="e">
        <f>T122*#REF!</f>
        <v>#REF!</v>
      </c>
      <c r="V122" s="42"/>
      <c r="W122" s="9">
        <f>'Agg crdcrv'!F85</f>
        <v>119.21</v>
      </c>
      <c r="X122" s="9">
        <f>'Agg crdcrv'!F90</f>
        <v>204.66</v>
      </c>
      <c r="Y122" s="9">
        <f>'Agg crdcrv'!F95</f>
        <v>24.55</v>
      </c>
      <c r="Z122" s="9">
        <f>'Agg crdcrv'!F100</f>
        <v>27.11</v>
      </c>
      <c r="AA122" s="82">
        <f>W122*Conv!$C$47*Conv!$I$5*1000*365</f>
        <v>277.55151611117299</v>
      </c>
      <c r="AB122" s="82">
        <f>X122*Conv!$C$47*Conv!$I$5*1000*365</f>
        <v>476.50107614556384</v>
      </c>
      <c r="AC122" s="82">
        <f>Y122*Conv!$C$47*Conv!$I$5*1000*365</f>
        <v>57.15870917313395</v>
      </c>
      <c r="AD122" s="82">
        <f>Z122*Conv!$C$47*Conv!$I$5*1000*365</f>
        <v>63.119047074690876</v>
      </c>
      <c r="AE122" s="82">
        <f>AA122-AA124</f>
        <v>222.04121288893839</v>
      </c>
      <c r="AF122" s="82">
        <f t="shared" ref="AF122" si="631">AB122-AB124</f>
        <v>381.20086091645106</v>
      </c>
      <c r="AG122" s="82">
        <f t="shared" ref="AG122" si="632">AC122-AC124</f>
        <v>45.726967338507166</v>
      </c>
      <c r="AH122" s="82">
        <f t="shared" ref="AH122" si="633">AD122-AD124</f>
        <v>50.495237659752696</v>
      </c>
    </row>
    <row r="123" spans="1:37" ht="14.25" customHeight="1">
      <c r="A123" s="9" t="str">
        <f>A122</f>
        <v>FHL</v>
      </c>
      <c r="B123" s="9" t="str">
        <f t="shared" si="420"/>
        <v>IMPOILHL51</v>
      </c>
      <c r="C123" s="9" t="str">
        <f>CONCATENATE("Imported ",VLOOKUP($A123,Types!$A$13:$C$18,3,FALSE),", PADD ",RIGHT(F123,1),", Step ",RIGHT(E123,1))</f>
        <v>Imported Imported Oil-High Sulfur, Low G, PADD 5, Step 1</v>
      </c>
      <c r="D123" s="9" t="str">
        <f>D122</f>
        <v>OILHL5</v>
      </c>
      <c r="E123" s="9">
        <v>1</v>
      </c>
      <c r="F123" s="9" t="str">
        <f>F122</f>
        <v>P5</v>
      </c>
      <c r="G123" s="66">
        <f>G122*$C$5</f>
        <v>37.3626</v>
      </c>
      <c r="H123" s="66">
        <f t="shared" ref="H123" si="634">H122*$C$5</f>
        <v>45.16875000000001</v>
      </c>
      <c r="I123" s="66">
        <f t="shared" ref="I123" si="635">I122*$C$5</f>
        <v>31.095900000000004</v>
      </c>
      <c r="J123" s="66">
        <f t="shared" ref="J123" si="636">J122*$C$5</f>
        <v>32.769000000000005</v>
      </c>
      <c r="K123" s="67">
        <f>G123*Conv!$J$20/10^6/Conv!$C$47/Conv!$I$5</f>
        <v>8.987987002488806</v>
      </c>
      <c r="L123" s="67">
        <f>H123*Conv!$J$20/10^6/Conv!$C$47/Conv!$I$5</f>
        <v>10.865842792489451</v>
      </c>
      <c r="M123" s="67" t="e">
        <f>L123*#REF!</f>
        <v>#REF!</v>
      </c>
      <c r="N123" s="67" t="e">
        <f>M123*#REF!</f>
        <v>#REF!</v>
      </c>
      <c r="O123" s="67" t="e">
        <f>N123*#REF!</f>
        <v>#REF!</v>
      </c>
      <c r="P123" s="67" t="e">
        <f>O123*#REF!</f>
        <v>#REF!</v>
      </c>
      <c r="Q123" s="67" t="e">
        <f>P123*#REF!</f>
        <v>#REF!</v>
      </c>
      <c r="R123" s="67" t="e">
        <f>Q123*#REF!</f>
        <v>#REF!</v>
      </c>
      <c r="S123" s="67" t="e">
        <f>R123*#REF!</f>
        <v>#REF!</v>
      </c>
      <c r="T123" s="67" t="e">
        <f>S123*#REF!</f>
        <v>#REF!</v>
      </c>
      <c r="U123" s="67" t="e">
        <f>T123*#REF!</f>
        <v>#REF!</v>
      </c>
      <c r="V123" s="42"/>
      <c r="W123" s="83">
        <f>W122*$E$5</f>
        <v>11.920999999999999</v>
      </c>
      <c r="X123" s="83">
        <f t="shared" ref="X123" si="637">X122*$E$5</f>
        <v>20.466000000000001</v>
      </c>
      <c r="Y123" s="83">
        <f t="shared" ref="Y123" si="638">Y122*$E$5</f>
        <v>2.4550000000000001</v>
      </c>
      <c r="Z123" s="83">
        <f t="shared" ref="Z123" si="639">Z122*$E$5</f>
        <v>2.7110000000000003</v>
      </c>
      <c r="AA123" s="82">
        <f>W123*Conv!$C$47*Conv!$I$5*1000*365</f>
        <v>27.755151611117295</v>
      </c>
      <c r="AB123" s="82">
        <f>X123*Conv!$C$47*Conv!$I$5*1000*365</f>
        <v>47.65010761455639</v>
      </c>
      <c r="AC123" s="82">
        <f>Y123*Conv!$C$47*Conv!$I$5*1000*365</f>
        <v>5.7158709173133939</v>
      </c>
      <c r="AD123" s="82">
        <f>Z123*Conv!$C$47*Conv!$I$5*1000*365</f>
        <v>6.3119047074690897</v>
      </c>
      <c r="AE123" s="82">
        <f>AA123</f>
        <v>27.755151611117295</v>
      </c>
      <c r="AF123" s="82">
        <f t="shared" ref="AF123" si="640">AB123</f>
        <v>47.65010761455639</v>
      </c>
      <c r="AG123" s="82">
        <f t="shared" ref="AG123" si="641">AC123</f>
        <v>5.7158709173133939</v>
      </c>
      <c r="AH123" s="82">
        <f t="shared" ref="AH123" si="642">AD123</f>
        <v>6.3119047074690897</v>
      </c>
      <c r="AI123" s="53"/>
    </row>
    <row r="124" spans="1:37" ht="14.25" customHeight="1">
      <c r="A124" s="9" t="str">
        <f t="shared" ref="A124:A126" si="643">A123</f>
        <v>FHL</v>
      </c>
      <c r="B124" s="9" t="str">
        <f t="shared" si="420"/>
        <v>IMPOILHL52</v>
      </c>
      <c r="C124" s="9" t="str">
        <f>CONCATENATE("Imported ",VLOOKUP($A124,Types!$A$13:$C$18,3,FALSE),", PADD ",RIGHT(F124,1),", Step ",RIGHT(E124,1))</f>
        <v>Imported Imported Oil-High Sulfur, Low G, PADD 5, Step 2</v>
      </c>
      <c r="D124" s="9" t="str">
        <f t="shared" ref="D124:D126" si="644">D123</f>
        <v>OILHL5</v>
      </c>
      <c r="E124" s="9">
        <v>2</v>
      </c>
      <c r="F124" s="9" t="str">
        <f t="shared" ref="F124:F126" si="645">F123</f>
        <v>P5</v>
      </c>
      <c r="G124" s="66">
        <f>G122*$C$6</f>
        <v>39.438299999999998</v>
      </c>
      <c r="H124" s="66">
        <f t="shared" ref="H124:J124" si="646">H122*$C$6</f>
        <v>47.678125000000001</v>
      </c>
      <c r="I124" s="66">
        <f t="shared" si="646"/>
        <v>32.823450000000001</v>
      </c>
      <c r="J124" s="66">
        <f t="shared" si="646"/>
        <v>34.589500000000001</v>
      </c>
      <c r="K124" s="67">
        <f>G124*Conv!$J$20/10^6/Conv!$C$47/Conv!$I$5</f>
        <v>9.487319613738185</v>
      </c>
      <c r="L124" s="67">
        <f>H124*Conv!$J$20/10^6/Conv!$C$47/Conv!$I$5</f>
        <v>11.469500725405531</v>
      </c>
      <c r="M124" s="67" t="e">
        <f>L124*#REF!</f>
        <v>#REF!</v>
      </c>
      <c r="N124" s="67" t="e">
        <f>M124*#REF!</f>
        <v>#REF!</v>
      </c>
      <c r="O124" s="67" t="e">
        <f>N124*#REF!</f>
        <v>#REF!</v>
      </c>
      <c r="P124" s="67" t="e">
        <f>O124*#REF!</f>
        <v>#REF!</v>
      </c>
      <c r="Q124" s="67" t="e">
        <f>P124*#REF!</f>
        <v>#REF!</v>
      </c>
      <c r="R124" s="67" t="e">
        <f>Q124*#REF!</f>
        <v>#REF!</v>
      </c>
      <c r="S124" s="67" t="e">
        <f>R124*#REF!</f>
        <v>#REF!</v>
      </c>
      <c r="T124" s="67" t="e">
        <f>S124*#REF!</f>
        <v>#REF!</v>
      </c>
      <c r="U124" s="67" t="e">
        <f>T124*#REF!</f>
        <v>#REF!</v>
      </c>
      <c r="V124" s="42"/>
      <c r="W124" s="83">
        <f>W122*$E$6</f>
        <v>23.841999999999999</v>
      </c>
      <c r="X124" s="83">
        <f t="shared" ref="X124:Z124" si="647">X122*$E$6</f>
        <v>40.932000000000002</v>
      </c>
      <c r="Y124" s="83">
        <f t="shared" si="647"/>
        <v>4.91</v>
      </c>
      <c r="Z124" s="83">
        <f t="shared" si="647"/>
        <v>5.4220000000000006</v>
      </c>
      <c r="AA124" s="82">
        <f>W124*Conv!$C$47*Conv!$I$5*1000*365</f>
        <v>55.51030322223459</v>
      </c>
      <c r="AB124" s="82">
        <f>X124*Conv!$C$47*Conv!$I$5*1000*365</f>
        <v>95.30021522911278</v>
      </c>
      <c r="AC124" s="82">
        <f>Y124*Conv!$C$47*Conv!$I$5*1000*365</f>
        <v>11.431741834626788</v>
      </c>
      <c r="AD124" s="82">
        <f>Z124*Conv!$C$47*Conv!$I$5*1000*365</f>
        <v>12.623809414938179</v>
      </c>
      <c r="AE124" s="82">
        <f>AA124-AE123</f>
        <v>27.755151611117295</v>
      </c>
      <c r="AF124" s="82">
        <f t="shared" ref="AF124" si="648">AB124-AF123</f>
        <v>47.65010761455639</v>
      </c>
      <c r="AG124" s="82">
        <f t="shared" ref="AG124" si="649">AC124-AG123</f>
        <v>5.7158709173133939</v>
      </c>
      <c r="AH124" s="82">
        <f t="shared" ref="AH124" si="650">AD124-AH123</f>
        <v>6.3119047074690897</v>
      </c>
      <c r="AI124" s="53"/>
    </row>
    <row r="125" spans="1:37" ht="14.25" customHeight="1">
      <c r="A125" s="9" t="str">
        <f t="shared" si="643"/>
        <v>FHL</v>
      </c>
      <c r="B125" s="9" t="str">
        <f t="shared" si="420"/>
        <v>IMPOILHL54</v>
      </c>
      <c r="C125" s="9" t="str">
        <f>CONCATENATE("Imported ",VLOOKUP($A125,Types!$A$13:$C$18,3,FALSE),", PADD ",RIGHT(F125,1),", Step ",RIGHT(E125,1))</f>
        <v>Imported Imported Oil-High Sulfur, Low G, PADD 5, Step 4</v>
      </c>
      <c r="D125" s="9" t="str">
        <f t="shared" si="644"/>
        <v>OILHL5</v>
      </c>
      <c r="E125" s="9">
        <v>4</v>
      </c>
      <c r="F125" s="9" t="str">
        <f t="shared" si="645"/>
        <v>P5</v>
      </c>
      <c r="G125" s="66">
        <f>G122*$C$8</f>
        <v>43.589700000000008</v>
      </c>
      <c r="H125" s="66">
        <f t="shared" ref="H125:J125" si="651">H122*$C$8</f>
        <v>52.696875000000013</v>
      </c>
      <c r="I125" s="66">
        <f t="shared" si="651"/>
        <v>36.278550000000003</v>
      </c>
      <c r="J125" s="66">
        <f t="shared" si="651"/>
        <v>38.230500000000006</v>
      </c>
      <c r="K125" s="67">
        <f>G125*Conv!$J$20/10^6/Conv!$C$47/Conv!$I$5</f>
        <v>10.485984836236943</v>
      </c>
      <c r="L125" s="67">
        <f>H125*Conv!$J$20/10^6/Conv!$C$47/Conv!$I$5</f>
        <v>12.676816591237694</v>
      </c>
      <c r="M125" s="67" t="e">
        <f>L125*#REF!</f>
        <v>#REF!</v>
      </c>
      <c r="N125" s="67" t="e">
        <f>M125*#REF!</f>
        <v>#REF!</v>
      </c>
      <c r="O125" s="67" t="e">
        <f>N125*#REF!</f>
        <v>#REF!</v>
      </c>
      <c r="P125" s="67" t="e">
        <f>O125*#REF!</f>
        <v>#REF!</v>
      </c>
      <c r="Q125" s="67" t="e">
        <f>P125*#REF!</f>
        <v>#REF!</v>
      </c>
      <c r="R125" s="67" t="e">
        <f>Q125*#REF!</f>
        <v>#REF!</v>
      </c>
      <c r="S125" s="67" t="e">
        <f>R125*#REF!</f>
        <v>#REF!</v>
      </c>
      <c r="T125" s="67" t="e">
        <f>S125*#REF!</f>
        <v>#REF!</v>
      </c>
      <c r="U125" s="67" t="e">
        <f>T125*#REF!</f>
        <v>#REF!</v>
      </c>
      <c r="V125" s="42"/>
      <c r="W125" s="83">
        <f>W122*$E$8</f>
        <v>143.05199999999999</v>
      </c>
      <c r="X125" s="83">
        <f t="shared" ref="X125:Z125" si="652">X122*$E$8</f>
        <v>245.59199999999998</v>
      </c>
      <c r="Y125" s="83">
        <f t="shared" si="652"/>
        <v>29.46</v>
      </c>
      <c r="Z125" s="83">
        <f t="shared" si="652"/>
        <v>32.531999999999996</v>
      </c>
      <c r="AA125" s="82">
        <f>W125*Conv!$C$47*Conv!$I$5*1000*365</f>
        <v>333.06181933340758</v>
      </c>
      <c r="AB125" s="82">
        <f>X125*Conv!$C$47*Conv!$I$5*1000*365</f>
        <v>571.80129137467657</v>
      </c>
      <c r="AC125" s="82">
        <f>Y125*Conv!$C$47*Conv!$I$5*1000*365</f>
        <v>68.590451007760734</v>
      </c>
      <c r="AD125" s="82">
        <f>Z125*Conv!$C$47*Conv!$I$5*1000*365</f>
        <v>75.742856489629048</v>
      </c>
      <c r="AE125" s="82">
        <f>AA125-AA122</f>
        <v>55.510303222234597</v>
      </c>
      <c r="AF125" s="82">
        <f t="shared" ref="AF125" si="653">AB125-AB122</f>
        <v>95.300215229112723</v>
      </c>
      <c r="AG125" s="82">
        <f t="shared" ref="AG125" si="654">AC125-AC122</f>
        <v>11.431741834626784</v>
      </c>
      <c r="AH125" s="82">
        <f t="shared" ref="AH125" si="655">AD125-AD122</f>
        <v>12.623809414938172</v>
      </c>
      <c r="AI125" s="53"/>
    </row>
    <row r="126" spans="1:37" ht="14.25" customHeight="1">
      <c r="A126" s="9" t="str">
        <f t="shared" si="643"/>
        <v>FHL</v>
      </c>
      <c r="B126" s="9" t="str">
        <f t="shared" si="420"/>
        <v>IMPOILHL55</v>
      </c>
      <c r="C126" s="9" t="str">
        <f>CONCATENATE("Imported ",VLOOKUP($A126,Types!$A$13:$C$18,3,FALSE),", PADD ",RIGHT(F126,1),", Step ",RIGHT(E126,1))</f>
        <v>Imported Imported Oil-High Sulfur, Low G, PADD 5, Step 5</v>
      </c>
      <c r="D126" s="9" t="str">
        <f t="shared" si="644"/>
        <v>OILHL5</v>
      </c>
      <c r="E126" s="9">
        <v>5</v>
      </c>
      <c r="F126" s="9" t="str">
        <f t="shared" si="645"/>
        <v>P5</v>
      </c>
      <c r="G126" s="66">
        <f>G122*$C$9</f>
        <v>53.968200000000003</v>
      </c>
      <c r="H126" s="66">
        <f t="shared" ref="H126:J126" si="656">H122*$C$9</f>
        <v>65.243750000000006</v>
      </c>
      <c r="I126" s="66">
        <f t="shared" si="656"/>
        <v>44.916300000000007</v>
      </c>
      <c r="J126" s="66">
        <f t="shared" si="656"/>
        <v>47.333000000000006</v>
      </c>
      <c r="K126" s="67">
        <f>G126*Conv!$J$20/10^6/Conv!$C$47/Conv!$I$5</f>
        <v>12.982647892483834</v>
      </c>
      <c r="L126" s="67">
        <f>H126*Conv!$J$20/10^6/Conv!$C$47/Conv!$I$5</f>
        <v>15.695106255818095</v>
      </c>
      <c r="M126" s="67" t="e">
        <f>L126*#REF!</f>
        <v>#REF!</v>
      </c>
      <c r="N126" s="67" t="e">
        <f>M126*#REF!</f>
        <v>#REF!</v>
      </c>
      <c r="O126" s="67" t="e">
        <f>N126*#REF!</f>
        <v>#REF!</v>
      </c>
      <c r="P126" s="67" t="e">
        <f>O126*#REF!</f>
        <v>#REF!</v>
      </c>
      <c r="Q126" s="67" t="e">
        <f>P126*#REF!</f>
        <v>#REF!</v>
      </c>
      <c r="R126" s="67" t="e">
        <f>Q126*#REF!</f>
        <v>#REF!</v>
      </c>
      <c r="S126" s="67" t="e">
        <f>R126*#REF!</f>
        <v>#REF!</v>
      </c>
      <c r="T126" s="67" t="e">
        <f>S126*#REF!</f>
        <v>#REF!</v>
      </c>
      <c r="U126" s="67" t="e">
        <f>T126*#REF!</f>
        <v>#REF!</v>
      </c>
      <c r="V126" s="42"/>
      <c r="W126" s="83">
        <f>W122*$E$9</f>
        <v>154.97299999999998</v>
      </c>
      <c r="X126" s="83">
        <f t="shared" ref="X126:Z126" si="657">X122*$E$9</f>
        <v>266.05799999999999</v>
      </c>
      <c r="Y126" s="83">
        <f t="shared" si="657"/>
        <v>31.915000000000003</v>
      </c>
      <c r="Z126" s="83">
        <f t="shared" si="657"/>
        <v>35.243000000000002</v>
      </c>
      <c r="AA126" s="82">
        <f>W126*Conv!$C$47*Conv!$I$5*1000*365</f>
        <v>360.81697094452483</v>
      </c>
      <c r="AB126" s="82">
        <f>X126*Conv!$C$47*Conv!$I$5*1000*365</f>
        <v>619.45139898923298</v>
      </c>
      <c r="AC126" s="82">
        <f>Y126*Conv!$C$47*Conv!$I$5*1000*365</f>
        <v>74.30632192507413</v>
      </c>
      <c r="AD126" s="82">
        <f>Z126*Conv!$C$47*Conv!$I$5*1000*365</f>
        <v>82.054761197098145</v>
      </c>
      <c r="AE126" s="82">
        <f>AA126-AA125</f>
        <v>27.755151611117242</v>
      </c>
      <c r="AF126" s="82">
        <f t="shared" ref="AF126" si="658">AB126-AB125</f>
        <v>47.650107614556418</v>
      </c>
      <c r="AG126" s="82">
        <f t="shared" ref="AG126" si="659">AC126-AC125</f>
        <v>5.7158709173133957</v>
      </c>
      <c r="AH126" s="82">
        <f t="shared" ref="AH126" si="660">AD126-AD125</f>
        <v>6.3119047074690968</v>
      </c>
      <c r="AI126" s="53"/>
    </row>
    <row r="127" spans="1:37" ht="14.25" customHeight="1">
      <c r="A127" s="9" t="str">
        <f>'Agg crdcrv'!C86</f>
        <v>FHV</v>
      </c>
      <c r="B127" s="9" t="str">
        <f t="shared" si="420"/>
        <v>IMPOILHV53</v>
      </c>
      <c r="C127" s="9" t="str">
        <f>CONCATENATE("Imported ",VLOOKUP($A127,Types!$A$13:$C$18,3,FALSE),", PADD ",RIGHT(F127,1),", Step ",RIGHT(E127,1))</f>
        <v>Imported Imported Oil-High Sulfur, Very HG, PADD 5, Step 3</v>
      </c>
      <c r="D127" s="9" t="str">
        <f>CONCATENATE(VLOOKUP($A127,Types!$A$14:$C$18,2,FALSE),RIGHT(F127,1))</f>
        <v>OILHV5</v>
      </c>
      <c r="E127" s="9">
        <v>3</v>
      </c>
      <c r="F127" s="9" t="str">
        <f>'Agg crdcrv'!D86</f>
        <v>P5</v>
      </c>
      <c r="G127" s="66">
        <f>'Agg crdcrv'!H86*K5</f>
        <v>28.6</v>
      </c>
      <c r="H127" s="66">
        <f>'Agg crdcrv'!H91*K5</f>
        <v>45.993750000000006</v>
      </c>
      <c r="I127" s="66">
        <f>'Agg crdcrv'!H96*K5</f>
        <v>31.251000000000001</v>
      </c>
      <c r="J127" s="66">
        <f>'Agg crdcrv'!H101*K5</f>
        <v>33.088000000000001</v>
      </c>
      <c r="K127" s="67">
        <f>G127*Conv!$J$20/10^6/Conv!$C$47/Conv!$I$5</f>
        <v>6.8800465778928626</v>
      </c>
      <c r="L127" s="67">
        <f>H127*Conv!$J$20/10^6/Conv!$C$47/Conv!$I$5</f>
        <v>11.064305674544054</v>
      </c>
      <c r="M127" s="67" t="e">
        <f>L127*#REF!</f>
        <v>#REF!</v>
      </c>
      <c r="N127" s="67" t="e">
        <f>M127*#REF!</f>
        <v>#REF!</v>
      </c>
      <c r="O127" s="67" t="e">
        <f>N127*#REF!</f>
        <v>#REF!</v>
      </c>
      <c r="P127" s="67" t="e">
        <f>O127*#REF!</f>
        <v>#REF!</v>
      </c>
      <c r="Q127" s="67" t="e">
        <f>P127*#REF!</f>
        <v>#REF!</v>
      </c>
      <c r="R127" s="67" t="e">
        <f>Q127*#REF!</f>
        <v>#REF!</v>
      </c>
      <c r="S127" s="67" t="e">
        <f>R127*#REF!</f>
        <v>#REF!</v>
      </c>
      <c r="T127" s="67" t="e">
        <f>S127*#REF!</f>
        <v>#REF!</v>
      </c>
      <c r="U127" s="67" t="e">
        <f>T127*#REF!</f>
        <v>#REF!</v>
      </c>
      <c r="V127" s="42"/>
      <c r="W127" s="9">
        <f>'Agg crdcrv'!F86</f>
        <v>179.98</v>
      </c>
      <c r="X127" s="9">
        <f>'Agg crdcrv'!F91</f>
        <v>185.27</v>
      </c>
      <c r="Y127" s="9">
        <f>'Agg crdcrv'!F96</f>
        <v>20.32</v>
      </c>
      <c r="Z127" s="9">
        <f>'Agg crdcrv'!F101</f>
        <v>22.43</v>
      </c>
      <c r="AA127" s="82">
        <f>W127*Conv!$C$47*Conv!$I$5*1000*365</f>
        <v>419.03969356336643</v>
      </c>
      <c r="AB127" s="82">
        <f>X127*Conv!$C$47*Conv!$I$5*1000*365</f>
        <v>431.35617305525562</v>
      </c>
      <c r="AC127" s="82">
        <f>Y127*Conv!$C$47*Conv!$I$5*1000*365</f>
        <v>47.310182093608205</v>
      </c>
      <c r="AD127" s="82">
        <f>Z127*Conv!$C$47*Conv!$I$5*1000*365</f>
        <v>52.222804348407088</v>
      </c>
      <c r="AE127" s="82">
        <f>AA127-AA129</f>
        <v>335.23175485069311</v>
      </c>
      <c r="AF127" s="82">
        <f t="shared" ref="AF127" si="661">AB127-AB129</f>
        <v>345.08493844420451</v>
      </c>
      <c r="AG127" s="82">
        <f t="shared" ref="AG127" si="662">AC127-AC129</f>
        <v>37.848145674886567</v>
      </c>
      <c r="AH127" s="82">
        <f t="shared" ref="AH127" si="663">AD127-AD129</f>
        <v>41.77824347872567</v>
      </c>
    </row>
    <row r="128" spans="1:37" ht="14.25" customHeight="1">
      <c r="A128" s="9" t="str">
        <f>A127</f>
        <v>FHV</v>
      </c>
      <c r="B128" s="9" t="str">
        <f t="shared" si="420"/>
        <v>IMPOILHV51</v>
      </c>
      <c r="C128" s="9" t="str">
        <f>CONCATENATE("Imported ",VLOOKUP($A128,Types!$A$13:$C$18,3,FALSE),", PADD ",RIGHT(F128,1),", Step ",RIGHT(E128,1))</f>
        <v>Imported Imported Oil-High Sulfur, Very HG, PADD 5, Step 1</v>
      </c>
      <c r="D128" s="9" t="str">
        <f>D127</f>
        <v>OILHV5</v>
      </c>
      <c r="E128" s="9">
        <v>1</v>
      </c>
      <c r="F128" s="9" t="str">
        <f>F127</f>
        <v>P5</v>
      </c>
      <c r="G128" s="66">
        <f>G127*$C$5</f>
        <v>25.740000000000002</v>
      </c>
      <c r="H128" s="66">
        <f t="shared" ref="H128" si="664">H127*$C$5</f>
        <v>41.394375000000004</v>
      </c>
      <c r="I128" s="66">
        <f t="shared" ref="I128" si="665">I127*$C$5</f>
        <v>28.125900000000001</v>
      </c>
      <c r="J128" s="66">
        <f t="shared" ref="J128" si="666">J127*$C$5</f>
        <v>29.779200000000003</v>
      </c>
      <c r="K128" s="67">
        <f>G128*Conv!$J$20/10^6/Conv!$C$47/Conv!$I$5</f>
        <v>6.192041920103577</v>
      </c>
      <c r="L128" s="67">
        <f>H128*Conv!$J$20/10^6/Conv!$C$47/Conv!$I$5</f>
        <v>9.9578751070896452</v>
      </c>
      <c r="M128" s="67" t="e">
        <f>L128*#REF!</f>
        <v>#REF!</v>
      </c>
      <c r="N128" s="67" t="e">
        <f>M128*#REF!</f>
        <v>#REF!</v>
      </c>
      <c r="O128" s="67" t="e">
        <f>N128*#REF!</f>
        <v>#REF!</v>
      </c>
      <c r="P128" s="67" t="e">
        <f>O128*#REF!</f>
        <v>#REF!</v>
      </c>
      <c r="Q128" s="67" t="e">
        <f>P128*#REF!</f>
        <v>#REF!</v>
      </c>
      <c r="R128" s="67" t="e">
        <f>Q128*#REF!</f>
        <v>#REF!</v>
      </c>
      <c r="S128" s="67" t="e">
        <f>R128*#REF!</f>
        <v>#REF!</v>
      </c>
      <c r="T128" s="67" t="e">
        <f>S128*#REF!</f>
        <v>#REF!</v>
      </c>
      <c r="U128" s="67" t="e">
        <f>T128*#REF!</f>
        <v>#REF!</v>
      </c>
      <c r="V128" s="42"/>
      <c r="W128" s="83">
        <f>W127*$E$5</f>
        <v>17.998000000000001</v>
      </c>
      <c r="X128" s="83">
        <f t="shared" ref="X128" si="667">X127*$E$5</f>
        <v>18.527000000000001</v>
      </c>
      <c r="Y128" s="83">
        <f t="shared" ref="Y128" si="668">Y127*$E$5</f>
        <v>2.032</v>
      </c>
      <c r="Z128" s="83">
        <f t="shared" ref="Z128" si="669">Z127*$E$5</f>
        <v>2.2429999999999999</v>
      </c>
      <c r="AA128" s="82">
        <f>W128*Conv!$C$47*Conv!$I$5*1000*365</f>
        <v>41.903969356336653</v>
      </c>
      <c r="AB128" s="82">
        <f>X128*Conv!$C$47*Conv!$I$5*1000*365</f>
        <v>43.135617305525564</v>
      </c>
      <c r="AC128" s="82">
        <f>Y128*Conv!$C$47*Conv!$I$5*1000*365</f>
        <v>4.7310182093608208</v>
      </c>
      <c r="AD128" s="82">
        <f>Z128*Conv!$C$47*Conv!$I$5*1000*365</f>
        <v>5.2222804348407097</v>
      </c>
      <c r="AE128" s="82">
        <f>AA128</f>
        <v>41.903969356336653</v>
      </c>
      <c r="AF128" s="82">
        <f t="shared" ref="AF128" si="670">AB128</f>
        <v>43.135617305525564</v>
      </c>
      <c r="AG128" s="82">
        <f t="shared" ref="AG128" si="671">AC128</f>
        <v>4.7310182093608208</v>
      </c>
      <c r="AH128" s="82">
        <f t="shared" ref="AH128" si="672">AD128</f>
        <v>5.2222804348407097</v>
      </c>
      <c r="AI128" s="53"/>
    </row>
    <row r="129" spans="1:35" ht="14.25" customHeight="1">
      <c r="A129" s="9" t="str">
        <f t="shared" ref="A129:A131" si="673">A128</f>
        <v>FHV</v>
      </c>
      <c r="B129" s="9" t="str">
        <f t="shared" si="420"/>
        <v>IMPOILHV52</v>
      </c>
      <c r="C129" s="9" t="str">
        <f>CONCATENATE("Imported ",VLOOKUP($A129,Types!$A$13:$C$18,3,FALSE),", PADD ",RIGHT(F129,1),", Step ",RIGHT(E129,1))</f>
        <v>Imported Imported Oil-High Sulfur, Very HG, PADD 5, Step 2</v>
      </c>
      <c r="D129" s="9" t="str">
        <f t="shared" ref="D129:D131" si="674">D128</f>
        <v>OILHV5</v>
      </c>
      <c r="E129" s="9">
        <v>2</v>
      </c>
      <c r="F129" s="9" t="str">
        <f t="shared" ref="F129:F131" si="675">F128</f>
        <v>P5</v>
      </c>
      <c r="G129" s="66">
        <f>G127*$C$6</f>
        <v>27.17</v>
      </c>
      <c r="H129" s="66">
        <f t="shared" ref="H129:J129" si="676">H127*$C$6</f>
        <v>43.694062500000001</v>
      </c>
      <c r="I129" s="66">
        <f t="shared" si="676"/>
        <v>29.68845</v>
      </c>
      <c r="J129" s="66">
        <f t="shared" si="676"/>
        <v>31.433599999999998</v>
      </c>
      <c r="K129" s="67">
        <f>G129*Conv!$J$20/10^6/Conv!$C$47/Conv!$I$5</f>
        <v>6.5360442489982198</v>
      </c>
      <c r="L129" s="67">
        <f>H129*Conv!$J$20/10^6/Conv!$C$47/Conv!$I$5</f>
        <v>10.511090390816848</v>
      </c>
      <c r="M129" s="67" t="e">
        <f>L129*#REF!</f>
        <v>#REF!</v>
      </c>
      <c r="N129" s="67" t="e">
        <f>M129*#REF!</f>
        <v>#REF!</v>
      </c>
      <c r="O129" s="67" t="e">
        <f>N129*#REF!</f>
        <v>#REF!</v>
      </c>
      <c r="P129" s="67" t="e">
        <f>O129*#REF!</f>
        <v>#REF!</v>
      </c>
      <c r="Q129" s="67" t="e">
        <f>P129*#REF!</f>
        <v>#REF!</v>
      </c>
      <c r="R129" s="67" t="e">
        <f>Q129*#REF!</f>
        <v>#REF!</v>
      </c>
      <c r="S129" s="67" t="e">
        <f>R129*#REF!</f>
        <v>#REF!</v>
      </c>
      <c r="T129" s="67" t="e">
        <f>S129*#REF!</f>
        <v>#REF!</v>
      </c>
      <c r="U129" s="67" t="e">
        <f>T129*#REF!</f>
        <v>#REF!</v>
      </c>
      <c r="V129" s="42"/>
      <c r="W129" s="83">
        <f>W127*$E$6</f>
        <v>35.996000000000002</v>
      </c>
      <c r="X129" s="83">
        <f t="shared" ref="X129:Z129" si="677">X127*$E$6</f>
        <v>37.054000000000002</v>
      </c>
      <c r="Y129" s="83">
        <f t="shared" si="677"/>
        <v>4.0640000000000001</v>
      </c>
      <c r="Z129" s="83">
        <f t="shared" si="677"/>
        <v>4.4859999999999998</v>
      </c>
      <c r="AA129" s="82">
        <f>W129*Conv!$C$47*Conv!$I$5*1000*365</f>
        <v>83.807938712673305</v>
      </c>
      <c r="AB129" s="82">
        <f>X129*Conv!$C$47*Conv!$I$5*1000*365</f>
        <v>86.271234611051128</v>
      </c>
      <c r="AC129" s="82">
        <f>Y129*Conv!$C$47*Conv!$I$5*1000*365</f>
        <v>9.4620364187216417</v>
      </c>
      <c r="AD129" s="82">
        <f>Z129*Conv!$C$47*Conv!$I$5*1000*365</f>
        <v>10.444560869681419</v>
      </c>
      <c r="AE129" s="82">
        <f>AA129-AE128</f>
        <v>41.903969356336653</v>
      </c>
      <c r="AF129" s="82">
        <f t="shared" ref="AF129" si="678">AB129-AF128</f>
        <v>43.135617305525564</v>
      </c>
      <c r="AG129" s="82">
        <f t="shared" ref="AG129" si="679">AC129-AG128</f>
        <v>4.7310182093608208</v>
      </c>
      <c r="AH129" s="82">
        <f t="shared" ref="AH129" si="680">AD129-AH128</f>
        <v>5.2222804348407097</v>
      </c>
      <c r="AI129" s="53"/>
    </row>
    <row r="130" spans="1:35" ht="14.25" customHeight="1">
      <c r="A130" s="9" t="str">
        <f t="shared" si="673"/>
        <v>FHV</v>
      </c>
      <c r="B130" s="9" t="str">
        <f t="shared" si="420"/>
        <v>IMPOILHV54</v>
      </c>
      <c r="C130" s="9" t="str">
        <f>CONCATENATE("Imported ",VLOOKUP($A130,Types!$A$13:$C$18,3,FALSE),", PADD ",RIGHT(F130,1),", Step ",RIGHT(E130,1))</f>
        <v>Imported Imported Oil-High Sulfur, Very HG, PADD 5, Step 4</v>
      </c>
      <c r="D130" s="9" t="str">
        <f t="shared" si="674"/>
        <v>OILHV5</v>
      </c>
      <c r="E130" s="9">
        <v>4</v>
      </c>
      <c r="F130" s="9" t="str">
        <f t="shared" si="675"/>
        <v>P5</v>
      </c>
      <c r="G130" s="66">
        <f>G127*$C$8</f>
        <v>30.03</v>
      </c>
      <c r="H130" s="66">
        <f t="shared" ref="H130:J130" si="681">H127*$C$8</f>
        <v>48.29343750000001</v>
      </c>
      <c r="I130" s="66">
        <f t="shared" si="681"/>
        <v>32.813549999999999</v>
      </c>
      <c r="J130" s="66">
        <f t="shared" si="681"/>
        <v>34.742400000000004</v>
      </c>
      <c r="K130" s="67">
        <f>G130*Conv!$J$20/10^6/Conv!$C$47/Conv!$I$5</f>
        <v>7.2240489067875053</v>
      </c>
      <c r="L130" s="67">
        <f>H130*Conv!$J$20/10^6/Conv!$C$47/Conv!$I$5</f>
        <v>11.617520958271253</v>
      </c>
      <c r="M130" s="67" t="e">
        <f>L130*#REF!</f>
        <v>#REF!</v>
      </c>
      <c r="N130" s="67" t="e">
        <f>M130*#REF!</f>
        <v>#REF!</v>
      </c>
      <c r="O130" s="67" t="e">
        <f>N130*#REF!</f>
        <v>#REF!</v>
      </c>
      <c r="P130" s="67" t="e">
        <f>O130*#REF!</f>
        <v>#REF!</v>
      </c>
      <c r="Q130" s="67" t="e">
        <f>P130*#REF!</f>
        <v>#REF!</v>
      </c>
      <c r="R130" s="67" t="e">
        <f>Q130*#REF!</f>
        <v>#REF!</v>
      </c>
      <c r="S130" s="67" t="e">
        <f>R130*#REF!</f>
        <v>#REF!</v>
      </c>
      <c r="T130" s="67" t="e">
        <f>S130*#REF!</f>
        <v>#REF!</v>
      </c>
      <c r="U130" s="67" t="e">
        <f>T130*#REF!</f>
        <v>#REF!</v>
      </c>
      <c r="V130" s="42"/>
      <c r="W130" s="83">
        <f>W127*$E$8</f>
        <v>215.97599999999997</v>
      </c>
      <c r="X130" s="83">
        <f t="shared" ref="X130:Z130" si="682">X127*$E$8</f>
        <v>222.32400000000001</v>
      </c>
      <c r="Y130" s="83">
        <f t="shared" si="682"/>
        <v>24.384</v>
      </c>
      <c r="Z130" s="83">
        <f t="shared" si="682"/>
        <v>26.916</v>
      </c>
      <c r="AA130" s="82">
        <f>W130*Conv!$C$47*Conv!$I$5*1000*365</f>
        <v>502.84763227603963</v>
      </c>
      <c r="AB130" s="82">
        <f>X130*Conv!$C$47*Conv!$I$5*1000*365</f>
        <v>517.62740766630668</v>
      </c>
      <c r="AC130" s="82">
        <f>Y130*Conv!$C$47*Conv!$I$5*1000*365</f>
        <v>56.772218512329857</v>
      </c>
      <c r="AD130" s="82">
        <f>Z130*Conv!$C$47*Conv!$I$5*1000*365</f>
        <v>62.66736521808852</v>
      </c>
      <c r="AE130" s="82">
        <f>AA130-AA127</f>
        <v>83.807938712673206</v>
      </c>
      <c r="AF130" s="82">
        <f t="shared" ref="AF130" si="683">AB130-AB127</f>
        <v>86.271234611051057</v>
      </c>
      <c r="AG130" s="82">
        <f t="shared" ref="AG130" si="684">AC130-AC127</f>
        <v>9.4620364187216524</v>
      </c>
      <c r="AH130" s="82">
        <f t="shared" ref="AH130" si="685">AD130-AD127</f>
        <v>10.444560869681432</v>
      </c>
      <c r="AI130" s="53"/>
    </row>
    <row r="131" spans="1:35" ht="14.25" customHeight="1">
      <c r="A131" s="9" t="str">
        <f t="shared" si="673"/>
        <v>FHV</v>
      </c>
      <c r="B131" s="9" t="str">
        <f t="shared" si="420"/>
        <v>IMPOILHV55</v>
      </c>
      <c r="C131" s="9" t="str">
        <f>CONCATENATE("Imported ",VLOOKUP($A131,Types!$A$13:$C$18,3,FALSE),", PADD ",RIGHT(F131,1),", Step ",RIGHT(E131,1))</f>
        <v>Imported Imported Oil-High Sulfur, Very HG, PADD 5, Step 5</v>
      </c>
      <c r="D131" s="9" t="str">
        <f t="shared" si="674"/>
        <v>OILHV5</v>
      </c>
      <c r="E131" s="9">
        <v>5</v>
      </c>
      <c r="F131" s="9" t="str">
        <f t="shared" si="675"/>
        <v>P5</v>
      </c>
      <c r="G131" s="66">
        <f>G127*$C$9</f>
        <v>37.18</v>
      </c>
      <c r="H131" s="66">
        <f t="shared" ref="H131:J131" si="686">H127*$C$9</f>
        <v>59.791875000000012</v>
      </c>
      <c r="I131" s="66">
        <f t="shared" si="686"/>
        <v>40.626300000000001</v>
      </c>
      <c r="J131" s="66">
        <f t="shared" si="686"/>
        <v>43.014400000000002</v>
      </c>
      <c r="K131" s="67">
        <f>G131*Conv!$J$20/10^6/Conv!$C$47/Conv!$I$5</f>
        <v>8.944060551260721</v>
      </c>
      <c r="L131" s="67">
        <f>H131*Conv!$J$20/10^6/Conv!$C$47/Conv!$I$5</f>
        <v>14.383597376907268</v>
      </c>
      <c r="M131" s="67" t="e">
        <f>L131*#REF!</f>
        <v>#REF!</v>
      </c>
      <c r="N131" s="67" t="e">
        <f>M131*#REF!</f>
        <v>#REF!</v>
      </c>
      <c r="O131" s="67" t="e">
        <f>N131*#REF!</f>
        <v>#REF!</v>
      </c>
      <c r="P131" s="67" t="e">
        <f>O131*#REF!</f>
        <v>#REF!</v>
      </c>
      <c r="Q131" s="67" t="e">
        <f>P131*#REF!</f>
        <v>#REF!</v>
      </c>
      <c r="R131" s="67" t="e">
        <f>Q131*#REF!</f>
        <v>#REF!</v>
      </c>
      <c r="S131" s="67" t="e">
        <f>R131*#REF!</f>
        <v>#REF!</v>
      </c>
      <c r="T131" s="67" t="e">
        <f>S131*#REF!</f>
        <v>#REF!</v>
      </c>
      <c r="U131" s="67" t="e">
        <f>T131*#REF!</f>
        <v>#REF!</v>
      </c>
      <c r="V131" s="42"/>
      <c r="W131" s="83">
        <f>W127*$E$9</f>
        <v>233.97399999999999</v>
      </c>
      <c r="X131" s="83">
        <f t="shared" ref="X131:Z131" si="687">X127*$E$9</f>
        <v>240.85100000000003</v>
      </c>
      <c r="Y131" s="83">
        <f t="shared" si="687"/>
        <v>26.416</v>
      </c>
      <c r="Z131" s="83">
        <f t="shared" si="687"/>
        <v>29.158999999999999</v>
      </c>
      <c r="AA131" s="82">
        <f>W131*Conv!$C$47*Conv!$I$5*1000*365</f>
        <v>544.75160163237638</v>
      </c>
      <c r="AB131" s="82">
        <f>X131*Conv!$C$47*Conv!$I$5*1000*365</f>
        <v>560.76302497183224</v>
      </c>
      <c r="AC131" s="82">
        <f>Y131*Conv!$C$47*Conv!$I$5*1000*365</f>
        <v>61.503236721690676</v>
      </c>
      <c r="AD131" s="82">
        <f>Z131*Conv!$C$47*Conv!$I$5*1000*365</f>
        <v>67.889645652929232</v>
      </c>
      <c r="AE131" s="82">
        <f>AA131-AA130</f>
        <v>41.903969356336745</v>
      </c>
      <c r="AF131" s="82">
        <f t="shared" ref="AF131" si="688">AB131-AB130</f>
        <v>43.135617305525557</v>
      </c>
      <c r="AG131" s="82">
        <f t="shared" ref="AG131" si="689">AC131-AC130</f>
        <v>4.7310182093608191</v>
      </c>
      <c r="AH131" s="82">
        <f t="shared" ref="AH131" si="690">AD131-AD130</f>
        <v>5.2222804348407124</v>
      </c>
      <c r="AI131" s="53"/>
    </row>
    <row r="132" spans="1:35" ht="14.25" customHeight="1">
      <c r="A132" s="9" t="str">
        <f>'Agg crdcrv'!C87</f>
        <v>FLL</v>
      </c>
      <c r="B132" s="9" t="str">
        <f t="shared" si="420"/>
        <v>IMPOILLL53</v>
      </c>
      <c r="C132" s="9" t="str">
        <f>CONCATENATE("Imported ",VLOOKUP($A132,Types!$A$13:$C$18,3,FALSE),", PADD ",RIGHT(F132,1),", Step ",RIGHT(E132,1))</f>
        <v>Imported Imported Oil-Low Sulfur, Low G, PADD 5, Step 3</v>
      </c>
      <c r="D132" s="9" t="str">
        <f>CONCATENATE(VLOOKUP($A132,Types!$A$14:$C$18,2,FALSE),RIGHT(F132,1))</f>
        <v>OILLL5</v>
      </c>
      <c r="E132" s="9">
        <v>3</v>
      </c>
      <c r="F132" s="9" t="str">
        <f>'Agg crdcrv'!D87</f>
        <v>P5</v>
      </c>
      <c r="G132" s="66">
        <f>'Agg crdcrv'!H87*K5</f>
        <v>40.260000000000005</v>
      </c>
      <c r="H132" s="66">
        <f>'Agg crdcrv'!H92*K5</f>
        <v>60.981250000000003</v>
      </c>
      <c r="I132" s="66">
        <f>'Agg crdcrv'!H97*K5</f>
        <v>42.283999999999999</v>
      </c>
      <c r="J132" s="66">
        <f>'Agg crdcrv'!H102*K5</f>
        <v>44.440000000000005</v>
      </c>
      <c r="K132" s="67">
        <f>G132*Conv!$J$20/10^6/Conv!$C$47/Conv!$I$5</f>
        <v>9.6849886442645694</v>
      </c>
      <c r="L132" s="67">
        <f>H132*Conv!$J$20/10^6/Conv!$C$47/Conv!$I$5</f>
        <v>14.669714698535982</v>
      </c>
      <c r="M132" s="67" t="e">
        <f>L132*#REF!</f>
        <v>#REF!</v>
      </c>
      <c r="N132" s="67" t="e">
        <f>M132*#REF!</f>
        <v>#REF!</v>
      </c>
      <c r="O132" s="67" t="e">
        <f>N132*#REF!</f>
        <v>#REF!</v>
      </c>
      <c r="P132" s="67" t="e">
        <f>O132*#REF!</f>
        <v>#REF!</v>
      </c>
      <c r="Q132" s="67" t="e">
        <f>P132*#REF!</f>
        <v>#REF!</v>
      </c>
      <c r="R132" s="67" t="e">
        <f>Q132*#REF!</f>
        <v>#REF!</v>
      </c>
      <c r="S132" s="67" t="e">
        <f>R132*#REF!</f>
        <v>#REF!</v>
      </c>
      <c r="T132" s="67" t="e">
        <f>S132*#REF!</f>
        <v>#REF!</v>
      </c>
      <c r="U132" s="67" t="e">
        <f>T132*#REF!</f>
        <v>#REF!</v>
      </c>
      <c r="V132" s="42"/>
      <c r="W132" s="9">
        <f>'Agg crdcrv'!F87</f>
        <v>154.94999999999999</v>
      </c>
      <c r="X132" s="9">
        <f>'Agg crdcrv'!F92</f>
        <v>263.88</v>
      </c>
      <c r="Y132" s="9">
        <f>'Agg crdcrv'!F97</f>
        <v>2.4900000000000002</v>
      </c>
      <c r="Z132" s="9">
        <f>'Agg crdcrv'!F102</f>
        <v>2.75</v>
      </c>
      <c r="AA132" s="82">
        <f>W132*Conv!$C$47*Conv!$I$5*1000*365</f>
        <v>360.76342103369052</v>
      </c>
      <c r="AB132" s="82">
        <f>X132*Conv!$C$47*Conv!$I$5*1000*365</f>
        <v>614.38045525892392</v>
      </c>
      <c r="AC132" s="82">
        <f>Y132*Conv!$C$47*Conv!$I$5*1000*365</f>
        <v>5.7973599120612436</v>
      </c>
      <c r="AD132" s="82">
        <f>Z132*Conv!$C$47*Conv!$I$5*1000*365</f>
        <v>6.4027067301881209</v>
      </c>
      <c r="AE132" s="82">
        <f>AA132-AA134</f>
        <v>288.6107368269524</v>
      </c>
      <c r="AF132" s="82">
        <f t="shared" ref="AF132" si="691">AB132-AB134</f>
        <v>491.50436420713913</v>
      </c>
      <c r="AG132" s="82">
        <f t="shared" ref="AG132" si="692">AC132-AC134</f>
        <v>4.6378879296489952</v>
      </c>
      <c r="AH132" s="82">
        <f t="shared" ref="AH132" si="693">AD132-AD134</f>
        <v>5.122165384150497</v>
      </c>
    </row>
    <row r="133" spans="1:35" ht="14.25" customHeight="1">
      <c r="A133" s="9" t="str">
        <f>A132</f>
        <v>FLL</v>
      </c>
      <c r="B133" s="9" t="str">
        <f t="shared" si="420"/>
        <v>IMPOILLL51</v>
      </c>
      <c r="C133" s="9" t="str">
        <f>CONCATENATE("Imported ",VLOOKUP($A133,Types!$A$13:$C$18,3,FALSE),", PADD ",RIGHT(F133,1),", Step ",RIGHT(E133,1))</f>
        <v>Imported Imported Oil-Low Sulfur, Low G, PADD 5, Step 1</v>
      </c>
      <c r="D133" s="9" t="str">
        <f>D132</f>
        <v>OILLL5</v>
      </c>
      <c r="E133" s="9">
        <v>1</v>
      </c>
      <c r="F133" s="9" t="str">
        <f>F132</f>
        <v>P5</v>
      </c>
      <c r="G133" s="66">
        <f>G132*$C$5</f>
        <v>36.234000000000009</v>
      </c>
      <c r="H133" s="66">
        <f t="shared" ref="H133" si="694">H132*$C$5</f>
        <v>54.883125000000007</v>
      </c>
      <c r="I133" s="66">
        <f t="shared" ref="I133" si="695">I132*$C$5</f>
        <v>38.055599999999998</v>
      </c>
      <c r="J133" s="66">
        <f t="shared" ref="J133" si="696">J132*$C$5</f>
        <v>39.996000000000002</v>
      </c>
      <c r="K133" s="67">
        <f>G133*Conv!$J$20/10^6/Conv!$C$47/Conv!$I$5</f>
        <v>8.7164897798381133</v>
      </c>
      <c r="L133" s="67">
        <f>H133*Conv!$J$20/10^6/Conv!$C$47/Conv!$I$5</f>
        <v>13.202743228682387</v>
      </c>
      <c r="M133" s="67" t="e">
        <f>L133*#REF!</f>
        <v>#REF!</v>
      </c>
      <c r="N133" s="67" t="e">
        <f>M133*#REF!</f>
        <v>#REF!</v>
      </c>
      <c r="O133" s="67" t="e">
        <f>N133*#REF!</f>
        <v>#REF!</v>
      </c>
      <c r="P133" s="67" t="e">
        <f>O133*#REF!</f>
        <v>#REF!</v>
      </c>
      <c r="Q133" s="67" t="e">
        <f>P133*#REF!</f>
        <v>#REF!</v>
      </c>
      <c r="R133" s="67" t="e">
        <f>Q133*#REF!</f>
        <v>#REF!</v>
      </c>
      <c r="S133" s="67" t="e">
        <f>R133*#REF!</f>
        <v>#REF!</v>
      </c>
      <c r="T133" s="67" t="e">
        <f>S133*#REF!</f>
        <v>#REF!</v>
      </c>
      <c r="U133" s="67" t="e">
        <f>T133*#REF!</f>
        <v>#REF!</v>
      </c>
      <c r="V133" s="42"/>
      <c r="W133" s="83">
        <f>W132*$E$5</f>
        <v>15.494999999999999</v>
      </c>
      <c r="X133" s="83">
        <f t="shared" ref="X133" si="697">X132*$E$5</f>
        <v>26.388000000000002</v>
      </c>
      <c r="Y133" s="83">
        <f t="shared" ref="Y133" si="698">Y132*$E$5</f>
        <v>0.24900000000000003</v>
      </c>
      <c r="Z133" s="83">
        <f t="shared" ref="Z133" si="699">Z132*$E$5</f>
        <v>0.27500000000000002</v>
      </c>
      <c r="AA133" s="82">
        <f>W133*Conv!$C$47*Conv!$I$5*1000*365</f>
        <v>36.076342103369058</v>
      </c>
      <c r="AB133" s="82">
        <f>X133*Conv!$C$47*Conv!$I$5*1000*365</f>
        <v>61.438045525892406</v>
      </c>
      <c r="AC133" s="82">
        <f>Y133*Conv!$C$47*Conv!$I$5*1000*365</f>
        <v>0.5797359912061244</v>
      </c>
      <c r="AD133" s="82">
        <f>Z133*Conv!$C$47*Conv!$I$5*1000*365</f>
        <v>0.64027067301881202</v>
      </c>
      <c r="AE133" s="82">
        <f>AA133</f>
        <v>36.076342103369058</v>
      </c>
      <c r="AF133" s="82">
        <f t="shared" ref="AF133" si="700">AB133</f>
        <v>61.438045525892406</v>
      </c>
      <c r="AG133" s="82">
        <f t="shared" ref="AG133" si="701">AC133</f>
        <v>0.5797359912061244</v>
      </c>
      <c r="AH133" s="82">
        <f t="shared" ref="AH133" si="702">AD133</f>
        <v>0.64027067301881202</v>
      </c>
      <c r="AI133" s="53"/>
    </row>
    <row r="134" spans="1:35" ht="14.25" customHeight="1">
      <c r="A134" s="9" t="str">
        <f t="shared" ref="A134:A136" si="703">A133</f>
        <v>FLL</v>
      </c>
      <c r="B134" s="9" t="str">
        <f t="shared" si="420"/>
        <v>IMPOILLL52</v>
      </c>
      <c r="C134" s="9" t="str">
        <f>CONCATENATE("Imported ",VLOOKUP($A134,Types!$A$13:$C$18,3,FALSE),", PADD ",RIGHT(F134,1),", Step ",RIGHT(E134,1))</f>
        <v>Imported Imported Oil-Low Sulfur, Low G, PADD 5, Step 2</v>
      </c>
      <c r="D134" s="9" t="str">
        <f t="shared" ref="D134:D136" si="704">D133</f>
        <v>OILLL5</v>
      </c>
      <c r="E134" s="9">
        <v>2</v>
      </c>
      <c r="F134" s="9" t="str">
        <f t="shared" ref="F134:F136" si="705">F133</f>
        <v>P5</v>
      </c>
      <c r="G134" s="66">
        <f>G132*$C$6</f>
        <v>38.247</v>
      </c>
      <c r="H134" s="66">
        <f t="shared" ref="H134:J134" si="706">H132*$C$6</f>
        <v>57.932187499999998</v>
      </c>
      <c r="I134" s="66">
        <f t="shared" si="706"/>
        <v>40.169799999999995</v>
      </c>
      <c r="J134" s="66">
        <f t="shared" si="706"/>
        <v>42.218000000000004</v>
      </c>
      <c r="K134" s="67">
        <f>G134*Conv!$J$20/10^6/Conv!$C$47/Conv!$I$5</f>
        <v>9.2007392120513387</v>
      </c>
      <c r="L134" s="67">
        <f>H134*Conv!$J$20/10^6/Conv!$C$47/Conv!$I$5</f>
        <v>13.936228963609183</v>
      </c>
      <c r="M134" s="67" t="e">
        <f>L134*#REF!</f>
        <v>#REF!</v>
      </c>
      <c r="N134" s="67" t="e">
        <f>M134*#REF!</f>
        <v>#REF!</v>
      </c>
      <c r="O134" s="67" t="e">
        <f>N134*#REF!</f>
        <v>#REF!</v>
      </c>
      <c r="P134" s="67" t="e">
        <f>O134*#REF!</f>
        <v>#REF!</v>
      </c>
      <c r="Q134" s="67" t="e">
        <f>P134*#REF!</f>
        <v>#REF!</v>
      </c>
      <c r="R134" s="67" t="e">
        <f>Q134*#REF!</f>
        <v>#REF!</v>
      </c>
      <c r="S134" s="67" t="e">
        <f>R134*#REF!</f>
        <v>#REF!</v>
      </c>
      <c r="T134" s="67" t="e">
        <f>S134*#REF!</f>
        <v>#REF!</v>
      </c>
      <c r="U134" s="67" t="e">
        <f>T134*#REF!</f>
        <v>#REF!</v>
      </c>
      <c r="V134" s="42"/>
      <c r="W134" s="83">
        <f>W132*$E$6</f>
        <v>30.99</v>
      </c>
      <c r="X134" s="83">
        <f t="shared" ref="X134:Z134" si="707">X132*$E$6</f>
        <v>52.776000000000003</v>
      </c>
      <c r="Y134" s="83">
        <f t="shared" si="707"/>
        <v>0.49800000000000005</v>
      </c>
      <c r="Z134" s="83">
        <f t="shared" si="707"/>
        <v>0.55000000000000004</v>
      </c>
      <c r="AA134" s="82">
        <f>W134*Conv!$C$47*Conv!$I$5*1000*365</f>
        <v>72.152684206738115</v>
      </c>
      <c r="AB134" s="82">
        <f>X134*Conv!$C$47*Conv!$I$5*1000*365</f>
        <v>122.87609105178481</v>
      </c>
      <c r="AC134" s="82">
        <f>Y134*Conv!$C$47*Conv!$I$5*1000*365</f>
        <v>1.1594719824122488</v>
      </c>
      <c r="AD134" s="82">
        <f>Z134*Conv!$C$47*Conv!$I$5*1000*365</f>
        <v>1.280541346037624</v>
      </c>
      <c r="AE134" s="82">
        <f>AA134-AE133</f>
        <v>36.076342103369058</v>
      </c>
      <c r="AF134" s="82">
        <f t="shared" ref="AF134" si="708">AB134-AF133</f>
        <v>61.438045525892406</v>
      </c>
      <c r="AG134" s="82">
        <f t="shared" ref="AG134" si="709">AC134-AG133</f>
        <v>0.5797359912061244</v>
      </c>
      <c r="AH134" s="82">
        <f t="shared" ref="AH134" si="710">AD134-AH133</f>
        <v>0.64027067301881202</v>
      </c>
      <c r="AI134" s="53"/>
    </row>
    <row r="135" spans="1:35" ht="14.25" customHeight="1">
      <c r="A135" s="9" t="str">
        <f t="shared" si="703"/>
        <v>FLL</v>
      </c>
      <c r="B135" s="9" t="str">
        <f t="shared" si="420"/>
        <v>IMPOILLL54</v>
      </c>
      <c r="C135" s="9" t="str">
        <f>CONCATENATE("Imported ",VLOOKUP($A135,Types!$A$13:$C$18,3,FALSE),", PADD ",RIGHT(F135,1),", Step ",RIGHT(E135,1))</f>
        <v>Imported Imported Oil-Low Sulfur, Low G, PADD 5, Step 4</v>
      </c>
      <c r="D135" s="9" t="str">
        <f t="shared" si="704"/>
        <v>OILLL5</v>
      </c>
      <c r="E135" s="9">
        <v>4</v>
      </c>
      <c r="F135" s="9" t="str">
        <f t="shared" si="705"/>
        <v>P5</v>
      </c>
      <c r="G135" s="66">
        <f>G132*$C$8</f>
        <v>42.27300000000001</v>
      </c>
      <c r="H135" s="66">
        <f t="shared" ref="H135:J135" si="711">H132*$C$8</f>
        <v>64.030312500000008</v>
      </c>
      <c r="I135" s="66">
        <f t="shared" si="711"/>
        <v>44.398200000000003</v>
      </c>
      <c r="J135" s="66">
        <f t="shared" si="711"/>
        <v>46.662000000000006</v>
      </c>
      <c r="K135" s="67">
        <f>G135*Conv!$J$20/10^6/Conv!$C$47/Conv!$I$5</f>
        <v>10.169238076477798</v>
      </c>
      <c r="L135" s="67">
        <f>H135*Conv!$J$20/10^6/Conv!$C$47/Conv!$I$5</f>
        <v>15.403200433462786</v>
      </c>
      <c r="M135" s="67" t="e">
        <f>L135*#REF!</f>
        <v>#REF!</v>
      </c>
      <c r="N135" s="67" t="e">
        <f>M135*#REF!</f>
        <v>#REF!</v>
      </c>
      <c r="O135" s="67" t="e">
        <f>N135*#REF!</f>
        <v>#REF!</v>
      </c>
      <c r="P135" s="67" t="e">
        <f>O135*#REF!</f>
        <v>#REF!</v>
      </c>
      <c r="Q135" s="67" t="e">
        <f>P135*#REF!</f>
        <v>#REF!</v>
      </c>
      <c r="R135" s="67" t="e">
        <f>Q135*#REF!</f>
        <v>#REF!</v>
      </c>
      <c r="S135" s="67" t="e">
        <f>R135*#REF!</f>
        <v>#REF!</v>
      </c>
      <c r="T135" s="67" t="e">
        <f>S135*#REF!</f>
        <v>#REF!</v>
      </c>
      <c r="U135" s="67" t="e">
        <f>T135*#REF!</f>
        <v>#REF!</v>
      </c>
      <c r="V135" s="42"/>
      <c r="W135" s="83">
        <f>W132*$E$8</f>
        <v>185.93999999999997</v>
      </c>
      <c r="X135" s="83">
        <f t="shared" ref="X135:Z135" si="712">X132*$E$8</f>
        <v>316.65600000000001</v>
      </c>
      <c r="Y135" s="83">
        <f t="shared" si="712"/>
        <v>2.988</v>
      </c>
      <c r="Z135" s="83">
        <f t="shared" si="712"/>
        <v>3.3</v>
      </c>
      <c r="AA135" s="82">
        <f>W135*Conv!$C$47*Conv!$I$5*1000*365</f>
        <v>432.91610524042869</v>
      </c>
      <c r="AB135" s="82">
        <f>X135*Conv!$C$47*Conv!$I$5*1000*365</f>
        <v>737.25654631070881</v>
      </c>
      <c r="AC135" s="82">
        <f>Y135*Conv!$C$47*Conv!$I$5*1000*365</f>
        <v>6.9568318944734902</v>
      </c>
      <c r="AD135" s="82">
        <f>Z135*Conv!$C$47*Conv!$I$5*1000*365</f>
        <v>7.6832480762257429</v>
      </c>
      <c r="AE135" s="82">
        <f>AA135-AA132</f>
        <v>72.152684206738172</v>
      </c>
      <c r="AF135" s="82">
        <f t="shared" ref="AF135" si="713">AB135-AB132</f>
        <v>122.8760910517849</v>
      </c>
      <c r="AG135" s="82">
        <f t="shared" ref="AG135" si="714">AC135-AC132</f>
        <v>1.1594719824122466</v>
      </c>
      <c r="AH135" s="82">
        <f t="shared" ref="AH135" si="715">AD135-AD132</f>
        <v>1.280541346037622</v>
      </c>
      <c r="AI135" s="53"/>
    </row>
    <row r="136" spans="1:35" ht="14.25" customHeight="1">
      <c r="A136" s="9" t="str">
        <f t="shared" si="703"/>
        <v>FLL</v>
      </c>
      <c r="B136" s="9" t="str">
        <f t="shared" si="420"/>
        <v>IMPOILLL55</v>
      </c>
      <c r="C136" s="9" t="str">
        <f>CONCATENATE("Imported ",VLOOKUP($A136,Types!$A$13:$C$18,3,FALSE),", PADD ",RIGHT(F136,1),", Step ",RIGHT(E136,1))</f>
        <v>Imported Imported Oil-Low Sulfur, Low G, PADD 5, Step 5</v>
      </c>
      <c r="D136" s="9" t="str">
        <f t="shared" si="704"/>
        <v>OILLL5</v>
      </c>
      <c r="E136" s="9">
        <v>5</v>
      </c>
      <c r="F136" s="9" t="str">
        <f t="shared" si="705"/>
        <v>P5</v>
      </c>
      <c r="G136" s="66">
        <f>G132*$C$9</f>
        <v>52.338000000000008</v>
      </c>
      <c r="H136" s="66">
        <f t="shared" ref="H136:J136" si="716">H132*$C$9</f>
        <v>79.275625000000005</v>
      </c>
      <c r="I136" s="66">
        <f t="shared" si="716"/>
        <v>54.969200000000001</v>
      </c>
      <c r="J136" s="66">
        <f t="shared" si="716"/>
        <v>57.772000000000006</v>
      </c>
      <c r="K136" s="67">
        <f>G136*Conv!$J$20/10^6/Conv!$C$47/Conv!$I$5</f>
        <v>12.590485237543941</v>
      </c>
      <c r="L136" s="67">
        <f>H136*Conv!$J$20/10^6/Conv!$C$47/Conv!$I$5</f>
        <v>19.070629108096782</v>
      </c>
      <c r="M136" s="67" t="e">
        <f>L136*#REF!</f>
        <v>#REF!</v>
      </c>
      <c r="N136" s="67" t="e">
        <f>M136*#REF!</f>
        <v>#REF!</v>
      </c>
      <c r="O136" s="67" t="e">
        <f>N136*#REF!</f>
        <v>#REF!</v>
      </c>
      <c r="P136" s="67" t="e">
        <f>O136*#REF!</f>
        <v>#REF!</v>
      </c>
      <c r="Q136" s="67" t="e">
        <f>P136*#REF!</f>
        <v>#REF!</v>
      </c>
      <c r="R136" s="67" t="e">
        <f>Q136*#REF!</f>
        <v>#REF!</v>
      </c>
      <c r="S136" s="67" t="e">
        <f>R136*#REF!</f>
        <v>#REF!</v>
      </c>
      <c r="T136" s="67" t="e">
        <f>S136*#REF!</f>
        <v>#REF!</v>
      </c>
      <c r="U136" s="67" t="e">
        <f>T136*#REF!</f>
        <v>#REF!</v>
      </c>
      <c r="V136" s="42"/>
      <c r="W136" s="83">
        <f>W132*$E$9</f>
        <v>201.435</v>
      </c>
      <c r="X136" s="83">
        <f t="shared" ref="X136:Z136" si="717">X132*$E$9</f>
        <v>343.04399999999998</v>
      </c>
      <c r="Y136" s="83">
        <f t="shared" si="717"/>
        <v>3.2370000000000005</v>
      </c>
      <c r="Z136" s="83">
        <f t="shared" si="717"/>
        <v>3.5750000000000002</v>
      </c>
      <c r="AA136" s="82">
        <f>W136*Conv!$C$47*Conv!$I$5*1000*365</f>
        <v>468.99244734379778</v>
      </c>
      <c r="AB136" s="82">
        <f>X136*Conv!$C$47*Conv!$I$5*1000*365</f>
        <v>798.69459183660092</v>
      </c>
      <c r="AC136" s="82">
        <f>Y136*Conv!$C$47*Conv!$I$5*1000*365</f>
        <v>7.5365678856796166</v>
      </c>
      <c r="AD136" s="82">
        <f>Z136*Conv!$C$47*Conv!$I$5*1000*365</f>
        <v>8.3235187492445561</v>
      </c>
      <c r="AE136" s="82">
        <f>AA136-AA135</f>
        <v>36.076342103369086</v>
      </c>
      <c r="AF136" s="82">
        <f t="shared" ref="AF136" si="718">AB136-AB135</f>
        <v>61.438045525892107</v>
      </c>
      <c r="AG136" s="82">
        <f t="shared" ref="AG136" si="719">AC136-AC135</f>
        <v>0.5797359912061264</v>
      </c>
      <c r="AH136" s="82">
        <f t="shared" ref="AH136" si="720">AD136-AD135</f>
        <v>0.64027067301881324</v>
      </c>
      <c r="AI136" s="53"/>
    </row>
    <row r="137" spans="1:35" ht="14.25" customHeight="1">
      <c r="A137" s="9" t="str">
        <f>'Agg crdcrv'!C88</f>
        <v>FMH</v>
      </c>
      <c r="B137" s="9" t="str">
        <f t="shared" si="420"/>
        <v>IMPOILMH53</v>
      </c>
      <c r="C137" s="9" t="str">
        <f>CONCATENATE("Imported ",VLOOKUP($A137,Types!$A$13:$C$18,3,FALSE),", PADD ",RIGHT(F137,1),", Step ",RIGHT(E137,1))</f>
        <v>Imported Imported Oil-Medium Sulfur, HG, PADD 5, Step 3</v>
      </c>
      <c r="D137" s="9" t="str">
        <f>CONCATENATE(VLOOKUP($A137,Types!$A$14:$C$18,2,FALSE),RIGHT(F137,1))</f>
        <v>OILMH5</v>
      </c>
      <c r="E137" s="9">
        <v>3</v>
      </c>
      <c r="F137" s="9" t="str">
        <f>'Agg crdcrv'!D88</f>
        <v>P5</v>
      </c>
      <c r="G137" s="66">
        <f>'Agg crdcrv'!H88*K5</f>
        <v>36.201000000000001</v>
      </c>
      <c r="H137" s="66">
        <f>'Agg crdcrv'!H93*K5</f>
        <v>50.105000000000004</v>
      </c>
      <c r="I137" s="66">
        <f>'Agg crdcrv'!H98*K5</f>
        <v>34.441000000000003</v>
      </c>
      <c r="J137" s="66">
        <f>'Agg crdcrv'!H103*K5</f>
        <v>36.32200000000001</v>
      </c>
      <c r="K137" s="67">
        <f>G137*Conv!$J$20/10^6/Conv!$C$47/Conv!$I$5</f>
        <v>8.7085512645559255</v>
      </c>
      <c r="L137" s="67">
        <f>H137*Conv!$J$20/10^6/Conv!$C$47/Conv!$I$5</f>
        <v>12.053312370116149</v>
      </c>
      <c r="M137" s="67" t="e">
        <f>L137*#REF!</f>
        <v>#REF!</v>
      </c>
      <c r="N137" s="67" t="e">
        <f>M137*#REF!</f>
        <v>#REF!</v>
      </c>
      <c r="O137" s="67" t="e">
        <f>N137*#REF!</f>
        <v>#REF!</v>
      </c>
      <c r="P137" s="67" t="e">
        <f>O137*#REF!</f>
        <v>#REF!</v>
      </c>
      <c r="Q137" s="67" t="e">
        <f>P137*#REF!</f>
        <v>#REF!</v>
      </c>
      <c r="R137" s="67" t="e">
        <f>Q137*#REF!</f>
        <v>#REF!</v>
      </c>
      <c r="S137" s="67" t="e">
        <f>R137*#REF!</f>
        <v>#REF!</v>
      </c>
      <c r="T137" s="67" t="e">
        <f>S137*#REF!</f>
        <v>#REF!</v>
      </c>
      <c r="U137" s="67" t="e">
        <f>T137*#REF!</f>
        <v>#REF!</v>
      </c>
      <c r="V137" s="42"/>
      <c r="W137" s="9">
        <f>'Agg crdcrv'!F88</f>
        <v>170.3</v>
      </c>
      <c r="X137" s="9">
        <f>'Agg crdcrv'!F93</f>
        <v>122.95</v>
      </c>
      <c r="Y137" s="9">
        <f>'Agg crdcrv'!F98</f>
        <v>30.36</v>
      </c>
      <c r="Z137" s="9">
        <f>'Agg crdcrv'!F103</f>
        <v>33.520000000000003</v>
      </c>
      <c r="AA137" s="82">
        <f>W137*Conv!$C$47*Conv!$I$5*1000*365</f>
        <v>396.50216587310427</v>
      </c>
      <c r="AB137" s="82">
        <f>X137*Conv!$C$47*Conv!$I$5*1000*365</f>
        <v>286.25919726422882</v>
      </c>
      <c r="AC137" s="82">
        <f>Y137*Conv!$C$47*Conv!$I$5*1000*365</f>
        <v>70.685882301276848</v>
      </c>
      <c r="AD137" s="82">
        <f>Z137*Conv!$C$47*Conv!$I$5*1000*365</f>
        <v>78.043174398511198</v>
      </c>
      <c r="AE137" s="82">
        <f>AA137-AA139</f>
        <v>317.2017326984834</v>
      </c>
      <c r="AF137" s="82">
        <f t="shared" ref="AF137" si="721">AB137-AB139</f>
        <v>229.00735781138303</v>
      </c>
      <c r="AG137" s="82">
        <f t="shared" ref="AG137" si="722">AC137-AC139</f>
        <v>56.54870584102148</v>
      </c>
      <c r="AH137" s="82">
        <f t="shared" ref="AH137" si="723">AD137-AD139</f>
        <v>62.434539518808961</v>
      </c>
    </row>
    <row r="138" spans="1:35" ht="14.25" customHeight="1">
      <c r="A138" s="9" t="str">
        <f>A137</f>
        <v>FMH</v>
      </c>
      <c r="B138" s="9" t="str">
        <f t="shared" si="420"/>
        <v>IMPOILMH51</v>
      </c>
      <c r="C138" s="9" t="str">
        <f>CONCATENATE("Imported ",VLOOKUP($A138,Types!$A$13:$C$18,3,FALSE),", PADD ",RIGHT(F138,1),", Step ",RIGHT(E138,1))</f>
        <v>Imported Imported Oil-Medium Sulfur, HG, PADD 5, Step 1</v>
      </c>
      <c r="D138" s="9" t="str">
        <f>D137</f>
        <v>OILMH5</v>
      </c>
      <c r="E138" s="9">
        <v>1</v>
      </c>
      <c r="F138" s="9" t="str">
        <f>F137</f>
        <v>P5</v>
      </c>
      <c r="G138" s="66">
        <f>G137*$C$5</f>
        <v>32.5809</v>
      </c>
      <c r="H138" s="66">
        <f t="shared" ref="H138" si="724">H137*$C$5</f>
        <v>45.094500000000004</v>
      </c>
      <c r="I138" s="66">
        <f t="shared" ref="I138" si="725">I137*$C$5</f>
        <v>30.996900000000004</v>
      </c>
      <c r="J138" s="66">
        <f t="shared" ref="J138" si="726">J137*$C$5</f>
        <v>32.689800000000012</v>
      </c>
      <c r="K138" s="67">
        <f>G138*Conv!$J$20/10^6/Conv!$C$47/Conv!$I$5</f>
        <v>7.8376961381003349</v>
      </c>
      <c r="L138" s="67">
        <f>H138*Conv!$J$20/10^6/Conv!$C$47/Conv!$I$5</f>
        <v>10.847981133104536</v>
      </c>
      <c r="M138" s="67" t="e">
        <f>L138*#REF!</f>
        <v>#REF!</v>
      </c>
      <c r="N138" s="67" t="e">
        <f>M138*#REF!</f>
        <v>#REF!</v>
      </c>
      <c r="O138" s="67" t="e">
        <f>N138*#REF!</f>
        <v>#REF!</v>
      </c>
      <c r="P138" s="67" t="e">
        <f>O138*#REF!</f>
        <v>#REF!</v>
      </c>
      <c r="Q138" s="67" t="e">
        <f>P138*#REF!</f>
        <v>#REF!</v>
      </c>
      <c r="R138" s="67" t="e">
        <f>Q138*#REF!</f>
        <v>#REF!</v>
      </c>
      <c r="S138" s="67" t="e">
        <f>R138*#REF!</f>
        <v>#REF!</v>
      </c>
      <c r="T138" s="67" t="e">
        <f>S138*#REF!</f>
        <v>#REF!</v>
      </c>
      <c r="U138" s="67" t="e">
        <f>T138*#REF!</f>
        <v>#REF!</v>
      </c>
      <c r="V138" s="42"/>
      <c r="W138" s="83">
        <f>W137*$E$5</f>
        <v>17.03</v>
      </c>
      <c r="X138" s="83">
        <f t="shared" ref="X138" si="727">X137*$E$5</f>
        <v>12.295000000000002</v>
      </c>
      <c r="Y138" s="83">
        <f t="shared" ref="Y138" si="728">Y137*$E$5</f>
        <v>3.036</v>
      </c>
      <c r="Z138" s="83">
        <f t="shared" ref="Z138" si="729">Z137*$E$5</f>
        <v>3.3520000000000003</v>
      </c>
      <c r="AA138" s="82">
        <f>W138*Conv!$C$47*Conv!$I$5*1000*365</f>
        <v>39.650216587310425</v>
      </c>
      <c r="AB138" s="82">
        <f>X138*Conv!$C$47*Conv!$I$5*1000*365</f>
        <v>28.62591972642289</v>
      </c>
      <c r="AC138" s="82">
        <f>Y138*Conv!$C$47*Conv!$I$5*1000*365</f>
        <v>7.0685882301276841</v>
      </c>
      <c r="AD138" s="82">
        <f>Z138*Conv!$C$47*Conv!$I$5*1000*365</f>
        <v>7.8043174398511193</v>
      </c>
      <c r="AE138" s="82">
        <f>AA138</f>
        <v>39.650216587310425</v>
      </c>
      <c r="AF138" s="82">
        <f t="shared" ref="AF138" si="730">AB138</f>
        <v>28.62591972642289</v>
      </c>
      <c r="AG138" s="82">
        <f t="shared" ref="AG138" si="731">AC138</f>
        <v>7.0685882301276841</v>
      </c>
      <c r="AH138" s="82">
        <f t="shared" ref="AH138" si="732">AD138</f>
        <v>7.8043174398511193</v>
      </c>
      <c r="AI138" s="53"/>
    </row>
    <row r="139" spans="1:35" ht="14.25" customHeight="1">
      <c r="A139" s="9" t="str">
        <f t="shared" ref="A139:A141" si="733">A138</f>
        <v>FMH</v>
      </c>
      <c r="B139" s="9" t="str">
        <f t="shared" si="420"/>
        <v>IMPOILMH52</v>
      </c>
      <c r="C139" s="9" t="str">
        <f>CONCATENATE("Imported ",VLOOKUP($A139,Types!$A$13:$C$18,3,FALSE),", PADD ",RIGHT(F139,1),", Step ",RIGHT(E139,1))</f>
        <v>Imported Imported Oil-Medium Sulfur, HG, PADD 5, Step 2</v>
      </c>
      <c r="D139" s="9" t="str">
        <f t="shared" ref="D139:D141" si="734">D138</f>
        <v>OILMH5</v>
      </c>
      <c r="E139" s="9">
        <v>2</v>
      </c>
      <c r="F139" s="9" t="str">
        <f t="shared" ref="F139:F141" si="735">F138</f>
        <v>P5</v>
      </c>
      <c r="G139" s="66">
        <f>G137*$C$6</f>
        <v>34.390949999999997</v>
      </c>
      <c r="H139" s="66">
        <f t="shared" ref="H139:J139" si="736">H137*$C$6</f>
        <v>47.59975</v>
      </c>
      <c r="I139" s="66">
        <f t="shared" si="736"/>
        <v>32.71895</v>
      </c>
      <c r="J139" s="66">
        <f t="shared" si="736"/>
        <v>34.505900000000011</v>
      </c>
      <c r="K139" s="67">
        <f>G139*Conv!$J$20/10^6/Conv!$C$47/Conv!$I$5</f>
        <v>8.2731237013281316</v>
      </c>
      <c r="L139" s="67">
        <f>H139*Conv!$J$20/10^6/Conv!$C$47/Conv!$I$5</f>
        <v>11.450646751610343</v>
      </c>
      <c r="M139" s="67" t="e">
        <f>L139*#REF!</f>
        <v>#REF!</v>
      </c>
      <c r="N139" s="67" t="e">
        <f>M139*#REF!</f>
        <v>#REF!</v>
      </c>
      <c r="O139" s="67" t="e">
        <f>N139*#REF!</f>
        <v>#REF!</v>
      </c>
      <c r="P139" s="67" t="e">
        <f>O139*#REF!</f>
        <v>#REF!</v>
      </c>
      <c r="Q139" s="67" t="e">
        <f>P139*#REF!</f>
        <v>#REF!</v>
      </c>
      <c r="R139" s="67" t="e">
        <f>Q139*#REF!</f>
        <v>#REF!</v>
      </c>
      <c r="S139" s="67" t="e">
        <f>R139*#REF!</f>
        <v>#REF!</v>
      </c>
      <c r="T139" s="67" t="e">
        <f>S139*#REF!</f>
        <v>#REF!</v>
      </c>
      <c r="U139" s="67" t="e">
        <f>T139*#REF!</f>
        <v>#REF!</v>
      </c>
      <c r="V139" s="42"/>
      <c r="W139" s="83">
        <f>W137*$E$6</f>
        <v>34.06</v>
      </c>
      <c r="X139" s="83">
        <f t="shared" ref="X139:Z139" si="737">X137*$E$6</f>
        <v>24.590000000000003</v>
      </c>
      <c r="Y139" s="83">
        <f t="shared" si="737"/>
        <v>6.0720000000000001</v>
      </c>
      <c r="Z139" s="83">
        <f t="shared" si="737"/>
        <v>6.7040000000000006</v>
      </c>
      <c r="AA139" s="82">
        <f>W139*Conv!$C$47*Conv!$I$5*1000*365</f>
        <v>79.300433174620849</v>
      </c>
      <c r="AB139" s="82">
        <f>X139*Conv!$C$47*Conv!$I$5*1000*365</f>
        <v>57.251839452845779</v>
      </c>
      <c r="AC139" s="82">
        <f>Y139*Conv!$C$47*Conv!$I$5*1000*365</f>
        <v>14.137176460255368</v>
      </c>
      <c r="AD139" s="82">
        <f>Z139*Conv!$C$47*Conv!$I$5*1000*365</f>
        <v>15.608634879702239</v>
      </c>
      <c r="AE139" s="82">
        <f>AA139-AE138</f>
        <v>39.650216587310425</v>
      </c>
      <c r="AF139" s="82">
        <f t="shared" ref="AF139" si="738">AB139-AF138</f>
        <v>28.62591972642289</v>
      </c>
      <c r="AG139" s="82">
        <f t="shared" ref="AG139" si="739">AC139-AG138</f>
        <v>7.0685882301276841</v>
      </c>
      <c r="AH139" s="82">
        <f t="shared" ref="AH139" si="740">AD139-AH138</f>
        <v>7.8043174398511193</v>
      </c>
      <c r="AI139" s="53"/>
    </row>
    <row r="140" spans="1:35" ht="14.25" customHeight="1">
      <c r="A140" s="9" t="str">
        <f t="shared" si="733"/>
        <v>FMH</v>
      </c>
      <c r="B140" s="9" t="str">
        <f t="shared" si="420"/>
        <v>IMPOILMH54</v>
      </c>
      <c r="C140" s="9" t="str">
        <f>CONCATENATE("Imported ",VLOOKUP($A140,Types!$A$13:$C$18,3,FALSE),", PADD ",RIGHT(F140,1),", Step ",RIGHT(E140,1))</f>
        <v>Imported Imported Oil-Medium Sulfur, HG, PADD 5, Step 4</v>
      </c>
      <c r="D140" s="9" t="str">
        <f t="shared" si="734"/>
        <v>OILMH5</v>
      </c>
      <c r="E140" s="9">
        <v>4</v>
      </c>
      <c r="F140" s="9" t="str">
        <f t="shared" si="735"/>
        <v>P5</v>
      </c>
      <c r="G140" s="66">
        <f>G137*$C$8</f>
        <v>38.011050000000004</v>
      </c>
      <c r="H140" s="66">
        <f t="shared" ref="H140:J140" si="741">H137*$C$8</f>
        <v>52.610250000000008</v>
      </c>
      <c r="I140" s="66">
        <f t="shared" si="741"/>
        <v>36.163050000000005</v>
      </c>
      <c r="J140" s="66">
        <f t="shared" si="741"/>
        <v>38.138100000000009</v>
      </c>
      <c r="K140" s="67">
        <f>G140*Conv!$J$20/10^6/Conv!$C$47/Conv!$I$5</f>
        <v>9.1439788277837248</v>
      </c>
      <c r="L140" s="67">
        <f>H140*Conv!$J$20/10^6/Conv!$C$47/Conv!$I$5</f>
        <v>12.655977988621959</v>
      </c>
      <c r="M140" s="67" t="e">
        <f>L140*#REF!</f>
        <v>#REF!</v>
      </c>
      <c r="N140" s="67" t="e">
        <f>M140*#REF!</f>
        <v>#REF!</v>
      </c>
      <c r="O140" s="67" t="e">
        <f>N140*#REF!</f>
        <v>#REF!</v>
      </c>
      <c r="P140" s="67" t="e">
        <f>O140*#REF!</f>
        <v>#REF!</v>
      </c>
      <c r="Q140" s="67" t="e">
        <f>P140*#REF!</f>
        <v>#REF!</v>
      </c>
      <c r="R140" s="67" t="e">
        <f>Q140*#REF!</f>
        <v>#REF!</v>
      </c>
      <c r="S140" s="67" t="e">
        <f>R140*#REF!</f>
        <v>#REF!</v>
      </c>
      <c r="T140" s="67" t="e">
        <f>S140*#REF!</f>
        <v>#REF!</v>
      </c>
      <c r="U140" s="67" t="e">
        <f>T140*#REF!</f>
        <v>#REF!</v>
      </c>
      <c r="V140" s="42"/>
      <c r="W140" s="83">
        <f>W137*$E$8</f>
        <v>204.36</v>
      </c>
      <c r="X140" s="83">
        <f t="shared" ref="X140:Z140" si="742">X137*$E$8</f>
        <v>147.54</v>
      </c>
      <c r="Y140" s="83">
        <f t="shared" si="742"/>
        <v>36.431999999999995</v>
      </c>
      <c r="Z140" s="83">
        <f t="shared" si="742"/>
        <v>40.224000000000004</v>
      </c>
      <c r="AA140" s="82">
        <f>W140*Conv!$C$47*Conv!$I$5*1000*365</f>
        <v>475.80259904772515</v>
      </c>
      <c r="AB140" s="82">
        <f>X140*Conv!$C$47*Conv!$I$5*1000*365</f>
        <v>343.5110367170746</v>
      </c>
      <c r="AC140" s="82">
        <f>Y140*Conv!$C$47*Conv!$I$5*1000*365</f>
        <v>84.823058761532195</v>
      </c>
      <c r="AD140" s="82">
        <f>Z140*Conv!$C$47*Conv!$I$5*1000*365</f>
        <v>93.65180927821342</v>
      </c>
      <c r="AE140" s="82">
        <f>AA140-AA137</f>
        <v>79.300433174620878</v>
      </c>
      <c r="AF140" s="82">
        <f t="shared" ref="AF140" si="743">AB140-AB137</f>
        <v>57.251839452845786</v>
      </c>
      <c r="AG140" s="82">
        <f t="shared" ref="AG140" si="744">AC140-AC137</f>
        <v>14.137176460255347</v>
      </c>
      <c r="AH140" s="82">
        <f t="shared" ref="AH140" si="745">AD140-AD137</f>
        <v>15.608634879702223</v>
      </c>
      <c r="AI140" s="53"/>
    </row>
    <row r="141" spans="1:35" ht="14.25" customHeight="1">
      <c r="A141" s="9" t="str">
        <f t="shared" si="733"/>
        <v>FMH</v>
      </c>
      <c r="B141" s="9" t="str">
        <f t="shared" si="420"/>
        <v>IMPOILMH55</v>
      </c>
      <c r="C141" s="9" t="str">
        <f>CONCATENATE("Imported ",VLOOKUP($A141,Types!$A$13:$C$18,3,FALSE),", PADD ",RIGHT(F141,1),", Step ",RIGHT(E141,1))</f>
        <v>Imported Imported Oil-Medium Sulfur, HG, PADD 5, Step 5</v>
      </c>
      <c r="D141" s="9" t="str">
        <f t="shared" si="734"/>
        <v>OILMH5</v>
      </c>
      <c r="E141" s="9">
        <v>5</v>
      </c>
      <c r="F141" s="9" t="str">
        <f t="shared" si="735"/>
        <v>P5</v>
      </c>
      <c r="G141" s="66">
        <f>G137*$C$9</f>
        <v>47.061300000000003</v>
      </c>
      <c r="H141" s="66">
        <f t="shared" ref="H141:J141" si="746">H137*$C$9</f>
        <v>65.136500000000012</v>
      </c>
      <c r="I141" s="66">
        <f t="shared" si="746"/>
        <v>44.773300000000006</v>
      </c>
      <c r="J141" s="66">
        <f t="shared" si="746"/>
        <v>47.218600000000016</v>
      </c>
      <c r="K141" s="67">
        <f>G141*Conv!$J$20/10^6/Conv!$C$47/Conv!$I$5</f>
        <v>11.321116643922707</v>
      </c>
      <c r="L141" s="67">
        <f>H141*Conv!$J$20/10^6/Conv!$C$47/Conv!$I$5</f>
        <v>15.669306081150996</v>
      </c>
      <c r="M141" s="67" t="e">
        <f>L141*#REF!</f>
        <v>#REF!</v>
      </c>
      <c r="N141" s="67" t="e">
        <f>M141*#REF!</f>
        <v>#REF!</v>
      </c>
      <c r="O141" s="67" t="e">
        <f>N141*#REF!</f>
        <v>#REF!</v>
      </c>
      <c r="P141" s="67" t="e">
        <f>O141*#REF!</f>
        <v>#REF!</v>
      </c>
      <c r="Q141" s="67" t="e">
        <f>P141*#REF!</f>
        <v>#REF!</v>
      </c>
      <c r="R141" s="67" t="e">
        <f>Q141*#REF!</f>
        <v>#REF!</v>
      </c>
      <c r="S141" s="67" t="e">
        <f>R141*#REF!</f>
        <v>#REF!</v>
      </c>
      <c r="T141" s="67" t="e">
        <f>S141*#REF!</f>
        <v>#REF!</v>
      </c>
      <c r="U141" s="67" t="e">
        <f>T141*#REF!</f>
        <v>#REF!</v>
      </c>
      <c r="V141" s="42"/>
      <c r="W141" s="83">
        <f>W137*$E$9</f>
        <v>221.39000000000001</v>
      </c>
      <c r="X141" s="83">
        <f t="shared" ref="X141:Z141" si="747">X137*$E$9</f>
        <v>159.83500000000001</v>
      </c>
      <c r="Y141" s="83">
        <f t="shared" si="747"/>
        <v>39.468000000000004</v>
      </c>
      <c r="Z141" s="83">
        <f t="shared" si="747"/>
        <v>43.576000000000008</v>
      </c>
      <c r="AA141" s="82">
        <f>W141*Conv!$C$47*Conv!$I$5*1000*365</f>
        <v>515.45281563503556</v>
      </c>
      <c r="AB141" s="82">
        <f>X141*Conv!$C$47*Conv!$I$5*1000*365</f>
        <v>372.13695644349747</v>
      </c>
      <c r="AC141" s="82">
        <f>Y141*Conv!$C$47*Conv!$I$5*1000*365</f>
        <v>91.891646991659897</v>
      </c>
      <c r="AD141" s="82">
        <f>Z141*Conv!$C$47*Conv!$I$5*1000*365</f>
        <v>101.45612671806457</v>
      </c>
      <c r="AE141" s="82">
        <f>AA141-AA140</f>
        <v>39.65021658731041</v>
      </c>
      <c r="AF141" s="82">
        <f t="shared" ref="AF141" si="748">AB141-AB140</f>
        <v>28.625919726422865</v>
      </c>
      <c r="AG141" s="82">
        <f t="shared" ref="AG141" si="749">AC141-AC140</f>
        <v>7.0685882301277019</v>
      </c>
      <c r="AH141" s="82">
        <f t="shared" ref="AH141" si="750">AD141-AD140</f>
        <v>7.8043174398511468</v>
      </c>
      <c r="AI141" s="53"/>
    </row>
  </sheetData>
  <mergeCells count="4">
    <mergeCell ref="G10:J10"/>
    <mergeCell ref="K10:U10"/>
    <mergeCell ref="W10:Z10"/>
    <mergeCell ref="AA10:AK10"/>
  </mergeCells>
  <phoneticPr fontId="0" type="noConversion"/>
  <pageMargins left="0.75" right="0.75" top="1" bottom="1" header="0.5" footer="0.5"/>
  <pageSetup orientation="portrait" r:id="rId1"/>
  <headerFooter alignWithMargins="0"/>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3:L121"/>
  <sheetViews>
    <sheetView showFormulas="1" zoomScale="90" zoomScaleNormal="90" workbookViewId="0">
      <selection activeCell="A8" sqref="A8:XFD8"/>
    </sheetView>
  </sheetViews>
  <sheetFormatPr defaultColWidth="9.140625" defaultRowHeight="12.75"/>
  <cols>
    <col min="1" max="4" width="9.140625" style="13"/>
    <col min="5" max="5" width="12.42578125" style="13" customWidth="1"/>
    <col min="6" max="6" width="13.42578125" style="13" customWidth="1"/>
    <col min="7" max="8" width="12.42578125" style="13" customWidth="1"/>
    <col min="9" max="11" width="12.42578125" style="1" customWidth="1"/>
    <col min="12" max="12" width="10.7109375" style="1" bestFit="1" customWidth="1"/>
    <col min="13" max="14" width="12.42578125" style="1" customWidth="1"/>
    <col min="15" max="15" width="11.28515625" style="1" bestFit="1" customWidth="1"/>
    <col min="16" max="17" width="11.28515625" style="1" customWidth="1"/>
    <col min="18" max="18" width="12.42578125" style="1" customWidth="1"/>
    <col min="19" max="19" width="12.42578125" style="1" bestFit="1" customWidth="1"/>
    <col min="20" max="20" width="10.7109375" style="1" bestFit="1" customWidth="1"/>
    <col min="21" max="21" width="12.42578125" style="1" customWidth="1"/>
    <col min="22" max="22" width="12.42578125" style="1" bestFit="1" customWidth="1"/>
    <col min="23" max="23" width="10.7109375" style="1" bestFit="1" customWidth="1"/>
    <col min="24" max="24" width="12.42578125" style="1" customWidth="1"/>
    <col min="25" max="25" width="12.42578125" style="1" bestFit="1" customWidth="1"/>
    <col min="26" max="26" width="10.7109375" style="1" bestFit="1" customWidth="1"/>
    <col min="27" max="28" width="9.140625" style="1"/>
    <col min="29" max="29" width="5" style="1" bestFit="1" customWidth="1"/>
    <col min="30" max="30" width="4.5703125" style="1" bestFit="1" customWidth="1"/>
    <col min="31" max="31" width="7.140625" style="1" bestFit="1" customWidth="1"/>
    <col min="32" max="16384" width="9.140625" style="1"/>
  </cols>
  <sheetData>
    <row r="3" spans="1:12">
      <c r="A3" s="22" t="s">
        <v>181</v>
      </c>
      <c r="B3" s="22" t="s">
        <v>182</v>
      </c>
      <c r="C3" s="22" t="s">
        <v>194</v>
      </c>
      <c r="D3" s="22" t="s">
        <v>51</v>
      </c>
      <c r="E3" s="22" t="s">
        <v>138</v>
      </c>
      <c r="F3" s="22" t="s">
        <v>137</v>
      </c>
      <c r="H3" s="22" t="s">
        <v>575</v>
      </c>
      <c r="I3" s="13"/>
      <c r="J3" s="13"/>
      <c r="K3" s="13"/>
      <c r="L3" s="13"/>
    </row>
    <row r="4" spans="1:12">
      <c r="A4" s="13">
        <v>2005</v>
      </c>
      <c r="B4" s="13">
        <v>1</v>
      </c>
      <c r="C4" s="13" t="s">
        <v>42</v>
      </c>
      <c r="D4" s="13" t="s">
        <v>98</v>
      </c>
      <c r="E4" s="13">
        <f t="array" ref="E4">SUM(IF('AEO 2012 crdcrv'!$A$7:$A$2000=C4,IF('AEO 2012 crdcrv'!$I$7:$I$2000="2005",IF('AEO 2012 crdcrv'!$J$7:J$2000="Prices",'AEO 2012 crdcrv'!C$7:C$2000,0))))</f>
        <v>29</v>
      </c>
      <c r="F4" s="13">
        <f t="array" ref="F4">SUM(IF('AEO 2012 crdcrv'!$A$7:$A$2000=C4,IF('AEO 2012 crdcrv'!$I$7:$I$2000="2005",IF('AEO 2012 crdcrv'!$J$7:J$2000="Quantities",'AEO 2012 crdcrv'!C$7:C$2000,0))))</f>
        <v>256.31</v>
      </c>
      <c r="H4" s="13">
        <f>E4</f>
        <v>29</v>
      </c>
    </row>
    <row r="5" spans="1:12">
      <c r="A5" s="13">
        <v>2005</v>
      </c>
      <c r="B5" s="13">
        <v>1</v>
      </c>
      <c r="C5" s="13" t="s">
        <v>39</v>
      </c>
      <c r="D5" s="13" t="s">
        <v>98</v>
      </c>
      <c r="E5" s="13">
        <f t="array" ref="E5">SUM(IF('AEO 2012 crdcrv'!$A$7:$A$2000=C5,IF('AEO 2012 crdcrv'!$I$7:$I$2000="2005",IF('AEO 2012 crdcrv'!$J$7:J$2000="Prices",'AEO 2012 crdcrv'!C$7:C$2000,0))))</f>
        <v>37.74</v>
      </c>
      <c r="F5" s="13">
        <f t="array" ref="F5">SUM(IF('AEO 2012 crdcrv'!$A$7:$A$2000=C5,IF('AEO 2012 crdcrv'!$I$7:$I$2000="2005",IF('AEO 2012 crdcrv'!$J$7:J$2000="Quantities",'AEO 2012 crdcrv'!C$7:C$2000,0))))</f>
        <v>93.86</v>
      </c>
      <c r="H5" s="13">
        <f t="shared" ref="H5:H68" si="0">E5</f>
        <v>37.74</v>
      </c>
    </row>
    <row r="6" spans="1:12">
      <c r="A6" s="13">
        <v>2005</v>
      </c>
      <c r="B6" s="13">
        <v>1</v>
      </c>
      <c r="C6" s="13" t="s">
        <v>45</v>
      </c>
      <c r="D6" s="13" t="s">
        <v>98</v>
      </c>
      <c r="E6" s="13">
        <f t="array" ref="E6">SUM(IF('AEO 2012 crdcrv'!$A$7:$A$2000=C6,IF('AEO 2012 crdcrv'!$I$7:$I$2000="2005",IF('AEO 2012 crdcrv'!$J$7:J$2000="Prices",'AEO 2012 crdcrv'!C$7:C$2000,0))))</f>
        <v>26</v>
      </c>
      <c r="F6" s="13">
        <f t="array" ref="F6">SUM(IF('AEO 2012 crdcrv'!$A$7:$A$2000=C6,IF('AEO 2012 crdcrv'!$I$7:$I$2000="2005",IF('AEO 2012 crdcrv'!$J$7:J$2000="Quantities",'AEO 2012 crdcrv'!C$7:C$2000,0))))</f>
        <v>123.31</v>
      </c>
      <c r="H6" s="13">
        <f t="shared" si="0"/>
        <v>26</v>
      </c>
    </row>
    <row r="7" spans="1:12">
      <c r="A7" s="13">
        <v>2005</v>
      </c>
      <c r="B7" s="13">
        <v>1</v>
      </c>
      <c r="C7" s="13" t="s">
        <v>33</v>
      </c>
      <c r="D7" s="13" t="s">
        <v>98</v>
      </c>
      <c r="E7" s="13">
        <f t="array" ref="E7">SUM(IF('AEO 2012 crdcrv'!$A$7:$A$2000=C7,IF('AEO 2012 crdcrv'!$I$7:$I$2000="2005",IF('AEO 2012 crdcrv'!$J$7:J$2000="Prices",'AEO 2012 crdcrv'!C$7:C$2000,0))))</f>
        <v>36.6</v>
      </c>
      <c r="F7" s="13">
        <f t="array" ref="F7">SUM(IF('AEO 2012 crdcrv'!$A$7:$A$2000=C7,IF('AEO 2012 crdcrv'!$I$7:$I$2000="2005",IF('AEO 2012 crdcrv'!$J$7:J$2000="Quantities",'AEO 2012 crdcrv'!C$7:C$2000,0))))</f>
        <v>1062.18</v>
      </c>
      <c r="H7" s="13">
        <f t="shared" si="0"/>
        <v>36.6</v>
      </c>
    </row>
    <row r="8" spans="1:12">
      <c r="A8" s="13">
        <v>2005</v>
      </c>
      <c r="B8" s="13">
        <v>1</v>
      </c>
      <c r="C8" s="13" t="s">
        <v>36</v>
      </c>
      <c r="D8" s="13" t="s">
        <v>98</v>
      </c>
      <c r="E8" s="13">
        <f t="array" ref="E8">SUM(IF('AEO 2012 crdcrv'!$A$7:$A$2000=C8,IF('AEO 2012 crdcrv'!$I$7:$I$2000="2005",IF('AEO 2012 crdcrv'!$J$7:J$2000="Prices",'AEO 2012 crdcrv'!C$7:C$2000,0))))</f>
        <v>32.909999999999997</v>
      </c>
      <c r="F8" s="13">
        <f t="array" ref="F8">SUM(IF('AEO 2012 crdcrv'!$A$7:$A$2000=C8,IF('AEO 2012 crdcrv'!$I$7:$I$2000="2005",IF('AEO 2012 crdcrv'!$J$7:J$2000="Quantities",'AEO 2012 crdcrv'!C$7:C$2000,0))))</f>
        <v>52.75</v>
      </c>
      <c r="H8" s="13">
        <f t="shared" si="0"/>
        <v>32.909999999999997</v>
      </c>
    </row>
    <row r="9" spans="1:12">
      <c r="A9" s="13">
        <v>2010</v>
      </c>
      <c r="B9" s="13">
        <v>1</v>
      </c>
      <c r="C9" s="13" t="s">
        <v>42</v>
      </c>
      <c r="D9" s="13" t="s">
        <v>98</v>
      </c>
      <c r="E9" s="13">
        <f t="array" ref="E9">SUM(IF('AEO 2012 crdcrv'!$A$7:$A$2000=C9,IF('AEO 2012 crdcrv'!$I$7:$I$2000="2010",IF('AEO 2012 crdcrv'!$J$7:J$2000="Prices",'AEO 2012 crdcrv'!C$7:C$2000,0))))</f>
        <v>33.75</v>
      </c>
      <c r="F9" s="13">
        <f t="array" ref="F9">SUM(IF('AEO 2012 crdcrv'!$A$7:$A$2000=C9,IF('AEO 2012 crdcrv'!$I$7:$I$2000="2010",IF('AEO 2012 crdcrv'!$J$7:J$2000="Quantities",'AEO 2012 crdcrv'!C$7:C$2000,0))))</f>
        <v>128.74</v>
      </c>
      <c r="H9" s="13">
        <f>E9*1.25</f>
        <v>42.1875</v>
      </c>
    </row>
    <row r="10" spans="1:12">
      <c r="A10" s="13">
        <v>2010</v>
      </c>
      <c r="B10" s="13">
        <v>1</v>
      </c>
      <c r="C10" s="13" t="s">
        <v>39</v>
      </c>
      <c r="D10" s="13" t="s">
        <v>98</v>
      </c>
      <c r="E10" s="13">
        <f t="array" ref="E10">SUM(IF('AEO 2012 crdcrv'!$A$7:$A$2000=C10,IF('AEO 2012 crdcrv'!$I$7:$I$2000="2010",IF('AEO 2012 crdcrv'!$J$7:J$2000="Prices",'AEO 2012 crdcrv'!C$7:C$2000,0))))</f>
        <v>36.5</v>
      </c>
      <c r="F10" s="13">
        <f t="array" ref="F10">SUM(IF('AEO 2012 crdcrv'!$A$7:$A$2000=C10,IF('AEO 2012 crdcrv'!$I$7:$I$2000="2010",IF('AEO 2012 crdcrv'!$J$7:J$2000="Quantities",'AEO 2012 crdcrv'!C$7:C$2000,0))))</f>
        <v>79.84</v>
      </c>
      <c r="H10" s="13">
        <f t="shared" ref="H10:H13" si="1">E10*1.25</f>
        <v>45.625</v>
      </c>
    </row>
    <row r="11" spans="1:12">
      <c r="A11" s="13">
        <v>2010</v>
      </c>
      <c r="B11" s="13">
        <v>1</v>
      </c>
      <c r="C11" s="13" t="s">
        <v>45</v>
      </c>
      <c r="D11" s="13" t="s">
        <v>98</v>
      </c>
      <c r="E11" s="13">
        <f t="array" ref="E11">SUM(IF('AEO 2012 crdcrv'!$A$7:$A$2000=C11,IF('AEO 2012 crdcrv'!$I$7:$I$2000="2010",IF('AEO 2012 crdcrv'!$J$7:J$2000="Prices",'AEO 2012 crdcrv'!C$7:C$2000,0))))</f>
        <v>33.450000000000003</v>
      </c>
      <c r="F11" s="13">
        <f t="array" ref="F11">SUM(IF('AEO 2012 crdcrv'!$A$7:$A$2000=C11,IF('AEO 2012 crdcrv'!$I$7:$I$2000="2010",IF('AEO 2012 crdcrv'!$J$7:J$2000="Quantities",'AEO 2012 crdcrv'!C$7:C$2000,0))))</f>
        <v>63.32</v>
      </c>
      <c r="H11" s="13">
        <f t="shared" si="1"/>
        <v>41.8125</v>
      </c>
    </row>
    <row r="12" spans="1:12">
      <c r="A12" s="13">
        <v>2010</v>
      </c>
      <c r="B12" s="13">
        <v>1</v>
      </c>
      <c r="C12" s="13" t="s">
        <v>33</v>
      </c>
      <c r="D12" s="13" t="s">
        <v>98</v>
      </c>
      <c r="E12" s="13">
        <f t="array" ref="E12">SUM(IF('AEO 2012 crdcrv'!$A$7:$A$2000=C12,IF('AEO 2012 crdcrv'!$I$7:$I$2000="2010",IF('AEO 2012 crdcrv'!$J$7:J$2000="Prices",'AEO 2012 crdcrv'!C$7:C$2000,0))))</f>
        <v>44.35</v>
      </c>
      <c r="F12" s="13">
        <f t="array" ref="F12">SUM(IF('AEO 2012 crdcrv'!$A$7:$A$2000=C12,IF('AEO 2012 crdcrv'!$I$7:$I$2000="2010",IF('AEO 2012 crdcrv'!$J$7:J$2000="Quantities",'AEO 2012 crdcrv'!C$7:C$2000,0))))</f>
        <v>891.61</v>
      </c>
      <c r="H12" s="13">
        <f t="shared" si="1"/>
        <v>55.4375</v>
      </c>
    </row>
    <row r="13" spans="1:12">
      <c r="A13" s="13">
        <v>2010</v>
      </c>
      <c r="B13" s="13">
        <v>1</v>
      </c>
      <c r="C13" s="13" t="s">
        <v>36</v>
      </c>
      <c r="D13" s="13" t="s">
        <v>98</v>
      </c>
      <c r="E13" s="13">
        <f t="array" ref="E13">SUM(IF('AEO 2012 crdcrv'!$A$7:$A$2000=C13,IF('AEO 2012 crdcrv'!$I$7:$I$2000="2010",IF('AEO 2012 crdcrv'!$J$7:J$2000="Prices",'AEO 2012 crdcrv'!C$7:C$2000,0))))</f>
        <v>36.44</v>
      </c>
      <c r="F13" s="13">
        <f t="array" ref="F13">SUM(IF('AEO 2012 crdcrv'!$A$7:$A$2000=C13,IF('AEO 2012 crdcrv'!$I$7:$I$2000="2010",IF('AEO 2012 crdcrv'!$J$7:J$2000="Quantities",'AEO 2012 crdcrv'!C$7:C$2000,0))))</f>
        <v>50.87</v>
      </c>
      <c r="H13" s="13">
        <f t="shared" si="1"/>
        <v>45.55</v>
      </c>
    </row>
    <row r="14" spans="1:12">
      <c r="A14" s="13">
        <v>2015</v>
      </c>
      <c r="B14" s="13">
        <v>1</v>
      </c>
      <c r="C14" s="13" t="s">
        <v>42</v>
      </c>
      <c r="D14" s="13" t="s">
        <v>98</v>
      </c>
      <c r="E14" s="13">
        <f t="array" ref="E14">SUM(IF('AEO 2012 crdcrv'!$A$7:$A$2000=C14,IF('AEO 2012 crdcrv'!$I$7:$I$2000="2015",IF('AEO 2012 crdcrv'!$J$7:J$2000="Prices",'AEO 2012 crdcrv'!C$7:C$2000,0))))</f>
        <v>28.7</v>
      </c>
      <c r="F14" s="13">
        <f t="array" ref="F14">SUM(IF('AEO 2012 crdcrv'!$A$7:$A$2000=C14,IF('AEO 2012 crdcrv'!$I$7:$I$2000="2015",IF('AEO 2012 crdcrv'!$J$7:J$2000="Quantities",'AEO 2012 crdcrv'!C$7:C$2000,0))))</f>
        <v>45.75</v>
      </c>
      <c r="H14" s="13">
        <f t="shared" si="0"/>
        <v>28.7</v>
      </c>
    </row>
    <row r="15" spans="1:12">
      <c r="A15" s="13">
        <v>2015</v>
      </c>
      <c r="B15" s="13">
        <v>1</v>
      </c>
      <c r="C15" s="13" t="s">
        <v>39</v>
      </c>
      <c r="D15" s="13" t="s">
        <v>98</v>
      </c>
      <c r="E15" s="13">
        <f t="array" ref="E15">SUM(IF('AEO 2012 crdcrv'!$A$7:$A$2000=C15,IF('AEO 2012 crdcrv'!$I$7:$I$2000="2015",IF('AEO 2012 crdcrv'!$J$7:J$2000="Prices",'AEO 2012 crdcrv'!C$7:C$2000,0))))</f>
        <v>31.41</v>
      </c>
      <c r="F15" s="13">
        <f t="array" ref="F15">SUM(IF('AEO 2012 crdcrv'!$A$7:$A$2000=C15,IF('AEO 2012 crdcrv'!$I$7:$I$2000="2015",IF('AEO 2012 crdcrv'!$J$7:J$2000="Quantities",'AEO 2012 crdcrv'!C$7:C$2000,0))))</f>
        <v>8.02</v>
      </c>
      <c r="H15" s="13">
        <f t="shared" si="0"/>
        <v>31.41</v>
      </c>
    </row>
    <row r="16" spans="1:12">
      <c r="A16" s="13">
        <v>2015</v>
      </c>
      <c r="B16" s="13">
        <v>1</v>
      </c>
      <c r="C16" s="13" t="s">
        <v>45</v>
      </c>
      <c r="D16" s="13" t="s">
        <v>98</v>
      </c>
      <c r="E16" s="13">
        <f t="array" ref="E16">SUM(IF('AEO 2012 crdcrv'!$A$7:$A$2000=C16,IF('AEO 2012 crdcrv'!$I$7:$I$2000="2015",IF('AEO 2012 crdcrv'!$J$7:J$2000="Prices",'AEO 2012 crdcrv'!C$7:C$2000,0))))</f>
        <v>28.41</v>
      </c>
      <c r="F16" s="13">
        <f t="array" ref="F16">SUM(IF('AEO 2012 crdcrv'!$A$7:$A$2000=C16,IF('AEO 2012 crdcrv'!$I$7:$I$2000="2015",IF('AEO 2012 crdcrv'!$J$7:J$2000="Quantities",'AEO 2012 crdcrv'!C$7:C$2000,0))))</f>
        <v>21.34</v>
      </c>
      <c r="H16" s="13">
        <f t="shared" si="0"/>
        <v>28.41</v>
      </c>
    </row>
    <row r="17" spans="1:8">
      <c r="A17" s="13">
        <v>2015</v>
      </c>
      <c r="B17" s="13">
        <v>1</v>
      </c>
      <c r="C17" s="13" t="s">
        <v>33</v>
      </c>
      <c r="D17" s="13" t="s">
        <v>98</v>
      </c>
      <c r="E17" s="13">
        <f t="array" ref="E17">SUM(IF('AEO 2012 crdcrv'!$A$7:$A$2000=C17,IF('AEO 2012 crdcrv'!$I$7:$I$2000="2015",IF('AEO 2012 crdcrv'!$J$7:J$2000="Prices",'AEO 2012 crdcrv'!C$7:C$2000,0))))</f>
        <v>38.44</v>
      </c>
      <c r="F17" s="13">
        <f t="array" ref="F17">SUM(IF('AEO 2012 crdcrv'!$A$7:$A$2000=C17,IF('AEO 2012 crdcrv'!$I$7:$I$2000="2015",IF('AEO 2012 crdcrv'!$J$7:J$2000="Quantities",'AEO 2012 crdcrv'!C$7:C$2000,0))))</f>
        <v>13.24</v>
      </c>
      <c r="H17" s="13">
        <f t="shared" si="0"/>
        <v>38.44</v>
      </c>
    </row>
    <row r="18" spans="1:8">
      <c r="A18" s="13">
        <v>2015</v>
      </c>
      <c r="B18" s="13">
        <v>1</v>
      </c>
      <c r="C18" s="13" t="s">
        <v>36</v>
      </c>
      <c r="D18" s="13" t="s">
        <v>98</v>
      </c>
      <c r="E18" s="13">
        <f t="array" ref="E18">SUM(IF('AEO 2012 crdcrv'!$A$7:$A$2000=C18,IF('AEO 2012 crdcrv'!$I$7:$I$2000="2015",IF('AEO 2012 crdcrv'!$J$7:J$2000="Prices",'AEO 2012 crdcrv'!C$7:C$2000,0))))</f>
        <v>31.31</v>
      </c>
      <c r="F18" s="13">
        <f t="array" ref="F18">SUM(IF('AEO 2012 crdcrv'!$A$7:$A$2000=C18,IF('AEO 2012 crdcrv'!$I$7:$I$2000="2015",IF('AEO 2012 crdcrv'!$J$7:J$2000="Quantities",'AEO 2012 crdcrv'!C$7:C$2000,0))))</f>
        <v>15.65</v>
      </c>
      <c r="H18" s="13">
        <f t="shared" si="0"/>
        <v>31.31</v>
      </c>
    </row>
    <row r="19" spans="1:8">
      <c r="A19" s="13">
        <v>2020</v>
      </c>
      <c r="B19" s="13">
        <v>1</v>
      </c>
      <c r="C19" s="13" t="s">
        <v>42</v>
      </c>
      <c r="D19" s="13" t="s">
        <v>98</v>
      </c>
      <c r="E19" s="13">
        <f t="array" ref="E19">SUM(IF('AEO 2012 crdcrv'!$A$7:$A$2000=C19,IF('AEO 2012 crdcrv'!$I$7:$I$2000="2020",IF('AEO 2012 crdcrv'!$J$7:J$2000="Prices",'AEO 2012 crdcrv'!C$7:C$2000,0))))</f>
        <v>30.37</v>
      </c>
      <c r="F19" s="13">
        <f t="array" ref="F19">SUM(IF('AEO 2012 crdcrv'!$A$7:$A$2000=C19,IF('AEO 2012 crdcrv'!$I$7:$I$2000="2020",IF('AEO 2012 crdcrv'!$J$7:J$2000="Quantities",'AEO 2012 crdcrv'!C$7:C$2000,0))))</f>
        <v>50.51</v>
      </c>
      <c r="H19" s="13">
        <f t="shared" si="0"/>
        <v>30.37</v>
      </c>
    </row>
    <row r="20" spans="1:8">
      <c r="A20" s="13">
        <v>2020</v>
      </c>
      <c r="B20" s="13">
        <v>1</v>
      </c>
      <c r="C20" s="13" t="s">
        <v>39</v>
      </c>
      <c r="D20" s="13" t="s">
        <v>98</v>
      </c>
      <c r="E20" s="13">
        <f t="array" ref="E20">SUM(IF('AEO 2012 crdcrv'!$A$7:$A$2000=C20,IF('AEO 2012 crdcrv'!$I$7:$I$2000="2020",IF('AEO 2012 crdcrv'!$J$7:J$2000="Prices",'AEO 2012 crdcrv'!C$7:C$2000,0))))</f>
        <v>33.1</v>
      </c>
      <c r="F20" s="13">
        <f t="array" ref="F20">SUM(IF('AEO 2012 crdcrv'!$A$7:$A$2000=C20,IF('AEO 2012 crdcrv'!$I$7:$I$2000="2020",IF('AEO 2012 crdcrv'!$J$7:J$2000="Quantities",'AEO 2012 crdcrv'!C$7:C$2000,0))))</f>
        <v>8.85</v>
      </c>
      <c r="H20" s="13">
        <f t="shared" si="0"/>
        <v>33.1</v>
      </c>
    </row>
    <row r="21" spans="1:8">
      <c r="A21" s="13">
        <v>2020</v>
      </c>
      <c r="B21" s="13">
        <v>1</v>
      </c>
      <c r="C21" s="13" t="s">
        <v>45</v>
      </c>
      <c r="D21" s="13" t="s">
        <v>98</v>
      </c>
      <c r="E21" s="13">
        <f t="array" ref="E21">SUM(IF('AEO 2012 crdcrv'!$A$7:$A$2000=C21,IF('AEO 2012 crdcrv'!$I$7:$I$2000="2020",IF('AEO 2012 crdcrv'!$J$7:J$2000="Prices",'AEO 2012 crdcrv'!C$7:C$2000,0))))</f>
        <v>30.08</v>
      </c>
      <c r="F21" s="13">
        <f t="array" ref="F21">SUM(IF('AEO 2012 crdcrv'!$A$7:$A$2000=C21,IF('AEO 2012 crdcrv'!$I$7:$I$2000="2020",IF('AEO 2012 crdcrv'!$J$7:J$2000="Quantities",'AEO 2012 crdcrv'!C$7:C$2000,0))))</f>
        <v>23.56</v>
      </c>
      <c r="H21" s="13">
        <f t="shared" si="0"/>
        <v>30.08</v>
      </c>
    </row>
    <row r="22" spans="1:8">
      <c r="A22" s="13">
        <v>2020</v>
      </c>
      <c r="B22" s="13">
        <v>1</v>
      </c>
      <c r="C22" s="13" t="s">
        <v>33</v>
      </c>
      <c r="D22" s="13" t="s">
        <v>98</v>
      </c>
      <c r="E22" s="13">
        <f t="array" ref="E22">SUM(IF('AEO 2012 crdcrv'!$A$7:$A$2000=C22,IF('AEO 2012 crdcrv'!$I$7:$I$2000="2020",IF('AEO 2012 crdcrv'!$J$7:J$2000="Prices",'AEO 2012 crdcrv'!C$7:C$2000,0))))</f>
        <v>40.4</v>
      </c>
      <c r="F22" s="13">
        <f t="array" ref="F22">SUM(IF('AEO 2012 crdcrv'!$A$7:$A$2000=C22,IF('AEO 2012 crdcrv'!$I$7:$I$2000="2020",IF('AEO 2012 crdcrv'!$J$7:J$2000="Quantities",'AEO 2012 crdcrv'!C$7:C$2000,0))))</f>
        <v>14.61</v>
      </c>
      <c r="H22" s="13">
        <f t="shared" si="0"/>
        <v>40.4</v>
      </c>
    </row>
    <row r="23" spans="1:8">
      <c r="A23" s="13">
        <v>2020</v>
      </c>
      <c r="B23" s="13">
        <v>1</v>
      </c>
      <c r="C23" s="13" t="s">
        <v>36</v>
      </c>
      <c r="D23" s="13" t="s">
        <v>98</v>
      </c>
      <c r="E23" s="13">
        <f t="array" ref="E23">SUM(IF('AEO 2012 crdcrv'!$A$7:$A$2000=C23,IF('AEO 2012 crdcrv'!$I$7:$I$2000="2020",IF('AEO 2012 crdcrv'!$J$7:J$2000="Prices",'AEO 2012 crdcrv'!C$7:C$2000,0))))</f>
        <v>33.020000000000003</v>
      </c>
      <c r="F23" s="13">
        <f t="array" ref="F23">SUM(IF('AEO 2012 crdcrv'!$A$7:$A$2000=C23,IF('AEO 2012 crdcrv'!$I$7:$I$2000="2020",IF('AEO 2012 crdcrv'!$J$7:J$2000="Quantities",'AEO 2012 crdcrv'!C$7:C$2000,0))))</f>
        <v>17.28</v>
      </c>
      <c r="H23" s="13">
        <f t="shared" si="0"/>
        <v>33.020000000000003</v>
      </c>
    </row>
    <row r="24" spans="1:8">
      <c r="A24" s="13">
        <v>2005</v>
      </c>
      <c r="B24" s="13">
        <v>1</v>
      </c>
      <c r="C24" s="13" t="s">
        <v>42</v>
      </c>
      <c r="D24" s="13" t="s">
        <v>102</v>
      </c>
      <c r="E24" s="13">
        <f t="array" ref="E24">SUM(IF('AEO 2012 crdcrv'!$A$7:$A$2000=C24,IF('AEO 2012 crdcrv'!$I$7:$I$2000="2005",IF('AEO 2012 crdcrv'!$J$7:J$2000="Prices",'AEO 2012 crdcrv'!D$7:D$2000,0))))</f>
        <v>29</v>
      </c>
      <c r="F24" s="13">
        <f t="array" ref="F24">SUM(IF('AEO 2012 crdcrv'!$A$7:$A$2000=C24,IF('AEO 2012 crdcrv'!$I$7:$I$2000="2005",IF('AEO 2012 crdcrv'!$J$7:J$2000="Quantities",'AEO 2012 crdcrv'!D$7:D$2000,0))))</f>
        <v>227.78</v>
      </c>
      <c r="H24" s="13">
        <f t="shared" si="0"/>
        <v>29</v>
      </c>
    </row>
    <row r="25" spans="1:8">
      <c r="A25" s="13">
        <v>2005</v>
      </c>
      <c r="B25" s="13">
        <v>1</v>
      </c>
      <c r="C25" s="13" t="s">
        <v>39</v>
      </c>
      <c r="D25" s="13" t="s">
        <v>102</v>
      </c>
      <c r="E25" s="13">
        <f t="array" ref="E25">SUM(IF('AEO 2012 crdcrv'!$A$7:$A$2000=C25,IF('AEO 2012 crdcrv'!$I$7:$I$2000="2005",IF('AEO 2012 crdcrv'!$J$7:J$2000="Prices",'AEO 2012 crdcrv'!D$7:D$2000,0))))</f>
        <v>37.74</v>
      </c>
      <c r="F25" s="13">
        <f t="array" ref="F25">SUM(IF('AEO 2012 crdcrv'!$A$7:$A$2000=C25,IF('AEO 2012 crdcrv'!$I$7:$I$2000="2005",IF('AEO 2012 crdcrv'!$J$7:J$2000="Quantities",'AEO 2012 crdcrv'!D$7:D$2000,0))))</f>
        <v>148.24</v>
      </c>
      <c r="H25" s="13">
        <f t="shared" si="0"/>
        <v>37.74</v>
      </c>
    </row>
    <row r="26" spans="1:8">
      <c r="A26" s="13">
        <v>2005</v>
      </c>
      <c r="B26" s="13">
        <v>1</v>
      </c>
      <c r="C26" s="13" t="s">
        <v>45</v>
      </c>
      <c r="D26" s="13" t="s">
        <v>102</v>
      </c>
      <c r="E26" s="13">
        <f t="array" ref="E26">SUM(IF('AEO 2012 crdcrv'!$A$7:$A$2000=C26,IF('AEO 2012 crdcrv'!$I$7:$I$2000="2005",IF('AEO 2012 crdcrv'!$J$7:J$2000="Prices",'AEO 2012 crdcrv'!D$7:D$2000,0))))</f>
        <v>26</v>
      </c>
      <c r="F26" s="13">
        <f t="array" ref="F26">SUM(IF('AEO 2012 crdcrv'!$A$7:$A$2000=C26,IF('AEO 2012 crdcrv'!$I$7:$I$2000="2005",IF('AEO 2012 crdcrv'!$J$7:J$2000="Quantities",'AEO 2012 crdcrv'!D$7:D$2000,0))))</f>
        <v>583.42999999999995</v>
      </c>
      <c r="H26" s="13">
        <f t="shared" si="0"/>
        <v>26</v>
      </c>
    </row>
    <row r="27" spans="1:8">
      <c r="A27" s="13">
        <v>2005</v>
      </c>
      <c r="B27" s="13">
        <v>1</v>
      </c>
      <c r="C27" s="13" t="s">
        <v>33</v>
      </c>
      <c r="D27" s="13" t="s">
        <v>102</v>
      </c>
      <c r="E27" s="13">
        <f t="array" ref="E27">SUM(IF('AEO 2012 crdcrv'!$A$7:$A$2000=C27,IF('AEO 2012 crdcrv'!$I$7:$I$2000="2005",IF('AEO 2012 crdcrv'!$J$7:J$2000="Prices",'AEO 2012 crdcrv'!D$7:D$2000,0))))</f>
        <v>36.6</v>
      </c>
      <c r="F27" s="13">
        <f t="array" ref="F27">SUM(IF('AEO 2012 crdcrv'!$A$7:$A$2000=C27,IF('AEO 2012 crdcrv'!$I$7:$I$2000="2005",IF('AEO 2012 crdcrv'!$J$7:J$2000="Quantities",'AEO 2012 crdcrv'!D$7:D$2000,0))))</f>
        <v>374.87</v>
      </c>
      <c r="H27" s="13">
        <f t="shared" si="0"/>
        <v>36.6</v>
      </c>
    </row>
    <row r="28" spans="1:8">
      <c r="A28" s="13">
        <v>2005</v>
      </c>
      <c r="B28" s="13">
        <v>1</v>
      </c>
      <c r="C28" s="13" t="s">
        <v>36</v>
      </c>
      <c r="D28" s="13" t="s">
        <v>102</v>
      </c>
      <c r="E28" s="13">
        <f t="array" ref="E28">SUM(IF('AEO 2012 crdcrv'!$A$7:$A$2000=C28,IF('AEO 2012 crdcrv'!$I$7:$I$2000="2005",IF('AEO 2012 crdcrv'!$J$7:J$2000="Prices",'AEO 2012 crdcrv'!D$7:D$2000,0))))</f>
        <v>32.909999999999997</v>
      </c>
      <c r="F28" s="13">
        <f t="array" ref="F28">SUM(IF('AEO 2012 crdcrv'!$A$7:$A$2000=C28,IF('AEO 2012 crdcrv'!$I$7:$I$2000="2005",IF('AEO 2012 crdcrv'!$J$7:J$2000="Quantities",'AEO 2012 crdcrv'!D$7:D$2000,0))))</f>
        <v>227.53</v>
      </c>
      <c r="H28" s="13">
        <f t="shared" si="0"/>
        <v>32.909999999999997</v>
      </c>
    </row>
    <row r="29" spans="1:8">
      <c r="A29" s="13">
        <v>2010</v>
      </c>
      <c r="B29" s="13">
        <v>1</v>
      </c>
      <c r="C29" s="13" t="s">
        <v>42</v>
      </c>
      <c r="D29" s="13" t="s">
        <v>102</v>
      </c>
      <c r="E29" s="13">
        <f t="array" ref="E29">SUM(IF('AEO 2012 crdcrv'!$A$7:$A$2000=C29,IF('AEO 2012 crdcrv'!$I$7:$I$2000="2010",IF('AEO 2012 crdcrv'!$J$7:J$2000="Prices",'AEO 2012 crdcrv'!D$7:D$2000,0))))</f>
        <v>33.75</v>
      </c>
      <c r="F29" s="13">
        <f t="array" ref="F29">SUM(IF('AEO 2012 crdcrv'!$A$7:$A$2000=C29,IF('AEO 2012 crdcrv'!$I$7:$I$2000="2010",IF('AEO 2012 crdcrv'!$J$7:J$2000="Quantities",'AEO 2012 crdcrv'!D$7:D$2000,0))))</f>
        <v>243.83</v>
      </c>
      <c r="H29" s="13">
        <f>E29*1.25</f>
        <v>42.1875</v>
      </c>
    </row>
    <row r="30" spans="1:8">
      <c r="A30" s="13">
        <v>2010</v>
      </c>
      <c r="B30" s="13">
        <v>1</v>
      </c>
      <c r="C30" s="13" t="s">
        <v>39</v>
      </c>
      <c r="D30" s="13" t="s">
        <v>102</v>
      </c>
      <c r="E30" s="13">
        <f t="array" ref="E30">SUM(IF('AEO 2012 crdcrv'!$A$7:$A$2000=C30,IF('AEO 2012 crdcrv'!$I$7:$I$2000="2010",IF('AEO 2012 crdcrv'!$J$7:J$2000="Prices",'AEO 2012 crdcrv'!D$7:D$2000,0))))</f>
        <v>36.5</v>
      </c>
      <c r="F30" s="13">
        <f t="array" ref="F30">SUM(IF('AEO 2012 crdcrv'!$A$7:$A$2000=C30,IF('AEO 2012 crdcrv'!$I$7:$I$2000="2010",IF('AEO 2012 crdcrv'!$J$7:J$2000="Quantities",'AEO 2012 crdcrv'!D$7:D$2000,0))))</f>
        <v>118.79</v>
      </c>
      <c r="H30" s="13">
        <f t="shared" ref="H30:H33" si="2">E30*1.25</f>
        <v>45.625</v>
      </c>
    </row>
    <row r="31" spans="1:8">
      <c r="A31" s="13">
        <v>2010</v>
      </c>
      <c r="B31" s="13">
        <v>1</v>
      </c>
      <c r="C31" s="13" t="s">
        <v>45</v>
      </c>
      <c r="D31" s="13" t="s">
        <v>102</v>
      </c>
      <c r="E31" s="13">
        <f t="array" ref="E31">SUM(IF('AEO 2012 crdcrv'!$A$7:$A$2000=C31,IF('AEO 2012 crdcrv'!$I$7:$I$2000="2010",IF('AEO 2012 crdcrv'!$J$7:J$2000="Prices",'AEO 2012 crdcrv'!D$7:D$2000,0))))</f>
        <v>33.450000000000003</v>
      </c>
      <c r="F31" s="13">
        <f t="array" ref="F31">SUM(IF('AEO 2012 crdcrv'!$A$7:$A$2000=C31,IF('AEO 2012 crdcrv'!$I$7:$I$2000="2010",IF('AEO 2012 crdcrv'!$J$7:J$2000="Quantities",'AEO 2012 crdcrv'!D$7:D$2000,0))))</f>
        <v>699.11</v>
      </c>
      <c r="H31" s="13">
        <f t="shared" si="2"/>
        <v>41.8125</v>
      </c>
    </row>
    <row r="32" spans="1:8">
      <c r="A32" s="13">
        <v>2010</v>
      </c>
      <c r="B32" s="13">
        <v>1</v>
      </c>
      <c r="C32" s="13" t="s">
        <v>33</v>
      </c>
      <c r="D32" s="13" t="s">
        <v>102</v>
      </c>
      <c r="E32" s="13">
        <f t="array" ref="E32">SUM(IF('AEO 2012 crdcrv'!$A$7:$A$2000=C32,IF('AEO 2012 crdcrv'!$I$7:$I$2000="2010",IF('AEO 2012 crdcrv'!$J$7:J$2000="Prices",'AEO 2012 crdcrv'!D$7:D$2000,0))))</f>
        <v>44.35</v>
      </c>
      <c r="F32" s="13">
        <f t="array" ref="F32">SUM(IF('AEO 2012 crdcrv'!$A$7:$A$2000=C32,IF('AEO 2012 crdcrv'!$I$7:$I$2000="2010",IF('AEO 2012 crdcrv'!$J$7:J$2000="Quantities",'AEO 2012 crdcrv'!D$7:D$2000,0))))</f>
        <v>369.94</v>
      </c>
      <c r="H32" s="13">
        <f t="shared" si="2"/>
        <v>55.4375</v>
      </c>
    </row>
    <row r="33" spans="1:11">
      <c r="A33" s="13">
        <v>2010</v>
      </c>
      <c r="B33" s="13">
        <v>1</v>
      </c>
      <c r="C33" s="13" t="s">
        <v>36</v>
      </c>
      <c r="D33" s="13" t="s">
        <v>102</v>
      </c>
      <c r="E33" s="13">
        <f t="array" ref="E33">SUM(IF('AEO 2012 crdcrv'!$A$7:$A$2000=C33,IF('AEO 2012 crdcrv'!$I$7:$I$2000="2010",IF('AEO 2012 crdcrv'!$J$7:J$2000="Prices",'AEO 2012 crdcrv'!D$7:D$2000,0))))</f>
        <v>36.44</v>
      </c>
      <c r="F33" s="13">
        <f t="array" ref="F33">SUM(IF('AEO 2012 crdcrv'!$A$7:$A$2000=C33,IF('AEO 2012 crdcrv'!$I$7:$I$2000="2010",IF('AEO 2012 crdcrv'!$J$7:J$2000="Quantities",'AEO 2012 crdcrv'!D$7:D$2000,0))))</f>
        <v>34.909999999999997</v>
      </c>
      <c r="H33" s="13">
        <f t="shared" si="2"/>
        <v>45.55</v>
      </c>
    </row>
    <row r="34" spans="1:11">
      <c r="A34" s="13">
        <v>2015</v>
      </c>
      <c r="B34" s="13">
        <v>1</v>
      </c>
      <c r="C34" s="13" t="s">
        <v>42</v>
      </c>
      <c r="D34" s="13" t="s">
        <v>102</v>
      </c>
      <c r="E34" s="13">
        <f t="array" ref="E34">SUM(IF('AEO 2012 crdcrv'!$A$7:$A$2000=C34,IF('AEO 2012 crdcrv'!$I$7:$I$2000="2015",IF('AEO 2012 crdcrv'!$J$7:J$2000="Prices",'AEO 2012 crdcrv'!D$7:D$2000,0))))</f>
        <v>28.7</v>
      </c>
      <c r="F34" s="13">
        <f t="array" ref="F34">SUM(IF('AEO 2012 crdcrv'!$A$7:$A$2000=C34,IF('AEO 2012 crdcrv'!$I$7:$I$2000="2015",IF('AEO 2012 crdcrv'!$J$7:J$2000="Quantities",'AEO 2012 crdcrv'!D$7:D$2000,0))))</f>
        <v>44.46</v>
      </c>
      <c r="H34" s="13">
        <f t="shared" si="0"/>
        <v>28.7</v>
      </c>
    </row>
    <row r="35" spans="1:11">
      <c r="A35" s="13">
        <v>2015</v>
      </c>
      <c r="B35" s="13">
        <v>1</v>
      </c>
      <c r="C35" s="13" t="s">
        <v>39</v>
      </c>
      <c r="D35" s="13" t="s">
        <v>102</v>
      </c>
      <c r="E35" s="13">
        <f t="array" ref="E35">SUM(IF('AEO 2012 crdcrv'!$A$7:$A$2000=C35,IF('AEO 2012 crdcrv'!$I$7:$I$2000="2015",IF('AEO 2012 crdcrv'!$J$7:J$2000="Prices",'AEO 2012 crdcrv'!D$7:D$2000,0))))</f>
        <v>31.41</v>
      </c>
      <c r="F35" s="13">
        <f t="array" ref="F35">SUM(IF('AEO 2012 crdcrv'!$A$7:$A$2000=C35,IF('AEO 2012 crdcrv'!$I$7:$I$2000="2015",IF('AEO 2012 crdcrv'!$J$7:J$2000="Quantities",'AEO 2012 crdcrv'!D$7:D$2000,0))))</f>
        <v>30.27</v>
      </c>
      <c r="H35" s="13">
        <f t="shared" si="0"/>
        <v>31.41</v>
      </c>
    </row>
    <row r="36" spans="1:11">
      <c r="A36" s="13">
        <v>2015</v>
      </c>
      <c r="B36" s="13">
        <v>1</v>
      </c>
      <c r="C36" s="13" t="s">
        <v>45</v>
      </c>
      <c r="D36" s="13" t="s">
        <v>102</v>
      </c>
      <c r="E36" s="13">
        <f t="array" ref="E36">SUM(IF('AEO 2012 crdcrv'!$A$7:$A$2000=C36,IF('AEO 2012 crdcrv'!$I$7:$I$2000="2015",IF('AEO 2012 crdcrv'!$J$7:J$2000="Prices",'AEO 2012 crdcrv'!D$7:D$2000,0))))</f>
        <v>28.41</v>
      </c>
      <c r="F36" s="13">
        <f t="array" ref="F36">SUM(IF('AEO 2012 crdcrv'!$A$7:$A$2000=C36,IF('AEO 2012 crdcrv'!$I$7:$I$2000="2015",IF('AEO 2012 crdcrv'!$J$7:J$2000="Quantities",'AEO 2012 crdcrv'!D$7:D$2000,0))))</f>
        <v>43.85</v>
      </c>
      <c r="H36" s="13">
        <f t="shared" si="0"/>
        <v>28.41</v>
      </c>
    </row>
    <row r="37" spans="1:11">
      <c r="A37" s="13">
        <v>2015</v>
      </c>
      <c r="B37" s="13">
        <v>1</v>
      </c>
      <c r="C37" s="13" t="s">
        <v>33</v>
      </c>
      <c r="D37" s="13" t="s">
        <v>102</v>
      </c>
      <c r="E37" s="13">
        <f t="array" ref="E37">SUM(IF('AEO 2012 crdcrv'!$A$7:$A$2000=C37,IF('AEO 2012 crdcrv'!$I$7:$I$2000="2015",IF('AEO 2012 crdcrv'!$J$7:J$2000="Prices",'AEO 2012 crdcrv'!D$7:D$2000,0))))</f>
        <v>38.44</v>
      </c>
      <c r="F37" s="13">
        <f t="array" ref="F37">SUM(IF('AEO 2012 crdcrv'!$A$7:$A$2000=C37,IF('AEO 2012 crdcrv'!$I$7:$I$2000="2015",IF('AEO 2012 crdcrv'!$J$7:J$2000="Quantities",'AEO 2012 crdcrv'!D$7:D$2000,0))))</f>
        <v>1.85</v>
      </c>
      <c r="H37" s="13">
        <f t="shared" si="0"/>
        <v>38.44</v>
      </c>
    </row>
    <row r="38" spans="1:11">
      <c r="A38" s="13">
        <v>2015</v>
      </c>
      <c r="B38" s="13">
        <v>1</v>
      </c>
      <c r="C38" s="13" t="s">
        <v>36</v>
      </c>
      <c r="D38" s="13" t="s">
        <v>102</v>
      </c>
      <c r="E38" s="13">
        <f t="array" ref="E38">SUM(IF('AEO 2012 crdcrv'!$A$7:$A$2000=C38,IF('AEO 2012 crdcrv'!$I$7:$I$2000="2015",IF('AEO 2012 crdcrv'!$J$7:J$2000="Prices",'AEO 2012 crdcrv'!D$7:D$2000,0))))</f>
        <v>31.31</v>
      </c>
      <c r="F38" s="13">
        <f t="array" ref="F38">SUM(IF('AEO 2012 crdcrv'!$A$7:$A$2000=C38,IF('AEO 2012 crdcrv'!$I$7:$I$2000="2015",IF('AEO 2012 crdcrv'!$J$7:J$2000="Quantities",'AEO 2012 crdcrv'!D$7:D$2000,0))))</f>
        <v>3.86</v>
      </c>
      <c r="H38" s="13">
        <f t="shared" si="0"/>
        <v>31.31</v>
      </c>
    </row>
    <row r="39" spans="1:11">
      <c r="A39" s="13">
        <v>2020</v>
      </c>
      <c r="B39" s="13">
        <v>1</v>
      </c>
      <c r="C39" s="13" t="s">
        <v>42</v>
      </c>
      <c r="D39" s="13" t="s">
        <v>102</v>
      </c>
      <c r="E39" s="13">
        <f t="array" ref="E39">SUM(IF('AEO 2012 crdcrv'!$A$7:$A$2000=C39,IF('AEO 2012 crdcrv'!$I$7:$I$2000="2020",IF('AEO 2012 crdcrv'!$J$7:J$2000="Prices",'AEO 2012 crdcrv'!D$7:D$2000,0))))</f>
        <v>30.37</v>
      </c>
      <c r="F39" s="13">
        <f t="array" ref="F39">SUM(IF('AEO 2012 crdcrv'!$A$7:$A$2000=C39,IF('AEO 2012 crdcrv'!$I$7:$I$2000="2020",IF('AEO 2012 crdcrv'!$J$7:J$2000="Quantities",'AEO 2012 crdcrv'!D$7:D$2000,0))))</f>
        <v>49.09</v>
      </c>
      <c r="H39" s="13">
        <f t="shared" si="0"/>
        <v>30.37</v>
      </c>
    </row>
    <row r="40" spans="1:11">
      <c r="A40" s="13">
        <v>2020</v>
      </c>
      <c r="B40" s="13">
        <v>1</v>
      </c>
      <c r="C40" s="13" t="s">
        <v>39</v>
      </c>
      <c r="D40" s="13" t="s">
        <v>102</v>
      </c>
      <c r="E40" s="13">
        <f t="array" ref="E40">SUM(IF('AEO 2012 crdcrv'!$A$7:$A$2000=C40,IF('AEO 2012 crdcrv'!$I$7:$I$2000="2020",IF('AEO 2012 crdcrv'!$J$7:J$2000="Prices",'AEO 2012 crdcrv'!D$7:D$2000,0))))</f>
        <v>33.1</v>
      </c>
      <c r="F40" s="13">
        <f t="array" ref="F40">SUM(IF('AEO 2012 crdcrv'!$A$7:$A$2000=C40,IF('AEO 2012 crdcrv'!$I$7:$I$2000="2020",IF('AEO 2012 crdcrv'!$J$7:J$2000="Quantities",'AEO 2012 crdcrv'!D$7:D$2000,0))))</f>
        <v>33.42</v>
      </c>
      <c r="H40" s="13">
        <f t="shared" si="0"/>
        <v>33.1</v>
      </c>
    </row>
    <row r="41" spans="1:11">
      <c r="A41" s="13">
        <v>2020</v>
      </c>
      <c r="B41" s="13">
        <v>1</v>
      </c>
      <c r="C41" s="13" t="s">
        <v>45</v>
      </c>
      <c r="D41" s="13" t="s">
        <v>102</v>
      </c>
      <c r="E41" s="13">
        <f t="array" ref="E41">SUM(IF('AEO 2012 crdcrv'!$A$7:$A$2000=C41,IF('AEO 2012 crdcrv'!$I$7:$I$2000="2020",IF('AEO 2012 crdcrv'!$J$7:J$2000="Prices",'AEO 2012 crdcrv'!D$7:D$2000,0))))</f>
        <v>30.08</v>
      </c>
      <c r="F41" s="13">
        <f t="array" ref="F41">SUM(IF('AEO 2012 crdcrv'!$A$7:$A$2000=C41,IF('AEO 2012 crdcrv'!$I$7:$I$2000="2020",IF('AEO 2012 crdcrv'!$J$7:J$2000="Quantities",'AEO 2012 crdcrv'!D$7:D$2000,0))))</f>
        <v>48.42</v>
      </c>
      <c r="H41" s="13">
        <f t="shared" si="0"/>
        <v>30.08</v>
      </c>
    </row>
    <row r="42" spans="1:11">
      <c r="A42" s="13">
        <v>2020</v>
      </c>
      <c r="B42" s="13">
        <v>1</v>
      </c>
      <c r="C42" s="13" t="s">
        <v>33</v>
      </c>
      <c r="D42" s="13" t="s">
        <v>102</v>
      </c>
      <c r="E42" s="13">
        <f t="array" ref="E42">SUM(IF('AEO 2012 crdcrv'!$A$7:$A$2000=C42,IF('AEO 2012 crdcrv'!$I$7:$I$2000="2020",IF('AEO 2012 crdcrv'!$J$7:J$2000="Prices",'AEO 2012 crdcrv'!D$7:D$2000,0))))</f>
        <v>40.4</v>
      </c>
      <c r="F42" s="13">
        <f t="array" ref="F42">SUM(IF('AEO 2012 crdcrv'!$A$7:$A$2000=C42,IF('AEO 2012 crdcrv'!$I$7:$I$2000="2020",IF('AEO 2012 crdcrv'!$J$7:J$2000="Quantities",'AEO 2012 crdcrv'!D$7:D$2000,0))))</f>
        <v>2.0499999999999998</v>
      </c>
      <c r="H42" s="13">
        <f t="shared" si="0"/>
        <v>40.4</v>
      </c>
    </row>
    <row r="43" spans="1:11">
      <c r="A43" s="13">
        <v>2020</v>
      </c>
      <c r="B43" s="13">
        <v>1</v>
      </c>
      <c r="C43" s="13" t="s">
        <v>36</v>
      </c>
      <c r="D43" s="13" t="s">
        <v>102</v>
      </c>
      <c r="E43" s="13">
        <f t="array" ref="E43">SUM(IF('AEO 2012 crdcrv'!$A$7:$A$2000=C43,IF('AEO 2012 crdcrv'!$I$7:$I$2000="2020",IF('AEO 2012 crdcrv'!$J$7:J$2000="Prices",'AEO 2012 crdcrv'!D$7:D$2000,0))))</f>
        <v>33.020000000000003</v>
      </c>
      <c r="F43" s="13">
        <f t="array" ref="F43">SUM(IF('AEO 2012 crdcrv'!$A$7:$A$2000=C43,IF('AEO 2012 crdcrv'!$I$7:$I$2000="2020",IF('AEO 2012 crdcrv'!$J$7:J$2000="Quantities",'AEO 2012 crdcrv'!D$7:D$2000,0))))</f>
        <v>4.26</v>
      </c>
      <c r="H43" s="13">
        <f t="shared" si="0"/>
        <v>33.020000000000003</v>
      </c>
    </row>
    <row r="44" spans="1:11">
      <c r="A44" s="13">
        <v>2005</v>
      </c>
      <c r="B44" s="13">
        <v>1</v>
      </c>
      <c r="C44" s="13" t="s">
        <v>42</v>
      </c>
      <c r="D44" s="13" t="s">
        <v>106</v>
      </c>
      <c r="E44" s="13">
        <f t="array" ref="E44">SUM(IF('AEO 2012 crdcrv'!$A$7:$A$2000=C44,IF('AEO 2012 crdcrv'!$I$7:$I$2000="2005",IF('AEO 2012 crdcrv'!$J$7:J$2000="Prices",'AEO 2012 crdcrv'!E$7:E$2000,0))))</f>
        <v>29</v>
      </c>
      <c r="F44" s="13">
        <f t="array" ref="F44">SUM(IF('AEO 2012 crdcrv'!$A$7:$A$2000=C44,IF('AEO 2012 crdcrv'!$I$7:$I$2000="2005",IF('AEO 2012 crdcrv'!$J$7:J$2000="Quantities",'AEO 2012 crdcrv'!E$7:E$2000,0))))</f>
        <v>1525.41</v>
      </c>
      <c r="H44" s="13">
        <f t="shared" si="0"/>
        <v>29</v>
      </c>
      <c r="I44" s="13"/>
      <c r="J44" s="13"/>
      <c r="K44" s="13"/>
    </row>
    <row r="45" spans="1:11">
      <c r="A45" s="13">
        <v>2005</v>
      </c>
      <c r="B45" s="13">
        <v>1</v>
      </c>
      <c r="C45" s="13" t="s">
        <v>39</v>
      </c>
      <c r="D45" s="13" t="s">
        <v>106</v>
      </c>
      <c r="E45" s="13">
        <f t="array" ref="E45">SUM(IF('AEO 2012 crdcrv'!$A$7:$A$2000=C45,IF('AEO 2012 crdcrv'!$I$7:$I$2000="2005",IF('AEO 2012 crdcrv'!$J$7:J$2000="Prices",'AEO 2012 crdcrv'!E$7:E$2000,0))))</f>
        <v>37.74</v>
      </c>
      <c r="F45" s="13">
        <f t="array" ref="F45">SUM(IF('AEO 2012 crdcrv'!$A$7:$A$2000=C45,IF('AEO 2012 crdcrv'!$I$7:$I$2000="2005",IF('AEO 2012 crdcrv'!$J$7:J$2000="Quantities",'AEO 2012 crdcrv'!E$7:E$2000,0))))</f>
        <v>270.20999999999998</v>
      </c>
      <c r="H45" s="13">
        <f t="shared" si="0"/>
        <v>37.74</v>
      </c>
    </row>
    <row r="46" spans="1:11">
      <c r="A46" s="13">
        <v>2005</v>
      </c>
      <c r="B46" s="13">
        <v>1</v>
      </c>
      <c r="C46" s="13" t="s">
        <v>45</v>
      </c>
      <c r="D46" s="13" t="s">
        <v>106</v>
      </c>
      <c r="E46" s="13">
        <f t="array" ref="E46">SUM(IF('AEO 2012 crdcrv'!$A$7:$A$2000=C46,IF('AEO 2012 crdcrv'!$I$7:$I$2000="2005",IF('AEO 2012 crdcrv'!$J$7:J$2000="Prices",'AEO 2012 crdcrv'!E$7:E$2000,0))))</f>
        <v>26</v>
      </c>
      <c r="F46" s="13">
        <f t="array" ref="F46">SUM(IF('AEO 2012 crdcrv'!$A$7:$A$2000=C46,IF('AEO 2012 crdcrv'!$I$7:$I$2000="2005",IF('AEO 2012 crdcrv'!$J$7:J$2000="Quantities",'AEO 2012 crdcrv'!E$7:E$2000,0))))</f>
        <v>2051.17</v>
      </c>
      <c r="H46" s="13">
        <f t="shared" si="0"/>
        <v>26</v>
      </c>
    </row>
    <row r="47" spans="1:11">
      <c r="A47" s="13">
        <v>2005</v>
      </c>
      <c r="B47" s="13">
        <v>1</v>
      </c>
      <c r="C47" s="13" t="s">
        <v>33</v>
      </c>
      <c r="D47" s="13" t="s">
        <v>106</v>
      </c>
      <c r="E47" s="13">
        <f t="array" ref="E47">SUM(IF('AEO 2012 crdcrv'!$A$7:$A$2000=C47,IF('AEO 2012 crdcrv'!$I$7:$I$2000="2005",IF('AEO 2012 crdcrv'!$J$7:J$2000="Prices",'AEO 2012 crdcrv'!E$7:E$2000,0))))</f>
        <v>36.6</v>
      </c>
      <c r="F47" s="13">
        <f t="array" ref="F47">SUM(IF('AEO 2012 crdcrv'!$A$7:$A$2000=C47,IF('AEO 2012 crdcrv'!$I$7:$I$2000="2005",IF('AEO 2012 crdcrv'!$J$7:J$2000="Quantities",'AEO 2012 crdcrv'!E$7:E$2000,0))))</f>
        <v>1327.66</v>
      </c>
      <c r="H47" s="13">
        <f t="shared" si="0"/>
        <v>36.6</v>
      </c>
      <c r="I47" s="13"/>
      <c r="J47" s="13"/>
      <c r="K47" s="13"/>
    </row>
    <row r="48" spans="1:11">
      <c r="A48" s="13">
        <v>2005</v>
      </c>
      <c r="B48" s="13">
        <v>1</v>
      </c>
      <c r="C48" s="13" t="s">
        <v>36</v>
      </c>
      <c r="D48" s="13" t="s">
        <v>106</v>
      </c>
      <c r="E48" s="13">
        <f t="array" ref="E48">SUM(IF('AEO 2012 crdcrv'!$A$7:$A$2000=C48,IF('AEO 2012 crdcrv'!$I$7:$I$2000="2005",IF('AEO 2012 crdcrv'!$J$7:J$2000="Prices",'AEO 2012 crdcrv'!E$7:E$2000,0))))</f>
        <v>32.909999999999997</v>
      </c>
      <c r="F48" s="13">
        <f t="array" ref="F48">SUM(IF('AEO 2012 crdcrv'!$A$7:$A$2000=C48,IF('AEO 2012 crdcrv'!$I$7:$I$2000="2005",IF('AEO 2012 crdcrv'!$J$7:J$2000="Quantities",'AEO 2012 crdcrv'!E$7:E$2000,0))))</f>
        <v>545.74</v>
      </c>
      <c r="H48" s="13">
        <f t="shared" si="0"/>
        <v>32.909999999999997</v>
      </c>
      <c r="I48" s="13"/>
      <c r="J48" s="13"/>
      <c r="K48" s="13"/>
    </row>
    <row r="49" spans="1:8">
      <c r="A49" s="13">
        <v>2010</v>
      </c>
      <c r="B49" s="13">
        <v>1</v>
      </c>
      <c r="C49" s="13" t="s">
        <v>42</v>
      </c>
      <c r="D49" s="13" t="s">
        <v>106</v>
      </c>
      <c r="E49" s="13">
        <f t="array" ref="E49">SUM(IF('AEO 2012 crdcrv'!$A$7:$A$2000=C49,IF('AEO 2012 crdcrv'!$I$7:$I$2000="2010",IF('AEO 2012 crdcrv'!$J$7:J$2000="Prices",'AEO 2012 crdcrv'!E$7:E$2000,0))))</f>
        <v>33.75</v>
      </c>
      <c r="F49" s="13">
        <f t="array" ref="F49">SUM(IF('AEO 2012 crdcrv'!$A$7:$A$2000=C49,IF('AEO 2012 crdcrv'!$I$7:$I$2000="2010",IF('AEO 2012 crdcrv'!$J$7:J$2000="Quantities",'AEO 2012 crdcrv'!E$7:E$2000,0))))</f>
        <v>1078.94</v>
      </c>
      <c r="H49" s="13">
        <f>E49*1.25</f>
        <v>42.1875</v>
      </c>
    </row>
    <row r="50" spans="1:8">
      <c r="A50" s="13">
        <v>2010</v>
      </c>
      <c r="B50" s="13">
        <v>1</v>
      </c>
      <c r="C50" s="13" t="s">
        <v>39</v>
      </c>
      <c r="D50" s="13" t="s">
        <v>106</v>
      </c>
      <c r="E50" s="13">
        <f t="array" ref="E50">SUM(IF('AEO 2012 crdcrv'!$A$7:$A$2000=C50,IF('AEO 2012 crdcrv'!$I$7:$I$2000="2010",IF('AEO 2012 crdcrv'!$J$7:J$2000="Prices",'AEO 2012 crdcrv'!E$7:E$2000,0))))</f>
        <v>36.5</v>
      </c>
      <c r="F50" s="13">
        <f t="array" ref="F50">SUM(IF('AEO 2012 crdcrv'!$A$7:$A$2000=C50,IF('AEO 2012 crdcrv'!$I$7:$I$2000="2010",IF('AEO 2012 crdcrv'!$J$7:J$2000="Quantities",'AEO 2012 crdcrv'!E$7:E$2000,0))))</f>
        <v>328.69</v>
      </c>
      <c r="H50" s="13">
        <f t="shared" ref="H50:H53" si="3">E50*1.25</f>
        <v>45.625</v>
      </c>
    </row>
    <row r="51" spans="1:8">
      <c r="A51" s="13">
        <v>2010</v>
      </c>
      <c r="B51" s="13">
        <v>1</v>
      </c>
      <c r="C51" s="13" t="s">
        <v>45</v>
      </c>
      <c r="D51" s="13" t="s">
        <v>106</v>
      </c>
      <c r="E51" s="13">
        <f t="array" ref="E51">SUM(IF('AEO 2012 crdcrv'!$A$7:$A$2000=C51,IF('AEO 2012 crdcrv'!$I$7:$I$2000="2010",IF('AEO 2012 crdcrv'!$J$7:J$2000="Prices",'AEO 2012 crdcrv'!E$7:E$2000,0))))</f>
        <v>33.450000000000003</v>
      </c>
      <c r="F51" s="13">
        <f t="array" ref="F51">SUM(IF('AEO 2012 crdcrv'!$A$7:$A$2000=C51,IF('AEO 2012 crdcrv'!$I$7:$I$2000="2010",IF('AEO 2012 crdcrv'!$J$7:J$2000="Quantities",'AEO 2012 crdcrv'!E$7:E$2000,0))))</f>
        <v>2083.44</v>
      </c>
      <c r="H51" s="13">
        <f t="shared" si="3"/>
        <v>41.8125</v>
      </c>
    </row>
    <row r="52" spans="1:8">
      <c r="A52" s="13">
        <v>2010</v>
      </c>
      <c r="B52" s="13">
        <v>1</v>
      </c>
      <c r="C52" s="13" t="s">
        <v>33</v>
      </c>
      <c r="D52" s="13" t="s">
        <v>106</v>
      </c>
      <c r="E52" s="13">
        <f t="array" ref="E52">SUM(IF('AEO 2012 crdcrv'!$A$7:$A$2000=C52,IF('AEO 2012 crdcrv'!$I$7:$I$2000="2010",IF('AEO 2012 crdcrv'!$J$7:J$2000="Prices",'AEO 2012 crdcrv'!E$7:E$2000,0))))</f>
        <v>44.35</v>
      </c>
      <c r="F52" s="13">
        <f t="array" ref="F52">SUM(IF('AEO 2012 crdcrv'!$A$7:$A$2000=C52,IF('AEO 2012 crdcrv'!$I$7:$I$2000="2010",IF('AEO 2012 crdcrv'!$J$7:J$2000="Quantities",'AEO 2012 crdcrv'!E$7:E$2000,0))))</f>
        <v>1310.29</v>
      </c>
      <c r="H52" s="13">
        <f t="shared" si="3"/>
        <v>55.4375</v>
      </c>
    </row>
    <row r="53" spans="1:8">
      <c r="A53" s="13">
        <v>2010</v>
      </c>
      <c r="B53" s="13">
        <v>1</v>
      </c>
      <c r="C53" s="13" t="s">
        <v>36</v>
      </c>
      <c r="D53" s="13" t="s">
        <v>106</v>
      </c>
      <c r="E53" s="13">
        <f t="array" ref="E53">SUM(IF('AEO 2012 crdcrv'!$A$7:$A$2000=C53,IF('AEO 2012 crdcrv'!$I$7:$I$2000="2010",IF('AEO 2012 crdcrv'!$J$7:J$2000="Prices",'AEO 2012 crdcrv'!E$7:E$2000,0))))</f>
        <v>36.44</v>
      </c>
      <c r="F53" s="13">
        <f t="array" ref="F53">SUM(IF('AEO 2012 crdcrv'!$A$7:$A$2000=C53,IF('AEO 2012 crdcrv'!$I$7:$I$2000="2010",IF('AEO 2012 crdcrv'!$J$7:J$2000="Quantities",'AEO 2012 crdcrv'!E$7:E$2000,0))))</f>
        <v>425.12</v>
      </c>
      <c r="H53" s="13">
        <f t="shared" si="3"/>
        <v>45.55</v>
      </c>
    </row>
    <row r="54" spans="1:8">
      <c r="A54" s="13">
        <v>2015</v>
      </c>
      <c r="B54" s="13">
        <v>1</v>
      </c>
      <c r="C54" s="13" t="s">
        <v>42</v>
      </c>
      <c r="D54" s="13" t="s">
        <v>106</v>
      </c>
      <c r="E54" s="13">
        <f t="array" ref="E54">SUM(IF('AEO 2012 crdcrv'!$A$7:$A$2000=C54,IF('AEO 2012 crdcrv'!$I$7:$I$2000="2015",IF('AEO 2012 crdcrv'!$J$7:J$2000="Prices",'AEO 2012 crdcrv'!E$7:E$2000,0))))</f>
        <v>28.7</v>
      </c>
      <c r="F54" s="13">
        <f t="array" ref="F54">SUM(IF('AEO 2012 crdcrv'!$A$7:$A$2000=C54,IF('AEO 2012 crdcrv'!$I$7:$I$2000="2015",IF('AEO 2012 crdcrv'!$J$7:J$2000="Quantities",'AEO 2012 crdcrv'!E$7:E$2000,0))))</f>
        <v>432.71</v>
      </c>
      <c r="H54" s="13">
        <f t="shared" si="0"/>
        <v>28.7</v>
      </c>
    </row>
    <row r="55" spans="1:8">
      <c r="A55" s="13">
        <v>2015</v>
      </c>
      <c r="B55" s="13">
        <v>1</v>
      </c>
      <c r="C55" s="13" t="s">
        <v>39</v>
      </c>
      <c r="D55" s="13" t="s">
        <v>106</v>
      </c>
      <c r="E55" s="13">
        <f t="array" ref="E55">SUM(IF('AEO 2012 crdcrv'!$A$7:$A$2000=C55,IF('AEO 2012 crdcrv'!$I$7:$I$2000="2015",IF('AEO 2012 crdcrv'!$J$7:J$2000="Prices",'AEO 2012 crdcrv'!E$7:E$2000,0))))</f>
        <v>31.41</v>
      </c>
      <c r="F55" s="13">
        <f t="array" ref="F55">SUM(IF('AEO 2012 crdcrv'!$A$7:$A$2000=C55,IF('AEO 2012 crdcrv'!$I$7:$I$2000="2015",IF('AEO 2012 crdcrv'!$J$7:J$2000="Quantities",'AEO 2012 crdcrv'!E$7:E$2000,0))))</f>
        <v>63.98</v>
      </c>
      <c r="H55" s="13">
        <f t="shared" si="0"/>
        <v>31.41</v>
      </c>
    </row>
    <row r="56" spans="1:8">
      <c r="A56" s="13">
        <v>2015</v>
      </c>
      <c r="B56" s="13">
        <v>1</v>
      </c>
      <c r="C56" s="13" t="s">
        <v>45</v>
      </c>
      <c r="D56" s="13" t="s">
        <v>106</v>
      </c>
      <c r="E56" s="13">
        <f t="array" ref="E56">SUM(IF('AEO 2012 crdcrv'!$A$7:$A$2000=C56,IF('AEO 2012 crdcrv'!$I$7:$I$2000="2015",IF('AEO 2012 crdcrv'!$J$7:J$2000="Prices",'AEO 2012 crdcrv'!E$7:E$2000,0))))</f>
        <v>28.41</v>
      </c>
      <c r="F56" s="13">
        <f t="array" ref="F56">SUM(IF('AEO 2012 crdcrv'!$A$7:$A$2000=C56,IF('AEO 2012 crdcrv'!$I$7:$I$2000="2015",IF('AEO 2012 crdcrv'!$J$7:J$2000="Quantities",'AEO 2012 crdcrv'!E$7:E$2000,0))))</f>
        <v>99.62</v>
      </c>
      <c r="H56" s="13">
        <f t="shared" si="0"/>
        <v>28.41</v>
      </c>
    </row>
    <row r="57" spans="1:8">
      <c r="A57" s="13">
        <v>2015</v>
      </c>
      <c r="B57" s="13">
        <v>1</v>
      </c>
      <c r="C57" s="13" t="s">
        <v>33</v>
      </c>
      <c r="D57" s="13" t="s">
        <v>106</v>
      </c>
      <c r="E57" s="13">
        <f t="array" ref="E57">SUM(IF('AEO 2012 crdcrv'!$A$7:$A$2000=C57,IF('AEO 2012 crdcrv'!$I$7:$I$2000="2015",IF('AEO 2012 crdcrv'!$J$7:J$2000="Prices",'AEO 2012 crdcrv'!E$7:E$2000,0))))</f>
        <v>38.44</v>
      </c>
      <c r="F57" s="13">
        <f t="array" ref="F57">SUM(IF('AEO 2012 crdcrv'!$A$7:$A$2000=C57,IF('AEO 2012 crdcrv'!$I$7:$I$2000="2015",IF('AEO 2012 crdcrv'!$J$7:J$2000="Quantities",'AEO 2012 crdcrv'!E$7:E$2000,0))))</f>
        <v>16.72</v>
      </c>
      <c r="H57" s="13">
        <f t="shared" si="0"/>
        <v>38.44</v>
      </c>
    </row>
    <row r="58" spans="1:8">
      <c r="A58" s="13">
        <v>2015</v>
      </c>
      <c r="B58" s="13">
        <v>1</v>
      </c>
      <c r="C58" s="13" t="s">
        <v>36</v>
      </c>
      <c r="D58" s="13" t="s">
        <v>106</v>
      </c>
      <c r="E58" s="13">
        <f t="array" ref="E58">SUM(IF('AEO 2012 crdcrv'!$A$7:$A$2000=C58,IF('AEO 2012 crdcrv'!$I$7:$I$2000="2015",IF('AEO 2012 crdcrv'!$J$7:J$2000="Prices",'AEO 2012 crdcrv'!E$7:E$2000,0))))</f>
        <v>31.31</v>
      </c>
      <c r="F58" s="13">
        <f t="array" ref="F58">SUM(IF('AEO 2012 crdcrv'!$A$7:$A$2000=C58,IF('AEO 2012 crdcrv'!$I$7:$I$2000="2015",IF('AEO 2012 crdcrv'!$J$7:J$2000="Quantities",'AEO 2012 crdcrv'!E$7:E$2000,0))))</f>
        <v>80.13</v>
      </c>
      <c r="H58" s="13">
        <f t="shared" si="0"/>
        <v>31.31</v>
      </c>
    </row>
    <row r="59" spans="1:8">
      <c r="A59" s="13">
        <v>2020</v>
      </c>
      <c r="B59" s="13">
        <v>1</v>
      </c>
      <c r="C59" s="13" t="s">
        <v>42</v>
      </c>
      <c r="D59" s="13" t="s">
        <v>106</v>
      </c>
      <c r="E59" s="13">
        <f t="array" ref="E59">SUM(IF('AEO 2012 crdcrv'!$A$7:$A$2000=C59,IF('AEO 2012 crdcrv'!$I$7:$I$2000="2020",IF('AEO 2012 crdcrv'!$J$7:J$2000="Prices",'AEO 2012 crdcrv'!E$7:E$2000,0))))</f>
        <v>30.37</v>
      </c>
      <c r="F59" s="13">
        <f t="array" ref="F59">SUM(IF('AEO 2012 crdcrv'!$A$7:$A$2000=C59,IF('AEO 2012 crdcrv'!$I$7:$I$2000="2020",IF('AEO 2012 crdcrv'!$J$7:J$2000="Quantities",'AEO 2012 crdcrv'!E$7:E$2000,0))))</f>
        <v>477.74</v>
      </c>
      <c r="H59" s="13">
        <f t="shared" si="0"/>
        <v>30.37</v>
      </c>
    </row>
    <row r="60" spans="1:8">
      <c r="A60" s="13">
        <v>2020</v>
      </c>
      <c r="B60" s="13">
        <v>1</v>
      </c>
      <c r="C60" s="13" t="s">
        <v>39</v>
      </c>
      <c r="D60" s="13" t="s">
        <v>106</v>
      </c>
      <c r="E60" s="13">
        <f t="array" ref="E60">SUM(IF('AEO 2012 crdcrv'!$A$7:$A$2000=C60,IF('AEO 2012 crdcrv'!$I$7:$I$2000="2020",IF('AEO 2012 crdcrv'!$J$7:J$2000="Prices",'AEO 2012 crdcrv'!E$7:E$2000,0))))</f>
        <v>33.1</v>
      </c>
      <c r="F60" s="13">
        <f t="array" ref="F60">SUM(IF('AEO 2012 crdcrv'!$A$7:$A$2000=C60,IF('AEO 2012 crdcrv'!$I$7:$I$2000="2020",IF('AEO 2012 crdcrv'!$J$7:J$2000="Quantities",'AEO 2012 crdcrv'!E$7:E$2000,0))))</f>
        <v>70.64</v>
      </c>
      <c r="H60" s="13">
        <f t="shared" si="0"/>
        <v>33.1</v>
      </c>
    </row>
    <row r="61" spans="1:8">
      <c r="A61" s="13">
        <v>2020</v>
      </c>
      <c r="B61" s="13">
        <v>1</v>
      </c>
      <c r="C61" s="13" t="s">
        <v>45</v>
      </c>
      <c r="D61" s="13" t="s">
        <v>106</v>
      </c>
      <c r="E61" s="13">
        <f t="array" ref="E61">SUM(IF('AEO 2012 crdcrv'!$A$7:$A$2000=C61,IF('AEO 2012 crdcrv'!$I$7:$I$2000="2020",IF('AEO 2012 crdcrv'!$J$7:J$2000="Prices",'AEO 2012 crdcrv'!E$7:E$2000,0))))</f>
        <v>30.08</v>
      </c>
      <c r="F61" s="13">
        <f t="array" ref="F61">SUM(IF('AEO 2012 crdcrv'!$A$7:$A$2000=C61,IF('AEO 2012 crdcrv'!$I$7:$I$2000="2020",IF('AEO 2012 crdcrv'!$J$7:J$2000="Quantities",'AEO 2012 crdcrv'!E$7:E$2000,0))))</f>
        <v>109.98</v>
      </c>
      <c r="H61" s="13">
        <f t="shared" si="0"/>
        <v>30.08</v>
      </c>
    </row>
    <row r="62" spans="1:8">
      <c r="A62" s="13">
        <v>2020</v>
      </c>
      <c r="B62" s="13">
        <v>1</v>
      </c>
      <c r="C62" s="13" t="s">
        <v>33</v>
      </c>
      <c r="D62" s="13" t="s">
        <v>106</v>
      </c>
      <c r="E62" s="13">
        <f t="array" ref="E62">SUM(IF('AEO 2012 crdcrv'!$A$7:$A$2000=C62,IF('AEO 2012 crdcrv'!$I$7:$I$2000="2020",IF('AEO 2012 crdcrv'!$J$7:J$2000="Prices",'AEO 2012 crdcrv'!E$7:E$2000,0))))</f>
        <v>40.4</v>
      </c>
      <c r="F62" s="13">
        <f t="array" ref="F62">SUM(IF('AEO 2012 crdcrv'!$A$7:$A$2000=C62,IF('AEO 2012 crdcrv'!$I$7:$I$2000="2020",IF('AEO 2012 crdcrv'!$J$7:J$2000="Quantities",'AEO 2012 crdcrv'!E$7:E$2000,0))))</f>
        <v>18.46</v>
      </c>
      <c r="H62" s="13">
        <f t="shared" si="0"/>
        <v>40.4</v>
      </c>
    </row>
    <row r="63" spans="1:8">
      <c r="A63" s="13">
        <v>2020</v>
      </c>
      <c r="B63" s="13">
        <v>1</v>
      </c>
      <c r="C63" s="13" t="s">
        <v>36</v>
      </c>
      <c r="D63" s="13" t="s">
        <v>106</v>
      </c>
      <c r="E63" s="13">
        <f t="array" ref="E63">SUM(IF('AEO 2012 crdcrv'!$A$7:$A$2000=C63,IF('AEO 2012 crdcrv'!$I$7:$I$2000="2020",IF('AEO 2012 crdcrv'!$J$7:J$2000="Prices",'AEO 2012 crdcrv'!E$7:E$2000,0))))</f>
        <v>33.020000000000003</v>
      </c>
      <c r="F63" s="13">
        <f t="array" ref="F63">SUM(IF('AEO 2012 crdcrv'!$A$7:$A$2000=C63,IF('AEO 2012 crdcrv'!$I$7:$I$2000="2020",IF('AEO 2012 crdcrv'!$J$7:J$2000="Quantities",'AEO 2012 crdcrv'!E$7:E$2000,0))))</f>
        <v>88.47</v>
      </c>
      <c r="H63" s="13">
        <f t="shared" si="0"/>
        <v>33.020000000000003</v>
      </c>
    </row>
    <row r="64" spans="1:8">
      <c r="A64" s="13">
        <v>2005</v>
      </c>
      <c r="B64" s="13">
        <v>1</v>
      </c>
      <c r="C64" s="13" t="s">
        <v>42</v>
      </c>
      <c r="D64" s="13" t="s">
        <v>110</v>
      </c>
      <c r="E64" s="13">
        <f t="array" ref="E64">SUM(IF('AEO 2012 crdcrv'!$A$7:$A$2000=C64,IF('AEO 2012 crdcrv'!$I$7:$I$2000="2005",IF('AEO 2012 crdcrv'!$J$7:J$2000="Prices",'AEO 2012 crdcrv'!F$7:F$2000,0))))</f>
        <v>29</v>
      </c>
      <c r="F64" s="13">
        <f t="array" ref="F64">SUM(IF('AEO 2012 crdcrv'!$A$7:$A$2000=C64,IF('AEO 2012 crdcrv'!$I$7:$I$2000="2005",IF('AEO 2012 crdcrv'!$J$7:J$2000="Quantities",'AEO 2012 crdcrv'!F$7:F$2000,0))))</f>
        <v>19.690000000000001</v>
      </c>
      <c r="H64" s="13">
        <f t="shared" si="0"/>
        <v>29</v>
      </c>
    </row>
    <row r="65" spans="1:8">
      <c r="A65" s="13">
        <v>2005</v>
      </c>
      <c r="B65" s="13">
        <v>1</v>
      </c>
      <c r="C65" s="13" t="s">
        <v>39</v>
      </c>
      <c r="D65" s="13" t="s">
        <v>110</v>
      </c>
      <c r="E65" s="13">
        <f t="array" ref="E65">SUM(IF('AEO 2012 crdcrv'!$A$7:$A$2000=C65,IF('AEO 2012 crdcrv'!$I$7:$I$2000="2005",IF('AEO 2012 crdcrv'!$J$7:J$2000="Prices",'AEO 2012 crdcrv'!F$7:F$2000,0))))</f>
        <v>37.74</v>
      </c>
      <c r="F65" s="13">
        <f t="array" ref="F65">SUM(IF('AEO 2012 crdcrv'!$A$7:$A$2000=C65,IF('AEO 2012 crdcrv'!$I$7:$I$2000="2005",IF('AEO 2012 crdcrv'!$J$7:J$2000="Quantities",'AEO 2012 crdcrv'!F$7:F$2000,0))))</f>
        <v>2.4500000000000002</v>
      </c>
      <c r="H65" s="13">
        <f t="shared" si="0"/>
        <v>37.74</v>
      </c>
    </row>
    <row r="66" spans="1:8">
      <c r="A66" s="13">
        <v>2005</v>
      </c>
      <c r="B66" s="13">
        <v>1</v>
      </c>
      <c r="C66" s="13" t="s">
        <v>45</v>
      </c>
      <c r="D66" s="13" t="s">
        <v>110</v>
      </c>
      <c r="E66" s="13">
        <f t="array" ref="E66">SUM(IF('AEO 2012 crdcrv'!$A$7:$A$2000=C66,IF('AEO 2012 crdcrv'!$I$7:$I$2000="2005",IF('AEO 2012 crdcrv'!$J$7:J$2000="Prices",'AEO 2012 crdcrv'!F$7:F$2000,0))))</f>
        <v>26</v>
      </c>
      <c r="F66" s="13">
        <f t="array" ref="F66">SUM(IF('AEO 2012 crdcrv'!$A$7:$A$2000=C66,IF('AEO 2012 crdcrv'!$I$7:$I$2000="2005",IF('AEO 2012 crdcrv'!$J$7:J$2000="Quantities",'AEO 2012 crdcrv'!F$7:F$2000,0))))</f>
        <v>135.31</v>
      </c>
      <c r="H66" s="13">
        <f t="shared" si="0"/>
        <v>26</v>
      </c>
    </row>
    <row r="67" spans="1:8">
      <c r="A67" s="13">
        <v>2005</v>
      </c>
      <c r="B67" s="13">
        <v>1</v>
      </c>
      <c r="C67" s="13" t="s">
        <v>33</v>
      </c>
      <c r="D67" s="13" t="s">
        <v>110</v>
      </c>
      <c r="E67" s="13">
        <f t="array" ref="E67">SUM(IF('AEO 2012 crdcrv'!$A$7:$A$2000=C67,IF('AEO 2012 crdcrv'!$I$7:$I$2000="2005",IF('AEO 2012 crdcrv'!$J$7:J$2000="Prices",'AEO 2012 crdcrv'!F$7:F$2000,0))))</f>
        <v>36.6</v>
      </c>
      <c r="F67" s="13">
        <f t="array" ref="F67">SUM(IF('AEO 2012 crdcrv'!$A$7:$A$2000=C67,IF('AEO 2012 crdcrv'!$I$7:$I$2000="2005",IF('AEO 2012 crdcrv'!$J$7:J$2000="Quantities",'AEO 2012 crdcrv'!F$7:F$2000,0))))</f>
        <v>85.87</v>
      </c>
      <c r="H67" s="13">
        <f t="shared" si="0"/>
        <v>36.6</v>
      </c>
    </row>
    <row r="68" spans="1:8">
      <c r="A68" s="13">
        <v>2005</v>
      </c>
      <c r="B68" s="13">
        <v>1</v>
      </c>
      <c r="C68" s="13" t="s">
        <v>36</v>
      </c>
      <c r="D68" s="13" t="s">
        <v>110</v>
      </c>
      <c r="E68" s="13">
        <f t="array" ref="E68">SUM(IF('AEO 2012 crdcrv'!$A$7:$A$2000=C68,IF('AEO 2012 crdcrv'!$I$7:$I$2000="2005",IF('AEO 2012 crdcrv'!$J$7:J$2000="Prices",'AEO 2012 crdcrv'!F$7:F$2000,0))))</f>
        <v>32.909999999999997</v>
      </c>
      <c r="F68" s="13">
        <f t="array" ref="F68">SUM(IF('AEO 2012 crdcrv'!$A$7:$A$2000=C68,IF('AEO 2012 crdcrv'!$I$7:$I$2000="2005",IF('AEO 2012 crdcrv'!$J$7:J$2000="Quantities",'AEO 2012 crdcrv'!F$7:F$2000,0))))</f>
        <v>50.96</v>
      </c>
      <c r="H68" s="13">
        <f t="shared" si="0"/>
        <v>32.909999999999997</v>
      </c>
    </row>
    <row r="69" spans="1:8">
      <c r="A69" s="13">
        <v>2010</v>
      </c>
      <c r="B69" s="13">
        <v>1</v>
      </c>
      <c r="C69" s="13" t="s">
        <v>42</v>
      </c>
      <c r="D69" s="13" t="s">
        <v>110</v>
      </c>
      <c r="E69" s="13">
        <f t="array" ref="E69">SUM(IF('AEO 2012 crdcrv'!$A$7:$A$2000=C69,IF('AEO 2012 crdcrv'!$I$7:$I$2000="2010",IF('AEO 2012 crdcrv'!$J$7:J$2000="Prices",'AEO 2012 crdcrv'!F$7:F$2000,0))))</f>
        <v>33.75</v>
      </c>
      <c r="F69" s="13">
        <f t="array" ref="F69">SUM(IF('AEO 2012 crdcrv'!$A$7:$A$2000=C69,IF('AEO 2012 crdcrv'!$I$7:$I$2000="2010",IF('AEO 2012 crdcrv'!$J$7:J$2000="Quantities",'AEO 2012 crdcrv'!F$7:F$2000,0))))</f>
        <v>43.33</v>
      </c>
      <c r="H69" s="13">
        <f>E69*1.25</f>
        <v>42.1875</v>
      </c>
    </row>
    <row r="70" spans="1:8">
      <c r="A70" s="13">
        <v>2010</v>
      </c>
      <c r="B70" s="13">
        <v>1</v>
      </c>
      <c r="C70" s="13" t="s">
        <v>39</v>
      </c>
      <c r="D70" s="13" t="s">
        <v>110</v>
      </c>
      <c r="E70" s="13">
        <f t="array" ref="E70">SUM(IF('AEO 2012 crdcrv'!$A$7:$A$2000=C70,IF('AEO 2012 crdcrv'!$I$7:$I$2000="2010",IF('AEO 2012 crdcrv'!$J$7:J$2000="Prices",'AEO 2012 crdcrv'!F$7:F$2000,0))))</f>
        <v>36.5</v>
      </c>
      <c r="F70" s="13">
        <f t="array" ref="F70">SUM(IF('AEO 2012 crdcrv'!$A$7:$A$2000=C70,IF('AEO 2012 crdcrv'!$I$7:$I$2000="2010",IF('AEO 2012 crdcrv'!$J$7:J$2000="Quantities",'AEO 2012 crdcrv'!F$7:F$2000,0))))</f>
        <v>1.29</v>
      </c>
      <c r="H70" s="13">
        <f t="shared" ref="H70:H73" si="4">E70*1.25</f>
        <v>45.625</v>
      </c>
    </row>
    <row r="71" spans="1:8">
      <c r="A71" s="13">
        <v>2010</v>
      </c>
      <c r="B71" s="13">
        <v>1</v>
      </c>
      <c r="C71" s="13" t="s">
        <v>45</v>
      </c>
      <c r="D71" s="13" t="s">
        <v>110</v>
      </c>
      <c r="E71" s="13">
        <f t="array" ref="E71">SUM(IF('AEO 2012 crdcrv'!$A$7:$A$2000=C71,IF('AEO 2012 crdcrv'!$I$7:$I$2000="2010",IF('AEO 2012 crdcrv'!$J$7:J$2000="Prices",'AEO 2012 crdcrv'!F$7:F$2000,0))))</f>
        <v>33.450000000000003</v>
      </c>
      <c r="F71" s="13">
        <f t="array" ref="F71">SUM(IF('AEO 2012 crdcrv'!$A$7:$A$2000=C71,IF('AEO 2012 crdcrv'!$I$7:$I$2000="2010",IF('AEO 2012 crdcrv'!$J$7:J$2000="Quantities",'AEO 2012 crdcrv'!F$7:F$2000,0))))</f>
        <v>115.78</v>
      </c>
      <c r="H71" s="13">
        <f t="shared" si="4"/>
        <v>41.8125</v>
      </c>
    </row>
    <row r="72" spans="1:8">
      <c r="A72" s="13">
        <v>2010</v>
      </c>
      <c r="B72" s="13">
        <v>1</v>
      </c>
      <c r="C72" s="13" t="s">
        <v>33</v>
      </c>
      <c r="D72" s="13" t="s">
        <v>110</v>
      </c>
      <c r="E72" s="13">
        <f t="array" ref="E72">SUM(IF('AEO 2012 crdcrv'!$A$7:$A$2000=C72,IF('AEO 2012 crdcrv'!$I$7:$I$2000="2010",IF('AEO 2012 crdcrv'!$J$7:J$2000="Prices",'AEO 2012 crdcrv'!F$7:F$2000,0))))</f>
        <v>44.35</v>
      </c>
      <c r="F72" s="13">
        <f t="array" ref="F72">SUM(IF('AEO 2012 crdcrv'!$A$7:$A$2000=C72,IF('AEO 2012 crdcrv'!$I$7:$I$2000="2010",IF('AEO 2012 crdcrv'!$J$7:J$2000="Quantities",'AEO 2012 crdcrv'!F$7:F$2000,0))))</f>
        <v>38.9</v>
      </c>
      <c r="H72" s="13">
        <f t="shared" si="4"/>
        <v>55.4375</v>
      </c>
    </row>
    <row r="73" spans="1:8">
      <c r="A73" s="13">
        <v>2010</v>
      </c>
      <c r="B73" s="13">
        <v>1</v>
      </c>
      <c r="C73" s="13" t="s">
        <v>36</v>
      </c>
      <c r="D73" s="13" t="s">
        <v>110</v>
      </c>
      <c r="E73" s="13">
        <f t="array" ref="E73">SUM(IF('AEO 2012 crdcrv'!$A$7:$A$2000=C73,IF('AEO 2012 crdcrv'!$I$7:$I$2000="2010",IF('AEO 2012 crdcrv'!$J$7:J$2000="Prices",'AEO 2012 crdcrv'!F$7:F$2000,0))))</f>
        <v>36.44</v>
      </c>
      <c r="F73" s="13">
        <f t="array" ref="F73">SUM(IF('AEO 2012 crdcrv'!$A$7:$A$2000=C73,IF('AEO 2012 crdcrv'!$I$7:$I$2000="2010",IF('AEO 2012 crdcrv'!$J$7:J$2000="Quantities",'AEO 2012 crdcrv'!F$7:F$2000,0))))</f>
        <v>25.12</v>
      </c>
      <c r="H73" s="13">
        <f t="shared" si="4"/>
        <v>45.55</v>
      </c>
    </row>
    <row r="74" spans="1:8">
      <c r="A74" s="13">
        <v>2015</v>
      </c>
      <c r="B74" s="13">
        <v>1</v>
      </c>
      <c r="C74" s="13" t="s">
        <v>42</v>
      </c>
      <c r="D74" s="13" t="s">
        <v>110</v>
      </c>
      <c r="E74" s="13">
        <f t="array" ref="E74">SUM(IF('AEO 2012 crdcrv'!$A$7:$A$2000=C74,IF('AEO 2012 crdcrv'!$I$7:$I$2000="2015",IF('AEO 2012 crdcrv'!$J$7:J$2000="Prices",'AEO 2012 crdcrv'!F$7:F$2000,0))))</f>
        <v>28.7</v>
      </c>
      <c r="F74" s="13">
        <f t="array" ref="F74">SUM(IF('AEO 2012 crdcrv'!$A$7:$A$2000=C74,IF('AEO 2012 crdcrv'!$I$7:$I$2000="2015",IF('AEO 2012 crdcrv'!$J$7:J$2000="Quantities",'AEO 2012 crdcrv'!F$7:F$2000,0))))</f>
        <v>22.09</v>
      </c>
      <c r="H74" s="13">
        <f t="shared" ref="H74:H103" si="5">E74</f>
        <v>28.7</v>
      </c>
    </row>
    <row r="75" spans="1:8">
      <c r="A75" s="13">
        <v>2015</v>
      </c>
      <c r="B75" s="13">
        <v>1</v>
      </c>
      <c r="C75" s="13" t="s">
        <v>39</v>
      </c>
      <c r="D75" s="13" t="s">
        <v>110</v>
      </c>
      <c r="E75" s="13">
        <f t="array" ref="E75">SUM(IF('AEO 2012 crdcrv'!$A$7:$A$2000=C75,IF('AEO 2012 crdcrv'!$I$7:$I$2000="2015",IF('AEO 2012 crdcrv'!$J$7:J$2000="Prices",'AEO 2012 crdcrv'!F$7:F$2000,0))))</f>
        <v>31.41</v>
      </c>
      <c r="F75" s="13">
        <f t="array" ref="F75">SUM(IF('AEO 2012 crdcrv'!$A$7:$A$2000=C75,IF('AEO 2012 crdcrv'!$I$7:$I$2000="2015",IF('AEO 2012 crdcrv'!$J$7:J$2000="Quantities",'AEO 2012 crdcrv'!F$7:F$2000,0))))</f>
        <v>10.25</v>
      </c>
      <c r="H75" s="13">
        <f t="shared" si="5"/>
        <v>31.41</v>
      </c>
    </row>
    <row r="76" spans="1:8">
      <c r="A76" s="13">
        <v>2015</v>
      </c>
      <c r="B76" s="13">
        <v>1</v>
      </c>
      <c r="C76" s="13" t="s">
        <v>45</v>
      </c>
      <c r="D76" s="13" t="s">
        <v>110</v>
      </c>
      <c r="E76" s="13">
        <f t="array" ref="E76">SUM(IF('AEO 2012 crdcrv'!$A$7:$A$2000=C76,IF('AEO 2012 crdcrv'!$I$7:$I$2000="2015",IF('AEO 2012 crdcrv'!$J$7:J$2000="Prices",'AEO 2012 crdcrv'!F$7:F$2000,0))))</f>
        <v>28.41</v>
      </c>
      <c r="F76" s="13">
        <f t="array" ref="F76">SUM(IF('AEO 2012 crdcrv'!$A$7:$A$2000=C76,IF('AEO 2012 crdcrv'!$I$7:$I$2000="2015",IF('AEO 2012 crdcrv'!$J$7:J$2000="Quantities",'AEO 2012 crdcrv'!F$7:F$2000,0))))</f>
        <v>5.3</v>
      </c>
      <c r="H76" s="13">
        <f t="shared" si="5"/>
        <v>28.41</v>
      </c>
    </row>
    <row r="77" spans="1:8">
      <c r="A77" s="13">
        <v>2015</v>
      </c>
      <c r="B77" s="13">
        <v>1</v>
      </c>
      <c r="C77" s="13" t="s">
        <v>33</v>
      </c>
      <c r="D77" s="13" t="s">
        <v>110</v>
      </c>
      <c r="E77" s="13">
        <f t="array" ref="E77">SUM(IF('AEO 2012 crdcrv'!$A$7:$A$2000=C77,IF('AEO 2012 crdcrv'!$I$7:$I$2000="2015",IF('AEO 2012 crdcrv'!$J$7:J$2000="Prices",'AEO 2012 crdcrv'!F$7:F$2000,0))))</f>
        <v>38.44</v>
      </c>
      <c r="F77" s="13">
        <f t="array" ref="F77">SUM(IF('AEO 2012 crdcrv'!$A$7:$A$2000=C77,IF('AEO 2012 crdcrv'!$I$7:$I$2000="2015",IF('AEO 2012 crdcrv'!$J$7:J$2000="Quantities",'AEO 2012 crdcrv'!F$7:F$2000,0))))</f>
        <v>1.1100000000000001</v>
      </c>
      <c r="H77" s="13">
        <f t="shared" si="5"/>
        <v>38.44</v>
      </c>
    </row>
    <row r="78" spans="1:8">
      <c r="A78" s="13">
        <v>2015</v>
      </c>
      <c r="B78" s="13">
        <v>1</v>
      </c>
      <c r="C78" s="13" t="s">
        <v>36</v>
      </c>
      <c r="D78" s="13" t="s">
        <v>110</v>
      </c>
      <c r="E78" s="13">
        <f t="array" ref="E78">SUM(IF('AEO 2012 crdcrv'!$A$7:$A$2000=C78,IF('AEO 2012 crdcrv'!$I$7:$I$2000="2015",IF('AEO 2012 crdcrv'!$J$7:J$2000="Prices",'AEO 2012 crdcrv'!F$7:F$2000,0))))</f>
        <v>31.31</v>
      </c>
      <c r="F78" s="13">
        <f t="array" ref="F78">SUM(IF('AEO 2012 crdcrv'!$A$7:$A$2000=C78,IF('AEO 2012 crdcrv'!$I$7:$I$2000="2015",IF('AEO 2012 crdcrv'!$J$7:J$2000="Quantities",'AEO 2012 crdcrv'!F$7:F$2000,0))))</f>
        <v>2.2999999999999998</v>
      </c>
      <c r="H78" s="13">
        <f t="shared" si="5"/>
        <v>31.31</v>
      </c>
    </row>
    <row r="79" spans="1:8">
      <c r="A79" s="13">
        <v>2020</v>
      </c>
      <c r="B79" s="13">
        <v>1</v>
      </c>
      <c r="C79" s="13" t="s">
        <v>42</v>
      </c>
      <c r="D79" s="13" t="s">
        <v>110</v>
      </c>
      <c r="E79" s="13">
        <f t="array" ref="E79">SUM(IF('AEO 2012 crdcrv'!$A$7:$A$2000=C79,IF('AEO 2012 crdcrv'!$I$7:$I$2000="2020",IF('AEO 2012 crdcrv'!$J$7:J$2000="Prices",'AEO 2012 crdcrv'!F$7:F$2000,0))))</f>
        <v>30.37</v>
      </c>
      <c r="F79" s="13">
        <f t="array" ref="F79">SUM(IF('AEO 2012 crdcrv'!$A$7:$A$2000=C79,IF('AEO 2012 crdcrv'!$I$7:$I$2000="2020",IF('AEO 2012 crdcrv'!$J$7:J$2000="Quantities",'AEO 2012 crdcrv'!F$7:F$2000,0))))</f>
        <v>24.39</v>
      </c>
      <c r="H79" s="13">
        <f t="shared" si="5"/>
        <v>30.37</v>
      </c>
    </row>
    <row r="80" spans="1:8">
      <c r="A80" s="13">
        <v>2020</v>
      </c>
      <c r="B80" s="13">
        <v>1</v>
      </c>
      <c r="C80" s="13" t="s">
        <v>39</v>
      </c>
      <c r="D80" s="13" t="s">
        <v>110</v>
      </c>
      <c r="E80" s="13">
        <f t="array" ref="E80">SUM(IF('AEO 2012 crdcrv'!$A$7:$A$2000=C80,IF('AEO 2012 crdcrv'!$I$7:$I$2000="2020",IF('AEO 2012 crdcrv'!$J$7:J$2000="Prices",'AEO 2012 crdcrv'!F$7:F$2000,0))))</f>
        <v>33.1</v>
      </c>
      <c r="F80" s="13">
        <f t="array" ref="F80">SUM(IF('AEO 2012 crdcrv'!$A$7:$A$2000=C80,IF('AEO 2012 crdcrv'!$I$7:$I$2000="2020",IF('AEO 2012 crdcrv'!$J$7:J$2000="Quantities",'AEO 2012 crdcrv'!F$7:F$2000,0))))</f>
        <v>11.32</v>
      </c>
      <c r="H80" s="13">
        <f t="shared" si="5"/>
        <v>33.1</v>
      </c>
    </row>
    <row r="81" spans="1:8">
      <c r="A81" s="13">
        <v>2020</v>
      </c>
      <c r="B81" s="13">
        <v>1</v>
      </c>
      <c r="C81" s="13" t="s">
        <v>45</v>
      </c>
      <c r="D81" s="13" t="s">
        <v>110</v>
      </c>
      <c r="E81" s="13">
        <f t="array" ref="E81">SUM(IF('AEO 2012 crdcrv'!$A$7:$A$2000=C81,IF('AEO 2012 crdcrv'!$I$7:$I$2000="2020",IF('AEO 2012 crdcrv'!$J$7:J$2000="Prices",'AEO 2012 crdcrv'!F$7:F$2000,0))))</f>
        <v>30.08</v>
      </c>
      <c r="F81" s="13">
        <f t="array" ref="F81">SUM(IF('AEO 2012 crdcrv'!$A$7:$A$2000=C81,IF('AEO 2012 crdcrv'!$I$7:$I$2000="2020",IF('AEO 2012 crdcrv'!$J$7:J$2000="Quantities",'AEO 2012 crdcrv'!F$7:F$2000,0))))</f>
        <v>5.85</v>
      </c>
      <c r="H81" s="13">
        <f t="shared" si="5"/>
        <v>30.08</v>
      </c>
    </row>
    <row r="82" spans="1:8">
      <c r="A82" s="13">
        <v>2020</v>
      </c>
      <c r="B82" s="13">
        <v>1</v>
      </c>
      <c r="C82" s="13" t="s">
        <v>33</v>
      </c>
      <c r="D82" s="13" t="s">
        <v>110</v>
      </c>
      <c r="E82" s="13">
        <f t="array" ref="E82">SUM(IF('AEO 2012 crdcrv'!$A$7:$A$2000=C82,IF('AEO 2012 crdcrv'!$I$7:$I$2000="2020",IF('AEO 2012 crdcrv'!$J$7:J$2000="Prices",'AEO 2012 crdcrv'!F$7:F$2000,0))))</f>
        <v>40.4</v>
      </c>
      <c r="F82" s="13">
        <f t="array" ref="F82">SUM(IF('AEO 2012 crdcrv'!$A$7:$A$2000=C82,IF('AEO 2012 crdcrv'!$I$7:$I$2000="2020",IF('AEO 2012 crdcrv'!$J$7:J$2000="Quantities",'AEO 2012 crdcrv'!F$7:F$2000,0))))</f>
        <v>1.22</v>
      </c>
      <c r="H82" s="13">
        <f t="shared" si="5"/>
        <v>40.4</v>
      </c>
    </row>
    <row r="83" spans="1:8">
      <c r="A83" s="13">
        <v>2020</v>
      </c>
      <c r="B83" s="13">
        <v>1</v>
      </c>
      <c r="C83" s="13" t="s">
        <v>36</v>
      </c>
      <c r="D83" s="13" t="s">
        <v>110</v>
      </c>
      <c r="E83" s="13">
        <f t="array" ref="E83">SUM(IF('AEO 2012 crdcrv'!$A$7:$A$2000=C83,IF('AEO 2012 crdcrv'!$I$7:$I$2000="2020",IF('AEO 2012 crdcrv'!$J$7:J$2000="Prices",'AEO 2012 crdcrv'!F$7:F$2000,0))))</f>
        <v>33.020000000000003</v>
      </c>
      <c r="F83" s="13">
        <f t="array" ref="F83">SUM(IF('AEO 2012 crdcrv'!$A$7:$A$2000=C83,IF('AEO 2012 crdcrv'!$I$7:$I$2000="2020",IF('AEO 2012 crdcrv'!$J$7:J$2000="Quantities",'AEO 2012 crdcrv'!F$7:F$2000,0))))</f>
        <v>2.54</v>
      </c>
      <c r="H83" s="13">
        <f t="shared" si="5"/>
        <v>33.020000000000003</v>
      </c>
    </row>
    <row r="84" spans="1:8">
      <c r="A84" s="13">
        <v>2005</v>
      </c>
      <c r="B84" s="13">
        <v>1</v>
      </c>
      <c r="C84" s="13" t="s">
        <v>42</v>
      </c>
      <c r="D84" s="13" t="s">
        <v>114</v>
      </c>
      <c r="E84" s="13">
        <f t="array" ref="E84">SUM(IF('AEO 2012 crdcrv'!$A$7:$A$2000=C84,IF('AEO 2012 crdcrv'!$I$7:$I$2000="2005",IF('AEO 2012 crdcrv'!$J$7:J$2000="Prices",'AEO 2012 crdcrv'!G$7:G$2000,0))))</f>
        <v>29</v>
      </c>
      <c r="F84" s="13">
        <f t="array" ref="F84">SUM(IF('AEO 2012 crdcrv'!$A$7:$A$2000=C84,IF('AEO 2012 crdcrv'!$I$7:$I$2000="2005",IF('AEO 2012 crdcrv'!$J$7:J$2000="Quantities",'AEO 2012 crdcrv'!G$7:G$2000,0))))</f>
        <v>336.83</v>
      </c>
      <c r="H84" s="13">
        <f t="shared" si="5"/>
        <v>29</v>
      </c>
    </row>
    <row r="85" spans="1:8">
      <c r="A85" s="13">
        <v>2005</v>
      </c>
      <c r="B85" s="13">
        <v>1</v>
      </c>
      <c r="C85" s="13" t="s">
        <v>39</v>
      </c>
      <c r="D85" s="13" t="s">
        <v>114</v>
      </c>
      <c r="E85" s="13">
        <f t="array" ref="E85">SUM(IF('AEO 2012 crdcrv'!$A$7:$A$2000=C85,IF('AEO 2012 crdcrv'!$I$7:$I$2000="2005",IF('AEO 2012 crdcrv'!$J$7:J$2000="Prices",'AEO 2012 crdcrv'!G$7:G$2000,0))))</f>
        <v>37.74</v>
      </c>
      <c r="F85" s="13">
        <f t="array" ref="F85">SUM(IF('AEO 2012 crdcrv'!$A$7:$A$2000=C85,IF('AEO 2012 crdcrv'!$I$7:$I$2000="2005",IF('AEO 2012 crdcrv'!$J$7:J$2000="Quantities",'AEO 2012 crdcrv'!G$7:G$2000,0))))</f>
        <v>119.21</v>
      </c>
      <c r="H85" s="13">
        <f t="shared" si="5"/>
        <v>37.74</v>
      </c>
    </row>
    <row r="86" spans="1:8">
      <c r="A86" s="13">
        <v>2005</v>
      </c>
      <c r="B86" s="13">
        <v>1</v>
      </c>
      <c r="C86" s="13" t="s">
        <v>45</v>
      </c>
      <c r="D86" s="13" t="s">
        <v>114</v>
      </c>
      <c r="E86" s="13">
        <f t="array" ref="E86">SUM(IF('AEO 2012 crdcrv'!$A$7:$A$2000=C86,IF('AEO 2012 crdcrv'!$I$7:$I$2000="2005",IF('AEO 2012 crdcrv'!$J$7:J$2000="Prices",'AEO 2012 crdcrv'!G$7:G$2000,0))))</f>
        <v>26</v>
      </c>
      <c r="F86" s="13">
        <f t="array" ref="F86">SUM(IF('AEO 2012 crdcrv'!$A$7:$A$2000=C86,IF('AEO 2012 crdcrv'!$I$7:$I$2000="2005",IF('AEO 2012 crdcrv'!$J$7:J$2000="Quantities",'AEO 2012 crdcrv'!G$7:G$2000,0))))</f>
        <v>179.98</v>
      </c>
      <c r="H86" s="13">
        <f t="shared" si="5"/>
        <v>26</v>
      </c>
    </row>
    <row r="87" spans="1:8">
      <c r="A87" s="13">
        <v>2005</v>
      </c>
      <c r="B87" s="13">
        <v>1</v>
      </c>
      <c r="C87" s="13" t="s">
        <v>33</v>
      </c>
      <c r="D87" s="13" t="s">
        <v>114</v>
      </c>
      <c r="E87" s="13">
        <f t="array" ref="E87">SUM(IF('AEO 2012 crdcrv'!$A$7:$A$2000=C87,IF('AEO 2012 crdcrv'!$I$7:$I$2000="2005",IF('AEO 2012 crdcrv'!$J$7:J$2000="Prices",'AEO 2012 crdcrv'!G$7:G$2000,0))))</f>
        <v>36.6</v>
      </c>
      <c r="F87" s="13">
        <f t="array" ref="F87">SUM(IF('AEO 2012 crdcrv'!$A$7:$A$2000=C87,IF('AEO 2012 crdcrv'!$I$7:$I$2000="2005",IF('AEO 2012 crdcrv'!$J$7:J$2000="Quantities",'AEO 2012 crdcrv'!G$7:G$2000,0))))</f>
        <v>154.94999999999999</v>
      </c>
      <c r="H87" s="13">
        <f t="shared" si="5"/>
        <v>36.6</v>
      </c>
    </row>
    <row r="88" spans="1:8">
      <c r="A88" s="13">
        <v>2005</v>
      </c>
      <c r="B88" s="13">
        <v>1</v>
      </c>
      <c r="C88" s="13" t="s">
        <v>36</v>
      </c>
      <c r="D88" s="13" t="s">
        <v>114</v>
      </c>
      <c r="E88" s="13">
        <f t="array" ref="E88">SUM(IF('AEO 2012 crdcrv'!$A$7:$A$2000=C88,IF('AEO 2012 crdcrv'!$I$7:$I$2000="2005",IF('AEO 2012 crdcrv'!$J$7:J$2000="Prices",'AEO 2012 crdcrv'!G$7:G$2000,0))))</f>
        <v>32.909999999999997</v>
      </c>
      <c r="F88" s="13">
        <f t="array" ref="F88">SUM(IF('AEO 2012 crdcrv'!$A$7:$A$2000=C88,IF('AEO 2012 crdcrv'!$I$7:$I$2000="2005",IF('AEO 2012 crdcrv'!$J$7:J$2000="Quantities",'AEO 2012 crdcrv'!G$7:G$2000,0))))</f>
        <v>170.3</v>
      </c>
      <c r="H88" s="13">
        <f t="shared" si="5"/>
        <v>32.909999999999997</v>
      </c>
    </row>
    <row r="89" spans="1:8">
      <c r="A89" s="13">
        <v>2010</v>
      </c>
      <c r="B89" s="13">
        <v>1</v>
      </c>
      <c r="C89" s="13" t="s">
        <v>42</v>
      </c>
      <c r="D89" s="13" t="s">
        <v>114</v>
      </c>
      <c r="E89" s="13">
        <f t="array" ref="E89">SUM(IF('AEO 2012 crdcrv'!$A$7:$A$2000=C89,IF('AEO 2012 crdcrv'!$I$7:$I$2000="2010",IF('AEO 2012 crdcrv'!$J$7:J$2000="Prices",'AEO 2012 crdcrv'!G$7:G$2000,0))))</f>
        <v>33.75</v>
      </c>
      <c r="F89" s="13">
        <f t="array" ref="F89">SUM(IF('AEO 2012 crdcrv'!$A$7:$A$2000=C89,IF('AEO 2012 crdcrv'!$I$7:$I$2000="2010",IF('AEO 2012 crdcrv'!$J$7:J$2000="Quantities",'AEO 2012 crdcrv'!G$7:G$2000,0))))</f>
        <v>245.37</v>
      </c>
      <c r="H89" s="13">
        <f>E89*1.25</f>
        <v>42.1875</v>
      </c>
    </row>
    <row r="90" spans="1:8">
      <c r="A90" s="13">
        <v>2010</v>
      </c>
      <c r="B90" s="13">
        <v>1</v>
      </c>
      <c r="C90" s="13" t="s">
        <v>39</v>
      </c>
      <c r="D90" s="13" t="s">
        <v>114</v>
      </c>
      <c r="E90" s="13">
        <f t="array" ref="E90">SUM(IF('AEO 2012 crdcrv'!$A$7:$A$2000=C90,IF('AEO 2012 crdcrv'!$I$7:$I$2000="2010",IF('AEO 2012 crdcrv'!$J$7:J$2000="Prices",'AEO 2012 crdcrv'!G$7:G$2000,0))))</f>
        <v>36.5</v>
      </c>
      <c r="F90" s="13">
        <f t="array" ref="F90">SUM(IF('AEO 2012 crdcrv'!$A$7:$A$2000=C90,IF('AEO 2012 crdcrv'!$I$7:$I$2000="2010",IF('AEO 2012 crdcrv'!$J$7:J$2000="Quantities",'AEO 2012 crdcrv'!G$7:G$2000,0))))</f>
        <v>204.66</v>
      </c>
      <c r="H90" s="13">
        <f t="shared" ref="H90:H93" si="6">E90*1.25</f>
        <v>45.625</v>
      </c>
    </row>
    <row r="91" spans="1:8">
      <c r="A91" s="13">
        <v>2010</v>
      </c>
      <c r="B91" s="13">
        <v>1</v>
      </c>
      <c r="C91" s="13" t="s">
        <v>45</v>
      </c>
      <c r="D91" s="13" t="s">
        <v>114</v>
      </c>
      <c r="E91" s="13">
        <f t="array" ref="E91">SUM(IF('AEO 2012 crdcrv'!$A$7:$A$2000=C91,IF('AEO 2012 crdcrv'!$I$7:$I$2000="2010",IF('AEO 2012 crdcrv'!$J$7:J$2000="Prices",'AEO 2012 crdcrv'!G$7:G$2000,0))))</f>
        <v>33.450000000000003</v>
      </c>
      <c r="F91" s="13">
        <f t="array" ref="F91">SUM(IF('AEO 2012 crdcrv'!$A$7:$A$2000=C91,IF('AEO 2012 crdcrv'!$I$7:$I$2000="2010",IF('AEO 2012 crdcrv'!$J$7:J$2000="Quantities",'AEO 2012 crdcrv'!G$7:G$2000,0))))</f>
        <v>185.27</v>
      </c>
      <c r="H91" s="13">
        <f t="shared" si="6"/>
        <v>41.8125</v>
      </c>
    </row>
    <row r="92" spans="1:8">
      <c r="A92" s="13">
        <v>2010</v>
      </c>
      <c r="B92" s="13">
        <v>1</v>
      </c>
      <c r="C92" s="13" t="s">
        <v>33</v>
      </c>
      <c r="D92" s="13" t="s">
        <v>114</v>
      </c>
      <c r="E92" s="13">
        <f t="array" ref="E92">SUM(IF('AEO 2012 crdcrv'!$A$7:$A$2000=C92,IF('AEO 2012 crdcrv'!$I$7:$I$2000="2010",IF('AEO 2012 crdcrv'!$J$7:J$2000="Prices",'AEO 2012 crdcrv'!G$7:G$2000,0))))</f>
        <v>44.35</v>
      </c>
      <c r="F92" s="13">
        <f t="array" ref="F92">SUM(IF('AEO 2012 crdcrv'!$A$7:$A$2000=C92,IF('AEO 2012 crdcrv'!$I$7:$I$2000="2010",IF('AEO 2012 crdcrv'!$J$7:J$2000="Quantities",'AEO 2012 crdcrv'!G$7:G$2000,0))))</f>
        <v>263.88</v>
      </c>
      <c r="H92" s="13">
        <f t="shared" si="6"/>
        <v>55.4375</v>
      </c>
    </row>
    <row r="93" spans="1:8">
      <c r="A93" s="13">
        <v>2010</v>
      </c>
      <c r="B93" s="13">
        <v>1</v>
      </c>
      <c r="C93" s="13" t="s">
        <v>36</v>
      </c>
      <c r="D93" s="13" t="s">
        <v>114</v>
      </c>
      <c r="E93" s="13">
        <f t="array" ref="E93">SUM(IF('AEO 2012 crdcrv'!$A$7:$A$2000=C93,IF('AEO 2012 crdcrv'!$I$7:$I$2000="2010",IF('AEO 2012 crdcrv'!$J$7:J$2000="Prices",'AEO 2012 crdcrv'!G$7:G$2000,0))))</f>
        <v>36.44</v>
      </c>
      <c r="F93" s="13">
        <f t="array" ref="F93">SUM(IF('AEO 2012 crdcrv'!$A$7:$A$2000=C93,IF('AEO 2012 crdcrv'!$I$7:$I$2000="2010",IF('AEO 2012 crdcrv'!$J$7:J$2000="Quantities",'AEO 2012 crdcrv'!G$7:G$2000,0))))</f>
        <v>122.95</v>
      </c>
      <c r="H93" s="13">
        <f t="shared" si="6"/>
        <v>45.55</v>
      </c>
    </row>
    <row r="94" spans="1:8">
      <c r="A94" s="13">
        <v>2015</v>
      </c>
      <c r="B94" s="13">
        <v>1</v>
      </c>
      <c r="C94" s="13" t="s">
        <v>42</v>
      </c>
      <c r="D94" s="13" t="s">
        <v>114</v>
      </c>
      <c r="E94" s="13">
        <f t="array" ref="E94">SUM(IF('AEO 2012 crdcrv'!$A$7:$A$2000=C94,IF('AEO 2012 crdcrv'!$I$7:$I$2000="2015",IF('AEO 2012 crdcrv'!$J$7:J$2000="Prices",'AEO 2012 crdcrv'!G$7:G$2000,0))))</f>
        <v>28.7</v>
      </c>
      <c r="F94" s="13">
        <f t="array" ref="F94">SUM(IF('AEO 2012 crdcrv'!$A$7:$A$2000=C94,IF('AEO 2012 crdcrv'!$I$7:$I$2000="2015",IF('AEO 2012 crdcrv'!$J$7:J$2000="Quantities",'AEO 2012 crdcrv'!G$7:G$2000,0))))</f>
        <v>56.99</v>
      </c>
      <c r="H94" s="13">
        <f t="shared" si="5"/>
        <v>28.7</v>
      </c>
    </row>
    <row r="95" spans="1:8">
      <c r="A95" s="13">
        <v>2015</v>
      </c>
      <c r="B95" s="13">
        <v>1</v>
      </c>
      <c r="C95" s="13" t="s">
        <v>39</v>
      </c>
      <c r="D95" s="13" t="s">
        <v>114</v>
      </c>
      <c r="E95" s="13">
        <f t="array" ref="E95">SUM(IF('AEO 2012 crdcrv'!$A$7:$A$2000=C95,IF('AEO 2012 crdcrv'!$I$7:$I$2000="2015",IF('AEO 2012 crdcrv'!$J$7:J$2000="Prices",'AEO 2012 crdcrv'!G$7:G$2000,0))))</f>
        <v>31.41</v>
      </c>
      <c r="F95" s="13">
        <f t="array" ref="F95">SUM(IF('AEO 2012 crdcrv'!$A$7:$A$2000=C95,IF('AEO 2012 crdcrv'!$I$7:$I$2000="2015",IF('AEO 2012 crdcrv'!$J$7:J$2000="Quantities",'AEO 2012 crdcrv'!G$7:G$2000,0))))</f>
        <v>24.55</v>
      </c>
      <c r="H95" s="13">
        <f t="shared" si="5"/>
        <v>31.41</v>
      </c>
    </row>
    <row r="96" spans="1:8">
      <c r="A96" s="13">
        <v>2015</v>
      </c>
      <c r="B96" s="13">
        <v>1</v>
      </c>
      <c r="C96" s="13" t="s">
        <v>45</v>
      </c>
      <c r="D96" s="13" t="s">
        <v>114</v>
      </c>
      <c r="E96" s="13">
        <f t="array" ref="E96">SUM(IF('AEO 2012 crdcrv'!$A$7:$A$2000=C96,IF('AEO 2012 crdcrv'!$I$7:$I$2000="2015",IF('AEO 2012 crdcrv'!$J$7:J$2000="Prices",'AEO 2012 crdcrv'!G$7:G$2000,0))))</f>
        <v>28.41</v>
      </c>
      <c r="F96" s="13">
        <f t="array" ref="F96">SUM(IF('AEO 2012 crdcrv'!$A$7:$A$2000=C96,IF('AEO 2012 crdcrv'!$I$7:$I$2000="2015",IF('AEO 2012 crdcrv'!$J$7:J$2000="Quantities",'AEO 2012 crdcrv'!G$7:G$2000,0))))</f>
        <v>20.32</v>
      </c>
      <c r="H96" s="13">
        <f t="shared" si="5"/>
        <v>28.41</v>
      </c>
    </row>
    <row r="97" spans="1:11">
      <c r="A97" s="13">
        <v>2015</v>
      </c>
      <c r="B97" s="13">
        <v>1</v>
      </c>
      <c r="C97" s="13" t="s">
        <v>33</v>
      </c>
      <c r="D97" s="13" t="s">
        <v>114</v>
      </c>
      <c r="E97" s="13">
        <f t="array" ref="E97">SUM(IF('AEO 2012 crdcrv'!$A$7:$A$2000=C97,IF('AEO 2012 crdcrv'!$I$7:$I$2000="2015",IF('AEO 2012 crdcrv'!$J$7:J$2000="Prices",'AEO 2012 crdcrv'!G$7:G$2000,0))))</f>
        <v>38.44</v>
      </c>
      <c r="F97" s="13">
        <f t="array" ref="F97">SUM(IF('AEO 2012 crdcrv'!$A$7:$A$2000=C97,IF('AEO 2012 crdcrv'!$I$7:$I$2000="2015",IF('AEO 2012 crdcrv'!$J$7:J$2000="Quantities",'AEO 2012 crdcrv'!G$7:G$2000,0))))</f>
        <v>2.4900000000000002</v>
      </c>
      <c r="H97" s="13">
        <f t="shared" si="5"/>
        <v>38.44</v>
      </c>
    </row>
    <row r="98" spans="1:11">
      <c r="A98" s="13">
        <v>2015</v>
      </c>
      <c r="B98" s="13">
        <v>1</v>
      </c>
      <c r="C98" s="13" t="s">
        <v>36</v>
      </c>
      <c r="D98" s="13" t="s">
        <v>114</v>
      </c>
      <c r="E98" s="13">
        <f t="array" ref="E98">SUM(IF('AEO 2012 crdcrv'!$A$7:$A$2000=C98,IF('AEO 2012 crdcrv'!$I$7:$I$2000="2015",IF('AEO 2012 crdcrv'!$J$7:J$2000="Prices",'AEO 2012 crdcrv'!G$7:G$2000,0))))</f>
        <v>31.31</v>
      </c>
      <c r="F98" s="13">
        <f t="array" ref="F98">SUM(IF('AEO 2012 crdcrv'!$A$7:$A$2000=C98,IF('AEO 2012 crdcrv'!$I$7:$I$2000="2015",IF('AEO 2012 crdcrv'!$J$7:J$2000="Quantities",'AEO 2012 crdcrv'!G$7:G$2000,0))))</f>
        <v>30.36</v>
      </c>
      <c r="H98" s="13">
        <f t="shared" si="5"/>
        <v>31.31</v>
      </c>
    </row>
    <row r="99" spans="1:11">
      <c r="A99" s="13">
        <v>2020</v>
      </c>
      <c r="B99" s="13">
        <v>1</v>
      </c>
      <c r="C99" s="13" t="s">
        <v>42</v>
      </c>
      <c r="D99" s="13" t="s">
        <v>114</v>
      </c>
      <c r="E99" s="13">
        <f t="array" ref="E99">SUM(IF('AEO 2012 crdcrv'!$A$7:$A$2000=C99,IF('AEO 2012 crdcrv'!$I$7:$I$2000="2020",IF('AEO 2012 crdcrv'!$J$7:J$2000="Prices",'AEO 2012 crdcrv'!G$7:G$2000,0))))</f>
        <v>30.37</v>
      </c>
      <c r="F99" s="13">
        <f t="array" ref="F99">SUM(IF('AEO 2012 crdcrv'!$A$7:$A$2000=C99,IF('AEO 2012 crdcrv'!$I$7:$I$2000="2020",IF('AEO 2012 crdcrv'!$J$7:J$2000="Quantities",'AEO 2012 crdcrv'!G$7:G$2000,0))))</f>
        <v>62.92</v>
      </c>
      <c r="H99" s="13">
        <f t="shared" si="5"/>
        <v>30.37</v>
      </c>
    </row>
    <row r="100" spans="1:11">
      <c r="A100" s="13">
        <v>2020</v>
      </c>
      <c r="B100" s="13">
        <v>1</v>
      </c>
      <c r="C100" s="13" t="s">
        <v>39</v>
      </c>
      <c r="D100" s="13" t="s">
        <v>114</v>
      </c>
      <c r="E100" s="13">
        <f t="array" ref="E100">SUM(IF('AEO 2012 crdcrv'!$A$7:$A$2000=C100,IF('AEO 2012 crdcrv'!$I$7:$I$2000="2020",IF('AEO 2012 crdcrv'!$J$7:J$2000="Prices",'AEO 2012 crdcrv'!G$7:G$2000,0))))</f>
        <v>33.1</v>
      </c>
      <c r="F100" s="13">
        <f t="array" ref="F100">SUM(IF('AEO 2012 crdcrv'!$A$7:$A$2000=C100,IF('AEO 2012 crdcrv'!$I$7:$I$2000="2020",IF('AEO 2012 crdcrv'!$J$7:J$2000="Quantities",'AEO 2012 crdcrv'!G$7:G$2000,0))))</f>
        <v>27.11</v>
      </c>
      <c r="H100" s="13">
        <f t="shared" si="5"/>
        <v>33.1</v>
      </c>
    </row>
    <row r="101" spans="1:11">
      <c r="A101" s="13">
        <v>2020</v>
      </c>
      <c r="B101" s="13">
        <v>1</v>
      </c>
      <c r="C101" s="13" t="s">
        <v>45</v>
      </c>
      <c r="D101" s="13" t="s">
        <v>114</v>
      </c>
      <c r="E101" s="13">
        <f t="array" ref="E101">SUM(IF('AEO 2012 crdcrv'!$A$7:$A$2000=C101,IF('AEO 2012 crdcrv'!$I$7:$I$2000="2020",IF('AEO 2012 crdcrv'!$J$7:J$2000="Prices",'AEO 2012 crdcrv'!G$7:G$2000,0))))</f>
        <v>30.08</v>
      </c>
      <c r="F101" s="13">
        <f t="array" ref="F101">SUM(IF('AEO 2012 crdcrv'!$A$7:$A$2000=C101,IF('AEO 2012 crdcrv'!$I$7:$I$2000="2020",IF('AEO 2012 crdcrv'!$J$7:J$2000="Quantities",'AEO 2012 crdcrv'!G$7:G$2000,0))))</f>
        <v>22.43</v>
      </c>
      <c r="H101" s="13">
        <f t="shared" si="5"/>
        <v>30.08</v>
      </c>
    </row>
    <row r="102" spans="1:11">
      <c r="A102" s="13">
        <v>2020</v>
      </c>
      <c r="B102" s="13">
        <v>1</v>
      </c>
      <c r="C102" s="13" t="s">
        <v>33</v>
      </c>
      <c r="D102" s="13" t="s">
        <v>114</v>
      </c>
      <c r="E102" s="13">
        <f t="array" ref="E102">SUM(IF('AEO 2012 crdcrv'!$A$7:$A$2000=C102,IF('AEO 2012 crdcrv'!$I$7:$I$2000="2020",IF('AEO 2012 crdcrv'!$J$7:J$2000="Prices",'AEO 2012 crdcrv'!G$7:G$2000,0))))</f>
        <v>40.4</v>
      </c>
      <c r="F102" s="13">
        <f t="array" ref="F102">SUM(IF('AEO 2012 crdcrv'!$A$7:$A$2000=C102,IF('AEO 2012 crdcrv'!$I$7:$I$2000="2020",IF('AEO 2012 crdcrv'!$J$7:J$2000="Quantities",'AEO 2012 crdcrv'!G$7:G$2000,0))))</f>
        <v>2.75</v>
      </c>
      <c r="H102" s="13">
        <f t="shared" si="5"/>
        <v>40.4</v>
      </c>
    </row>
    <row r="103" spans="1:11">
      <c r="A103" s="13">
        <v>2020</v>
      </c>
      <c r="B103" s="13">
        <v>1</v>
      </c>
      <c r="C103" s="13" t="s">
        <v>36</v>
      </c>
      <c r="D103" s="13" t="s">
        <v>114</v>
      </c>
      <c r="E103" s="13">
        <f t="array" ref="E103">SUM(IF('AEO 2012 crdcrv'!$A$7:$A$2000=C103,IF('AEO 2012 crdcrv'!$I$7:$I$2000="2020",IF('AEO 2012 crdcrv'!$J$7:J$2000="Prices",'AEO 2012 crdcrv'!G$7:G$2000,0))))</f>
        <v>33.020000000000003</v>
      </c>
      <c r="F103" s="13">
        <f t="array" ref="F103">SUM(IF('AEO 2012 crdcrv'!$A$7:$A$2000=C103,IF('AEO 2012 crdcrv'!$I$7:$I$2000="2020",IF('AEO 2012 crdcrv'!$J$7:J$2000="Quantities",'AEO 2012 crdcrv'!G$7:G$2000,0))))</f>
        <v>33.520000000000003</v>
      </c>
      <c r="H103" s="13">
        <f t="shared" si="5"/>
        <v>33.020000000000003</v>
      </c>
    </row>
    <row r="111" spans="1:11">
      <c r="I111" s="13"/>
      <c r="J111" s="13"/>
      <c r="K111" s="13"/>
    </row>
    <row r="121" spans="9:11">
      <c r="I121" s="13"/>
      <c r="J121" s="13"/>
      <c r="K121" s="13"/>
    </row>
  </sheetData>
  <sortState xmlns:xlrd2="http://schemas.microsoft.com/office/spreadsheetml/2017/richdata2" ref="A2:M231">
    <sortCondition ref="D2:D231"/>
  </sortState>
  <phoneticPr fontId="21" type="noConversion"/>
  <pageMargins left="0.75" right="0.75" top="1" bottom="1" header="0.5" footer="0.5"/>
  <pageSetup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dimension ref="A1:K407"/>
  <sheetViews>
    <sheetView topLeftCell="A379" workbookViewId="0">
      <selection activeCell="M18" sqref="M18"/>
    </sheetView>
  </sheetViews>
  <sheetFormatPr defaultColWidth="9.140625" defaultRowHeight="12.75"/>
  <cols>
    <col min="1" max="16384" width="9.140625" style="1"/>
  </cols>
  <sheetData>
    <row r="1" spans="1:11">
      <c r="A1" s="1" t="s">
        <v>398</v>
      </c>
      <c r="C1" s="1" t="s">
        <v>123</v>
      </c>
      <c r="D1" s="1" t="s">
        <v>124</v>
      </c>
      <c r="E1" s="1" t="s">
        <v>125</v>
      </c>
      <c r="F1" s="1" t="s">
        <v>126</v>
      </c>
      <c r="G1" s="1" t="s">
        <v>127</v>
      </c>
      <c r="J1" s="1" t="s">
        <v>513</v>
      </c>
      <c r="K1" s="1" t="s">
        <v>514</v>
      </c>
    </row>
    <row r="2" spans="1:11">
      <c r="A2" s="1" t="s">
        <v>398</v>
      </c>
      <c r="C2" s="1" t="s">
        <v>139</v>
      </c>
      <c r="D2" s="1" t="s">
        <v>140</v>
      </c>
      <c r="E2" s="1" t="s">
        <v>141</v>
      </c>
      <c r="F2" s="1" t="s">
        <v>140</v>
      </c>
      <c r="G2" s="1" t="s">
        <v>139</v>
      </c>
      <c r="J2" s="1" t="s">
        <v>515</v>
      </c>
      <c r="K2" s="1" t="s">
        <v>516</v>
      </c>
    </row>
    <row r="3" spans="1:11">
      <c r="A3" s="1" t="s">
        <v>398</v>
      </c>
    </row>
    <row r="4" spans="1:11">
      <c r="A4" s="1" t="s">
        <v>398</v>
      </c>
    </row>
    <row r="5" spans="1:11">
      <c r="A5" s="1" t="s">
        <v>183</v>
      </c>
      <c r="B5" s="1">
        <v>1990</v>
      </c>
    </row>
    <row r="6" spans="1:11">
      <c r="A6" s="1" t="s">
        <v>538</v>
      </c>
    </row>
    <row r="7" spans="1:11">
      <c r="A7" s="1" t="s">
        <v>33</v>
      </c>
      <c r="C7" s="1">
        <v>663.52</v>
      </c>
      <c r="D7" s="1">
        <v>367.58</v>
      </c>
      <c r="E7" s="1">
        <v>874.35</v>
      </c>
      <c r="F7" s="1">
        <v>41.13</v>
      </c>
      <c r="G7" s="1">
        <v>178.95</v>
      </c>
      <c r="I7" s="1" t="str">
        <f>RIGHT(B5,4)</f>
        <v>1990</v>
      </c>
      <c r="J7" s="9" t="s">
        <v>519</v>
      </c>
    </row>
    <row r="8" spans="1:11">
      <c r="A8" s="1" t="s">
        <v>36</v>
      </c>
      <c r="C8" s="1">
        <v>62.56</v>
      </c>
      <c r="D8" s="1">
        <v>71.209999999999994</v>
      </c>
      <c r="E8" s="1">
        <v>215.78</v>
      </c>
      <c r="F8" s="1">
        <v>7.64</v>
      </c>
      <c r="G8" s="1">
        <v>9.7799999999999994</v>
      </c>
      <c r="I8" s="1" t="str">
        <f>I7</f>
        <v>1990</v>
      </c>
      <c r="J8" s="12" t="s">
        <v>519</v>
      </c>
    </row>
    <row r="9" spans="1:11">
      <c r="A9" s="1" t="s">
        <v>39</v>
      </c>
      <c r="C9" s="1">
        <v>158.37</v>
      </c>
      <c r="D9" s="1">
        <v>225.52</v>
      </c>
      <c r="E9" s="1">
        <v>598.24</v>
      </c>
      <c r="F9" s="1">
        <v>0</v>
      </c>
      <c r="G9" s="1">
        <v>18.510000000000002</v>
      </c>
      <c r="I9" s="1" t="str">
        <f t="shared" ref="I9:I11" si="0">I8</f>
        <v>1990</v>
      </c>
      <c r="J9" s="12" t="s">
        <v>519</v>
      </c>
    </row>
    <row r="10" spans="1:11">
      <c r="A10" s="1" t="s">
        <v>42</v>
      </c>
      <c r="C10" s="1">
        <v>196.75</v>
      </c>
      <c r="D10" s="1">
        <v>201.73</v>
      </c>
      <c r="E10" s="1">
        <v>986.39</v>
      </c>
      <c r="F10" s="1">
        <v>19.89</v>
      </c>
      <c r="G10" s="1">
        <v>5.67</v>
      </c>
      <c r="I10" s="1" t="str">
        <f t="shared" si="0"/>
        <v>1990</v>
      </c>
      <c r="J10" s="12" t="s">
        <v>519</v>
      </c>
    </row>
    <row r="11" spans="1:11">
      <c r="A11" s="1" t="s">
        <v>45</v>
      </c>
      <c r="C11" s="1">
        <v>169.47</v>
      </c>
      <c r="D11" s="1">
        <v>276.73</v>
      </c>
      <c r="E11" s="1">
        <v>530.85</v>
      </c>
      <c r="F11" s="1">
        <v>5.83</v>
      </c>
      <c r="G11" s="1">
        <v>7.57</v>
      </c>
      <c r="I11" s="1" t="str">
        <f t="shared" si="0"/>
        <v>1990</v>
      </c>
      <c r="J11" s="12" t="s">
        <v>519</v>
      </c>
    </row>
    <row r="12" spans="1:11">
      <c r="A12" s="1" t="s">
        <v>539</v>
      </c>
    </row>
    <row r="13" spans="1:11">
      <c r="A13" s="1" t="s">
        <v>33</v>
      </c>
      <c r="C13" s="1">
        <v>26.56</v>
      </c>
      <c r="D13" s="1">
        <v>26.56</v>
      </c>
      <c r="E13" s="1">
        <v>26.56</v>
      </c>
      <c r="F13" s="1">
        <v>26.56</v>
      </c>
      <c r="G13" s="1">
        <v>26.56</v>
      </c>
      <c r="I13" s="1" t="str">
        <f>I7</f>
        <v>1990</v>
      </c>
      <c r="J13" s="12" t="s">
        <v>148</v>
      </c>
    </row>
    <row r="14" spans="1:11">
      <c r="A14" s="1" t="s">
        <v>36</v>
      </c>
      <c r="C14" s="1">
        <v>23.42</v>
      </c>
      <c r="D14" s="1">
        <v>23.42</v>
      </c>
      <c r="E14" s="1">
        <v>23.42</v>
      </c>
      <c r="F14" s="1">
        <v>23.42</v>
      </c>
      <c r="G14" s="1">
        <v>23.42</v>
      </c>
      <c r="I14" s="1" t="str">
        <f>I8</f>
        <v>1990</v>
      </c>
      <c r="J14" s="12" t="s">
        <v>148</v>
      </c>
    </row>
    <row r="15" spans="1:11">
      <c r="A15" s="1" t="s">
        <v>39</v>
      </c>
      <c r="C15" s="1">
        <v>24.36</v>
      </c>
      <c r="D15" s="1">
        <v>24.36</v>
      </c>
      <c r="E15" s="1">
        <v>24.36</v>
      </c>
      <c r="F15" s="1">
        <v>24.36</v>
      </c>
      <c r="G15" s="1">
        <v>24.36</v>
      </c>
      <c r="I15" s="1" t="str">
        <f>I9</f>
        <v>1990</v>
      </c>
      <c r="J15" s="12" t="s">
        <v>148</v>
      </c>
    </row>
    <row r="16" spans="1:11">
      <c r="A16" s="1" t="s">
        <v>42</v>
      </c>
      <c r="C16" s="1">
        <v>19.22</v>
      </c>
      <c r="D16" s="1">
        <v>19.22</v>
      </c>
      <c r="E16" s="1">
        <v>19.22</v>
      </c>
      <c r="F16" s="1">
        <v>19.22</v>
      </c>
      <c r="G16" s="1">
        <v>19.22</v>
      </c>
      <c r="I16" s="1" t="str">
        <f>I10</f>
        <v>1990</v>
      </c>
      <c r="J16" s="12" t="s">
        <v>148</v>
      </c>
    </row>
    <row r="17" spans="1:10">
      <c r="A17" s="1" t="s">
        <v>45</v>
      </c>
      <c r="C17" s="1">
        <v>21.17</v>
      </c>
      <c r="D17" s="1">
        <v>21.17</v>
      </c>
      <c r="E17" s="1">
        <v>21.17</v>
      </c>
      <c r="F17" s="1">
        <v>21.17</v>
      </c>
      <c r="G17" s="1">
        <v>21.17</v>
      </c>
      <c r="I17" s="1" t="str">
        <f>I11</f>
        <v>1990</v>
      </c>
      <c r="J17" s="12" t="s">
        <v>148</v>
      </c>
    </row>
    <row r="18" spans="1:10">
      <c r="A18" s="1" t="s">
        <v>183</v>
      </c>
      <c r="B18" s="1">
        <v>1991</v>
      </c>
      <c r="J18" s="12"/>
    </row>
    <row r="19" spans="1:10">
      <c r="A19" s="1" t="s">
        <v>538</v>
      </c>
      <c r="J19" s="12"/>
    </row>
    <row r="20" spans="1:10">
      <c r="A20" s="1" t="s">
        <v>33</v>
      </c>
      <c r="C20" s="1">
        <v>603.29</v>
      </c>
      <c r="D20" s="1">
        <v>335.96</v>
      </c>
      <c r="E20" s="1">
        <v>802.67</v>
      </c>
      <c r="F20" s="1">
        <v>42.33</v>
      </c>
      <c r="G20" s="1">
        <v>100.68</v>
      </c>
      <c r="I20" s="1" t="str">
        <f>RIGHT(B18,4)</f>
        <v>1991</v>
      </c>
      <c r="J20" s="9" t="s">
        <v>519</v>
      </c>
    </row>
    <row r="21" spans="1:10">
      <c r="A21" s="1" t="s">
        <v>36</v>
      </c>
      <c r="C21" s="1">
        <v>46.4</v>
      </c>
      <c r="D21" s="1">
        <v>81.37</v>
      </c>
      <c r="E21" s="1">
        <v>195.88</v>
      </c>
      <c r="F21" s="1">
        <v>11.73</v>
      </c>
      <c r="G21" s="1">
        <v>20.69</v>
      </c>
      <c r="I21" s="1" t="str">
        <f>I20</f>
        <v>1991</v>
      </c>
      <c r="J21" s="12" t="s">
        <v>519</v>
      </c>
    </row>
    <row r="22" spans="1:10">
      <c r="A22" s="1" t="s">
        <v>39</v>
      </c>
      <c r="C22" s="1">
        <v>160.47999999999999</v>
      </c>
      <c r="D22" s="1">
        <v>171.35</v>
      </c>
      <c r="E22" s="1">
        <v>375.44</v>
      </c>
      <c r="F22" s="1">
        <v>0</v>
      </c>
      <c r="G22" s="1">
        <v>2.92</v>
      </c>
      <c r="I22" s="1" t="str">
        <f t="shared" ref="I22:I24" si="1">I21</f>
        <v>1991</v>
      </c>
      <c r="J22" s="12" t="s">
        <v>519</v>
      </c>
    </row>
    <row r="23" spans="1:10">
      <c r="A23" s="1" t="s">
        <v>42</v>
      </c>
      <c r="C23" s="1">
        <v>262.61</v>
      </c>
      <c r="D23" s="1">
        <v>254.3</v>
      </c>
      <c r="E23" s="1">
        <v>1257.92</v>
      </c>
      <c r="F23" s="1">
        <v>25.45</v>
      </c>
      <c r="G23" s="1">
        <v>14.42</v>
      </c>
      <c r="I23" s="1" t="str">
        <f t="shared" si="1"/>
        <v>1991</v>
      </c>
      <c r="J23" s="12" t="s">
        <v>519</v>
      </c>
    </row>
    <row r="24" spans="1:10">
      <c r="A24" s="1" t="s">
        <v>45</v>
      </c>
      <c r="C24" s="1">
        <v>153.47</v>
      </c>
      <c r="D24" s="1">
        <v>294.66000000000003</v>
      </c>
      <c r="E24" s="1">
        <v>552.37</v>
      </c>
      <c r="F24" s="1">
        <v>5.61</v>
      </c>
      <c r="G24" s="1">
        <v>10.01</v>
      </c>
      <c r="I24" s="1" t="str">
        <f t="shared" si="1"/>
        <v>1991</v>
      </c>
      <c r="J24" s="12" t="s">
        <v>519</v>
      </c>
    </row>
    <row r="25" spans="1:10">
      <c r="A25" s="1" t="s">
        <v>539</v>
      </c>
    </row>
    <row r="26" spans="1:10">
      <c r="A26" s="1" t="s">
        <v>33</v>
      </c>
      <c r="C26" s="1">
        <v>22.54</v>
      </c>
      <c r="D26" s="1">
        <v>22.54</v>
      </c>
      <c r="E26" s="1">
        <v>22.54</v>
      </c>
      <c r="F26" s="1">
        <v>22.54</v>
      </c>
      <c r="G26" s="1">
        <v>22.54</v>
      </c>
      <c r="I26" s="1" t="str">
        <f>I20</f>
        <v>1991</v>
      </c>
      <c r="J26" s="12" t="s">
        <v>148</v>
      </c>
    </row>
    <row r="27" spans="1:10">
      <c r="A27" s="1" t="s">
        <v>36</v>
      </c>
      <c r="C27" s="1">
        <v>18.329999999999998</v>
      </c>
      <c r="D27" s="1">
        <v>18.329999999999998</v>
      </c>
      <c r="E27" s="1">
        <v>18.329999999999998</v>
      </c>
      <c r="F27" s="1">
        <v>18.329999999999998</v>
      </c>
      <c r="G27" s="1">
        <v>18.329999999999998</v>
      </c>
      <c r="I27" s="1" t="str">
        <f>I21</f>
        <v>1991</v>
      </c>
      <c r="J27" s="12" t="s">
        <v>148</v>
      </c>
    </row>
    <row r="28" spans="1:10">
      <c r="A28" s="1" t="s">
        <v>39</v>
      </c>
      <c r="C28" s="1">
        <v>19.350000000000001</v>
      </c>
      <c r="D28" s="1">
        <v>19.350000000000001</v>
      </c>
      <c r="E28" s="1">
        <v>19.350000000000001</v>
      </c>
      <c r="F28" s="1">
        <v>19.350000000000001</v>
      </c>
      <c r="G28" s="1">
        <v>19.350000000000001</v>
      </c>
      <c r="I28" s="1" t="str">
        <f>I22</f>
        <v>1991</v>
      </c>
      <c r="J28" s="12" t="s">
        <v>148</v>
      </c>
    </row>
    <row r="29" spans="1:10">
      <c r="A29" s="1" t="s">
        <v>42</v>
      </c>
      <c r="C29" s="1">
        <v>14.25</v>
      </c>
      <c r="D29" s="1">
        <v>14.25</v>
      </c>
      <c r="E29" s="1">
        <v>14.25</v>
      </c>
      <c r="F29" s="1">
        <v>14.25</v>
      </c>
      <c r="G29" s="1">
        <v>14.25</v>
      </c>
      <c r="I29" s="1" t="str">
        <f>I23</f>
        <v>1991</v>
      </c>
      <c r="J29" s="12" t="s">
        <v>148</v>
      </c>
    </row>
    <row r="30" spans="1:10">
      <c r="A30" s="1" t="s">
        <v>45</v>
      </c>
      <c r="C30" s="1">
        <v>15.31</v>
      </c>
      <c r="D30" s="1">
        <v>15.31</v>
      </c>
      <c r="E30" s="1">
        <v>15.31</v>
      </c>
      <c r="F30" s="1">
        <v>15.31</v>
      </c>
      <c r="G30" s="1">
        <v>15.31</v>
      </c>
      <c r="I30" s="1" t="str">
        <f>I24</f>
        <v>1991</v>
      </c>
      <c r="J30" s="12" t="s">
        <v>148</v>
      </c>
    </row>
    <row r="31" spans="1:10">
      <c r="A31" s="1" t="s">
        <v>183</v>
      </c>
      <c r="B31" s="1">
        <v>1992</v>
      </c>
    </row>
    <row r="32" spans="1:10">
      <c r="A32" s="1" t="s">
        <v>538</v>
      </c>
    </row>
    <row r="33" spans="1:10">
      <c r="A33" s="1" t="s">
        <v>33</v>
      </c>
      <c r="C33" s="1">
        <v>614.84</v>
      </c>
      <c r="D33" s="1">
        <v>413.27</v>
      </c>
      <c r="E33" s="1">
        <v>822.7</v>
      </c>
      <c r="F33" s="1">
        <v>18.149999999999999</v>
      </c>
      <c r="G33" s="1">
        <v>95.62</v>
      </c>
      <c r="I33" s="1" t="str">
        <f>RIGHT(B31,4)</f>
        <v>1992</v>
      </c>
      <c r="J33" s="9" t="s">
        <v>519</v>
      </c>
    </row>
    <row r="34" spans="1:10">
      <c r="A34" s="1" t="s">
        <v>36</v>
      </c>
      <c r="C34" s="1">
        <v>59.7</v>
      </c>
      <c r="D34" s="1">
        <v>37.36</v>
      </c>
      <c r="E34" s="1">
        <v>150.97</v>
      </c>
      <c r="F34" s="1">
        <v>16.09</v>
      </c>
      <c r="G34" s="1">
        <v>44.36</v>
      </c>
      <c r="I34" s="1" t="str">
        <f>I33</f>
        <v>1992</v>
      </c>
      <c r="J34" s="12" t="s">
        <v>519</v>
      </c>
    </row>
    <row r="35" spans="1:10">
      <c r="A35" s="1" t="s">
        <v>39</v>
      </c>
      <c r="C35" s="1">
        <v>172.2</v>
      </c>
      <c r="D35" s="1">
        <v>228.65</v>
      </c>
      <c r="E35" s="1">
        <v>396.73</v>
      </c>
      <c r="F35" s="1">
        <v>3.23</v>
      </c>
      <c r="G35" s="1">
        <v>1.78</v>
      </c>
      <c r="I35" s="1" t="str">
        <f t="shared" ref="I35:I37" si="2">I34</f>
        <v>1992</v>
      </c>
      <c r="J35" s="12" t="s">
        <v>519</v>
      </c>
    </row>
    <row r="36" spans="1:10">
      <c r="A36" s="1" t="s">
        <v>42</v>
      </c>
      <c r="C36" s="1">
        <v>204.56</v>
      </c>
      <c r="D36" s="1">
        <v>329.49</v>
      </c>
      <c r="E36" s="1">
        <v>1318.01</v>
      </c>
      <c r="F36" s="1">
        <v>31.2</v>
      </c>
      <c r="G36" s="1">
        <v>12.87</v>
      </c>
      <c r="I36" s="1" t="str">
        <f t="shared" si="2"/>
        <v>1992</v>
      </c>
      <c r="J36" s="12" t="s">
        <v>519</v>
      </c>
    </row>
    <row r="37" spans="1:10">
      <c r="A37" s="1" t="s">
        <v>45</v>
      </c>
      <c r="C37" s="1">
        <v>169.92</v>
      </c>
      <c r="D37" s="1">
        <v>309.06</v>
      </c>
      <c r="E37" s="1">
        <v>609.71</v>
      </c>
      <c r="F37" s="1">
        <v>5.04</v>
      </c>
      <c r="G37" s="1">
        <v>17.489999999999998</v>
      </c>
      <c r="I37" s="1" t="str">
        <f t="shared" si="2"/>
        <v>1992</v>
      </c>
      <c r="J37" s="12" t="s">
        <v>519</v>
      </c>
    </row>
    <row r="38" spans="1:10">
      <c r="A38" s="1" t="s">
        <v>539</v>
      </c>
    </row>
    <row r="39" spans="1:10">
      <c r="A39" s="1" t="s">
        <v>33</v>
      </c>
      <c r="C39" s="1">
        <v>21.04</v>
      </c>
      <c r="D39" s="1">
        <v>21.04</v>
      </c>
      <c r="E39" s="1">
        <v>21.04</v>
      </c>
      <c r="F39" s="1">
        <v>21.04</v>
      </c>
      <c r="G39" s="1">
        <v>21.04</v>
      </c>
      <c r="I39" s="1" t="str">
        <f>I33</f>
        <v>1992</v>
      </c>
      <c r="J39" s="12" t="s">
        <v>148</v>
      </c>
    </row>
    <row r="40" spans="1:10">
      <c r="A40" s="1" t="s">
        <v>36</v>
      </c>
      <c r="C40" s="1">
        <v>18.940000000000001</v>
      </c>
      <c r="D40" s="1">
        <v>18.940000000000001</v>
      </c>
      <c r="E40" s="1">
        <v>18.940000000000001</v>
      </c>
      <c r="F40" s="1">
        <v>18.940000000000001</v>
      </c>
      <c r="G40" s="1">
        <v>18.940000000000001</v>
      </c>
      <c r="I40" s="1" t="str">
        <f>I34</f>
        <v>1992</v>
      </c>
      <c r="J40" s="12" t="s">
        <v>148</v>
      </c>
    </row>
    <row r="41" spans="1:10">
      <c r="A41" s="1" t="s">
        <v>39</v>
      </c>
      <c r="C41" s="1">
        <v>18.96</v>
      </c>
      <c r="D41" s="1">
        <v>18.96</v>
      </c>
      <c r="E41" s="1">
        <v>18.96</v>
      </c>
      <c r="F41" s="1">
        <v>18.96</v>
      </c>
      <c r="G41" s="1">
        <v>18.96</v>
      </c>
      <c r="I41" s="1" t="str">
        <f>I35</f>
        <v>1992</v>
      </c>
      <c r="J41" s="12" t="s">
        <v>148</v>
      </c>
    </row>
    <row r="42" spans="1:10">
      <c r="A42" s="1" t="s">
        <v>42</v>
      </c>
      <c r="C42" s="1">
        <v>14.11</v>
      </c>
      <c r="D42" s="1">
        <v>14.11</v>
      </c>
      <c r="E42" s="1">
        <v>14.11</v>
      </c>
      <c r="F42" s="1">
        <v>14.11</v>
      </c>
      <c r="G42" s="1">
        <v>14.11</v>
      </c>
      <c r="I42" s="1" t="str">
        <f>I36</f>
        <v>1992</v>
      </c>
      <c r="J42" s="12" t="s">
        <v>148</v>
      </c>
    </row>
    <row r="43" spans="1:10">
      <c r="A43" s="1" t="s">
        <v>45</v>
      </c>
      <c r="C43" s="1">
        <v>15.16</v>
      </c>
      <c r="D43" s="1">
        <v>15.16</v>
      </c>
      <c r="E43" s="1">
        <v>15.16</v>
      </c>
      <c r="F43" s="1">
        <v>15.16</v>
      </c>
      <c r="G43" s="1">
        <v>15.16</v>
      </c>
      <c r="I43" s="1" t="str">
        <f>I37</f>
        <v>1992</v>
      </c>
      <c r="J43" s="12" t="s">
        <v>148</v>
      </c>
    </row>
    <row r="44" spans="1:10">
      <c r="A44" s="1" t="s">
        <v>183</v>
      </c>
      <c r="B44" s="1">
        <v>1993</v>
      </c>
    </row>
    <row r="45" spans="1:10">
      <c r="A45" s="1" t="s">
        <v>538</v>
      </c>
    </row>
    <row r="46" spans="1:10">
      <c r="A46" s="1" t="s">
        <v>33</v>
      </c>
      <c r="C46" s="1">
        <v>731.61</v>
      </c>
      <c r="D46" s="1">
        <v>515.72</v>
      </c>
      <c r="E46" s="1">
        <v>913.78</v>
      </c>
      <c r="F46" s="1">
        <v>9</v>
      </c>
      <c r="G46" s="1">
        <v>124.17</v>
      </c>
      <c r="I46" s="1" t="str">
        <f>RIGHT(B44,4)</f>
        <v>1993</v>
      </c>
      <c r="J46" s="9" t="s">
        <v>519</v>
      </c>
    </row>
    <row r="47" spans="1:10">
      <c r="A47" s="1" t="s">
        <v>36</v>
      </c>
      <c r="C47" s="1">
        <v>63.48</v>
      </c>
      <c r="D47" s="1">
        <v>52.28</v>
      </c>
      <c r="E47" s="1">
        <v>178.18</v>
      </c>
      <c r="F47" s="1">
        <v>15.74</v>
      </c>
      <c r="G47" s="1">
        <v>67.22</v>
      </c>
      <c r="I47" s="1" t="str">
        <f>I46</f>
        <v>1993</v>
      </c>
      <c r="J47" s="12" t="s">
        <v>519</v>
      </c>
    </row>
    <row r="48" spans="1:10">
      <c r="A48" s="1" t="s">
        <v>39</v>
      </c>
      <c r="C48" s="1">
        <v>186.92</v>
      </c>
      <c r="D48" s="1">
        <v>203.01</v>
      </c>
      <c r="E48" s="1">
        <v>373.2</v>
      </c>
      <c r="F48" s="1">
        <v>13.27</v>
      </c>
      <c r="G48" s="1">
        <v>5.84</v>
      </c>
      <c r="I48" s="1" t="str">
        <f t="shared" ref="I48:I50" si="3">I47</f>
        <v>1993</v>
      </c>
      <c r="J48" s="12" t="s">
        <v>519</v>
      </c>
    </row>
    <row r="49" spans="1:10">
      <c r="A49" s="1" t="s">
        <v>42</v>
      </c>
      <c r="C49" s="1">
        <v>209.33</v>
      </c>
      <c r="D49" s="1">
        <v>348.5</v>
      </c>
      <c r="E49" s="1">
        <v>1467.43</v>
      </c>
      <c r="F49" s="1">
        <v>48.37</v>
      </c>
      <c r="G49" s="1">
        <v>29.27</v>
      </c>
      <c r="I49" s="1" t="str">
        <f t="shared" si="3"/>
        <v>1993</v>
      </c>
      <c r="J49" s="12" t="s">
        <v>519</v>
      </c>
    </row>
    <row r="50" spans="1:10">
      <c r="A50" s="1" t="s">
        <v>45</v>
      </c>
      <c r="C50" s="1">
        <v>187.09</v>
      </c>
      <c r="D50" s="1">
        <v>339.97</v>
      </c>
      <c r="E50" s="1">
        <v>688.12</v>
      </c>
      <c r="F50" s="1">
        <v>1.08</v>
      </c>
      <c r="G50" s="1">
        <v>14.41</v>
      </c>
      <c r="I50" s="1" t="str">
        <f t="shared" si="3"/>
        <v>1993</v>
      </c>
      <c r="J50" s="12" t="s">
        <v>519</v>
      </c>
    </row>
    <row r="51" spans="1:10">
      <c r="A51" s="1" t="s">
        <v>539</v>
      </c>
    </row>
    <row r="52" spans="1:10">
      <c r="A52" s="1" t="s">
        <v>33</v>
      </c>
      <c r="C52" s="1">
        <v>18.420000000000002</v>
      </c>
      <c r="D52" s="1">
        <v>18.420000000000002</v>
      </c>
      <c r="E52" s="1">
        <v>18.420000000000002</v>
      </c>
      <c r="F52" s="1">
        <v>18.420000000000002</v>
      </c>
      <c r="G52" s="1">
        <v>18.420000000000002</v>
      </c>
      <c r="I52" s="1" t="str">
        <f>I46</f>
        <v>1993</v>
      </c>
      <c r="J52" s="12" t="s">
        <v>148</v>
      </c>
    </row>
    <row r="53" spans="1:10">
      <c r="A53" s="1" t="s">
        <v>36</v>
      </c>
      <c r="C53" s="1">
        <v>15.79</v>
      </c>
      <c r="D53" s="1">
        <v>15.79</v>
      </c>
      <c r="E53" s="1">
        <v>15.79</v>
      </c>
      <c r="F53" s="1">
        <v>15.79</v>
      </c>
      <c r="G53" s="1">
        <v>15.79</v>
      </c>
      <c r="I53" s="1" t="str">
        <f>I47</f>
        <v>1993</v>
      </c>
      <c r="J53" s="12" t="s">
        <v>148</v>
      </c>
    </row>
    <row r="54" spans="1:10">
      <c r="A54" s="1" t="s">
        <v>39</v>
      </c>
      <c r="C54" s="1">
        <v>16.62</v>
      </c>
      <c r="D54" s="1">
        <v>16.62</v>
      </c>
      <c r="E54" s="1">
        <v>16.62</v>
      </c>
      <c r="F54" s="1">
        <v>16.62</v>
      </c>
      <c r="G54" s="1">
        <v>16.62</v>
      </c>
      <c r="I54" s="1" t="str">
        <f>I48</f>
        <v>1993</v>
      </c>
      <c r="J54" s="12" t="s">
        <v>148</v>
      </c>
    </row>
    <row r="55" spans="1:10">
      <c r="A55" s="1" t="s">
        <v>42</v>
      </c>
      <c r="C55" s="1">
        <v>12.45</v>
      </c>
      <c r="D55" s="1">
        <v>12.45</v>
      </c>
      <c r="E55" s="1">
        <v>12.45</v>
      </c>
      <c r="F55" s="1">
        <v>12.45</v>
      </c>
      <c r="G55" s="1">
        <v>12.45</v>
      </c>
      <c r="I55" s="1" t="str">
        <f>I49</f>
        <v>1993</v>
      </c>
      <c r="J55" s="12" t="s">
        <v>148</v>
      </c>
    </row>
    <row r="56" spans="1:10">
      <c r="A56" s="1" t="s">
        <v>45</v>
      </c>
      <c r="C56" s="1">
        <v>13.65</v>
      </c>
      <c r="D56" s="1">
        <v>13.65</v>
      </c>
      <c r="E56" s="1">
        <v>13.65</v>
      </c>
      <c r="F56" s="1">
        <v>13.65</v>
      </c>
      <c r="G56" s="1">
        <v>13.65</v>
      </c>
      <c r="I56" s="1" t="str">
        <f>I50</f>
        <v>1993</v>
      </c>
      <c r="J56" s="12" t="s">
        <v>148</v>
      </c>
    </row>
    <row r="57" spans="1:10">
      <c r="A57" s="1" t="s">
        <v>183</v>
      </c>
      <c r="B57" s="1">
        <v>1994</v>
      </c>
    </row>
    <row r="58" spans="1:10">
      <c r="A58" s="1" t="s">
        <v>538</v>
      </c>
    </row>
    <row r="59" spans="1:10">
      <c r="A59" s="1" t="s">
        <v>33</v>
      </c>
      <c r="C59" s="1">
        <v>728.58</v>
      </c>
      <c r="D59" s="1">
        <v>345.86</v>
      </c>
      <c r="E59" s="1">
        <v>1128.19</v>
      </c>
      <c r="F59" s="1">
        <v>14.54</v>
      </c>
      <c r="G59" s="1">
        <v>146.55000000000001</v>
      </c>
      <c r="I59" s="1" t="str">
        <f>RIGHT(B57,4)</f>
        <v>1994</v>
      </c>
      <c r="J59" s="9" t="s">
        <v>519</v>
      </c>
    </row>
    <row r="60" spans="1:10">
      <c r="A60" s="1" t="s">
        <v>36</v>
      </c>
      <c r="C60" s="1">
        <v>68.930000000000007</v>
      </c>
      <c r="D60" s="1">
        <v>97.63</v>
      </c>
      <c r="E60" s="1">
        <v>310.41000000000003</v>
      </c>
      <c r="F60" s="1">
        <v>20.54</v>
      </c>
      <c r="G60" s="1">
        <v>47.37</v>
      </c>
      <c r="I60" s="1" t="str">
        <f>I59</f>
        <v>1994</v>
      </c>
      <c r="J60" s="12" t="s">
        <v>519</v>
      </c>
    </row>
    <row r="61" spans="1:10">
      <c r="A61" s="1" t="s">
        <v>39</v>
      </c>
      <c r="C61" s="1">
        <v>175.02</v>
      </c>
      <c r="D61" s="1">
        <v>262.07</v>
      </c>
      <c r="E61" s="1">
        <v>309.97000000000003</v>
      </c>
      <c r="F61" s="1">
        <v>18.63</v>
      </c>
      <c r="G61" s="1">
        <v>16.29</v>
      </c>
      <c r="I61" s="1" t="str">
        <f t="shared" ref="I61:I63" si="4">I60</f>
        <v>1994</v>
      </c>
      <c r="J61" s="12" t="s">
        <v>519</v>
      </c>
    </row>
    <row r="62" spans="1:10">
      <c r="A62" s="1" t="s">
        <v>42</v>
      </c>
      <c r="C62" s="1">
        <v>302.44</v>
      </c>
      <c r="D62" s="1">
        <v>465.06</v>
      </c>
      <c r="E62" s="1">
        <v>1356.86</v>
      </c>
      <c r="F62" s="1">
        <v>56.63</v>
      </c>
      <c r="G62" s="1">
        <v>42.28</v>
      </c>
      <c r="I62" s="1" t="str">
        <f t="shared" si="4"/>
        <v>1994</v>
      </c>
      <c r="J62" s="12" t="s">
        <v>519</v>
      </c>
    </row>
    <row r="63" spans="1:10">
      <c r="A63" s="1" t="s">
        <v>45</v>
      </c>
      <c r="C63" s="1">
        <v>137.76</v>
      </c>
      <c r="D63" s="1">
        <v>248.7</v>
      </c>
      <c r="E63" s="1">
        <v>740.49</v>
      </c>
      <c r="F63" s="1">
        <v>1.96</v>
      </c>
      <c r="G63" s="1">
        <v>20.25</v>
      </c>
      <c r="I63" s="1" t="str">
        <f t="shared" si="4"/>
        <v>1994</v>
      </c>
      <c r="J63" s="12" t="s">
        <v>519</v>
      </c>
    </row>
    <row r="64" spans="1:10">
      <c r="A64" s="1" t="s">
        <v>539</v>
      </c>
    </row>
    <row r="65" spans="1:10">
      <c r="A65" s="1" t="s">
        <v>33</v>
      </c>
      <c r="C65" s="1">
        <v>16.84</v>
      </c>
      <c r="D65" s="1">
        <v>16.84</v>
      </c>
      <c r="E65" s="1">
        <v>16.84</v>
      </c>
      <c r="F65" s="1">
        <v>16.84</v>
      </c>
      <c r="G65" s="1">
        <v>16.84</v>
      </c>
      <c r="I65" s="1" t="str">
        <f>I59</f>
        <v>1994</v>
      </c>
      <c r="J65" s="12" t="s">
        <v>148</v>
      </c>
    </row>
    <row r="66" spans="1:10">
      <c r="A66" s="1" t="s">
        <v>36</v>
      </c>
      <c r="C66" s="1">
        <v>14.92</v>
      </c>
      <c r="D66" s="1">
        <v>14.92</v>
      </c>
      <c r="E66" s="1">
        <v>14.92</v>
      </c>
      <c r="F66" s="1">
        <v>14.92</v>
      </c>
      <c r="G66" s="1">
        <v>14.92</v>
      </c>
      <c r="I66" s="1" t="str">
        <f>I60</f>
        <v>1994</v>
      </c>
      <c r="J66" s="12" t="s">
        <v>148</v>
      </c>
    </row>
    <row r="67" spans="1:10">
      <c r="A67" s="1" t="s">
        <v>39</v>
      </c>
      <c r="C67" s="1">
        <v>15.5</v>
      </c>
      <c r="D67" s="1">
        <v>15.5</v>
      </c>
      <c r="E67" s="1">
        <v>15.5</v>
      </c>
      <c r="F67" s="1">
        <v>15.5</v>
      </c>
      <c r="G67" s="1">
        <v>15.5</v>
      </c>
      <c r="I67" s="1" t="str">
        <f>I61</f>
        <v>1994</v>
      </c>
      <c r="J67" s="12" t="s">
        <v>148</v>
      </c>
    </row>
    <row r="68" spans="1:10">
      <c r="A68" s="1" t="s">
        <v>42</v>
      </c>
      <c r="C68" s="1">
        <v>12.52</v>
      </c>
      <c r="D68" s="1">
        <v>12.52</v>
      </c>
      <c r="E68" s="1">
        <v>12.52</v>
      </c>
      <c r="F68" s="1">
        <v>12.52</v>
      </c>
      <c r="G68" s="1">
        <v>12.52</v>
      </c>
      <c r="I68" s="1" t="str">
        <f>I62</f>
        <v>1994</v>
      </c>
      <c r="J68" s="12" t="s">
        <v>148</v>
      </c>
    </row>
    <row r="69" spans="1:10">
      <c r="A69" s="1" t="s">
        <v>45</v>
      </c>
      <c r="C69" s="1">
        <v>13.29</v>
      </c>
      <c r="D69" s="1">
        <v>13.29</v>
      </c>
      <c r="E69" s="1">
        <v>13.29</v>
      </c>
      <c r="F69" s="1">
        <v>13.29</v>
      </c>
      <c r="G69" s="1">
        <v>13.29</v>
      </c>
      <c r="I69" s="1" t="str">
        <f>I63</f>
        <v>1994</v>
      </c>
      <c r="J69" s="12" t="s">
        <v>148</v>
      </c>
    </row>
    <row r="70" spans="1:10">
      <c r="A70" s="1" t="s">
        <v>183</v>
      </c>
      <c r="B70" s="1">
        <v>1995</v>
      </c>
    </row>
    <row r="71" spans="1:10">
      <c r="A71" s="1" t="s">
        <v>538</v>
      </c>
    </row>
    <row r="72" spans="1:10">
      <c r="A72" s="1" t="s">
        <v>33</v>
      </c>
      <c r="C72" s="1">
        <v>791.75</v>
      </c>
      <c r="D72" s="1">
        <v>347.6</v>
      </c>
      <c r="E72" s="1">
        <v>1104.55</v>
      </c>
      <c r="F72" s="1">
        <v>14.34</v>
      </c>
      <c r="G72" s="1">
        <v>163.68</v>
      </c>
      <c r="I72" s="1" t="str">
        <f>RIGHT(B70,4)</f>
        <v>1995</v>
      </c>
      <c r="J72" s="9" t="s">
        <v>519</v>
      </c>
    </row>
    <row r="73" spans="1:10">
      <c r="A73" s="1" t="s">
        <v>36</v>
      </c>
      <c r="C73" s="1">
        <v>65.84</v>
      </c>
      <c r="D73" s="1">
        <v>178.36</v>
      </c>
      <c r="E73" s="1">
        <v>329.39</v>
      </c>
      <c r="F73" s="1">
        <v>14.72</v>
      </c>
      <c r="G73" s="1">
        <v>23.53</v>
      </c>
      <c r="I73" s="1" t="str">
        <f>I72</f>
        <v>1995</v>
      </c>
      <c r="J73" s="12" t="s">
        <v>519</v>
      </c>
    </row>
    <row r="74" spans="1:10">
      <c r="A74" s="1" t="s">
        <v>39</v>
      </c>
      <c r="C74" s="1">
        <v>176.93</v>
      </c>
      <c r="D74" s="1">
        <v>211.55</v>
      </c>
      <c r="E74" s="1">
        <v>452.92</v>
      </c>
      <c r="F74" s="1">
        <v>14.43</v>
      </c>
      <c r="G74" s="1">
        <v>13.89</v>
      </c>
      <c r="I74" s="1" t="str">
        <f t="shared" ref="I74:I76" si="5">I73</f>
        <v>1995</v>
      </c>
      <c r="J74" s="12" t="s">
        <v>519</v>
      </c>
    </row>
    <row r="75" spans="1:10">
      <c r="A75" s="1" t="s">
        <v>42</v>
      </c>
      <c r="C75" s="1">
        <v>281.8</v>
      </c>
      <c r="D75" s="1">
        <v>452.3</v>
      </c>
      <c r="E75" s="1">
        <v>1230.0899999999999</v>
      </c>
      <c r="F75" s="1">
        <v>73.36</v>
      </c>
      <c r="G75" s="1">
        <v>60.86</v>
      </c>
      <c r="I75" s="1" t="str">
        <f t="shared" si="5"/>
        <v>1995</v>
      </c>
      <c r="J75" s="12" t="s">
        <v>519</v>
      </c>
    </row>
    <row r="76" spans="1:10">
      <c r="A76" s="1" t="s">
        <v>45</v>
      </c>
      <c r="C76" s="1">
        <v>152.72999999999999</v>
      </c>
      <c r="D76" s="1">
        <v>264.27999999999997</v>
      </c>
      <c r="E76" s="1">
        <v>789.07</v>
      </c>
      <c r="F76" s="1">
        <v>1.65</v>
      </c>
      <c r="G76" s="1">
        <v>20.38</v>
      </c>
      <c r="I76" s="1" t="str">
        <f t="shared" si="5"/>
        <v>1995</v>
      </c>
      <c r="J76" s="12" t="s">
        <v>519</v>
      </c>
    </row>
    <row r="77" spans="1:10">
      <c r="A77" s="1" t="s">
        <v>539</v>
      </c>
    </row>
    <row r="78" spans="1:10">
      <c r="A78" s="1" t="s">
        <v>33</v>
      </c>
      <c r="C78" s="1">
        <v>17.68</v>
      </c>
      <c r="D78" s="1">
        <v>17.68</v>
      </c>
      <c r="E78" s="1">
        <v>17.68</v>
      </c>
      <c r="F78" s="1">
        <v>17.68</v>
      </c>
      <c r="G78" s="1">
        <v>17.68</v>
      </c>
      <c r="I78" s="1" t="str">
        <f>I72</f>
        <v>1995</v>
      </c>
      <c r="J78" s="12" t="s">
        <v>148</v>
      </c>
    </row>
    <row r="79" spans="1:10">
      <c r="A79" s="1" t="s">
        <v>36</v>
      </c>
      <c r="C79" s="1">
        <v>16.149999999999999</v>
      </c>
      <c r="D79" s="1">
        <v>16.149999999999999</v>
      </c>
      <c r="E79" s="1">
        <v>16.149999999999999</v>
      </c>
      <c r="F79" s="1">
        <v>16.149999999999999</v>
      </c>
      <c r="G79" s="1">
        <v>16.149999999999999</v>
      </c>
      <c r="I79" s="1" t="str">
        <f>I73</f>
        <v>1995</v>
      </c>
      <c r="J79" s="12" t="s">
        <v>148</v>
      </c>
    </row>
    <row r="80" spans="1:10">
      <c r="A80" s="1" t="s">
        <v>39</v>
      </c>
      <c r="C80" s="1">
        <v>16.47</v>
      </c>
      <c r="D80" s="1">
        <v>16.47</v>
      </c>
      <c r="E80" s="1">
        <v>16.47</v>
      </c>
      <c r="F80" s="1">
        <v>16.47</v>
      </c>
      <c r="G80" s="1">
        <v>16.47</v>
      </c>
      <c r="I80" s="1" t="str">
        <f>I74</f>
        <v>1995</v>
      </c>
      <c r="J80" s="12" t="s">
        <v>148</v>
      </c>
    </row>
    <row r="81" spans="1:10">
      <c r="A81" s="1" t="s">
        <v>42</v>
      </c>
      <c r="C81" s="1">
        <v>14.27</v>
      </c>
      <c r="D81" s="1">
        <v>14.27</v>
      </c>
      <c r="E81" s="1">
        <v>14.27</v>
      </c>
      <c r="F81" s="1">
        <v>14.27</v>
      </c>
      <c r="G81" s="1">
        <v>14.27</v>
      </c>
      <c r="I81" s="1" t="str">
        <f>I75</f>
        <v>1995</v>
      </c>
      <c r="J81" s="12" t="s">
        <v>148</v>
      </c>
    </row>
    <row r="82" spans="1:10">
      <c r="A82" s="1" t="s">
        <v>45</v>
      </c>
      <c r="C82" s="1">
        <v>14.93</v>
      </c>
      <c r="D82" s="1">
        <v>14.93</v>
      </c>
      <c r="E82" s="1">
        <v>14.93</v>
      </c>
      <c r="F82" s="1">
        <v>14.93</v>
      </c>
      <c r="G82" s="1">
        <v>14.93</v>
      </c>
      <c r="I82" s="1" t="str">
        <f>I76</f>
        <v>1995</v>
      </c>
      <c r="J82" s="12" t="s">
        <v>148</v>
      </c>
    </row>
    <row r="83" spans="1:10">
      <c r="A83" s="1" t="s">
        <v>183</v>
      </c>
      <c r="B83" s="1">
        <v>1996</v>
      </c>
      <c r="J83" s="12"/>
    </row>
    <row r="84" spans="1:10">
      <c r="A84" s="1" t="s">
        <v>538</v>
      </c>
      <c r="J84" s="12"/>
    </row>
    <row r="85" spans="1:10">
      <c r="A85" s="1" t="s">
        <v>33</v>
      </c>
      <c r="C85" s="1">
        <v>684.74</v>
      </c>
      <c r="D85" s="1">
        <v>318.74</v>
      </c>
      <c r="E85" s="1">
        <v>949.96</v>
      </c>
      <c r="F85" s="1">
        <v>11.53</v>
      </c>
      <c r="G85" s="1">
        <v>185.32</v>
      </c>
      <c r="I85" s="1" t="str">
        <f>RIGHT(B83,4)</f>
        <v>1996</v>
      </c>
      <c r="J85" s="9" t="s">
        <v>519</v>
      </c>
    </row>
    <row r="86" spans="1:10">
      <c r="A86" s="1" t="s">
        <v>36</v>
      </c>
      <c r="C86" s="1">
        <v>48.19</v>
      </c>
      <c r="D86" s="1">
        <v>219.95</v>
      </c>
      <c r="E86" s="1">
        <v>467.16</v>
      </c>
      <c r="F86" s="1">
        <v>17.91</v>
      </c>
      <c r="G86" s="1">
        <v>68.36</v>
      </c>
      <c r="I86" s="1" t="str">
        <f>I85</f>
        <v>1996</v>
      </c>
      <c r="J86" s="12" t="s">
        <v>519</v>
      </c>
    </row>
    <row r="87" spans="1:10">
      <c r="A87" s="1" t="s">
        <v>39</v>
      </c>
      <c r="C87" s="1">
        <v>156.13</v>
      </c>
      <c r="D87" s="1">
        <v>230.02</v>
      </c>
      <c r="E87" s="1">
        <v>546.32000000000005</v>
      </c>
      <c r="F87" s="1">
        <v>15.33</v>
      </c>
      <c r="G87" s="1">
        <v>6.67</v>
      </c>
      <c r="I87" s="1" t="str">
        <f t="shared" ref="I87:I89" si="6">I86</f>
        <v>1996</v>
      </c>
      <c r="J87" s="12" t="s">
        <v>519</v>
      </c>
    </row>
    <row r="88" spans="1:10">
      <c r="A88" s="1" t="s">
        <v>42</v>
      </c>
      <c r="C88" s="1">
        <v>230.36</v>
      </c>
      <c r="D88" s="1">
        <v>440.78</v>
      </c>
      <c r="E88" s="1">
        <v>1263.8900000000001</v>
      </c>
      <c r="F88" s="1">
        <v>72.91</v>
      </c>
      <c r="G88" s="1">
        <v>54.89</v>
      </c>
      <c r="I88" s="1" t="str">
        <f t="shared" si="6"/>
        <v>1996</v>
      </c>
      <c r="J88" s="12" t="s">
        <v>519</v>
      </c>
    </row>
    <row r="89" spans="1:10">
      <c r="A89" s="1" t="s">
        <v>45</v>
      </c>
      <c r="C89" s="1">
        <v>186.92</v>
      </c>
      <c r="D89" s="1">
        <v>289.64</v>
      </c>
      <c r="E89" s="1">
        <v>1014.33</v>
      </c>
      <c r="F89" s="1">
        <v>0.04</v>
      </c>
      <c r="G89" s="1">
        <v>27.91</v>
      </c>
      <c r="I89" s="1" t="str">
        <f t="shared" si="6"/>
        <v>1996</v>
      </c>
      <c r="J89" s="12" t="s">
        <v>519</v>
      </c>
    </row>
    <row r="90" spans="1:10">
      <c r="A90" s="1" t="s">
        <v>539</v>
      </c>
    </row>
    <row r="91" spans="1:10">
      <c r="A91" s="1" t="s">
        <v>33</v>
      </c>
      <c r="C91" s="1">
        <v>20.82</v>
      </c>
      <c r="D91" s="1">
        <v>20.82</v>
      </c>
      <c r="E91" s="1">
        <v>20.82</v>
      </c>
      <c r="F91" s="1">
        <v>20.82</v>
      </c>
      <c r="G91" s="1">
        <v>20.82</v>
      </c>
      <c r="I91" s="1" t="str">
        <f>I85</f>
        <v>1996</v>
      </c>
      <c r="J91" s="12" t="s">
        <v>148</v>
      </c>
    </row>
    <row r="92" spans="1:10">
      <c r="A92" s="1" t="s">
        <v>36</v>
      </c>
      <c r="C92" s="1">
        <v>18.739999999999998</v>
      </c>
      <c r="D92" s="1">
        <v>18.739999999999998</v>
      </c>
      <c r="E92" s="1">
        <v>18.739999999999998</v>
      </c>
      <c r="F92" s="1">
        <v>18.739999999999998</v>
      </c>
      <c r="G92" s="1">
        <v>18.739999999999998</v>
      </c>
      <c r="I92" s="1" t="str">
        <f>I86</f>
        <v>1996</v>
      </c>
      <c r="J92" s="12" t="s">
        <v>148</v>
      </c>
    </row>
    <row r="93" spans="1:10">
      <c r="A93" s="1" t="s">
        <v>39</v>
      </c>
      <c r="C93" s="1">
        <v>19.64</v>
      </c>
      <c r="D93" s="1">
        <v>19.64</v>
      </c>
      <c r="E93" s="1">
        <v>19.64</v>
      </c>
      <c r="F93" s="1">
        <v>19.64</v>
      </c>
      <c r="G93" s="1">
        <v>19.64</v>
      </c>
      <c r="I93" s="1" t="str">
        <f>I87</f>
        <v>1996</v>
      </c>
      <c r="J93" s="12" t="s">
        <v>148</v>
      </c>
    </row>
    <row r="94" spans="1:10">
      <c r="A94" s="1" t="s">
        <v>42</v>
      </c>
      <c r="C94" s="1">
        <v>16.899999999999999</v>
      </c>
      <c r="D94" s="1">
        <v>16.899999999999999</v>
      </c>
      <c r="E94" s="1">
        <v>16.899999999999999</v>
      </c>
      <c r="F94" s="1">
        <v>16.899999999999999</v>
      </c>
      <c r="G94" s="1">
        <v>16.899999999999999</v>
      </c>
      <c r="I94" s="1" t="str">
        <f>I88</f>
        <v>1996</v>
      </c>
      <c r="J94" s="12" t="s">
        <v>148</v>
      </c>
    </row>
    <row r="95" spans="1:10">
      <c r="A95" s="1" t="s">
        <v>45</v>
      </c>
      <c r="C95" s="1">
        <v>17.420000000000002</v>
      </c>
      <c r="D95" s="1">
        <v>17.420000000000002</v>
      </c>
      <c r="E95" s="1">
        <v>17.420000000000002</v>
      </c>
      <c r="F95" s="1">
        <v>17.420000000000002</v>
      </c>
      <c r="G95" s="1">
        <v>17.420000000000002</v>
      </c>
      <c r="I95" s="1" t="str">
        <f>I89</f>
        <v>1996</v>
      </c>
      <c r="J95" s="12" t="s">
        <v>148</v>
      </c>
    </row>
    <row r="96" spans="1:10">
      <c r="A96" s="1" t="s">
        <v>183</v>
      </c>
      <c r="B96" s="1">
        <v>1997</v>
      </c>
    </row>
    <row r="97" spans="1:10">
      <c r="A97" s="1" t="s">
        <v>538</v>
      </c>
    </row>
    <row r="98" spans="1:10">
      <c r="A98" s="1" t="s">
        <v>33</v>
      </c>
      <c r="C98" s="1">
        <v>891.41</v>
      </c>
      <c r="D98" s="1">
        <v>413.33</v>
      </c>
      <c r="E98" s="1">
        <v>876.09</v>
      </c>
      <c r="F98" s="1">
        <v>13.45</v>
      </c>
      <c r="G98" s="1">
        <v>195.33</v>
      </c>
      <c r="I98" s="1" t="str">
        <f>RIGHT(B96,4)</f>
        <v>1997</v>
      </c>
      <c r="J98" s="9" t="s">
        <v>519</v>
      </c>
    </row>
    <row r="99" spans="1:10">
      <c r="A99" s="1" t="s">
        <v>36</v>
      </c>
      <c r="C99" s="1">
        <v>20.29</v>
      </c>
      <c r="D99" s="1">
        <v>128.65</v>
      </c>
      <c r="E99" s="1">
        <v>528.86</v>
      </c>
      <c r="F99" s="1">
        <v>12.93</v>
      </c>
      <c r="G99" s="1">
        <v>36.700000000000003</v>
      </c>
      <c r="I99" s="1" t="str">
        <f>I98</f>
        <v>1997</v>
      </c>
      <c r="J99" s="12" t="s">
        <v>519</v>
      </c>
    </row>
    <row r="100" spans="1:10">
      <c r="A100" s="1" t="s">
        <v>39</v>
      </c>
      <c r="C100" s="1">
        <v>100.01</v>
      </c>
      <c r="D100" s="1">
        <v>319.75</v>
      </c>
      <c r="E100" s="1">
        <v>518.71</v>
      </c>
      <c r="F100" s="1">
        <v>8.9499999999999993</v>
      </c>
      <c r="G100" s="1">
        <v>47.03</v>
      </c>
      <c r="I100" s="1" t="str">
        <f t="shared" ref="I100:I102" si="7">I99</f>
        <v>1997</v>
      </c>
      <c r="J100" s="12" t="s">
        <v>519</v>
      </c>
    </row>
    <row r="101" spans="1:10">
      <c r="A101" s="1" t="s">
        <v>42</v>
      </c>
      <c r="C101" s="1">
        <v>239.92</v>
      </c>
      <c r="D101" s="1">
        <v>510.19</v>
      </c>
      <c r="E101" s="1">
        <v>1405.83</v>
      </c>
      <c r="F101" s="1">
        <v>51.03</v>
      </c>
      <c r="G101" s="1">
        <v>48.79</v>
      </c>
      <c r="I101" s="1" t="str">
        <f t="shared" si="7"/>
        <v>1997</v>
      </c>
      <c r="J101" s="12" t="s">
        <v>519</v>
      </c>
    </row>
    <row r="102" spans="1:10">
      <c r="A102" s="1" t="s">
        <v>45</v>
      </c>
      <c r="C102" s="1">
        <v>182.14</v>
      </c>
      <c r="D102" s="1">
        <v>423.76</v>
      </c>
      <c r="E102" s="1">
        <v>1180.9100000000001</v>
      </c>
      <c r="F102" s="1">
        <v>32.5</v>
      </c>
      <c r="G102" s="1">
        <v>38.46</v>
      </c>
      <c r="I102" s="1" t="str">
        <f t="shared" si="7"/>
        <v>1997</v>
      </c>
      <c r="J102" s="12" t="s">
        <v>519</v>
      </c>
    </row>
    <row r="103" spans="1:10">
      <c r="A103" s="1" t="s">
        <v>539</v>
      </c>
    </row>
    <row r="104" spans="1:10">
      <c r="A104" s="1" t="s">
        <v>33</v>
      </c>
      <c r="C104" s="1">
        <v>19.09</v>
      </c>
      <c r="D104" s="1">
        <v>19.09</v>
      </c>
      <c r="E104" s="1">
        <v>19.09</v>
      </c>
      <c r="F104" s="1">
        <v>19.09</v>
      </c>
      <c r="G104" s="1">
        <v>19.09</v>
      </c>
      <c r="I104" s="1" t="str">
        <f>I98</f>
        <v>1997</v>
      </c>
      <c r="J104" s="12" t="s">
        <v>148</v>
      </c>
    </row>
    <row r="105" spans="1:10">
      <c r="A105" s="1" t="s">
        <v>36</v>
      </c>
      <c r="C105" s="1">
        <v>16.72</v>
      </c>
      <c r="D105" s="1">
        <v>16.72</v>
      </c>
      <c r="E105" s="1">
        <v>16.72</v>
      </c>
      <c r="F105" s="1">
        <v>16.72</v>
      </c>
      <c r="G105" s="1">
        <v>16.72</v>
      </c>
      <c r="I105" s="1" t="str">
        <f>I99</f>
        <v>1997</v>
      </c>
      <c r="J105" s="12" t="s">
        <v>148</v>
      </c>
    </row>
    <row r="106" spans="1:10">
      <c r="A106" s="1" t="s">
        <v>39</v>
      </c>
      <c r="C106" s="1">
        <v>16.77</v>
      </c>
      <c r="D106" s="1">
        <v>16.77</v>
      </c>
      <c r="E106" s="1">
        <v>16.77</v>
      </c>
      <c r="F106" s="1">
        <v>16.77</v>
      </c>
      <c r="G106" s="1">
        <v>16.77</v>
      </c>
      <c r="I106" s="1" t="str">
        <f>I100</f>
        <v>1997</v>
      </c>
      <c r="J106" s="12" t="s">
        <v>148</v>
      </c>
    </row>
    <row r="107" spans="1:10">
      <c r="A107" s="1" t="s">
        <v>42</v>
      </c>
      <c r="C107" s="1">
        <v>14.42</v>
      </c>
      <c r="D107" s="1">
        <v>14.42</v>
      </c>
      <c r="E107" s="1">
        <v>14.42</v>
      </c>
      <c r="F107" s="1">
        <v>14.42</v>
      </c>
      <c r="G107" s="1">
        <v>14.42</v>
      </c>
      <c r="I107" s="1" t="str">
        <f>I101</f>
        <v>1997</v>
      </c>
      <c r="J107" s="12" t="s">
        <v>148</v>
      </c>
    </row>
    <row r="108" spans="1:10">
      <c r="A108" s="1" t="s">
        <v>45</v>
      </c>
      <c r="C108" s="1">
        <v>14.56</v>
      </c>
      <c r="D108" s="1">
        <v>14.56</v>
      </c>
      <c r="E108" s="1">
        <v>14.56</v>
      </c>
      <c r="F108" s="1">
        <v>14.56</v>
      </c>
      <c r="G108" s="1">
        <v>14.56</v>
      </c>
      <c r="I108" s="1" t="str">
        <f>I102</f>
        <v>1997</v>
      </c>
      <c r="J108" s="12" t="s">
        <v>148</v>
      </c>
    </row>
    <row r="109" spans="1:10">
      <c r="A109" s="1" t="s">
        <v>183</v>
      </c>
      <c r="B109" s="1">
        <v>1998</v>
      </c>
    </row>
    <row r="110" spans="1:10">
      <c r="A110" s="1" t="s">
        <v>538</v>
      </c>
    </row>
    <row r="111" spans="1:10">
      <c r="A111" s="1" t="s">
        <v>33</v>
      </c>
      <c r="C111" s="1">
        <v>932.76</v>
      </c>
      <c r="D111" s="1">
        <v>404.55</v>
      </c>
      <c r="E111" s="1">
        <v>982.08</v>
      </c>
      <c r="F111" s="1">
        <v>15.09</v>
      </c>
      <c r="G111" s="1">
        <v>192.96</v>
      </c>
      <c r="I111" s="1" t="str">
        <f>RIGHT(B109,4)</f>
        <v>1998</v>
      </c>
      <c r="J111" s="9" t="s">
        <v>519</v>
      </c>
    </row>
    <row r="112" spans="1:10">
      <c r="A112" s="1" t="s">
        <v>36</v>
      </c>
      <c r="C112" s="1">
        <v>33.96</v>
      </c>
      <c r="D112" s="1">
        <v>120.89</v>
      </c>
      <c r="E112" s="1">
        <v>582.65</v>
      </c>
      <c r="F112" s="1">
        <v>16.07</v>
      </c>
      <c r="G112" s="1">
        <v>38.61</v>
      </c>
      <c r="I112" s="1" t="str">
        <f>I111</f>
        <v>1998</v>
      </c>
      <c r="J112" s="12" t="s">
        <v>519</v>
      </c>
    </row>
    <row r="113" spans="1:10">
      <c r="A113" s="1" t="s">
        <v>39</v>
      </c>
      <c r="C113" s="1">
        <v>121.89</v>
      </c>
      <c r="D113" s="1">
        <v>371.34</v>
      </c>
      <c r="E113" s="1">
        <v>647.64</v>
      </c>
      <c r="F113" s="1">
        <v>8.48</v>
      </c>
      <c r="G113" s="1">
        <v>60.26</v>
      </c>
      <c r="I113" s="1" t="str">
        <f t="shared" ref="I113:I115" si="8">I112</f>
        <v>1998</v>
      </c>
      <c r="J113" s="12" t="s">
        <v>519</v>
      </c>
    </row>
    <row r="114" spans="1:10">
      <c r="A114" s="1" t="s">
        <v>42</v>
      </c>
      <c r="C114" s="1">
        <v>260</v>
      </c>
      <c r="D114" s="1">
        <v>494.94</v>
      </c>
      <c r="E114" s="1">
        <v>1363.03</v>
      </c>
      <c r="F114" s="1">
        <v>41.96</v>
      </c>
      <c r="G114" s="1">
        <v>100.09</v>
      </c>
      <c r="I114" s="1" t="str">
        <f t="shared" si="8"/>
        <v>1998</v>
      </c>
      <c r="J114" s="12" t="s">
        <v>519</v>
      </c>
    </row>
    <row r="115" spans="1:10">
      <c r="A115" s="1" t="s">
        <v>45</v>
      </c>
      <c r="C115" s="1">
        <v>179.54</v>
      </c>
      <c r="D115" s="1">
        <v>420.86</v>
      </c>
      <c r="E115" s="1">
        <v>1210.79</v>
      </c>
      <c r="F115" s="1">
        <v>44.84</v>
      </c>
      <c r="G115" s="1">
        <v>60.71</v>
      </c>
      <c r="I115" s="1" t="str">
        <f t="shared" si="8"/>
        <v>1998</v>
      </c>
      <c r="J115" s="12" t="s">
        <v>519</v>
      </c>
    </row>
    <row r="116" spans="1:10">
      <c r="A116" s="1" t="s">
        <v>539</v>
      </c>
    </row>
    <row r="117" spans="1:10">
      <c r="A117" s="1" t="s">
        <v>33</v>
      </c>
      <c r="C117" s="1">
        <v>13.21</v>
      </c>
      <c r="D117" s="1">
        <v>13.21</v>
      </c>
      <c r="E117" s="1">
        <v>13.21</v>
      </c>
      <c r="F117" s="1">
        <v>13.21</v>
      </c>
      <c r="G117" s="1">
        <v>13.21</v>
      </c>
      <c r="I117" s="1" t="str">
        <f>I111</f>
        <v>1998</v>
      </c>
      <c r="J117" s="12" t="s">
        <v>148</v>
      </c>
    </row>
    <row r="118" spans="1:10">
      <c r="A118" s="1" t="s">
        <v>36</v>
      </c>
      <c r="C118" s="1">
        <v>10.58</v>
      </c>
      <c r="D118" s="1">
        <v>10.58</v>
      </c>
      <c r="E118" s="1">
        <v>10.58</v>
      </c>
      <c r="F118" s="1">
        <v>10.58</v>
      </c>
      <c r="G118" s="1">
        <v>10.58</v>
      </c>
      <c r="I118" s="1" t="str">
        <f>I112</f>
        <v>1998</v>
      </c>
      <c r="J118" s="12" t="s">
        <v>148</v>
      </c>
    </row>
    <row r="119" spans="1:10">
      <c r="A119" s="1" t="s">
        <v>39</v>
      </c>
      <c r="C119" s="1">
        <v>11.32</v>
      </c>
      <c r="D119" s="1">
        <v>11.32</v>
      </c>
      <c r="E119" s="1">
        <v>11.32</v>
      </c>
      <c r="F119" s="1">
        <v>11.32</v>
      </c>
      <c r="G119" s="1">
        <v>11.32</v>
      </c>
      <c r="I119" s="1" t="str">
        <f>I113</f>
        <v>1998</v>
      </c>
      <c r="J119" s="12" t="s">
        <v>148</v>
      </c>
    </row>
    <row r="120" spans="1:10">
      <c r="A120" s="1" t="s">
        <v>42</v>
      </c>
      <c r="C120" s="1">
        <v>8.44</v>
      </c>
      <c r="D120" s="1">
        <v>8.44</v>
      </c>
      <c r="E120" s="1">
        <v>8.44</v>
      </c>
      <c r="F120" s="1">
        <v>8.44</v>
      </c>
      <c r="G120" s="1">
        <v>8.44</v>
      </c>
      <c r="I120" s="1" t="str">
        <f>I114</f>
        <v>1998</v>
      </c>
      <c r="J120" s="12" t="s">
        <v>148</v>
      </c>
    </row>
    <row r="121" spans="1:10">
      <c r="A121" s="1" t="s">
        <v>45</v>
      </c>
      <c r="C121" s="1">
        <v>9.3000000000000007</v>
      </c>
      <c r="D121" s="1">
        <v>9.3000000000000007</v>
      </c>
      <c r="E121" s="1">
        <v>9.3000000000000007</v>
      </c>
      <c r="F121" s="1">
        <v>9.3000000000000007</v>
      </c>
      <c r="G121" s="1">
        <v>9.3000000000000007</v>
      </c>
      <c r="I121" s="1" t="str">
        <f>I115</f>
        <v>1998</v>
      </c>
      <c r="J121" s="12" t="s">
        <v>148</v>
      </c>
    </row>
    <row r="122" spans="1:10">
      <c r="A122" s="1" t="s">
        <v>183</v>
      </c>
      <c r="B122" s="1">
        <v>1999</v>
      </c>
    </row>
    <row r="123" spans="1:10">
      <c r="A123" s="1" t="s">
        <v>538</v>
      </c>
    </row>
    <row r="124" spans="1:10">
      <c r="A124" s="1" t="s">
        <v>33</v>
      </c>
      <c r="C124" s="1">
        <v>949.54</v>
      </c>
      <c r="D124" s="1">
        <v>370.75</v>
      </c>
      <c r="E124" s="1">
        <v>1016.17</v>
      </c>
      <c r="F124" s="1">
        <v>24.59</v>
      </c>
      <c r="G124" s="1">
        <v>218.24</v>
      </c>
      <c r="I124" s="1" t="str">
        <f>RIGHT(B122,4)</f>
        <v>1999</v>
      </c>
      <c r="J124" s="9" t="s">
        <v>519</v>
      </c>
    </row>
    <row r="125" spans="1:10">
      <c r="A125" s="1" t="s">
        <v>36</v>
      </c>
      <c r="C125" s="1">
        <v>58.06</v>
      </c>
      <c r="D125" s="1">
        <v>114.03</v>
      </c>
      <c r="E125" s="1">
        <v>592.15</v>
      </c>
      <c r="F125" s="1">
        <v>15.24</v>
      </c>
      <c r="G125" s="1">
        <v>23.85</v>
      </c>
      <c r="I125" s="1" t="str">
        <f>I124</f>
        <v>1999</v>
      </c>
      <c r="J125" s="12" t="s">
        <v>519</v>
      </c>
    </row>
    <row r="126" spans="1:10">
      <c r="A126" s="1" t="s">
        <v>39</v>
      </c>
      <c r="C126" s="1">
        <v>116.01</v>
      </c>
      <c r="D126" s="1">
        <v>390.47</v>
      </c>
      <c r="E126" s="1">
        <v>721.8</v>
      </c>
      <c r="F126" s="1">
        <v>13.27</v>
      </c>
      <c r="G126" s="1">
        <v>114.23</v>
      </c>
      <c r="I126" s="1" t="str">
        <f t="shared" ref="I126:I128" si="9">I125</f>
        <v>1999</v>
      </c>
      <c r="J126" s="12" t="s">
        <v>519</v>
      </c>
    </row>
    <row r="127" spans="1:10">
      <c r="A127" s="1" t="s">
        <v>42</v>
      </c>
      <c r="C127" s="1">
        <v>202.33</v>
      </c>
      <c r="D127" s="1">
        <v>566.89</v>
      </c>
      <c r="E127" s="1">
        <v>1467.14</v>
      </c>
      <c r="F127" s="1">
        <v>82.6</v>
      </c>
      <c r="G127" s="1">
        <v>162.4</v>
      </c>
      <c r="I127" s="1" t="str">
        <f t="shared" si="9"/>
        <v>1999</v>
      </c>
      <c r="J127" s="12" t="s">
        <v>519</v>
      </c>
    </row>
    <row r="128" spans="1:10">
      <c r="A128" s="1" t="s">
        <v>45</v>
      </c>
      <c r="C128" s="1">
        <v>139.07</v>
      </c>
      <c r="D128" s="1">
        <v>248.75</v>
      </c>
      <c r="E128" s="1">
        <v>1056.1199999999999</v>
      </c>
      <c r="F128" s="1">
        <v>8.1999999999999993</v>
      </c>
      <c r="G128" s="1">
        <v>59.09</v>
      </c>
      <c r="I128" s="1" t="str">
        <f t="shared" si="9"/>
        <v>1999</v>
      </c>
      <c r="J128" s="12" t="s">
        <v>519</v>
      </c>
    </row>
    <row r="129" spans="1:10">
      <c r="A129" s="1" t="s">
        <v>539</v>
      </c>
    </row>
    <row r="130" spans="1:10">
      <c r="A130" s="1" t="s">
        <v>33</v>
      </c>
      <c r="C130" s="1">
        <v>17.46</v>
      </c>
      <c r="D130" s="1">
        <v>17.46</v>
      </c>
      <c r="E130" s="1">
        <v>17.46</v>
      </c>
      <c r="F130" s="1">
        <v>17.46</v>
      </c>
      <c r="G130" s="1">
        <v>17.46</v>
      </c>
      <c r="I130" s="1" t="str">
        <f>I124</f>
        <v>1999</v>
      </c>
      <c r="J130" s="12" t="s">
        <v>148</v>
      </c>
    </row>
    <row r="131" spans="1:10">
      <c r="A131" s="1" t="s">
        <v>36</v>
      </c>
      <c r="C131" s="1">
        <v>15.96</v>
      </c>
      <c r="D131" s="1">
        <v>15.96</v>
      </c>
      <c r="E131" s="1">
        <v>15.96</v>
      </c>
      <c r="F131" s="1">
        <v>15.96</v>
      </c>
      <c r="G131" s="1">
        <v>15.96</v>
      </c>
      <c r="I131" s="1" t="str">
        <f>I125</f>
        <v>1999</v>
      </c>
      <c r="J131" s="12" t="s">
        <v>148</v>
      </c>
    </row>
    <row r="132" spans="1:10">
      <c r="A132" s="1" t="s">
        <v>39</v>
      </c>
      <c r="C132" s="1">
        <v>16.28</v>
      </c>
      <c r="D132" s="1">
        <v>16.28</v>
      </c>
      <c r="E132" s="1">
        <v>16.28</v>
      </c>
      <c r="F132" s="1">
        <v>16.28</v>
      </c>
      <c r="G132" s="1">
        <v>16.28</v>
      </c>
      <c r="I132" s="1" t="str">
        <f>I126</f>
        <v>1999</v>
      </c>
      <c r="J132" s="12" t="s">
        <v>148</v>
      </c>
    </row>
    <row r="133" spans="1:10">
      <c r="A133" s="1" t="s">
        <v>42</v>
      </c>
      <c r="C133" s="1">
        <v>13.03</v>
      </c>
      <c r="D133" s="1">
        <v>13.03</v>
      </c>
      <c r="E133" s="1">
        <v>13.03</v>
      </c>
      <c r="F133" s="1">
        <v>13.03</v>
      </c>
      <c r="G133" s="1">
        <v>13.03</v>
      </c>
      <c r="I133" s="1" t="str">
        <f>I127</f>
        <v>1999</v>
      </c>
      <c r="J133" s="12" t="s">
        <v>148</v>
      </c>
    </row>
    <row r="134" spans="1:10">
      <c r="A134" s="1" t="s">
        <v>45</v>
      </c>
      <c r="C134" s="1">
        <v>14.59</v>
      </c>
      <c r="D134" s="1">
        <v>14.59</v>
      </c>
      <c r="E134" s="1">
        <v>14.59</v>
      </c>
      <c r="F134" s="1">
        <v>14.59</v>
      </c>
      <c r="G134" s="1">
        <v>14.59</v>
      </c>
      <c r="I134" s="1" t="str">
        <f>I128</f>
        <v>1999</v>
      </c>
      <c r="J134" s="12" t="s">
        <v>148</v>
      </c>
    </row>
    <row r="135" spans="1:10">
      <c r="A135" s="1" t="s">
        <v>183</v>
      </c>
      <c r="B135" s="1">
        <v>2000</v>
      </c>
    </row>
    <row r="136" spans="1:10">
      <c r="A136" s="1" t="s">
        <v>538</v>
      </c>
    </row>
    <row r="137" spans="1:10">
      <c r="A137" s="1" t="s">
        <v>33</v>
      </c>
      <c r="C137" s="1">
        <v>1025.3399999999999</v>
      </c>
      <c r="D137" s="1">
        <v>364.95</v>
      </c>
      <c r="E137" s="1">
        <v>1144.81</v>
      </c>
      <c r="F137" s="1">
        <v>30.6</v>
      </c>
      <c r="G137" s="1">
        <v>199.4</v>
      </c>
      <c r="I137" s="1" t="str">
        <f>RIGHT(B135,4)</f>
        <v>2000</v>
      </c>
      <c r="J137" s="9" t="s">
        <v>519</v>
      </c>
    </row>
    <row r="138" spans="1:10">
      <c r="A138" s="1" t="s">
        <v>36</v>
      </c>
      <c r="C138" s="1">
        <v>44.42</v>
      </c>
      <c r="D138" s="1">
        <v>66.94</v>
      </c>
      <c r="E138" s="1">
        <v>500.93</v>
      </c>
      <c r="F138" s="1">
        <v>10.19</v>
      </c>
      <c r="G138" s="1">
        <v>50.88</v>
      </c>
      <c r="I138" s="1" t="str">
        <f>I137</f>
        <v>2000</v>
      </c>
      <c r="J138" s="12" t="s">
        <v>519</v>
      </c>
    </row>
    <row r="139" spans="1:10">
      <c r="A139" s="1" t="s">
        <v>39</v>
      </c>
      <c r="C139" s="1">
        <v>113.33</v>
      </c>
      <c r="D139" s="1">
        <v>372.93</v>
      </c>
      <c r="E139" s="1">
        <v>697.42</v>
      </c>
      <c r="F139" s="1">
        <v>5.13</v>
      </c>
      <c r="G139" s="1">
        <v>79.33</v>
      </c>
      <c r="I139" s="1" t="str">
        <f t="shared" ref="I139:I141" si="10">I138</f>
        <v>2000</v>
      </c>
      <c r="J139" s="12" t="s">
        <v>519</v>
      </c>
    </row>
    <row r="140" spans="1:10">
      <c r="A140" s="1" t="s">
        <v>42</v>
      </c>
      <c r="C140" s="1">
        <v>155.99</v>
      </c>
      <c r="D140" s="1">
        <v>531.5</v>
      </c>
      <c r="E140" s="1">
        <v>1320.51</v>
      </c>
      <c r="F140" s="1">
        <v>81.8</v>
      </c>
      <c r="G140" s="1">
        <v>219.53</v>
      </c>
      <c r="I140" s="1" t="str">
        <f t="shared" si="10"/>
        <v>2000</v>
      </c>
      <c r="J140" s="12" t="s">
        <v>519</v>
      </c>
    </row>
    <row r="141" spans="1:10">
      <c r="A141" s="1" t="s">
        <v>45</v>
      </c>
      <c r="C141" s="1">
        <v>164.09</v>
      </c>
      <c r="D141" s="1">
        <v>400.83</v>
      </c>
      <c r="E141" s="1">
        <v>1367.03</v>
      </c>
      <c r="F141" s="1">
        <v>31.15</v>
      </c>
      <c r="G141" s="1">
        <v>91.95</v>
      </c>
      <c r="I141" s="1" t="str">
        <f t="shared" si="10"/>
        <v>2000</v>
      </c>
      <c r="J141" s="12" t="s">
        <v>519</v>
      </c>
    </row>
    <row r="142" spans="1:10">
      <c r="A142" s="1" t="s">
        <v>539</v>
      </c>
    </row>
    <row r="143" spans="1:10">
      <c r="A143" s="1" t="s">
        <v>33</v>
      </c>
      <c r="C143" s="1">
        <v>26.84</v>
      </c>
      <c r="D143" s="1">
        <v>26.84</v>
      </c>
      <c r="E143" s="1">
        <v>26.84</v>
      </c>
      <c r="F143" s="1">
        <v>26.84</v>
      </c>
      <c r="G143" s="1">
        <v>26.84</v>
      </c>
      <c r="I143" s="1" t="str">
        <f>I137</f>
        <v>2000</v>
      </c>
      <c r="J143" s="12" t="s">
        <v>148</v>
      </c>
    </row>
    <row r="144" spans="1:10">
      <c r="A144" s="1" t="s">
        <v>36</v>
      </c>
      <c r="C144" s="1">
        <v>24.47</v>
      </c>
      <c r="D144" s="1">
        <v>24.47</v>
      </c>
      <c r="E144" s="1">
        <v>24.47</v>
      </c>
      <c r="F144" s="1">
        <v>24.47</v>
      </c>
      <c r="G144" s="1">
        <v>24.47</v>
      </c>
      <c r="I144" s="1" t="str">
        <f>I138</f>
        <v>2000</v>
      </c>
      <c r="J144" s="12" t="s">
        <v>148</v>
      </c>
    </row>
    <row r="145" spans="1:10">
      <c r="A145" s="1" t="s">
        <v>39</v>
      </c>
      <c r="C145" s="1">
        <v>24.33</v>
      </c>
      <c r="D145" s="1">
        <v>24.33</v>
      </c>
      <c r="E145" s="1">
        <v>24.33</v>
      </c>
      <c r="F145" s="1">
        <v>24.33</v>
      </c>
      <c r="G145" s="1">
        <v>24.33</v>
      </c>
      <c r="I145" s="1" t="str">
        <f>I139</f>
        <v>2000</v>
      </c>
      <c r="J145" s="12" t="s">
        <v>148</v>
      </c>
    </row>
    <row r="146" spans="1:10">
      <c r="A146" s="1" t="s">
        <v>42</v>
      </c>
      <c r="C146" s="1">
        <v>21.15</v>
      </c>
      <c r="D146" s="1">
        <v>21.15</v>
      </c>
      <c r="E146" s="1">
        <v>21.15</v>
      </c>
      <c r="F146" s="1">
        <v>21.15</v>
      </c>
      <c r="G146" s="1">
        <v>21.15</v>
      </c>
      <c r="I146" s="1" t="str">
        <f>I140</f>
        <v>2000</v>
      </c>
      <c r="J146" s="12" t="s">
        <v>148</v>
      </c>
    </row>
    <row r="147" spans="1:10">
      <c r="A147" s="1" t="s">
        <v>45</v>
      </c>
      <c r="C147" s="1">
        <v>20.98</v>
      </c>
      <c r="D147" s="1">
        <v>20.98</v>
      </c>
      <c r="E147" s="1">
        <v>20.98</v>
      </c>
      <c r="F147" s="1">
        <v>20.98</v>
      </c>
      <c r="G147" s="1">
        <v>20.98</v>
      </c>
      <c r="I147" s="1" t="str">
        <f>I141</f>
        <v>2000</v>
      </c>
      <c r="J147" s="12" t="s">
        <v>148</v>
      </c>
    </row>
    <row r="148" spans="1:10">
      <c r="A148" s="1" t="s">
        <v>183</v>
      </c>
      <c r="B148" s="1">
        <v>2001</v>
      </c>
      <c r="J148" s="12"/>
    </row>
    <row r="149" spans="1:10">
      <c r="A149" s="1" t="s">
        <v>538</v>
      </c>
      <c r="J149" s="12"/>
    </row>
    <row r="150" spans="1:10">
      <c r="A150" s="1" t="s">
        <v>33</v>
      </c>
      <c r="C150" s="1">
        <v>972.52</v>
      </c>
      <c r="D150" s="1">
        <v>385.84</v>
      </c>
      <c r="E150" s="1">
        <v>1033.76</v>
      </c>
      <c r="F150" s="1">
        <v>43.67</v>
      </c>
      <c r="G150" s="1">
        <v>179.19</v>
      </c>
      <c r="I150" s="1" t="str">
        <f>RIGHT(B148,4)</f>
        <v>2001</v>
      </c>
      <c r="J150" s="9" t="s">
        <v>519</v>
      </c>
    </row>
    <row r="151" spans="1:10">
      <c r="A151" s="1" t="s">
        <v>36</v>
      </c>
      <c r="C151" s="1">
        <v>50.6</v>
      </c>
      <c r="D151" s="1">
        <v>150.46</v>
      </c>
      <c r="E151" s="1">
        <v>501.24</v>
      </c>
      <c r="F151" s="1">
        <v>9.74</v>
      </c>
      <c r="G151" s="1">
        <v>90.87</v>
      </c>
      <c r="I151" s="1" t="str">
        <f>I150</f>
        <v>2001</v>
      </c>
      <c r="J151" s="12" t="s">
        <v>519</v>
      </c>
    </row>
    <row r="152" spans="1:10">
      <c r="A152" s="1" t="s">
        <v>39</v>
      </c>
      <c r="C152" s="1">
        <v>153.29</v>
      </c>
      <c r="D152" s="1">
        <v>339.24</v>
      </c>
      <c r="E152" s="1">
        <v>663.08</v>
      </c>
      <c r="F152" s="1">
        <v>12.89</v>
      </c>
      <c r="G152" s="1">
        <v>122.84</v>
      </c>
      <c r="I152" s="1" t="str">
        <f t="shared" ref="I152:I154" si="11">I151</f>
        <v>2001</v>
      </c>
      <c r="J152" s="12" t="s">
        <v>519</v>
      </c>
    </row>
    <row r="153" spans="1:10">
      <c r="A153" s="1" t="s">
        <v>42</v>
      </c>
      <c r="C153" s="1">
        <v>171.09</v>
      </c>
      <c r="D153" s="1">
        <v>523.42999999999995</v>
      </c>
      <c r="E153" s="1">
        <v>1201.45</v>
      </c>
      <c r="F153" s="1">
        <v>50.02</v>
      </c>
      <c r="G153" s="1">
        <v>196.97</v>
      </c>
      <c r="I153" s="1" t="str">
        <f t="shared" si="11"/>
        <v>2001</v>
      </c>
      <c r="J153" s="12" t="s">
        <v>519</v>
      </c>
    </row>
    <row r="154" spans="1:10">
      <c r="A154" s="1" t="s">
        <v>45</v>
      </c>
      <c r="C154" s="1">
        <v>148.51</v>
      </c>
      <c r="D154" s="1">
        <v>314.17</v>
      </c>
      <c r="E154" s="1">
        <v>1848.27</v>
      </c>
      <c r="F154" s="1">
        <v>76.12</v>
      </c>
      <c r="G154" s="1">
        <v>88.74</v>
      </c>
      <c r="I154" s="1" t="str">
        <f t="shared" si="11"/>
        <v>2001</v>
      </c>
      <c r="J154" s="12" t="s">
        <v>519</v>
      </c>
    </row>
    <row r="155" spans="1:10">
      <c r="A155" s="1" t="s">
        <v>539</v>
      </c>
    </row>
    <row r="156" spans="1:10">
      <c r="A156" s="1" t="s">
        <v>33</v>
      </c>
      <c r="C156" s="1">
        <v>22.42</v>
      </c>
      <c r="D156" s="1">
        <v>22.42</v>
      </c>
      <c r="E156" s="1">
        <v>22.42</v>
      </c>
      <c r="F156" s="1">
        <v>22.42</v>
      </c>
      <c r="G156" s="1">
        <v>22.42</v>
      </c>
      <c r="I156" s="1" t="str">
        <f>I150</f>
        <v>2001</v>
      </c>
      <c r="J156" s="12" t="s">
        <v>148</v>
      </c>
    </row>
    <row r="157" spans="1:10">
      <c r="A157" s="1" t="s">
        <v>36</v>
      </c>
      <c r="C157" s="1">
        <v>18.29</v>
      </c>
      <c r="D157" s="1">
        <v>18.29</v>
      </c>
      <c r="E157" s="1">
        <v>18.29</v>
      </c>
      <c r="F157" s="1">
        <v>18.29</v>
      </c>
      <c r="G157" s="1">
        <v>18.29</v>
      </c>
      <c r="I157" s="1" t="str">
        <f>I151</f>
        <v>2001</v>
      </c>
      <c r="J157" s="12" t="s">
        <v>148</v>
      </c>
    </row>
    <row r="158" spans="1:10">
      <c r="A158" s="1" t="s">
        <v>39</v>
      </c>
      <c r="C158" s="1">
        <v>18.670000000000002</v>
      </c>
      <c r="D158" s="1">
        <v>18.670000000000002</v>
      </c>
      <c r="E158" s="1">
        <v>18.670000000000002</v>
      </c>
      <c r="F158" s="1">
        <v>18.670000000000002</v>
      </c>
      <c r="G158" s="1">
        <v>18.670000000000002</v>
      </c>
      <c r="I158" s="1" t="str">
        <f>I152</f>
        <v>2001</v>
      </c>
      <c r="J158" s="12" t="s">
        <v>148</v>
      </c>
    </row>
    <row r="159" spans="1:10">
      <c r="A159" s="1" t="s">
        <v>42</v>
      </c>
      <c r="C159" s="1">
        <v>15.13</v>
      </c>
      <c r="D159" s="1">
        <v>15.13</v>
      </c>
      <c r="E159" s="1">
        <v>15.13</v>
      </c>
      <c r="F159" s="1">
        <v>15.13</v>
      </c>
      <c r="G159" s="1">
        <v>15.13</v>
      </c>
      <c r="I159" s="1" t="str">
        <f>I153</f>
        <v>2001</v>
      </c>
      <c r="J159" s="12" t="s">
        <v>148</v>
      </c>
    </row>
    <row r="160" spans="1:10">
      <c r="A160" s="1" t="s">
        <v>45</v>
      </c>
      <c r="C160" s="1">
        <v>14.89</v>
      </c>
      <c r="D160" s="1">
        <v>14.89</v>
      </c>
      <c r="E160" s="1">
        <v>14.89</v>
      </c>
      <c r="F160" s="1">
        <v>14.89</v>
      </c>
      <c r="G160" s="1">
        <v>14.89</v>
      </c>
      <c r="I160" s="1" t="str">
        <f>I154</f>
        <v>2001</v>
      </c>
      <c r="J160" s="12" t="s">
        <v>148</v>
      </c>
    </row>
    <row r="161" spans="1:10">
      <c r="A161" s="1" t="s">
        <v>183</v>
      </c>
      <c r="B161" s="1">
        <v>2002</v>
      </c>
    </row>
    <row r="162" spans="1:10">
      <c r="A162" s="1" t="s">
        <v>538</v>
      </c>
    </row>
    <row r="163" spans="1:10">
      <c r="A163" s="1" t="s">
        <v>33</v>
      </c>
      <c r="C163" s="1">
        <v>966.6</v>
      </c>
      <c r="D163" s="1">
        <v>370.43</v>
      </c>
      <c r="E163" s="1">
        <v>1117.44</v>
      </c>
      <c r="F163" s="1">
        <v>40.96</v>
      </c>
      <c r="G163" s="1">
        <v>242.66</v>
      </c>
      <c r="I163" s="1" t="str">
        <f>RIGHT(B161,4)</f>
        <v>2002</v>
      </c>
      <c r="J163" s="9" t="s">
        <v>519</v>
      </c>
    </row>
    <row r="164" spans="1:10">
      <c r="A164" s="1" t="s">
        <v>36</v>
      </c>
      <c r="C164" s="1">
        <v>93.25</v>
      </c>
      <c r="D164" s="1">
        <v>267.04000000000002</v>
      </c>
      <c r="E164" s="1">
        <v>451.45</v>
      </c>
      <c r="F164" s="1">
        <v>21.32</v>
      </c>
      <c r="G164" s="1">
        <v>93.1</v>
      </c>
      <c r="I164" s="1" t="str">
        <f>I163</f>
        <v>2002</v>
      </c>
      <c r="J164" s="12" t="s">
        <v>519</v>
      </c>
    </row>
    <row r="165" spans="1:10">
      <c r="A165" s="1" t="s">
        <v>39</v>
      </c>
      <c r="C165" s="1">
        <v>152.35</v>
      </c>
      <c r="D165" s="1">
        <v>200.08</v>
      </c>
      <c r="E165" s="1">
        <v>536.89</v>
      </c>
      <c r="F165" s="1">
        <v>20.67</v>
      </c>
      <c r="G165" s="1">
        <v>165.51</v>
      </c>
      <c r="I165" s="1" t="str">
        <f t="shared" ref="I165:I167" si="12">I164</f>
        <v>2002</v>
      </c>
      <c r="J165" s="12" t="s">
        <v>519</v>
      </c>
    </row>
    <row r="166" spans="1:10">
      <c r="A166" s="1" t="s">
        <v>42</v>
      </c>
      <c r="C166" s="1">
        <v>188.86</v>
      </c>
      <c r="D166" s="1">
        <v>345.42</v>
      </c>
      <c r="E166" s="1">
        <v>1083.26</v>
      </c>
      <c r="F166" s="1">
        <v>79.06</v>
      </c>
      <c r="G166" s="1">
        <v>95.22</v>
      </c>
      <c r="I166" s="1" t="str">
        <f t="shared" si="12"/>
        <v>2002</v>
      </c>
      <c r="J166" s="12" t="s">
        <v>519</v>
      </c>
    </row>
    <row r="167" spans="1:10">
      <c r="A167" s="1" t="s">
        <v>45</v>
      </c>
      <c r="C167" s="1">
        <v>129.75</v>
      </c>
      <c r="D167" s="1">
        <v>316.94</v>
      </c>
      <c r="E167" s="1">
        <v>2003.41</v>
      </c>
      <c r="F167" s="1">
        <v>73.260000000000005</v>
      </c>
      <c r="G167" s="1">
        <v>85.08</v>
      </c>
      <c r="I167" s="1" t="str">
        <f t="shared" si="12"/>
        <v>2002</v>
      </c>
      <c r="J167" s="12" t="s">
        <v>519</v>
      </c>
    </row>
    <row r="168" spans="1:10">
      <c r="A168" s="1" t="s">
        <v>539</v>
      </c>
    </row>
    <row r="169" spans="1:10">
      <c r="A169" s="1" t="s">
        <v>33</v>
      </c>
      <c r="C169" s="1">
        <v>22.2</v>
      </c>
      <c r="D169" s="1">
        <v>22.2</v>
      </c>
      <c r="E169" s="1">
        <v>22.2</v>
      </c>
      <c r="F169" s="1">
        <v>22.2</v>
      </c>
      <c r="G169" s="1">
        <v>22.2</v>
      </c>
      <c r="I169" s="1" t="str">
        <f>I163</f>
        <v>2002</v>
      </c>
      <c r="J169" s="12" t="s">
        <v>148</v>
      </c>
    </row>
    <row r="170" spans="1:10">
      <c r="A170" s="1" t="s">
        <v>36</v>
      </c>
      <c r="C170" s="1">
        <v>20.45</v>
      </c>
      <c r="D170" s="1">
        <v>20.45</v>
      </c>
      <c r="E170" s="1">
        <v>20.45</v>
      </c>
      <c r="F170" s="1">
        <v>20.45</v>
      </c>
      <c r="G170" s="1">
        <v>20.45</v>
      </c>
      <c r="I170" s="1" t="str">
        <f>I164</f>
        <v>2002</v>
      </c>
      <c r="J170" s="12" t="s">
        <v>148</v>
      </c>
    </row>
    <row r="171" spans="1:10">
      <c r="A171" s="1" t="s">
        <v>39</v>
      </c>
      <c r="C171" s="1">
        <v>21.21</v>
      </c>
      <c r="D171" s="1">
        <v>21.21</v>
      </c>
      <c r="E171" s="1">
        <v>21.21</v>
      </c>
      <c r="F171" s="1">
        <v>21.21</v>
      </c>
      <c r="G171" s="1">
        <v>21.21</v>
      </c>
      <c r="I171" s="1" t="str">
        <f>I165</f>
        <v>2002</v>
      </c>
      <c r="J171" s="12" t="s">
        <v>148</v>
      </c>
    </row>
    <row r="172" spans="1:10">
      <c r="A172" s="1" t="s">
        <v>42</v>
      </c>
      <c r="C172" s="1">
        <v>18.07</v>
      </c>
      <c r="D172" s="1">
        <v>18.07</v>
      </c>
      <c r="E172" s="1">
        <v>18.07</v>
      </c>
      <c r="F172" s="1">
        <v>18.07</v>
      </c>
      <c r="G172" s="1">
        <v>18.07</v>
      </c>
      <c r="I172" s="1" t="str">
        <f>I166</f>
        <v>2002</v>
      </c>
      <c r="J172" s="12" t="s">
        <v>148</v>
      </c>
    </row>
    <row r="173" spans="1:10">
      <c r="A173" s="1" t="s">
        <v>45</v>
      </c>
      <c r="C173" s="1">
        <v>17.559999999999999</v>
      </c>
      <c r="D173" s="1">
        <v>17.559999999999999</v>
      </c>
      <c r="E173" s="1">
        <v>17.559999999999999</v>
      </c>
      <c r="F173" s="1">
        <v>17.559999999999999</v>
      </c>
      <c r="G173" s="1">
        <v>17.559999999999999</v>
      </c>
      <c r="I173" s="1" t="str">
        <f>I167</f>
        <v>2002</v>
      </c>
      <c r="J173" s="12" t="s">
        <v>148</v>
      </c>
    </row>
    <row r="174" spans="1:10">
      <c r="A174" s="1" t="s">
        <v>183</v>
      </c>
      <c r="B174" s="1">
        <v>2003</v>
      </c>
    </row>
    <row r="175" spans="1:10">
      <c r="A175" s="1" t="s">
        <v>538</v>
      </c>
    </row>
    <row r="176" spans="1:10">
      <c r="A176" s="1" t="s">
        <v>33</v>
      </c>
      <c r="C176" s="1">
        <v>1083.3900000000001</v>
      </c>
      <c r="D176" s="1">
        <v>361.64</v>
      </c>
      <c r="E176" s="1">
        <v>1258.0999999999999</v>
      </c>
      <c r="F176" s="1">
        <v>48.47</v>
      </c>
      <c r="G176" s="1">
        <v>246.02</v>
      </c>
      <c r="I176" s="1" t="str">
        <f>RIGHT(B174,4)</f>
        <v>2003</v>
      </c>
      <c r="J176" s="9" t="s">
        <v>519</v>
      </c>
    </row>
    <row r="177" spans="1:10">
      <c r="A177" s="1" t="s">
        <v>36</v>
      </c>
      <c r="C177" s="1">
        <v>76.2</v>
      </c>
      <c r="D177" s="1">
        <v>229.83</v>
      </c>
      <c r="E177" s="1">
        <v>466.43</v>
      </c>
      <c r="F177" s="1">
        <v>29.6</v>
      </c>
      <c r="G177" s="1">
        <v>123.83</v>
      </c>
      <c r="I177" s="1" t="str">
        <f>I176</f>
        <v>2003</v>
      </c>
      <c r="J177" s="12" t="s">
        <v>519</v>
      </c>
    </row>
    <row r="178" spans="1:10">
      <c r="A178" s="1" t="s">
        <v>39</v>
      </c>
      <c r="C178" s="1">
        <v>179.49</v>
      </c>
      <c r="D178" s="1">
        <v>174.13</v>
      </c>
      <c r="E178" s="1">
        <v>448.43</v>
      </c>
      <c r="F178" s="1">
        <v>12.92</v>
      </c>
      <c r="G178" s="1">
        <v>121.7</v>
      </c>
      <c r="I178" s="1" t="str">
        <f t="shared" ref="I178:I180" si="13">I177</f>
        <v>2003</v>
      </c>
      <c r="J178" s="12" t="s">
        <v>519</v>
      </c>
    </row>
    <row r="179" spans="1:10">
      <c r="A179" s="1" t="s">
        <v>42</v>
      </c>
      <c r="C179" s="1">
        <v>193.2</v>
      </c>
      <c r="D179" s="1">
        <v>308.3</v>
      </c>
      <c r="E179" s="1">
        <v>1378.09</v>
      </c>
      <c r="F179" s="1">
        <v>55.3</v>
      </c>
      <c r="G179" s="1">
        <v>272.47000000000003</v>
      </c>
      <c r="I179" s="1" t="str">
        <f t="shared" si="13"/>
        <v>2003</v>
      </c>
      <c r="J179" s="12" t="s">
        <v>519</v>
      </c>
    </row>
    <row r="180" spans="1:10">
      <c r="A180" s="1" t="s">
        <v>45</v>
      </c>
      <c r="C180" s="1">
        <v>125.2</v>
      </c>
      <c r="D180" s="1">
        <v>339.19</v>
      </c>
      <c r="E180" s="1">
        <v>1940.86</v>
      </c>
      <c r="F180" s="1">
        <v>117.23</v>
      </c>
      <c r="G180" s="1">
        <v>74.989999999999995</v>
      </c>
      <c r="I180" s="1" t="str">
        <f t="shared" si="13"/>
        <v>2003</v>
      </c>
      <c r="J180" s="12" t="s">
        <v>519</v>
      </c>
    </row>
    <row r="181" spans="1:10">
      <c r="A181" s="1" t="s">
        <v>539</v>
      </c>
    </row>
    <row r="182" spans="1:10">
      <c r="A182" s="1" t="s">
        <v>33</v>
      </c>
      <c r="C182" s="1">
        <v>25.82</v>
      </c>
      <c r="D182" s="1">
        <v>25.82</v>
      </c>
      <c r="E182" s="1">
        <v>25.82</v>
      </c>
      <c r="F182" s="1">
        <v>25.82</v>
      </c>
      <c r="G182" s="1">
        <v>25.82</v>
      </c>
      <c r="I182" s="1" t="str">
        <f>I176</f>
        <v>2003</v>
      </c>
      <c r="J182" s="12" t="s">
        <v>148</v>
      </c>
    </row>
    <row r="183" spans="1:10">
      <c r="A183" s="1" t="s">
        <v>36</v>
      </c>
      <c r="C183" s="1">
        <v>23.46</v>
      </c>
      <c r="D183" s="1">
        <v>23.46</v>
      </c>
      <c r="E183" s="1">
        <v>23.46</v>
      </c>
      <c r="F183" s="1">
        <v>23.46</v>
      </c>
      <c r="G183" s="1">
        <v>23.46</v>
      </c>
      <c r="I183" s="1" t="str">
        <f>I177</f>
        <v>2003</v>
      </c>
      <c r="J183" s="12" t="s">
        <v>148</v>
      </c>
    </row>
    <row r="184" spans="1:10">
      <c r="A184" s="1" t="s">
        <v>39</v>
      </c>
      <c r="C184" s="1">
        <v>23.48</v>
      </c>
      <c r="D184" s="1">
        <v>23.48</v>
      </c>
      <c r="E184" s="1">
        <v>23.48</v>
      </c>
      <c r="F184" s="1">
        <v>23.48</v>
      </c>
      <c r="G184" s="1">
        <v>23.48</v>
      </c>
      <c r="I184" s="1" t="str">
        <f>I178</f>
        <v>2003</v>
      </c>
      <c r="J184" s="12" t="s">
        <v>148</v>
      </c>
    </row>
    <row r="185" spans="1:10">
      <c r="A185" s="1" t="s">
        <v>42</v>
      </c>
      <c r="C185" s="1">
        <v>20.65</v>
      </c>
      <c r="D185" s="1">
        <v>20.65</v>
      </c>
      <c r="E185" s="1">
        <v>20.65</v>
      </c>
      <c r="F185" s="1">
        <v>20.65</v>
      </c>
      <c r="G185" s="1">
        <v>20.65</v>
      </c>
      <c r="I185" s="1" t="str">
        <f>I179</f>
        <v>2003</v>
      </c>
      <c r="J185" s="12" t="s">
        <v>148</v>
      </c>
    </row>
    <row r="186" spans="1:10">
      <c r="A186" s="1" t="s">
        <v>45</v>
      </c>
      <c r="C186" s="1">
        <v>20.100000000000001</v>
      </c>
      <c r="D186" s="1">
        <v>20.100000000000001</v>
      </c>
      <c r="E186" s="1">
        <v>20.100000000000001</v>
      </c>
      <c r="F186" s="1">
        <v>20.100000000000001</v>
      </c>
      <c r="G186" s="1">
        <v>20.100000000000001</v>
      </c>
      <c r="I186" s="1" t="str">
        <f>I180</f>
        <v>2003</v>
      </c>
      <c r="J186" s="12" t="s">
        <v>148</v>
      </c>
    </row>
    <row r="187" spans="1:10">
      <c r="A187" s="1" t="s">
        <v>183</v>
      </c>
      <c r="B187" s="1">
        <v>2004</v>
      </c>
    </row>
    <row r="188" spans="1:10">
      <c r="A188" s="1" t="s">
        <v>538</v>
      </c>
    </row>
    <row r="189" spans="1:10">
      <c r="A189" s="1" t="s">
        <v>33</v>
      </c>
      <c r="C189" s="1">
        <v>1018.14</v>
      </c>
      <c r="D189" s="1">
        <v>395.76</v>
      </c>
      <c r="E189" s="1">
        <v>1338.65</v>
      </c>
      <c r="F189" s="1">
        <v>83.85</v>
      </c>
      <c r="G189" s="1">
        <v>207.89</v>
      </c>
      <c r="I189" s="1" t="str">
        <f>RIGHT(B187,4)</f>
        <v>2004</v>
      </c>
      <c r="J189" s="9" t="s">
        <v>519</v>
      </c>
    </row>
    <row r="190" spans="1:10">
      <c r="A190" s="1" t="s">
        <v>36</v>
      </c>
      <c r="C190" s="1">
        <v>57.26</v>
      </c>
      <c r="D190" s="1">
        <v>244.33</v>
      </c>
      <c r="E190" s="1">
        <v>519.85</v>
      </c>
      <c r="F190" s="1">
        <v>33.200000000000003</v>
      </c>
      <c r="G190" s="1">
        <v>101.23</v>
      </c>
      <c r="I190" s="1" t="str">
        <f>I189</f>
        <v>2004</v>
      </c>
      <c r="J190" s="12" t="s">
        <v>519</v>
      </c>
    </row>
    <row r="191" spans="1:10">
      <c r="A191" s="1" t="s">
        <v>39</v>
      </c>
      <c r="C191" s="1">
        <v>108.12</v>
      </c>
      <c r="D191" s="1">
        <v>178.65</v>
      </c>
      <c r="E191" s="1">
        <v>392.67</v>
      </c>
      <c r="F191" s="1">
        <v>3.71</v>
      </c>
      <c r="G191" s="1">
        <v>86.85</v>
      </c>
      <c r="I191" s="1" t="str">
        <f t="shared" ref="I191:I193" si="14">I190</f>
        <v>2004</v>
      </c>
      <c r="J191" s="12" t="s">
        <v>519</v>
      </c>
    </row>
    <row r="192" spans="1:10">
      <c r="A192" s="1" t="s">
        <v>42</v>
      </c>
      <c r="C192" s="1">
        <v>234.16</v>
      </c>
      <c r="D192" s="1">
        <v>381.1</v>
      </c>
      <c r="E192" s="1">
        <v>1318.02</v>
      </c>
      <c r="F192" s="1">
        <v>33.869999999999997</v>
      </c>
      <c r="G192" s="1">
        <v>346.94</v>
      </c>
      <c r="I192" s="1" t="str">
        <f t="shared" si="14"/>
        <v>2004</v>
      </c>
      <c r="J192" s="12" t="s">
        <v>519</v>
      </c>
    </row>
    <row r="193" spans="1:10">
      <c r="A193" s="1" t="s">
        <v>45</v>
      </c>
      <c r="C193" s="1">
        <v>153.79</v>
      </c>
      <c r="D193" s="1">
        <v>456.33</v>
      </c>
      <c r="E193" s="1">
        <v>2204.31</v>
      </c>
      <c r="F193" s="1">
        <v>116.47</v>
      </c>
      <c r="G193" s="1">
        <v>72.86</v>
      </c>
      <c r="I193" s="1" t="str">
        <f t="shared" si="14"/>
        <v>2004</v>
      </c>
      <c r="J193" s="12" t="s">
        <v>519</v>
      </c>
    </row>
    <row r="194" spans="1:10">
      <c r="A194" s="1" t="s">
        <v>539</v>
      </c>
    </row>
    <row r="195" spans="1:10">
      <c r="A195" s="1" t="s">
        <v>33</v>
      </c>
      <c r="C195" s="1">
        <v>33.47</v>
      </c>
      <c r="D195" s="1">
        <v>33.47</v>
      </c>
      <c r="E195" s="1">
        <v>33.47</v>
      </c>
      <c r="F195" s="1">
        <v>33.47</v>
      </c>
      <c r="G195" s="1">
        <v>33.47</v>
      </c>
      <c r="I195" s="1" t="str">
        <f>I189</f>
        <v>2004</v>
      </c>
      <c r="J195" s="12" t="s">
        <v>148</v>
      </c>
    </row>
    <row r="196" spans="1:10">
      <c r="A196" s="1" t="s">
        <v>36</v>
      </c>
      <c r="C196" s="1">
        <v>29.43</v>
      </c>
      <c r="D196" s="1">
        <v>29.43</v>
      </c>
      <c r="E196" s="1">
        <v>29.43</v>
      </c>
      <c r="F196" s="1">
        <v>29.43</v>
      </c>
      <c r="G196" s="1">
        <v>29.43</v>
      </c>
      <c r="I196" s="1" t="str">
        <f>I190</f>
        <v>2004</v>
      </c>
      <c r="J196" s="12" t="s">
        <v>148</v>
      </c>
    </row>
    <row r="197" spans="1:10">
      <c r="A197" s="1" t="s">
        <v>39</v>
      </c>
      <c r="C197" s="1">
        <v>30.78</v>
      </c>
      <c r="D197" s="1">
        <v>30.78</v>
      </c>
      <c r="E197" s="1">
        <v>30.78</v>
      </c>
      <c r="F197" s="1">
        <v>30.78</v>
      </c>
      <c r="G197" s="1">
        <v>30.78</v>
      </c>
      <c r="I197" s="1" t="str">
        <f>I191</f>
        <v>2004</v>
      </c>
      <c r="J197" s="12" t="s">
        <v>148</v>
      </c>
    </row>
    <row r="198" spans="1:10">
      <c r="A198" s="1" t="s">
        <v>42</v>
      </c>
      <c r="C198" s="1">
        <v>25.11</v>
      </c>
      <c r="D198" s="1">
        <v>25.11</v>
      </c>
      <c r="E198" s="1">
        <v>25.11</v>
      </c>
      <c r="F198" s="1">
        <v>25.11</v>
      </c>
      <c r="G198" s="1">
        <v>25.11</v>
      </c>
      <c r="I198" s="1" t="str">
        <f>I192</f>
        <v>2004</v>
      </c>
      <c r="J198" s="12" t="s">
        <v>148</v>
      </c>
    </row>
    <row r="199" spans="1:10">
      <c r="A199" s="1" t="s">
        <v>45</v>
      </c>
      <c r="C199" s="1">
        <v>24.73</v>
      </c>
      <c r="D199" s="1">
        <v>24.73</v>
      </c>
      <c r="E199" s="1">
        <v>24.73</v>
      </c>
      <c r="F199" s="1">
        <v>24.73</v>
      </c>
      <c r="G199" s="1">
        <v>24.73</v>
      </c>
      <c r="I199" s="1" t="str">
        <f>I193</f>
        <v>2004</v>
      </c>
      <c r="J199" s="12" t="s">
        <v>148</v>
      </c>
    </row>
    <row r="200" spans="1:10">
      <c r="A200" s="1" t="s">
        <v>183</v>
      </c>
      <c r="B200" s="1">
        <v>2005</v>
      </c>
    </row>
    <row r="201" spans="1:10">
      <c r="A201" s="1" t="s">
        <v>538</v>
      </c>
    </row>
    <row r="202" spans="1:10">
      <c r="A202" s="1" t="s">
        <v>33</v>
      </c>
      <c r="C202" s="1">
        <v>1062.18</v>
      </c>
      <c r="D202" s="1">
        <v>374.87</v>
      </c>
      <c r="E202" s="1">
        <v>1327.66</v>
      </c>
      <c r="F202" s="1">
        <v>85.87</v>
      </c>
      <c r="G202" s="1">
        <v>154.94999999999999</v>
      </c>
      <c r="I202" s="1" t="str">
        <f>RIGHT(B200,4)</f>
        <v>2005</v>
      </c>
      <c r="J202" s="9" t="s">
        <v>519</v>
      </c>
    </row>
    <row r="203" spans="1:10">
      <c r="A203" s="1" t="s">
        <v>36</v>
      </c>
      <c r="C203" s="1">
        <v>52.75</v>
      </c>
      <c r="D203" s="1">
        <v>227.53</v>
      </c>
      <c r="E203" s="1">
        <v>545.74</v>
      </c>
      <c r="F203" s="1">
        <v>50.96</v>
      </c>
      <c r="G203" s="1">
        <v>170.3</v>
      </c>
      <c r="I203" s="1" t="str">
        <f>I202</f>
        <v>2005</v>
      </c>
      <c r="J203" s="12" t="s">
        <v>519</v>
      </c>
    </row>
    <row r="204" spans="1:10">
      <c r="A204" s="1" t="s">
        <v>39</v>
      </c>
      <c r="C204" s="1">
        <v>93.86</v>
      </c>
      <c r="D204" s="1">
        <v>148.24</v>
      </c>
      <c r="E204" s="1">
        <v>270.20999999999998</v>
      </c>
      <c r="F204" s="1">
        <v>2.4500000000000002</v>
      </c>
      <c r="G204" s="1">
        <v>119.21</v>
      </c>
      <c r="I204" s="1" t="str">
        <f t="shared" ref="I204:I206" si="15">I203</f>
        <v>2005</v>
      </c>
      <c r="J204" s="12" t="s">
        <v>519</v>
      </c>
    </row>
    <row r="205" spans="1:10">
      <c r="A205" s="1" t="s">
        <v>42</v>
      </c>
      <c r="C205" s="1">
        <v>256.31</v>
      </c>
      <c r="D205" s="1">
        <v>227.78</v>
      </c>
      <c r="E205" s="1">
        <v>1525.41</v>
      </c>
      <c r="F205" s="1">
        <v>19.690000000000001</v>
      </c>
      <c r="G205" s="1">
        <v>336.83</v>
      </c>
      <c r="I205" s="1" t="str">
        <f t="shared" si="15"/>
        <v>2005</v>
      </c>
      <c r="J205" s="12" t="s">
        <v>519</v>
      </c>
    </row>
    <row r="206" spans="1:10">
      <c r="A206" s="1" t="s">
        <v>45</v>
      </c>
      <c r="C206" s="1">
        <v>123.31</v>
      </c>
      <c r="D206" s="1">
        <v>583.42999999999995</v>
      </c>
      <c r="E206" s="1">
        <v>2051.17</v>
      </c>
      <c r="F206" s="1">
        <v>135.31</v>
      </c>
      <c r="G206" s="1">
        <v>179.98</v>
      </c>
      <c r="I206" s="1" t="str">
        <f t="shared" si="15"/>
        <v>2005</v>
      </c>
      <c r="J206" s="12" t="s">
        <v>519</v>
      </c>
    </row>
    <row r="207" spans="1:10">
      <c r="A207" s="1" t="s">
        <v>539</v>
      </c>
    </row>
    <row r="208" spans="1:10">
      <c r="A208" s="1" t="s">
        <v>33</v>
      </c>
      <c r="C208" s="1">
        <v>36.6</v>
      </c>
      <c r="D208" s="1">
        <v>36.6</v>
      </c>
      <c r="E208" s="1">
        <v>36.6</v>
      </c>
      <c r="F208" s="1">
        <v>36.6</v>
      </c>
      <c r="G208" s="1">
        <v>36.6</v>
      </c>
      <c r="I208" s="1" t="str">
        <f>I202</f>
        <v>2005</v>
      </c>
      <c r="J208" s="12" t="s">
        <v>148</v>
      </c>
    </row>
    <row r="209" spans="1:10">
      <c r="A209" s="1" t="s">
        <v>36</v>
      </c>
      <c r="C209" s="1">
        <v>32.909999999999997</v>
      </c>
      <c r="D209" s="1">
        <v>32.909999999999997</v>
      </c>
      <c r="E209" s="1">
        <v>32.909999999999997</v>
      </c>
      <c r="F209" s="1">
        <v>32.909999999999997</v>
      </c>
      <c r="G209" s="1">
        <v>32.909999999999997</v>
      </c>
      <c r="I209" s="1" t="str">
        <f>I203</f>
        <v>2005</v>
      </c>
      <c r="J209" s="12" t="s">
        <v>148</v>
      </c>
    </row>
    <row r="210" spans="1:10">
      <c r="A210" s="1" t="s">
        <v>39</v>
      </c>
      <c r="C210" s="1">
        <v>37.74</v>
      </c>
      <c r="D210" s="1">
        <v>37.74</v>
      </c>
      <c r="E210" s="1">
        <v>37.74</v>
      </c>
      <c r="F210" s="1">
        <v>37.74</v>
      </c>
      <c r="G210" s="1">
        <v>37.74</v>
      </c>
      <c r="I210" s="1" t="str">
        <f>I204</f>
        <v>2005</v>
      </c>
      <c r="J210" s="12" t="s">
        <v>148</v>
      </c>
    </row>
    <row r="211" spans="1:10">
      <c r="A211" s="1" t="s">
        <v>42</v>
      </c>
      <c r="C211" s="1">
        <v>29</v>
      </c>
      <c r="D211" s="1">
        <v>29</v>
      </c>
      <c r="E211" s="1">
        <v>29</v>
      </c>
      <c r="F211" s="1">
        <v>29</v>
      </c>
      <c r="G211" s="1">
        <v>29</v>
      </c>
      <c r="I211" s="1" t="str">
        <f>I205</f>
        <v>2005</v>
      </c>
      <c r="J211" s="12" t="s">
        <v>148</v>
      </c>
    </row>
    <row r="212" spans="1:10">
      <c r="A212" s="1" t="s">
        <v>45</v>
      </c>
      <c r="C212" s="1">
        <v>26</v>
      </c>
      <c r="D212" s="1">
        <v>26</v>
      </c>
      <c r="E212" s="1">
        <v>26</v>
      </c>
      <c r="F212" s="1">
        <v>26</v>
      </c>
      <c r="G212" s="1">
        <v>26</v>
      </c>
      <c r="I212" s="1" t="str">
        <f>I206</f>
        <v>2005</v>
      </c>
      <c r="J212" s="12" t="s">
        <v>148</v>
      </c>
    </row>
    <row r="213" spans="1:10">
      <c r="A213" s="1" t="s">
        <v>183</v>
      </c>
      <c r="B213" s="1">
        <v>2006</v>
      </c>
      <c r="J213" s="12"/>
    </row>
    <row r="214" spans="1:10">
      <c r="A214" s="1" t="s">
        <v>538</v>
      </c>
      <c r="J214" s="12"/>
    </row>
    <row r="215" spans="1:10">
      <c r="A215" s="1" t="s">
        <v>33</v>
      </c>
      <c r="C215" s="1">
        <v>966.56</v>
      </c>
      <c r="D215" s="1">
        <v>343.56</v>
      </c>
      <c r="E215" s="1">
        <v>1443.92</v>
      </c>
      <c r="F215" s="1">
        <v>64.040000000000006</v>
      </c>
      <c r="G215" s="1">
        <v>220.14</v>
      </c>
      <c r="I215" s="1" t="str">
        <f>RIGHT(B213,4)</f>
        <v>2006</v>
      </c>
      <c r="J215" s="9" t="s">
        <v>519</v>
      </c>
    </row>
    <row r="216" spans="1:10">
      <c r="A216" s="1" t="s">
        <v>36</v>
      </c>
      <c r="C216" s="1">
        <v>17.18</v>
      </c>
      <c r="D216" s="1">
        <v>220.73</v>
      </c>
      <c r="E216" s="1">
        <v>444.48</v>
      </c>
      <c r="F216" s="1">
        <v>40.56</v>
      </c>
      <c r="G216" s="1">
        <v>197.16</v>
      </c>
      <c r="I216" s="1" t="str">
        <f>I215</f>
        <v>2006</v>
      </c>
      <c r="J216" s="12" t="s">
        <v>519</v>
      </c>
    </row>
    <row r="217" spans="1:10">
      <c r="A217" s="1" t="s">
        <v>39</v>
      </c>
      <c r="C217" s="1">
        <v>84.66</v>
      </c>
      <c r="D217" s="1">
        <v>128.76</v>
      </c>
      <c r="E217" s="1">
        <v>239.42</v>
      </c>
      <c r="F217" s="1">
        <v>0.35</v>
      </c>
      <c r="G217" s="1">
        <v>181.11</v>
      </c>
      <c r="I217" s="1" t="str">
        <f t="shared" ref="I217:I219" si="16">I216</f>
        <v>2006</v>
      </c>
      <c r="J217" s="12" t="s">
        <v>519</v>
      </c>
    </row>
    <row r="218" spans="1:10">
      <c r="A218" s="1" t="s">
        <v>42</v>
      </c>
      <c r="C218" s="1">
        <v>225.54</v>
      </c>
      <c r="D218" s="1">
        <v>316.95999999999998</v>
      </c>
      <c r="E218" s="1">
        <v>1537.95</v>
      </c>
      <c r="F218" s="1">
        <v>50.01</v>
      </c>
      <c r="G218" s="1">
        <v>339.42</v>
      </c>
      <c r="I218" s="1" t="str">
        <f t="shared" si="16"/>
        <v>2006</v>
      </c>
      <c r="J218" s="12" t="s">
        <v>519</v>
      </c>
    </row>
    <row r="219" spans="1:10">
      <c r="A219" s="1" t="s">
        <v>45</v>
      </c>
      <c r="C219" s="1">
        <v>125.72</v>
      </c>
      <c r="D219" s="1">
        <v>545.96</v>
      </c>
      <c r="E219" s="1">
        <v>2064.9699999999998</v>
      </c>
      <c r="F219" s="1">
        <v>117.46</v>
      </c>
      <c r="G219" s="1">
        <v>201.35</v>
      </c>
      <c r="I219" s="1" t="str">
        <f t="shared" si="16"/>
        <v>2006</v>
      </c>
      <c r="J219" s="12" t="s">
        <v>519</v>
      </c>
    </row>
    <row r="220" spans="1:10">
      <c r="A220" s="1" t="s">
        <v>539</v>
      </c>
    </row>
    <row r="221" spans="1:10">
      <c r="A221" s="1" t="s">
        <v>33</v>
      </c>
      <c r="C221" s="1">
        <v>41.46</v>
      </c>
      <c r="D221" s="1">
        <v>41.46</v>
      </c>
      <c r="E221" s="1">
        <v>41.46</v>
      </c>
      <c r="F221" s="1">
        <v>41.46</v>
      </c>
      <c r="G221" s="1">
        <v>41.46</v>
      </c>
      <c r="I221" s="1" t="str">
        <f>I215</f>
        <v>2006</v>
      </c>
      <c r="J221" s="12" t="s">
        <v>148</v>
      </c>
    </row>
    <row r="222" spans="1:10">
      <c r="A222" s="1" t="s">
        <v>36</v>
      </c>
      <c r="C222" s="1">
        <v>37.65</v>
      </c>
      <c r="D222" s="1">
        <v>37.65</v>
      </c>
      <c r="E222" s="1">
        <v>37.65</v>
      </c>
      <c r="F222" s="1">
        <v>37.65</v>
      </c>
      <c r="G222" s="1">
        <v>37.65</v>
      </c>
      <c r="I222" s="1" t="str">
        <f>I216</f>
        <v>2006</v>
      </c>
      <c r="J222" s="12" t="s">
        <v>148</v>
      </c>
    </row>
    <row r="223" spans="1:10">
      <c r="A223" s="1" t="s">
        <v>39</v>
      </c>
      <c r="C223" s="1">
        <v>36.450000000000003</v>
      </c>
      <c r="D223" s="1">
        <v>36.450000000000003</v>
      </c>
      <c r="E223" s="1">
        <v>36.450000000000003</v>
      </c>
      <c r="F223" s="1">
        <v>36.450000000000003</v>
      </c>
      <c r="G223" s="1">
        <v>36.450000000000003</v>
      </c>
      <c r="I223" s="1" t="str">
        <f>I217</f>
        <v>2006</v>
      </c>
      <c r="J223" s="12" t="s">
        <v>148</v>
      </c>
    </row>
    <row r="224" spans="1:10">
      <c r="A224" s="1" t="s">
        <v>42</v>
      </c>
      <c r="C224" s="1">
        <v>35.19</v>
      </c>
      <c r="D224" s="1">
        <v>35.19</v>
      </c>
      <c r="E224" s="1">
        <v>35.19</v>
      </c>
      <c r="F224" s="1">
        <v>35.19</v>
      </c>
      <c r="G224" s="1">
        <v>35.19</v>
      </c>
      <c r="I224" s="1" t="str">
        <f>I218</f>
        <v>2006</v>
      </c>
      <c r="J224" s="12" t="s">
        <v>148</v>
      </c>
    </row>
    <row r="225" spans="1:10">
      <c r="A225" s="1" t="s">
        <v>45</v>
      </c>
      <c r="C225" s="1">
        <v>34.97</v>
      </c>
      <c r="D225" s="1">
        <v>34.97</v>
      </c>
      <c r="E225" s="1">
        <v>34.97</v>
      </c>
      <c r="F225" s="1">
        <v>34.97</v>
      </c>
      <c r="G225" s="1">
        <v>34.97</v>
      </c>
      <c r="I225" s="1" t="str">
        <f>I219</f>
        <v>2006</v>
      </c>
      <c r="J225" s="12" t="s">
        <v>148</v>
      </c>
    </row>
    <row r="226" spans="1:10">
      <c r="A226" s="1" t="s">
        <v>183</v>
      </c>
      <c r="B226" s="1">
        <v>2007</v>
      </c>
    </row>
    <row r="227" spans="1:10">
      <c r="A227" s="1" t="s">
        <v>538</v>
      </c>
    </row>
    <row r="228" spans="1:10">
      <c r="A228" s="1" t="s">
        <v>33</v>
      </c>
      <c r="C228" s="1">
        <v>963.78</v>
      </c>
      <c r="D228" s="1">
        <v>395.18</v>
      </c>
      <c r="E228" s="1">
        <v>1484.46</v>
      </c>
      <c r="F228" s="1">
        <v>54.29</v>
      </c>
      <c r="G228" s="1">
        <v>261.77</v>
      </c>
      <c r="I228" s="1" t="str">
        <f>RIGHT(B226,4)</f>
        <v>2007</v>
      </c>
      <c r="J228" s="9" t="s">
        <v>519</v>
      </c>
    </row>
    <row r="229" spans="1:10">
      <c r="A229" s="1" t="s">
        <v>36</v>
      </c>
      <c r="C229" s="1">
        <v>28.26</v>
      </c>
      <c r="D229" s="1">
        <v>22.65</v>
      </c>
      <c r="E229" s="1">
        <v>344.01</v>
      </c>
      <c r="F229" s="1">
        <v>13.28</v>
      </c>
      <c r="G229" s="1">
        <v>139.21</v>
      </c>
      <c r="I229" s="1" t="str">
        <f>I228</f>
        <v>2007</v>
      </c>
      <c r="J229" s="12" t="s">
        <v>519</v>
      </c>
    </row>
    <row r="230" spans="1:10">
      <c r="A230" s="1" t="s">
        <v>39</v>
      </c>
      <c r="C230" s="1">
        <v>34.950000000000003</v>
      </c>
      <c r="D230" s="1">
        <v>124.12</v>
      </c>
      <c r="E230" s="1">
        <v>313.02</v>
      </c>
      <c r="F230" s="1">
        <v>16.78</v>
      </c>
      <c r="G230" s="1">
        <v>235.83</v>
      </c>
      <c r="I230" s="1" t="str">
        <f t="shared" ref="I230:I232" si="17">I229</f>
        <v>2007</v>
      </c>
      <c r="J230" s="12" t="s">
        <v>519</v>
      </c>
    </row>
    <row r="231" spans="1:10">
      <c r="A231" s="1" t="s">
        <v>42</v>
      </c>
      <c r="C231" s="1">
        <v>236.68</v>
      </c>
      <c r="D231" s="1">
        <v>375.79</v>
      </c>
      <c r="E231" s="1">
        <v>1511.35</v>
      </c>
      <c r="F231" s="1">
        <v>49.48</v>
      </c>
      <c r="G231" s="1">
        <v>291.20999999999998</v>
      </c>
      <c r="I231" s="1" t="str">
        <f t="shared" si="17"/>
        <v>2007</v>
      </c>
      <c r="J231" s="12" t="s">
        <v>519</v>
      </c>
    </row>
    <row r="232" spans="1:10">
      <c r="A232" s="1" t="s">
        <v>45</v>
      </c>
      <c r="C232" s="1">
        <v>165.35</v>
      </c>
      <c r="D232" s="1">
        <v>648.20000000000005</v>
      </c>
      <c r="E232" s="1">
        <v>1995.94</v>
      </c>
      <c r="F232" s="1">
        <v>123.56</v>
      </c>
      <c r="G232" s="1">
        <v>201.85</v>
      </c>
      <c r="I232" s="1" t="str">
        <f t="shared" si="17"/>
        <v>2007</v>
      </c>
      <c r="J232" s="12" t="s">
        <v>519</v>
      </c>
    </row>
    <row r="233" spans="1:10">
      <c r="A233" s="1" t="s">
        <v>539</v>
      </c>
    </row>
    <row r="234" spans="1:10">
      <c r="A234" s="1" t="s">
        <v>33</v>
      </c>
      <c r="C234" s="1">
        <v>42.11</v>
      </c>
      <c r="D234" s="1">
        <v>42.11</v>
      </c>
      <c r="E234" s="1">
        <v>42.11</v>
      </c>
      <c r="F234" s="1">
        <v>42.11</v>
      </c>
      <c r="G234" s="1">
        <v>42.11</v>
      </c>
      <c r="I234" s="1" t="str">
        <f>I228</f>
        <v>2007</v>
      </c>
      <c r="J234" s="12" t="s">
        <v>148</v>
      </c>
    </row>
    <row r="235" spans="1:10">
      <c r="A235" s="1" t="s">
        <v>36</v>
      </c>
      <c r="C235" s="1">
        <v>40.119999999999997</v>
      </c>
      <c r="D235" s="1">
        <v>40.119999999999997</v>
      </c>
      <c r="E235" s="1">
        <v>40.119999999999997</v>
      </c>
      <c r="F235" s="1">
        <v>40.119999999999997</v>
      </c>
      <c r="G235" s="1">
        <v>40.119999999999997</v>
      </c>
      <c r="I235" s="1" t="str">
        <f>I229</f>
        <v>2007</v>
      </c>
      <c r="J235" s="12" t="s">
        <v>148</v>
      </c>
    </row>
    <row r="236" spans="1:10">
      <c r="A236" s="1" t="s">
        <v>39</v>
      </c>
      <c r="C236" s="1">
        <v>38.85</v>
      </c>
      <c r="D236" s="1">
        <v>38.85</v>
      </c>
      <c r="E236" s="1">
        <v>38.85</v>
      </c>
      <c r="F236" s="1">
        <v>38.85</v>
      </c>
      <c r="G236" s="1">
        <v>38.85</v>
      </c>
      <c r="I236" s="1" t="str">
        <f>I230</f>
        <v>2007</v>
      </c>
      <c r="J236" s="12" t="s">
        <v>148</v>
      </c>
    </row>
    <row r="237" spans="1:10">
      <c r="A237" s="1" t="s">
        <v>42</v>
      </c>
      <c r="C237" s="1">
        <v>37.5</v>
      </c>
      <c r="D237" s="1">
        <v>37.5</v>
      </c>
      <c r="E237" s="1">
        <v>37.5</v>
      </c>
      <c r="F237" s="1">
        <v>37.5</v>
      </c>
      <c r="G237" s="1">
        <v>37.5</v>
      </c>
      <c r="I237" s="1" t="str">
        <f>I231</f>
        <v>2007</v>
      </c>
      <c r="J237" s="12" t="s">
        <v>148</v>
      </c>
    </row>
    <row r="238" spans="1:10">
      <c r="A238" s="1" t="s">
        <v>45</v>
      </c>
      <c r="C238" s="1">
        <v>37.270000000000003</v>
      </c>
      <c r="D238" s="1">
        <v>37.270000000000003</v>
      </c>
      <c r="E238" s="1">
        <v>37.270000000000003</v>
      </c>
      <c r="F238" s="1">
        <v>37.270000000000003</v>
      </c>
      <c r="G238" s="1">
        <v>37.270000000000003</v>
      </c>
      <c r="I238" s="1" t="str">
        <f>I232</f>
        <v>2007</v>
      </c>
      <c r="J238" s="12" t="s">
        <v>148</v>
      </c>
    </row>
    <row r="239" spans="1:10">
      <c r="A239" s="1" t="s">
        <v>183</v>
      </c>
      <c r="B239" s="1">
        <v>2008</v>
      </c>
    </row>
    <row r="240" spans="1:10">
      <c r="A240" s="1" t="s">
        <v>538</v>
      </c>
    </row>
    <row r="241" spans="1:10">
      <c r="A241" s="1" t="s">
        <v>33</v>
      </c>
      <c r="C241" s="1">
        <v>860.91</v>
      </c>
      <c r="D241" s="1">
        <v>341.51</v>
      </c>
      <c r="E241" s="1">
        <v>1292.69</v>
      </c>
      <c r="F241" s="1">
        <v>29.67</v>
      </c>
      <c r="G241" s="1">
        <v>203.91</v>
      </c>
      <c r="I241" s="1" t="str">
        <f>RIGHT(B239,4)</f>
        <v>2008</v>
      </c>
      <c r="J241" s="9" t="s">
        <v>519</v>
      </c>
    </row>
    <row r="242" spans="1:10">
      <c r="A242" s="1" t="s">
        <v>36</v>
      </c>
      <c r="C242" s="1">
        <v>44.02</v>
      </c>
      <c r="D242" s="1">
        <v>36.4</v>
      </c>
      <c r="E242" s="1">
        <v>266.58</v>
      </c>
      <c r="F242" s="1">
        <v>13.81</v>
      </c>
      <c r="G242" s="1">
        <v>79.52</v>
      </c>
      <c r="I242" s="1" t="str">
        <f>I241</f>
        <v>2008</v>
      </c>
      <c r="J242" s="12" t="s">
        <v>519</v>
      </c>
    </row>
    <row r="243" spans="1:10">
      <c r="A243" s="1" t="s">
        <v>39</v>
      </c>
      <c r="C243" s="1">
        <v>87.52</v>
      </c>
      <c r="D243" s="1">
        <v>180.21</v>
      </c>
      <c r="E243" s="1">
        <v>353.42</v>
      </c>
      <c r="F243" s="1">
        <v>9.32</v>
      </c>
      <c r="G243" s="1">
        <v>227.49</v>
      </c>
      <c r="I243" s="1" t="str">
        <f t="shared" ref="I243:I245" si="18">I242</f>
        <v>2008</v>
      </c>
      <c r="J243" s="12" t="s">
        <v>519</v>
      </c>
    </row>
    <row r="244" spans="1:10">
      <c r="A244" s="1" t="s">
        <v>42</v>
      </c>
      <c r="C244" s="1">
        <v>207.7</v>
      </c>
      <c r="D244" s="1">
        <v>337.97</v>
      </c>
      <c r="E244" s="1">
        <v>1640.73</v>
      </c>
      <c r="F244" s="1">
        <v>18.149999999999999</v>
      </c>
      <c r="G244" s="1">
        <v>412.5</v>
      </c>
      <c r="I244" s="1" t="str">
        <f t="shared" si="18"/>
        <v>2008</v>
      </c>
      <c r="J244" s="12" t="s">
        <v>519</v>
      </c>
    </row>
    <row r="245" spans="1:10">
      <c r="A245" s="1" t="s">
        <v>45</v>
      </c>
      <c r="C245" s="1">
        <v>134.02000000000001</v>
      </c>
      <c r="D245" s="1">
        <v>734.96</v>
      </c>
      <c r="E245" s="1">
        <v>1814.45</v>
      </c>
      <c r="F245" s="1">
        <v>176.21</v>
      </c>
      <c r="G245" s="1">
        <v>279.33999999999997</v>
      </c>
      <c r="I245" s="1" t="str">
        <f t="shared" si="18"/>
        <v>2008</v>
      </c>
      <c r="J245" s="12" t="s">
        <v>519</v>
      </c>
    </row>
    <row r="246" spans="1:10">
      <c r="A246" s="1" t="s">
        <v>539</v>
      </c>
    </row>
    <row r="247" spans="1:10">
      <c r="A247" s="1" t="s">
        <v>33</v>
      </c>
      <c r="C247" s="1">
        <v>49.76</v>
      </c>
      <c r="D247" s="1">
        <v>49.76</v>
      </c>
      <c r="E247" s="1">
        <v>49.76</v>
      </c>
      <c r="F247" s="1">
        <v>49.76</v>
      </c>
      <c r="G247" s="1">
        <v>49.76</v>
      </c>
      <c r="I247" s="1" t="str">
        <f>I241</f>
        <v>2008</v>
      </c>
      <c r="J247" s="12" t="s">
        <v>148</v>
      </c>
    </row>
    <row r="248" spans="1:10">
      <c r="A248" s="1" t="s">
        <v>36</v>
      </c>
      <c r="C248" s="1">
        <v>41.12</v>
      </c>
      <c r="D248" s="1">
        <v>41.12</v>
      </c>
      <c r="E248" s="1">
        <v>41.12</v>
      </c>
      <c r="F248" s="1">
        <v>41.12</v>
      </c>
      <c r="G248" s="1">
        <v>41.12</v>
      </c>
      <c r="I248" s="1" t="str">
        <f>I242</f>
        <v>2008</v>
      </c>
      <c r="J248" s="12" t="s">
        <v>148</v>
      </c>
    </row>
    <row r="249" spans="1:10">
      <c r="A249" s="1" t="s">
        <v>39</v>
      </c>
      <c r="C249" s="1">
        <v>41.16</v>
      </c>
      <c r="D249" s="1">
        <v>41.16</v>
      </c>
      <c r="E249" s="1">
        <v>41.16</v>
      </c>
      <c r="F249" s="1">
        <v>41.16</v>
      </c>
      <c r="G249" s="1">
        <v>41.16</v>
      </c>
      <c r="I249" s="1" t="str">
        <f>I243</f>
        <v>2008</v>
      </c>
      <c r="J249" s="12" t="s">
        <v>148</v>
      </c>
    </row>
    <row r="250" spans="1:10">
      <c r="A250" s="1" t="s">
        <v>42</v>
      </c>
      <c r="C250" s="1">
        <v>38.369999999999997</v>
      </c>
      <c r="D250" s="1">
        <v>38.369999999999997</v>
      </c>
      <c r="E250" s="1">
        <v>38.369999999999997</v>
      </c>
      <c r="F250" s="1">
        <v>38.369999999999997</v>
      </c>
      <c r="G250" s="1">
        <v>38.369999999999997</v>
      </c>
      <c r="I250" s="1" t="str">
        <f>I244</f>
        <v>2008</v>
      </c>
      <c r="J250" s="12" t="s">
        <v>148</v>
      </c>
    </row>
    <row r="251" spans="1:10">
      <c r="A251" s="1" t="s">
        <v>45</v>
      </c>
      <c r="C251" s="1">
        <v>38.07</v>
      </c>
      <c r="D251" s="1">
        <v>38.07</v>
      </c>
      <c r="E251" s="1">
        <v>38.07</v>
      </c>
      <c r="F251" s="1">
        <v>38.07</v>
      </c>
      <c r="G251" s="1">
        <v>38.07</v>
      </c>
      <c r="I251" s="1" t="str">
        <f>I245</f>
        <v>2008</v>
      </c>
      <c r="J251" s="12" t="s">
        <v>148</v>
      </c>
    </row>
    <row r="252" spans="1:10">
      <c r="A252" s="1" t="s">
        <v>183</v>
      </c>
      <c r="B252" s="1">
        <v>2009</v>
      </c>
    </row>
    <row r="253" spans="1:10">
      <c r="A253" s="1" t="s">
        <v>538</v>
      </c>
    </row>
    <row r="254" spans="1:10">
      <c r="A254" s="1" t="s">
        <v>33</v>
      </c>
      <c r="C254" s="1">
        <v>839.54</v>
      </c>
      <c r="D254" s="1">
        <v>370.61</v>
      </c>
      <c r="E254" s="1">
        <v>1338.88</v>
      </c>
      <c r="F254" s="1">
        <v>34.909999999999997</v>
      </c>
      <c r="G254" s="1">
        <v>268.45</v>
      </c>
      <c r="I254" s="1" t="str">
        <f>RIGHT(B252,4)</f>
        <v>2009</v>
      </c>
      <c r="J254" s="9" t="s">
        <v>519</v>
      </c>
    </row>
    <row r="255" spans="1:10">
      <c r="A255" s="1" t="s">
        <v>36</v>
      </c>
      <c r="C255" s="1">
        <v>60.89</v>
      </c>
      <c r="D255" s="1">
        <v>34.33</v>
      </c>
      <c r="E255" s="1">
        <v>383.18</v>
      </c>
      <c r="F255" s="1">
        <v>21.58</v>
      </c>
      <c r="G255" s="1">
        <v>84.57</v>
      </c>
      <c r="I255" s="1" t="str">
        <f>I254</f>
        <v>2009</v>
      </c>
      <c r="J255" s="12" t="s">
        <v>519</v>
      </c>
    </row>
    <row r="256" spans="1:10">
      <c r="A256" s="1" t="s">
        <v>39</v>
      </c>
      <c r="C256" s="1">
        <v>79.23</v>
      </c>
      <c r="D256" s="1">
        <v>133.55000000000001</v>
      </c>
      <c r="E256" s="1">
        <v>282.39999999999998</v>
      </c>
      <c r="F256" s="1">
        <v>2.09</v>
      </c>
      <c r="G256" s="1">
        <v>191.63</v>
      </c>
      <c r="I256" s="1" t="str">
        <f t="shared" ref="I256:I258" si="19">I255</f>
        <v>2009</v>
      </c>
      <c r="J256" s="12" t="s">
        <v>519</v>
      </c>
    </row>
    <row r="257" spans="1:10">
      <c r="A257" s="1" t="s">
        <v>42</v>
      </c>
      <c r="C257" s="1">
        <v>123.8</v>
      </c>
      <c r="D257" s="1">
        <v>269.3</v>
      </c>
      <c r="E257" s="1">
        <v>1092.6500000000001</v>
      </c>
      <c r="F257" s="1">
        <v>52.49</v>
      </c>
      <c r="G257" s="1">
        <v>271.38</v>
      </c>
      <c r="I257" s="1" t="str">
        <f t="shared" si="19"/>
        <v>2009</v>
      </c>
      <c r="J257" s="12" t="s">
        <v>519</v>
      </c>
    </row>
    <row r="258" spans="1:10">
      <c r="A258" s="1" t="s">
        <v>45</v>
      </c>
      <c r="C258" s="1">
        <v>84.21</v>
      </c>
      <c r="D258" s="1">
        <v>667.51</v>
      </c>
      <c r="E258" s="1">
        <v>2041.72</v>
      </c>
      <c r="F258" s="1">
        <v>105.07</v>
      </c>
      <c r="G258" s="1">
        <v>179.02</v>
      </c>
      <c r="I258" s="1" t="str">
        <f t="shared" si="19"/>
        <v>2009</v>
      </c>
      <c r="J258" s="12" t="s">
        <v>519</v>
      </c>
    </row>
    <row r="259" spans="1:10">
      <c r="A259" s="1" t="s">
        <v>539</v>
      </c>
    </row>
    <row r="260" spans="1:10">
      <c r="A260" s="1" t="s">
        <v>33</v>
      </c>
      <c r="C260" s="1">
        <v>47.06</v>
      </c>
      <c r="D260" s="1">
        <v>47.06</v>
      </c>
      <c r="E260" s="1">
        <v>47.06</v>
      </c>
      <c r="F260" s="1">
        <v>47.06</v>
      </c>
      <c r="G260" s="1">
        <v>47.06</v>
      </c>
      <c r="I260" s="1" t="str">
        <f>I254</f>
        <v>2009</v>
      </c>
      <c r="J260" s="12" t="s">
        <v>148</v>
      </c>
    </row>
    <row r="261" spans="1:10">
      <c r="A261" s="1" t="s">
        <v>36</v>
      </c>
      <c r="C261" s="1">
        <v>38.78</v>
      </c>
      <c r="D261" s="1">
        <v>38.78</v>
      </c>
      <c r="E261" s="1">
        <v>38.78</v>
      </c>
      <c r="F261" s="1">
        <v>38.78</v>
      </c>
      <c r="G261" s="1">
        <v>38.78</v>
      </c>
      <c r="I261" s="1" t="str">
        <f>I255</f>
        <v>2009</v>
      </c>
      <c r="J261" s="12" t="s">
        <v>148</v>
      </c>
    </row>
    <row r="262" spans="1:10">
      <c r="A262" s="1" t="s">
        <v>39</v>
      </c>
      <c r="C262" s="1">
        <v>38.83</v>
      </c>
      <c r="D262" s="1">
        <v>38.83</v>
      </c>
      <c r="E262" s="1">
        <v>38.83</v>
      </c>
      <c r="F262" s="1">
        <v>38.83</v>
      </c>
      <c r="G262" s="1">
        <v>38.83</v>
      </c>
      <c r="I262" s="1" t="str">
        <f>I256</f>
        <v>2009</v>
      </c>
      <c r="J262" s="12" t="s">
        <v>148</v>
      </c>
    </row>
    <row r="263" spans="1:10">
      <c r="A263" s="1" t="s">
        <v>42</v>
      </c>
      <c r="C263" s="1">
        <v>36.06</v>
      </c>
      <c r="D263" s="1">
        <v>36.06</v>
      </c>
      <c r="E263" s="1">
        <v>36.06</v>
      </c>
      <c r="F263" s="1">
        <v>36.06</v>
      </c>
      <c r="G263" s="1">
        <v>36.06</v>
      </c>
      <c r="I263" s="1" t="str">
        <f>I257</f>
        <v>2009</v>
      </c>
      <c r="J263" s="12" t="s">
        <v>148</v>
      </c>
    </row>
    <row r="264" spans="1:10">
      <c r="A264" s="1" t="s">
        <v>45</v>
      </c>
      <c r="C264" s="1">
        <v>35.76</v>
      </c>
      <c r="D264" s="1">
        <v>35.76</v>
      </c>
      <c r="E264" s="1">
        <v>35.76</v>
      </c>
      <c r="F264" s="1">
        <v>35.76</v>
      </c>
      <c r="G264" s="1">
        <v>35.76</v>
      </c>
      <c r="I264" s="1" t="str">
        <f>I258</f>
        <v>2009</v>
      </c>
      <c r="J264" s="12" t="s">
        <v>148</v>
      </c>
    </row>
    <row r="265" spans="1:10">
      <c r="A265" s="1" t="s">
        <v>183</v>
      </c>
      <c r="B265" s="1">
        <v>2010</v>
      </c>
    </row>
    <row r="266" spans="1:10">
      <c r="A266" s="1" t="s">
        <v>538</v>
      </c>
    </row>
    <row r="267" spans="1:10">
      <c r="A267" s="1" t="s">
        <v>33</v>
      </c>
      <c r="C267" s="1">
        <v>891.61</v>
      </c>
      <c r="D267" s="1">
        <v>369.94</v>
      </c>
      <c r="E267" s="1">
        <v>1310.29</v>
      </c>
      <c r="F267" s="1">
        <v>38.9</v>
      </c>
      <c r="G267" s="1">
        <v>263.88</v>
      </c>
      <c r="I267" s="1" t="str">
        <f>RIGHT(B265,4)</f>
        <v>2010</v>
      </c>
      <c r="J267" s="9" t="s">
        <v>519</v>
      </c>
    </row>
    <row r="268" spans="1:10">
      <c r="A268" s="1" t="s">
        <v>36</v>
      </c>
      <c r="C268" s="1">
        <v>50.87</v>
      </c>
      <c r="D268" s="1">
        <v>34.909999999999997</v>
      </c>
      <c r="E268" s="1">
        <v>425.12</v>
      </c>
      <c r="F268" s="1">
        <v>25.12</v>
      </c>
      <c r="G268" s="1">
        <v>122.95</v>
      </c>
      <c r="I268" s="1" t="str">
        <f>I267</f>
        <v>2010</v>
      </c>
      <c r="J268" s="12" t="s">
        <v>519</v>
      </c>
    </row>
    <row r="269" spans="1:10">
      <c r="A269" s="1" t="s">
        <v>39</v>
      </c>
      <c r="C269" s="1">
        <v>79.84</v>
      </c>
      <c r="D269" s="1">
        <v>118.79</v>
      </c>
      <c r="E269" s="1">
        <v>328.69</v>
      </c>
      <c r="F269" s="1">
        <v>1.29</v>
      </c>
      <c r="G269" s="1">
        <v>204.66</v>
      </c>
      <c r="I269" s="1" t="str">
        <f t="shared" ref="I269:I271" si="20">I268</f>
        <v>2010</v>
      </c>
      <c r="J269" s="12" t="s">
        <v>519</v>
      </c>
    </row>
    <row r="270" spans="1:10">
      <c r="A270" s="1" t="s">
        <v>42</v>
      </c>
      <c r="C270" s="1">
        <v>128.74</v>
      </c>
      <c r="D270" s="1">
        <v>243.83</v>
      </c>
      <c r="E270" s="1">
        <v>1078.94</v>
      </c>
      <c r="F270" s="1">
        <v>43.33</v>
      </c>
      <c r="G270" s="1">
        <v>245.37</v>
      </c>
      <c r="I270" s="1" t="str">
        <f t="shared" si="20"/>
        <v>2010</v>
      </c>
      <c r="J270" s="12" t="s">
        <v>519</v>
      </c>
    </row>
    <row r="271" spans="1:10">
      <c r="A271" s="1" t="s">
        <v>45</v>
      </c>
      <c r="C271" s="1">
        <v>63.32</v>
      </c>
      <c r="D271" s="1">
        <v>699.11</v>
      </c>
      <c r="E271" s="1">
        <v>2083.44</v>
      </c>
      <c r="F271" s="1">
        <v>115.78</v>
      </c>
      <c r="G271" s="1">
        <v>185.27</v>
      </c>
      <c r="I271" s="1" t="str">
        <f t="shared" si="20"/>
        <v>2010</v>
      </c>
      <c r="J271" s="12" t="s">
        <v>519</v>
      </c>
    </row>
    <row r="272" spans="1:10">
      <c r="A272" s="1" t="s">
        <v>539</v>
      </c>
    </row>
    <row r="273" spans="1:10">
      <c r="A273" s="1" t="s">
        <v>33</v>
      </c>
      <c r="C273" s="1">
        <v>44.35</v>
      </c>
      <c r="D273" s="1">
        <v>44.35</v>
      </c>
      <c r="E273" s="1">
        <v>44.35</v>
      </c>
      <c r="F273" s="1">
        <v>44.35</v>
      </c>
      <c r="G273" s="1">
        <v>44.35</v>
      </c>
      <c r="I273" s="1" t="str">
        <f>I267</f>
        <v>2010</v>
      </c>
      <c r="J273" s="12" t="s">
        <v>148</v>
      </c>
    </row>
    <row r="274" spans="1:10">
      <c r="A274" s="1" t="s">
        <v>36</v>
      </c>
      <c r="C274" s="1">
        <v>36.44</v>
      </c>
      <c r="D274" s="1">
        <v>36.44</v>
      </c>
      <c r="E274" s="1">
        <v>36.44</v>
      </c>
      <c r="F274" s="1">
        <v>36.44</v>
      </c>
      <c r="G274" s="1">
        <v>36.44</v>
      </c>
      <c r="I274" s="1" t="str">
        <f>I268</f>
        <v>2010</v>
      </c>
      <c r="J274" s="12" t="s">
        <v>148</v>
      </c>
    </row>
    <row r="275" spans="1:10">
      <c r="A275" s="1" t="s">
        <v>39</v>
      </c>
      <c r="C275" s="1">
        <v>36.5</v>
      </c>
      <c r="D275" s="1">
        <v>36.5</v>
      </c>
      <c r="E275" s="1">
        <v>36.5</v>
      </c>
      <c r="F275" s="1">
        <v>36.5</v>
      </c>
      <c r="G275" s="1">
        <v>36.5</v>
      </c>
      <c r="I275" s="1" t="str">
        <f>I269</f>
        <v>2010</v>
      </c>
      <c r="J275" s="12" t="s">
        <v>148</v>
      </c>
    </row>
    <row r="276" spans="1:10">
      <c r="A276" s="1" t="s">
        <v>42</v>
      </c>
      <c r="C276" s="1">
        <v>33.75</v>
      </c>
      <c r="D276" s="1">
        <v>33.75</v>
      </c>
      <c r="E276" s="1">
        <v>33.75</v>
      </c>
      <c r="F276" s="1">
        <v>33.75</v>
      </c>
      <c r="G276" s="1">
        <v>33.75</v>
      </c>
      <c r="I276" s="1" t="str">
        <f>I270</f>
        <v>2010</v>
      </c>
      <c r="J276" s="12" t="s">
        <v>148</v>
      </c>
    </row>
    <row r="277" spans="1:10">
      <c r="A277" s="1" t="s">
        <v>45</v>
      </c>
      <c r="C277" s="1">
        <v>33.450000000000003</v>
      </c>
      <c r="D277" s="1">
        <v>33.450000000000003</v>
      </c>
      <c r="E277" s="1">
        <v>33.450000000000003</v>
      </c>
      <c r="F277" s="1">
        <v>33.450000000000003</v>
      </c>
      <c r="G277" s="1">
        <v>33.450000000000003</v>
      </c>
      <c r="I277" s="1" t="str">
        <f>I271</f>
        <v>2010</v>
      </c>
      <c r="J277" s="12" t="s">
        <v>148</v>
      </c>
    </row>
    <row r="278" spans="1:10">
      <c r="A278" s="1" t="s">
        <v>183</v>
      </c>
      <c r="B278" s="1">
        <v>2011</v>
      </c>
      <c r="J278" s="12"/>
    </row>
    <row r="279" spans="1:10">
      <c r="A279" s="1" t="s">
        <v>538</v>
      </c>
      <c r="J279" s="12"/>
    </row>
    <row r="280" spans="1:10">
      <c r="A280" s="1" t="s">
        <v>33</v>
      </c>
      <c r="C280" s="1">
        <v>12.23</v>
      </c>
      <c r="D280" s="1">
        <v>1.71</v>
      </c>
      <c r="E280" s="1">
        <v>15.44</v>
      </c>
      <c r="F280" s="1">
        <v>1.02</v>
      </c>
      <c r="G280" s="1">
        <v>2.2999999999999998</v>
      </c>
      <c r="I280" s="1" t="str">
        <f>RIGHT(B278,4)</f>
        <v>2011</v>
      </c>
      <c r="J280" s="9" t="s">
        <v>519</v>
      </c>
    </row>
    <row r="281" spans="1:10">
      <c r="A281" s="1" t="s">
        <v>36</v>
      </c>
      <c r="C281" s="1">
        <v>14.46</v>
      </c>
      <c r="D281" s="1">
        <v>3.57</v>
      </c>
      <c r="E281" s="1">
        <v>121.35</v>
      </c>
      <c r="F281" s="1">
        <v>2.13</v>
      </c>
      <c r="G281" s="1">
        <v>28.05</v>
      </c>
      <c r="I281" s="1" t="str">
        <f>I280</f>
        <v>2011</v>
      </c>
      <c r="J281" s="12" t="s">
        <v>519</v>
      </c>
    </row>
    <row r="282" spans="1:10">
      <c r="A282" s="1" t="s">
        <v>39</v>
      </c>
      <c r="C282" s="1">
        <v>10.29</v>
      </c>
      <c r="D282" s="1">
        <v>48.21</v>
      </c>
      <c r="E282" s="1">
        <v>101.91</v>
      </c>
      <c r="F282" s="1">
        <v>9.4700000000000006</v>
      </c>
      <c r="G282" s="1">
        <v>22.68</v>
      </c>
      <c r="I282" s="1" t="str">
        <f t="shared" ref="I282:I284" si="21">I281</f>
        <v>2011</v>
      </c>
      <c r="J282" s="12" t="s">
        <v>519</v>
      </c>
    </row>
    <row r="283" spans="1:10">
      <c r="A283" s="1" t="s">
        <v>42</v>
      </c>
      <c r="C283" s="1">
        <v>42.27</v>
      </c>
      <c r="D283" s="1">
        <v>41.07</v>
      </c>
      <c r="E283" s="1">
        <v>399.75</v>
      </c>
      <c r="F283" s="1">
        <v>20.41</v>
      </c>
      <c r="G283" s="1">
        <v>52.65</v>
      </c>
      <c r="I283" s="1" t="str">
        <f t="shared" si="21"/>
        <v>2011</v>
      </c>
      <c r="J283" s="12" t="s">
        <v>519</v>
      </c>
    </row>
    <row r="284" spans="1:10">
      <c r="A284" s="1" t="s">
        <v>45</v>
      </c>
      <c r="C284" s="1">
        <v>19.71</v>
      </c>
      <c r="D284" s="1">
        <v>40.51</v>
      </c>
      <c r="E284" s="1">
        <v>92.03</v>
      </c>
      <c r="F284" s="1">
        <v>4.9000000000000004</v>
      </c>
      <c r="G284" s="1">
        <v>18.77</v>
      </c>
      <c r="I284" s="1" t="str">
        <f t="shared" si="21"/>
        <v>2011</v>
      </c>
      <c r="J284" s="12" t="s">
        <v>519</v>
      </c>
    </row>
    <row r="285" spans="1:10">
      <c r="A285" s="1" t="s">
        <v>539</v>
      </c>
    </row>
    <row r="286" spans="1:10">
      <c r="A286" s="1" t="s">
        <v>33</v>
      </c>
      <c r="C286" s="1">
        <v>41.92</v>
      </c>
      <c r="D286" s="1">
        <v>41.92</v>
      </c>
      <c r="E286" s="1">
        <v>41.92</v>
      </c>
      <c r="F286" s="1">
        <v>41.92</v>
      </c>
      <c r="G286" s="1">
        <v>41.92</v>
      </c>
      <c r="I286" s="1" t="str">
        <f>I280</f>
        <v>2011</v>
      </c>
      <c r="J286" s="12" t="s">
        <v>148</v>
      </c>
    </row>
    <row r="287" spans="1:10">
      <c r="A287" s="1" t="s">
        <v>36</v>
      </c>
      <c r="C287" s="1">
        <v>34.33</v>
      </c>
      <c r="D287" s="1">
        <v>34.33</v>
      </c>
      <c r="E287" s="1">
        <v>34.33</v>
      </c>
      <c r="F287" s="1">
        <v>34.33</v>
      </c>
      <c r="G287" s="1">
        <v>34.33</v>
      </c>
      <c r="I287" s="1" t="str">
        <f>I281</f>
        <v>2011</v>
      </c>
      <c r="J287" s="12" t="s">
        <v>148</v>
      </c>
    </row>
    <row r="288" spans="1:10">
      <c r="A288" s="1" t="s">
        <v>39</v>
      </c>
      <c r="C288" s="1">
        <v>34.409999999999997</v>
      </c>
      <c r="D288" s="1">
        <v>34.409999999999997</v>
      </c>
      <c r="E288" s="1">
        <v>34.409999999999997</v>
      </c>
      <c r="F288" s="1">
        <v>34.409999999999997</v>
      </c>
      <c r="G288" s="1">
        <v>34.409999999999997</v>
      </c>
      <c r="I288" s="1" t="str">
        <f>I282</f>
        <v>2011</v>
      </c>
      <c r="J288" s="12" t="s">
        <v>148</v>
      </c>
    </row>
    <row r="289" spans="1:10">
      <c r="A289" s="1" t="s">
        <v>42</v>
      </c>
      <c r="C289" s="1">
        <v>31.67</v>
      </c>
      <c r="D289" s="1">
        <v>31.67</v>
      </c>
      <c r="E289" s="1">
        <v>31.67</v>
      </c>
      <c r="F289" s="1">
        <v>31.67</v>
      </c>
      <c r="G289" s="1">
        <v>31.67</v>
      </c>
      <c r="I289" s="1" t="str">
        <f>I283</f>
        <v>2011</v>
      </c>
      <c r="J289" s="12" t="s">
        <v>148</v>
      </c>
    </row>
    <row r="290" spans="1:10">
      <c r="A290" s="1" t="s">
        <v>45</v>
      </c>
      <c r="C290" s="1">
        <v>31.37</v>
      </c>
      <c r="D290" s="1">
        <v>31.37</v>
      </c>
      <c r="E290" s="1">
        <v>31.37</v>
      </c>
      <c r="F290" s="1">
        <v>31.37</v>
      </c>
      <c r="G290" s="1">
        <v>31.37</v>
      </c>
      <c r="I290" s="1" t="str">
        <f>I284</f>
        <v>2011</v>
      </c>
      <c r="J290" s="12" t="s">
        <v>148</v>
      </c>
    </row>
    <row r="291" spans="1:10">
      <c r="A291" s="1" t="s">
        <v>183</v>
      </c>
      <c r="B291" s="1">
        <v>2012</v>
      </c>
    </row>
    <row r="292" spans="1:10">
      <c r="A292" s="1" t="s">
        <v>538</v>
      </c>
    </row>
    <row r="293" spans="1:10">
      <c r="A293" s="1" t="s">
        <v>33</v>
      </c>
      <c r="C293" s="1">
        <v>12.47</v>
      </c>
      <c r="D293" s="1">
        <v>1.75</v>
      </c>
      <c r="E293" s="1">
        <v>15.75</v>
      </c>
      <c r="F293" s="1">
        <v>1.04</v>
      </c>
      <c r="G293" s="1">
        <v>2.35</v>
      </c>
      <c r="I293" s="1" t="str">
        <f>RIGHT(B291,4)</f>
        <v>2012</v>
      </c>
      <c r="J293" s="9" t="s">
        <v>519</v>
      </c>
    </row>
    <row r="294" spans="1:10">
      <c r="A294" s="1" t="s">
        <v>36</v>
      </c>
      <c r="C294" s="1">
        <v>14.75</v>
      </c>
      <c r="D294" s="1">
        <v>3.64</v>
      </c>
      <c r="E294" s="1">
        <v>123.78</v>
      </c>
      <c r="F294" s="1">
        <v>2.17</v>
      </c>
      <c r="G294" s="1">
        <v>28.61</v>
      </c>
      <c r="I294" s="1" t="str">
        <f>I293</f>
        <v>2012</v>
      </c>
      <c r="J294" s="12" t="s">
        <v>519</v>
      </c>
    </row>
    <row r="295" spans="1:10">
      <c r="A295" s="1" t="s">
        <v>39</v>
      </c>
      <c r="C295" s="1">
        <v>10.5</v>
      </c>
      <c r="D295" s="1">
        <v>49.18</v>
      </c>
      <c r="E295" s="1">
        <v>60.29</v>
      </c>
      <c r="F295" s="1">
        <v>9.66</v>
      </c>
      <c r="G295" s="1">
        <v>23.14</v>
      </c>
      <c r="I295" s="1" t="str">
        <f t="shared" ref="I295:I297" si="22">I294</f>
        <v>2012</v>
      </c>
      <c r="J295" s="12" t="s">
        <v>519</v>
      </c>
    </row>
    <row r="296" spans="1:10">
      <c r="A296" s="1" t="s">
        <v>42</v>
      </c>
      <c r="C296" s="1">
        <v>43.11</v>
      </c>
      <c r="D296" s="1">
        <v>41.89</v>
      </c>
      <c r="E296" s="1">
        <v>407.75</v>
      </c>
      <c r="F296" s="1">
        <v>20.82</v>
      </c>
      <c r="G296" s="1">
        <v>53.7</v>
      </c>
      <c r="I296" s="1" t="str">
        <f t="shared" si="22"/>
        <v>2012</v>
      </c>
      <c r="J296" s="12" t="s">
        <v>519</v>
      </c>
    </row>
    <row r="297" spans="1:10">
      <c r="A297" s="1" t="s">
        <v>45</v>
      </c>
      <c r="C297" s="1">
        <v>20.11</v>
      </c>
      <c r="D297" s="1">
        <v>41.32</v>
      </c>
      <c r="E297" s="1">
        <v>93.87</v>
      </c>
      <c r="F297" s="1">
        <v>5</v>
      </c>
      <c r="G297" s="1">
        <v>19.14</v>
      </c>
      <c r="I297" s="1" t="str">
        <f t="shared" si="22"/>
        <v>2012</v>
      </c>
      <c r="J297" s="12" t="s">
        <v>519</v>
      </c>
    </row>
    <row r="298" spans="1:10">
      <c r="A298" s="1" t="s">
        <v>539</v>
      </c>
    </row>
    <row r="299" spans="1:10">
      <c r="A299" s="1" t="s">
        <v>33</v>
      </c>
      <c r="C299" s="1">
        <v>39.89</v>
      </c>
      <c r="D299" s="1">
        <v>39.89</v>
      </c>
      <c r="E299" s="1">
        <v>39.89</v>
      </c>
      <c r="F299" s="1">
        <v>39.89</v>
      </c>
      <c r="G299" s="1">
        <v>39.89</v>
      </c>
      <c r="I299" s="1" t="str">
        <f>I293</f>
        <v>2012</v>
      </c>
      <c r="J299" s="12" t="s">
        <v>148</v>
      </c>
    </row>
    <row r="300" spans="1:10">
      <c r="A300" s="1" t="s">
        <v>36</v>
      </c>
      <c r="C300" s="1">
        <v>32.57</v>
      </c>
      <c r="D300" s="1">
        <v>32.57</v>
      </c>
      <c r="E300" s="1">
        <v>32.57</v>
      </c>
      <c r="F300" s="1">
        <v>32.57</v>
      </c>
      <c r="G300" s="1">
        <v>32.57</v>
      </c>
      <c r="I300" s="1" t="str">
        <f>I294</f>
        <v>2012</v>
      </c>
      <c r="J300" s="12" t="s">
        <v>148</v>
      </c>
    </row>
    <row r="301" spans="1:10">
      <c r="A301" s="1" t="s">
        <v>39</v>
      </c>
      <c r="C301" s="1">
        <v>32.659999999999997</v>
      </c>
      <c r="D301" s="1">
        <v>32.659999999999997</v>
      </c>
      <c r="E301" s="1">
        <v>32.659999999999997</v>
      </c>
      <c r="F301" s="1">
        <v>32.659999999999997</v>
      </c>
      <c r="G301" s="1">
        <v>32.659999999999997</v>
      </c>
      <c r="I301" s="1" t="str">
        <f>I295</f>
        <v>2012</v>
      </c>
      <c r="J301" s="12" t="s">
        <v>148</v>
      </c>
    </row>
    <row r="302" spans="1:10">
      <c r="A302" s="1" t="s">
        <v>42</v>
      </c>
      <c r="C302" s="1">
        <v>29.93</v>
      </c>
      <c r="D302" s="1">
        <v>29.93</v>
      </c>
      <c r="E302" s="1">
        <v>29.93</v>
      </c>
      <c r="F302" s="1">
        <v>29.93</v>
      </c>
      <c r="G302" s="1">
        <v>29.93</v>
      </c>
      <c r="I302" s="1" t="str">
        <f>I296</f>
        <v>2012</v>
      </c>
      <c r="J302" s="12" t="s">
        <v>148</v>
      </c>
    </row>
    <row r="303" spans="1:10">
      <c r="A303" s="1" t="s">
        <v>45</v>
      </c>
      <c r="C303" s="1">
        <v>29.64</v>
      </c>
      <c r="D303" s="1">
        <v>29.64</v>
      </c>
      <c r="E303" s="1">
        <v>29.64</v>
      </c>
      <c r="F303" s="1">
        <v>29.64</v>
      </c>
      <c r="G303" s="1">
        <v>29.64</v>
      </c>
      <c r="I303" s="1" t="str">
        <f>I297</f>
        <v>2012</v>
      </c>
      <c r="J303" s="12" t="s">
        <v>148</v>
      </c>
    </row>
    <row r="304" spans="1:10">
      <c r="A304" s="1" t="s">
        <v>183</v>
      </c>
      <c r="B304" s="1">
        <v>2013</v>
      </c>
    </row>
    <row r="305" spans="1:10">
      <c r="A305" s="1" t="s">
        <v>538</v>
      </c>
    </row>
    <row r="306" spans="1:10">
      <c r="A306" s="1" t="s">
        <v>33</v>
      </c>
      <c r="C306" s="1">
        <v>12.72</v>
      </c>
      <c r="D306" s="1">
        <v>1.78</v>
      </c>
      <c r="E306" s="1">
        <v>16.07</v>
      </c>
      <c r="F306" s="1">
        <v>1.06</v>
      </c>
      <c r="G306" s="1">
        <v>2.39</v>
      </c>
      <c r="I306" s="1" t="str">
        <f>RIGHT(B304,4)</f>
        <v>2013</v>
      </c>
      <c r="J306" s="9" t="s">
        <v>519</v>
      </c>
    </row>
    <row r="307" spans="1:10">
      <c r="A307" s="1" t="s">
        <v>36</v>
      </c>
      <c r="C307" s="1">
        <v>15.05</v>
      </c>
      <c r="D307" s="1">
        <v>3.71</v>
      </c>
      <c r="E307" s="1">
        <v>126.26</v>
      </c>
      <c r="F307" s="1">
        <v>2.21</v>
      </c>
      <c r="G307" s="1">
        <v>29.18</v>
      </c>
      <c r="I307" s="1" t="str">
        <f>I306</f>
        <v>2013</v>
      </c>
      <c r="J307" s="12" t="s">
        <v>519</v>
      </c>
    </row>
    <row r="308" spans="1:10">
      <c r="A308" s="1" t="s">
        <v>39</v>
      </c>
      <c r="C308" s="1">
        <v>7.71</v>
      </c>
      <c r="D308" s="1">
        <v>29.09</v>
      </c>
      <c r="E308" s="1">
        <v>61.49</v>
      </c>
      <c r="F308" s="1">
        <v>9.85</v>
      </c>
      <c r="G308" s="1">
        <v>23.6</v>
      </c>
      <c r="I308" s="1" t="str">
        <f t="shared" ref="I308:I310" si="23">I307</f>
        <v>2013</v>
      </c>
      <c r="J308" s="12" t="s">
        <v>519</v>
      </c>
    </row>
    <row r="309" spans="1:10">
      <c r="A309" s="1" t="s">
        <v>42</v>
      </c>
      <c r="C309" s="1">
        <v>43.97</v>
      </c>
      <c r="D309" s="1">
        <v>42.73</v>
      </c>
      <c r="E309" s="1">
        <v>415.91</v>
      </c>
      <c r="F309" s="1">
        <v>21.23</v>
      </c>
      <c r="G309" s="1">
        <v>54.77</v>
      </c>
      <c r="I309" s="1" t="str">
        <f t="shared" si="23"/>
        <v>2013</v>
      </c>
      <c r="J309" s="12" t="s">
        <v>519</v>
      </c>
    </row>
    <row r="310" spans="1:10">
      <c r="A310" s="1" t="s">
        <v>45</v>
      </c>
      <c r="C310" s="1">
        <v>20.51</v>
      </c>
      <c r="D310" s="1">
        <v>42.15</v>
      </c>
      <c r="E310" s="1">
        <v>95.75</v>
      </c>
      <c r="F310" s="1">
        <v>5.0999999999999996</v>
      </c>
      <c r="G310" s="1">
        <v>19.53</v>
      </c>
      <c r="I310" s="1" t="str">
        <f t="shared" si="23"/>
        <v>2013</v>
      </c>
      <c r="J310" s="12" t="s">
        <v>519</v>
      </c>
    </row>
    <row r="311" spans="1:10">
      <c r="A311" s="1" t="s">
        <v>539</v>
      </c>
    </row>
    <row r="312" spans="1:10">
      <c r="A312" s="1" t="s">
        <v>33</v>
      </c>
      <c r="C312" s="1">
        <v>38.81</v>
      </c>
      <c r="D312" s="1">
        <v>38.81</v>
      </c>
      <c r="E312" s="1">
        <v>38.81</v>
      </c>
      <c r="F312" s="1">
        <v>38.81</v>
      </c>
      <c r="G312" s="1">
        <v>38.81</v>
      </c>
      <c r="I312" s="1" t="str">
        <f>I306</f>
        <v>2013</v>
      </c>
      <c r="J312" s="12" t="s">
        <v>148</v>
      </c>
    </row>
    <row r="313" spans="1:10">
      <c r="A313" s="1" t="s">
        <v>36</v>
      </c>
      <c r="C313" s="1">
        <v>31.63</v>
      </c>
      <c r="D313" s="1">
        <v>31.63</v>
      </c>
      <c r="E313" s="1">
        <v>31.63</v>
      </c>
      <c r="F313" s="1">
        <v>31.63</v>
      </c>
      <c r="G313" s="1">
        <v>31.63</v>
      </c>
      <c r="I313" s="1" t="str">
        <f>I307</f>
        <v>2013</v>
      </c>
      <c r="J313" s="12" t="s">
        <v>148</v>
      </c>
    </row>
    <row r="314" spans="1:10">
      <c r="A314" s="1" t="s">
        <v>39</v>
      </c>
      <c r="C314" s="1">
        <v>31.73</v>
      </c>
      <c r="D314" s="1">
        <v>31.73</v>
      </c>
      <c r="E314" s="1">
        <v>31.73</v>
      </c>
      <c r="F314" s="1">
        <v>31.73</v>
      </c>
      <c r="G314" s="1">
        <v>31.73</v>
      </c>
      <c r="I314" s="1" t="str">
        <f>I308</f>
        <v>2013</v>
      </c>
      <c r="J314" s="12" t="s">
        <v>148</v>
      </c>
    </row>
    <row r="315" spans="1:10">
      <c r="A315" s="1" t="s">
        <v>42</v>
      </c>
      <c r="C315" s="1">
        <v>29.01</v>
      </c>
      <c r="D315" s="1">
        <v>29.01</v>
      </c>
      <c r="E315" s="1">
        <v>29.01</v>
      </c>
      <c r="F315" s="1">
        <v>29.01</v>
      </c>
      <c r="G315" s="1">
        <v>29.01</v>
      </c>
      <c r="I315" s="1" t="str">
        <f>I309</f>
        <v>2013</v>
      </c>
      <c r="J315" s="12" t="s">
        <v>148</v>
      </c>
    </row>
    <row r="316" spans="1:10">
      <c r="A316" s="1" t="s">
        <v>45</v>
      </c>
      <c r="C316" s="1">
        <v>28.72</v>
      </c>
      <c r="D316" s="1">
        <v>28.72</v>
      </c>
      <c r="E316" s="1">
        <v>28.72</v>
      </c>
      <c r="F316" s="1">
        <v>28.72</v>
      </c>
      <c r="G316" s="1">
        <v>28.72</v>
      </c>
      <c r="I316" s="1" t="str">
        <f>I310</f>
        <v>2013</v>
      </c>
      <c r="J316" s="12" t="s">
        <v>148</v>
      </c>
    </row>
    <row r="317" spans="1:10">
      <c r="A317" s="1" t="s">
        <v>183</v>
      </c>
      <c r="B317" s="1">
        <v>2014</v>
      </c>
    </row>
    <row r="318" spans="1:10">
      <c r="A318" s="1" t="s">
        <v>538</v>
      </c>
    </row>
    <row r="319" spans="1:10">
      <c r="A319" s="1" t="s">
        <v>33</v>
      </c>
      <c r="C319" s="1">
        <v>12.98</v>
      </c>
      <c r="D319" s="1">
        <v>1.82</v>
      </c>
      <c r="E319" s="1">
        <v>16.39</v>
      </c>
      <c r="F319" s="1">
        <v>1.08</v>
      </c>
      <c r="G319" s="1">
        <v>2.44</v>
      </c>
      <c r="I319" s="1" t="str">
        <f>RIGHT(B317,4)</f>
        <v>2014</v>
      </c>
      <c r="J319" s="9" t="s">
        <v>519</v>
      </c>
    </row>
    <row r="320" spans="1:10">
      <c r="A320" s="1" t="s">
        <v>36</v>
      </c>
      <c r="C320" s="1">
        <v>15.35</v>
      </c>
      <c r="D320" s="1">
        <v>3.78</v>
      </c>
      <c r="E320" s="1">
        <v>78.56</v>
      </c>
      <c r="F320" s="1">
        <v>2.2599999999999998</v>
      </c>
      <c r="G320" s="1">
        <v>29.77</v>
      </c>
      <c r="I320" s="1" t="str">
        <f>I319</f>
        <v>2014</v>
      </c>
      <c r="J320" s="12" t="s">
        <v>519</v>
      </c>
    </row>
    <row r="321" spans="1:10">
      <c r="A321" s="1" t="s">
        <v>39</v>
      </c>
      <c r="C321" s="1">
        <v>7.86</v>
      </c>
      <c r="D321" s="1">
        <v>29.68</v>
      </c>
      <c r="E321" s="1">
        <v>62.72</v>
      </c>
      <c r="F321" s="1">
        <v>10.050000000000001</v>
      </c>
      <c r="G321" s="1">
        <v>24.07</v>
      </c>
      <c r="I321" s="1" t="str">
        <f t="shared" ref="I321:I323" si="24">I320</f>
        <v>2014</v>
      </c>
      <c r="J321" s="12" t="s">
        <v>519</v>
      </c>
    </row>
    <row r="322" spans="1:10">
      <c r="A322" s="1" t="s">
        <v>42</v>
      </c>
      <c r="C322" s="1">
        <v>44.85</v>
      </c>
      <c r="D322" s="1">
        <v>43.59</v>
      </c>
      <c r="E322" s="1">
        <v>424.22</v>
      </c>
      <c r="F322" s="1">
        <v>21.66</v>
      </c>
      <c r="G322" s="1">
        <v>55.87</v>
      </c>
      <c r="I322" s="1" t="str">
        <f t="shared" si="24"/>
        <v>2014</v>
      </c>
      <c r="J322" s="12" t="s">
        <v>519</v>
      </c>
    </row>
    <row r="323" spans="1:10">
      <c r="A323" s="1" t="s">
        <v>45</v>
      </c>
      <c r="C323" s="1">
        <v>20.92</v>
      </c>
      <c r="D323" s="1">
        <v>42.99</v>
      </c>
      <c r="E323" s="1">
        <v>97.66</v>
      </c>
      <c r="F323" s="1">
        <v>5.2</v>
      </c>
      <c r="G323" s="1">
        <v>19.920000000000002</v>
      </c>
      <c r="I323" s="1" t="str">
        <f t="shared" si="24"/>
        <v>2014</v>
      </c>
      <c r="J323" s="12" t="s">
        <v>519</v>
      </c>
    </row>
    <row r="324" spans="1:10">
      <c r="A324" s="1" t="s">
        <v>539</v>
      </c>
    </row>
    <row r="325" spans="1:10">
      <c r="A325" s="1" t="s">
        <v>33</v>
      </c>
      <c r="C325" s="1">
        <v>38.270000000000003</v>
      </c>
      <c r="D325" s="1">
        <v>38.270000000000003</v>
      </c>
      <c r="E325" s="1">
        <v>38.270000000000003</v>
      </c>
      <c r="F325" s="1">
        <v>38.270000000000003</v>
      </c>
      <c r="G325" s="1">
        <v>38.270000000000003</v>
      </c>
      <c r="I325" s="1" t="str">
        <f>I319</f>
        <v>2014</v>
      </c>
      <c r="J325" s="12" t="s">
        <v>148</v>
      </c>
    </row>
    <row r="326" spans="1:10">
      <c r="A326" s="1" t="s">
        <v>36</v>
      </c>
      <c r="C326" s="1">
        <v>31.16</v>
      </c>
      <c r="D326" s="1">
        <v>31.16</v>
      </c>
      <c r="E326" s="1">
        <v>31.16</v>
      </c>
      <c r="F326" s="1">
        <v>31.16</v>
      </c>
      <c r="G326" s="1">
        <v>31.16</v>
      </c>
      <c r="I326" s="1" t="str">
        <f>I320</f>
        <v>2014</v>
      </c>
      <c r="J326" s="12" t="s">
        <v>148</v>
      </c>
    </row>
    <row r="327" spans="1:10">
      <c r="A327" s="1" t="s">
        <v>39</v>
      </c>
      <c r="C327" s="1">
        <v>31.26</v>
      </c>
      <c r="D327" s="1">
        <v>31.26</v>
      </c>
      <c r="E327" s="1">
        <v>31.26</v>
      </c>
      <c r="F327" s="1">
        <v>31.26</v>
      </c>
      <c r="G327" s="1">
        <v>31.26</v>
      </c>
      <c r="I327" s="1" t="str">
        <f>I321</f>
        <v>2014</v>
      </c>
      <c r="J327" s="12" t="s">
        <v>148</v>
      </c>
    </row>
    <row r="328" spans="1:10">
      <c r="A328" s="1" t="s">
        <v>42</v>
      </c>
      <c r="C328" s="1">
        <v>28.55</v>
      </c>
      <c r="D328" s="1">
        <v>28.55</v>
      </c>
      <c r="E328" s="1">
        <v>28.55</v>
      </c>
      <c r="F328" s="1">
        <v>28.55</v>
      </c>
      <c r="G328" s="1">
        <v>28.55</v>
      </c>
      <c r="I328" s="1" t="str">
        <f>I322</f>
        <v>2014</v>
      </c>
      <c r="J328" s="12" t="s">
        <v>148</v>
      </c>
    </row>
    <row r="329" spans="1:10">
      <c r="A329" s="1" t="s">
        <v>45</v>
      </c>
      <c r="C329" s="1">
        <v>28.26</v>
      </c>
      <c r="D329" s="1">
        <v>28.26</v>
      </c>
      <c r="E329" s="1">
        <v>28.26</v>
      </c>
      <c r="F329" s="1">
        <v>28.26</v>
      </c>
      <c r="G329" s="1">
        <v>28.26</v>
      </c>
      <c r="I329" s="1" t="str">
        <f>I323</f>
        <v>2014</v>
      </c>
      <c r="J329" s="12" t="s">
        <v>148</v>
      </c>
    </row>
    <row r="330" spans="1:10">
      <c r="A330" s="1" t="s">
        <v>183</v>
      </c>
      <c r="B330" s="1">
        <v>2015</v>
      </c>
    </row>
    <row r="331" spans="1:10">
      <c r="A331" s="1" t="s">
        <v>538</v>
      </c>
    </row>
    <row r="332" spans="1:10">
      <c r="A332" s="1" t="s">
        <v>33</v>
      </c>
      <c r="C332" s="1">
        <v>13.24</v>
      </c>
      <c r="D332" s="1">
        <v>1.85</v>
      </c>
      <c r="E332" s="1">
        <v>16.72</v>
      </c>
      <c r="F332" s="1">
        <v>1.1100000000000001</v>
      </c>
      <c r="G332" s="1">
        <v>2.4900000000000002</v>
      </c>
      <c r="I332" s="1" t="str">
        <f>RIGHT(B330,4)</f>
        <v>2015</v>
      </c>
      <c r="J332" s="9" t="s">
        <v>519</v>
      </c>
    </row>
    <row r="333" spans="1:10">
      <c r="A333" s="1" t="s">
        <v>36</v>
      </c>
      <c r="C333" s="1">
        <v>15.65</v>
      </c>
      <c r="D333" s="1">
        <v>3.86</v>
      </c>
      <c r="E333" s="1">
        <v>80.13</v>
      </c>
      <c r="F333" s="1">
        <v>2.2999999999999998</v>
      </c>
      <c r="G333" s="1">
        <v>30.36</v>
      </c>
      <c r="I333" s="1" t="str">
        <f>I332</f>
        <v>2015</v>
      </c>
      <c r="J333" s="12" t="s">
        <v>519</v>
      </c>
    </row>
    <row r="334" spans="1:10">
      <c r="A334" s="1" t="s">
        <v>39</v>
      </c>
      <c r="C334" s="1">
        <v>8.02</v>
      </c>
      <c r="D334" s="1">
        <v>30.27</v>
      </c>
      <c r="E334" s="1">
        <v>63.98</v>
      </c>
      <c r="F334" s="1">
        <v>10.25</v>
      </c>
      <c r="G334" s="1">
        <v>24.55</v>
      </c>
      <c r="I334" s="1" t="str">
        <f t="shared" ref="I334:I336" si="25">I333</f>
        <v>2015</v>
      </c>
      <c r="J334" s="12" t="s">
        <v>519</v>
      </c>
    </row>
    <row r="335" spans="1:10">
      <c r="A335" s="1" t="s">
        <v>42</v>
      </c>
      <c r="C335" s="1">
        <v>45.75</v>
      </c>
      <c r="D335" s="1">
        <v>44.46</v>
      </c>
      <c r="E335" s="1">
        <v>432.71</v>
      </c>
      <c r="F335" s="1">
        <v>22.09</v>
      </c>
      <c r="G335" s="1">
        <v>56.99</v>
      </c>
      <c r="I335" s="1" t="str">
        <f t="shared" si="25"/>
        <v>2015</v>
      </c>
      <c r="J335" s="12" t="s">
        <v>519</v>
      </c>
    </row>
    <row r="336" spans="1:10">
      <c r="A336" s="1" t="s">
        <v>45</v>
      </c>
      <c r="C336" s="1">
        <v>21.34</v>
      </c>
      <c r="D336" s="1">
        <v>43.85</v>
      </c>
      <c r="E336" s="1">
        <v>99.62</v>
      </c>
      <c r="F336" s="1">
        <v>5.3</v>
      </c>
      <c r="G336" s="1">
        <v>20.32</v>
      </c>
      <c r="I336" s="1" t="str">
        <f t="shared" si="25"/>
        <v>2015</v>
      </c>
      <c r="J336" s="12" t="s">
        <v>519</v>
      </c>
    </row>
    <row r="337" spans="1:10">
      <c r="A337" s="1" t="s">
        <v>539</v>
      </c>
    </row>
    <row r="338" spans="1:10">
      <c r="A338" s="1" t="s">
        <v>33</v>
      </c>
      <c r="C338" s="1">
        <v>38.44</v>
      </c>
      <c r="D338" s="1">
        <v>38.44</v>
      </c>
      <c r="E338" s="1">
        <v>38.44</v>
      </c>
      <c r="F338" s="1">
        <v>38.44</v>
      </c>
      <c r="G338" s="1">
        <v>38.44</v>
      </c>
      <c r="I338" s="1" t="str">
        <f>I332</f>
        <v>2015</v>
      </c>
      <c r="J338" s="12" t="s">
        <v>148</v>
      </c>
    </row>
    <row r="339" spans="1:10">
      <c r="A339" s="1" t="s">
        <v>36</v>
      </c>
      <c r="C339" s="1">
        <v>31.31</v>
      </c>
      <c r="D339" s="1">
        <v>31.31</v>
      </c>
      <c r="E339" s="1">
        <v>31.31</v>
      </c>
      <c r="F339" s="1">
        <v>31.31</v>
      </c>
      <c r="G339" s="1">
        <v>31.31</v>
      </c>
      <c r="I339" s="1" t="str">
        <f>I333</f>
        <v>2015</v>
      </c>
      <c r="J339" s="12" t="s">
        <v>148</v>
      </c>
    </row>
    <row r="340" spans="1:10">
      <c r="A340" s="1" t="s">
        <v>39</v>
      </c>
      <c r="C340" s="1">
        <v>31.41</v>
      </c>
      <c r="D340" s="1">
        <v>31.41</v>
      </c>
      <c r="E340" s="1">
        <v>31.41</v>
      </c>
      <c r="F340" s="1">
        <v>31.41</v>
      </c>
      <c r="G340" s="1">
        <v>31.41</v>
      </c>
      <c r="I340" s="1" t="str">
        <f>I334</f>
        <v>2015</v>
      </c>
      <c r="J340" s="12" t="s">
        <v>148</v>
      </c>
    </row>
    <row r="341" spans="1:10">
      <c r="A341" s="1" t="s">
        <v>42</v>
      </c>
      <c r="C341" s="1">
        <v>28.7</v>
      </c>
      <c r="D341" s="1">
        <v>28.7</v>
      </c>
      <c r="E341" s="1">
        <v>28.7</v>
      </c>
      <c r="F341" s="1">
        <v>28.7</v>
      </c>
      <c r="G341" s="1">
        <v>28.7</v>
      </c>
      <c r="I341" s="1" t="str">
        <f>I335</f>
        <v>2015</v>
      </c>
      <c r="J341" s="12" t="s">
        <v>148</v>
      </c>
    </row>
    <row r="342" spans="1:10">
      <c r="A342" s="1" t="s">
        <v>45</v>
      </c>
      <c r="C342" s="1">
        <v>28.41</v>
      </c>
      <c r="D342" s="1">
        <v>28.41</v>
      </c>
      <c r="E342" s="1">
        <v>28.41</v>
      </c>
      <c r="F342" s="1">
        <v>28.41</v>
      </c>
      <c r="G342" s="1">
        <v>28.41</v>
      </c>
      <c r="I342" s="1" t="str">
        <f>I336</f>
        <v>2015</v>
      </c>
      <c r="J342" s="12" t="s">
        <v>148</v>
      </c>
    </row>
    <row r="343" spans="1:10">
      <c r="A343" s="1" t="s">
        <v>183</v>
      </c>
      <c r="B343" s="1">
        <v>2016</v>
      </c>
      <c r="J343" s="12"/>
    </row>
    <row r="344" spans="1:10">
      <c r="A344" s="1" t="s">
        <v>538</v>
      </c>
      <c r="J344" s="12"/>
    </row>
    <row r="345" spans="1:10">
      <c r="A345" s="1" t="s">
        <v>33</v>
      </c>
      <c r="C345" s="1">
        <v>13.5</v>
      </c>
      <c r="D345" s="1">
        <v>1.89</v>
      </c>
      <c r="E345" s="1">
        <v>17.05</v>
      </c>
      <c r="F345" s="1">
        <v>1.1299999999999999</v>
      </c>
      <c r="G345" s="1">
        <v>2.54</v>
      </c>
      <c r="I345" s="1" t="str">
        <f>RIGHT(B343,4)</f>
        <v>2016</v>
      </c>
      <c r="J345" s="9" t="s">
        <v>519</v>
      </c>
    </row>
    <row r="346" spans="1:10">
      <c r="A346" s="1" t="s">
        <v>36</v>
      </c>
      <c r="C346" s="1">
        <v>15.97</v>
      </c>
      <c r="D346" s="1">
        <v>3.94</v>
      </c>
      <c r="E346" s="1">
        <v>81.73</v>
      </c>
      <c r="F346" s="1">
        <v>2.35</v>
      </c>
      <c r="G346" s="1">
        <v>30.97</v>
      </c>
      <c r="I346" s="1" t="str">
        <f>I345</f>
        <v>2016</v>
      </c>
      <c r="J346" s="12" t="s">
        <v>519</v>
      </c>
    </row>
    <row r="347" spans="1:10">
      <c r="A347" s="1" t="s">
        <v>39</v>
      </c>
      <c r="C347" s="1">
        <v>8.18</v>
      </c>
      <c r="D347" s="1">
        <v>30.87</v>
      </c>
      <c r="E347" s="1">
        <v>65.260000000000005</v>
      </c>
      <c r="F347" s="1">
        <v>10.46</v>
      </c>
      <c r="G347" s="1">
        <v>25.05</v>
      </c>
      <c r="I347" s="1" t="str">
        <f t="shared" ref="I347:I349" si="26">I346</f>
        <v>2016</v>
      </c>
      <c r="J347" s="12" t="s">
        <v>519</v>
      </c>
    </row>
    <row r="348" spans="1:10">
      <c r="A348" s="1" t="s">
        <v>42</v>
      </c>
      <c r="C348" s="1">
        <v>46.66</v>
      </c>
      <c r="D348" s="1">
        <v>45.35</v>
      </c>
      <c r="E348" s="1">
        <v>441.36</v>
      </c>
      <c r="F348" s="1">
        <v>22.53</v>
      </c>
      <c r="G348" s="1">
        <v>58.13</v>
      </c>
      <c r="I348" s="1" t="str">
        <f t="shared" si="26"/>
        <v>2016</v>
      </c>
      <c r="J348" s="12" t="s">
        <v>519</v>
      </c>
    </row>
    <row r="349" spans="1:10">
      <c r="A349" s="1" t="s">
        <v>45</v>
      </c>
      <c r="C349" s="1">
        <v>21.76</v>
      </c>
      <c r="D349" s="1">
        <v>44.73</v>
      </c>
      <c r="E349" s="1">
        <v>101.61</v>
      </c>
      <c r="F349" s="1">
        <v>5.41</v>
      </c>
      <c r="G349" s="1">
        <v>20.72</v>
      </c>
      <c r="I349" s="1" t="str">
        <f t="shared" si="26"/>
        <v>2016</v>
      </c>
      <c r="J349" s="12" t="s">
        <v>519</v>
      </c>
    </row>
    <row r="350" spans="1:10">
      <c r="A350" s="1" t="s">
        <v>539</v>
      </c>
    </row>
    <row r="351" spans="1:10">
      <c r="A351" s="1" t="s">
        <v>33</v>
      </c>
      <c r="C351" s="1">
        <v>38.619999999999997</v>
      </c>
      <c r="D351" s="1">
        <v>38.619999999999997</v>
      </c>
      <c r="E351" s="1">
        <v>38.619999999999997</v>
      </c>
      <c r="F351" s="1">
        <v>38.619999999999997</v>
      </c>
      <c r="G351" s="1">
        <v>38.619999999999997</v>
      </c>
      <c r="I351" s="1" t="str">
        <f>I345</f>
        <v>2016</v>
      </c>
      <c r="J351" s="12" t="s">
        <v>148</v>
      </c>
    </row>
    <row r="352" spans="1:10">
      <c r="A352" s="1" t="s">
        <v>36</v>
      </c>
      <c r="C352" s="1">
        <v>31.47</v>
      </c>
      <c r="D352" s="1">
        <v>31.47</v>
      </c>
      <c r="E352" s="1">
        <v>31.47</v>
      </c>
      <c r="F352" s="1">
        <v>31.47</v>
      </c>
      <c r="G352" s="1">
        <v>31.47</v>
      </c>
      <c r="I352" s="1" t="str">
        <f>I346</f>
        <v>2016</v>
      </c>
      <c r="J352" s="12" t="s">
        <v>148</v>
      </c>
    </row>
    <row r="353" spans="1:10">
      <c r="A353" s="1" t="s">
        <v>39</v>
      </c>
      <c r="C353" s="1">
        <v>31.56</v>
      </c>
      <c r="D353" s="1">
        <v>31.56</v>
      </c>
      <c r="E353" s="1">
        <v>31.56</v>
      </c>
      <c r="F353" s="1">
        <v>31.56</v>
      </c>
      <c r="G353" s="1">
        <v>31.56</v>
      </c>
      <c r="I353" s="1" t="str">
        <f>I347</f>
        <v>2016</v>
      </c>
      <c r="J353" s="12" t="s">
        <v>148</v>
      </c>
    </row>
    <row r="354" spans="1:10">
      <c r="A354" s="1" t="s">
        <v>42</v>
      </c>
      <c r="C354" s="1">
        <v>28.85</v>
      </c>
      <c r="D354" s="1">
        <v>28.85</v>
      </c>
      <c r="E354" s="1">
        <v>28.85</v>
      </c>
      <c r="F354" s="1">
        <v>28.85</v>
      </c>
      <c r="G354" s="1">
        <v>28.85</v>
      </c>
      <c r="I354" s="1" t="str">
        <f>I348</f>
        <v>2016</v>
      </c>
      <c r="J354" s="12" t="s">
        <v>148</v>
      </c>
    </row>
    <row r="355" spans="1:10">
      <c r="A355" s="1" t="s">
        <v>45</v>
      </c>
      <c r="C355" s="1">
        <v>28.55</v>
      </c>
      <c r="D355" s="1">
        <v>28.55</v>
      </c>
      <c r="E355" s="1">
        <v>28.55</v>
      </c>
      <c r="F355" s="1">
        <v>28.55</v>
      </c>
      <c r="G355" s="1">
        <v>28.55</v>
      </c>
      <c r="I355" s="1" t="str">
        <f>I349</f>
        <v>2016</v>
      </c>
      <c r="J355" s="12" t="s">
        <v>148</v>
      </c>
    </row>
    <row r="356" spans="1:10">
      <c r="A356" s="1" t="s">
        <v>183</v>
      </c>
      <c r="B356" s="1">
        <v>2017</v>
      </c>
    </row>
    <row r="357" spans="1:10">
      <c r="A357" s="1" t="s">
        <v>538</v>
      </c>
    </row>
    <row r="358" spans="1:10">
      <c r="A358" s="1" t="s">
        <v>33</v>
      </c>
      <c r="C358" s="1">
        <v>13.77</v>
      </c>
      <c r="D358" s="1">
        <v>1.93</v>
      </c>
      <c r="E358" s="1">
        <v>17.39</v>
      </c>
      <c r="F358" s="1">
        <v>1.1499999999999999</v>
      </c>
      <c r="G358" s="1">
        <v>2.59</v>
      </c>
      <c r="I358" s="1" t="str">
        <f>RIGHT(B356,4)</f>
        <v>2017</v>
      </c>
      <c r="J358" s="9" t="s">
        <v>519</v>
      </c>
    </row>
    <row r="359" spans="1:10">
      <c r="A359" s="1" t="s">
        <v>36</v>
      </c>
      <c r="C359" s="1">
        <v>16.29</v>
      </c>
      <c r="D359" s="1">
        <v>4.0199999999999996</v>
      </c>
      <c r="E359" s="1">
        <v>83.37</v>
      </c>
      <c r="F359" s="1">
        <v>2.4</v>
      </c>
      <c r="G359" s="1">
        <v>31.59</v>
      </c>
      <c r="I359" s="1" t="str">
        <f>I358</f>
        <v>2017</v>
      </c>
      <c r="J359" s="12" t="s">
        <v>519</v>
      </c>
    </row>
    <row r="360" spans="1:10">
      <c r="A360" s="1" t="s">
        <v>39</v>
      </c>
      <c r="C360" s="1">
        <v>8.34</v>
      </c>
      <c r="D360" s="1">
        <v>31.49</v>
      </c>
      <c r="E360" s="1">
        <v>66.56</v>
      </c>
      <c r="F360" s="1">
        <v>10.66</v>
      </c>
      <c r="G360" s="1">
        <v>25.55</v>
      </c>
      <c r="I360" s="1" t="str">
        <f t="shared" ref="I360:I362" si="27">I359</f>
        <v>2017</v>
      </c>
      <c r="J360" s="12" t="s">
        <v>519</v>
      </c>
    </row>
    <row r="361" spans="1:10">
      <c r="A361" s="1" t="s">
        <v>42</v>
      </c>
      <c r="C361" s="1">
        <v>47.6</v>
      </c>
      <c r="D361" s="1">
        <v>46.26</v>
      </c>
      <c r="E361" s="1">
        <v>450.19</v>
      </c>
      <c r="F361" s="1">
        <v>22.98</v>
      </c>
      <c r="G361" s="1">
        <v>59.29</v>
      </c>
      <c r="I361" s="1" t="str">
        <f t="shared" si="27"/>
        <v>2017</v>
      </c>
      <c r="J361" s="12" t="s">
        <v>519</v>
      </c>
    </row>
    <row r="362" spans="1:10">
      <c r="A362" s="1" t="s">
        <v>45</v>
      </c>
      <c r="C362" s="1">
        <v>22.2</v>
      </c>
      <c r="D362" s="1">
        <v>45.62</v>
      </c>
      <c r="E362" s="1">
        <v>103.64</v>
      </c>
      <c r="F362" s="1">
        <v>5.52</v>
      </c>
      <c r="G362" s="1">
        <v>21.14</v>
      </c>
      <c r="I362" s="1" t="str">
        <f t="shared" si="27"/>
        <v>2017</v>
      </c>
      <c r="J362" s="12" t="s">
        <v>519</v>
      </c>
    </row>
    <row r="363" spans="1:10">
      <c r="A363" s="1" t="s">
        <v>539</v>
      </c>
    </row>
    <row r="364" spans="1:10">
      <c r="A364" s="1" t="s">
        <v>33</v>
      </c>
      <c r="C364" s="1">
        <v>39.14</v>
      </c>
      <c r="D364" s="1">
        <v>39.14</v>
      </c>
      <c r="E364" s="1">
        <v>39.14</v>
      </c>
      <c r="F364" s="1">
        <v>39.14</v>
      </c>
      <c r="G364" s="1">
        <v>39.14</v>
      </c>
      <c r="I364" s="1" t="str">
        <f>I358</f>
        <v>2017</v>
      </c>
      <c r="J364" s="12" t="s">
        <v>148</v>
      </c>
    </row>
    <row r="365" spans="1:10">
      <c r="A365" s="1" t="s">
        <v>36</v>
      </c>
      <c r="C365" s="1">
        <v>31.92</v>
      </c>
      <c r="D365" s="1">
        <v>31.92</v>
      </c>
      <c r="E365" s="1">
        <v>31.92</v>
      </c>
      <c r="F365" s="1">
        <v>31.92</v>
      </c>
      <c r="G365" s="1">
        <v>31.92</v>
      </c>
      <c r="I365" s="1" t="str">
        <f>I359</f>
        <v>2017</v>
      </c>
      <c r="J365" s="12" t="s">
        <v>148</v>
      </c>
    </row>
    <row r="366" spans="1:10">
      <c r="A366" s="1" t="s">
        <v>39</v>
      </c>
      <c r="C366" s="1">
        <v>32.020000000000003</v>
      </c>
      <c r="D366" s="1">
        <v>32.020000000000003</v>
      </c>
      <c r="E366" s="1">
        <v>32.020000000000003</v>
      </c>
      <c r="F366" s="1">
        <v>32.020000000000003</v>
      </c>
      <c r="G366" s="1">
        <v>32.020000000000003</v>
      </c>
      <c r="I366" s="1" t="str">
        <f>I360</f>
        <v>2017</v>
      </c>
      <c r="J366" s="12" t="s">
        <v>148</v>
      </c>
    </row>
    <row r="367" spans="1:10">
      <c r="A367" s="1" t="s">
        <v>42</v>
      </c>
      <c r="C367" s="1">
        <v>29.3</v>
      </c>
      <c r="D367" s="1">
        <v>29.3</v>
      </c>
      <c r="E367" s="1">
        <v>29.3</v>
      </c>
      <c r="F367" s="1">
        <v>29.3</v>
      </c>
      <c r="G367" s="1">
        <v>29.3</v>
      </c>
      <c r="I367" s="1" t="str">
        <f>I361</f>
        <v>2017</v>
      </c>
      <c r="J367" s="12" t="s">
        <v>148</v>
      </c>
    </row>
    <row r="368" spans="1:10">
      <c r="A368" s="1" t="s">
        <v>45</v>
      </c>
      <c r="C368" s="1">
        <v>29</v>
      </c>
      <c r="D368" s="1">
        <v>29</v>
      </c>
      <c r="E368" s="1">
        <v>29</v>
      </c>
      <c r="F368" s="1">
        <v>29</v>
      </c>
      <c r="G368" s="1">
        <v>29</v>
      </c>
      <c r="I368" s="1" t="str">
        <f>I362</f>
        <v>2017</v>
      </c>
      <c r="J368" s="12" t="s">
        <v>148</v>
      </c>
    </row>
    <row r="369" spans="1:10">
      <c r="A369" s="1" t="s">
        <v>183</v>
      </c>
      <c r="B369" s="1">
        <v>2018</v>
      </c>
    </row>
    <row r="370" spans="1:10">
      <c r="A370" s="1" t="s">
        <v>538</v>
      </c>
    </row>
    <row r="371" spans="1:10">
      <c r="A371" s="1" t="s">
        <v>33</v>
      </c>
      <c r="C371" s="1">
        <v>14.05</v>
      </c>
      <c r="D371" s="1">
        <v>1.97</v>
      </c>
      <c r="E371" s="1">
        <v>17.739999999999998</v>
      </c>
      <c r="F371" s="1">
        <v>1.17</v>
      </c>
      <c r="G371" s="1">
        <v>2.64</v>
      </c>
      <c r="I371" s="1" t="str">
        <f>RIGHT(B369,4)</f>
        <v>2018</v>
      </c>
      <c r="J371" s="9" t="s">
        <v>519</v>
      </c>
    </row>
    <row r="372" spans="1:10">
      <c r="A372" s="1" t="s">
        <v>36</v>
      </c>
      <c r="C372" s="1">
        <v>16.61</v>
      </c>
      <c r="D372" s="1">
        <v>4.0999999999999996</v>
      </c>
      <c r="E372" s="1">
        <v>85.03</v>
      </c>
      <c r="F372" s="1">
        <v>2.44</v>
      </c>
      <c r="G372" s="1">
        <v>32.22</v>
      </c>
      <c r="I372" s="1" t="str">
        <f>I371</f>
        <v>2018</v>
      </c>
      <c r="J372" s="12" t="s">
        <v>519</v>
      </c>
    </row>
    <row r="373" spans="1:10">
      <c r="A373" s="1" t="s">
        <v>39</v>
      </c>
      <c r="C373" s="1">
        <v>8.51</v>
      </c>
      <c r="D373" s="1">
        <v>32.119999999999997</v>
      </c>
      <c r="E373" s="1">
        <v>67.89</v>
      </c>
      <c r="F373" s="1">
        <v>10.88</v>
      </c>
      <c r="G373" s="1">
        <v>26.06</v>
      </c>
      <c r="I373" s="1" t="str">
        <f t="shared" ref="I373:I375" si="28">I372</f>
        <v>2018</v>
      </c>
      <c r="J373" s="12" t="s">
        <v>519</v>
      </c>
    </row>
    <row r="374" spans="1:10">
      <c r="A374" s="1" t="s">
        <v>42</v>
      </c>
      <c r="C374" s="1">
        <v>48.55</v>
      </c>
      <c r="D374" s="1">
        <v>47.18</v>
      </c>
      <c r="E374" s="1">
        <v>459.19</v>
      </c>
      <c r="F374" s="1">
        <v>23.44</v>
      </c>
      <c r="G374" s="1">
        <v>60.47</v>
      </c>
      <c r="I374" s="1" t="str">
        <f t="shared" si="28"/>
        <v>2018</v>
      </c>
      <c r="J374" s="12" t="s">
        <v>519</v>
      </c>
    </row>
    <row r="375" spans="1:10">
      <c r="A375" s="1" t="s">
        <v>45</v>
      </c>
      <c r="C375" s="1">
        <v>22.64</v>
      </c>
      <c r="D375" s="1">
        <v>46.54</v>
      </c>
      <c r="E375" s="1">
        <v>105.71</v>
      </c>
      <c r="F375" s="1">
        <v>5.63</v>
      </c>
      <c r="G375" s="1">
        <v>21.56</v>
      </c>
      <c r="I375" s="1" t="str">
        <f t="shared" si="28"/>
        <v>2018</v>
      </c>
      <c r="J375" s="12" t="s">
        <v>519</v>
      </c>
    </row>
    <row r="376" spans="1:10">
      <c r="A376" s="1" t="s">
        <v>539</v>
      </c>
    </row>
    <row r="377" spans="1:10">
      <c r="A377" s="1" t="s">
        <v>33</v>
      </c>
      <c r="C377" s="1">
        <v>39.51</v>
      </c>
      <c r="D377" s="1">
        <v>39.51</v>
      </c>
      <c r="E377" s="1">
        <v>39.51</v>
      </c>
      <c r="F377" s="1">
        <v>39.51</v>
      </c>
      <c r="G377" s="1">
        <v>39.51</v>
      </c>
      <c r="I377" s="1" t="str">
        <f>I371</f>
        <v>2018</v>
      </c>
      <c r="J377" s="12" t="s">
        <v>148</v>
      </c>
    </row>
    <row r="378" spans="1:10">
      <c r="A378" s="1" t="s">
        <v>36</v>
      </c>
      <c r="C378" s="1">
        <v>32.24</v>
      </c>
      <c r="D378" s="1">
        <v>32.24</v>
      </c>
      <c r="E378" s="1">
        <v>32.24</v>
      </c>
      <c r="F378" s="1">
        <v>32.24</v>
      </c>
      <c r="G378" s="1">
        <v>32.24</v>
      </c>
      <c r="I378" s="1" t="str">
        <f>I372</f>
        <v>2018</v>
      </c>
      <c r="J378" s="12" t="s">
        <v>148</v>
      </c>
    </row>
    <row r="379" spans="1:10">
      <c r="A379" s="1" t="s">
        <v>39</v>
      </c>
      <c r="C379" s="1">
        <v>32.33</v>
      </c>
      <c r="D379" s="1">
        <v>32.33</v>
      </c>
      <c r="E379" s="1">
        <v>32.33</v>
      </c>
      <c r="F379" s="1">
        <v>32.33</v>
      </c>
      <c r="G379" s="1">
        <v>32.33</v>
      </c>
      <c r="I379" s="1" t="str">
        <f>I373</f>
        <v>2018</v>
      </c>
      <c r="J379" s="12" t="s">
        <v>148</v>
      </c>
    </row>
    <row r="380" spans="1:10">
      <c r="A380" s="1" t="s">
        <v>42</v>
      </c>
      <c r="C380" s="1">
        <v>29.61</v>
      </c>
      <c r="D380" s="1">
        <v>29.61</v>
      </c>
      <c r="E380" s="1">
        <v>29.61</v>
      </c>
      <c r="F380" s="1">
        <v>29.61</v>
      </c>
      <c r="G380" s="1">
        <v>29.61</v>
      </c>
      <c r="I380" s="1" t="str">
        <f>I374</f>
        <v>2018</v>
      </c>
      <c r="J380" s="12" t="s">
        <v>148</v>
      </c>
    </row>
    <row r="381" spans="1:10">
      <c r="A381" s="1" t="s">
        <v>45</v>
      </c>
      <c r="C381" s="1">
        <v>29.32</v>
      </c>
      <c r="D381" s="1">
        <v>29.32</v>
      </c>
      <c r="E381" s="1">
        <v>29.32</v>
      </c>
      <c r="F381" s="1">
        <v>29.32</v>
      </c>
      <c r="G381" s="1">
        <v>29.32</v>
      </c>
      <c r="I381" s="1" t="str">
        <f>I375</f>
        <v>2018</v>
      </c>
      <c r="J381" s="12" t="s">
        <v>148</v>
      </c>
    </row>
    <row r="382" spans="1:10">
      <c r="A382" s="1" t="s">
        <v>183</v>
      </c>
      <c r="B382" s="1">
        <v>2019</v>
      </c>
    </row>
    <row r="383" spans="1:10">
      <c r="A383" s="1" t="s">
        <v>538</v>
      </c>
    </row>
    <row r="384" spans="1:10">
      <c r="A384" s="1" t="s">
        <v>33</v>
      </c>
      <c r="C384" s="1">
        <v>14.33</v>
      </c>
      <c r="D384" s="1">
        <v>2.0099999999999998</v>
      </c>
      <c r="E384" s="1">
        <v>18.100000000000001</v>
      </c>
      <c r="F384" s="1">
        <v>1.2</v>
      </c>
      <c r="G384" s="1">
        <v>2.7</v>
      </c>
      <c r="I384" s="1" t="str">
        <f>RIGHT(B382,4)</f>
        <v>2019</v>
      </c>
      <c r="J384" s="9" t="s">
        <v>519</v>
      </c>
    </row>
    <row r="385" spans="1:10">
      <c r="A385" s="1" t="s">
        <v>36</v>
      </c>
      <c r="C385" s="1">
        <v>16.940000000000001</v>
      </c>
      <c r="D385" s="1">
        <v>4.18</v>
      </c>
      <c r="E385" s="1">
        <v>86.73</v>
      </c>
      <c r="F385" s="1">
        <v>2.4900000000000002</v>
      </c>
      <c r="G385" s="1">
        <v>32.86</v>
      </c>
      <c r="I385" s="1" t="str">
        <f>I384</f>
        <v>2019</v>
      </c>
      <c r="J385" s="12" t="s">
        <v>519</v>
      </c>
    </row>
    <row r="386" spans="1:10">
      <c r="A386" s="1" t="s">
        <v>39</v>
      </c>
      <c r="C386" s="1">
        <v>8.68</v>
      </c>
      <c r="D386" s="1">
        <v>32.76</v>
      </c>
      <c r="E386" s="1">
        <v>69.25</v>
      </c>
      <c r="F386" s="1">
        <v>11.1</v>
      </c>
      <c r="G386" s="1">
        <v>26.58</v>
      </c>
      <c r="I386" s="1" t="str">
        <f t="shared" ref="I386:I388" si="29">I385</f>
        <v>2019</v>
      </c>
      <c r="J386" s="12" t="s">
        <v>519</v>
      </c>
    </row>
    <row r="387" spans="1:10">
      <c r="A387" s="1" t="s">
        <v>42</v>
      </c>
      <c r="C387" s="1">
        <v>49.52</v>
      </c>
      <c r="D387" s="1">
        <v>48.12</v>
      </c>
      <c r="E387" s="1">
        <v>468.38</v>
      </c>
      <c r="F387" s="1">
        <v>23.91</v>
      </c>
      <c r="G387" s="1">
        <v>61.68</v>
      </c>
      <c r="I387" s="1" t="str">
        <f t="shared" si="29"/>
        <v>2019</v>
      </c>
      <c r="J387" s="12" t="s">
        <v>519</v>
      </c>
    </row>
    <row r="388" spans="1:10">
      <c r="A388" s="1" t="s">
        <v>45</v>
      </c>
      <c r="C388" s="1">
        <v>23.09</v>
      </c>
      <c r="D388" s="1">
        <v>47.47</v>
      </c>
      <c r="E388" s="1">
        <v>107.83</v>
      </c>
      <c r="F388" s="1">
        <v>5.74</v>
      </c>
      <c r="G388" s="1">
        <v>21.99</v>
      </c>
      <c r="I388" s="1" t="str">
        <f t="shared" si="29"/>
        <v>2019</v>
      </c>
      <c r="J388" s="12" t="s">
        <v>519</v>
      </c>
    </row>
    <row r="389" spans="1:10">
      <c r="A389" s="1" t="s">
        <v>539</v>
      </c>
    </row>
    <row r="390" spans="1:10">
      <c r="A390" s="1" t="s">
        <v>33</v>
      </c>
      <c r="C390" s="1">
        <v>40.04</v>
      </c>
      <c r="D390" s="1">
        <v>40.04</v>
      </c>
      <c r="E390" s="1">
        <v>40.04</v>
      </c>
      <c r="F390" s="1">
        <v>40.04</v>
      </c>
      <c r="G390" s="1">
        <v>40.04</v>
      </c>
      <c r="I390" s="1" t="str">
        <f>I384</f>
        <v>2019</v>
      </c>
      <c r="J390" s="12" t="s">
        <v>148</v>
      </c>
    </row>
    <row r="391" spans="1:10">
      <c r="A391" s="1" t="s">
        <v>36</v>
      </c>
      <c r="C391" s="1">
        <v>32.700000000000003</v>
      </c>
      <c r="D391" s="1">
        <v>32.700000000000003</v>
      </c>
      <c r="E391" s="1">
        <v>32.700000000000003</v>
      </c>
      <c r="F391" s="1">
        <v>32.700000000000003</v>
      </c>
      <c r="G391" s="1">
        <v>32.700000000000003</v>
      </c>
      <c r="I391" s="1" t="str">
        <f>I385</f>
        <v>2019</v>
      </c>
      <c r="J391" s="12" t="s">
        <v>148</v>
      </c>
    </row>
    <row r="392" spans="1:10">
      <c r="A392" s="1" t="s">
        <v>39</v>
      </c>
      <c r="C392" s="1">
        <v>32.79</v>
      </c>
      <c r="D392" s="1">
        <v>32.79</v>
      </c>
      <c r="E392" s="1">
        <v>32.79</v>
      </c>
      <c r="F392" s="1">
        <v>32.79</v>
      </c>
      <c r="G392" s="1">
        <v>32.79</v>
      </c>
      <c r="I392" s="1" t="str">
        <f>I386</f>
        <v>2019</v>
      </c>
      <c r="J392" s="12" t="s">
        <v>148</v>
      </c>
    </row>
    <row r="393" spans="1:10">
      <c r="A393" s="1" t="s">
        <v>42</v>
      </c>
      <c r="C393" s="1">
        <v>30.06</v>
      </c>
      <c r="D393" s="1">
        <v>30.06</v>
      </c>
      <c r="E393" s="1">
        <v>30.06</v>
      </c>
      <c r="F393" s="1">
        <v>30.06</v>
      </c>
      <c r="G393" s="1">
        <v>30.06</v>
      </c>
      <c r="I393" s="1" t="str">
        <f>I387</f>
        <v>2019</v>
      </c>
      <c r="J393" s="12" t="s">
        <v>148</v>
      </c>
    </row>
    <row r="394" spans="1:10">
      <c r="A394" s="1" t="s">
        <v>45</v>
      </c>
      <c r="C394" s="1">
        <v>29.77</v>
      </c>
      <c r="D394" s="1">
        <v>29.77</v>
      </c>
      <c r="E394" s="1">
        <v>29.77</v>
      </c>
      <c r="F394" s="1">
        <v>29.77</v>
      </c>
      <c r="G394" s="1">
        <v>29.77</v>
      </c>
      <c r="I394" s="1" t="str">
        <f>I388</f>
        <v>2019</v>
      </c>
      <c r="J394" s="12" t="s">
        <v>148</v>
      </c>
    </row>
    <row r="395" spans="1:10">
      <c r="A395" s="1" t="s">
        <v>183</v>
      </c>
      <c r="B395" s="1">
        <v>2020</v>
      </c>
    </row>
    <row r="396" spans="1:10">
      <c r="A396" s="1" t="s">
        <v>538</v>
      </c>
    </row>
    <row r="397" spans="1:10">
      <c r="A397" s="1" t="s">
        <v>33</v>
      </c>
      <c r="C397" s="1">
        <v>14.61</v>
      </c>
      <c r="D397" s="1">
        <v>2.0499999999999998</v>
      </c>
      <c r="E397" s="1">
        <v>18.46</v>
      </c>
      <c r="F397" s="1">
        <v>1.22</v>
      </c>
      <c r="G397" s="1">
        <v>2.75</v>
      </c>
      <c r="I397" s="1" t="str">
        <f>RIGHT(B395,4)</f>
        <v>2020</v>
      </c>
      <c r="J397" s="9" t="s">
        <v>519</v>
      </c>
    </row>
    <row r="398" spans="1:10">
      <c r="A398" s="1" t="s">
        <v>36</v>
      </c>
      <c r="C398" s="1">
        <v>17.28</v>
      </c>
      <c r="D398" s="1">
        <v>4.26</v>
      </c>
      <c r="E398" s="1">
        <v>88.47</v>
      </c>
      <c r="F398" s="1">
        <v>2.54</v>
      </c>
      <c r="G398" s="1">
        <v>33.520000000000003</v>
      </c>
      <c r="I398" s="1" t="str">
        <f>I397</f>
        <v>2020</v>
      </c>
      <c r="J398" s="12" t="s">
        <v>519</v>
      </c>
    </row>
    <row r="399" spans="1:10">
      <c r="A399" s="1" t="s">
        <v>39</v>
      </c>
      <c r="C399" s="1">
        <v>8.85</v>
      </c>
      <c r="D399" s="1">
        <v>33.42</v>
      </c>
      <c r="E399" s="1">
        <v>70.64</v>
      </c>
      <c r="F399" s="1">
        <v>11.32</v>
      </c>
      <c r="G399" s="1">
        <v>27.11</v>
      </c>
      <c r="I399" s="1" t="str">
        <f t="shared" ref="I399:I401" si="30">I398</f>
        <v>2020</v>
      </c>
      <c r="J399" s="12" t="s">
        <v>519</v>
      </c>
    </row>
    <row r="400" spans="1:10">
      <c r="A400" s="1" t="s">
        <v>42</v>
      </c>
      <c r="C400" s="1">
        <v>50.51</v>
      </c>
      <c r="D400" s="1">
        <v>49.09</v>
      </c>
      <c r="E400" s="1">
        <v>477.74</v>
      </c>
      <c r="F400" s="1">
        <v>24.39</v>
      </c>
      <c r="G400" s="1">
        <v>62.92</v>
      </c>
      <c r="I400" s="1" t="str">
        <f t="shared" si="30"/>
        <v>2020</v>
      </c>
      <c r="J400" s="12" t="s">
        <v>519</v>
      </c>
    </row>
    <row r="401" spans="1:10">
      <c r="A401" s="1" t="s">
        <v>45</v>
      </c>
      <c r="C401" s="1">
        <v>23.56</v>
      </c>
      <c r="D401" s="1">
        <v>48.42</v>
      </c>
      <c r="E401" s="1">
        <v>109.98</v>
      </c>
      <c r="F401" s="1">
        <v>5.85</v>
      </c>
      <c r="G401" s="1">
        <v>22.43</v>
      </c>
      <c r="I401" s="1" t="str">
        <f t="shared" si="30"/>
        <v>2020</v>
      </c>
      <c r="J401" s="12" t="s">
        <v>519</v>
      </c>
    </row>
    <row r="402" spans="1:10">
      <c r="A402" s="1" t="s">
        <v>539</v>
      </c>
    </row>
    <row r="403" spans="1:10">
      <c r="A403" s="1" t="s">
        <v>33</v>
      </c>
      <c r="C403" s="1">
        <v>40.4</v>
      </c>
      <c r="D403" s="1">
        <v>40.4</v>
      </c>
      <c r="E403" s="1">
        <v>40.4</v>
      </c>
      <c r="F403" s="1">
        <v>40.4</v>
      </c>
      <c r="G403" s="1">
        <v>40.4</v>
      </c>
      <c r="I403" s="1" t="str">
        <f>I397</f>
        <v>2020</v>
      </c>
      <c r="J403" s="12" t="s">
        <v>148</v>
      </c>
    </row>
    <row r="404" spans="1:10">
      <c r="A404" s="1" t="s">
        <v>36</v>
      </c>
      <c r="C404" s="1">
        <v>33.020000000000003</v>
      </c>
      <c r="D404" s="1">
        <v>33.020000000000003</v>
      </c>
      <c r="E404" s="1">
        <v>33.020000000000003</v>
      </c>
      <c r="F404" s="1">
        <v>33.020000000000003</v>
      </c>
      <c r="G404" s="1">
        <v>33.020000000000003</v>
      </c>
      <c r="I404" s="1" t="str">
        <f>I398</f>
        <v>2020</v>
      </c>
      <c r="J404" s="12" t="s">
        <v>148</v>
      </c>
    </row>
    <row r="405" spans="1:10">
      <c r="A405" s="1" t="s">
        <v>39</v>
      </c>
      <c r="C405" s="1">
        <v>33.1</v>
      </c>
      <c r="D405" s="1">
        <v>33.1</v>
      </c>
      <c r="E405" s="1">
        <v>33.1</v>
      </c>
      <c r="F405" s="1">
        <v>33.1</v>
      </c>
      <c r="G405" s="1">
        <v>33.1</v>
      </c>
      <c r="I405" s="1" t="str">
        <f>I399</f>
        <v>2020</v>
      </c>
      <c r="J405" s="12" t="s">
        <v>148</v>
      </c>
    </row>
    <row r="406" spans="1:10">
      <c r="A406" s="1" t="s">
        <v>42</v>
      </c>
      <c r="C406" s="1">
        <v>30.37</v>
      </c>
      <c r="D406" s="1">
        <v>30.37</v>
      </c>
      <c r="E406" s="1">
        <v>30.37</v>
      </c>
      <c r="F406" s="1">
        <v>30.37</v>
      </c>
      <c r="G406" s="1">
        <v>30.37</v>
      </c>
      <c r="I406" s="1" t="str">
        <f>I400</f>
        <v>2020</v>
      </c>
      <c r="J406" s="12" t="s">
        <v>148</v>
      </c>
    </row>
    <row r="407" spans="1:10">
      <c r="A407" s="1" t="s">
        <v>45</v>
      </c>
      <c r="C407" s="1">
        <v>30.08</v>
      </c>
      <c r="D407" s="1">
        <v>30.08</v>
      </c>
      <c r="E407" s="1">
        <v>30.08</v>
      </c>
      <c r="F407" s="1">
        <v>30.08</v>
      </c>
      <c r="G407" s="1">
        <v>30.08</v>
      </c>
      <c r="I407" s="1" t="str">
        <f>I401</f>
        <v>2020</v>
      </c>
      <c r="J407" s="12" t="s">
        <v>148</v>
      </c>
    </row>
  </sheetData>
  <phoneticPr fontId="21" type="noConversion"/>
  <pageMargins left="0.75" right="0.75" top="1" bottom="1" header="0.5" footer="0.5"/>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O76"/>
  <sheetViews>
    <sheetView zoomScale="78" zoomScaleNormal="78" workbookViewId="0">
      <selection sqref="A1:XFD1048576"/>
    </sheetView>
  </sheetViews>
  <sheetFormatPr defaultColWidth="9.140625" defaultRowHeight="12.75"/>
  <cols>
    <col min="1" max="15" width="15.42578125" style="87" customWidth="1"/>
    <col min="16" max="16384" width="9.140625" style="87"/>
  </cols>
  <sheetData>
    <row r="1" spans="1:15" ht="58.15" customHeight="1">
      <c r="A1" s="258" t="s">
        <v>962</v>
      </c>
      <c r="B1" s="258"/>
      <c r="C1" s="258"/>
      <c r="D1" s="258"/>
      <c r="E1" s="258"/>
      <c r="F1" s="258"/>
      <c r="G1" s="258"/>
      <c r="H1" s="258"/>
    </row>
    <row r="3" spans="1:15">
      <c r="A3" s="88" t="s">
        <v>464</v>
      </c>
    </row>
    <row r="4" spans="1:15">
      <c r="A4" s="88"/>
    </row>
    <row r="5" spans="1:15" ht="14.25">
      <c r="A5" s="89" t="s">
        <v>465</v>
      </c>
      <c r="B5" s="89" t="s">
        <v>466</v>
      </c>
      <c r="C5" s="89" t="s">
        <v>189</v>
      </c>
      <c r="D5" s="8" t="s">
        <v>467</v>
      </c>
      <c r="E5" s="8" t="s">
        <v>468</v>
      </c>
      <c r="F5" s="8" t="s">
        <v>1101</v>
      </c>
      <c r="G5" s="8" t="s">
        <v>1102</v>
      </c>
      <c r="H5" s="8" t="s">
        <v>1103</v>
      </c>
      <c r="I5" s="8" t="s">
        <v>1104</v>
      </c>
      <c r="J5" s="8" t="s">
        <v>1105</v>
      </c>
      <c r="K5" s="8" t="s">
        <v>1106</v>
      </c>
      <c r="L5" s="8" t="s">
        <v>1107</v>
      </c>
      <c r="M5" s="90" t="s">
        <v>469</v>
      </c>
      <c r="N5" s="90" t="s">
        <v>1108</v>
      </c>
      <c r="O5" s="90" t="s">
        <v>1109</v>
      </c>
    </row>
    <row r="6" spans="1:15" ht="38.25">
      <c r="A6" s="91" t="s">
        <v>5</v>
      </c>
      <c r="B6" s="92" t="s">
        <v>470</v>
      </c>
      <c r="C6" s="93" t="s">
        <v>471</v>
      </c>
      <c r="D6" s="94">
        <v>1.0994635376187136E-3</v>
      </c>
      <c r="E6" s="94">
        <v>2.9382215229465623E-3</v>
      </c>
      <c r="F6" s="94">
        <v>9.2506587303091761E-3</v>
      </c>
      <c r="G6" s="94">
        <v>1.1184198055086913E-3</v>
      </c>
      <c r="H6" s="94">
        <v>3.8860349174454526E-4</v>
      </c>
      <c r="I6" s="94">
        <v>1.9524955926677155E-3</v>
      </c>
      <c r="J6" s="94">
        <v>1.8861486550527932E-2</v>
      </c>
      <c r="K6" s="94">
        <v>4.3599416146948987E-5</v>
      </c>
      <c r="L6" s="95">
        <v>2.4880101605595888</v>
      </c>
      <c r="M6" s="96">
        <v>3.1277842018463403E-5</v>
      </c>
      <c r="N6" s="96">
        <v>1.2321574128485582E-5</v>
      </c>
      <c r="O6" s="97">
        <v>0</v>
      </c>
    </row>
    <row r="7" spans="1:15" ht="25.5">
      <c r="A7" s="91" t="s">
        <v>472</v>
      </c>
      <c r="B7" s="92" t="s">
        <v>473</v>
      </c>
      <c r="C7" s="93" t="s">
        <v>471</v>
      </c>
      <c r="D7" s="94">
        <v>6.501999886262393E-3</v>
      </c>
      <c r="E7" s="94">
        <v>1.5165014311982258E-4</v>
      </c>
      <c r="F7" s="94">
        <v>5.4973176880935681E-4</v>
      </c>
      <c r="G7" s="94">
        <v>0.1602468106079275</v>
      </c>
      <c r="H7" s="94">
        <v>3.9609121756108652E-2</v>
      </c>
      <c r="I7" s="94">
        <v>6.2650465376376694E-3</v>
      </c>
      <c r="J7" s="94">
        <v>0.11174719921141925</v>
      </c>
      <c r="K7" s="94">
        <v>4.7390669724944556E-6</v>
      </c>
      <c r="L7" s="95">
        <v>0.43978541504748542</v>
      </c>
      <c r="M7" s="94">
        <v>2.0595985062460899E-3</v>
      </c>
      <c r="N7" s="94">
        <v>5.5447083578185122E-4</v>
      </c>
      <c r="O7" s="98">
        <v>0</v>
      </c>
    </row>
    <row r="8" spans="1:15" ht="14.25">
      <c r="A8" s="256" t="s">
        <v>474</v>
      </c>
      <c r="B8" s="92" t="s">
        <v>475</v>
      </c>
      <c r="C8" s="93" t="s">
        <v>471</v>
      </c>
      <c r="D8" s="94">
        <v>5.6868803669933468E-4</v>
      </c>
      <c r="E8" s="94">
        <v>4.0471631945102641E-3</v>
      </c>
      <c r="F8" s="94">
        <v>1.3364168862434363E-2</v>
      </c>
      <c r="G8" s="94">
        <v>1.8008454495478928E-4</v>
      </c>
      <c r="H8" s="94">
        <v>1.2321574128485585E-4</v>
      </c>
      <c r="I8" s="94">
        <v>4.0755975963452314E-4</v>
      </c>
      <c r="J8" s="94">
        <v>7.4592914147062719E-2</v>
      </c>
      <c r="K8" s="94">
        <v>2.9382215229465622E-5</v>
      </c>
      <c r="L8" s="95">
        <v>1.3980247568858644</v>
      </c>
      <c r="M8" s="99" t="s">
        <v>1110</v>
      </c>
      <c r="N8" s="99" t="s">
        <v>476</v>
      </c>
      <c r="O8" s="97">
        <v>0</v>
      </c>
    </row>
    <row r="9" spans="1:15" ht="25.5">
      <c r="A9" s="256"/>
      <c r="B9" s="92" t="s">
        <v>477</v>
      </c>
      <c r="C9" s="93" t="s">
        <v>471</v>
      </c>
      <c r="D9" s="94">
        <v>1.8008454495478928E-4</v>
      </c>
      <c r="E9" s="94">
        <v>7.0138191192917936E-4</v>
      </c>
      <c r="F9" s="94">
        <v>2.7581369779917731E-3</v>
      </c>
      <c r="G9" s="94">
        <v>3.0330028623964516E-4</v>
      </c>
      <c r="H9" s="94">
        <v>1.4217200917483367E-4</v>
      </c>
      <c r="I9" s="94">
        <v>6.4451310825924585E-4</v>
      </c>
      <c r="J9" s="94">
        <v>3.1941311394612634E-2</v>
      </c>
      <c r="K9" s="94">
        <v>3.6016908990957858E-5</v>
      </c>
      <c r="L9" s="95">
        <v>1.7544025932174472</v>
      </c>
      <c r="M9" s="99" t="s">
        <v>476</v>
      </c>
      <c r="N9" s="99" t="s">
        <v>476</v>
      </c>
      <c r="O9" s="98">
        <v>0</v>
      </c>
    </row>
    <row r="10" spans="1:15" ht="25.5">
      <c r="A10" s="256"/>
      <c r="B10" s="92" t="s">
        <v>478</v>
      </c>
      <c r="C10" s="93" t="s">
        <v>471</v>
      </c>
      <c r="D10" s="94">
        <v>4.1893352036850981E-3</v>
      </c>
      <c r="E10" s="94">
        <v>1.1373760733986694E-3</v>
      </c>
      <c r="F10" s="94">
        <v>1.4691107614732812E-3</v>
      </c>
      <c r="G10" s="94">
        <v>1.8956267889977822E-5</v>
      </c>
      <c r="H10" s="94">
        <v>9.4781339449889112E-6</v>
      </c>
      <c r="I10" s="94">
        <v>9.6013496862737656E-3</v>
      </c>
      <c r="J10" s="94">
        <v>0</v>
      </c>
      <c r="K10" s="94">
        <v>0</v>
      </c>
      <c r="L10" s="95">
        <v>1.1771842359676226</v>
      </c>
      <c r="M10" s="99" t="s">
        <v>476</v>
      </c>
      <c r="N10" s="99" t="s">
        <v>476</v>
      </c>
      <c r="O10" s="97">
        <v>0</v>
      </c>
    </row>
    <row r="11" spans="1:15" ht="25.5">
      <c r="A11" s="256"/>
      <c r="B11" s="92" t="s">
        <v>479</v>
      </c>
      <c r="C11" s="93" t="s">
        <v>471</v>
      </c>
      <c r="D11" s="94">
        <v>4.9381077853392222E-3</v>
      </c>
      <c r="E11" s="94">
        <v>5.8859211798381128E-3</v>
      </c>
      <c r="F11" s="94">
        <v>1.7591416601899418E-2</v>
      </c>
      <c r="G11" s="94">
        <v>5.0234109908441234E-4</v>
      </c>
      <c r="H11" s="94">
        <v>2.748658844046784E-4</v>
      </c>
      <c r="I11" s="94">
        <v>1.0653422554167534E-2</v>
      </c>
      <c r="J11" s="94">
        <v>0.10653422554167534</v>
      </c>
      <c r="K11" s="94">
        <v>6.5399124220423487E-5</v>
      </c>
      <c r="L11" s="95">
        <v>4.3296115860709348</v>
      </c>
      <c r="M11" s="94">
        <v>1.8008454495478929E-5</v>
      </c>
      <c r="N11" s="94">
        <v>4.7390669724944556E-6</v>
      </c>
      <c r="O11" s="98">
        <v>0</v>
      </c>
    </row>
    <row r="12" spans="1:15">
      <c r="A12" s="256" t="s">
        <v>480</v>
      </c>
      <c r="B12" s="92" t="s">
        <v>481</v>
      </c>
      <c r="C12" s="93" t="s">
        <v>471</v>
      </c>
      <c r="D12" s="94">
        <v>2.8434401834966729E-5</v>
      </c>
      <c r="E12" s="94">
        <v>1.8008454495478928E-4</v>
      </c>
      <c r="F12" s="94">
        <v>6.2555684036926808E-4</v>
      </c>
      <c r="G12" s="94">
        <v>1.4217200917483367E-4</v>
      </c>
      <c r="H12" s="94">
        <v>3.7912535779955645E-5</v>
      </c>
      <c r="I12" s="94">
        <v>2.464314825697117E-4</v>
      </c>
      <c r="J12" s="94">
        <v>4.7390669724944548E-4</v>
      </c>
      <c r="K12" s="94">
        <v>2.8434401834966729E-6</v>
      </c>
      <c r="L12" s="95">
        <v>0.15638921009231702</v>
      </c>
      <c r="M12" s="99" t="s">
        <v>476</v>
      </c>
      <c r="N12" s="99" t="s">
        <v>476</v>
      </c>
      <c r="O12" s="98">
        <v>0</v>
      </c>
    </row>
    <row r="13" spans="1:15" ht="25.5">
      <c r="A13" s="256"/>
      <c r="B13" s="92" t="s">
        <v>482</v>
      </c>
      <c r="C13" s="93" t="s">
        <v>471</v>
      </c>
      <c r="D13" s="94">
        <v>0</v>
      </c>
      <c r="E13" s="94">
        <v>0</v>
      </c>
      <c r="F13" s="94">
        <v>0</v>
      </c>
      <c r="G13" s="94">
        <v>0</v>
      </c>
      <c r="H13" s="94">
        <v>0</v>
      </c>
      <c r="I13" s="94">
        <v>0</v>
      </c>
      <c r="J13" s="94">
        <v>0</v>
      </c>
      <c r="K13" s="94">
        <v>0</v>
      </c>
      <c r="L13" s="95">
        <v>9.4781339449889095E-4</v>
      </c>
      <c r="M13" s="99" t="s">
        <v>476</v>
      </c>
      <c r="N13" s="99" t="s">
        <v>476</v>
      </c>
      <c r="O13" s="98">
        <v>0</v>
      </c>
    </row>
    <row r="14" spans="1:15">
      <c r="A14" s="256"/>
      <c r="B14" s="92" t="s">
        <v>483</v>
      </c>
      <c r="C14" s="93" t="s">
        <v>471</v>
      </c>
      <c r="D14" s="94">
        <v>7.582507155991129E-5</v>
      </c>
      <c r="E14" s="94">
        <v>2.1799708073474492E-4</v>
      </c>
      <c r="F14" s="94">
        <v>8.5303205504900191E-4</v>
      </c>
      <c r="G14" s="94">
        <v>1.0899854036737246E-3</v>
      </c>
      <c r="H14" s="94">
        <v>2.8434401834966734E-4</v>
      </c>
      <c r="I14" s="94">
        <v>1.8861486550527931E-3</v>
      </c>
      <c r="J14" s="94">
        <v>1.1373760733986694E-3</v>
      </c>
      <c r="K14" s="94">
        <v>1.04259473394878E-5</v>
      </c>
      <c r="L14" s="95">
        <v>0.8340757871590242</v>
      </c>
      <c r="M14" s="99" t="s">
        <v>476</v>
      </c>
      <c r="N14" s="99" t="s">
        <v>476</v>
      </c>
      <c r="O14" s="98">
        <v>0</v>
      </c>
    </row>
    <row r="15" spans="1:15" ht="38.25">
      <c r="A15" s="256"/>
      <c r="B15" s="92" t="s">
        <v>484</v>
      </c>
      <c r="C15" s="93" t="s">
        <v>471</v>
      </c>
      <c r="D15" s="94">
        <v>1.8956267889977822E-5</v>
      </c>
      <c r="E15" s="94">
        <v>1.04259473394878E-4</v>
      </c>
      <c r="F15" s="94">
        <v>3.6016908990957856E-4</v>
      </c>
      <c r="G15" s="94">
        <v>6.634693761492238E-5</v>
      </c>
      <c r="H15" s="94">
        <v>1.8956267889977822E-5</v>
      </c>
      <c r="I15" s="94">
        <v>1.2321574128485585E-4</v>
      </c>
      <c r="J15" s="94">
        <v>2.8434401834966734E-4</v>
      </c>
      <c r="K15" s="94">
        <v>9.4781339449889091E-7</v>
      </c>
      <c r="L15" s="95">
        <v>8.3407578715902403E-2</v>
      </c>
      <c r="M15" s="99" t="s">
        <v>476</v>
      </c>
      <c r="N15" s="99" t="s">
        <v>476</v>
      </c>
      <c r="O15" s="98">
        <v>0</v>
      </c>
    </row>
    <row r="16" spans="1:15">
      <c r="A16" s="256"/>
      <c r="B16" s="92" t="s">
        <v>485</v>
      </c>
      <c r="C16" s="93" t="s">
        <v>471</v>
      </c>
      <c r="D16" s="94">
        <v>1.2321574128485585E-4</v>
      </c>
      <c r="E16" s="94">
        <v>5.1181923302940117E-4</v>
      </c>
      <c r="F16" s="94">
        <v>1.8482361192728375E-3</v>
      </c>
      <c r="G16" s="94">
        <v>1.3079824844084696E-3</v>
      </c>
      <c r="H16" s="94">
        <v>3.5069095596458968E-4</v>
      </c>
      <c r="I16" s="94">
        <v>2.2557958789073606E-3</v>
      </c>
      <c r="J16" s="94">
        <v>1.8956267889977819E-3</v>
      </c>
      <c r="K16" s="94">
        <v>1.4217200917483364E-5</v>
      </c>
      <c r="L16" s="95">
        <v>1.0738725759672434</v>
      </c>
      <c r="M16" s="99" t="s">
        <v>476</v>
      </c>
      <c r="N16" s="99" t="s">
        <v>476</v>
      </c>
      <c r="O16" s="98">
        <v>0</v>
      </c>
    </row>
    <row r="17" spans="1:8" ht="14.25">
      <c r="A17" s="86" t="s">
        <v>1098</v>
      </c>
    </row>
    <row r="18" spans="1:8" ht="14.25">
      <c r="A18" s="86" t="s">
        <v>1099</v>
      </c>
    </row>
    <row r="19" spans="1:8" ht="14.25">
      <c r="A19" s="86" t="s">
        <v>1100</v>
      </c>
    </row>
    <row r="22" spans="1:8">
      <c r="A22" s="87" t="s">
        <v>486</v>
      </c>
    </row>
    <row r="24" spans="1:8">
      <c r="A24" s="100" t="s">
        <v>487</v>
      </c>
      <c r="B24" s="100"/>
      <c r="C24" s="100"/>
      <c r="D24" s="100"/>
      <c r="E24" s="100"/>
    </row>
    <row r="25" spans="1:8">
      <c r="A25" s="100"/>
      <c r="B25" s="100"/>
      <c r="C25" s="100"/>
      <c r="D25" s="100"/>
      <c r="E25" s="100"/>
    </row>
    <row r="26" spans="1:8">
      <c r="A26" s="22"/>
      <c r="B26" s="255" t="s">
        <v>488</v>
      </c>
      <c r="C26" s="255"/>
      <c r="D26" s="255"/>
      <c r="E26" s="255"/>
    </row>
    <row r="27" spans="1:8" ht="75">
      <c r="A27" s="9"/>
      <c r="B27" s="101" t="s">
        <v>489</v>
      </c>
      <c r="C27" s="101" t="s">
        <v>490</v>
      </c>
      <c r="D27" s="102" t="s">
        <v>491</v>
      </c>
      <c r="E27" s="102" t="s">
        <v>492</v>
      </c>
    </row>
    <row r="28" spans="1:8">
      <c r="A28" s="10" t="s">
        <v>493</v>
      </c>
      <c r="B28" s="103">
        <v>0.97200000286102295</v>
      </c>
      <c r="C28" s="103">
        <v>0.97200000286102295</v>
      </c>
      <c r="D28" s="10"/>
      <c r="E28" s="10"/>
    </row>
    <row r="29" spans="1:8">
      <c r="A29" s="10" t="s">
        <v>494</v>
      </c>
      <c r="B29" s="103">
        <v>0.01</v>
      </c>
      <c r="C29" s="103">
        <v>0.01</v>
      </c>
      <c r="D29" s="42"/>
      <c r="E29" s="103"/>
    </row>
    <row r="30" spans="1:8">
      <c r="A30" s="10" t="s">
        <v>495</v>
      </c>
      <c r="B30" s="42"/>
      <c r="C30" s="42">
        <v>1.0014791206912925</v>
      </c>
      <c r="D30" s="42"/>
      <c r="E30" s="42">
        <v>1.0036720572878408</v>
      </c>
    </row>
    <row r="31" spans="1:8">
      <c r="A31" s="10" t="s">
        <v>496</v>
      </c>
      <c r="B31" s="9"/>
      <c r="C31" s="9"/>
      <c r="D31" s="9"/>
      <c r="E31" s="9"/>
      <c r="F31" s="87" t="s">
        <v>497</v>
      </c>
    </row>
    <row r="32" spans="1:8">
      <c r="A32" s="9" t="s">
        <v>498</v>
      </c>
      <c r="B32" s="42">
        <v>0.75722497274563683</v>
      </c>
      <c r="C32" s="42">
        <v>0.19822358339043974</v>
      </c>
      <c r="D32" s="104">
        <v>4.4000000000000004</v>
      </c>
      <c r="E32" s="42">
        <v>0.45055160781865566</v>
      </c>
      <c r="F32" s="87">
        <f>E32*0.00094778</f>
        <v>4.2702380285836546E-4</v>
      </c>
      <c r="H32" s="9"/>
    </row>
    <row r="33" spans="1:10">
      <c r="A33" s="9" t="s">
        <v>499</v>
      </c>
      <c r="B33" s="42">
        <v>4.9469324351571391</v>
      </c>
      <c r="C33" s="42">
        <v>0.79524213962209245</v>
      </c>
      <c r="D33" s="104">
        <v>1.2</v>
      </c>
      <c r="E33" s="42">
        <v>1.0349976862880079</v>
      </c>
      <c r="F33" s="87">
        <f t="shared" ref="F33:F41" si="0">E33*0.00094778</f>
        <v>9.8095010711004801E-4</v>
      </c>
      <c r="H33" s="9"/>
    </row>
    <row r="34" spans="1:10">
      <c r="A34" s="9" t="s">
        <v>500</v>
      </c>
      <c r="B34" s="42">
        <v>15.387618023949463</v>
      </c>
      <c r="C34" s="42">
        <v>3.0383871208239928</v>
      </c>
      <c r="D34" s="104">
        <v>1.546</v>
      </c>
      <c r="E34" s="42">
        <v>2.7566019369022152</v>
      </c>
      <c r="F34" s="87">
        <f t="shared" si="0"/>
        <v>2.6126521837571814E-3</v>
      </c>
      <c r="H34" s="9"/>
    </row>
    <row r="35" spans="1:10">
      <c r="A35" s="9" t="s">
        <v>501</v>
      </c>
      <c r="B35" s="42">
        <v>0.35918494592284961</v>
      </c>
      <c r="C35" s="42">
        <v>0.35059469005841842</v>
      </c>
      <c r="D35" s="104">
        <v>0.02</v>
      </c>
      <c r="E35" s="42">
        <v>0.14467215639954981</v>
      </c>
      <c r="F35" s="87">
        <f t="shared" si="0"/>
        <v>1.371173763923653E-4</v>
      </c>
      <c r="H35" s="9"/>
    </row>
    <row r="36" spans="1:10">
      <c r="A36" s="9" t="s">
        <v>502</v>
      </c>
      <c r="B36" s="42">
        <v>0.26284647979019315</v>
      </c>
      <c r="C36" s="42">
        <v>0.16672718492795827</v>
      </c>
      <c r="D36" s="42">
        <v>0.01</v>
      </c>
      <c r="E36" s="42">
        <v>7.9537845875789423E-2</v>
      </c>
      <c r="F36" s="87">
        <f t="shared" si="0"/>
        <v>7.5384379564155695E-5</v>
      </c>
      <c r="H36" s="9"/>
    </row>
    <row r="37" spans="1:10">
      <c r="A37" s="9" t="s">
        <v>503</v>
      </c>
      <c r="B37" s="42">
        <v>0.52121423316205873</v>
      </c>
      <c r="C37" s="42">
        <v>0.71670427707221296</v>
      </c>
      <c r="D37" s="104">
        <v>10.089</v>
      </c>
      <c r="E37" s="42">
        <v>0.20353485949310335</v>
      </c>
      <c r="F37" s="87">
        <f t="shared" si="0"/>
        <v>1.9290626913037349E-4</v>
      </c>
      <c r="H37" s="9"/>
    </row>
    <row r="38" spans="1:10">
      <c r="A38" s="9" t="s">
        <v>504</v>
      </c>
      <c r="B38" s="42">
        <v>4.5946922578539748</v>
      </c>
      <c r="C38" s="42">
        <v>0.46728869945644053</v>
      </c>
      <c r="D38" s="42"/>
      <c r="E38" s="42">
        <v>1.7443943718210111</v>
      </c>
      <c r="F38" s="87">
        <f t="shared" si="0"/>
        <v>1.6533020977245179E-3</v>
      </c>
      <c r="H38" s="9"/>
    </row>
    <row r="39" spans="1:10">
      <c r="A39" s="9" t="s">
        <v>505</v>
      </c>
      <c r="B39" s="42">
        <v>3.6854129030807911E-2</v>
      </c>
      <c r="C39" s="42">
        <v>3.8858000103391542E-2</v>
      </c>
      <c r="D39" s="42"/>
      <c r="E39" s="42">
        <v>1.0635234459735958E-2</v>
      </c>
      <c r="F39" s="87">
        <f t="shared" si="0"/>
        <v>1.0079862516248546E-5</v>
      </c>
      <c r="H39" s="9"/>
    </row>
    <row r="40" spans="1:10">
      <c r="A40" s="9" t="s">
        <v>506</v>
      </c>
      <c r="B40" s="105">
        <v>1752.5699141333712</v>
      </c>
      <c r="C40" s="105">
        <v>1885.2003251692577</v>
      </c>
      <c r="D40" s="105">
        <v>1237</v>
      </c>
      <c r="E40" s="106">
        <v>362.4550235796338</v>
      </c>
      <c r="F40" s="87">
        <f t="shared" si="0"/>
        <v>0.3435276222483053</v>
      </c>
      <c r="H40" s="9"/>
    </row>
    <row r="41" spans="1:10">
      <c r="A41" s="9" t="s">
        <v>507</v>
      </c>
      <c r="B41" s="42">
        <v>73.736945585482744</v>
      </c>
      <c r="C41" s="42">
        <v>33.103413233402158</v>
      </c>
      <c r="D41" s="106"/>
      <c r="E41" s="42">
        <v>82.182360460325498</v>
      </c>
      <c r="F41" s="87">
        <f t="shared" si="0"/>
        <v>7.7890797597087294E-2</v>
      </c>
      <c r="H41" s="9"/>
    </row>
    <row r="42" spans="1:10">
      <c r="A42" s="9" t="s">
        <v>508</v>
      </c>
      <c r="B42" s="9"/>
      <c r="C42" s="9"/>
      <c r="D42" s="9"/>
      <c r="E42" s="9"/>
    </row>
    <row r="43" spans="1:10">
      <c r="A43" s="9" t="s">
        <v>509</v>
      </c>
      <c r="B43" s="9"/>
      <c r="C43" s="9"/>
      <c r="D43" s="9"/>
      <c r="E43" s="9"/>
    </row>
    <row r="45" spans="1:10">
      <c r="A45" s="87" t="s">
        <v>510</v>
      </c>
      <c r="J45" s="9"/>
    </row>
    <row r="46" spans="1:10">
      <c r="A46" s="9" t="s">
        <v>498</v>
      </c>
      <c r="B46" s="9" t="s">
        <v>499</v>
      </c>
      <c r="C46" s="9" t="s">
        <v>500</v>
      </c>
      <c r="D46" s="9" t="s">
        <v>501</v>
      </c>
      <c r="E46" s="9" t="s">
        <v>502</v>
      </c>
      <c r="F46" s="9" t="s">
        <v>503</v>
      </c>
      <c r="G46" s="9" t="s">
        <v>504</v>
      </c>
      <c r="H46" s="9" t="s">
        <v>505</v>
      </c>
      <c r="I46" s="9" t="s">
        <v>506</v>
      </c>
    </row>
    <row r="47" spans="1:10">
      <c r="A47" s="87">
        <v>4.2702380285836546E-4</v>
      </c>
      <c r="B47" s="87">
        <v>9.8095010711004801E-4</v>
      </c>
      <c r="C47" s="87">
        <v>2.6126521837571814E-3</v>
      </c>
      <c r="D47" s="87">
        <v>1.371173763923653E-4</v>
      </c>
      <c r="E47" s="87">
        <v>7.5384379564155695E-5</v>
      </c>
      <c r="F47" s="87">
        <v>1.9290626913037349E-4</v>
      </c>
      <c r="G47" s="87">
        <f>F41+F38</f>
        <v>7.9544099694811812E-2</v>
      </c>
      <c r="H47" s="87">
        <v>1.0079862516248546E-5</v>
      </c>
      <c r="I47" s="87">
        <v>0.3435276222483053</v>
      </c>
    </row>
    <row r="49" spans="1:11">
      <c r="A49" s="88" t="s">
        <v>940</v>
      </c>
    </row>
    <row r="50" spans="1:11" ht="103.9" customHeight="1">
      <c r="A50" s="257" t="s">
        <v>941</v>
      </c>
      <c r="B50" s="257"/>
      <c r="C50" s="257"/>
      <c r="D50" s="257"/>
      <c r="E50" s="257"/>
      <c r="F50" s="257"/>
      <c r="G50" s="257"/>
      <c r="H50" s="257"/>
    </row>
    <row r="51" spans="1:11">
      <c r="B51" s="87" t="s">
        <v>512</v>
      </c>
      <c r="C51" s="87" t="s">
        <v>511</v>
      </c>
    </row>
    <row r="52" spans="1:11">
      <c r="A52" s="87" t="s">
        <v>958</v>
      </c>
      <c r="B52" s="87">
        <v>1063</v>
      </c>
      <c r="C52" s="87">
        <v>60</v>
      </c>
    </row>
    <row r="53" spans="1:11">
      <c r="A53" s="87" t="s">
        <v>497</v>
      </c>
      <c r="B53" s="87">
        <f>B52*10^6/(1.055*10^9)</f>
        <v>1.0075829383886257</v>
      </c>
      <c r="C53" s="87">
        <f>C52*10^6/(1.055*10^9)</f>
        <v>5.6872037914691947E-2</v>
      </c>
    </row>
    <row r="55" spans="1:11">
      <c r="A55" s="88" t="s">
        <v>942</v>
      </c>
    </row>
    <row r="56" spans="1:11">
      <c r="A56" s="107" t="s">
        <v>963</v>
      </c>
      <c r="F56" s="108"/>
      <c r="G56" s="108"/>
      <c r="H56" s="108" t="s">
        <v>964</v>
      </c>
      <c r="I56" s="108" t="s">
        <v>965</v>
      </c>
      <c r="J56" s="108" t="s">
        <v>967</v>
      </c>
      <c r="K56" s="108" t="s">
        <v>968</v>
      </c>
    </row>
    <row r="57" spans="1:11">
      <c r="F57" s="108" t="s">
        <v>956</v>
      </c>
      <c r="G57" s="108" t="s">
        <v>196</v>
      </c>
      <c r="H57" s="108" t="s">
        <v>497</v>
      </c>
      <c r="I57" s="108" t="s">
        <v>966</v>
      </c>
      <c r="J57" s="108" t="s">
        <v>497</v>
      </c>
      <c r="K57" s="108" t="s">
        <v>966</v>
      </c>
    </row>
    <row r="58" spans="1:11">
      <c r="A58" s="87" t="s">
        <v>952</v>
      </c>
      <c r="B58" s="87">
        <v>1</v>
      </c>
      <c r="C58" s="87" t="s">
        <v>943</v>
      </c>
      <c r="D58" s="87">
        <v>43.8</v>
      </c>
      <c r="E58" s="87" t="s">
        <v>953</v>
      </c>
      <c r="F58" s="87">
        <f>D58*B58</f>
        <v>43.8</v>
      </c>
      <c r="G58" s="87">
        <f>F58/10^9</f>
        <v>4.3799999999999995E-8</v>
      </c>
    </row>
    <row r="59" spans="1:11">
      <c r="A59" s="87" t="s">
        <v>511</v>
      </c>
      <c r="B59" s="109">
        <v>3.5300000000000002E-3</v>
      </c>
      <c r="C59" s="87" t="s">
        <v>943</v>
      </c>
      <c r="K59" s="109">
        <f>B59/10^6</f>
        <v>3.53E-9</v>
      </c>
    </row>
    <row r="60" spans="1:11">
      <c r="A60" s="107" t="s">
        <v>944</v>
      </c>
    </row>
    <row r="61" spans="1:11">
      <c r="A61" s="87" t="s">
        <v>945</v>
      </c>
      <c r="B61" s="109">
        <v>1.25E-3</v>
      </c>
      <c r="C61" s="87" t="s">
        <v>949</v>
      </c>
      <c r="D61" s="87">
        <v>35.799999999999997</v>
      </c>
      <c r="E61" s="87" t="s">
        <v>954</v>
      </c>
      <c r="F61" s="87">
        <f t="shared" ref="F61:F65" si="1">D61*B61</f>
        <v>4.4749999999999998E-2</v>
      </c>
      <c r="G61" s="87">
        <f t="shared" ref="G61:G65" si="2">F61/10^9</f>
        <v>4.4750000000000001E-11</v>
      </c>
      <c r="H61" s="87">
        <v>77.099999999999994</v>
      </c>
      <c r="I61" s="87">
        <f>H61*G61</f>
        <v>3.4502249999999996E-9</v>
      </c>
      <c r="J61" s="87">
        <v>1.9000000000000001E-4</v>
      </c>
      <c r="K61" s="87">
        <f>J61*G61</f>
        <v>8.5025000000000012E-15</v>
      </c>
    </row>
    <row r="62" spans="1:11">
      <c r="A62" s="87" t="s">
        <v>946</v>
      </c>
      <c r="B62" s="109">
        <v>3.9E-2</v>
      </c>
      <c r="C62" s="87" t="s">
        <v>950</v>
      </c>
      <c r="H62" s="87">
        <f>1076*453/10^12</f>
        <v>4.8742800000000002E-7</v>
      </c>
      <c r="I62" s="109">
        <f>H62*B62</f>
        <v>1.9009692000000001E-8</v>
      </c>
    </row>
    <row r="63" spans="1:11">
      <c r="A63" s="87" t="s">
        <v>947</v>
      </c>
      <c r="B63" s="109">
        <v>6.8400000000000004E-4</v>
      </c>
      <c r="C63" s="87" t="s">
        <v>949</v>
      </c>
      <c r="D63" s="87">
        <v>32.1</v>
      </c>
      <c r="E63" s="87" t="s">
        <v>954</v>
      </c>
      <c r="F63" s="87">
        <f t="shared" si="1"/>
        <v>2.1956400000000001E-2</v>
      </c>
      <c r="G63" s="87">
        <f t="shared" si="2"/>
        <v>2.19564E-11</v>
      </c>
      <c r="H63" s="87">
        <v>74.784999999999997</v>
      </c>
      <c r="I63" s="87">
        <f t="shared" ref="I63:I65" si="3">H63*G63</f>
        <v>1.6420093739999999E-9</v>
      </c>
    </row>
    <row r="64" spans="1:11">
      <c r="A64" s="87" t="s">
        <v>948</v>
      </c>
      <c r="B64" s="109">
        <v>3.2800000000000003E-2</v>
      </c>
      <c r="C64" s="87" t="s">
        <v>951</v>
      </c>
      <c r="D64" s="87">
        <v>38.200000000000003</v>
      </c>
      <c r="E64" s="87" t="s">
        <v>955</v>
      </c>
      <c r="F64" s="87">
        <f t="shared" si="1"/>
        <v>1.2529600000000003</v>
      </c>
      <c r="G64" s="87">
        <f t="shared" si="2"/>
        <v>1.2529600000000004E-9</v>
      </c>
      <c r="H64" s="87">
        <v>56</v>
      </c>
      <c r="I64" s="87">
        <f t="shared" si="3"/>
        <v>7.0165760000000024E-8</v>
      </c>
      <c r="J64" s="87">
        <v>8.4999999999999995E-4</v>
      </c>
      <c r="K64" s="87">
        <f t="shared" ref="K64:K65" si="4">J64*G64</f>
        <v>1.0650160000000004E-12</v>
      </c>
    </row>
    <row r="65" spans="1:11">
      <c r="A65" s="87" t="s">
        <v>276</v>
      </c>
      <c r="B65" s="109">
        <v>8.3500000000000002E-4</v>
      </c>
      <c r="C65" s="87" t="s">
        <v>949</v>
      </c>
      <c r="D65" s="87">
        <v>38.6</v>
      </c>
      <c r="E65" s="87" t="s">
        <v>954</v>
      </c>
      <c r="F65" s="87">
        <f t="shared" si="1"/>
        <v>3.2231000000000003E-2</v>
      </c>
      <c r="G65" s="87">
        <f t="shared" si="2"/>
        <v>3.2231000000000004E-11</v>
      </c>
      <c r="H65" s="87">
        <v>83.1</v>
      </c>
      <c r="I65" s="87">
        <f t="shared" si="3"/>
        <v>2.6783961000000002E-9</v>
      </c>
      <c r="J65" s="87">
        <v>2.8400000000000001E-3</v>
      </c>
      <c r="K65" s="87">
        <f t="shared" si="4"/>
        <v>9.1536040000000013E-14</v>
      </c>
    </row>
    <row r="67" spans="1:11">
      <c r="I67" s="87">
        <f>SUM(I61:I65)</f>
        <v>9.6946082474000014E-8</v>
      </c>
      <c r="K67" s="109">
        <f>SUM(K59:K65)</f>
        <v>3.5311650545400002E-9</v>
      </c>
    </row>
    <row r="68" spans="1:11">
      <c r="H68" s="87" t="s">
        <v>957</v>
      </c>
      <c r="I68" s="87">
        <f>I67/$G$58</f>
        <v>2.2133808784018272</v>
      </c>
      <c r="K68" s="87">
        <f>K67/$G$58</f>
        <v>8.0620206724657542E-2</v>
      </c>
    </row>
    <row r="70" spans="1:11">
      <c r="A70" s="88" t="s">
        <v>959</v>
      </c>
    </row>
    <row r="71" spans="1:11">
      <c r="B71" s="87" t="s">
        <v>512</v>
      </c>
      <c r="C71" s="87" t="s">
        <v>511</v>
      </c>
    </row>
    <row r="72" spans="1:11">
      <c r="B72" s="87" t="s">
        <v>497</v>
      </c>
      <c r="C72" s="87" t="s">
        <v>497</v>
      </c>
    </row>
    <row r="73" spans="1:11">
      <c r="A73" s="87" t="s">
        <v>960</v>
      </c>
      <c r="B73" s="110">
        <f>$L$6</f>
        <v>2.4880101605595888</v>
      </c>
      <c r="C73" s="111">
        <f>$J$6</f>
        <v>1.8861486550527932E-2</v>
      </c>
    </row>
    <row r="74" spans="1:11">
      <c r="A74" s="87" t="s">
        <v>961</v>
      </c>
      <c r="B74" s="111">
        <f>$B$53</f>
        <v>1.0075829383886257</v>
      </c>
      <c r="C74" s="111">
        <f>$C$53</f>
        <v>5.6872037914691947E-2</v>
      </c>
    </row>
    <row r="75" spans="1:11">
      <c r="A75" s="87" t="s">
        <v>969</v>
      </c>
      <c r="B75" s="111">
        <f>$I$68</f>
        <v>2.2133808784018272</v>
      </c>
      <c r="C75" s="111">
        <f>$K$68</f>
        <v>8.0620206724657542E-2</v>
      </c>
    </row>
    <row r="76" spans="1:11">
      <c r="A76" s="87" t="s">
        <v>970</v>
      </c>
    </row>
  </sheetData>
  <mergeCells count="5">
    <mergeCell ref="A8:A11"/>
    <mergeCell ref="A12:A16"/>
    <mergeCell ref="B26:E26"/>
    <mergeCell ref="A50:H50"/>
    <mergeCell ref="A1:H1"/>
  </mergeCells>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I46"/>
  <sheetViews>
    <sheetView zoomScale="90" workbookViewId="0">
      <selection sqref="A1:XFD1048576"/>
    </sheetView>
  </sheetViews>
  <sheetFormatPr defaultColWidth="9.140625" defaultRowHeight="12.75"/>
  <cols>
    <col min="1" max="1" width="25.85546875" style="9" customWidth="1"/>
    <col min="2" max="2" width="9.140625" style="9"/>
    <col min="3" max="3" width="42.85546875" style="9" bestFit="1" customWidth="1"/>
    <col min="4" max="4" width="16.140625" style="9" customWidth="1"/>
    <col min="5" max="6" width="9.140625" style="9"/>
    <col min="7" max="7" width="26.5703125" style="9" customWidth="1"/>
    <col min="8" max="8" width="9.140625" style="9"/>
    <col min="9" max="9" width="11" style="9" customWidth="1"/>
    <col min="10" max="16384" width="9.140625" style="9"/>
  </cols>
  <sheetData>
    <row r="1" spans="1:9" ht="25.5">
      <c r="A1" s="118" t="s">
        <v>6</v>
      </c>
      <c r="B1" s="118" t="s">
        <v>7</v>
      </c>
      <c r="C1" s="118" t="s">
        <v>8</v>
      </c>
      <c r="D1" s="119" t="s">
        <v>9</v>
      </c>
    </row>
    <row r="2" spans="1:9">
      <c r="A2" s="9" t="s">
        <v>10</v>
      </c>
      <c r="B2" s="112" t="s">
        <v>259</v>
      </c>
      <c r="C2" s="9" t="s">
        <v>260</v>
      </c>
      <c r="D2" s="9">
        <f>Conv!$C$11</f>
        <v>5.8250000000000002</v>
      </c>
    </row>
    <row r="3" spans="1:9">
      <c r="A3" s="9" t="s">
        <v>11</v>
      </c>
      <c r="B3" s="112" t="s">
        <v>261</v>
      </c>
      <c r="C3" s="9" t="s">
        <v>262</v>
      </c>
      <c r="D3" s="9">
        <f>Conv!$C$11</f>
        <v>5.8250000000000002</v>
      </c>
      <c r="H3" s="37" t="s">
        <v>12</v>
      </c>
      <c r="I3" s="37" t="s">
        <v>13</v>
      </c>
    </row>
    <row r="4" spans="1:9">
      <c r="A4" s="9" t="s">
        <v>14</v>
      </c>
      <c r="B4" s="112" t="s">
        <v>263</v>
      </c>
      <c r="C4" s="9" t="s">
        <v>264</v>
      </c>
      <c r="D4" s="9">
        <f>Conv!$C$11</f>
        <v>5.8250000000000002</v>
      </c>
      <c r="G4" s="9" t="s">
        <v>15</v>
      </c>
      <c r="H4" s="113">
        <v>5.0000000000000001E-3</v>
      </c>
      <c r="I4" s="37" t="s">
        <v>16</v>
      </c>
    </row>
    <row r="5" spans="1:9">
      <c r="A5" s="9" t="s">
        <v>17</v>
      </c>
      <c r="B5" s="112" t="s">
        <v>255</v>
      </c>
      <c r="C5" s="9" t="s">
        <v>256</v>
      </c>
      <c r="D5" s="9">
        <f>Conv!C20</f>
        <v>5.2530000000000001</v>
      </c>
      <c r="G5" s="9" t="s">
        <v>18</v>
      </c>
      <c r="H5" s="37" t="s">
        <v>19</v>
      </c>
      <c r="I5" s="37" t="s">
        <v>16</v>
      </c>
    </row>
    <row r="6" spans="1:9">
      <c r="A6" s="9" t="s">
        <v>20</v>
      </c>
      <c r="B6" s="112" t="s">
        <v>257</v>
      </c>
      <c r="C6" s="9" t="s">
        <v>258</v>
      </c>
      <c r="D6" s="9">
        <f>Conv!C22</f>
        <v>5.15</v>
      </c>
      <c r="G6" s="9" t="s">
        <v>21</v>
      </c>
      <c r="H6" s="37" t="s">
        <v>22</v>
      </c>
      <c r="I6" s="37" t="s">
        <v>23</v>
      </c>
    </row>
    <row r="7" spans="1:9">
      <c r="A7" s="9" t="s">
        <v>266</v>
      </c>
      <c r="B7" s="112" t="s">
        <v>265</v>
      </c>
      <c r="C7" s="9" t="s">
        <v>266</v>
      </c>
      <c r="D7" s="9">
        <f>Conv!C15</f>
        <v>5.67</v>
      </c>
      <c r="G7" s="9" t="s">
        <v>24</v>
      </c>
      <c r="H7" s="37" t="s">
        <v>22</v>
      </c>
      <c r="I7" s="37" t="s">
        <v>25</v>
      </c>
    </row>
    <row r="8" spans="1:9">
      <c r="A8" s="9" t="s">
        <v>26</v>
      </c>
      <c r="B8" s="112" t="s">
        <v>267</v>
      </c>
      <c r="C8" s="9" t="s">
        <v>268</v>
      </c>
      <c r="D8" s="9">
        <f>Conv!C17</f>
        <v>5.67</v>
      </c>
      <c r="G8" s="9" t="s">
        <v>27</v>
      </c>
      <c r="H8" s="37" t="s">
        <v>28</v>
      </c>
      <c r="I8" s="37" t="s">
        <v>29</v>
      </c>
    </row>
    <row r="9" spans="1:9">
      <c r="A9" s="9" t="s">
        <v>269</v>
      </c>
      <c r="B9" s="112" t="s">
        <v>269</v>
      </c>
      <c r="C9" s="9" t="s">
        <v>269</v>
      </c>
      <c r="D9" s="9">
        <f>Conv!C45</f>
        <v>3.5569999999999999</v>
      </c>
    </row>
    <row r="10" spans="1:9">
      <c r="A10" s="9" t="s">
        <v>271</v>
      </c>
      <c r="B10" s="112" t="s">
        <v>270</v>
      </c>
      <c r="C10" s="9" t="s">
        <v>271</v>
      </c>
      <c r="D10" s="9">
        <f>Conv!C42</f>
        <v>2.7467999999999999</v>
      </c>
    </row>
    <row r="11" spans="1:9">
      <c r="A11" s="9" t="s">
        <v>30</v>
      </c>
      <c r="B11" s="112" t="s">
        <v>272</v>
      </c>
      <c r="C11" s="9" t="s">
        <v>273</v>
      </c>
      <c r="D11" s="9">
        <f>Conv!C26</f>
        <v>5.6909999999999998</v>
      </c>
    </row>
    <row r="12" spans="1:9">
      <c r="A12" s="9" t="s">
        <v>31</v>
      </c>
      <c r="B12" s="112" t="s">
        <v>274</v>
      </c>
      <c r="C12" s="9" t="s">
        <v>275</v>
      </c>
      <c r="D12" s="9">
        <f>Conv!$C$33</f>
        <v>6.2869999999999999</v>
      </c>
    </row>
    <row r="13" spans="1:9">
      <c r="A13" s="9" t="s">
        <v>32</v>
      </c>
      <c r="B13" s="112" t="s">
        <v>276</v>
      </c>
      <c r="C13" s="9" t="s">
        <v>277</v>
      </c>
      <c r="D13" s="9">
        <f>Conv!$C$33</f>
        <v>6.2869999999999999</v>
      </c>
    </row>
    <row r="14" spans="1:9">
      <c r="A14" s="9" t="s">
        <v>33</v>
      </c>
      <c r="B14" s="112" t="s">
        <v>34</v>
      </c>
      <c r="C14" s="120" t="s">
        <v>35</v>
      </c>
    </row>
    <row r="15" spans="1:9">
      <c r="A15" s="9" t="s">
        <v>36</v>
      </c>
      <c r="B15" s="112" t="s">
        <v>37</v>
      </c>
      <c r="C15" s="120" t="s">
        <v>38</v>
      </c>
    </row>
    <row r="16" spans="1:9">
      <c r="A16" s="9" t="s">
        <v>39</v>
      </c>
      <c r="B16" s="112" t="s">
        <v>40</v>
      </c>
      <c r="C16" s="120" t="s">
        <v>41</v>
      </c>
    </row>
    <row r="17" spans="1:8">
      <c r="A17" s="9" t="s">
        <v>42</v>
      </c>
      <c r="B17" s="112" t="s">
        <v>43</v>
      </c>
      <c r="C17" s="120" t="s">
        <v>44</v>
      </c>
    </row>
    <row r="18" spans="1:8">
      <c r="A18" s="9" t="s">
        <v>45</v>
      </c>
      <c r="B18" s="112" t="s">
        <v>46</v>
      </c>
      <c r="C18" s="120" t="s">
        <v>47</v>
      </c>
    </row>
    <row r="22" spans="1:8">
      <c r="A22" s="10" t="s">
        <v>48</v>
      </c>
      <c r="B22" s="22" t="s">
        <v>49</v>
      </c>
      <c r="C22" s="10" t="s">
        <v>50</v>
      </c>
      <c r="D22" s="22" t="s">
        <v>51</v>
      </c>
      <c r="E22" s="22" t="s">
        <v>49</v>
      </c>
      <c r="F22" s="22" t="s">
        <v>52</v>
      </c>
      <c r="G22" s="22" t="s">
        <v>53</v>
      </c>
      <c r="H22" s="22" t="s">
        <v>49</v>
      </c>
    </row>
    <row r="23" spans="1:8">
      <c r="A23" s="5" t="s">
        <v>54</v>
      </c>
      <c r="B23" s="114">
        <v>3</v>
      </c>
      <c r="C23" s="85" t="s">
        <v>55</v>
      </c>
      <c r="D23" s="37">
        <v>5</v>
      </c>
      <c r="E23" s="37">
        <v>9</v>
      </c>
      <c r="F23" s="37" t="s">
        <v>56</v>
      </c>
      <c r="G23" s="50" t="s">
        <v>57</v>
      </c>
    </row>
    <row r="24" spans="1:8">
      <c r="A24" s="5" t="s">
        <v>58</v>
      </c>
      <c r="B24" s="114">
        <v>6</v>
      </c>
      <c r="C24" s="1" t="s">
        <v>59</v>
      </c>
      <c r="D24" s="37">
        <v>1</v>
      </c>
      <c r="E24" s="37" t="s">
        <v>60</v>
      </c>
      <c r="F24" s="37" t="s">
        <v>61</v>
      </c>
      <c r="G24" s="115" t="s">
        <v>62</v>
      </c>
      <c r="H24" s="37">
        <f>VLOOKUP(G24,$A$23:$B$31,2)</f>
        <v>1</v>
      </c>
    </row>
    <row r="25" spans="1:8">
      <c r="A25" s="5" t="s">
        <v>63</v>
      </c>
      <c r="B25" s="114">
        <v>2</v>
      </c>
      <c r="C25" s="1" t="s">
        <v>64</v>
      </c>
      <c r="D25" s="37">
        <v>2</v>
      </c>
      <c r="E25" s="37" t="s">
        <v>65</v>
      </c>
      <c r="F25" s="37" t="s">
        <v>66</v>
      </c>
      <c r="G25" s="116" t="s">
        <v>63</v>
      </c>
      <c r="H25" s="37">
        <f>VLOOKUP(G25,$A$23:$B$31,2)</f>
        <v>2</v>
      </c>
    </row>
    <row r="26" spans="1:8">
      <c r="A26" s="5" t="s">
        <v>67</v>
      </c>
      <c r="B26" s="114">
        <v>8</v>
      </c>
      <c r="C26" s="1" t="s">
        <v>68</v>
      </c>
      <c r="D26" s="37">
        <v>3</v>
      </c>
      <c r="E26" s="37" t="s">
        <v>69</v>
      </c>
      <c r="F26" s="37" t="s">
        <v>70</v>
      </c>
      <c r="G26" s="116" t="s">
        <v>71</v>
      </c>
      <c r="H26" s="37">
        <f>VLOOKUP(G26,$A$23:$B$31,2)</f>
        <v>4</v>
      </c>
    </row>
    <row r="27" spans="1:8">
      <c r="A27" s="12" t="s">
        <v>62</v>
      </c>
      <c r="B27" s="114">
        <v>1</v>
      </c>
      <c r="C27" s="1" t="s">
        <v>72</v>
      </c>
      <c r="D27" s="37">
        <v>2</v>
      </c>
      <c r="E27" s="37" t="s">
        <v>65</v>
      </c>
      <c r="F27" s="37" t="s">
        <v>73</v>
      </c>
      <c r="G27" s="116" t="s">
        <v>67</v>
      </c>
      <c r="H27" s="37">
        <f>VLOOKUP(G27,$A$23:$B$31,2)</f>
        <v>8</v>
      </c>
    </row>
    <row r="28" spans="1:8">
      <c r="A28" s="4" t="s">
        <v>74</v>
      </c>
      <c r="B28" s="114">
        <v>9</v>
      </c>
      <c r="C28" s="1" t="s">
        <v>75</v>
      </c>
      <c r="D28" s="37">
        <v>3</v>
      </c>
      <c r="E28" s="37" t="s">
        <v>69</v>
      </c>
      <c r="F28" s="37" t="s">
        <v>76</v>
      </c>
      <c r="G28" s="117" t="s">
        <v>74</v>
      </c>
      <c r="H28" s="37">
        <f>VLOOKUP(G28,$A$23:$B$31,2)</f>
        <v>9</v>
      </c>
    </row>
    <row r="29" spans="1:8">
      <c r="A29" s="5" t="s">
        <v>77</v>
      </c>
      <c r="B29" s="114">
        <v>5</v>
      </c>
      <c r="C29" s="1" t="s">
        <v>78</v>
      </c>
      <c r="D29" s="37">
        <v>4</v>
      </c>
      <c r="E29" s="37">
        <v>8</v>
      </c>
      <c r="F29" s="37" t="s">
        <v>79</v>
      </c>
      <c r="G29" s="1"/>
    </row>
    <row r="30" spans="1:8">
      <c r="A30" s="5" t="s">
        <v>71</v>
      </c>
      <c r="B30" s="114">
        <v>4</v>
      </c>
      <c r="C30" s="1" t="s">
        <v>80</v>
      </c>
      <c r="D30" s="37">
        <v>5</v>
      </c>
      <c r="E30" s="37">
        <v>9</v>
      </c>
      <c r="F30" s="37" t="s">
        <v>81</v>
      </c>
      <c r="G30" s="50" t="s">
        <v>82</v>
      </c>
    </row>
    <row r="31" spans="1:8">
      <c r="A31" s="5" t="s">
        <v>83</v>
      </c>
      <c r="B31" s="114">
        <v>7</v>
      </c>
      <c r="C31" s="1" t="s">
        <v>84</v>
      </c>
      <c r="D31" s="37">
        <v>3</v>
      </c>
      <c r="E31" s="37" t="s">
        <v>69</v>
      </c>
      <c r="F31" s="37" t="s">
        <v>85</v>
      </c>
      <c r="G31" s="116" t="s">
        <v>83</v>
      </c>
      <c r="H31" s="37">
        <f>VLOOKUP(G31,$A$23:$B$31,2)</f>
        <v>7</v>
      </c>
    </row>
    <row r="32" spans="1:8">
      <c r="C32" s="1" t="s">
        <v>74</v>
      </c>
      <c r="D32" s="37">
        <v>5</v>
      </c>
      <c r="E32" s="37">
        <v>9</v>
      </c>
      <c r="F32" s="37" t="s">
        <v>86</v>
      </c>
      <c r="G32" s="116" t="s">
        <v>67</v>
      </c>
      <c r="H32" s="37">
        <f>VLOOKUP(G32,$A$23:$B$31,2)</f>
        <v>8</v>
      </c>
    </row>
    <row r="33" spans="1:9">
      <c r="C33" s="1" t="s">
        <v>87</v>
      </c>
      <c r="D33" s="37">
        <v>1</v>
      </c>
      <c r="E33" s="37" t="s">
        <v>60</v>
      </c>
      <c r="G33" s="117" t="s">
        <v>74</v>
      </c>
      <c r="H33" s="37">
        <f>VLOOKUP(G33,$A$23:$B$31,2)</f>
        <v>9</v>
      </c>
    </row>
    <row r="34" spans="1:9">
      <c r="G34" s="1"/>
    </row>
    <row r="35" spans="1:9">
      <c r="G35" s="50" t="s">
        <v>88</v>
      </c>
      <c r="H35" s="37" t="s">
        <v>89</v>
      </c>
      <c r="I35" s="37" t="s">
        <v>49</v>
      </c>
    </row>
    <row r="36" spans="1:9">
      <c r="F36" s="37" t="s">
        <v>90</v>
      </c>
      <c r="G36" s="85" t="s">
        <v>91</v>
      </c>
      <c r="H36" s="37">
        <v>1</v>
      </c>
      <c r="I36" s="37">
        <v>1</v>
      </c>
    </row>
    <row r="37" spans="1:9">
      <c r="A37" s="252" t="s">
        <v>51</v>
      </c>
      <c r="B37" s="252"/>
      <c r="F37" s="37" t="s">
        <v>92</v>
      </c>
      <c r="G37" s="85" t="s">
        <v>93</v>
      </c>
      <c r="H37" s="37">
        <v>5</v>
      </c>
      <c r="I37" s="37">
        <v>2</v>
      </c>
    </row>
    <row r="38" spans="1:9">
      <c r="A38" s="4" t="s">
        <v>94</v>
      </c>
      <c r="B38" s="37" t="s">
        <v>332</v>
      </c>
      <c r="F38" s="37" t="s">
        <v>95</v>
      </c>
      <c r="G38" s="85" t="s">
        <v>96</v>
      </c>
      <c r="H38" s="37">
        <v>5</v>
      </c>
      <c r="I38" s="37">
        <v>5</v>
      </c>
    </row>
    <row r="39" spans="1:9">
      <c r="A39" s="4" t="s">
        <v>97</v>
      </c>
      <c r="B39" s="37" t="s">
        <v>98</v>
      </c>
      <c r="F39" s="37" t="s">
        <v>99</v>
      </c>
      <c r="G39" s="85" t="s">
        <v>100</v>
      </c>
      <c r="H39" s="37">
        <v>7</v>
      </c>
      <c r="I39" s="37">
        <v>6</v>
      </c>
    </row>
    <row r="40" spans="1:9">
      <c r="A40" s="4" t="s">
        <v>101</v>
      </c>
      <c r="B40" s="37" t="s">
        <v>102</v>
      </c>
      <c r="F40" s="37" t="s">
        <v>103</v>
      </c>
      <c r="G40" s="85" t="s">
        <v>104</v>
      </c>
      <c r="H40" s="37">
        <v>1</v>
      </c>
      <c r="I40" s="37">
        <v>7</v>
      </c>
    </row>
    <row r="41" spans="1:9">
      <c r="A41" s="4" t="s">
        <v>105</v>
      </c>
      <c r="B41" s="37" t="s">
        <v>106</v>
      </c>
      <c r="F41" s="37" t="s">
        <v>107</v>
      </c>
      <c r="G41" s="85" t="s">
        <v>108</v>
      </c>
      <c r="H41" s="37">
        <v>2</v>
      </c>
      <c r="I41" s="37">
        <v>9</v>
      </c>
    </row>
    <row r="42" spans="1:9">
      <c r="A42" s="4" t="s">
        <v>109</v>
      </c>
      <c r="B42" s="37" t="s">
        <v>110</v>
      </c>
      <c r="F42" s="37" t="s">
        <v>111</v>
      </c>
      <c r="G42" s="85" t="s">
        <v>112</v>
      </c>
      <c r="H42" s="37">
        <v>5</v>
      </c>
    </row>
    <row r="43" spans="1:9">
      <c r="A43" s="4" t="s">
        <v>113</v>
      </c>
      <c r="B43" s="37" t="s">
        <v>114</v>
      </c>
      <c r="F43" s="37" t="s">
        <v>115</v>
      </c>
      <c r="G43" s="85" t="s">
        <v>116</v>
      </c>
      <c r="H43" s="37">
        <v>6</v>
      </c>
    </row>
    <row r="44" spans="1:9">
      <c r="A44" s="4" t="s">
        <v>117</v>
      </c>
      <c r="B44" s="37" t="s">
        <v>330</v>
      </c>
      <c r="F44" s="37" t="s">
        <v>118</v>
      </c>
      <c r="G44" s="85" t="s">
        <v>119</v>
      </c>
      <c r="H44" s="37">
        <v>7</v>
      </c>
    </row>
    <row r="45" spans="1:9">
      <c r="F45" s="37" t="s">
        <v>120</v>
      </c>
      <c r="G45" s="85" t="s">
        <v>121</v>
      </c>
      <c r="H45" s="37">
        <v>9</v>
      </c>
    </row>
    <row r="46" spans="1:9">
      <c r="F46" s="37" t="s">
        <v>120</v>
      </c>
      <c r="G46" s="85" t="s">
        <v>122</v>
      </c>
      <c r="H46" s="37">
        <v>9</v>
      </c>
    </row>
  </sheetData>
  <mergeCells count="1">
    <mergeCell ref="A37:B37"/>
  </mergeCells>
  <phoneticPr fontId="21" type="noConversion"/>
  <pageMargins left="0.75" right="0.75" top="1" bottom="1" header="0.5" footer="0.5"/>
  <pageSetup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dimension ref="B1:Q73"/>
  <sheetViews>
    <sheetView topLeftCell="A22" zoomScale="75" workbookViewId="0">
      <selection activeCell="A22" sqref="A1:XFD1048576"/>
    </sheetView>
  </sheetViews>
  <sheetFormatPr defaultColWidth="9.140625" defaultRowHeight="12.75"/>
  <cols>
    <col min="1" max="1" width="9.140625" style="9"/>
    <col min="2" max="2" width="52.140625" style="9" bestFit="1" customWidth="1"/>
    <col min="3" max="7" width="9.140625" style="9"/>
    <col min="8" max="8" width="10" style="9" bestFit="1" customWidth="1"/>
    <col min="9" max="9" width="10.5703125" style="9" bestFit="1" customWidth="1"/>
    <col min="10" max="10" width="10.85546875" style="9" bestFit="1" customWidth="1"/>
    <col min="11" max="16384" width="9.140625" style="9"/>
  </cols>
  <sheetData>
    <row r="1" spans="2:17" ht="15.75">
      <c r="B1" s="59" t="s">
        <v>408</v>
      </c>
      <c r="C1" s="121"/>
      <c r="D1" s="121"/>
      <c r="E1" s="121"/>
      <c r="F1" s="121"/>
      <c r="G1" s="121"/>
      <c r="H1" s="121"/>
      <c r="I1" s="121"/>
      <c r="J1" s="121"/>
    </row>
    <row r="2" spans="2:17">
      <c r="B2" s="121"/>
      <c r="C2" s="121"/>
      <c r="D2" s="121"/>
      <c r="E2" s="121"/>
      <c r="F2" s="121"/>
      <c r="G2" s="121"/>
      <c r="H2" s="121"/>
      <c r="I2" s="121"/>
      <c r="J2" s="121"/>
    </row>
    <row r="3" spans="2:17" ht="12" customHeight="1">
      <c r="B3" s="10" t="s">
        <v>409</v>
      </c>
      <c r="D3" s="121"/>
      <c r="E3" s="121"/>
      <c r="F3" s="121"/>
      <c r="G3" s="121"/>
      <c r="H3" s="121"/>
      <c r="I3" s="121"/>
      <c r="J3" s="121"/>
    </row>
    <row r="4" spans="2:17" ht="12" customHeight="1">
      <c r="B4" s="137" t="s">
        <v>410</v>
      </c>
      <c r="D4" s="121"/>
      <c r="E4" s="121"/>
      <c r="F4" s="121"/>
      <c r="G4" s="121"/>
      <c r="H4" s="121" t="s">
        <v>411</v>
      </c>
      <c r="I4" s="121">
        <v>42</v>
      </c>
      <c r="J4" s="121" t="s">
        <v>412</v>
      </c>
    </row>
    <row r="5" spans="2:17" ht="12" customHeight="1">
      <c r="B5" s="137" t="s">
        <v>413</v>
      </c>
      <c r="D5" s="121"/>
      <c r="E5" s="121"/>
      <c r="F5" s="121"/>
      <c r="G5" s="121"/>
      <c r="H5" s="122" t="s">
        <v>414</v>
      </c>
      <c r="I5" s="122">
        <v>1.0550559999999999E-6</v>
      </c>
      <c r="J5" s="9" t="s">
        <v>196</v>
      </c>
    </row>
    <row r="6" spans="2:17" ht="12" customHeight="1">
      <c r="B6" s="137" t="s">
        <v>415</v>
      </c>
      <c r="C6" s="137" t="s">
        <v>416</v>
      </c>
      <c r="D6" s="137" t="s">
        <v>417</v>
      </c>
      <c r="E6" s="121"/>
      <c r="F6" s="121"/>
      <c r="G6" s="121"/>
      <c r="H6" s="121" t="s">
        <v>418</v>
      </c>
      <c r="I6" s="121">
        <v>1055</v>
      </c>
      <c r="J6" s="9" t="s">
        <v>196</v>
      </c>
    </row>
    <row r="7" spans="2:17" ht="12" customHeight="1">
      <c r="B7" s="121" t="s">
        <v>419</v>
      </c>
      <c r="C7" s="121">
        <v>6.6360000000000001</v>
      </c>
      <c r="D7" s="123">
        <f t="shared" ref="D7:D18" si="0">C7/$I$4</f>
        <v>0.158</v>
      </c>
      <c r="E7" s="121"/>
      <c r="F7" s="121"/>
      <c r="G7" s="121"/>
      <c r="H7" s="121" t="s">
        <v>420</v>
      </c>
      <c r="I7" s="121">
        <v>3412</v>
      </c>
      <c r="J7" s="121" t="s">
        <v>421</v>
      </c>
    </row>
    <row r="8" spans="2:17" ht="12" customHeight="1">
      <c r="B8" s="121" t="s">
        <v>422</v>
      </c>
      <c r="C8" s="121">
        <v>5.048</v>
      </c>
      <c r="D8" s="123">
        <f t="shared" si="0"/>
        <v>0.12019047619047619</v>
      </c>
      <c r="E8" s="121"/>
      <c r="F8" s="121"/>
      <c r="G8" s="121"/>
      <c r="H8" s="121"/>
      <c r="I8" s="121"/>
      <c r="J8" s="121"/>
    </row>
    <row r="9" spans="2:17" ht="12" customHeight="1">
      <c r="B9" s="121" t="s">
        <v>423</v>
      </c>
      <c r="C9" s="121">
        <v>4.3259999999999996</v>
      </c>
      <c r="D9" s="123">
        <f t="shared" si="0"/>
        <v>0.10299999999999999</v>
      </c>
      <c r="E9" s="121"/>
      <c r="F9" s="121"/>
      <c r="G9" s="121"/>
      <c r="H9" s="121"/>
      <c r="I9" s="121"/>
      <c r="J9" s="121"/>
    </row>
    <row r="10" spans="2:17" ht="12" customHeight="1">
      <c r="B10" s="121" t="s">
        <v>424</v>
      </c>
      <c r="C10" s="121">
        <v>4.13</v>
      </c>
      <c r="D10" s="123">
        <f t="shared" si="0"/>
        <v>9.8333333333333328E-2</v>
      </c>
      <c r="E10" s="121"/>
      <c r="F10" s="121"/>
      <c r="G10" s="121"/>
      <c r="H10" s="138" t="s">
        <v>425</v>
      </c>
      <c r="I10" s="124"/>
      <c r="J10" s="124"/>
      <c r="K10" s="125"/>
      <c r="L10" s="125"/>
      <c r="M10" s="125"/>
    </row>
    <row r="11" spans="2:17" ht="12" customHeight="1">
      <c r="B11" s="121" t="s">
        <v>426</v>
      </c>
      <c r="C11" s="121">
        <v>5.8250000000000002</v>
      </c>
      <c r="D11" s="123">
        <f t="shared" si="0"/>
        <v>0.1386904761904762</v>
      </c>
      <c r="E11" s="121"/>
      <c r="F11" s="121"/>
      <c r="G11" s="121"/>
      <c r="H11" s="124" t="s">
        <v>897</v>
      </c>
      <c r="I11" s="124"/>
      <c r="J11" s="124"/>
      <c r="K11" s="125"/>
      <c r="L11" s="125"/>
      <c r="M11" s="125"/>
    </row>
    <row r="12" spans="2:17" ht="12" customHeight="1">
      <c r="B12" s="121" t="s">
        <v>427</v>
      </c>
      <c r="C12" s="121">
        <v>3.0819999999999999</v>
      </c>
      <c r="D12" s="123">
        <f t="shared" si="0"/>
        <v>7.338095238095238E-2</v>
      </c>
      <c r="E12" s="121"/>
      <c r="F12" s="121"/>
      <c r="G12" s="121"/>
      <c r="H12" s="124" t="s">
        <v>531</v>
      </c>
      <c r="I12" s="124"/>
      <c r="J12" s="124"/>
      <c r="K12" s="125"/>
      <c r="L12" s="125"/>
      <c r="M12" s="125"/>
    </row>
    <row r="13" spans="2:17" ht="12" customHeight="1">
      <c r="B13" s="121" t="s">
        <v>428</v>
      </c>
      <c r="C13" s="121">
        <v>3.3079999999999998</v>
      </c>
      <c r="D13" s="123">
        <f t="shared" si="0"/>
        <v>7.8761904761904755E-2</v>
      </c>
      <c r="E13" s="121"/>
      <c r="F13" s="121"/>
      <c r="G13" s="121"/>
      <c r="H13" s="139" t="s">
        <v>532</v>
      </c>
      <c r="I13" s="124"/>
      <c r="J13" s="124"/>
      <c r="K13" s="125"/>
      <c r="L13" s="125"/>
      <c r="M13" s="125"/>
      <c r="O13" s="126"/>
      <c r="P13" s="126"/>
      <c r="Q13" s="126"/>
    </row>
    <row r="14" spans="2:17" ht="12" customHeight="1">
      <c r="B14" s="121" t="s">
        <v>430</v>
      </c>
      <c r="C14" s="121">
        <v>3.9740000000000002</v>
      </c>
      <c r="D14" s="123">
        <f t="shared" si="0"/>
        <v>9.461904761904763E-2</v>
      </c>
      <c r="E14" s="121"/>
      <c r="F14" s="121"/>
      <c r="G14" s="121"/>
      <c r="H14" s="9" t="s">
        <v>898</v>
      </c>
      <c r="I14" s="124"/>
      <c r="J14" s="124"/>
      <c r="K14" s="125"/>
      <c r="L14" s="125"/>
      <c r="M14" s="125"/>
      <c r="O14" s="127"/>
      <c r="P14" s="127"/>
      <c r="Q14" s="127"/>
    </row>
    <row r="15" spans="2:17" ht="12" customHeight="1">
      <c r="B15" s="121" t="s">
        <v>432</v>
      </c>
      <c r="C15" s="121">
        <v>5.67</v>
      </c>
      <c r="D15" s="123">
        <f t="shared" si="0"/>
        <v>0.13500000000000001</v>
      </c>
      <c r="E15" s="121"/>
      <c r="F15" s="121"/>
      <c r="G15" s="121"/>
      <c r="H15" s="124" t="s">
        <v>429</v>
      </c>
      <c r="I15" s="124" t="s">
        <v>431</v>
      </c>
      <c r="J15" s="124" t="s">
        <v>899</v>
      </c>
      <c r="K15" s="125"/>
      <c r="L15" s="125"/>
      <c r="M15" s="125"/>
      <c r="O15" s="127"/>
      <c r="P15" s="127"/>
      <c r="Q15" s="127"/>
    </row>
    <row r="16" spans="2:17" ht="12" customHeight="1">
      <c r="B16" s="121" t="s">
        <v>433</v>
      </c>
      <c r="C16" s="121">
        <v>5.3550000000000004</v>
      </c>
      <c r="D16" s="123">
        <f t="shared" si="0"/>
        <v>0.1275</v>
      </c>
      <c r="E16" s="121"/>
      <c r="F16" s="121"/>
      <c r="G16" s="121"/>
      <c r="H16" s="13" t="s">
        <v>900</v>
      </c>
      <c r="I16" s="13">
        <v>53.622999999999998</v>
      </c>
      <c r="J16" s="128">
        <f>$I$38/I16</f>
        <v>1.7155138653189863</v>
      </c>
      <c r="K16" s="125"/>
      <c r="L16" s="125"/>
      <c r="M16" s="125"/>
      <c r="O16" s="127"/>
      <c r="P16" s="127"/>
      <c r="Q16" s="127"/>
    </row>
    <row r="17" spans="2:17" ht="12" customHeight="1">
      <c r="B17" s="121" t="s">
        <v>434</v>
      </c>
      <c r="C17" s="121">
        <v>5.67</v>
      </c>
      <c r="D17" s="123">
        <f t="shared" si="0"/>
        <v>0.13500000000000001</v>
      </c>
      <c r="E17" s="121"/>
      <c r="F17" s="121"/>
      <c r="G17" s="121"/>
      <c r="H17" s="13" t="s">
        <v>901</v>
      </c>
      <c r="I17" s="13">
        <v>55.524999999999999</v>
      </c>
      <c r="J17" s="128">
        <f t="shared" ref="J17:J45" si="1">$I$38/I17</f>
        <v>1.6567492120666367</v>
      </c>
      <c r="K17" s="125"/>
      <c r="L17" s="125"/>
      <c r="M17" s="125"/>
      <c r="O17" s="127"/>
      <c r="P17" s="127"/>
      <c r="Q17" s="127"/>
    </row>
    <row r="18" spans="2:17" ht="12" customHeight="1">
      <c r="B18" s="121" t="s">
        <v>435</v>
      </c>
      <c r="C18" s="121">
        <v>6.0650000000000004</v>
      </c>
      <c r="D18" s="123">
        <f t="shared" si="0"/>
        <v>0.14440476190476192</v>
      </c>
      <c r="E18" s="121"/>
      <c r="F18" s="121"/>
      <c r="G18" s="121"/>
      <c r="H18" s="13" t="s">
        <v>902</v>
      </c>
      <c r="I18" s="13">
        <v>57.302</v>
      </c>
      <c r="J18" s="128">
        <f t="shared" si="1"/>
        <v>1.6053715402603748</v>
      </c>
      <c r="K18" s="125"/>
      <c r="L18" s="125"/>
      <c r="M18" s="125"/>
      <c r="O18" s="127"/>
      <c r="P18" s="127"/>
      <c r="Q18" s="127"/>
    </row>
    <row r="19" spans="2:17" ht="12" customHeight="1">
      <c r="B19" s="130" t="s">
        <v>436</v>
      </c>
      <c r="C19" s="121"/>
      <c r="D19" s="123"/>
      <c r="E19" s="121"/>
      <c r="F19" s="121"/>
      <c r="G19" s="121"/>
      <c r="H19" s="13" t="s">
        <v>903</v>
      </c>
      <c r="I19" s="13">
        <v>58.457999999999998</v>
      </c>
      <c r="J19" s="128">
        <f t="shared" si="1"/>
        <v>1.5736255089123816</v>
      </c>
      <c r="K19" s="125"/>
      <c r="L19" s="125"/>
      <c r="M19" s="125"/>
      <c r="O19" s="127"/>
      <c r="P19" s="127"/>
      <c r="Q19" s="127"/>
    </row>
    <row r="20" spans="2:17" ht="12" customHeight="1">
      <c r="B20" s="121" t="s">
        <v>437</v>
      </c>
      <c r="C20" s="121">
        <v>5.2530000000000001</v>
      </c>
      <c r="D20" s="123">
        <f t="shared" ref="D20:D25" si="2">C20/$I$4</f>
        <v>0.12507142857142858</v>
      </c>
      <c r="E20" s="121"/>
      <c r="F20" s="121"/>
      <c r="G20" s="121"/>
      <c r="H20" s="13" t="s">
        <v>904</v>
      </c>
      <c r="I20" s="13">
        <v>59.948999999999998</v>
      </c>
      <c r="J20" s="128">
        <f t="shared" si="1"/>
        <v>1.5344876478339922</v>
      </c>
      <c r="K20" s="125"/>
      <c r="L20" s="125"/>
      <c r="M20" s="125"/>
      <c r="O20" s="127"/>
      <c r="P20" s="127"/>
      <c r="Q20" s="127"/>
    </row>
    <row r="21" spans="2:17" ht="12" customHeight="1">
      <c r="B21" s="121" t="s">
        <v>438</v>
      </c>
      <c r="C21" s="121">
        <v>5.15</v>
      </c>
      <c r="D21" s="123">
        <f t="shared" si="2"/>
        <v>0.12261904761904763</v>
      </c>
      <c r="E21" s="121"/>
      <c r="F21" s="121"/>
      <c r="G21" s="121"/>
      <c r="H21" s="13" t="s">
        <v>905</v>
      </c>
      <c r="I21" s="13">
        <v>62.048000000000002</v>
      </c>
      <c r="J21" s="128">
        <f t="shared" si="1"/>
        <v>1.4825780041258381</v>
      </c>
      <c r="K21" s="125"/>
      <c r="L21" s="125"/>
      <c r="M21" s="125"/>
      <c r="O21" s="127"/>
      <c r="P21" s="127"/>
      <c r="Q21" s="127"/>
    </row>
    <row r="22" spans="2:17" ht="12" customHeight="1">
      <c r="B22" s="121" t="s">
        <v>439</v>
      </c>
      <c r="C22" s="121">
        <v>5.15</v>
      </c>
      <c r="D22" s="123">
        <f t="shared" si="2"/>
        <v>0.12261904761904763</v>
      </c>
      <c r="E22" s="121"/>
      <c r="F22" s="121"/>
      <c r="G22" s="121"/>
      <c r="H22" s="13" t="s">
        <v>906</v>
      </c>
      <c r="I22" s="13">
        <v>64.459999999999994</v>
      </c>
      <c r="J22" s="128">
        <f t="shared" si="1"/>
        <v>1.4271020788085635</v>
      </c>
      <c r="K22" s="125"/>
      <c r="L22" s="125"/>
      <c r="M22" s="125"/>
      <c r="O22" s="127"/>
      <c r="P22" s="127"/>
      <c r="Q22" s="127"/>
    </row>
    <row r="23" spans="2:17" ht="12" customHeight="1">
      <c r="B23" s="121" t="s">
        <v>440</v>
      </c>
      <c r="C23" s="121">
        <v>3.5390000000000001</v>
      </c>
      <c r="D23" s="123">
        <f t="shared" si="2"/>
        <v>8.426190476190476E-2</v>
      </c>
      <c r="E23" s="121"/>
      <c r="F23" s="121"/>
      <c r="G23" s="121"/>
      <c r="H23" s="13" t="s">
        <v>907</v>
      </c>
      <c r="I23" s="13">
        <v>66.844999999999999</v>
      </c>
      <c r="J23" s="128">
        <f t="shared" si="1"/>
        <v>1.3761837085795496</v>
      </c>
      <c r="K23" s="129"/>
      <c r="L23" s="129"/>
      <c r="M23" s="125"/>
      <c r="O23" s="127"/>
      <c r="P23" s="127"/>
      <c r="Q23" s="127"/>
    </row>
    <row r="24" spans="2:17" ht="12" customHeight="1">
      <c r="B24" s="121" t="s">
        <v>441</v>
      </c>
      <c r="C24" s="121">
        <v>4.62</v>
      </c>
      <c r="D24" s="123">
        <f t="shared" si="2"/>
        <v>0.11</v>
      </c>
      <c r="E24" s="121"/>
      <c r="H24" s="13" t="s">
        <v>908</v>
      </c>
      <c r="I24" s="13">
        <v>69.069000000000003</v>
      </c>
      <c r="J24" s="128">
        <f t="shared" si="1"/>
        <v>1.3318710275232013</v>
      </c>
      <c r="K24" s="129"/>
      <c r="L24" s="129"/>
      <c r="M24" s="125"/>
      <c r="O24" s="127"/>
      <c r="P24" s="127"/>
      <c r="Q24" s="127"/>
    </row>
    <row r="25" spans="2:17" ht="12" customHeight="1">
      <c r="B25" s="121" t="s">
        <v>442</v>
      </c>
      <c r="C25" s="121">
        <v>4.62</v>
      </c>
      <c r="D25" s="123">
        <f t="shared" si="2"/>
        <v>0.11</v>
      </c>
      <c r="E25" s="121"/>
      <c r="H25" s="13" t="s">
        <v>909</v>
      </c>
      <c r="I25" s="13">
        <v>70.644000000000005</v>
      </c>
      <c r="J25" s="128">
        <f t="shared" si="1"/>
        <v>1.3021771134137363</v>
      </c>
      <c r="K25" s="129"/>
      <c r="L25" s="129"/>
      <c r="M25" s="125"/>
      <c r="O25" s="127"/>
      <c r="P25" s="127"/>
      <c r="Q25" s="127"/>
    </row>
    <row r="26" spans="2:17" ht="12" customHeight="1">
      <c r="B26" s="130" t="s">
        <v>273</v>
      </c>
      <c r="C26" s="123">
        <f>AVERAGE(C27:C29)</f>
        <v>5.6909999999999998</v>
      </c>
      <c r="D26" s="123">
        <f>AVERAGE(D27:D29)</f>
        <v>0.13550000000000001</v>
      </c>
      <c r="H26" s="13" t="s">
        <v>910</v>
      </c>
      <c r="I26" s="13">
        <v>72.325000000000003</v>
      </c>
      <c r="J26" s="128">
        <f t="shared" si="1"/>
        <v>1.2719115105426892</v>
      </c>
      <c r="K26" s="129"/>
      <c r="L26" s="129"/>
      <c r="M26" s="125"/>
      <c r="O26" s="127"/>
      <c r="P26" s="127"/>
      <c r="Q26" s="127"/>
    </row>
    <row r="27" spans="2:17" ht="12" customHeight="1">
      <c r="B27" s="121" t="s">
        <v>443</v>
      </c>
      <c r="C27" s="121">
        <v>5.2480000000000002</v>
      </c>
      <c r="D27" s="123">
        <f t="shared" ref="D27:D40" si="3">C27/$I$4</f>
        <v>0.12495238095238095</v>
      </c>
      <c r="E27" s="121"/>
      <c r="H27" s="13" t="s">
        <v>911</v>
      </c>
      <c r="I27" s="13">
        <v>73.864999999999995</v>
      </c>
      <c r="J27" s="128">
        <f t="shared" si="1"/>
        <v>1.2453936235023355</v>
      </c>
      <c r="K27" s="129"/>
      <c r="L27" s="129"/>
      <c r="M27" s="125"/>
      <c r="O27" s="127"/>
      <c r="P27" s="127"/>
      <c r="Q27" s="127"/>
    </row>
    <row r="28" spans="2:17" ht="12" customHeight="1">
      <c r="B28" s="121" t="s">
        <v>444</v>
      </c>
      <c r="C28" s="121">
        <v>5.8250000000000002</v>
      </c>
      <c r="D28" s="123">
        <f t="shared" si="3"/>
        <v>0.1386904761904762</v>
      </c>
      <c r="E28" s="121"/>
      <c r="H28" s="13" t="s">
        <v>912</v>
      </c>
      <c r="I28" s="13">
        <v>75.406000000000006</v>
      </c>
      <c r="J28" s="128">
        <f t="shared" si="1"/>
        <v>1.2199427101291673</v>
      </c>
      <c r="K28" s="129"/>
      <c r="L28" s="129"/>
      <c r="M28" s="125"/>
      <c r="O28" s="127"/>
      <c r="P28" s="127"/>
      <c r="Q28" s="127"/>
    </row>
    <row r="29" spans="2:17" ht="12" customHeight="1">
      <c r="B29" s="121" t="s">
        <v>445</v>
      </c>
      <c r="C29" s="121">
        <v>6</v>
      </c>
      <c r="D29" s="123">
        <f t="shared" si="3"/>
        <v>0.14285714285714285</v>
      </c>
      <c r="E29" s="121"/>
      <c r="H29" s="13" t="s">
        <v>913</v>
      </c>
      <c r="I29" s="13">
        <v>76.783000000000001</v>
      </c>
      <c r="J29" s="128">
        <f t="shared" si="1"/>
        <v>1.1980646757745854</v>
      </c>
      <c r="K29" s="129"/>
      <c r="L29" s="129"/>
      <c r="M29" s="125"/>
      <c r="O29" s="127"/>
      <c r="P29" s="127"/>
      <c r="Q29" s="127"/>
    </row>
    <row r="30" spans="2:17" ht="12" customHeight="1">
      <c r="B30" s="121" t="s">
        <v>446</v>
      </c>
      <c r="C30" s="121">
        <v>6.024</v>
      </c>
      <c r="D30" s="123">
        <f t="shared" si="3"/>
        <v>0.14342857142857143</v>
      </c>
      <c r="E30" s="121"/>
      <c r="H30" s="13" t="s">
        <v>914</v>
      </c>
      <c r="I30" s="13">
        <v>78.096000000000004</v>
      </c>
      <c r="J30" s="128">
        <f t="shared" si="1"/>
        <v>1.1779220446629788</v>
      </c>
      <c r="K30" s="129"/>
      <c r="L30" s="129"/>
      <c r="M30" s="125"/>
      <c r="O30" s="127"/>
      <c r="P30" s="127"/>
      <c r="Q30" s="127"/>
    </row>
    <row r="31" spans="2:17" ht="12" customHeight="1">
      <c r="B31" s="121" t="s">
        <v>447</v>
      </c>
      <c r="C31" s="121">
        <v>5.4180000000000001</v>
      </c>
      <c r="D31" s="123">
        <f t="shared" si="3"/>
        <v>0.129</v>
      </c>
      <c r="E31" s="121"/>
      <c r="H31" s="13" t="s">
        <v>915</v>
      </c>
      <c r="I31" s="13">
        <v>78.944000000000003</v>
      </c>
      <c r="J31" s="128">
        <f t="shared" si="1"/>
        <v>1.1652690514795299</v>
      </c>
      <c r="K31" s="129"/>
      <c r="L31" s="129"/>
      <c r="M31" s="125"/>
      <c r="O31" s="127"/>
      <c r="P31" s="127"/>
      <c r="Q31" s="127"/>
    </row>
    <row r="32" spans="2:17" ht="12" customHeight="1">
      <c r="B32" s="121" t="s">
        <v>448</v>
      </c>
      <c r="C32" s="121">
        <v>3.8359999999999999</v>
      </c>
      <c r="D32" s="123">
        <f t="shared" si="3"/>
        <v>9.1333333333333336E-2</v>
      </c>
      <c r="E32" s="121"/>
      <c r="H32" s="13" t="s">
        <v>916</v>
      </c>
      <c r="I32" s="13">
        <v>80.070999999999998</v>
      </c>
      <c r="J32" s="128">
        <f t="shared" si="1"/>
        <v>1.148867879756716</v>
      </c>
      <c r="K32" s="129"/>
      <c r="L32" s="129"/>
      <c r="M32" s="125"/>
      <c r="O32" s="127"/>
      <c r="P32" s="127"/>
      <c r="Q32" s="127"/>
    </row>
    <row r="33" spans="2:13" ht="12" customHeight="1">
      <c r="B33" s="121" t="s">
        <v>449</v>
      </c>
      <c r="C33" s="121">
        <v>6.2869999999999999</v>
      </c>
      <c r="D33" s="123">
        <f t="shared" si="3"/>
        <v>0.14969047619047618</v>
      </c>
      <c r="E33" s="121"/>
      <c r="H33" s="13" t="s">
        <v>917</v>
      </c>
      <c r="I33" s="13">
        <v>81.891000000000005</v>
      </c>
      <c r="J33" s="128">
        <f t="shared" si="1"/>
        <v>1.123334676582286</v>
      </c>
      <c r="K33" s="129"/>
      <c r="L33" s="129"/>
      <c r="M33" s="125"/>
    </row>
    <row r="34" spans="2:13" ht="12" customHeight="1">
      <c r="B34" s="121" t="s">
        <v>450</v>
      </c>
      <c r="C34" s="121">
        <v>6.6360000000000001</v>
      </c>
      <c r="D34" s="123">
        <f t="shared" si="3"/>
        <v>0.158</v>
      </c>
      <c r="E34" s="121"/>
      <c r="H34" s="13" t="s">
        <v>918</v>
      </c>
      <c r="I34" s="13">
        <v>83.766000000000005</v>
      </c>
      <c r="J34" s="128">
        <f t="shared" si="1"/>
        <v>1.0981901964997731</v>
      </c>
      <c r="K34" s="129"/>
      <c r="L34" s="129"/>
      <c r="M34" s="125"/>
    </row>
    <row r="35" spans="2:13" ht="12" customHeight="1">
      <c r="B35" s="121" t="s">
        <v>451</v>
      </c>
      <c r="C35" s="121">
        <v>5.2480000000000002</v>
      </c>
      <c r="D35" s="123">
        <f t="shared" si="3"/>
        <v>0.12495238095238095</v>
      </c>
      <c r="H35" s="13" t="s">
        <v>919</v>
      </c>
      <c r="I35" s="13">
        <v>85.054000000000002</v>
      </c>
      <c r="J35" s="128">
        <f t="shared" si="1"/>
        <v>1.0815599501493169</v>
      </c>
      <c r="K35" s="129"/>
      <c r="L35" s="129"/>
      <c r="M35" s="125"/>
    </row>
    <row r="36" spans="2:13" ht="12" customHeight="1">
      <c r="B36" s="121" t="s">
        <v>452</v>
      </c>
      <c r="C36" s="121">
        <v>6</v>
      </c>
      <c r="D36" s="123">
        <f t="shared" si="3"/>
        <v>0.14285714285714285</v>
      </c>
      <c r="H36" s="13" t="s">
        <v>920</v>
      </c>
      <c r="I36" s="13">
        <v>86.754000000000005</v>
      </c>
      <c r="J36" s="128">
        <f t="shared" si="1"/>
        <v>1.0603660926297347</v>
      </c>
      <c r="K36" s="129"/>
      <c r="L36" s="129"/>
      <c r="M36" s="125"/>
    </row>
    <row r="37" spans="2:13" ht="12" customHeight="1">
      <c r="B37" s="121" t="s">
        <v>453</v>
      </c>
      <c r="C37" s="121">
        <v>5.8250000000000002</v>
      </c>
      <c r="D37" s="123">
        <f t="shared" si="3"/>
        <v>0.1386904761904762</v>
      </c>
      <c r="H37" s="13" t="s">
        <v>921</v>
      </c>
      <c r="I37" s="13">
        <v>89.132000000000005</v>
      </c>
      <c r="J37" s="128">
        <f t="shared" si="1"/>
        <v>1.0320760220796121</v>
      </c>
      <c r="K37" s="129"/>
      <c r="L37" s="129"/>
      <c r="M37" s="125"/>
    </row>
    <row r="38" spans="2:13" ht="12" customHeight="1">
      <c r="B38" s="121" t="s">
        <v>454</v>
      </c>
      <c r="C38" s="121">
        <v>5.4180000000000001</v>
      </c>
      <c r="D38" s="123">
        <f t="shared" si="3"/>
        <v>0.129</v>
      </c>
      <c r="H38" s="13" t="s">
        <v>403</v>
      </c>
      <c r="I38" s="13">
        <v>91.991</v>
      </c>
      <c r="J38" s="128">
        <f t="shared" si="1"/>
        <v>1</v>
      </c>
      <c r="K38" s="129"/>
      <c r="L38" s="129"/>
      <c r="M38" s="125"/>
    </row>
    <row r="39" spans="2:13" ht="12" customHeight="1">
      <c r="B39" s="121" t="s">
        <v>455</v>
      </c>
      <c r="C39" s="121">
        <v>5.5369999999999999</v>
      </c>
      <c r="D39" s="123">
        <f t="shared" si="3"/>
        <v>0.13183333333333333</v>
      </c>
      <c r="H39" s="13" t="s">
        <v>922</v>
      </c>
      <c r="I39" s="13">
        <v>94.817999999999998</v>
      </c>
      <c r="J39" s="128">
        <f t="shared" si="1"/>
        <v>0.97018498597312752</v>
      </c>
      <c r="K39" s="129"/>
      <c r="L39" s="129"/>
      <c r="M39" s="125"/>
    </row>
    <row r="40" spans="2:13" ht="12" customHeight="1">
      <c r="B40" s="121" t="s">
        <v>456</v>
      </c>
      <c r="C40" s="121">
        <v>5.7960000000000003</v>
      </c>
      <c r="D40" s="123">
        <f t="shared" si="3"/>
        <v>0.13800000000000001</v>
      </c>
      <c r="H40" s="13" t="s">
        <v>923</v>
      </c>
      <c r="I40" s="13">
        <v>97.334999999999994</v>
      </c>
      <c r="J40" s="128">
        <f t="shared" si="1"/>
        <v>0.94509683053372384</v>
      </c>
      <c r="K40" s="129"/>
      <c r="L40" s="129"/>
      <c r="M40" s="125"/>
    </row>
    <row r="41" spans="2:13" ht="12" customHeight="1">
      <c r="B41" s="121"/>
      <c r="C41" s="121"/>
      <c r="D41" s="123"/>
      <c r="H41" s="13" t="s">
        <v>924</v>
      </c>
      <c r="I41" s="13">
        <v>99.236000000000004</v>
      </c>
      <c r="J41" s="128">
        <f t="shared" si="1"/>
        <v>0.92699222056511743</v>
      </c>
      <c r="K41" s="129"/>
      <c r="L41" s="129"/>
      <c r="M41" s="125"/>
    </row>
    <row r="42" spans="2:13" ht="12" customHeight="1">
      <c r="B42" s="121" t="s">
        <v>271</v>
      </c>
      <c r="C42" s="9">
        <f>D42*I4</f>
        <v>2.7467999999999999</v>
      </c>
      <c r="D42" s="121">
        <v>6.54E-2</v>
      </c>
      <c r="H42" s="13" t="s">
        <v>925</v>
      </c>
      <c r="I42" s="13">
        <v>100</v>
      </c>
      <c r="J42" s="128">
        <f t="shared" si="1"/>
        <v>0.91991000000000001</v>
      </c>
      <c r="K42" s="129"/>
      <c r="L42" s="129"/>
      <c r="M42" s="125"/>
    </row>
    <row r="43" spans="2:13" ht="12" customHeight="1">
      <c r="B43" s="121"/>
      <c r="D43" s="121"/>
      <c r="H43" s="13" t="s">
        <v>404</v>
      </c>
      <c r="I43" s="13">
        <v>101.211</v>
      </c>
      <c r="J43" s="128">
        <f t="shared" si="1"/>
        <v>0.90890318246040447</v>
      </c>
    </row>
    <row r="44" spans="2:13" ht="25.5" customHeight="1">
      <c r="B44" s="130" t="s">
        <v>937</v>
      </c>
      <c r="C44" s="140" t="s">
        <v>416</v>
      </c>
      <c r="D44" s="140" t="s">
        <v>417</v>
      </c>
      <c r="H44" s="13" t="s">
        <v>926</v>
      </c>
      <c r="I44" s="13">
        <v>103.199</v>
      </c>
      <c r="J44" s="128">
        <f t="shared" si="1"/>
        <v>0.89139429645636103</v>
      </c>
    </row>
    <row r="45" spans="2:13">
      <c r="B45" s="121" t="s">
        <v>269</v>
      </c>
      <c r="C45" s="121">
        <v>3.5569999999999999</v>
      </c>
      <c r="D45" s="123">
        <f>C45/$I$4</f>
        <v>8.4690476190476191E-2</v>
      </c>
      <c r="H45" s="13" t="s">
        <v>927</v>
      </c>
      <c r="I45" s="13">
        <v>105.002</v>
      </c>
      <c r="J45" s="128">
        <f t="shared" si="1"/>
        <v>0.87608807451286641</v>
      </c>
      <c r="K45" s="1"/>
    </row>
    <row r="46" spans="2:13" ht="13.5">
      <c r="B46" s="121" t="s">
        <v>457</v>
      </c>
      <c r="C46" s="141">
        <v>5.8387010000000004</v>
      </c>
      <c r="D46" s="123">
        <f>C46/$I$4</f>
        <v>0.13901669047619047</v>
      </c>
      <c r="H46" s="131"/>
      <c r="I46" s="1"/>
      <c r="J46" s="1"/>
      <c r="K46" s="1"/>
    </row>
    <row r="47" spans="2:13" ht="13.5">
      <c r="B47" s="121" t="s">
        <v>458</v>
      </c>
      <c r="C47" s="141">
        <v>6.045922</v>
      </c>
      <c r="D47" s="123">
        <f>C47/$I$4</f>
        <v>0.14395052380952381</v>
      </c>
      <c r="H47" s="131"/>
      <c r="I47" s="1"/>
      <c r="J47" s="1"/>
      <c r="K47" s="1"/>
    </row>
    <row r="48" spans="2:13" ht="13.5">
      <c r="B48" s="121" t="s">
        <v>459</v>
      </c>
      <c r="C48" s="9">
        <f>(2*C47+C46)/3</f>
        <v>5.9768483333333338</v>
      </c>
      <c r="D48" s="123">
        <f>C48/$I$4</f>
        <v>0.1423059126984127</v>
      </c>
      <c r="H48" s="131"/>
      <c r="I48" s="1"/>
      <c r="J48" s="1"/>
      <c r="K48" s="1"/>
    </row>
    <row r="49" spans="2:11" ht="13.5">
      <c r="H49" s="131"/>
      <c r="I49" s="1"/>
      <c r="J49" s="1"/>
      <c r="K49" s="1"/>
    </row>
    <row r="50" spans="2:11" ht="13.5">
      <c r="B50" s="121"/>
      <c r="D50" s="121"/>
      <c r="H50" s="131"/>
      <c r="I50" s="1"/>
      <c r="J50" s="1"/>
      <c r="K50" s="1"/>
    </row>
    <row r="51" spans="2:11" ht="13.5">
      <c r="C51" s="137" t="s">
        <v>460</v>
      </c>
      <c r="D51" s="121" t="s">
        <v>461</v>
      </c>
      <c r="E51" s="137" t="s">
        <v>462</v>
      </c>
      <c r="H51" s="132"/>
      <c r="I51" s="132"/>
      <c r="J51" s="1"/>
      <c r="K51" s="1"/>
    </row>
    <row r="52" spans="2:11" ht="13.5">
      <c r="B52" s="11" t="s">
        <v>463</v>
      </c>
      <c r="C52" s="9">
        <f>1024/1000000</f>
        <v>1.024E-3</v>
      </c>
      <c r="D52" s="133">
        <v>6917</v>
      </c>
      <c r="E52" s="9">
        <f>C52*D52</f>
        <v>7.0830079999999995</v>
      </c>
      <c r="H52" s="132"/>
      <c r="I52" s="132"/>
      <c r="J52" s="1"/>
      <c r="K52" s="1"/>
    </row>
    <row r="53" spans="2:11" ht="13.5">
      <c r="D53" s="121"/>
      <c r="H53" s="132"/>
      <c r="I53" s="132"/>
      <c r="J53" s="1"/>
      <c r="K53" s="1"/>
    </row>
    <row r="54" spans="2:11" ht="13.5">
      <c r="B54" s="142"/>
      <c r="D54" s="121"/>
      <c r="H54" s="132"/>
      <c r="I54" s="132"/>
      <c r="J54" s="1"/>
      <c r="K54" s="1"/>
    </row>
    <row r="55" spans="2:11" ht="13.5">
      <c r="D55" s="121"/>
      <c r="H55" s="132"/>
      <c r="I55" s="132"/>
      <c r="J55" s="1"/>
      <c r="K55" s="1"/>
    </row>
    <row r="56" spans="2:11" ht="13.5">
      <c r="B56" s="143"/>
      <c r="D56" s="121"/>
      <c r="H56" s="132"/>
      <c r="I56" s="132"/>
      <c r="J56" s="1"/>
      <c r="K56" s="1"/>
    </row>
    <row r="57" spans="2:11" ht="13.5">
      <c r="D57" s="121"/>
      <c r="H57" s="132"/>
      <c r="I57" s="132"/>
      <c r="J57" s="1"/>
      <c r="K57" s="1"/>
    </row>
    <row r="58" spans="2:11" ht="13.5">
      <c r="B58" s="144"/>
      <c r="D58" s="121"/>
      <c r="H58" s="132"/>
      <c r="I58" s="132"/>
      <c r="J58" s="1"/>
      <c r="K58" s="1"/>
    </row>
    <row r="59" spans="2:11" ht="13.5">
      <c r="D59" s="121"/>
      <c r="H59" s="132"/>
      <c r="I59" s="132"/>
      <c r="J59" s="1"/>
      <c r="K59" s="1"/>
    </row>
    <row r="60" spans="2:11" ht="13.5">
      <c r="B60" s="145"/>
      <c r="D60" s="121"/>
      <c r="H60" s="132"/>
      <c r="I60" s="132"/>
      <c r="J60" s="1"/>
      <c r="K60" s="1"/>
    </row>
    <row r="61" spans="2:11" ht="13.5">
      <c r="D61" s="121"/>
      <c r="H61" s="132"/>
      <c r="I61" s="132"/>
      <c r="J61" s="1"/>
      <c r="K61" s="1"/>
    </row>
    <row r="62" spans="2:11" ht="13.5">
      <c r="D62" s="121"/>
      <c r="H62" s="132"/>
      <c r="I62" s="132"/>
      <c r="J62" s="1"/>
      <c r="K62" s="1"/>
    </row>
    <row r="63" spans="2:11" ht="13.5">
      <c r="D63" s="121"/>
      <c r="H63" s="132"/>
      <c r="I63" s="132"/>
      <c r="J63" s="1"/>
      <c r="K63" s="1"/>
    </row>
    <row r="64" spans="2:11" ht="13.5">
      <c r="D64" s="121"/>
      <c r="H64" s="131"/>
      <c r="I64" s="1"/>
      <c r="J64" s="1"/>
      <c r="K64" s="1"/>
    </row>
    <row r="65" spans="4:11" ht="13.5">
      <c r="D65" s="121"/>
      <c r="H65" s="131"/>
      <c r="I65" s="1"/>
      <c r="J65" s="1"/>
      <c r="K65" s="1"/>
    </row>
    <row r="66" spans="4:11">
      <c r="D66" s="121"/>
      <c r="H66" s="134"/>
      <c r="I66" s="1"/>
      <c r="J66" s="1"/>
      <c r="K66" s="1"/>
    </row>
    <row r="67" spans="4:11">
      <c r="D67" s="121"/>
      <c r="H67" s="135"/>
      <c r="I67" s="1"/>
      <c r="J67" s="1"/>
      <c r="K67" s="1"/>
    </row>
    <row r="68" spans="4:11" ht="15">
      <c r="D68" s="121"/>
      <c r="H68" s="136"/>
      <c r="I68" s="136"/>
      <c r="J68" s="136"/>
      <c r="K68" s="136"/>
    </row>
    <row r="69" spans="4:11">
      <c r="D69" s="121"/>
    </row>
    <row r="70" spans="4:11">
      <c r="D70" s="121"/>
    </row>
    <row r="71" spans="4:11">
      <c r="D71" s="121"/>
    </row>
    <row r="72" spans="4:11">
      <c r="D72" s="121"/>
    </row>
    <row r="73" spans="4:11">
      <c r="D73" s="121"/>
    </row>
  </sheetData>
  <phoneticPr fontId="21" type="noConversion"/>
  <hyperlinks>
    <hyperlink ref="H13" r:id="rId1" xr:uid="{00000000-0004-0000-1E00-000000000000}"/>
  </hyperlinks>
  <pageMargins left="0.75" right="0.75" top="1" bottom="1" header="0.5" footer="0.5"/>
  <pageSetup orientation="portrait"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2024-08-07T00:48:30+00:00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659021-399C-4A79-9D25-63937DDADF36}">
  <ds:schemaRefs>
    <ds:schemaRef ds:uri="Microsoft.SharePoint.Taxonomy.ContentTypeSync"/>
  </ds:schemaRefs>
</ds:datastoreItem>
</file>

<file path=customXml/itemProps2.xml><?xml version="1.0" encoding="utf-8"?>
<ds:datastoreItem xmlns:ds="http://schemas.openxmlformats.org/officeDocument/2006/customXml" ds:itemID="{3B45B8C6-F0FE-4C5A-9598-716AADD2C0CA}">
  <ds:schemaRefs>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http://www.w3.org/XML/1998/namespace"/>
    <ds:schemaRef ds:uri="b61e3246-ffdd-47fd-afd5-fb211f629678"/>
    <ds:schemaRef ds:uri="http://schemas.microsoft.com/office/infopath/2007/PartnerControls"/>
    <ds:schemaRef ds:uri="13d1ff91-c56c-48a5-881f-c0ec757c423c"/>
    <ds:schemaRef ds:uri="http://purl.org/dc/dcmitype/"/>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customXml/itemProps3.xml><?xml version="1.0" encoding="utf-8"?>
<ds:datastoreItem xmlns:ds="http://schemas.openxmlformats.org/officeDocument/2006/customXml" ds:itemID="{0DB6D487-0C92-48D9-9A43-2C0F68451F53}">
  <ds:schemaRefs>
    <ds:schemaRef ds:uri="http://schemas.microsoft.com/sharepoint/v3/contenttype/forms"/>
  </ds:schemaRefs>
</ds:datastoreItem>
</file>

<file path=customXml/itemProps4.xml><?xml version="1.0" encoding="utf-8"?>
<ds:datastoreItem xmlns:ds="http://schemas.openxmlformats.org/officeDocument/2006/customXml" ds:itemID="{E211D8C5-FCF9-409E-BEC2-D03F1D84BE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UC_OIL</vt:lpstr>
      <vt:lpstr>UC_OIL2</vt:lpstr>
      <vt:lpstr>UC_OIL3</vt:lpstr>
      <vt:lpstr>TechData_R0</vt:lpstr>
      <vt:lpstr>&gt;&gt; Not used</vt:lpstr>
      <vt:lpstr>Commodities</vt:lpstr>
      <vt:lpstr>Technologies</vt:lpstr>
      <vt:lpstr>TechData_DelOILNYC</vt:lpstr>
      <vt:lpstr>Domestic Crude Prod Trends</vt:lpstr>
      <vt:lpstr>Domestic Crude Oil CUM</vt:lpstr>
      <vt:lpstr>Domestic Crude Oil Prices</vt:lpstr>
      <vt:lpstr>Domestic Crude Oil Prod</vt:lpstr>
      <vt:lpstr>Imported Prod Trend</vt:lpstr>
      <vt:lpstr>Imp Refined</vt:lpstr>
      <vt:lpstr>Agg prdcrv</vt:lpstr>
      <vt:lpstr>Agg prdcrv NYC</vt:lpstr>
      <vt:lpstr>Imp Refined NYC</vt:lpstr>
      <vt:lpstr>AEO 2012 prdcrv</vt:lpstr>
      <vt:lpstr>Imp Crude</vt:lpstr>
      <vt:lpstr>Agg crdcrv</vt:lpstr>
      <vt:lpstr>AEO 2012 crdcrv</vt:lpstr>
      <vt:lpstr>Emissions</vt:lpstr>
      <vt:lpstr>Types</vt:lpstr>
      <vt:lpstr>Conv</vt:lpstr>
    </vt:vector>
  </TitlesOfParts>
  <Company>Noble-Soft Systems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Ken Noble</dc:creator>
  <cp:lastModifiedBy>Carroll, Zane</cp:lastModifiedBy>
  <cp:lastPrinted>2014-11-07T16:35:14Z</cp:lastPrinted>
  <dcterms:created xsi:type="dcterms:W3CDTF">2005-05-01T12:39:10Z</dcterms:created>
  <dcterms:modified xsi:type="dcterms:W3CDTF">2025-06-02T17:59:19Z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464992702007293</vt:r8>
  </property>
  <property fmtid="{D5CDD505-2E9C-101B-9397-08002B2CF9AE}" pid="3" name="ContentTypeId">
    <vt:lpwstr>0x010100214A9614FEBF9340B4F6922FA5A4AE60</vt:lpwstr>
  </property>
  <property fmtid="{D5CDD505-2E9C-101B-9397-08002B2CF9AE}" pid="4" name="MediaServiceImageTags">
    <vt:lpwstr/>
  </property>
</Properties>
</file>